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I528621\Desktop\"/>
    </mc:Choice>
  </mc:AlternateContent>
  <xr:revisionPtr revIDLastSave="0" documentId="8_{C59815CD-C993-4218-BBBC-4BE04E5C7F89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Sheet1" sheetId="1" r:id="rId1"/>
    <sheet name="summary_rates" sheetId="2" r:id="rId2"/>
    <sheet name="summary" sheetId="3" r:id="rId3"/>
    <sheet name="USD_Data" sheetId="4" r:id="rId4"/>
    <sheet name="EUR_Data" sheetId="5" r:id="rId5"/>
    <sheet name="GBP_Data" sheetId="6" r:id="rId6"/>
    <sheet name="JPY_Data" sheetId="7" r:id="rId7"/>
    <sheet name="AUD_Data" sheetId="8" r:id="rId8"/>
    <sheet name="CAD_Data" sheetId="9" r:id="rId9"/>
    <sheet name="SGD_Data" sheetId="10" r:id="rId10"/>
    <sheet name="CHF_Data" sheetId="11" r:id="rId11"/>
    <sheet name="CNY_Data" sheetId="12" r:id="rId12"/>
    <sheet name="AED_Data" sheetId="13" r:id="rId1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7" i="2" l="1"/>
  <c r="B8" i="2"/>
  <c r="B14" i="2"/>
  <c r="B15" i="2" s="1"/>
  <c r="B16" i="2" s="1"/>
  <c r="B21" i="2"/>
  <c r="B22" i="2"/>
  <c r="B28" i="2"/>
  <c r="B29" i="2" s="1"/>
  <c r="B35" i="2"/>
  <c r="B36" i="2" s="1"/>
  <c r="B42" i="2"/>
  <c r="B43" i="2" s="1"/>
  <c r="B49" i="2"/>
  <c r="B50" i="2"/>
  <c r="B51" i="2" s="1"/>
  <c r="B56" i="2"/>
  <c r="B57" i="2"/>
  <c r="B63" i="2"/>
  <c r="B64" i="2" s="1"/>
  <c r="B70" i="2"/>
  <c r="B71" i="2"/>
  <c r="B77" i="2"/>
  <c r="B78" i="2" s="1"/>
  <c r="B84" i="2"/>
  <c r="B85" i="2"/>
  <c r="B91" i="2"/>
  <c r="B92" i="2" s="1"/>
  <c r="B98" i="2"/>
  <c r="B99" i="2"/>
  <c r="B104" i="2"/>
  <c r="B105" i="2" s="1"/>
  <c r="B106" i="2" s="1"/>
  <c r="B112" i="2"/>
  <c r="B113" i="2" s="1"/>
  <c r="B119" i="2"/>
  <c r="B120" i="2" s="1"/>
  <c r="B126" i="2"/>
  <c r="B127" i="2"/>
  <c r="B133" i="2"/>
  <c r="B134" i="2" s="1"/>
  <c r="B140" i="2"/>
  <c r="B141" i="2" s="1"/>
  <c r="B147" i="2"/>
  <c r="B148" i="2" s="1"/>
  <c r="B149" i="2"/>
  <c r="B154" i="2"/>
  <c r="B155" i="2" s="1"/>
  <c r="B161" i="2"/>
  <c r="B162" i="2"/>
  <c r="B168" i="2"/>
  <c r="B169" i="2" s="1"/>
  <c r="B175" i="2"/>
  <c r="B176" i="2"/>
  <c r="B182" i="2"/>
  <c r="B183" i="2" s="1"/>
  <c r="B186" i="2"/>
  <c r="B189" i="2"/>
  <c r="B190" i="2" s="1"/>
  <c r="B196" i="2"/>
  <c r="B197" i="2" s="1"/>
  <c r="B203" i="2"/>
  <c r="B204" i="2"/>
  <c r="B210" i="2"/>
  <c r="B211" i="2" s="1"/>
  <c r="B217" i="2"/>
  <c r="B218" i="2" s="1"/>
  <c r="B224" i="2"/>
  <c r="B225" i="2" s="1"/>
  <c r="B231" i="2"/>
  <c r="B232" i="2"/>
  <c r="B238" i="2"/>
  <c r="B239" i="2" s="1"/>
  <c r="B245" i="2"/>
  <c r="B246" i="2" s="1"/>
  <c r="B247" i="2" s="1"/>
  <c r="B252" i="2"/>
  <c r="B253" i="2"/>
  <c r="B255" i="2"/>
  <c r="B256" i="2" s="1"/>
  <c r="B257" i="2" s="1"/>
  <c r="B258" i="2" s="1"/>
  <c r="B259" i="2" s="1"/>
  <c r="B260" i="2" s="1"/>
  <c r="B266" i="2"/>
  <c r="B267" i="2"/>
  <c r="B273" i="2"/>
  <c r="B274" i="2" s="1"/>
  <c r="B280" i="2"/>
  <c r="B281" i="2"/>
  <c r="B287" i="2"/>
  <c r="B288" i="2" s="1"/>
  <c r="B294" i="2"/>
  <c r="B295" i="2"/>
  <c r="B301" i="2"/>
  <c r="B302" i="2" s="1"/>
  <c r="B308" i="2"/>
  <c r="B309" i="2"/>
  <c r="B315" i="2"/>
  <c r="B316" i="2" s="1"/>
  <c r="B322" i="2"/>
  <c r="B323" i="2"/>
  <c r="B327" i="2"/>
  <c r="B329" i="2"/>
  <c r="B330" i="2" s="1"/>
  <c r="B336" i="2"/>
  <c r="B337" i="2" s="1"/>
  <c r="B343" i="2"/>
  <c r="B344" i="2" s="1"/>
  <c r="B350" i="2"/>
  <c r="B351" i="2" s="1"/>
  <c r="B357" i="2"/>
  <c r="B358" i="2" s="1"/>
  <c r="B360" i="2"/>
  <c r="B364" i="2"/>
  <c r="B365" i="2" s="1"/>
  <c r="B367" i="2"/>
  <c r="B371" i="2"/>
  <c r="B372" i="2"/>
  <c r="B378" i="2"/>
  <c r="B379" i="2" s="1"/>
  <c r="B385" i="2"/>
  <c r="B386" i="2" s="1"/>
  <c r="B387" i="2" s="1"/>
  <c r="B392" i="2"/>
  <c r="B393" i="2"/>
  <c r="B399" i="2"/>
  <c r="B400" i="2" s="1"/>
  <c r="B406" i="2"/>
  <c r="B407" i="2"/>
  <c r="B413" i="2"/>
  <c r="B414" i="2" s="1"/>
  <c r="B415" i="2" s="1"/>
  <c r="B420" i="2"/>
  <c r="B421" i="2" s="1"/>
  <c r="B427" i="2"/>
  <c r="B428" i="2" s="1"/>
  <c r="B434" i="2"/>
  <c r="B435" i="2" s="1"/>
  <c r="B441" i="2"/>
  <c r="B442" i="2" s="1"/>
  <c r="B448" i="2"/>
  <c r="B449" i="2"/>
  <c r="B454" i="2"/>
  <c r="B455" i="2" s="1"/>
  <c r="B456" i="2" s="1"/>
  <c r="B462" i="2"/>
  <c r="B463" i="2" s="1"/>
  <c r="B469" i="2"/>
  <c r="B470" i="2"/>
  <c r="B476" i="2"/>
  <c r="B477" i="2" s="1"/>
  <c r="B483" i="2"/>
  <c r="B484" i="2"/>
  <c r="B490" i="2"/>
  <c r="B491" i="2" s="1"/>
  <c r="B497" i="2"/>
  <c r="B498" i="2"/>
  <c r="B504" i="2"/>
  <c r="B505" i="2" s="1"/>
  <c r="B511" i="2"/>
  <c r="B512" i="2"/>
  <c r="B513" i="2" s="1"/>
  <c r="B518" i="2"/>
  <c r="B519" i="2" s="1"/>
  <c r="B525" i="2"/>
  <c r="B526" i="2"/>
  <c r="B532" i="2"/>
  <c r="B533" i="2" s="1"/>
  <c r="B539" i="2"/>
  <c r="B540" i="2" s="1"/>
  <c r="B546" i="2"/>
  <c r="B547" i="2" s="1"/>
  <c r="B551" i="2"/>
  <c r="B553" i="2"/>
  <c r="B554" i="2" s="1"/>
  <c r="B560" i="2"/>
  <c r="B561" i="2"/>
  <c r="B567" i="2"/>
  <c r="B568" i="2" s="1"/>
  <c r="B574" i="2"/>
  <c r="B575" i="2"/>
  <c r="B581" i="2"/>
  <c r="B582" i="2" s="1"/>
  <c r="B588" i="2"/>
  <c r="B589" i="2"/>
  <c r="B595" i="2"/>
  <c r="B596" i="2" s="1"/>
  <c r="B602" i="2"/>
  <c r="B603" i="2"/>
  <c r="B609" i="2"/>
  <c r="B610" i="2" s="1"/>
  <c r="B611" i="2" s="1"/>
  <c r="B616" i="2"/>
  <c r="B617" i="2" s="1"/>
  <c r="B623" i="2"/>
  <c r="B624" i="2" s="1"/>
  <c r="B630" i="2"/>
  <c r="B631" i="2"/>
  <c r="B637" i="2"/>
  <c r="B638" i="2" s="1"/>
  <c r="B644" i="2"/>
  <c r="B645" i="2" s="1"/>
  <c r="B651" i="2"/>
  <c r="B652" i="2" s="1"/>
  <c r="B658" i="2"/>
  <c r="B659" i="2"/>
  <c r="B665" i="2"/>
  <c r="B666" i="2" s="1"/>
  <c r="B672" i="2"/>
  <c r="B673" i="2" s="1"/>
  <c r="B679" i="2"/>
  <c r="B680" i="2" s="1"/>
  <c r="B686" i="2"/>
  <c r="B687" i="2"/>
  <c r="B693" i="2"/>
  <c r="B694" i="2" s="1"/>
  <c r="B698" i="2"/>
  <c r="B700" i="2"/>
  <c r="B701" i="2" s="1"/>
  <c r="B707" i="2"/>
  <c r="B708" i="2"/>
  <c r="B714" i="2"/>
  <c r="B715" i="2" s="1"/>
  <c r="B721" i="2"/>
  <c r="B722" i="2"/>
  <c r="B725" i="2"/>
  <c r="B728" i="2"/>
  <c r="B729" i="2" s="1"/>
  <c r="B732" i="2"/>
  <c r="B735" i="2"/>
  <c r="B736" i="2" s="1"/>
  <c r="B742" i="2"/>
  <c r="B743" i="2"/>
  <c r="B749" i="2"/>
  <c r="B750" i="2" s="1"/>
  <c r="B751" i="2" s="1"/>
  <c r="B756" i="2"/>
  <c r="B757" i="2"/>
  <c r="B763" i="2"/>
  <c r="B764" i="2" s="1"/>
  <c r="B770" i="2"/>
  <c r="B771" i="2"/>
  <c r="B777" i="2"/>
  <c r="B778" i="2" s="1"/>
  <c r="B779" i="2"/>
  <c r="B784" i="2"/>
  <c r="B785" i="2" s="1"/>
  <c r="B791" i="2"/>
  <c r="B792" i="2"/>
  <c r="B798" i="2"/>
  <c r="B799" i="2" s="1"/>
  <c r="B805" i="2"/>
  <c r="B806" i="2"/>
  <c r="B812" i="2"/>
  <c r="B813" i="2" s="1"/>
  <c r="B819" i="2"/>
  <c r="B820" i="2"/>
  <c r="B826" i="2"/>
  <c r="B827" i="2" s="1"/>
  <c r="B833" i="2"/>
  <c r="B834" i="2"/>
  <c r="B839" i="2"/>
  <c r="B840" i="2" s="1"/>
  <c r="B841" i="2" s="1"/>
  <c r="B847" i="2"/>
  <c r="B848" i="2"/>
  <c r="B854" i="2"/>
  <c r="B855" i="2" s="1"/>
  <c r="B861" i="2"/>
  <c r="B862" i="2"/>
  <c r="B868" i="2"/>
  <c r="B869" i="2" s="1"/>
  <c r="B875" i="2"/>
  <c r="B876" i="2"/>
  <c r="B877" i="2" s="1"/>
  <c r="B882" i="2"/>
  <c r="B883" i="2"/>
  <c r="B889" i="2"/>
  <c r="B890" i="2" s="1"/>
  <c r="B896" i="2"/>
  <c r="B897" i="2"/>
  <c r="B903" i="2"/>
  <c r="B904" i="2" s="1"/>
  <c r="B910" i="2"/>
  <c r="B911" i="2"/>
  <c r="B916" i="2"/>
  <c r="B917" i="2" s="1"/>
  <c r="B918" i="2" s="1"/>
  <c r="B924" i="2"/>
  <c r="B925" i="2"/>
  <c r="B931" i="2"/>
  <c r="B932" i="2" s="1"/>
  <c r="B938" i="2"/>
  <c r="B939" i="2"/>
  <c r="B945" i="2"/>
  <c r="B946" i="2"/>
  <c r="B952" i="2"/>
  <c r="B953" i="2" s="1"/>
  <c r="B959" i="2"/>
  <c r="B960" i="2" s="1"/>
  <c r="B966" i="2"/>
  <c r="B967" i="2" s="1"/>
  <c r="B973" i="2"/>
  <c r="B974" i="2"/>
  <c r="B975" i="2"/>
  <c r="B980" i="2"/>
  <c r="B981" i="2" s="1"/>
  <c r="B987" i="2"/>
  <c r="B988" i="2"/>
  <c r="B994" i="2"/>
  <c r="B995" i="2" s="1"/>
  <c r="B1001" i="2"/>
  <c r="B1002" i="2"/>
  <c r="B1008" i="2"/>
  <c r="B1009" i="2" s="1"/>
  <c r="B1015" i="2"/>
  <c r="B1016" i="2"/>
  <c r="B1022" i="2"/>
  <c r="B1023" i="2" s="1"/>
  <c r="B1029" i="2"/>
  <c r="B1030" i="2"/>
  <c r="B1036" i="2"/>
  <c r="B1037" i="2" s="1"/>
  <c r="B1043" i="2"/>
  <c r="B1044" i="2"/>
  <c r="B1050" i="2"/>
  <c r="B1051" i="2" s="1"/>
  <c r="B1057" i="2"/>
  <c r="B1058" i="2"/>
  <c r="B1062" i="2"/>
  <c r="B1064" i="2"/>
  <c r="B1065" i="2" s="1"/>
  <c r="B1071" i="2"/>
  <c r="B1072" i="2"/>
  <c r="B1078" i="2"/>
  <c r="B1079" i="2" s="1"/>
  <c r="B1085" i="2"/>
  <c r="B1086" i="2" s="1"/>
  <c r="B1090" i="2"/>
  <c r="B1092" i="2"/>
  <c r="B1093" i="2"/>
  <c r="B1097" i="2"/>
  <c r="B1099" i="2"/>
  <c r="B1100" i="2" s="1"/>
  <c r="B1106" i="2"/>
  <c r="B1107" i="2" s="1"/>
  <c r="B1113" i="2"/>
  <c r="B1114" i="2" s="1"/>
  <c r="B1115" i="2"/>
  <c r="B1120" i="2"/>
  <c r="B1121" i="2" s="1"/>
  <c r="B1127" i="2"/>
  <c r="B1128" i="2"/>
  <c r="B1134" i="2"/>
  <c r="B1135" i="2" s="1"/>
  <c r="B1141" i="2"/>
  <c r="B1142" i="2"/>
  <c r="B1143" i="2"/>
  <c r="B1148" i="2"/>
  <c r="B1149" i="2" s="1"/>
  <c r="B1155" i="2"/>
  <c r="B1156" i="2" s="1"/>
  <c r="B1162" i="2"/>
  <c r="B1163" i="2" s="1"/>
  <c r="B1169" i="2"/>
  <c r="B1170" i="2"/>
  <c r="B1176" i="2"/>
  <c r="B1177" i="2" s="1"/>
  <c r="B1183" i="2"/>
  <c r="B1184" i="2" s="1"/>
  <c r="B1190" i="2"/>
  <c r="B1191" i="2" s="1"/>
  <c r="B1196" i="2"/>
  <c r="B1197" i="2"/>
  <c r="B1198" i="2" s="1"/>
  <c r="B1204" i="2"/>
  <c r="B1205" i="2"/>
  <c r="B1211" i="2"/>
  <c r="B1212" i="2" s="1"/>
  <c r="B1218" i="2"/>
  <c r="B1219" i="2"/>
  <c r="B1225" i="2"/>
  <c r="B1226" i="2" s="1"/>
  <c r="B1232" i="2"/>
  <c r="B1233" i="2"/>
  <c r="B1239" i="2"/>
  <c r="B1240" i="2" s="1"/>
  <c r="B1246" i="2"/>
  <c r="B1247" i="2"/>
  <c r="B1248" i="2" s="1"/>
  <c r="B1253" i="2"/>
  <c r="B1254" i="2" s="1"/>
  <c r="B1259" i="2"/>
  <c r="B1260" i="2" s="1"/>
  <c r="B1261" i="2" s="1"/>
  <c r="B1267" i="2"/>
  <c r="B1268" i="2"/>
  <c r="B1274" i="2"/>
  <c r="B1275" i="2" s="1"/>
  <c r="B1281" i="2"/>
  <c r="B1282" i="2"/>
  <c r="B1283" i="2" s="1"/>
  <c r="B1288" i="2"/>
  <c r="B1289" i="2" s="1"/>
  <c r="B1295" i="2"/>
  <c r="B1296" i="2"/>
  <c r="B1302" i="2"/>
  <c r="B1303" i="2" s="1"/>
  <c r="B1309" i="2"/>
  <c r="B1310" i="2" s="1"/>
  <c r="B1316" i="2"/>
  <c r="B1317" i="2" s="1"/>
  <c r="B1323" i="2"/>
  <c r="B1324" i="2"/>
  <c r="B1330" i="2"/>
  <c r="B1331" i="2" s="1"/>
  <c r="B1337" i="2"/>
  <c r="B1338" i="2" s="1"/>
  <c r="B1344" i="2"/>
  <c r="B1345" i="2" s="1"/>
  <c r="B1346" i="2"/>
  <c r="B1351" i="2"/>
  <c r="B1352" i="2" s="1"/>
  <c r="B1358" i="2"/>
  <c r="B1359" i="2" s="1"/>
  <c r="B1365" i="2"/>
  <c r="B1366" i="2" s="1"/>
  <c r="B1372" i="2"/>
  <c r="B1373" i="2"/>
  <c r="B1379" i="2"/>
  <c r="B1380" i="2" s="1"/>
  <c r="B1386" i="2"/>
  <c r="B1387" i="2"/>
  <c r="B1393" i="2"/>
  <c r="B1394" i="2"/>
  <c r="B1400" i="2"/>
  <c r="B1401" i="2"/>
  <c r="B1407" i="2"/>
  <c r="B1408" i="2" s="1"/>
  <c r="B1414" i="2"/>
  <c r="B1415" i="2"/>
  <c r="B1421" i="2"/>
  <c r="B1422" i="2"/>
  <c r="B1426" i="2"/>
  <c r="B1428" i="2"/>
  <c r="B1429" i="2"/>
  <c r="B1435" i="2"/>
  <c r="B1436" i="2" s="1"/>
  <c r="B1442" i="2"/>
  <c r="B1443" i="2" s="1"/>
  <c r="B1449" i="2"/>
  <c r="B1450" i="2" s="1"/>
  <c r="B1455" i="2"/>
  <c r="B1456" i="2"/>
  <c r="B1457" i="2" s="1"/>
  <c r="B1463" i="2"/>
  <c r="B1464" i="2"/>
  <c r="B1470" i="2"/>
  <c r="B1471" i="2" s="1"/>
  <c r="B1477" i="2"/>
  <c r="B1478" i="2"/>
  <c r="B1479" i="2"/>
  <c r="B1484" i="2"/>
  <c r="B1485" i="2" s="1"/>
  <c r="B1491" i="2"/>
  <c r="B1492" i="2" s="1"/>
  <c r="B1498" i="2"/>
  <c r="B1499" i="2" s="1"/>
  <c r="B1505" i="2"/>
  <c r="B1506" i="2"/>
  <c r="B1512" i="2"/>
  <c r="B1513" i="2" s="1"/>
  <c r="B1514" i="2" s="1"/>
  <c r="B1519" i="2"/>
  <c r="B1520" i="2" s="1"/>
  <c r="B1526" i="2"/>
  <c r="B1527" i="2"/>
  <c r="B1533" i="2"/>
  <c r="B1534" i="2" s="1"/>
  <c r="B1540" i="2"/>
  <c r="B1541" i="2" s="1"/>
  <c r="B1546" i="2"/>
  <c r="B1547" i="2" s="1"/>
  <c r="B1548" i="2" s="1"/>
  <c r="B1554" i="2"/>
  <c r="B1555" i="2" s="1"/>
  <c r="B1561" i="2"/>
  <c r="B1562" i="2" s="1"/>
  <c r="B1568" i="2"/>
  <c r="B1569" i="2" s="1"/>
  <c r="B1575" i="2"/>
  <c r="B1576" i="2" s="1"/>
  <c r="B1582" i="2"/>
  <c r="B1583" i="2" s="1"/>
  <c r="B1589" i="2"/>
  <c r="B1590" i="2" s="1"/>
  <c r="B1596" i="2"/>
  <c r="B1597" i="2" s="1"/>
  <c r="B1603" i="2"/>
  <c r="B1604" i="2" s="1"/>
  <c r="B1610" i="2"/>
  <c r="B1611" i="2"/>
  <c r="B1612" i="2" s="1"/>
  <c r="B1617" i="2"/>
  <c r="B1618" i="2" s="1"/>
  <c r="B1624" i="2"/>
  <c r="B1625" i="2" s="1"/>
  <c r="B1631" i="2"/>
  <c r="B1632" i="2"/>
  <c r="B1638" i="2"/>
  <c r="B1639" i="2" s="1"/>
  <c r="B1645" i="2"/>
  <c r="B1646" i="2" s="1"/>
  <c r="B1647" i="2" s="1"/>
  <c r="B1652" i="2"/>
  <c r="B1653" i="2" s="1"/>
  <c r="B1659" i="2"/>
  <c r="B1660" i="2"/>
  <c r="B1666" i="2"/>
  <c r="B1667" i="2" s="1"/>
  <c r="B1673" i="2"/>
  <c r="B1674" i="2" s="1"/>
  <c r="B1680" i="2"/>
  <c r="B1681" i="2" s="1"/>
  <c r="B1687" i="2"/>
  <c r="B1688" i="2" s="1"/>
  <c r="B1694" i="2"/>
  <c r="B1695" i="2" s="1"/>
  <c r="B1701" i="2"/>
  <c r="B1702" i="2" s="1"/>
  <c r="B1708" i="2"/>
  <c r="B1709" i="2" s="1"/>
  <c r="B1710" i="2" s="1"/>
  <c r="B1715" i="2"/>
  <c r="B1716" i="2" s="1"/>
  <c r="B1722" i="2"/>
  <c r="B1723" i="2" s="1"/>
  <c r="B1729" i="2"/>
  <c r="B1730" i="2" s="1"/>
  <c r="B1736" i="2"/>
  <c r="B1737" i="2"/>
  <c r="B1743" i="2"/>
  <c r="B1744" i="2" s="1"/>
  <c r="B1750" i="2"/>
  <c r="B1751" i="2" s="1"/>
  <c r="B1757" i="2"/>
  <c r="B1758" i="2" s="1"/>
  <c r="B1764" i="2"/>
  <c r="B1765" i="2"/>
  <c r="B1771" i="2"/>
  <c r="B1772" i="2" s="1"/>
  <c r="B1778" i="2"/>
  <c r="B1779" i="2" s="1"/>
  <c r="B1785" i="2"/>
  <c r="B1786" i="2" s="1"/>
  <c r="B1790" i="2"/>
  <c r="B1792" i="2"/>
  <c r="B1793" i="2" s="1"/>
  <c r="B1799" i="2"/>
  <c r="B1800" i="2"/>
  <c r="B1806" i="2"/>
  <c r="B1807" i="2" s="1"/>
  <c r="B1813" i="2"/>
  <c r="B1814" i="2" s="1"/>
  <c r="B1820" i="2"/>
  <c r="B1821" i="2"/>
  <c r="B1822" i="2" s="1"/>
  <c r="B1827" i="2"/>
  <c r="B1828" i="2" s="1"/>
  <c r="B1829" i="2" s="1"/>
  <c r="B1834" i="2"/>
  <c r="B1835" i="2" s="1"/>
  <c r="B1841" i="2"/>
  <c r="B1842" i="2"/>
  <c r="B1843" i="2" s="1"/>
  <c r="B1848" i="2"/>
  <c r="B1849" i="2" s="1"/>
  <c r="B1855" i="2"/>
  <c r="B1856" i="2" s="1"/>
  <c r="B1862" i="2"/>
  <c r="B1863" i="2"/>
  <c r="B1869" i="2"/>
  <c r="B1870" i="2" s="1"/>
  <c r="B1876" i="2"/>
  <c r="B1877" i="2" s="1"/>
  <c r="B1878" i="2" s="1"/>
  <c r="B1883" i="2"/>
  <c r="B1884" i="2" s="1"/>
  <c r="B1890" i="2"/>
  <c r="B1891" i="2"/>
  <c r="B1897" i="2"/>
  <c r="B1898" i="2" s="1"/>
  <c r="B1904" i="2"/>
  <c r="B1905" i="2" s="1"/>
  <c r="B1911" i="2"/>
  <c r="B1912" i="2" s="1"/>
  <c r="B1918" i="2"/>
  <c r="B1919" i="2" s="1"/>
  <c r="B1925" i="2"/>
  <c r="B1926" i="2" s="1"/>
  <c r="B1931" i="2"/>
  <c r="B1932" i="2" s="1"/>
  <c r="B1933" i="2" s="1"/>
  <c r="B1939" i="2"/>
  <c r="B1940" i="2"/>
  <c r="B1946" i="2"/>
  <c r="B1947" i="2" s="1"/>
  <c r="B1953" i="2"/>
  <c r="B1954" i="2"/>
  <c r="B1960" i="2"/>
  <c r="B1961" i="2"/>
  <c r="B1967" i="2"/>
  <c r="B1968" i="2"/>
  <c r="B1974" i="2"/>
  <c r="B1975" i="2" s="1"/>
  <c r="B1976" i="2" s="1"/>
  <c r="B1981" i="2"/>
  <c r="B1982" i="2" s="1"/>
  <c r="B1988" i="2"/>
  <c r="B1989" i="2" s="1"/>
  <c r="B1995" i="2"/>
  <c r="B1996" i="2" s="1"/>
  <c r="B2002" i="2"/>
  <c r="B2003" i="2" s="1"/>
  <c r="B2009" i="2"/>
  <c r="B2010" i="2" s="1"/>
  <c r="B2012" i="2"/>
  <c r="B2016" i="2"/>
  <c r="B2017" i="2"/>
  <c r="B2023" i="2"/>
  <c r="B2024" i="2" s="1"/>
  <c r="B2030" i="2"/>
  <c r="B2031" i="2" s="1"/>
  <c r="B2037" i="2"/>
  <c r="B2038" i="2"/>
  <c r="B2044" i="2"/>
  <c r="B2045" i="2"/>
  <c r="B2051" i="2"/>
  <c r="B2052" i="2" s="1"/>
  <c r="B2058" i="2"/>
  <c r="B2059" i="2" s="1"/>
  <c r="B2065" i="2"/>
  <c r="B2066" i="2"/>
  <c r="B2072" i="2"/>
  <c r="B2073" i="2"/>
  <c r="B2074" i="2"/>
  <c r="B2079" i="2"/>
  <c r="B2080" i="2"/>
  <c r="B2086" i="2"/>
  <c r="B2087" i="2" s="1"/>
  <c r="B2093" i="2"/>
  <c r="B2094" i="2" s="1"/>
  <c r="B2100" i="2"/>
  <c r="B2101" i="2" s="1"/>
  <c r="B2107" i="2"/>
  <c r="B2108" i="2"/>
  <c r="B2114" i="2"/>
  <c r="B2115" i="2" s="1"/>
  <c r="B2121" i="2"/>
  <c r="B2122" i="2" s="1"/>
  <c r="B2128" i="2"/>
  <c r="B2129" i="2"/>
  <c r="B2135" i="2"/>
  <c r="B2136" i="2" s="1"/>
  <c r="B2142" i="2"/>
  <c r="B2143" i="2" s="1"/>
  <c r="B2149" i="2"/>
  <c r="B2150" i="2" s="1"/>
  <c r="B2154" i="2"/>
  <c r="B2156" i="2"/>
  <c r="B2157" i="2" s="1"/>
  <c r="B2163" i="2"/>
  <c r="B2164" i="2"/>
  <c r="B2170" i="2"/>
  <c r="B2171" i="2" s="1"/>
  <c r="B2177" i="2"/>
  <c r="B2178" i="2"/>
  <c r="B2184" i="2"/>
  <c r="B2185" i="2" s="1"/>
  <c r="B2186" i="2" s="1"/>
  <c r="B2191" i="2"/>
  <c r="B2192" i="2" s="1"/>
  <c r="B2193" i="2" s="1"/>
  <c r="B2194" i="2" s="1"/>
  <c r="B2198" i="2"/>
  <c r="B2199" i="2" s="1"/>
  <c r="B2205" i="2"/>
  <c r="B2206" i="2" s="1"/>
  <c r="B2207" i="2" s="1"/>
  <c r="B2212" i="2"/>
  <c r="B2213" i="2" s="1"/>
  <c r="B2219" i="2"/>
  <c r="B2220" i="2"/>
  <c r="B2226" i="2"/>
  <c r="B2227" i="2" s="1"/>
  <c r="B2233" i="2"/>
  <c r="B2234" i="2" s="1"/>
  <c r="B2240" i="2"/>
  <c r="B2241" i="2" s="1"/>
  <c r="B2242" i="2" s="1"/>
  <c r="B2247" i="2"/>
  <c r="B2248" i="2"/>
  <c r="B2254" i="2"/>
  <c r="B2255" i="2" s="1"/>
  <c r="B2261" i="2"/>
  <c r="B2262" i="2" s="1"/>
  <c r="B2268" i="2"/>
  <c r="B2269" i="2" s="1"/>
  <c r="B2275" i="2"/>
  <c r="B2276" i="2"/>
  <c r="B2282" i="2"/>
  <c r="B2283" i="2" s="1"/>
  <c r="B2288" i="2"/>
  <c r="B2289" i="2" s="1"/>
  <c r="B2290" i="2" s="1"/>
  <c r="B2296" i="2"/>
  <c r="B2297" i="2"/>
  <c r="B2303" i="2"/>
  <c r="B2304" i="2" s="1"/>
  <c r="B2310" i="2"/>
  <c r="B2311" i="2" s="1"/>
  <c r="B2317" i="2"/>
  <c r="B2318" i="2"/>
  <c r="B2324" i="2"/>
  <c r="B2325" i="2"/>
  <c r="B2331" i="2"/>
  <c r="B2332" i="2" s="1"/>
  <c r="B2338" i="2"/>
  <c r="B2339" i="2" s="1"/>
  <c r="B2340" i="2" s="1"/>
  <c r="B2345" i="2"/>
  <c r="B2346" i="2" s="1"/>
  <c r="B2352" i="2"/>
  <c r="B2353" i="2" s="1"/>
  <c r="B2359" i="2"/>
  <c r="B2360" i="2" s="1"/>
  <c r="B2366" i="2"/>
  <c r="B2367" i="2" s="1"/>
  <c r="B2373" i="2"/>
  <c r="B2374" i="2" s="1"/>
  <c r="B2377" i="2"/>
  <c r="B2380" i="2"/>
  <c r="B2381" i="2" s="1"/>
  <c r="B2387" i="2"/>
  <c r="B2388" i="2" s="1"/>
  <c r="B2394" i="2"/>
  <c r="B2395" i="2"/>
  <c r="B2401" i="2"/>
  <c r="B2402" i="2"/>
  <c r="B2408" i="2"/>
  <c r="B2409" i="2" s="1"/>
  <c r="B2415" i="2"/>
  <c r="B2416" i="2" s="1"/>
  <c r="B2422" i="2"/>
  <c r="B2423" i="2" s="1"/>
  <c r="B2429" i="2"/>
  <c r="B2430" i="2"/>
  <c r="B2436" i="2"/>
  <c r="B2437" i="2" s="1"/>
  <c r="B2438" i="2" s="1"/>
  <c r="B2443" i="2"/>
  <c r="B2444" i="2" s="1"/>
  <c r="B2450" i="2"/>
  <c r="B2451" i="2" s="1"/>
  <c r="B2457" i="2"/>
  <c r="B2458" i="2"/>
  <c r="B2464" i="2"/>
  <c r="B2465" i="2" s="1"/>
  <c r="B2471" i="2"/>
  <c r="B2472" i="2" s="1"/>
  <c r="B2478" i="2"/>
  <c r="B2479" i="2" s="1"/>
  <c r="B2485" i="2"/>
  <c r="B2486" i="2"/>
  <c r="B2492" i="2"/>
  <c r="B2493" i="2" s="1"/>
  <c r="B2499" i="2"/>
  <c r="B2500" i="2" s="1"/>
  <c r="B2506" i="2"/>
  <c r="B2507" i="2" s="1"/>
  <c r="B2513" i="2"/>
  <c r="B2514" i="2"/>
  <c r="B2518" i="2"/>
  <c r="B2520" i="2"/>
  <c r="B2521" i="2" s="1"/>
  <c r="B2527" i="2"/>
  <c r="B2528" i="2"/>
  <c r="B2534" i="2"/>
  <c r="B2535" i="2"/>
  <c r="B2541" i="2"/>
  <c r="B2542" i="2" s="1"/>
  <c r="B2548" i="2"/>
  <c r="B2549" i="2" s="1"/>
  <c r="B2551" i="2"/>
  <c r="B2555" i="2"/>
  <c r="B2556" i="2" s="1"/>
  <c r="B2558" i="2"/>
  <c r="B2562" i="2"/>
  <c r="B2563" i="2" s="1"/>
  <c r="B2569" i="2"/>
  <c r="B2570" i="2" s="1"/>
  <c r="B2576" i="2"/>
  <c r="B2577" i="2"/>
  <c r="B2578" i="2" s="1"/>
  <c r="B2583" i="2"/>
  <c r="B2584" i="2"/>
  <c r="B2590" i="2"/>
  <c r="B2591" i="2" s="1"/>
  <c r="B2597" i="2"/>
  <c r="B2598" i="2" s="1"/>
  <c r="B2604" i="2"/>
  <c r="B2605" i="2" s="1"/>
  <c r="B2606" i="2" s="1"/>
  <c r="B2611" i="2"/>
  <c r="B2612" i="2" s="1"/>
  <c r="B2618" i="2"/>
  <c r="B2619" i="2" s="1"/>
  <c r="B2625" i="2"/>
  <c r="B2626" i="2"/>
  <c r="B2632" i="2"/>
  <c r="B2633" i="2"/>
  <c r="B2638" i="2"/>
  <c r="B2639" i="2" s="1"/>
  <c r="B2640" i="2" s="1"/>
  <c r="B2646" i="2"/>
  <c r="B2647" i="2"/>
  <c r="B2653" i="2"/>
  <c r="B2654" i="2" s="1"/>
  <c r="B2660" i="2"/>
  <c r="B2661" i="2"/>
  <c r="B2667" i="2"/>
  <c r="B2668" i="2" s="1"/>
  <c r="B2674" i="2"/>
  <c r="B2675" i="2" s="1"/>
  <c r="B2681" i="2"/>
  <c r="B2682" i="2" s="1"/>
  <c r="B2688" i="2"/>
  <c r="B2689" i="2"/>
  <c r="B2695" i="2"/>
  <c r="B2696" i="2" s="1"/>
  <c r="B2702" i="2"/>
  <c r="B2703" i="2" s="1"/>
  <c r="B2704" i="2" s="1"/>
  <c r="B2709" i="2"/>
  <c r="B2710" i="2"/>
  <c r="B2716" i="2"/>
  <c r="B2717" i="2" s="1"/>
  <c r="B2723" i="2"/>
  <c r="B2724" i="2" s="1"/>
  <c r="B2730" i="2"/>
  <c r="B2731" i="2" s="1"/>
  <c r="B2737" i="2"/>
  <c r="B2738" i="2"/>
  <c r="B2743" i="2"/>
  <c r="B2744" i="2" s="1"/>
  <c r="B2745" i="2" s="1"/>
  <c r="B2751" i="2"/>
  <c r="B2752" i="2" s="1"/>
  <c r="B2758" i="2"/>
  <c r="B2759" i="2" s="1"/>
  <c r="B2765" i="2"/>
  <c r="B2766" i="2"/>
  <c r="B2772" i="2"/>
  <c r="B2773" i="2" s="1"/>
  <c r="B2779" i="2"/>
  <c r="B2780" i="2" s="1"/>
  <c r="B2786" i="2"/>
  <c r="B2787" i="2" s="1"/>
  <c r="B2793" i="2"/>
  <c r="B2794" i="2"/>
  <c r="B2800" i="2"/>
  <c r="B2801" i="2" s="1"/>
  <c r="B2802" i="2" s="1"/>
  <c r="B2807" i="2"/>
  <c r="B2808" i="2" s="1"/>
  <c r="B2814" i="2"/>
  <c r="B2815" i="2"/>
  <c r="B2821" i="2"/>
  <c r="B2822" i="2" s="1"/>
  <c r="B2828" i="2"/>
  <c r="B2829" i="2" s="1"/>
  <c r="B2835" i="2"/>
  <c r="B2836" i="2" s="1"/>
  <c r="B2842" i="2"/>
  <c r="B2843" i="2"/>
  <c r="B2849" i="2"/>
  <c r="B2850" i="2" s="1"/>
  <c r="B2856" i="2"/>
  <c r="B2857" i="2" s="1"/>
  <c r="B2863" i="2"/>
  <c r="B2864" i="2" s="1"/>
  <c r="B2870" i="2"/>
  <c r="B2871" i="2"/>
  <c r="B2877" i="2"/>
  <c r="B2878" i="2" s="1"/>
  <c r="B2884" i="2"/>
  <c r="B2885" i="2" s="1"/>
  <c r="B2889" i="2"/>
  <c r="B2891" i="2"/>
  <c r="B2892" i="2"/>
  <c r="B2898" i="2"/>
  <c r="B2899" i="2"/>
  <c r="B2905" i="2"/>
  <c r="B2906" i="2" s="1"/>
  <c r="B2912" i="2"/>
  <c r="B2913" i="2"/>
  <c r="B2917" i="2"/>
  <c r="B2919" i="2"/>
  <c r="B2920" i="2"/>
  <c r="B2924" i="2"/>
  <c r="B2926" i="2"/>
  <c r="B2927" i="2" s="1"/>
  <c r="B2933" i="2"/>
  <c r="B2934" i="2"/>
  <c r="B2940" i="2"/>
  <c r="B2941" i="2" s="1"/>
  <c r="B2942" i="2" s="1"/>
  <c r="B2947" i="2"/>
  <c r="B2948" i="2" s="1"/>
  <c r="B2954" i="2"/>
  <c r="B2955" i="2" s="1"/>
  <c r="B2961" i="2"/>
  <c r="B2962" i="2" s="1"/>
  <c r="B2968" i="2"/>
  <c r="B2969" i="2"/>
  <c r="B2970" i="2"/>
  <c r="B2975" i="2"/>
  <c r="B2976" i="2" s="1"/>
  <c r="B2982" i="2"/>
  <c r="B2983" i="2"/>
  <c r="B2989" i="2"/>
  <c r="B2990" i="2" s="1"/>
  <c r="B2996" i="2"/>
  <c r="B2997" i="2"/>
  <c r="B3003" i="2"/>
  <c r="B3004" i="2" s="1"/>
  <c r="B3010" i="2"/>
  <c r="B3011" i="2"/>
  <c r="B3017" i="2"/>
  <c r="B3018" i="2" s="1"/>
  <c r="B3023" i="2"/>
  <c r="B3024" i="2"/>
  <c r="B3025" i="2" s="1"/>
  <c r="B3031" i="2"/>
  <c r="B3032" i="2" s="1"/>
  <c r="B3038" i="2"/>
  <c r="B3039" i="2" s="1"/>
  <c r="B3045" i="2"/>
  <c r="B3046" i="2"/>
  <c r="B3052" i="2"/>
  <c r="B3053" i="2" s="1"/>
  <c r="B3059" i="2"/>
  <c r="B3060" i="2" s="1"/>
  <c r="B3066" i="2"/>
  <c r="B3067" i="2" s="1"/>
  <c r="B3068" i="2" s="1"/>
  <c r="B3073" i="2"/>
  <c r="B3074" i="2" s="1"/>
  <c r="B3080" i="2"/>
  <c r="B3081" i="2"/>
  <c r="B3087" i="2"/>
  <c r="B3088" i="2"/>
  <c r="B3094" i="2"/>
  <c r="B3095" i="2" s="1"/>
  <c r="B3101" i="2"/>
  <c r="B3102" i="2"/>
  <c r="B3108" i="2"/>
  <c r="B3109" i="2" s="1"/>
  <c r="B3115" i="2"/>
  <c r="B3116" i="2"/>
  <c r="B3122" i="2"/>
  <c r="B3123" i="2" s="1"/>
  <c r="B3129" i="2"/>
  <c r="B3130" i="2" s="1"/>
  <c r="B3136" i="2"/>
  <c r="B3137" i="2" s="1"/>
  <c r="B3143" i="2"/>
  <c r="B3144" i="2"/>
  <c r="B3150" i="2"/>
  <c r="B3151" i="2" s="1"/>
  <c r="B3157" i="2"/>
  <c r="B3158" i="2"/>
  <c r="B3164" i="2"/>
  <c r="B3165" i="2" s="1"/>
  <c r="B3171" i="2"/>
  <c r="B3172" i="2"/>
  <c r="B3173" i="2" s="1"/>
  <c r="B3178" i="2"/>
  <c r="B3179" i="2"/>
  <c r="B3185" i="2"/>
  <c r="B3186" i="2" s="1"/>
  <c r="B3192" i="2"/>
  <c r="B3193" i="2"/>
  <c r="B3199" i="2"/>
  <c r="B3200" i="2" s="1"/>
  <c r="B3206" i="2"/>
  <c r="B3207" i="2"/>
  <c r="B3213" i="2"/>
  <c r="B3214" i="2" s="1"/>
  <c r="B3220" i="2"/>
  <c r="B3221" i="2" s="1"/>
  <c r="B3227" i="2"/>
  <c r="B3228" i="2" s="1"/>
  <c r="B3234" i="2"/>
  <c r="B3235" i="2"/>
  <c r="B3241" i="2"/>
  <c r="B3242" i="2" s="1"/>
  <c r="B3248" i="2"/>
  <c r="B3249" i="2" s="1"/>
  <c r="B3253" i="2"/>
  <c r="B3255" i="2"/>
  <c r="B3256" i="2" s="1"/>
  <c r="B3262" i="2"/>
  <c r="B3263" i="2"/>
  <c r="B3269" i="2"/>
  <c r="B3270" i="2"/>
  <c r="B3276" i="2"/>
  <c r="B3277" i="2"/>
  <c r="B3282" i="2"/>
  <c r="B3283" i="2" s="1"/>
  <c r="B3284" i="2"/>
  <c r="B3289" i="2"/>
  <c r="B3290" i="2" s="1"/>
  <c r="B3291" i="2" s="1"/>
  <c r="B3297" i="2"/>
  <c r="B3298" i="2"/>
  <c r="B3304" i="2"/>
  <c r="B3305" i="2" s="1"/>
  <c r="B3306" i="2"/>
  <c r="B3311" i="2"/>
  <c r="B3312" i="2" s="1"/>
  <c r="B3318" i="2"/>
  <c r="B3319" i="2" s="1"/>
  <c r="B3325" i="2"/>
  <c r="B3326" i="2" s="1"/>
  <c r="B3332" i="2"/>
  <c r="B3333" i="2"/>
  <c r="B3334" i="2"/>
  <c r="B3339" i="2"/>
  <c r="B3340" i="2" s="1"/>
  <c r="B3346" i="2"/>
  <c r="B3347" i="2"/>
  <c r="B3353" i="2"/>
  <c r="B3354" i="2" s="1"/>
  <c r="B3360" i="2"/>
  <c r="B3361" i="2" s="1"/>
  <c r="B3367" i="2"/>
  <c r="B3368" i="2" s="1"/>
  <c r="B3374" i="2"/>
  <c r="B3375" i="2"/>
  <c r="B3380" i="2"/>
  <c r="B3381" i="2" s="1"/>
  <c r="B3382" i="2" s="1"/>
  <c r="B3388" i="2"/>
  <c r="B3389" i="2" s="1"/>
  <c r="B3395" i="2"/>
  <c r="B3396" i="2" s="1"/>
  <c r="B3402" i="2"/>
  <c r="B3403" i="2" s="1"/>
  <c r="B3409" i="2"/>
  <c r="B3410" i="2"/>
  <c r="B3416" i="2"/>
  <c r="B3417" i="2" s="1"/>
  <c r="B3423" i="2"/>
  <c r="B3424" i="2" s="1"/>
  <c r="B3430" i="2"/>
  <c r="B3431" i="2" s="1"/>
  <c r="B3437" i="2"/>
  <c r="B3438" i="2"/>
  <c r="B3439" i="2" s="1"/>
  <c r="B3444" i="2"/>
  <c r="B3445" i="2"/>
  <c r="B3451" i="2"/>
  <c r="B3452" i="2"/>
  <c r="B3458" i="2"/>
  <c r="B3459" i="2" s="1"/>
  <c r="B3465" i="2"/>
  <c r="B3466" i="2"/>
  <c r="B3472" i="2"/>
  <c r="B3473" i="2" s="1"/>
  <c r="B3474" i="2" s="1"/>
  <c r="B3479" i="2"/>
  <c r="B3480" i="2" s="1"/>
  <c r="B3486" i="2"/>
  <c r="B3487" i="2"/>
  <c r="B3493" i="2"/>
  <c r="B3494" i="2" s="1"/>
  <c r="B3500" i="2"/>
  <c r="B3501" i="2" s="1"/>
  <c r="B3507" i="2"/>
  <c r="B3508" i="2" s="1"/>
  <c r="B3514" i="2"/>
  <c r="B3515" i="2"/>
  <c r="B3521" i="2"/>
  <c r="B3522" i="2" s="1"/>
  <c r="B3528" i="2"/>
  <c r="B3529" i="2" s="1"/>
  <c r="B3535" i="2"/>
  <c r="B3536" i="2" s="1"/>
  <c r="B3537" i="2" s="1"/>
  <c r="B3542" i="2"/>
  <c r="B3543" i="2" s="1"/>
  <c r="B3549" i="2"/>
  <c r="B3550" i="2"/>
  <c r="B3556" i="2"/>
  <c r="B3557" i="2" s="1"/>
  <c r="B3563" i="2"/>
  <c r="B3564" i="2" s="1"/>
  <c r="B3570" i="2"/>
  <c r="B3571" i="2"/>
  <c r="B3577" i="2"/>
  <c r="B3578" i="2"/>
  <c r="B3584" i="2"/>
  <c r="B3585" i="2" s="1"/>
  <c r="B3591" i="2"/>
  <c r="B3592" i="2" s="1"/>
  <c r="B3598" i="2"/>
  <c r="B3599" i="2"/>
  <c r="B3605" i="2"/>
  <c r="B3606" i="2"/>
  <c r="B3612" i="2"/>
  <c r="B3613" i="2" s="1"/>
  <c r="B3617" i="2"/>
  <c r="B3619" i="2"/>
  <c r="B3620" i="2"/>
  <c r="B3626" i="2"/>
  <c r="B3627" i="2" s="1"/>
  <c r="B3633" i="2"/>
  <c r="B3634" i="2" s="1"/>
  <c r="B3640" i="2"/>
  <c r="B3641" i="2"/>
  <c r="B3646" i="2"/>
  <c r="B3647" i="2"/>
  <c r="B3648" i="2" s="1"/>
  <c r="B3654" i="2"/>
  <c r="B3655" i="2"/>
  <c r="B3661" i="2"/>
  <c r="B3662" i="2" s="1"/>
  <c r="B3668" i="2"/>
  <c r="B3669" i="2" s="1"/>
  <c r="B3670" i="2"/>
  <c r="B3675" i="2"/>
  <c r="B3676" i="2" s="1"/>
  <c r="B3682" i="2"/>
  <c r="B3683" i="2" s="1"/>
  <c r="B3689" i="2"/>
  <c r="B3690" i="2"/>
  <c r="B3696" i="2"/>
  <c r="B3697" i="2"/>
  <c r="B3703" i="2"/>
  <c r="B3704" i="2" s="1"/>
  <c r="B3705" i="2"/>
  <c r="B3710" i="2"/>
  <c r="B3711" i="2" s="1"/>
  <c r="B3717" i="2"/>
  <c r="B3718" i="2" s="1"/>
  <c r="B3724" i="2"/>
  <c r="B3725" i="2" s="1"/>
  <c r="B3731" i="2"/>
  <c r="B3732" i="2"/>
  <c r="B3738" i="2"/>
  <c r="B3739" i="2" s="1"/>
  <c r="B3745" i="2"/>
  <c r="B3746" i="2" s="1"/>
  <c r="B3752" i="2"/>
  <c r="B3753" i="2" s="1"/>
  <c r="B3759" i="2"/>
  <c r="B3760" i="2"/>
  <c r="B3765" i="2"/>
  <c r="B3766" i="2" s="1"/>
  <c r="B3767" i="2" s="1"/>
  <c r="B3773" i="2"/>
  <c r="B3774" i="2"/>
  <c r="B3780" i="2"/>
  <c r="B3781" i="2" s="1"/>
  <c r="B3787" i="2"/>
  <c r="B3788" i="2" s="1"/>
  <c r="B3794" i="2"/>
  <c r="B3795" i="2"/>
  <c r="B3801" i="2"/>
  <c r="B3802" i="2"/>
  <c r="B3803" i="2"/>
  <c r="B3808" i="2"/>
  <c r="B3809" i="2"/>
  <c r="B3815" i="2"/>
  <c r="B3816" i="2" s="1"/>
  <c r="B3822" i="2"/>
  <c r="B3823" i="2" s="1"/>
  <c r="B3829" i="2"/>
  <c r="B3830" i="2" s="1"/>
  <c r="B3836" i="2"/>
  <c r="B3837" i="2"/>
  <c r="B3838" i="2" s="1"/>
  <c r="B3843" i="2"/>
  <c r="B3844" i="2"/>
  <c r="B3850" i="2"/>
  <c r="B3851" i="2"/>
  <c r="B3857" i="2"/>
  <c r="B3858" i="2" s="1"/>
  <c r="B3864" i="2"/>
  <c r="B3865" i="2" s="1"/>
  <c r="B3871" i="2"/>
  <c r="B3872" i="2"/>
  <c r="B3878" i="2"/>
  <c r="B3879" i="2"/>
  <c r="B3885" i="2"/>
  <c r="B3886" i="2" s="1"/>
  <c r="B3892" i="2"/>
  <c r="B3893" i="2" s="1"/>
  <c r="B3899" i="2"/>
  <c r="B3900" i="2"/>
  <c r="B3901" i="2" s="1"/>
  <c r="B3906" i="2"/>
  <c r="B3907" i="2"/>
  <c r="B3913" i="2"/>
  <c r="B3914" i="2"/>
  <c r="B3920" i="2"/>
  <c r="B3921" i="2" s="1"/>
  <c r="B3927" i="2"/>
  <c r="B3928" i="2" s="1"/>
  <c r="B3934" i="2"/>
  <c r="B3935" i="2"/>
  <c r="B3941" i="2"/>
  <c r="B3942" i="2"/>
  <c r="B3948" i="2"/>
  <c r="B3949" i="2" s="1"/>
  <c r="B3955" i="2"/>
  <c r="B3956" i="2" s="1"/>
  <c r="B3962" i="2"/>
  <c r="B3963" i="2" s="1"/>
  <c r="B3969" i="2"/>
  <c r="B3970" i="2"/>
  <c r="B3976" i="2"/>
  <c r="B3977" i="2" s="1"/>
  <c r="B3981" i="2"/>
  <c r="B3983" i="2"/>
  <c r="B3984" i="2"/>
  <c r="B3990" i="2"/>
  <c r="B3991" i="2" s="1"/>
  <c r="B3997" i="2"/>
  <c r="B3998" i="2" s="1"/>
  <c r="B4004" i="2"/>
  <c r="B4005" i="2"/>
  <c r="B4011" i="2"/>
  <c r="B4012" i="2"/>
  <c r="B4013" i="2" s="1"/>
  <c r="B4018" i="2"/>
  <c r="B4019" i="2"/>
  <c r="B4020" i="2" s="1"/>
  <c r="B4025" i="2"/>
  <c r="B4026" i="2"/>
  <c r="B4032" i="2"/>
  <c r="B4033" i="2"/>
  <c r="B4034" i="2"/>
  <c r="B4039" i="2"/>
  <c r="B4040" i="2"/>
  <c r="B4046" i="2"/>
  <c r="B4047" i="2" s="1"/>
  <c r="B4053" i="2"/>
  <c r="B4054" i="2" s="1"/>
  <c r="B4060" i="2"/>
  <c r="B4061" i="2"/>
  <c r="B4067" i="2"/>
  <c r="B4068" i="2"/>
  <c r="B4069" i="2" s="1"/>
  <c r="B4074" i="2"/>
  <c r="B4075" i="2"/>
  <c r="B4081" i="2"/>
  <c r="B4082" i="2"/>
  <c r="B4088" i="2"/>
  <c r="B4089" i="2" s="1"/>
  <c r="B4095" i="2"/>
  <c r="B4096" i="2" s="1"/>
  <c r="B4102" i="2"/>
  <c r="B4103" i="2"/>
  <c r="B4109" i="2"/>
  <c r="B4110" i="2"/>
  <c r="B4115" i="2"/>
  <c r="B4116" i="2" s="1"/>
  <c r="B4117" i="2" s="1"/>
  <c r="B4123" i="2"/>
  <c r="B4124" i="2" s="1"/>
  <c r="B4130" i="2"/>
  <c r="B4131" i="2" s="1"/>
  <c r="B4137" i="2"/>
  <c r="B4138" i="2"/>
  <c r="B4144" i="2"/>
  <c r="B4145" i="2"/>
  <c r="B4151" i="2"/>
  <c r="B4152" i="2" s="1"/>
  <c r="B4158" i="2"/>
  <c r="B4159" i="2" s="1"/>
  <c r="B4165" i="2"/>
  <c r="B4166" i="2"/>
  <c r="B4167" i="2" s="1"/>
  <c r="B4172" i="2"/>
  <c r="B4173" i="2" s="1"/>
  <c r="B4179" i="2"/>
  <c r="B4180" i="2"/>
  <c r="B4186" i="2"/>
  <c r="B4187" i="2"/>
  <c r="B4193" i="2"/>
  <c r="B4194" i="2" s="1"/>
  <c r="B4200" i="2"/>
  <c r="B4201" i="2" s="1"/>
  <c r="B4204" i="2"/>
  <c r="B4207" i="2"/>
  <c r="B4208" i="2" s="1"/>
  <c r="B4214" i="2"/>
  <c r="B4215" i="2" s="1"/>
  <c r="B4221" i="2"/>
  <c r="B4222" i="2"/>
  <c r="B4228" i="2"/>
  <c r="B4229" i="2" s="1"/>
  <c r="B4235" i="2"/>
  <c r="B4236" i="2" s="1"/>
  <c r="B4242" i="2"/>
  <c r="B4243" i="2" s="1"/>
  <c r="B4249" i="2"/>
  <c r="B4250" i="2"/>
  <c r="B4256" i="2"/>
  <c r="B4257" i="2" s="1"/>
  <c r="B4263" i="2"/>
  <c r="B4264" i="2" s="1"/>
  <c r="B4265" i="2" s="1"/>
  <c r="B4270" i="2"/>
  <c r="B4271" i="2" s="1"/>
  <c r="B4277" i="2"/>
  <c r="B4278" i="2" s="1"/>
  <c r="B4284" i="2"/>
  <c r="B4285" i="2"/>
  <c r="B4291" i="2"/>
  <c r="B4292" i="2"/>
  <c r="B4298" i="2"/>
  <c r="B4299" i="2" s="1"/>
  <c r="B4305" i="2"/>
  <c r="B4306" i="2" s="1"/>
  <c r="B4312" i="2"/>
  <c r="B4313" i="2"/>
  <c r="B4319" i="2"/>
  <c r="B4320" i="2"/>
  <c r="B4321" i="2" s="1"/>
  <c r="B4322" i="2" s="1"/>
  <c r="B4326" i="2"/>
  <c r="B4327" i="2" s="1"/>
  <c r="B4333" i="2"/>
  <c r="B4334" i="2"/>
  <c r="B4340" i="2"/>
  <c r="B4341" i="2"/>
  <c r="B4345" i="2"/>
  <c r="B4347" i="2"/>
  <c r="B4348" i="2"/>
  <c r="B4354" i="2"/>
  <c r="B4355" i="2" s="1"/>
  <c r="B4361" i="2"/>
  <c r="B4362" i="2" s="1"/>
  <c r="B4368" i="2"/>
  <c r="B4369" i="2" s="1"/>
  <c r="B4375" i="2"/>
  <c r="B4376" i="2"/>
  <c r="B4378" i="2"/>
  <c r="B4382" i="2"/>
  <c r="B4383" i="2"/>
  <c r="B4385" i="2"/>
  <c r="B4389" i="2"/>
  <c r="B4390" i="2" s="1"/>
  <c r="B4396" i="2"/>
  <c r="B4397" i="2"/>
  <c r="B4403" i="2"/>
  <c r="B4404" i="2" s="1"/>
  <c r="B4405" i="2" s="1"/>
  <c r="B4410" i="2"/>
  <c r="B4411" i="2"/>
  <c r="B4417" i="2"/>
  <c r="B4418" i="2" s="1"/>
  <c r="B4424" i="2"/>
  <c r="B4425" i="2" s="1"/>
  <c r="B4431" i="2"/>
  <c r="B4432" i="2"/>
  <c r="B4433" i="2" s="1"/>
  <c r="B4438" i="2"/>
  <c r="B4439" i="2"/>
  <c r="B4445" i="2"/>
  <c r="B4446" i="2"/>
  <c r="B4452" i="2"/>
  <c r="B4453" i="2" s="1"/>
  <c r="B4459" i="2"/>
  <c r="B4460" i="2" s="1"/>
  <c r="B4466" i="2"/>
  <c r="B4467" i="2"/>
  <c r="B4472" i="2"/>
  <c r="B4473" i="2"/>
  <c r="B4474" i="2" s="1"/>
  <c r="B4480" i="2"/>
  <c r="B4481" i="2"/>
  <c r="B4487" i="2"/>
  <c r="B4488" i="2"/>
  <c r="B4494" i="2"/>
  <c r="B4495" i="2" s="1"/>
  <c r="B4501" i="2"/>
  <c r="B4502" i="2" s="1"/>
  <c r="B4508" i="2"/>
  <c r="B4509" i="2"/>
  <c r="B4515" i="2"/>
  <c r="B4516" i="2"/>
  <c r="B4522" i="2"/>
  <c r="B4523" i="2" s="1"/>
  <c r="B4529" i="2"/>
  <c r="B4530" i="2" s="1"/>
  <c r="B4531" i="2" s="1"/>
  <c r="B4536" i="2"/>
  <c r="B4537" i="2" s="1"/>
  <c r="B4543" i="2"/>
  <c r="B4544" i="2" s="1"/>
  <c r="B4550" i="2"/>
  <c r="B4551" i="2"/>
  <c r="B4557" i="2"/>
  <c r="B4558" i="2" s="1"/>
  <c r="B4564" i="2"/>
  <c r="B4565" i="2" s="1"/>
  <c r="B4569" i="2"/>
  <c r="B4571" i="2"/>
  <c r="B4572" i="2" s="1"/>
  <c r="B4578" i="2"/>
  <c r="B4579" i="2" s="1"/>
  <c r="B4585" i="2"/>
  <c r="B4586" i="2"/>
  <c r="B4592" i="2"/>
  <c r="B4593" i="2"/>
  <c r="B4599" i="2"/>
  <c r="B4600" i="2" s="1"/>
  <c r="B4606" i="2"/>
  <c r="B4607" i="2" s="1"/>
  <c r="B4613" i="2"/>
  <c r="B4614" i="2"/>
  <c r="B4620" i="2"/>
  <c r="B4621" i="2"/>
  <c r="B4627" i="2"/>
  <c r="B4628" i="2" s="1"/>
  <c r="B4629" i="2"/>
  <c r="B4634" i="2"/>
  <c r="B4635" i="2" s="1"/>
  <c r="B4641" i="2"/>
  <c r="B4642" i="2" s="1"/>
  <c r="B4648" i="2"/>
  <c r="B4649" i="2" s="1"/>
  <c r="B4655" i="2"/>
  <c r="B4656" i="2"/>
  <c r="B4662" i="2"/>
  <c r="B4663" i="2" s="1"/>
  <c r="B4669" i="2"/>
  <c r="B4670" i="2" s="1"/>
  <c r="B4676" i="2"/>
  <c r="B4677" i="2" s="1"/>
  <c r="B4683" i="2"/>
  <c r="B4684" i="2"/>
  <c r="B4690" i="2"/>
  <c r="B4691" i="2" s="1"/>
  <c r="B4697" i="2"/>
  <c r="B4698" i="2" s="1"/>
  <c r="B4704" i="2"/>
  <c r="B4705" i="2"/>
  <c r="B4711" i="2"/>
  <c r="B4712" i="2"/>
  <c r="B4716" i="2"/>
  <c r="B4718" i="2"/>
  <c r="B4719" i="2"/>
  <c r="B4725" i="2"/>
  <c r="B4726" i="2"/>
  <c r="B4732" i="2"/>
  <c r="B4733" i="2" s="1"/>
  <c r="B4739" i="2"/>
  <c r="B4740" i="2" s="1"/>
  <c r="B4743" i="2"/>
  <c r="B4746" i="2"/>
  <c r="B4747" i="2" s="1"/>
  <c r="B4750" i="2"/>
  <c r="B4753" i="2"/>
  <c r="B4754" i="2" s="1"/>
  <c r="B4760" i="2"/>
  <c r="B4761" i="2" s="1"/>
  <c r="B4767" i="2"/>
  <c r="B4768" i="2"/>
  <c r="B4769" i="2" s="1"/>
  <c r="B4774" i="2"/>
  <c r="B4775" i="2" s="1"/>
  <c r="B4781" i="2"/>
  <c r="B4782" i="2"/>
  <c r="B4788" i="2"/>
  <c r="B4789" i="2" s="1"/>
  <c r="B4795" i="2"/>
  <c r="B4796" i="2" s="1"/>
  <c r="B4797" i="2" s="1"/>
  <c r="B4802" i="2"/>
  <c r="B4803" i="2" s="1"/>
  <c r="B4809" i="2"/>
  <c r="B4810" i="2" s="1"/>
  <c r="B4816" i="2"/>
  <c r="B4817" i="2"/>
  <c r="B4823" i="2"/>
  <c r="B4824" i="2"/>
  <c r="B4830" i="2"/>
  <c r="B4831" i="2" s="1"/>
  <c r="B4837" i="2"/>
  <c r="B4838" i="2" s="1"/>
  <c r="B4844" i="2"/>
  <c r="B4845" i="2"/>
  <c r="B4851" i="2"/>
  <c r="B4852" i="2"/>
  <c r="B4857" i="2"/>
  <c r="B4858" i="2" s="1"/>
  <c r="B4859" i="2" s="1"/>
  <c r="B4865" i="2"/>
  <c r="B4866" i="2" s="1"/>
  <c r="B4872" i="2"/>
  <c r="B4873" i="2" s="1"/>
  <c r="B4879" i="2"/>
  <c r="B4880" i="2"/>
  <c r="B4886" i="2"/>
  <c r="B4887" i="2"/>
  <c r="B4893" i="2"/>
  <c r="B4894" i="2" s="1"/>
  <c r="B4895" i="2" s="1"/>
  <c r="B4900" i="2"/>
  <c r="B4901" i="2"/>
  <c r="B4907" i="2"/>
  <c r="B4908" i="2" s="1"/>
  <c r="B4914" i="2"/>
  <c r="B4915" i="2" s="1"/>
  <c r="B4921" i="2"/>
  <c r="B4922" i="2"/>
  <c r="B4928" i="2"/>
  <c r="B4929" i="2"/>
  <c r="B4934" i="2"/>
  <c r="B4935" i="2" s="1"/>
  <c r="B4936" i="2"/>
  <c r="B4942" i="2"/>
  <c r="B4943" i="2" s="1"/>
  <c r="B4949" i="2"/>
  <c r="B4950" i="2" s="1"/>
  <c r="B4956" i="2"/>
  <c r="B4957" i="2" s="1"/>
  <c r="B4963" i="2"/>
  <c r="B4964" i="2"/>
  <c r="B4970" i="2"/>
  <c r="B4971" i="2" s="1"/>
  <c r="B4977" i="2"/>
  <c r="B4978" i="2" s="1"/>
  <c r="B4984" i="2"/>
  <c r="B4985" i="2"/>
  <c r="B4991" i="2"/>
  <c r="B4992" i="2"/>
  <c r="B4993" i="2" s="1"/>
  <c r="B4998" i="2"/>
  <c r="B4999" i="2"/>
  <c r="B5005" i="2"/>
  <c r="B5006" i="2"/>
  <c r="B5012" i="2"/>
  <c r="B5013" i="2" s="1"/>
  <c r="B5019" i="2"/>
  <c r="B5020" i="2" s="1"/>
  <c r="B5026" i="2"/>
  <c r="B5027" i="2"/>
  <c r="B5033" i="2"/>
  <c r="B5034" i="2"/>
  <c r="B5040" i="2"/>
  <c r="B5041" i="2" s="1"/>
  <c r="B5047" i="2"/>
  <c r="B5048" i="2" s="1"/>
  <c r="B5054" i="2"/>
  <c r="B5055" i="2"/>
  <c r="B5061" i="2"/>
  <c r="B5062" i="2"/>
  <c r="B5068" i="2"/>
  <c r="B5069" i="2" s="1"/>
  <c r="B5075" i="2"/>
  <c r="B5076" i="2" s="1"/>
  <c r="B5080" i="2"/>
  <c r="B5082" i="2"/>
  <c r="B5083" i="2" s="1"/>
  <c r="B5089" i="2"/>
  <c r="B5090" i="2"/>
  <c r="B5096" i="2"/>
  <c r="B5097" i="2"/>
  <c r="B5103" i="2"/>
  <c r="B5104" i="2" s="1"/>
  <c r="B5108" i="2"/>
  <c r="B5110" i="2"/>
  <c r="B5111" i="2"/>
  <c r="B5115" i="2"/>
  <c r="B5117" i="2"/>
  <c r="B5118" i="2"/>
  <c r="B5124" i="2"/>
  <c r="B5125" i="2" s="1"/>
  <c r="B5131" i="2"/>
  <c r="B5132" i="2" s="1"/>
  <c r="B5133" i="2"/>
  <c r="B5138" i="2"/>
  <c r="B5139" i="2" s="1"/>
  <c r="B5145" i="2"/>
  <c r="B5146" i="2" s="1"/>
  <c r="B5152" i="2"/>
  <c r="B5153" i="2"/>
  <c r="B5159" i="2"/>
  <c r="B5160" i="2"/>
  <c r="B5161" i="2" s="1"/>
  <c r="B5166" i="2"/>
  <c r="B5167" i="2"/>
  <c r="B5173" i="2"/>
  <c r="B5174" i="2" s="1"/>
  <c r="B5180" i="2"/>
  <c r="B5181" i="2" s="1"/>
  <c r="B5187" i="2"/>
  <c r="B5188" i="2"/>
  <c r="B5194" i="2"/>
  <c r="B5195" i="2"/>
  <c r="B5201" i="2"/>
  <c r="B5202" i="2" s="1"/>
  <c r="B5207" i="2"/>
  <c r="B5208" i="2" s="1"/>
  <c r="B5209" i="2"/>
  <c r="B5215" i="2"/>
  <c r="B5216" i="2" s="1"/>
  <c r="B5222" i="2"/>
  <c r="B5223" i="2" s="1"/>
  <c r="B5229" i="2"/>
  <c r="B5230" i="2"/>
  <c r="B5236" i="2"/>
  <c r="B5237" i="2"/>
  <c r="B5243" i="2"/>
  <c r="B5244" i="2" s="1"/>
  <c r="B5250" i="2"/>
  <c r="B5251" i="2" s="1"/>
  <c r="B5257" i="2"/>
  <c r="B5258" i="2"/>
  <c r="B5259" i="2" s="1"/>
  <c r="B5264" i="2"/>
  <c r="B5265" i="2" s="1"/>
  <c r="B5271" i="2"/>
  <c r="B5272" i="2"/>
  <c r="B5278" i="2"/>
  <c r="B5279" i="2" s="1"/>
  <c r="B5285" i="2"/>
  <c r="B5286" i="2" s="1"/>
  <c r="B5292" i="2"/>
  <c r="B5293" i="2"/>
  <c r="B5298" i="2"/>
  <c r="B5299" i="2"/>
  <c r="B5300" i="2" s="1"/>
  <c r="B5306" i="2"/>
  <c r="B5307" i="2"/>
  <c r="B5313" i="2"/>
  <c r="B5314" i="2"/>
  <c r="B5320" i="2"/>
  <c r="B5321" i="2" s="1"/>
  <c r="B5327" i="2"/>
  <c r="B5328" i="2" s="1"/>
  <c r="B5334" i="2"/>
  <c r="B5335" i="2"/>
  <c r="B5341" i="2"/>
  <c r="B5342" i="2"/>
  <c r="B5348" i="2"/>
  <c r="B5349" i="2" s="1"/>
  <c r="B5355" i="2"/>
  <c r="B5356" i="2" s="1"/>
  <c r="B5362" i="2"/>
  <c r="B5363" i="2"/>
  <c r="B5364" i="2" s="1"/>
  <c r="B5369" i="2"/>
  <c r="B5370" i="2" s="1"/>
  <c r="B5376" i="2"/>
  <c r="B5377" i="2"/>
  <c r="B5383" i="2"/>
  <c r="B5384" i="2" s="1"/>
  <c r="B5390" i="2"/>
  <c r="B5391" i="2" s="1"/>
  <c r="B5397" i="2"/>
  <c r="B5398" i="2"/>
  <c r="B5404" i="2"/>
  <c r="B5405" i="2"/>
  <c r="B5411" i="2"/>
  <c r="B5412" i="2" s="1"/>
  <c r="B5418" i="2"/>
  <c r="B5419" i="2" s="1"/>
  <c r="B5425" i="2"/>
  <c r="B5426" i="2"/>
  <c r="B5432" i="2"/>
  <c r="B5433" i="2"/>
  <c r="B5439" i="2"/>
  <c r="B5440" i="2" s="1"/>
  <c r="B5444" i="2"/>
  <c r="B5446" i="2"/>
  <c r="B5447" i="2"/>
  <c r="B5453" i="2"/>
  <c r="B5454" i="2" s="1"/>
  <c r="B5460" i="2"/>
  <c r="B5461" i="2" s="1"/>
  <c r="B5467" i="2"/>
  <c r="B5468" i="2"/>
  <c r="B5473" i="2"/>
  <c r="B5474" i="2"/>
  <c r="B5475" i="2" s="1"/>
  <c r="B5480" i="2"/>
  <c r="B5481" i="2"/>
  <c r="B5482" i="2" s="1"/>
  <c r="B5488" i="2"/>
  <c r="B5489" i="2"/>
  <c r="B5495" i="2"/>
  <c r="B5496" i="2"/>
  <c r="B5497" i="2" s="1"/>
  <c r="B5502" i="2"/>
  <c r="B5503" i="2"/>
  <c r="B5509" i="2"/>
  <c r="B5510" i="2" s="1"/>
  <c r="B5516" i="2"/>
  <c r="B5517" i="2" s="1"/>
  <c r="B5523" i="2"/>
  <c r="B5524" i="2"/>
  <c r="B5525" i="2" s="1"/>
  <c r="B5530" i="2"/>
  <c r="B5531" i="2" s="1"/>
  <c r="B5537" i="2"/>
  <c r="B5538" i="2"/>
  <c r="B5544" i="2"/>
  <c r="B5545" i="2"/>
  <c r="B5551" i="2"/>
  <c r="B5552" i="2" s="1"/>
  <c r="B5558" i="2"/>
  <c r="B5559" i="2" s="1"/>
  <c r="B5564" i="2"/>
  <c r="B5565" i="2"/>
  <c r="B5566" i="2" s="1"/>
  <c r="B5572" i="2"/>
  <c r="B5573" i="2" s="1"/>
  <c r="B5579" i="2"/>
  <c r="B5580" i="2"/>
  <c r="B5586" i="2"/>
  <c r="B5587" i="2" s="1"/>
  <c r="B5593" i="2"/>
  <c r="B5594" i="2" s="1"/>
  <c r="B5600" i="2"/>
  <c r="B5601" i="2"/>
  <c r="B5607" i="2"/>
  <c r="B5608" i="2"/>
  <c r="B5614" i="2"/>
  <c r="B5615" i="2" s="1"/>
  <c r="B5621" i="2"/>
  <c r="B5622" i="2" s="1"/>
  <c r="B5628" i="2"/>
  <c r="B5629" i="2" s="1"/>
  <c r="B5630" i="2" s="1"/>
  <c r="B5635" i="2"/>
  <c r="B5636" i="2" s="1"/>
  <c r="B5642" i="2"/>
  <c r="B5643" i="2"/>
  <c r="B5649" i="2"/>
  <c r="B5650" i="2"/>
  <c r="B5656" i="2"/>
  <c r="B5657" i="2" s="1"/>
  <c r="B5663" i="2"/>
  <c r="B5664" i="2" s="1"/>
  <c r="B5665" i="2" s="1"/>
  <c r="B5670" i="2"/>
  <c r="B5671" i="2" s="1"/>
  <c r="B5677" i="2"/>
  <c r="B5678" i="2"/>
  <c r="B5684" i="2"/>
  <c r="B5685" i="2"/>
  <c r="B5691" i="2"/>
  <c r="B5692" i="2" s="1"/>
  <c r="B5698" i="2"/>
  <c r="B5699" i="2" s="1"/>
  <c r="B5705" i="2"/>
  <c r="B5706" i="2" s="1"/>
  <c r="B5712" i="2"/>
  <c r="B5713" i="2"/>
  <c r="B5719" i="2"/>
  <c r="B5720" i="2" s="1"/>
  <c r="B5726" i="2"/>
  <c r="B5727" i="2" s="1"/>
  <c r="B5728" i="2"/>
  <c r="B5733" i="2"/>
  <c r="B5734" i="2" s="1"/>
  <c r="B5740" i="2"/>
  <c r="B5741" i="2" s="1"/>
  <c r="B5747" i="2"/>
  <c r="B5748" i="2"/>
  <c r="B5754" i="2"/>
  <c r="B5755" i="2"/>
  <c r="B5761" i="2"/>
  <c r="B5762" i="2" s="1"/>
  <c r="B5768" i="2"/>
  <c r="B5769" i="2" s="1"/>
  <c r="B5775" i="2"/>
  <c r="B5776" i="2"/>
  <c r="B5782" i="2"/>
  <c r="B5783" i="2"/>
  <c r="B5789" i="2"/>
  <c r="B5790" i="2" s="1"/>
  <c r="B5796" i="2"/>
  <c r="B5797" i="2" s="1"/>
  <c r="B5803" i="2"/>
  <c r="B5804" i="2"/>
  <c r="B5808" i="2"/>
  <c r="B5810" i="2"/>
  <c r="B5811" i="2" s="1"/>
  <c r="B5817" i="2"/>
  <c r="B5818" i="2"/>
  <c r="B5824" i="2"/>
  <c r="B5825" i="2" s="1"/>
  <c r="B5831" i="2"/>
  <c r="B5832" i="2" s="1"/>
  <c r="B5838" i="2"/>
  <c r="B5839" i="2" s="1"/>
  <c r="B5840" i="2" s="1"/>
  <c r="B5845" i="2"/>
  <c r="B5846" i="2" s="1"/>
  <c r="B5847" i="2" s="1"/>
  <c r="B5852" i="2"/>
  <c r="B5853" i="2" s="1"/>
  <c r="B5859" i="2"/>
  <c r="B5860" i="2"/>
  <c r="B5861" i="2" s="1"/>
  <c r="B5866" i="2"/>
  <c r="B5867" i="2" s="1"/>
  <c r="B5873" i="2"/>
  <c r="B5874" i="2"/>
  <c r="B5880" i="2"/>
  <c r="B5881" i="2"/>
  <c r="B5887" i="2"/>
  <c r="B5888" i="2" s="1"/>
  <c r="B5894" i="2"/>
  <c r="B5895" i="2" s="1"/>
  <c r="B5896" i="2" s="1"/>
  <c r="B5901" i="2"/>
  <c r="B5902" i="2" s="1"/>
  <c r="B5908" i="2"/>
  <c r="B5909" i="2" s="1"/>
  <c r="B5915" i="2"/>
  <c r="B5916" i="2"/>
  <c r="B5922" i="2"/>
  <c r="B5923" i="2" s="1"/>
  <c r="B5929" i="2"/>
  <c r="B5930" i="2" s="1"/>
  <c r="B5936" i="2"/>
  <c r="B5937" i="2" s="1"/>
  <c r="B5943" i="2"/>
  <c r="B5944" i="2"/>
  <c r="B5949" i="2"/>
  <c r="B5950" i="2" s="1"/>
  <c r="B5951" i="2" s="1"/>
  <c r="B5957" i="2"/>
  <c r="B5958" i="2"/>
  <c r="B5964" i="2"/>
  <c r="B5965" i="2" s="1"/>
  <c r="B5971" i="2"/>
  <c r="B5972" i="2" s="1"/>
  <c r="B5978" i="2"/>
  <c r="B5979" i="2"/>
  <c r="B5985" i="2"/>
  <c r="B5986" i="2"/>
  <c r="B5992" i="2"/>
  <c r="B5993" i="2" s="1"/>
  <c r="B5994" i="2"/>
  <c r="B5999" i="2"/>
  <c r="B6000" i="2" s="1"/>
  <c r="B6006" i="2"/>
  <c r="B6007" i="2" s="1"/>
  <c r="B6013" i="2"/>
  <c r="B6014" i="2" s="1"/>
  <c r="B6020" i="2"/>
  <c r="B6021" i="2"/>
  <c r="B6027" i="2"/>
  <c r="B6028" i="2" s="1"/>
  <c r="B6030" i="2"/>
  <c r="B6034" i="2"/>
  <c r="B6035" i="2"/>
  <c r="B6041" i="2"/>
  <c r="B6042" i="2" s="1"/>
  <c r="B6048" i="2"/>
  <c r="B6049" i="2" s="1"/>
  <c r="B6055" i="2"/>
  <c r="B6056" i="2"/>
  <c r="B6062" i="2"/>
  <c r="B6063" i="2"/>
  <c r="B6069" i="2"/>
  <c r="B6070" i="2" s="1"/>
  <c r="B6076" i="2"/>
  <c r="B6077" i="2" s="1"/>
  <c r="B6083" i="2"/>
  <c r="B6084" i="2"/>
  <c r="B6090" i="2"/>
  <c r="B6091" i="2"/>
  <c r="B6092" i="2" s="1"/>
  <c r="B6097" i="2"/>
  <c r="B6098" i="2" s="1"/>
  <c r="B6104" i="2"/>
  <c r="B6105" i="2" s="1"/>
  <c r="B6111" i="2"/>
  <c r="B6112" i="2" s="1"/>
  <c r="B6118" i="2"/>
  <c r="B6119" i="2" s="1"/>
  <c r="B6125" i="2"/>
  <c r="B6126" i="2" s="1"/>
  <c r="B6132" i="2"/>
  <c r="B6133" i="2" s="1"/>
  <c r="B6139" i="2"/>
  <c r="B6140" i="2" s="1"/>
  <c r="B6146" i="2"/>
  <c r="B6147" i="2" s="1"/>
  <c r="B6153" i="2"/>
  <c r="B6154" i="2" s="1"/>
  <c r="B6160" i="2"/>
  <c r="B6161" i="2" s="1"/>
  <c r="B6167" i="2"/>
  <c r="B6168" i="2" s="1"/>
  <c r="B6172" i="2"/>
  <c r="B6174" i="2"/>
  <c r="B6175" i="2" s="1"/>
  <c r="B6181" i="2"/>
  <c r="B6182" i="2" s="1"/>
  <c r="B6188" i="2"/>
  <c r="B6189" i="2"/>
  <c r="B6195" i="2"/>
  <c r="B6196" i="2"/>
  <c r="B6202" i="2"/>
  <c r="B6203" i="2" s="1"/>
  <c r="B6204" i="2" s="1"/>
  <c r="B6209" i="2"/>
  <c r="B6210" i="2" s="1"/>
  <c r="B6211" i="2" s="1"/>
  <c r="B6216" i="2"/>
  <c r="B6217" i="2"/>
  <c r="B6223" i="2"/>
  <c r="B6224" i="2" s="1"/>
  <c r="B6225" i="2"/>
  <c r="B6230" i="2"/>
  <c r="B6231" i="2" s="1"/>
  <c r="B6237" i="2"/>
  <c r="B6238" i="2" s="1"/>
  <c r="B6244" i="2"/>
  <c r="B6245" i="2" s="1"/>
  <c r="B6251" i="2"/>
  <c r="B6252" i="2"/>
  <c r="B6258" i="2"/>
  <c r="B6259" i="2" s="1"/>
  <c r="B6260" i="2" s="1"/>
  <c r="B6265" i="2"/>
  <c r="B6266" i="2"/>
  <c r="B6272" i="2"/>
  <c r="B6273" i="2" s="1"/>
  <c r="B6279" i="2"/>
  <c r="B6280" i="2" s="1"/>
  <c r="B6286" i="2"/>
  <c r="B6287" i="2"/>
  <c r="B6293" i="2"/>
  <c r="B6294" i="2"/>
  <c r="B6299" i="2"/>
  <c r="B6300" i="2" s="1"/>
  <c r="B6301" i="2" s="1"/>
  <c r="B6307" i="2"/>
  <c r="B6308" i="2" s="1"/>
  <c r="B6314" i="2"/>
  <c r="B6315" i="2" s="1"/>
  <c r="B6321" i="2"/>
  <c r="B6322" i="2" s="1"/>
  <c r="B6328" i="2"/>
  <c r="B6329" i="2"/>
  <c r="B6335" i="2"/>
  <c r="B6336" i="2" s="1"/>
  <c r="B6342" i="2"/>
  <c r="B6343" i="2" s="1"/>
  <c r="B6349" i="2"/>
  <c r="B6350" i="2" s="1"/>
  <c r="B6356" i="2"/>
  <c r="B6357" i="2" s="1"/>
  <c r="B6358" i="2" s="1"/>
  <c r="B6363" i="2"/>
  <c r="B6364" i="2"/>
  <c r="B6370" i="2"/>
  <c r="B6371" i="2"/>
  <c r="B6377" i="2"/>
  <c r="B6378" i="2" s="1"/>
  <c r="B6384" i="2"/>
  <c r="B6385" i="2" s="1"/>
  <c r="B6391" i="2"/>
  <c r="B6392" i="2"/>
  <c r="B6395" i="2"/>
  <c r="B6398" i="2"/>
  <c r="B6399" i="2" s="1"/>
  <c r="B6405" i="2"/>
  <c r="B6406" i="2" s="1"/>
  <c r="B6412" i="2"/>
  <c r="B6413" i="2" s="1"/>
  <c r="B6419" i="2"/>
  <c r="B6420" i="2" s="1"/>
  <c r="B6426" i="2"/>
  <c r="B6427" i="2"/>
  <c r="B6433" i="2"/>
  <c r="B6434" i="2" s="1"/>
  <c r="B6440" i="2"/>
  <c r="B6441" i="2" s="1"/>
  <c r="B6447" i="2"/>
  <c r="B6448" i="2" s="1"/>
  <c r="B6454" i="2"/>
  <c r="B6455" i="2" s="1"/>
  <c r="B6456" i="2"/>
  <c r="B6461" i="2"/>
  <c r="B6462" i="2" s="1"/>
  <c r="B6468" i="2"/>
  <c r="B6469" i="2"/>
  <c r="B6475" i="2"/>
  <c r="B6476" i="2"/>
  <c r="B6482" i="2"/>
  <c r="B6483" i="2" s="1"/>
  <c r="B6489" i="2"/>
  <c r="B6490" i="2" s="1"/>
  <c r="B6496" i="2"/>
  <c r="B6497" i="2"/>
  <c r="B6503" i="2"/>
  <c r="B6504" i="2"/>
  <c r="B6510" i="2"/>
  <c r="B6511" i="2"/>
  <c r="B6517" i="2"/>
  <c r="B6518" i="2" s="1"/>
  <c r="B6524" i="2"/>
  <c r="B6525" i="2"/>
  <c r="B6531" i="2"/>
  <c r="B6532" i="2"/>
  <c r="B6536" i="2"/>
  <c r="B6538" i="2"/>
  <c r="B6539" i="2"/>
  <c r="B6545" i="2"/>
  <c r="B6546" i="2" s="1"/>
  <c r="B6549" i="2"/>
  <c r="B6552" i="2"/>
  <c r="B6553" i="2"/>
  <c r="B6559" i="2"/>
  <c r="B6560" i="2" s="1"/>
  <c r="B6566" i="2"/>
  <c r="B6567" i="2" s="1"/>
  <c r="B6569" i="2"/>
  <c r="B6573" i="2"/>
  <c r="B6574" i="2" s="1"/>
  <c r="B6576" i="2"/>
  <c r="B6580" i="2"/>
  <c r="B6581" i="2" s="1"/>
  <c r="B6587" i="2"/>
  <c r="B6588" i="2" s="1"/>
  <c r="B6594" i="2"/>
  <c r="B6595" i="2"/>
  <c r="B6596" i="2" s="1"/>
  <c r="B6601" i="2"/>
  <c r="B6602" i="2" s="1"/>
  <c r="B6608" i="2"/>
  <c r="B6609" i="2" s="1"/>
  <c r="B6615" i="2"/>
  <c r="B6616" i="2" s="1"/>
  <c r="B6622" i="2"/>
  <c r="B6623" i="2" s="1"/>
  <c r="B6624" i="2" s="1"/>
  <c r="B6629" i="2"/>
  <c r="B6630" i="2"/>
  <c r="B6636" i="2"/>
  <c r="B6637" i="2" s="1"/>
  <c r="B6643" i="2"/>
  <c r="B6644" i="2"/>
  <c r="B6650" i="2"/>
  <c r="B6651" i="2"/>
  <c r="B6657" i="2"/>
  <c r="B6658" i="2" s="1"/>
  <c r="B6664" i="2"/>
  <c r="B6665" i="2" s="1"/>
  <c r="B6671" i="2"/>
  <c r="B6672" i="2"/>
  <c r="B6678" i="2"/>
  <c r="B6679" i="2"/>
  <c r="B6684" i="2"/>
  <c r="B6685" i="2" s="1"/>
  <c r="B6686" i="2" s="1"/>
  <c r="B6692" i="2"/>
  <c r="B6693" i="2" s="1"/>
  <c r="B6699" i="2"/>
  <c r="B6700" i="2" s="1"/>
  <c r="B6706" i="2"/>
  <c r="B6707" i="2"/>
  <c r="B6713" i="2"/>
  <c r="B6714" i="2" s="1"/>
  <c r="B6720" i="2"/>
  <c r="B6721" i="2" s="1"/>
  <c r="B6722" i="2" s="1"/>
  <c r="B6727" i="2"/>
  <c r="B6728" i="2"/>
  <c r="B6734" i="2"/>
  <c r="B6735" i="2"/>
  <c r="B6741" i="2"/>
  <c r="B6742" i="2" s="1"/>
  <c r="B6748" i="2"/>
  <c r="B6749" i="2"/>
  <c r="B6755" i="2"/>
  <c r="B6756" i="2"/>
  <c r="B6760" i="2"/>
  <c r="B6762" i="2"/>
  <c r="B6763" i="2"/>
  <c r="B6769" i="2"/>
  <c r="B6770" i="2" s="1"/>
  <c r="B6776" i="2"/>
  <c r="B6777" i="2" s="1"/>
  <c r="B6783" i="2"/>
  <c r="B6784" i="2" s="1"/>
  <c r="B6790" i="2"/>
  <c r="B6791" i="2"/>
  <c r="B6797" i="2"/>
  <c r="B6798" i="2" s="1"/>
  <c r="B6804" i="2"/>
  <c r="B6805" i="2" s="1"/>
  <c r="B6811" i="2"/>
  <c r="B6812" i="2" s="1"/>
  <c r="B6818" i="2"/>
  <c r="B6819" i="2" s="1"/>
  <c r="B6820" i="2" s="1"/>
  <c r="B6825" i="2"/>
  <c r="B6826" i="2"/>
  <c r="B6832" i="2"/>
  <c r="B6833" i="2"/>
  <c r="B6839" i="2"/>
  <c r="B6840" i="2" s="1"/>
  <c r="B6846" i="2"/>
  <c r="B6847" i="2" s="1"/>
  <c r="B6853" i="2"/>
  <c r="B6854" i="2"/>
  <c r="B6860" i="2"/>
  <c r="B6861" i="2"/>
  <c r="B6867" i="2"/>
  <c r="B6868" i="2" s="1"/>
  <c r="B6874" i="2"/>
  <c r="B6875" i="2" s="1"/>
  <c r="B6881" i="2"/>
  <c r="B6882" i="2" s="1"/>
  <c r="B6888" i="2"/>
  <c r="B6889" i="2"/>
  <c r="B6895" i="2"/>
  <c r="B6896" i="2"/>
  <c r="B6902" i="2"/>
  <c r="B6903" i="2" s="1"/>
  <c r="B6907" i="2"/>
  <c r="B6909" i="2"/>
  <c r="B6910" i="2" s="1"/>
  <c r="B6916" i="2"/>
  <c r="B6917" i="2"/>
  <c r="B6923" i="2"/>
  <c r="B6924" i="2"/>
  <c r="B6930" i="2"/>
  <c r="B6931" i="2"/>
  <c r="B6934" i="2"/>
  <c r="B6937" i="2"/>
  <c r="B6938" i="2"/>
  <c r="B6941" i="2"/>
  <c r="B6944" i="2"/>
  <c r="B6945" i="2"/>
  <c r="B6951" i="2"/>
  <c r="B6952" i="2"/>
  <c r="B6958" i="2"/>
  <c r="B6959" i="2" s="1"/>
  <c r="B6960" i="2"/>
  <c r="B6965" i="2"/>
  <c r="B6966" i="2" s="1"/>
  <c r="B6972" i="2"/>
  <c r="B6973" i="2" s="1"/>
  <c r="B6979" i="2"/>
  <c r="B6980" i="2"/>
  <c r="B6986" i="2"/>
  <c r="B6987" i="2" s="1"/>
  <c r="B6988" i="2" s="1"/>
  <c r="B6993" i="2"/>
  <c r="B6994" i="2" s="1"/>
  <c r="B7000" i="2"/>
  <c r="B7001" i="2"/>
  <c r="B7007" i="2"/>
  <c r="B7008" i="2"/>
  <c r="B7014" i="2"/>
  <c r="B7015" i="2"/>
  <c r="B7021" i="2"/>
  <c r="B7022" i="2" s="1"/>
  <c r="B7028" i="2"/>
  <c r="B7029" i="2"/>
  <c r="B7035" i="2"/>
  <c r="B7036" i="2"/>
  <c r="B7041" i="2"/>
  <c r="B7042" i="2"/>
  <c r="B7043" i="2" s="1"/>
  <c r="B7049" i="2"/>
  <c r="B7050" i="2" s="1"/>
  <c r="B7056" i="2"/>
  <c r="B7057" i="2" s="1"/>
  <c r="B7063" i="2"/>
  <c r="B7064" i="2"/>
  <c r="B7070" i="2"/>
  <c r="B7071" i="2"/>
  <c r="B7077" i="2"/>
  <c r="B7078" i="2" s="1"/>
  <c r="B7084" i="2"/>
  <c r="B7085" i="2"/>
  <c r="B7086" i="2" s="1"/>
  <c r="B7091" i="2"/>
  <c r="B7092" i="2"/>
  <c r="B7098" i="2"/>
  <c r="B7099" i="2"/>
  <c r="B7105" i="2"/>
  <c r="B7106" i="2"/>
  <c r="B7112" i="2"/>
  <c r="B7113" i="2" s="1"/>
  <c r="B7119" i="2"/>
  <c r="B7120" i="2"/>
  <c r="B7125" i="2"/>
  <c r="B7126" i="2"/>
  <c r="B7127" i="2" s="1"/>
  <c r="B7133" i="2"/>
  <c r="B7134" i="2" s="1"/>
  <c r="B7140" i="2"/>
  <c r="B7141" i="2" s="1"/>
  <c r="B7147" i="2"/>
  <c r="B7148" i="2"/>
  <c r="B7154" i="2"/>
  <c r="B7155" i="2" s="1"/>
  <c r="B7161" i="2"/>
  <c r="B7162" i="2"/>
  <c r="B7168" i="2"/>
  <c r="B7169" i="2"/>
  <c r="B7175" i="2"/>
  <c r="B7176" i="2"/>
  <c r="B7182" i="2"/>
  <c r="B7183" i="2" s="1"/>
  <c r="B7189" i="2"/>
  <c r="B7190" i="2"/>
  <c r="B7191" i="2"/>
  <c r="B7196" i="2"/>
  <c r="B7197" i="2"/>
  <c r="B7203" i="2"/>
  <c r="B7204" i="2"/>
  <c r="B7210" i="2"/>
  <c r="B7211" i="2"/>
  <c r="B7217" i="2"/>
  <c r="B7218" i="2"/>
  <c r="B7224" i="2"/>
  <c r="B7225" i="2"/>
  <c r="B7231" i="2"/>
  <c r="B7232" i="2" s="1"/>
  <c r="B7238" i="2"/>
  <c r="B7239" i="2"/>
  <c r="B7245" i="2"/>
  <c r="B7246" i="2"/>
  <c r="B7252" i="2"/>
  <c r="B7253" i="2"/>
  <c r="B7259" i="2"/>
  <c r="B7260" i="2"/>
  <c r="B7266" i="2"/>
  <c r="B7267" i="2"/>
  <c r="B7271" i="2"/>
  <c r="B7273" i="2"/>
  <c r="B7274" i="2" s="1"/>
  <c r="B7280" i="2"/>
  <c r="B7281" i="2"/>
  <c r="B7287" i="2"/>
  <c r="B7288" i="2" s="1"/>
  <c r="B7294" i="2"/>
  <c r="B7295" i="2" s="1"/>
  <c r="B7300" i="2"/>
  <c r="B7301" i="2" s="1"/>
  <c r="B7302" i="2" s="1"/>
  <c r="B7307" i="2"/>
  <c r="B7308" i="2"/>
  <c r="B7309" i="2" s="1"/>
  <c r="B7315" i="2"/>
  <c r="B7316" i="2"/>
  <c r="B7322" i="2"/>
  <c r="B7323" i="2"/>
  <c r="B7324" i="2"/>
  <c r="B7329" i="2"/>
  <c r="B7330" i="2"/>
  <c r="B7336" i="2"/>
  <c r="B7337" i="2"/>
  <c r="B7343" i="2"/>
  <c r="B7344" i="2" s="1"/>
  <c r="B7350" i="2"/>
  <c r="B7351" i="2"/>
  <c r="B7352" i="2" s="1"/>
  <c r="B7357" i="2"/>
  <c r="B7358" i="2" s="1"/>
  <c r="B7364" i="2"/>
  <c r="B7365" i="2"/>
  <c r="B7371" i="2"/>
  <c r="B7372" i="2" s="1"/>
  <c r="B7378" i="2"/>
  <c r="B7379" i="2"/>
  <c r="B7385" i="2"/>
  <c r="B7386" i="2" s="1"/>
  <c r="B7392" i="2"/>
  <c r="B7393" i="2"/>
  <c r="B7398" i="2"/>
  <c r="B7399" i="2"/>
  <c r="B7400" i="2" s="1"/>
  <c r="B7406" i="2"/>
  <c r="B7407" i="2"/>
  <c r="B7413" i="2"/>
  <c r="B7414" i="2"/>
  <c r="B7420" i="2"/>
  <c r="B7421" i="2"/>
  <c r="B7427" i="2"/>
  <c r="B7428" i="2" s="1"/>
  <c r="B7434" i="2"/>
  <c r="B7435" i="2"/>
  <c r="B7441" i="2"/>
  <c r="B7442" i="2"/>
  <c r="B7448" i="2"/>
  <c r="B7449" i="2"/>
  <c r="B7455" i="2"/>
  <c r="B7456" i="2" s="1"/>
  <c r="B7457" i="2" s="1"/>
  <c r="B7462" i="2"/>
  <c r="B7463" i="2" s="1"/>
  <c r="B7469" i="2"/>
  <c r="B7470" i="2"/>
  <c r="B7476" i="2"/>
  <c r="B7477" i="2"/>
  <c r="B7483" i="2"/>
  <c r="B7484" i="2"/>
  <c r="B7490" i="2"/>
  <c r="B7491" i="2" s="1"/>
  <c r="B7492" i="2" s="1"/>
  <c r="B7497" i="2"/>
  <c r="B7498" i="2"/>
  <c r="B7504" i="2"/>
  <c r="B7505" i="2" s="1"/>
  <c r="B7511" i="2"/>
  <c r="B7512" i="2"/>
  <c r="B7518" i="2"/>
  <c r="B7519" i="2"/>
  <c r="B7525" i="2"/>
  <c r="B7526" i="2"/>
  <c r="B7532" i="2"/>
  <c r="B7533" i="2" s="1"/>
  <c r="B7539" i="2"/>
  <c r="B7540" i="2"/>
  <c r="B7546" i="2"/>
  <c r="B7547" i="2"/>
  <c r="B7553" i="2"/>
  <c r="B7554" i="2"/>
  <c r="B7555" i="2"/>
  <c r="B7560" i="2"/>
  <c r="B7561" i="2"/>
  <c r="B7567" i="2"/>
  <c r="B7568" i="2" s="1"/>
  <c r="B7574" i="2"/>
  <c r="B7575" i="2"/>
  <c r="B7581" i="2"/>
  <c r="B7582" i="2"/>
  <c r="B7588" i="2"/>
  <c r="B7589" i="2"/>
  <c r="B7595" i="2"/>
  <c r="B7596" i="2" s="1"/>
  <c r="B7602" i="2"/>
  <c r="B7603" i="2"/>
  <c r="B7609" i="2"/>
  <c r="B7610" i="2"/>
  <c r="B7616" i="2"/>
  <c r="B7617" i="2"/>
  <c r="B7623" i="2"/>
  <c r="B7624" i="2" s="1"/>
  <c r="B7630" i="2"/>
  <c r="B7631" i="2"/>
  <c r="B7635" i="2"/>
  <c r="B7637" i="2"/>
  <c r="B7638" i="2" s="1"/>
  <c r="B7644" i="2"/>
  <c r="B7645" i="2" s="1"/>
  <c r="B7651" i="2"/>
  <c r="B7652" i="2"/>
  <c r="B7658" i="2"/>
  <c r="B7659" i="2"/>
  <c r="B7664" i="2"/>
  <c r="B7665" i="2" s="1"/>
  <c r="B7666" i="2"/>
  <c r="B7672" i="2"/>
  <c r="B7673" i="2" s="1"/>
  <c r="B7679" i="2"/>
  <c r="B7680" i="2"/>
  <c r="B7686" i="2"/>
  <c r="B7687" i="2"/>
  <c r="B7688" i="2" s="1"/>
  <c r="B7693" i="2"/>
  <c r="B7694" i="2"/>
  <c r="B7700" i="2"/>
  <c r="B7701" i="2"/>
  <c r="B7707" i="2"/>
  <c r="B7708" i="2"/>
  <c r="B7714" i="2"/>
  <c r="B7715" i="2" s="1"/>
  <c r="B7721" i="2"/>
  <c r="B7722" i="2"/>
  <c r="B7723" i="2" s="1"/>
  <c r="B7728" i="2"/>
  <c r="B7729" i="2"/>
  <c r="B7735" i="2"/>
  <c r="B7736" i="2"/>
  <c r="B7742" i="2"/>
  <c r="B7743" i="2"/>
  <c r="B7749" i="2"/>
  <c r="B7750" i="2" s="1"/>
  <c r="B7756" i="2"/>
  <c r="B7757" i="2"/>
  <c r="B7763" i="2"/>
  <c r="B7764" i="2"/>
  <c r="B7770" i="2"/>
  <c r="B7771" i="2"/>
  <c r="B7776" i="2"/>
  <c r="B7777" i="2" s="1"/>
  <c r="B7778" i="2" s="1"/>
  <c r="B7784" i="2"/>
  <c r="B7785" i="2"/>
  <c r="B7791" i="2"/>
  <c r="B7792" i="2" s="1"/>
  <c r="B7798" i="2"/>
  <c r="B7799" i="2"/>
  <c r="B7805" i="2"/>
  <c r="B7806" i="2"/>
  <c r="B7812" i="2"/>
  <c r="B7813" i="2"/>
  <c r="B7819" i="2"/>
  <c r="B7820" i="2" s="1"/>
  <c r="B7821" i="2"/>
  <c r="B7826" i="2"/>
  <c r="B7827" i="2" s="1"/>
  <c r="B7833" i="2"/>
  <c r="B7834" i="2"/>
  <c r="B7840" i="2"/>
  <c r="B7841" i="2"/>
  <c r="B7842" i="2" s="1"/>
  <c r="B7847" i="2"/>
  <c r="B7848" i="2"/>
  <c r="B7854" i="2"/>
  <c r="B7855" i="2"/>
  <c r="B7856" i="2"/>
  <c r="B7861" i="2"/>
  <c r="B7862" i="2"/>
  <c r="B7868" i="2"/>
  <c r="B7869" i="2"/>
  <c r="B7875" i="2"/>
  <c r="B7876" i="2" s="1"/>
  <c r="B7882" i="2"/>
  <c r="B7883" i="2" s="1"/>
  <c r="B7889" i="2"/>
  <c r="B7890" i="2"/>
  <c r="B7896" i="2"/>
  <c r="B7897" i="2"/>
  <c r="B7903" i="2"/>
  <c r="B7904" i="2" s="1"/>
  <c r="B7910" i="2"/>
  <c r="B7911" i="2" s="1"/>
  <c r="B7917" i="2"/>
  <c r="B7918" i="2"/>
  <c r="B7919" i="2" s="1"/>
  <c r="B7924" i="2"/>
  <c r="B7925" i="2"/>
  <c r="B7931" i="2"/>
  <c r="B7932" i="2"/>
  <c r="B7938" i="2"/>
  <c r="B7939" i="2"/>
  <c r="B7945" i="2"/>
  <c r="B7946" i="2" s="1"/>
  <c r="B7952" i="2"/>
  <c r="B7953" i="2"/>
  <c r="B7959" i="2"/>
  <c r="B7960" i="2"/>
  <c r="B7966" i="2"/>
  <c r="B7967" i="2"/>
  <c r="B7973" i="2"/>
  <c r="B7974" i="2" s="1"/>
  <c r="B7980" i="2"/>
  <c r="B7981" i="2"/>
  <c r="B7987" i="2"/>
  <c r="B7988" i="2"/>
  <c r="B7994" i="2"/>
  <c r="B7995" i="2"/>
  <c r="B7999" i="2"/>
  <c r="B8001" i="2"/>
  <c r="B8002" i="2"/>
  <c r="B8008" i="2"/>
  <c r="B8009" i="2" s="1"/>
  <c r="B8015" i="2"/>
  <c r="B8016" i="2"/>
  <c r="B8022" i="2"/>
  <c r="B8023" i="2"/>
  <c r="B8029" i="2"/>
  <c r="B8030" i="2"/>
  <c r="B8031" i="2"/>
  <c r="B8036" i="2"/>
  <c r="B8037" i="2"/>
  <c r="B8038" i="2"/>
  <c r="B8043" i="2"/>
  <c r="B8044" i="2"/>
  <c r="B8050" i="2"/>
  <c r="B8051" i="2"/>
  <c r="B8052" i="2"/>
  <c r="B8057" i="2"/>
  <c r="B8058" i="2"/>
  <c r="B8064" i="2"/>
  <c r="B8065" i="2" s="1"/>
  <c r="B8071" i="2"/>
  <c r="B8072" i="2" s="1"/>
  <c r="B8078" i="2"/>
  <c r="B8079" i="2"/>
  <c r="B8085" i="2"/>
  <c r="B8086" i="2"/>
  <c r="B8087" i="2"/>
  <c r="B8092" i="2"/>
  <c r="B8093" i="2"/>
  <c r="B8099" i="2"/>
  <c r="B8100" i="2"/>
  <c r="B8106" i="2"/>
  <c r="B8107" i="2" s="1"/>
  <c r="B8113" i="2"/>
  <c r="B8114" i="2"/>
  <c r="B8120" i="2"/>
  <c r="B8121" i="2"/>
  <c r="B8127" i="2"/>
  <c r="B8128" i="2"/>
  <c r="B8133" i="2"/>
  <c r="B8134" i="2" s="1"/>
  <c r="B8135" i="2" s="1"/>
  <c r="B8141" i="2"/>
  <c r="B8142" i="2"/>
  <c r="B8148" i="2"/>
  <c r="B8149" i="2" s="1"/>
  <c r="B8155" i="2"/>
  <c r="B8156" i="2"/>
  <c r="B8162" i="2"/>
  <c r="B8163" i="2"/>
  <c r="B8169" i="2"/>
  <c r="B8170" i="2" s="1"/>
  <c r="B8176" i="2"/>
  <c r="B8177" i="2" s="1"/>
  <c r="B8183" i="2"/>
  <c r="B8184" i="2"/>
  <c r="B8185" i="2" s="1"/>
  <c r="B8190" i="2"/>
  <c r="B8191" i="2"/>
  <c r="B8197" i="2"/>
  <c r="B8198" i="2"/>
  <c r="B8204" i="2"/>
  <c r="B8205" i="2"/>
  <c r="B8206" i="2"/>
  <c r="B8211" i="2"/>
  <c r="B8212" i="2"/>
  <c r="B8218" i="2"/>
  <c r="B8219" i="2" s="1"/>
  <c r="B8221" i="2"/>
  <c r="B8225" i="2"/>
  <c r="B8226" i="2"/>
  <c r="B8232" i="2"/>
  <c r="B8233" i="2" s="1"/>
  <c r="B8239" i="2"/>
  <c r="B8240" i="2"/>
  <c r="B8246" i="2"/>
  <c r="B8247" i="2"/>
  <c r="B8253" i="2"/>
  <c r="B8254" i="2"/>
  <c r="B8260" i="2"/>
  <c r="B8261" i="2" s="1"/>
  <c r="B8267" i="2"/>
  <c r="B8268" i="2"/>
  <c r="B8274" i="2"/>
  <c r="B8275" i="2"/>
  <c r="B8281" i="2"/>
  <c r="B8282" i="2"/>
  <c r="B8283" i="2" s="1"/>
  <c r="B8288" i="2"/>
  <c r="B8289" i="2"/>
  <c r="B8295" i="2"/>
  <c r="B8296" i="2"/>
  <c r="B8302" i="2"/>
  <c r="B8303" i="2" s="1"/>
  <c r="B8309" i="2"/>
  <c r="B8310" i="2"/>
  <c r="B8316" i="2"/>
  <c r="B8317" i="2"/>
  <c r="B8323" i="2"/>
  <c r="B8324" i="2"/>
  <c r="B8330" i="2"/>
  <c r="B8331" i="2" s="1"/>
  <c r="B8337" i="2"/>
  <c r="B8338" i="2"/>
  <c r="B8344" i="2"/>
  <c r="B8345" i="2"/>
  <c r="B8351" i="2"/>
  <c r="B8352" i="2"/>
  <c r="B8358" i="2"/>
  <c r="B8359" i="2" s="1"/>
  <c r="B8363" i="2"/>
  <c r="B8365" i="2"/>
  <c r="B8366" i="2" s="1"/>
  <c r="B8372" i="2"/>
  <c r="B8373" i="2"/>
  <c r="B8379" i="2"/>
  <c r="B8380" i="2"/>
  <c r="B8386" i="2"/>
  <c r="B8387" i="2"/>
  <c r="B8393" i="2"/>
  <c r="B8394" i="2" s="1"/>
  <c r="B8395" i="2" s="1"/>
  <c r="B8400" i="2"/>
  <c r="B8401" i="2"/>
  <c r="B8402" i="2"/>
  <c r="B8407" i="2"/>
  <c r="B8408" i="2"/>
  <c r="B8414" i="2"/>
  <c r="B8415" i="2" s="1"/>
  <c r="B8416" i="2" s="1"/>
  <c r="B8421" i="2"/>
  <c r="B8422" i="2"/>
  <c r="B8428" i="2"/>
  <c r="B8429" i="2" s="1"/>
  <c r="B8435" i="2"/>
  <c r="B8436" i="2"/>
  <c r="B8442" i="2"/>
  <c r="B8443" i="2"/>
  <c r="B8449" i="2"/>
  <c r="B8450" i="2" s="1"/>
  <c r="B8451" i="2" s="1"/>
  <c r="B8456" i="2"/>
  <c r="B8457" i="2"/>
  <c r="B8463" i="2"/>
  <c r="B8464" i="2" s="1"/>
  <c r="B8470" i="2"/>
  <c r="B8471" i="2"/>
  <c r="B8477" i="2"/>
  <c r="B8478" i="2"/>
  <c r="B8484" i="2"/>
  <c r="B8485" i="2"/>
  <c r="B8490" i="2"/>
  <c r="B8491" i="2" s="1"/>
  <c r="B8492" i="2" s="1"/>
  <c r="B8498" i="2"/>
  <c r="B8499" i="2" s="1"/>
  <c r="B8505" i="2"/>
  <c r="B8506" i="2" s="1"/>
  <c r="B8512" i="2"/>
  <c r="B8513" i="2" s="1"/>
  <c r="B8519" i="2"/>
  <c r="B8520" i="2"/>
  <c r="B8526" i="2"/>
  <c r="B8527" i="2"/>
  <c r="B8533" i="2"/>
  <c r="B8534" i="2" s="1"/>
  <c r="B8540" i="2"/>
  <c r="B8541" i="2"/>
  <c r="B8547" i="2"/>
  <c r="B8548" i="2"/>
  <c r="B8549" i="2"/>
  <c r="B8554" i="2"/>
  <c r="B8555" i="2"/>
  <c r="B8561" i="2"/>
  <c r="B8562" i="2"/>
  <c r="B8568" i="2"/>
  <c r="B8569" i="2" s="1"/>
  <c r="B8572" i="2"/>
  <c r="B8575" i="2"/>
  <c r="B8576" i="2"/>
  <c r="B8582" i="2"/>
  <c r="B8583" i="2" s="1"/>
  <c r="B8587" i="2"/>
  <c r="B8589" i="2"/>
  <c r="B8590" i="2" s="1"/>
  <c r="B8596" i="2"/>
  <c r="B8597" i="2"/>
  <c r="B8603" i="2"/>
  <c r="B8604" i="2"/>
  <c r="B8610" i="2"/>
  <c r="B8611" i="2"/>
  <c r="B8617" i="2"/>
  <c r="B8618" i="2" s="1"/>
  <c r="B8624" i="2"/>
  <c r="B8625" i="2"/>
  <c r="B8631" i="2"/>
  <c r="B8632" i="2"/>
  <c r="B8638" i="2"/>
  <c r="B8639" i="2"/>
  <c r="B8645" i="2"/>
  <c r="B8646" i="2" s="1"/>
  <c r="B8647" i="2" s="1"/>
  <c r="B8652" i="2"/>
  <c r="B8653" i="2" s="1"/>
  <c r="B8659" i="2"/>
  <c r="B8660" i="2" s="1"/>
  <c r="B8666" i="2"/>
  <c r="B8667" i="2"/>
  <c r="B8673" i="2"/>
  <c r="B8674" i="2"/>
  <c r="B8680" i="2"/>
  <c r="B8681" i="2" s="1"/>
  <c r="B8687" i="2"/>
  <c r="B8688" i="2" s="1"/>
  <c r="B8694" i="2"/>
  <c r="B8695" i="2"/>
  <c r="B8701" i="2"/>
  <c r="B8702" i="2"/>
  <c r="B8708" i="2"/>
  <c r="B8709" i="2" s="1"/>
  <c r="B8715" i="2"/>
  <c r="B8716" i="2" s="1"/>
  <c r="B8722" i="2"/>
  <c r="B8723" i="2"/>
  <c r="B8729" i="2"/>
  <c r="B8730" i="2"/>
  <c r="B8734" i="2"/>
  <c r="B8736" i="2"/>
  <c r="B8737" i="2"/>
  <c r="B8743" i="2"/>
  <c r="B8744" i="2"/>
  <c r="B8750" i="2"/>
  <c r="B8751" i="2" s="1"/>
  <c r="B8757" i="2"/>
  <c r="B8758" i="2"/>
  <c r="B8761" i="2"/>
  <c r="B8764" i="2"/>
  <c r="B8765" i="2" s="1"/>
  <c r="B8768" i="2"/>
  <c r="B8771" i="2"/>
  <c r="B8772" i="2" s="1"/>
  <c r="B8776" i="2"/>
  <c r="B8778" i="2"/>
  <c r="B8779" i="2"/>
  <c r="B8785" i="2"/>
  <c r="B8786" i="2" s="1"/>
  <c r="B8787" i="2"/>
  <c r="B8792" i="2"/>
  <c r="B8793" i="2" s="1"/>
  <c r="B8799" i="2"/>
  <c r="B8800" i="2"/>
  <c r="B8806" i="2"/>
  <c r="B8807" i="2"/>
  <c r="B8812" i="2"/>
  <c r="B8813" i="2"/>
  <c r="B8814" i="2" s="1"/>
  <c r="B8815" i="2" s="1"/>
  <c r="B8816" i="2" s="1"/>
  <c r="B8817" i="2" s="1"/>
  <c r="B8818" i="2" s="1"/>
  <c r="B8819" i="2" s="1"/>
  <c r="B8820" i="2" s="1"/>
  <c r="B8821" i="2" s="1"/>
  <c r="B8822" i="2" s="1"/>
  <c r="B8823" i="2" s="1"/>
  <c r="B8824" i="2" s="1"/>
  <c r="B8825" i="2" s="1"/>
  <c r="B8826" i="2" s="1"/>
  <c r="B8827" i="2" s="1"/>
  <c r="B8828" i="2" s="1"/>
  <c r="B8829" i="2" s="1"/>
  <c r="B8830" i="2" s="1"/>
  <c r="B8831" i="2" s="1"/>
  <c r="B8832" i="2" s="1"/>
  <c r="B8833" i="2" s="1"/>
  <c r="B8834" i="2" s="1"/>
  <c r="B8835" i="2" s="1"/>
  <c r="B8836" i="2" s="1"/>
  <c r="B8837" i="2" s="1"/>
  <c r="B8838" i="2" s="1"/>
  <c r="B8839" i="2" s="1"/>
  <c r="B8840" i="2" s="1"/>
  <c r="B8841" i="2" s="1"/>
  <c r="B8842" i="2" s="1"/>
  <c r="B8843" i="2" s="1"/>
  <c r="B8844" i="2" s="1"/>
  <c r="B8845" i="2" s="1"/>
  <c r="B8846" i="2" s="1"/>
  <c r="B8847" i="2" s="1"/>
  <c r="B8848" i="2" s="1"/>
  <c r="B8849" i="2" s="1"/>
  <c r="B8850" i="2" s="1"/>
  <c r="B8851" i="2" s="1"/>
  <c r="B8852" i="2" s="1"/>
  <c r="B8853" i="2" s="1"/>
  <c r="B8854" i="2" s="1"/>
  <c r="B8855" i="2" s="1"/>
  <c r="B8856" i="2" s="1"/>
  <c r="B8857" i="2" s="1"/>
  <c r="B8858" i="2" s="1"/>
  <c r="B8859" i="2" s="1"/>
  <c r="B8860" i="2" s="1"/>
  <c r="B8861" i="2" s="1"/>
  <c r="B8862" i="2" s="1"/>
  <c r="B8863" i="2" s="1"/>
  <c r="B8864" i="2" s="1"/>
  <c r="B8865" i="2" s="1"/>
  <c r="B8866" i="2" s="1"/>
  <c r="B8867" i="2" s="1"/>
  <c r="B8868" i="2" s="1"/>
  <c r="B8869" i="2" s="1"/>
  <c r="B8870" i="2" s="1"/>
  <c r="B8871" i="2" s="1"/>
  <c r="B8872" i="2" s="1"/>
  <c r="B8873" i="2" s="1"/>
  <c r="B8874" i="2" s="1"/>
  <c r="B8875" i="2" s="1"/>
  <c r="B8876" i="2" s="1"/>
  <c r="B8877" i="2" s="1"/>
  <c r="B8878" i="2" s="1"/>
  <c r="B8879" i="2" s="1"/>
  <c r="B8880" i="2" s="1"/>
  <c r="B8881" i="2" s="1"/>
  <c r="B8882" i="2" s="1"/>
  <c r="B8883" i="2" s="1"/>
  <c r="B8884" i="2" s="1"/>
  <c r="B8885" i="2" s="1"/>
  <c r="B8886" i="2" s="1"/>
  <c r="B8887" i="2" s="1"/>
  <c r="B8888" i="2" s="1"/>
  <c r="B8889" i="2" s="1"/>
  <c r="B8890" i="2" s="1"/>
  <c r="B8891" i="2" s="1"/>
  <c r="B8892" i="2" s="1"/>
  <c r="B8893" i="2" s="1"/>
  <c r="B8894" i="2" s="1"/>
  <c r="B8895" i="2" s="1"/>
  <c r="B8896" i="2" s="1"/>
  <c r="B8897" i="2" s="1"/>
  <c r="B8898" i="2" s="1"/>
  <c r="B8899" i="2" s="1"/>
  <c r="B8900" i="2" s="1"/>
  <c r="B8901" i="2" s="1"/>
  <c r="B8902" i="2" s="1"/>
  <c r="B8903" i="2" s="1"/>
  <c r="B8904" i="2" s="1"/>
  <c r="B8905" i="2" s="1"/>
  <c r="B8906" i="2" s="1"/>
  <c r="B8907" i="2" s="1"/>
  <c r="B8908" i="2" s="1"/>
  <c r="B8909" i="2" s="1"/>
  <c r="B8910" i="2" s="1"/>
  <c r="B8911" i="2" s="1"/>
  <c r="B8912" i="2" s="1"/>
  <c r="B8913" i="2" s="1"/>
  <c r="B8914" i="2" s="1"/>
  <c r="B8915" i="2" s="1"/>
  <c r="B8916" i="2" s="1"/>
  <c r="B8917" i="2" s="1"/>
  <c r="B8918" i="2" s="1"/>
  <c r="B8919" i="2" s="1"/>
  <c r="B8920" i="2" s="1"/>
  <c r="B8921" i="2" s="1"/>
  <c r="B8922" i="2" s="1"/>
  <c r="B8923" i="2" s="1"/>
  <c r="B8924" i="2" s="1"/>
  <c r="B8925" i="2" s="1"/>
  <c r="B8926" i="2" s="1"/>
  <c r="B8927" i="2" s="1"/>
  <c r="B8928" i="2" s="1"/>
  <c r="B8929" i="2" s="1"/>
  <c r="B8930" i="2" s="1"/>
  <c r="B8931" i="2" s="1"/>
  <c r="B8932" i="2" s="1"/>
  <c r="B8933" i="2" s="1"/>
  <c r="B8934" i="2" s="1"/>
  <c r="B8935" i="2" s="1"/>
  <c r="B8936" i="2" s="1"/>
  <c r="B8937" i="2" s="1"/>
  <c r="B8938" i="2" s="1"/>
  <c r="B8939" i="2" s="1"/>
  <c r="B8940" i="2" s="1"/>
  <c r="B8941" i="2" s="1"/>
  <c r="B8942" i="2" s="1"/>
  <c r="B8943" i="2" s="1"/>
  <c r="B8944" i="2" s="1"/>
  <c r="B8945" i="2" s="1"/>
  <c r="B8946" i="2" s="1"/>
  <c r="B8947" i="2" s="1"/>
  <c r="B8948" i="2" s="1"/>
  <c r="B8949" i="2" s="1"/>
  <c r="B8950" i="2" s="1"/>
  <c r="B8951" i="2" s="1"/>
  <c r="B8952" i="2" s="1"/>
  <c r="B8953" i="2" s="1"/>
  <c r="B8954" i="2" s="1"/>
  <c r="B8955" i="2" s="1"/>
  <c r="B8956" i="2" s="1"/>
  <c r="B8957" i="2" s="1"/>
  <c r="B8958" i="2" s="1"/>
  <c r="B8959" i="2" s="1"/>
  <c r="B8960" i="2" s="1"/>
  <c r="B8961" i="2" s="1"/>
  <c r="B8962" i="2" s="1"/>
  <c r="B8963" i="2" s="1"/>
  <c r="B8964" i="2" s="1"/>
  <c r="B8965" i="2" s="1"/>
  <c r="B8966" i="2" s="1"/>
  <c r="B8967" i="2" s="1"/>
  <c r="B8968" i="2" s="1"/>
  <c r="B8969" i="2" s="1"/>
  <c r="B8970" i="2" s="1"/>
  <c r="B8971" i="2" s="1"/>
  <c r="B8972" i="2" s="1"/>
  <c r="B8973" i="2" s="1"/>
  <c r="B8974" i="2" s="1"/>
  <c r="B8975" i="2" s="1"/>
  <c r="B8976" i="2" s="1"/>
  <c r="B8977" i="2" s="1"/>
  <c r="B8978" i="2" s="1"/>
  <c r="B8979" i="2" s="1"/>
  <c r="B8980" i="2" s="1"/>
  <c r="B8981" i="2" s="1"/>
  <c r="B8982" i="2" s="1"/>
  <c r="B8983" i="2" s="1"/>
  <c r="B8984" i="2" s="1"/>
  <c r="B8985" i="2" s="1"/>
  <c r="B8986" i="2" s="1"/>
  <c r="B8987" i="2" s="1"/>
  <c r="B8988" i="2" s="1"/>
  <c r="B8989" i="2" s="1"/>
  <c r="B8990" i="2" s="1"/>
  <c r="B8991" i="2" s="1"/>
  <c r="B8992" i="2" s="1"/>
  <c r="B8993" i="2" s="1"/>
  <c r="B8994" i="2" s="1"/>
  <c r="B8995" i="2" s="1"/>
  <c r="B8996" i="2" s="1"/>
  <c r="B8997" i="2" s="1"/>
  <c r="B8998" i="2" s="1"/>
  <c r="B8999" i="2" s="1"/>
  <c r="B9000" i="2" s="1"/>
  <c r="B9001" i="2" s="1"/>
  <c r="B9002" i="2" s="1"/>
  <c r="B9003" i="2" s="1"/>
  <c r="B9004" i="2" s="1"/>
  <c r="B9005" i="2" s="1"/>
  <c r="B9006" i="2" s="1"/>
  <c r="B9007" i="2" s="1"/>
  <c r="B9008" i="2" s="1"/>
  <c r="B9009" i="2" s="1"/>
  <c r="B9010" i="2" s="1"/>
  <c r="B9011" i="2" s="1"/>
  <c r="B9012" i="2" s="1"/>
  <c r="B9013" i="2" s="1"/>
  <c r="B9014" i="2" s="1"/>
  <c r="B9015" i="2" s="1"/>
  <c r="B9016" i="2" s="1"/>
  <c r="B9017" i="2" s="1"/>
  <c r="B9018" i="2" s="1"/>
  <c r="B9019" i="2" s="1"/>
  <c r="B9020" i="2" s="1"/>
  <c r="B9021" i="2" s="1"/>
  <c r="B9022" i="2" s="1"/>
  <c r="B9023" i="2" s="1"/>
  <c r="B9024" i="2" s="1"/>
  <c r="B9025" i="2" s="1"/>
  <c r="B9026" i="2" s="1"/>
  <c r="B9027" i="2" s="1"/>
  <c r="B9028" i="2" s="1"/>
  <c r="B9029" i="2" s="1"/>
  <c r="B9030" i="2" s="1"/>
  <c r="B9031" i="2" s="1"/>
  <c r="B9032" i="2" s="1"/>
  <c r="B9033" i="2" s="1"/>
  <c r="B9034" i="2" s="1"/>
  <c r="B9035" i="2" s="1"/>
  <c r="B9036" i="2" s="1"/>
  <c r="B9037" i="2" s="1"/>
  <c r="B9038" i="2" s="1"/>
  <c r="B9039" i="2" s="1"/>
  <c r="B9040" i="2" s="1"/>
  <c r="B9041" i="2" s="1"/>
  <c r="B9042" i="2" s="1"/>
  <c r="B9043" i="2" s="1"/>
  <c r="B9044" i="2" s="1"/>
  <c r="B9045" i="2" s="1"/>
  <c r="B9046" i="2" s="1"/>
  <c r="B9047" i="2" s="1"/>
  <c r="B9048" i="2" s="1"/>
  <c r="B9049" i="2" s="1"/>
  <c r="B9050" i="2" s="1"/>
  <c r="B9051" i="2" s="1"/>
  <c r="B9052" i="2" s="1"/>
  <c r="B9053" i="2" s="1"/>
  <c r="B9054" i="2" s="1"/>
  <c r="B9055" i="2" s="1"/>
  <c r="B9056" i="2" s="1"/>
  <c r="B9057" i="2" s="1"/>
  <c r="B9058" i="2" s="1"/>
  <c r="B9059" i="2" s="1"/>
  <c r="B9060" i="2" s="1"/>
  <c r="B9061" i="2" s="1"/>
  <c r="B9062" i="2" s="1"/>
  <c r="B9063" i="2" s="1"/>
  <c r="B9064" i="2" s="1"/>
  <c r="B9065" i="2" s="1"/>
  <c r="B9066" i="2" s="1"/>
  <c r="B9067" i="2" s="1"/>
  <c r="B9068" i="2" s="1"/>
  <c r="B9069" i="2" s="1"/>
  <c r="B9070" i="2" s="1"/>
  <c r="B9071" i="2" s="1"/>
  <c r="B9072" i="2" s="1"/>
  <c r="B9073" i="2" s="1"/>
  <c r="B9074" i="2" s="1"/>
  <c r="B9075" i="2" s="1"/>
  <c r="B9076" i="2" s="1"/>
  <c r="B9077" i="2" s="1"/>
  <c r="B9078" i="2" s="1"/>
  <c r="B9079" i="2" s="1"/>
  <c r="B9080" i="2" s="1"/>
  <c r="B9081" i="2" s="1"/>
  <c r="B9082" i="2" s="1"/>
  <c r="B9083" i="2" s="1"/>
  <c r="B9084" i="2" s="1"/>
  <c r="B9085" i="2" s="1"/>
  <c r="B9086" i="2" s="1"/>
  <c r="B9087" i="2" s="1"/>
  <c r="B9088" i="2" s="1"/>
  <c r="B9089" i="2" s="1"/>
  <c r="B9090" i="2" s="1"/>
  <c r="B9091" i="2" s="1"/>
  <c r="B9092" i="2" s="1"/>
  <c r="B9093" i="2" s="1"/>
  <c r="B9094" i="2" s="1"/>
  <c r="B9095" i="2" s="1"/>
  <c r="B9096" i="2" s="1"/>
  <c r="B9097" i="2" s="1"/>
  <c r="B9098" i="2" s="1"/>
  <c r="B9099" i="2" s="1"/>
  <c r="B9100" i="2" s="1"/>
  <c r="B9101" i="2" s="1"/>
  <c r="B9102" i="2" s="1"/>
  <c r="B9103" i="2" s="1"/>
  <c r="B9104" i="2" s="1"/>
  <c r="B9105" i="2" s="1"/>
  <c r="B9106" i="2" s="1"/>
  <c r="B9107" i="2" s="1"/>
  <c r="B9108" i="2" s="1"/>
  <c r="B9109" i="2" s="1"/>
  <c r="B9110" i="2" s="1"/>
  <c r="B9111" i="2" s="1"/>
  <c r="B9112" i="2" s="1"/>
  <c r="B9113" i="2" s="1"/>
  <c r="B9114" i="2" s="1"/>
  <c r="B9115" i="2" s="1"/>
  <c r="B9116" i="2" s="1"/>
  <c r="B9117" i="2" s="1"/>
  <c r="B9118" i="2" s="1"/>
  <c r="B9119" i="2" s="1"/>
  <c r="B9120" i="2" s="1"/>
  <c r="B9121" i="2" s="1"/>
  <c r="B9122" i="2" s="1"/>
  <c r="B9123" i="2" s="1"/>
  <c r="B9124" i="2" s="1"/>
  <c r="B9125" i="2" s="1"/>
  <c r="B9126" i="2" s="1"/>
  <c r="B9127" i="2" s="1"/>
  <c r="B9128" i="2" s="1"/>
  <c r="B9129" i="2" s="1"/>
  <c r="B9130" i="2" s="1"/>
  <c r="B9131" i="2" s="1"/>
  <c r="B9132" i="2" s="1"/>
  <c r="B9133" i="2" s="1"/>
  <c r="B9134" i="2" s="1"/>
  <c r="B9135" i="2" s="1"/>
  <c r="B9136" i="2" s="1"/>
  <c r="B9137" i="2" s="1"/>
  <c r="B9138" i="2" s="1"/>
  <c r="B9139" i="2" s="1"/>
  <c r="B9140" i="2" s="1"/>
  <c r="B9141" i="2" s="1"/>
  <c r="B9142" i="2" s="1"/>
  <c r="B9143" i="2" s="1"/>
  <c r="B9144" i="2" s="1"/>
  <c r="B9145" i="2" s="1"/>
  <c r="B9146" i="2" s="1"/>
  <c r="B9147" i="2" s="1"/>
  <c r="B9148" i="2" s="1"/>
  <c r="B9149" i="2" s="1"/>
  <c r="B9150" i="2" s="1"/>
  <c r="B9151" i="2" s="1"/>
  <c r="B9152" i="2" s="1"/>
  <c r="B9153" i="2" s="1"/>
  <c r="B9154" i="2" s="1"/>
  <c r="B9155" i="2" s="1"/>
  <c r="B9156" i="2" s="1"/>
  <c r="B9157" i="2" s="1"/>
  <c r="B9158" i="2" s="1"/>
  <c r="B9159" i="2" s="1"/>
  <c r="B9160" i="2" s="1"/>
  <c r="B9161" i="2" s="1"/>
  <c r="B9162" i="2" s="1"/>
  <c r="B9163" i="2" s="1"/>
  <c r="B9164" i="2" s="1"/>
  <c r="B9165" i="2" s="1"/>
  <c r="B9166" i="2" s="1"/>
  <c r="B9167" i="2" s="1"/>
  <c r="B9168" i="2" s="1"/>
  <c r="B9169" i="2" s="1"/>
  <c r="B9170" i="2" s="1"/>
  <c r="B9171" i="2" s="1"/>
  <c r="B9172" i="2" s="1"/>
  <c r="B9173" i="2" s="1"/>
  <c r="B9174" i="2" s="1"/>
  <c r="B9175" i="2" s="1"/>
  <c r="B9176" i="2" s="1"/>
  <c r="B9177" i="2" s="1"/>
  <c r="B9178" i="2" s="1"/>
  <c r="B9179" i="2" s="1"/>
  <c r="B9180" i="2" s="1"/>
  <c r="B9181" i="2" s="1"/>
  <c r="B9182" i="2" s="1"/>
  <c r="B9183" i="2" s="1"/>
  <c r="B9184" i="2" s="1"/>
  <c r="B9185" i="2" s="1"/>
  <c r="B9186" i="2" s="1"/>
  <c r="B9187" i="2" s="1"/>
  <c r="B9188" i="2" s="1"/>
  <c r="B9189" i="2" s="1"/>
  <c r="B9190" i="2" s="1"/>
  <c r="B9191" i="2" s="1"/>
  <c r="B9192" i="2" s="1"/>
  <c r="B9193" i="2" s="1"/>
  <c r="B9194" i="2" s="1"/>
  <c r="B9195" i="2" s="1"/>
  <c r="B9196" i="2" s="1"/>
  <c r="B9197" i="2" s="1"/>
  <c r="B9198" i="2" s="1"/>
  <c r="B9199" i="2" s="1"/>
  <c r="B9200" i="2" s="1"/>
  <c r="B9201" i="2" s="1"/>
  <c r="B9202" i="2" s="1"/>
  <c r="B9203" i="2" s="1"/>
  <c r="B9204" i="2" s="1"/>
  <c r="B9205" i="2" s="1"/>
  <c r="B9206" i="2" s="1"/>
  <c r="B9207" i="2" s="1"/>
  <c r="B9208" i="2" s="1"/>
  <c r="B9209" i="2" s="1"/>
  <c r="B9210" i="2" s="1"/>
  <c r="B9211" i="2" s="1"/>
  <c r="B9212" i="2" s="1"/>
  <c r="B9213" i="2" s="1"/>
  <c r="B9214" i="2" s="1"/>
  <c r="B9215" i="2" s="1"/>
  <c r="B9216" i="2" s="1"/>
  <c r="B9217" i="2" s="1"/>
  <c r="B9218" i="2" s="1"/>
  <c r="B9219" i="2" s="1"/>
  <c r="B9220" i="2" s="1"/>
  <c r="B9221" i="2" s="1"/>
  <c r="B9222" i="2" s="1"/>
  <c r="B9223" i="2" s="1"/>
  <c r="B9224" i="2" s="1"/>
  <c r="B9225" i="2" s="1"/>
  <c r="B9226" i="2" s="1"/>
  <c r="B9227" i="2" s="1"/>
  <c r="B9228" i="2" s="1"/>
  <c r="B9229" i="2" s="1"/>
  <c r="B9230" i="2" s="1"/>
  <c r="B9231" i="2" s="1"/>
  <c r="B9232" i="2" s="1"/>
  <c r="B9233" i="2" s="1"/>
  <c r="B9234" i="2" s="1"/>
  <c r="B9235" i="2" s="1"/>
  <c r="B9236" i="2" s="1"/>
  <c r="B9237" i="2" s="1"/>
  <c r="B9238" i="2" s="1"/>
  <c r="B9239" i="2" s="1"/>
  <c r="B9240" i="2" s="1"/>
  <c r="B9241" i="2" s="1"/>
  <c r="B9242" i="2" s="1"/>
  <c r="B9243" i="2" s="1"/>
  <c r="B9244" i="2" s="1"/>
  <c r="B9245" i="2" s="1"/>
  <c r="B9246" i="2" s="1"/>
  <c r="B9247" i="2" s="1"/>
  <c r="B9248" i="2" s="1"/>
  <c r="B9249" i="2" s="1"/>
  <c r="B9250" i="2" s="1"/>
  <c r="B9251" i="2" s="1"/>
  <c r="B9252" i="2" s="1"/>
  <c r="B9253" i="2" s="1"/>
  <c r="B9254" i="2" s="1"/>
  <c r="B9255" i="2" s="1"/>
  <c r="B9256" i="2" s="1"/>
  <c r="B9257" i="2" s="1"/>
  <c r="B9258" i="2" s="1"/>
  <c r="B9259" i="2" s="1"/>
  <c r="B9260" i="2" s="1"/>
  <c r="B9261" i="2" s="1"/>
  <c r="B9262" i="2" s="1"/>
  <c r="B9263" i="2" s="1"/>
  <c r="B9264" i="2" s="1"/>
  <c r="B9265" i="2" s="1"/>
  <c r="B9266" i="2" s="1"/>
  <c r="B9267" i="2" s="1"/>
  <c r="B9268" i="2" s="1"/>
  <c r="B9269" i="2" s="1"/>
  <c r="B9270" i="2" s="1"/>
  <c r="B9271" i="2" s="1"/>
  <c r="B9272" i="2" s="1"/>
  <c r="B9273" i="2" s="1"/>
  <c r="B9274" i="2" s="1"/>
  <c r="B9275" i="2" s="1"/>
  <c r="B9276" i="2" s="1"/>
  <c r="B9277" i="2" s="1"/>
  <c r="B9278" i="2" s="1"/>
  <c r="B9279" i="2" s="1"/>
  <c r="B9280" i="2" s="1"/>
  <c r="B9281" i="2" s="1"/>
  <c r="B9282" i="2" s="1"/>
  <c r="B9283" i="2" s="1"/>
  <c r="B9284" i="2" s="1"/>
  <c r="B9285" i="2" s="1"/>
  <c r="B9286" i="2" s="1"/>
  <c r="B9287" i="2" s="1"/>
  <c r="B9288" i="2" s="1"/>
  <c r="B9289" i="2" s="1"/>
  <c r="B9290" i="2" s="1"/>
  <c r="B9291" i="2" s="1"/>
  <c r="B9292" i="2" s="1"/>
  <c r="B9293" i="2" s="1"/>
  <c r="B9294" i="2" s="1"/>
  <c r="B9295" i="2" s="1"/>
  <c r="B9296" i="2" s="1"/>
  <c r="B9297" i="2" s="1"/>
  <c r="B9298" i="2" s="1"/>
  <c r="B9299" i="2" s="1"/>
  <c r="B9300" i="2" s="1"/>
  <c r="B9301" i="2" s="1"/>
  <c r="B9302" i="2" s="1"/>
  <c r="B9303" i="2" s="1"/>
  <c r="B9304" i="2" s="1"/>
  <c r="B9305" i="2" s="1"/>
  <c r="B9306" i="2" s="1"/>
  <c r="B9307" i="2" s="1"/>
  <c r="B9308" i="2" s="1"/>
  <c r="B9309" i="2" s="1"/>
  <c r="A2" i="2" a="1"/>
  <c r="A1" i="13"/>
  <c r="A1" i="12"/>
  <c r="A1" i="11"/>
  <c r="A1" i="10"/>
  <c r="A1" i="9"/>
  <c r="A1" i="8"/>
  <c r="A1" i="7"/>
  <c r="A1" i="6"/>
  <c r="A1" i="5"/>
  <c r="A1" i="4"/>
  <c r="A2" i="3" a="1"/>
  <c r="A5270" i="3" s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D3420" i="1"/>
  <c r="C3420" i="1"/>
  <c r="F3419" i="1"/>
  <c r="D3419" i="1"/>
  <c r="C3419" i="1"/>
  <c r="F3418" i="1"/>
  <c r="D3418" i="1"/>
  <c r="C3418" i="1"/>
  <c r="F3417" i="1"/>
  <c r="D3417" i="1"/>
  <c r="C3417" i="1"/>
  <c r="F3416" i="1"/>
  <c r="D3416" i="1"/>
  <c r="C3416" i="1"/>
  <c r="F3415" i="1"/>
  <c r="D3415" i="1"/>
  <c r="C3415" i="1"/>
  <c r="F3414" i="1"/>
  <c r="D3414" i="1"/>
  <c r="C3414" i="1"/>
  <c r="F3413" i="1"/>
  <c r="D3413" i="1"/>
  <c r="C3413" i="1"/>
  <c r="F3412" i="1"/>
  <c r="D3412" i="1"/>
  <c r="C3412" i="1"/>
  <c r="F3411" i="1"/>
  <c r="D3411" i="1"/>
  <c r="C3411" i="1"/>
  <c r="F3410" i="1"/>
  <c r="D3410" i="1"/>
  <c r="C3410" i="1"/>
  <c r="F3409" i="1"/>
  <c r="D3409" i="1"/>
  <c r="C3409" i="1"/>
  <c r="F3408" i="1"/>
  <c r="D3408" i="1"/>
  <c r="C3408" i="1"/>
  <c r="F3407" i="1"/>
  <c r="D3407" i="1"/>
  <c r="C3407" i="1"/>
  <c r="F3406" i="1"/>
  <c r="D3406" i="1"/>
  <c r="C3406" i="1"/>
  <c r="F3405" i="1"/>
  <c r="D3405" i="1"/>
  <c r="C3405" i="1"/>
  <c r="F3404" i="1"/>
  <c r="D3404" i="1"/>
  <c r="C3404" i="1"/>
  <c r="F3403" i="1"/>
  <c r="D3403" i="1"/>
  <c r="C3403" i="1"/>
  <c r="F3402" i="1"/>
  <c r="D3402" i="1"/>
  <c r="C3402" i="1"/>
  <c r="F3401" i="1"/>
  <c r="D3401" i="1"/>
  <c r="C3401" i="1"/>
  <c r="F3400" i="1"/>
  <c r="D3400" i="1"/>
  <c r="C3400" i="1"/>
  <c r="F3399" i="1"/>
  <c r="D3399" i="1"/>
  <c r="C3399" i="1"/>
  <c r="F3398" i="1"/>
  <c r="D3398" i="1"/>
  <c r="C3398" i="1"/>
  <c r="F3397" i="1"/>
  <c r="D3397" i="1"/>
  <c r="C3397" i="1"/>
  <c r="F3396" i="1"/>
  <c r="D3396" i="1"/>
  <c r="C3396" i="1"/>
  <c r="F3395" i="1"/>
  <c r="D3395" i="1"/>
  <c r="C3395" i="1"/>
  <c r="F3394" i="1"/>
  <c r="D3394" i="1"/>
  <c r="C3394" i="1"/>
  <c r="F3393" i="1"/>
  <c r="D3393" i="1"/>
  <c r="C3393" i="1"/>
  <c r="F3392" i="1"/>
  <c r="D3392" i="1"/>
  <c r="C3392" i="1"/>
  <c r="F3391" i="1"/>
  <c r="D3391" i="1"/>
  <c r="C3391" i="1"/>
  <c r="F3390" i="1"/>
  <c r="D3390" i="1"/>
  <c r="C3390" i="1"/>
  <c r="F3389" i="1"/>
  <c r="D3389" i="1"/>
  <c r="C3389" i="1"/>
  <c r="F3388" i="1"/>
  <c r="D3388" i="1"/>
  <c r="C3388" i="1"/>
  <c r="F3387" i="1"/>
  <c r="D3387" i="1"/>
  <c r="C3387" i="1"/>
  <c r="F3386" i="1"/>
  <c r="D3386" i="1"/>
  <c r="C3386" i="1"/>
  <c r="F3385" i="1"/>
  <c r="D3385" i="1"/>
  <c r="C3385" i="1"/>
  <c r="F3384" i="1"/>
  <c r="D3384" i="1"/>
  <c r="C3384" i="1"/>
  <c r="F3383" i="1"/>
  <c r="D3383" i="1"/>
  <c r="C3383" i="1"/>
  <c r="F3382" i="1"/>
  <c r="D3382" i="1"/>
  <c r="C3382" i="1"/>
  <c r="F3381" i="1"/>
  <c r="D3381" i="1"/>
  <c r="C3381" i="1"/>
  <c r="F3380" i="1"/>
  <c r="D3380" i="1"/>
  <c r="C3380" i="1"/>
  <c r="F3379" i="1"/>
  <c r="D3379" i="1"/>
  <c r="C3379" i="1"/>
  <c r="F3378" i="1"/>
  <c r="D3378" i="1"/>
  <c r="C3378" i="1"/>
  <c r="F3377" i="1"/>
  <c r="D3377" i="1"/>
  <c r="C3377" i="1"/>
  <c r="F3376" i="1"/>
  <c r="D3376" i="1"/>
  <c r="C3376" i="1"/>
  <c r="F3375" i="1"/>
  <c r="D3375" i="1"/>
  <c r="C3375" i="1"/>
  <c r="F3374" i="1"/>
  <c r="D3374" i="1"/>
  <c r="C3374" i="1"/>
  <c r="F3373" i="1"/>
  <c r="D3373" i="1"/>
  <c r="C3373" i="1"/>
  <c r="F3372" i="1"/>
  <c r="D3372" i="1"/>
  <c r="C3372" i="1"/>
  <c r="F3371" i="1"/>
  <c r="D3371" i="1"/>
  <c r="C3371" i="1"/>
  <c r="F3370" i="1"/>
  <c r="D3370" i="1"/>
  <c r="C3370" i="1"/>
  <c r="F3369" i="1"/>
  <c r="D3369" i="1"/>
  <c r="C3369" i="1"/>
  <c r="F3368" i="1"/>
  <c r="D3368" i="1"/>
  <c r="C3368" i="1"/>
  <c r="F3367" i="1"/>
  <c r="D3367" i="1"/>
  <c r="C3367" i="1"/>
  <c r="F3366" i="1"/>
  <c r="D3366" i="1"/>
  <c r="C3366" i="1"/>
  <c r="F3365" i="1"/>
  <c r="D3365" i="1"/>
  <c r="C3365" i="1"/>
  <c r="F3364" i="1"/>
  <c r="D3364" i="1"/>
  <c r="C3364" i="1"/>
  <c r="F3363" i="1"/>
  <c r="D3363" i="1"/>
  <c r="C3363" i="1"/>
  <c r="F3362" i="1"/>
  <c r="D3362" i="1"/>
  <c r="C3362" i="1"/>
  <c r="F3361" i="1"/>
  <c r="D3361" i="1"/>
  <c r="C3361" i="1"/>
  <c r="F3360" i="1"/>
  <c r="D3360" i="1"/>
  <c r="C3360" i="1"/>
  <c r="F3359" i="1"/>
  <c r="D3359" i="1"/>
  <c r="C3359" i="1"/>
  <c r="F3358" i="1"/>
  <c r="D3358" i="1"/>
  <c r="C3358" i="1"/>
  <c r="F3357" i="1"/>
  <c r="D3357" i="1"/>
  <c r="C3357" i="1"/>
  <c r="F3356" i="1"/>
  <c r="D3356" i="1"/>
  <c r="C3356" i="1"/>
  <c r="F3355" i="1"/>
  <c r="D3355" i="1"/>
  <c r="C3355" i="1"/>
  <c r="F3354" i="1"/>
  <c r="D3354" i="1"/>
  <c r="C3354" i="1"/>
  <c r="F3353" i="1"/>
  <c r="D3353" i="1"/>
  <c r="C3353" i="1"/>
  <c r="F3352" i="1"/>
  <c r="D3352" i="1"/>
  <c r="C3352" i="1"/>
  <c r="F3351" i="1"/>
  <c r="D3351" i="1"/>
  <c r="C3351" i="1"/>
  <c r="F3350" i="1"/>
  <c r="D3350" i="1"/>
  <c r="C3350" i="1"/>
  <c r="F3349" i="1"/>
  <c r="D3349" i="1"/>
  <c r="C3349" i="1"/>
  <c r="F3348" i="1"/>
  <c r="D3348" i="1"/>
  <c r="C3348" i="1"/>
  <c r="F3347" i="1"/>
  <c r="D3347" i="1"/>
  <c r="C3347" i="1"/>
  <c r="F3346" i="1"/>
  <c r="D3346" i="1"/>
  <c r="C3346" i="1"/>
  <c r="F3345" i="1"/>
  <c r="D3345" i="1"/>
  <c r="C3345" i="1"/>
  <c r="F3344" i="1"/>
  <c r="D3344" i="1"/>
  <c r="C3344" i="1"/>
  <c r="F3343" i="1"/>
  <c r="D3343" i="1"/>
  <c r="C3343" i="1"/>
  <c r="F3342" i="1"/>
  <c r="D3342" i="1"/>
  <c r="C3342" i="1"/>
  <c r="F3341" i="1"/>
  <c r="D3341" i="1"/>
  <c r="C3341" i="1"/>
  <c r="F3340" i="1"/>
  <c r="D3340" i="1"/>
  <c r="C3340" i="1"/>
  <c r="F3339" i="1"/>
  <c r="D3339" i="1"/>
  <c r="C3339" i="1"/>
  <c r="F3338" i="1"/>
  <c r="D3338" i="1"/>
  <c r="C3338" i="1"/>
  <c r="F3337" i="1"/>
  <c r="D3337" i="1"/>
  <c r="C3337" i="1"/>
  <c r="F3336" i="1"/>
  <c r="D3336" i="1"/>
  <c r="C3336" i="1"/>
  <c r="F3335" i="1"/>
  <c r="D3335" i="1"/>
  <c r="C3335" i="1"/>
  <c r="F3334" i="1"/>
  <c r="D3334" i="1"/>
  <c r="C3334" i="1"/>
  <c r="F3333" i="1"/>
  <c r="D3333" i="1"/>
  <c r="C3333" i="1"/>
  <c r="F3332" i="1"/>
  <c r="D3332" i="1"/>
  <c r="C3332" i="1"/>
  <c r="F3331" i="1"/>
  <c r="D3331" i="1"/>
  <c r="C3331" i="1"/>
  <c r="F3330" i="1"/>
  <c r="D3330" i="1"/>
  <c r="C3330" i="1"/>
  <c r="F3329" i="1"/>
  <c r="D3329" i="1"/>
  <c r="C3329" i="1"/>
  <c r="F3328" i="1"/>
  <c r="D3328" i="1"/>
  <c r="C3328" i="1"/>
  <c r="F3327" i="1"/>
  <c r="D3327" i="1"/>
  <c r="C3327" i="1"/>
  <c r="F3326" i="1"/>
  <c r="D3326" i="1"/>
  <c r="C3326" i="1"/>
  <c r="F3325" i="1"/>
  <c r="D3325" i="1"/>
  <c r="C3325" i="1"/>
  <c r="F3324" i="1"/>
  <c r="D3324" i="1"/>
  <c r="C3324" i="1"/>
  <c r="F3323" i="1"/>
  <c r="D3323" i="1"/>
  <c r="C3323" i="1"/>
  <c r="F3322" i="1"/>
  <c r="D3322" i="1"/>
  <c r="C3322" i="1"/>
  <c r="F3321" i="1"/>
  <c r="D3321" i="1"/>
  <c r="C3321" i="1"/>
  <c r="F3320" i="1"/>
  <c r="D3320" i="1"/>
  <c r="C3320" i="1"/>
  <c r="F3319" i="1"/>
  <c r="D3319" i="1"/>
  <c r="C3319" i="1"/>
  <c r="F3318" i="1"/>
  <c r="D3318" i="1"/>
  <c r="C3318" i="1"/>
  <c r="F3317" i="1"/>
  <c r="D3317" i="1"/>
  <c r="C3317" i="1"/>
  <c r="F3316" i="1"/>
  <c r="D3316" i="1"/>
  <c r="C3316" i="1"/>
  <c r="F3315" i="1"/>
  <c r="D3315" i="1"/>
  <c r="C3315" i="1"/>
  <c r="F3314" i="1"/>
  <c r="D3314" i="1"/>
  <c r="C3314" i="1"/>
  <c r="F3313" i="1"/>
  <c r="D3313" i="1"/>
  <c r="C3313" i="1"/>
  <c r="F3312" i="1"/>
  <c r="D3312" i="1"/>
  <c r="C3312" i="1"/>
  <c r="F3311" i="1"/>
  <c r="D3311" i="1"/>
  <c r="C3311" i="1"/>
  <c r="F3310" i="1"/>
  <c r="D3310" i="1"/>
  <c r="C3310" i="1"/>
  <c r="F3309" i="1"/>
  <c r="D3309" i="1"/>
  <c r="C3309" i="1"/>
  <c r="F3308" i="1"/>
  <c r="D3308" i="1"/>
  <c r="C3308" i="1"/>
  <c r="F3307" i="1"/>
  <c r="D3307" i="1"/>
  <c r="C3307" i="1"/>
  <c r="F3306" i="1"/>
  <c r="D3306" i="1"/>
  <c r="C3306" i="1"/>
  <c r="F3305" i="1"/>
  <c r="D3305" i="1"/>
  <c r="C3305" i="1"/>
  <c r="F3304" i="1"/>
  <c r="D3304" i="1"/>
  <c r="C3304" i="1"/>
  <c r="F3303" i="1"/>
  <c r="D3303" i="1"/>
  <c r="C3303" i="1"/>
  <c r="F3302" i="1"/>
  <c r="D3302" i="1"/>
  <c r="C3302" i="1"/>
  <c r="F3301" i="1"/>
  <c r="D3301" i="1"/>
  <c r="C3301" i="1"/>
  <c r="F3300" i="1"/>
  <c r="D3300" i="1"/>
  <c r="C3300" i="1"/>
  <c r="F3299" i="1"/>
  <c r="D3299" i="1"/>
  <c r="C3299" i="1"/>
  <c r="F3298" i="1"/>
  <c r="D3298" i="1"/>
  <c r="C3298" i="1"/>
  <c r="F3297" i="1"/>
  <c r="D3297" i="1"/>
  <c r="C3297" i="1"/>
  <c r="F3296" i="1"/>
  <c r="D3296" i="1"/>
  <c r="C3296" i="1"/>
  <c r="F3295" i="1"/>
  <c r="D3295" i="1"/>
  <c r="C3295" i="1"/>
  <c r="F3294" i="1"/>
  <c r="D3294" i="1"/>
  <c r="C3294" i="1"/>
  <c r="F3293" i="1"/>
  <c r="D3293" i="1"/>
  <c r="C3293" i="1"/>
  <c r="F3292" i="1"/>
  <c r="D3292" i="1"/>
  <c r="C3292" i="1"/>
  <c r="F3291" i="1"/>
  <c r="D3291" i="1"/>
  <c r="C3291" i="1"/>
  <c r="F3290" i="1"/>
  <c r="D3290" i="1"/>
  <c r="C3290" i="1"/>
  <c r="F3289" i="1"/>
  <c r="D3289" i="1"/>
  <c r="C3289" i="1"/>
  <c r="F3288" i="1"/>
  <c r="D3288" i="1"/>
  <c r="C3288" i="1"/>
  <c r="F3287" i="1"/>
  <c r="D3287" i="1"/>
  <c r="C3287" i="1"/>
  <c r="F3286" i="1"/>
  <c r="D3286" i="1"/>
  <c r="C3286" i="1"/>
  <c r="F3285" i="1"/>
  <c r="D3285" i="1"/>
  <c r="C3285" i="1"/>
  <c r="F3284" i="1"/>
  <c r="D3284" i="1"/>
  <c r="C3284" i="1"/>
  <c r="F3283" i="1"/>
  <c r="D3283" i="1"/>
  <c r="C3283" i="1"/>
  <c r="F3282" i="1"/>
  <c r="D3282" i="1"/>
  <c r="C3282" i="1"/>
  <c r="F3281" i="1"/>
  <c r="D3281" i="1"/>
  <c r="C3281" i="1"/>
  <c r="F3280" i="1"/>
  <c r="D3280" i="1"/>
  <c r="C3280" i="1"/>
  <c r="F3279" i="1"/>
  <c r="D3279" i="1"/>
  <c r="C3279" i="1"/>
  <c r="F3278" i="1"/>
  <c r="D3278" i="1"/>
  <c r="C3278" i="1"/>
  <c r="F3277" i="1"/>
  <c r="D3277" i="1"/>
  <c r="C3277" i="1"/>
  <c r="F3276" i="1"/>
  <c r="D3276" i="1"/>
  <c r="C3276" i="1"/>
  <c r="F3275" i="1"/>
  <c r="D3275" i="1"/>
  <c r="C3275" i="1"/>
  <c r="F3274" i="1"/>
  <c r="D3274" i="1"/>
  <c r="C3274" i="1"/>
  <c r="F3273" i="1"/>
  <c r="D3273" i="1"/>
  <c r="C3273" i="1"/>
  <c r="F3272" i="1"/>
  <c r="D3272" i="1"/>
  <c r="C3272" i="1"/>
  <c r="F3271" i="1"/>
  <c r="D3271" i="1"/>
  <c r="C3271" i="1"/>
  <c r="M3270" i="1"/>
  <c r="F3270" i="1"/>
  <c r="D3270" i="1"/>
  <c r="C3270" i="1"/>
  <c r="M3269" i="1"/>
  <c r="F3269" i="1"/>
  <c r="D3269" i="1"/>
  <c r="C3269" i="1"/>
  <c r="M3268" i="1"/>
  <c r="F3268" i="1"/>
  <c r="D3268" i="1"/>
  <c r="C3268" i="1"/>
  <c r="M3267" i="1"/>
  <c r="F3267" i="1"/>
  <c r="D3267" i="1"/>
  <c r="C3267" i="1"/>
  <c r="M3266" i="1"/>
  <c r="F3266" i="1"/>
  <c r="D3266" i="1"/>
  <c r="C3266" i="1"/>
  <c r="M3265" i="1"/>
  <c r="F3265" i="1"/>
  <c r="D3265" i="1"/>
  <c r="C3265" i="1"/>
  <c r="M3264" i="1"/>
  <c r="F3264" i="1"/>
  <c r="D3264" i="1"/>
  <c r="C3264" i="1"/>
  <c r="M3263" i="1"/>
  <c r="F3263" i="1"/>
  <c r="D3263" i="1"/>
  <c r="C3263" i="1"/>
  <c r="M3262" i="1"/>
  <c r="F3262" i="1"/>
  <c r="D3262" i="1"/>
  <c r="C3262" i="1"/>
  <c r="M3261" i="1"/>
  <c r="F3261" i="1"/>
  <c r="D3261" i="1"/>
  <c r="C3261" i="1"/>
  <c r="M3260" i="1"/>
  <c r="F3260" i="1"/>
  <c r="D3260" i="1"/>
  <c r="C3260" i="1"/>
  <c r="M3259" i="1"/>
  <c r="F3259" i="1"/>
  <c r="D3259" i="1"/>
  <c r="C3259" i="1"/>
  <c r="M3258" i="1"/>
  <c r="F3258" i="1"/>
  <c r="D3258" i="1"/>
  <c r="C3258" i="1"/>
  <c r="M3257" i="1"/>
  <c r="F3257" i="1"/>
  <c r="D3257" i="1"/>
  <c r="C3257" i="1"/>
  <c r="M3256" i="1"/>
  <c r="F3256" i="1"/>
  <c r="D3256" i="1"/>
  <c r="C3256" i="1"/>
  <c r="M3255" i="1"/>
  <c r="F3255" i="1"/>
  <c r="D3255" i="1"/>
  <c r="C3255" i="1"/>
  <c r="M3254" i="1"/>
  <c r="F3254" i="1"/>
  <c r="D3254" i="1"/>
  <c r="C3254" i="1"/>
  <c r="M3253" i="1"/>
  <c r="F3253" i="1"/>
  <c r="D3253" i="1"/>
  <c r="C3253" i="1"/>
  <c r="M3252" i="1"/>
  <c r="F3252" i="1"/>
  <c r="D3252" i="1"/>
  <c r="C3252" i="1"/>
  <c r="M3251" i="1"/>
  <c r="F3251" i="1"/>
  <c r="D3251" i="1"/>
  <c r="C3251" i="1"/>
  <c r="M3250" i="1"/>
  <c r="F3250" i="1"/>
  <c r="D3250" i="1"/>
  <c r="C3250" i="1"/>
  <c r="M3249" i="1"/>
  <c r="F3249" i="1"/>
  <c r="D3249" i="1"/>
  <c r="C3249" i="1"/>
  <c r="M3248" i="1"/>
  <c r="F3248" i="1"/>
  <c r="D3248" i="1"/>
  <c r="C3248" i="1"/>
  <c r="M3247" i="1"/>
  <c r="F3247" i="1"/>
  <c r="D3247" i="1"/>
  <c r="C3247" i="1"/>
  <c r="M3246" i="1"/>
  <c r="F3246" i="1"/>
  <c r="D3246" i="1"/>
  <c r="C3246" i="1"/>
  <c r="M3245" i="1"/>
  <c r="F3245" i="1"/>
  <c r="D3245" i="1"/>
  <c r="C3245" i="1"/>
  <c r="M3244" i="1"/>
  <c r="F3244" i="1"/>
  <c r="D3244" i="1"/>
  <c r="C3244" i="1"/>
  <c r="M3243" i="1"/>
  <c r="F3243" i="1"/>
  <c r="D3243" i="1"/>
  <c r="C3243" i="1"/>
  <c r="M3242" i="1"/>
  <c r="F3242" i="1"/>
  <c r="D3242" i="1"/>
  <c r="C3242" i="1"/>
  <c r="M3241" i="1"/>
  <c r="F3241" i="1"/>
  <c r="D3241" i="1"/>
  <c r="C3241" i="1"/>
  <c r="M3240" i="1"/>
  <c r="F3240" i="1"/>
  <c r="D3240" i="1"/>
  <c r="C3240" i="1"/>
  <c r="M3239" i="1"/>
  <c r="F3239" i="1"/>
  <c r="D3239" i="1"/>
  <c r="C3239" i="1"/>
  <c r="M3238" i="1"/>
  <c r="F3238" i="1"/>
  <c r="D3238" i="1"/>
  <c r="C3238" i="1"/>
  <c r="M3237" i="1"/>
  <c r="F3237" i="1"/>
  <c r="D3237" i="1"/>
  <c r="C3237" i="1"/>
  <c r="M3236" i="1"/>
  <c r="F3236" i="1"/>
  <c r="D3236" i="1"/>
  <c r="C3236" i="1"/>
  <c r="M3235" i="1"/>
  <c r="F3235" i="1"/>
  <c r="D3235" i="1"/>
  <c r="C3235" i="1"/>
  <c r="M3234" i="1"/>
  <c r="F3234" i="1"/>
  <c r="D3234" i="1"/>
  <c r="C3234" i="1"/>
  <c r="M3233" i="1"/>
  <c r="F3233" i="1"/>
  <c r="D3233" i="1"/>
  <c r="C3233" i="1"/>
  <c r="M3232" i="1"/>
  <c r="F3232" i="1"/>
  <c r="D3232" i="1"/>
  <c r="C3232" i="1"/>
  <c r="M3231" i="1"/>
  <c r="F3231" i="1"/>
  <c r="D3231" i="1"/>
  <c r="C3231" i="1"/>
  <c r="M3230" i="1"/>
  <c r="F3230" i="1"/>
  <c r="D3230" i="1"/>
  <c r="C3230" i="1"/>
  <c r="M3229" i="1"/>
  <c r="F3229" i="1"/>
  <c r="D3229" i="1"/>
  <c r="C3229" i="1"/>
  <c r="M3228" i="1"/>
  <c r="F3228" i="1"/>
  <c r="D3228" i="1"/>
  <c r="C3228" i="1"/>
  <c r="M3227" i="1"/>
  <c r="F3227" i="1"/>
  <c r="D3227" i="1"/>
  <c r="C3227" i="1"/>
  <c r="M3226" i="1"/>
  <c r="F3226" i="1"/>
  <c r="D3226" i="1"/>
  <c r="C3226" i="1"/>
  <c r="M3225" i="1"/>
  <c r="F3225" i="1"/>
  <c r="D3225" i="1"/>
  <c r="C3225" i="1"/>
  <c r="M3224" i="1"/>
  <c r="F3224" i="1"/>
  <c r="D3224" i="1"/>
  <c r="C3224" i="1"/>
  <c r="M3223" i="1"/>
  <c r="F3223" i="1"/>
  <c r="D3223" i="1"/>
  <c r="C3223" i="1"/>
  <c r="M3222" i="1"/>
  <c r="F3222" i="1"/>
  <c r="D3222" i="1"/>
  <c r="C3222" i="1"/>
  <c r="M3221" i="1"/>
  <c r="F3221" i="1"/>
  <c r="D3221" i="1"/>
  <c r="C3221" i="1"/>
  <c r="M3220" i="1"/>
  <c r="F3220" i="1"/>
  <c r="D3220" i="1"/>
  <c r="C3220" i="1"/>
  <c r="M3219" i="1"/>
  <c r="F3219" i="1"/>
  <c r="D3219" i="1"/>
  <c r="C3219" i="1"/>
  <c r="M3218" i="1"/>
  <c r="F3218" i="1"/>
  <c r="D3218" i="1"/>
  <c r="C3218" i="1"/>
  <c r="M3217" i="1"/>
  <c r="F3217" i="1"/>
  <c r="D3217" i="1"/>
  <c r="C3217" i="1"/>
  <c r="M3216" i="1"/>
  <c r="F3216" i="1"/>
  <c r="D3216" i="1"/>
  <c r="C3216" i="1"/>
  <c r="M3215" i="1"/>
  <c r="F3215" i="1"/>
  <c r="D3215" i="1"/>
  <c r="C3215" i="1"/>
  <c r="M3214" i="1"/>
  <c r="F3214" i="1"/>
  <c r="D3214" i="1"/>
  <c r="C3214" i="1"/>
  <c r="M3213" i="1"/>
  <c r="F3213" i="1"/>
  <c r="D3213" i="1"/>
  <c r="C3213" i="1"/>
  <c r="M3212" i="1"/>
  <c r="F3212" i="1"/>
  <c r="D3212" i="1"/>
  <c r="C3212" i="1"/>
  <c r="M3211" i="1"/>
  <c r="F3211" i="1"/>
  <c r="D3211" i="1"/>
  <c r="C3211" i="1"/>
  <c r="M3210" i="1"/>
  <c r="F3210" i="1"/>
  <c r="D3210" i="1"/>
  <c r="C3210" i="1"/>
  <c r="M3209" i="1"/>
  <c r="F3209" i="1"/>
  <c r="D3209" i="1"/>
  <c r="C3209" i="1"/>
  <c r="M3208" i="1"/>
  <c r="F3208" i="1"/>
  <c r="D3208" i="1"/>
  <c r="C3208" i="1"/>
  <c r="M3207" i="1"/>
  <c r="F3207" i="1"/>
  <c r="D3207" i="1"/>
  <c r="C3207" i="1"/>
  <c r="M3206" i="1"/>
  <c r="F3206" i="1"/>
  <c r="D3206" i="1"/>
  <c r="C3206" i="1"/>
  <c r="M3205" i="1"/>
  <c r="F3205" i="1"/>
  <c r="D3205" i="1"/>
  <c r="C3205" i="1"/>
  <c r="M3204" i="1"/>
  <c r="F3204" i="1"/>
  <c r="D3204" i="1"/>
  <c r="C3204" i="1"/>
  <c r="M3203" i="1"/>
  <c r="F3203" i="1"/>
  <c r="D3203" i="1"/>
  <c r="C3203" i="1"/>
  <c r="M3202" i="1"/>
  <c r="F3202" i="1"/>
  <c r="D3202" i="1"/>
  <c r="C3202" i="1"/>
  <c r="M3201" i="1"/>
  <c r="F3201" i="1"/>
  <c r="D3201" i="1"/>
  <c r="C3201" i="1"/>
  <c r="M3200" i="1"/>
  <c r="F3200" i="1"/>
  <c r="D3200" i="1"/>
  <c r="C3200" i="1"/>
  <c r="M3199" i="1"/>
  <c r="F3199" i="1"/>
  <c r="D3199" i="1"/>
  <c r="C3199" i="1"/>
  <c r="M3198" i="1"/>
  <c r="F3198" i="1"/>
  <c r="D3198" i="1"/>
  <c r="C3198" i="1"/>
  <c r="M3197" i="1"/>
  <c r="F3197" i="1"/>
  <c r="D3197" i="1"/>
  <c r="C3197" i="1"/>
  <c r="M3196" i="1"/>
  <c r="F3196" i="1"/>
  <c r="D3196" i="1"/>
  <c r="C3196" i="1"/>
  <c r="M3195" i="1"/>
  <c r="F3195" i="1"/>
  <c r="D3195" i="1"/>
  <c r="C3195" i="1"/>
  <c r="M3194" i="1"/>
  <c r="F3194" i="1"/>
  <c r="D3194" i="1"/>
  <c r="C3194" i="1"/>
  <c r="M3193" i="1"/>
  <c r="F3193" i="1"/>
  <c r="D3193" i="1"/>
  <c r="C3193" i="1"/>
  <c r="M3192" i="1"/>
  <c r="F3192" i="1"/>
  <c r="D3192" i="1"/>
  <c r="C3192" i="1"/>
  <c r="M3191" i="1"/>
  <c r="F3191" i="1"/>
  <c r="D3191" i="1"/>
  <c r="C3191" i="1"/>
  <c r="M3190" i="1"/>
  <c r="F3190" i="1"/>
  <c r="D3190" i="1"/>
  <c r="C3190" i="1"/>
  <c r="M3189" i="1"/>
  <c r="F3189" i="1"/>
  <c r="D3189" i="1"/>
  <c r="C3189" i="1"/>
  <c r="M3188" i="1"/>
  <c r="F3188" i="1"/>
  <c r="D3188" i="1"/>
  <c r="C3188" i="1"/>
  <c r="M3187" i="1"/>
  <c r="F3187" i="1"/>
  <c r="D3187" i="1"/>
  <c r="C3187" i="1"/>
  <c r="M3186" i="1"/>
  <c r="F3186" i="1"/>
  <c r="D3186" i="1"/>
  <c r="C3186" i="1"/>
  <c r="M3185" i="1"/>
  <c r="F3185" i="1"/>
  <c r="D3185" i="1"/>
  <c r="C3185" i="1"/>
  <c r="M3184" i="1"/>
  <c r="F3184" i="1"/>
  <c r="D3184" i="1"/>
  <c r="C3184" i="1"/>
  <c r="M3183" i="1"/>
  <c r="F3183" i="1"/>
  <c r="D3183" i="1"/>
  <c r="C3183" i="1"/>
  <c r="M3182" i="1"/>
  <c r="F3182" i="1"/>
  <c r="D3182" i="1"/>
  <c r="C3182" i="1"/>
  <c r="M3181" i="1"/>
  <c r="F3181" i="1"/>
  <c r="D3181" i="1"/>
  <c r="C3181" i="1"/>
  <c r="M3180" i="1"/>
  <c r="F3180" i="1"/>
  <c r="D3180" i="1"/>
  <c r="C3180" i="1"/>
  <c r="M3179" i="1"/>
  <c r="F3179" i="1"/>
  <c r="D3179" i="1"/>
  <c r="C3179" i="1"/>
  <c r="M3178" i="1"/>
  <c r="F3178" i="1"/>
  <c r="D3178" i="1"/>
  <c r="C3178" i="1"/>
  <c r="M3177" i="1"/>
  <c r="F3177" i="1"/>
  <c r="D3177" i="1"/>
  <c r="C3177" i="1"/>
  <c r="M3176" i="1"/>
  <c r="F3176" i="1"/>
  <c r="D3176" i="1"/>
  <c r="C3176" i="1"/>
  <c r="M3175" i="1"/>
  <c r="F3175" i="1"/>
  <c r="D3175" i="1"/>
  <c r="C3175" i="1"/>
  <c r="M3174" i="1"/>
  <c r="F3174" i="1"/>
  <c r="D3174" i="1"/>
  <c r="C3174" i="1"/>
  <c r="M3173" i="1"/>
  <c r="F3173" i="1"/>
  <c r="D3173" i="1"/>
  <c r="C3173" i="1"/>
  <c r="M3172" i="1"/>
  <c r="F3172" i="1"/>
  <c r="D3172" i="1"/>
  <c r="C3172" i="1"/>
  <c r="M3171" i="1"/>
  <c r="F3171" i="1"/>
  <c r="D3171" i="1"/>
  <c r="C3171" i="1"/>
  <c r="M3170" i="1"/>
  <c r="F3170" i="1"/>
  <c r="D3170" i="1"/>
  <c r="C3170" i="1"/>
  <c r="M3169" i="1"/>
  <c r="F3169" i="1"/>
  <c r="D3169" i="1"/>
  <c r="C3169" i="1"/>
  <c r="M3168" i="1"/>
  <c r="F3168" i="1"/>
  <c r="D3168" i="1"/>
  <c r="C3168" i="1"/>
  <c r="M3167" i="1"/>
  <c r="F3167" i="1"/>
  <c r="D3167" i="1"/>
  <c r="C3167" i="1"/>
  <c r="M3166" i="1"/>
  <c r="F3166" i="1"/>
  <c r="D3166" i="1"/>
  <c r="C3166" i="1"/>
  <c r="M3165" i="1"/>
  <c r="F3165" i="1"/>
  <c r="D3165" i="1"/>
  <c r="C3165" i="1"/>
  <c r="M3164" i="1"/>
  <c r="F3164" i="1"/>
  <c r="D3164" i="1"/>
  <c r="C3164" i="1"/>
  <c r="M3163" i="1"/>
  <c r="F3163" i="1"/>
  <c r="D3163" i="1"/>
  <c r="C3163" i="1"/>
  <c r="M3162" i="1"/>
  <c r="F3162" i="1"/>
  <c r="D3162" i="1"/>
  <c r="C3162" i="1"/>
  <c r="M3161" i="1"/>
  <c r="F3161" i="1"/>
  <c r="D3161" i="1"/>
  <c r="C3161" i="1"/>
  <c r="M3160" i="1"/>
  <c r="F3160" i="1"/>
  <c r="D3160" i="1"/>
  <c r="C3160" i="1"/>
  <c r="M3159" i="1"/>
  <c r="F3159" i="1"/>
  <c r="D3159" i="1"/>
  <c r="C3159" i="1"/>
  <c r="M3158" i="1"/>
  <c r="F3158" i="1"/>
  <c r="D3158" i="1"/>
  <c r="C3158" i="1"/>
  <c r="M3157" i="1"/>
  <c r="F3157" i="1"/>
  <c r="D3157" i="1"/>
  <c r="C3157" i="1"/>
  <c r="M3156" i="1"/>
  <c r="F3156" i="1"/>
  <c r="D3156" i="1"/>
  <c r="C3156" i="1"/>
  <c r="M3155" i="1"/>
  <c r="F3155" i="1"/>
  <c r="D3155" i="1"/>
  <c r="C3155" i="1"/>
  <c r="M3154" i="1"/>
  <c r="F3154" i="1"/>
  <c r="D3154" i="1"/>
  <c r="C3154" i="1"/>
  <c r="M3153" i="1"/>
  <c r="F3153" i="1"/>
  <c r="D3153" i="1"/>
  <c r="C3153" i="1"/>
  <c r="M3152" i="1"/>
  <c r="F3152" i="1"/>
  <c r="D3152" i="1"/>
  <c r="C3152" i="1"/>
  <c r="M3151" i="1"/>
  <c r="F3151" i="1"/>
  <c r="D3151" i="1"/>
  <c r="C3151" i="1"/>
  <c r="M3150" i="1"/>
  <c r="F3150" i="1"/>
  <c r="D3150" i="1"/>
  <c r="C3150" i="1"/>
  <c r="M3149" i="1"/>
  <c r="F3149" i="1"/>
  <c r="D3149" i="1"/>
  <c r="C3149" i="1"/>
  <c r="M3148" i="1"/>
  <c r="F3148" i="1"/>
  <c r="D3148" i="1"/>
  <c r="C3148" i="1"/>
  <c r="M3147" i="1"/>
  <c r="F3147" i="1"/>
  <c r="D3147" i="1"/>
  <c r="C3147" i="1"/>
  <c r="M3146" i="1"/>
  <c r="F3146" i="1"/>
  <c r="D3146" i="1"/>
  <c r="C3146" i="1"/>
  <c r="M3145" i="1"/>
  <c r="F3145" i="1"/>
  <c r="D3145" i="1"/>
  <c r="C3145" i="1"/>
  <c r="M3144" i="1"/>
  <c r="F3144" i="1"/>
  <c r="D3144" i="1"/>
  <c r="C3144" i="1"/>
  <c r="M3143" i="1"/>
  <c r="F3143" i="1"/>
  <c r="D3143" i="1"/>
  <c r="C3143" i="1"/>
  <c r="M3142" i="1"/>
  <c r="F3142" i="1"/>
  <c r="D3142" i="1"/>
  <c r="C3142" i="1"/>
  <c r="M3141" i="1"/>
  <c r="F3141" i="1"/>
  <c r="D3141" i="1"/>
  <c r="C3141" i="1"/>
  <c r="M3140" i="1"/>
  <c r="F3140" i="1"/>
  <c r="D3140" i="1"/>
  <c r="C3140" i="1"/>
  <c r="M3139" i="1"/>
  <c r="F3139" i="1"/>
  <c r="D3139" i="1"/>
  <c r="C3139" i="1"/>
  <c r="M3138" i="1"/>
  <c r="F3138" i="1"/>
  <c r="D3138" i="1"/>
  <c r="C3138" i="1"/>
  <c r="M3137" i="1"/>
  <c r="F3137" i="1"/>
  <c r="D3137" i="1"/>
  <c r="C3137" i="1"/>
  <c r="M3136" i="1"/>
  <c r="F3136" i="1"/>
  <c r="D3136" i="1"/>
  <c r="C3136" i="1"/>
  <c r="M3135" i="1"/>
  <c r="F3135" i="1"/>
  <c r="D3135" i="1"/>
  <c r="C3135" i="1"/>
  <c r="M3134" i="1"/>
  <c r="F3134" i="1"/>
  <c r="D3134" i="1"/>
  <c r="C3134" i="1"/>
  <c r="M3133" i="1"/>
  <c r="F3133" i="1"/>
  <c r="D3133" i="1"/>
  <c r="C3133" i="1"/>
  <c r="M3132" i="1"/>
  <c r="F3132" i="1"/>
  <c r="D3132" i="1"/>
  <c r="C3132" i="1"/>
  <c r="M3131" i="1"/>
  <c r="F3131" i="1"/>
  <c r="D3131" i="1"/>
  <c r="C3131" i="1"/>
  <c r="M3130" i="1"/>
  <c r="F3130" i="1"/>
  <c r="D3130" i="1"/>
  <c r="C3130" i="1"/>
  <c r="M3129" i="1"/>
  <c r="F3129" i="1"/>
  <c r="D3129" i="1"/>
  <c r="C3129" i="1"/>
  <c r="M3128" i="1"/>
  <c r="F3128" i="1"/>
  <c r="D3128" i="1"/>
  <c r="C3128" i="1"/>
  <c r="M3127" i="1"/>
  <c r="F3127" i="1"/>
  <c r="D3127" i="1"/>
  <c r="C3127" i="1"/>
  <c r="M3126" i="1"/>
  <c r="F3126" i="1"/>
  <c r="D3126" i="1"/>
  <c r="C3126" i="1"/>
  <c r="M3125" i="1"/>
  <c r="F3125" i="1"/>
  <c r="D3125" i="1"/>
  <c r="C3125" i="1"/>
  <c r="M3124" i="1"/>
  <c r="F3124" i="1"/>
  <c r="D3124" i="1"/>
  <c r="C3124" i="1"/>
  <c r="M3123" i="1"/>
  <c r="F3123" i="1"/>
  <c r="D3123" i="1"/>
  <c r="C3123" i="1"/>
  <c r="M3122" i="1"/>
  <c r="F3122" i="1"/>
  <c r="D3122" i="1"/>
  <c r="C3122" i="1"/>
  <c r="M3121" i="1"/>
  <c r="F3121" i="1"/>
  <c r="D3121" i="1"/>
  <c r="C3121" i="1"/>
  <c r="M3120" i="1"/>
  <c r="F3120" i="1"/>
  <c r="D3120" i="1"/>
  <c r="C3120" i="1"/>
  <c r="M3119" i="1"/>
  <c r="F3119" i="1"/>
  <c r="D3119" i="1"/>
  <c r="C3119" i="1"/>
  <c r="M3118" i="1"/>
  <c r="F3118" i="1"/>
  <c r="D3118" i="1"/>
  <c r="C3118" i="1"/>
  <c r="M3117" i="1"/>
  <c r="F3117" i="1"/>
  <c r="D3117" i="1"/>
  <c r="C3117" i="1"/>
  <c r="M3116" i="1"/>
  <c r="F3116" i="1"/>
  <c r="D3116" i="1"/>
  <c r="C3116" i="1"/>
  <c r="M3115" i="1"/>
  <c r="F3115" i="1"/>
  <c r="D3115" i="1"/>
  <c r="C3115" i="1"/>
  <c r="M3114" i="1"/>
  <c r="F3114" i="1"/>
  <c r="D3114" i="1"/>
  <c r="C3114" i="1"/>
  <c r="M3113" i="1"/>
  <c r="F3113" i="1"/>
  <c r="D3113" i="1"/>
  <c r="C3113" i="1"/>
  <c r="M3112" i="1"/>
  <c r="F3112" i="1"/>
  <c r="D3112" i="1"/>
  <c r="C3112" i="1"/>
  <c r="M3111" i="1"/>
  <c r="F3111" i="1"/>
  <c r="D3111" i="1"/>
  <c r="C3111" i="1"/>
  <c r="M3110" i="1"/>
  <c r="F3110" i="1"/>
  <c r="D3110" i="1"/>
  <c r="C3110" i="1"/>
  <c r="M3109" i="1"/>
  <c r="F3109" i="1"/>
  <c r="D3109" i="1"/>
  <c r="C3109" i="1"/>
  <c r="M3108" i="1"/>
  <c r="F3108" i="1"/>
  <c r="D3108" i="1"/>
  <c r="C3108" i="1"/>
  <c r="M3107" i="1"/>
  <c r="F3107" i="1"/>
  <c r="D3107" i="1"/>
  <c r="C3107" i="1"/>
  <c r="M3106" i="1"/>
  <c r="F3106" i="1"/>
  <c r="D3106" i="1"/>
  <c r="C3106" i="1"/>
  <c r="M3105" i="1"/>
  <c r="F3105" i="1"/>
  <c r="D3105" i="1"/>
  <c r="C3105" i="1"/>
  <c r="M3104" i="1"/>
  <c r="F3104" i="1"/>
  <c r="D3104" i="1"/>
  <c r="C3104" i="1"/>
  <c r="M3103" i="1"/>
  <c r="F3103" i="1"/>
  <c r="D3103" i="1"/>
  <c r="C3103" i="1"/>
  <c r="M3102" i="1"/>
  <c r="F3102" i="1"/>
  <c r="D3102" i="1"/>
  <c r="C3102" i="1"/>
  <c r="M3101" i="1"/>
  <c r="F3101" i="1"/>
  <c r="D3101" i="1"/>
  <c r="C3101" i="1"/>
  <c r="M3100" i="1"/>
  <c r="F3100" i="1"/>
  <c r="D3100" i="1"/>
  <c r="C3100" i="1"/>
  <c r="M3099" i="1"/>
  <c r="F3099" i="1"/>
  <c r="D3099" i="1"/>
  <c r="C3099" i="1"/>
  <c r="M3098" i="1"/>
  <c r="F3098" i="1"/>
  <c r="D3098" i="1"/>
  <c r="C3098" i="1"/>
  <c r="M3097" i="1"/>
  <c r="F3097" i="1"/>
  <c r="D3097" i="1"/>
  <c r="C3097" i="1"/>
  <c r="M3096" i="1"/>
  <c r="F3096" i="1"/>
  <c r="D3096" i="1"/>
  <c r="C3096" i="1"/>
  <c r="M3095" i="1"/>
  <c r="F3095" i="1"/>
  <c r="D3095" i="1"/>
  <c r="C3095" i="1"/>
  <c r="M3094" i="1"/>
  <c r="F3094" i="1"/>
  <c r="D3094" i="1"/>
  <c r="C3094" i="1"/>
  <c r="M3093" i="1"/>
  <c r="F3093" i="1"/>
  <c r="D3093" i="1"/>
  <c r="C3093" i="1"/>
  <c r="M3092" i="1"/>
  <c r="F3092" i="1"/>
  <c r="D3092" i="1"/>
  <c r="C3092" i="1"/>
  <c r="M3091" i="1"/>
  <c r="F3091" i="1"/>
  <c r="D3091" i="1"/>
  <c r="C3091" i="1"/>
  <c r="M3090" i="1"/>
  <c r="F3090" i="1"/>
  <c r="D3090" i="1"/>
  <c r="C3090" i="1"/>
  <c r="M3089" i="1"/>
  <c r="H3089" i="1"/>
  <c r="F3089" i="1"/>
  <c r="D3089" i="1"/>
  <c r="C3089" i="1"/>
  <c r="M3088" i="1"/>
  <c r="I3088" i="1"/>
  <c r="H3088" i="1"/>
  <c r="F3088" i="1"/>
  <c r="D3088" i="1"/>
  <c r="C3088" i="1"/>
  <c r="M3087" i="1"/>
  <c r="I3087" i="1"/>
  <c r="H3087" i="1"/>
  <c r="F3087" i="1"/>
  <c r="D3087" i="1"/>
  <c r="C3087" i="1"/>
  <c r="M3086" i="1"/>
  <c r="I3086" i="1"/>
  <c r="H3086" i="1"/>
  <c r="F3086" i="1"/>
  <c r="D3086" i="1"/>
  <c r="C3086" i="1"/>
  <c r="M3085" i="1"/>
  <c r="I3085" i="1"/>
  <c r="H3085" i="1"/>
  <c r="F3085" i="1"/>
  <c r="D3085" i="1"/>
  <c r="C3085" i="1"/>
  <c r="M3084" i="1"/>
  <c r="I3084" i="1"/>
  <c r="H3084" i="1"/>
  <c r="F3084" i="1"/>
  <c r="D3084" i="1"/>
  <c r="C3084" i="1"/>
  <c r="M3083" i="1"/>
  <c r="I3083" i="1"/>
  <c r="H3083" i="1"/>
  <c r="F3083" i="1"/>
  <c r="D3083" i="1"/>
  <c r="C3083" i="1"/>
  <c r="M3082" i="1"/>
  <c r="I3082" i="1"/>
  <c r="H3082" i="1"/>
  <c r="F3082" i="1"/>
  <c r="D3082" i="1"/>
  <c r="C3082" i="1"/>
  <c r="M3081" i="1"/>
  <c r="I3081" i="1"/>
  <c r="H3081" i="1"/>
  <c r="F3081" i="1"/>
  <c r="D3081" i="1"/>
  <c r="C3081" i="1"/>
  <c r="M3080" i="1"/>
  <c r="I3080" i="1"/>
  <c r="H3080" i="1"/>
  <c r="F3080" i="1"/>
  <c r="D3080" i="1"/>
  <c r="C3080" i="1"/>
  <c r="M3079" i="1"/>
  <c r="I3079" i="1"/>
  <c r="H3079" i="1"/>
  <c r="F3079" i="1"/>
  <c r="D3079" i="1"/>
  <c r="C3079" i="1"/>
  <c r="M3078" i="1"/>
  <c r="I3078" i="1"/>
  <c r="H3078" i="1"/>
  <c r="F3078" i="1"/>
  <c r="D3078" i="1"/>
  <c r="C3078" i="1"/>
  <c r="M3077" i="1"/>
  <c r="I3077" i="1"/>
  <c r="H3077" i="1"/>
  <c r="F3077" i="1"/>
  <c r="D3077" i="1"/>
  <c r="C3077" i="1"/>
  <c r="M3076" i="1"/>
  <c r="I3076" i="1"/>
  <c r="H3076" i="1"/>
  <c r="F3076" i="1"/>
  <c r="D3076" i="1"/>
  <c r="C3076" i="1"/>
  <c r="M3075" i="1"/>
  <c r="I3075" i="1"/>
  <c r="H3075" i="1"/>
  <c r="F3075" i="1"/>
  <c r="D3075" i="1"/>
  <c r="C3075" i="1"/>
  <c r="M3074" i="1"/>
  <c r="I3074" i="1"/>
  <c r="H3074" i="1"/>
  <c r="F3074" i="1"/>
  <c r="D3074" i="1"/>
  <c r="C3074" i="1"/>
  <c r="M3073" i="1"/>
  <c r="I3073" i="1"/>
  <c r="H3073" i="1"/>
  <c r="F3073" i="1"/>
  <c r="D3073" i="1"/>
  <c r="C3073" i="1"/>
  <c r="M3072" i="1"/>
  <c r="I3072" i="1"/>
  <c r="H3072" i="1"/>
  <c r="F3072" i="1"/>
  <c r="D3072" i="1"/>
  <c r="C3072" i="1"/>
  <c r="M3071" i="1"/>
  <c r="I3071" i="1"/>
  <c r="H3071" i="1"/>
  <c r="F3071" i="1"/>
  <c r="D3071" i="1"/>
  <c r="C3071" i="1"/>
  <c r="M3070" i="1"/>
  <c r="I3070" i="1"/>
  <c r="H3070" i="1"/>
  <c r="F3070" i="1"/>
  <c r="D3070" i="1"/>
  <c r="C3070" i="1"/>
  <c r="M3069" i="1"/>
  <c r="I3069" i="1"/>
  <c r="H3069" i="1"/>
  <c r="F3069" i="1"/>
  <c r="D3069" i="1"/>
  <c r="C3069" i="1"/>
  <c r="M3068" i="1"/>
  <c r="I3068" i="1"/>
  <c r="H3068" i="1"/>
  <c r="F3068" i="1"/>
  <c r="D3068" i="1"/>
  <c r="C3068" i="1"/>
  <c r="M3067" i="1"/>
  <c r="I3067" i="1"/>
  <c r="H3067" i="1"/>
  <c r="F3067" i="1"/>
  <c r="D3067" i="1"/>
  <c r="C3067" i="1"/>
  <c r="M3066" i="1"/>
  <c r="K3066" i="1"/>
  <c r="I3066" i="1"/>
  <c r="H3066" i="1"/>
  <c r="F3066" i="1"/>
  <c r="D3066" i="1"/>
  <c r="C3066" i="1"/>
  <c r="M3065" i="1"/>
  <c r="K3065" i="1"/>
  <c r="I3065" i="1"/>
  <c r="H3065" i="1"/>
  <c r="F3065" i="1"/>
  <c r="D3065" i="1"/>
  <c r="C3065" i="1"/>
  <c r="M3064" i="1"/>
  <c r="K3064" i="1"/>
  <c r="I3064" i="1"/>
  <c r="H3064" i="1"/>
  <c r="F3064" i="1"/>
  <c r="D3064" i="1"/>
  <c r="C3064" i="1"/>
  <c r="M3063" i="1"/>
  <c r="K3063" i="1"/>
  <c r="I3063" i="1"/>
  <c r="H3063" i="1"/>
  <c r="F3063" i="1"/>
  <c r="D3063" i="1"/>
  <c r="C3063" i="1"/>
  <c r="M3062" i="1"/>
  <c r="K3062" i="1"/>
  <c r="I3062" i="1"/>
  <c r="H3062" i="1"/>
  <c r="F3062" i="1"/>
  <c r="D3062" i="1"/>
  <c r="C3062" i="1"/>
  <c r="M3061" i="1"/>
  <c r="K3061" i="1"/>
  <c r="I3061" i="1"/>
  <c r="H3061" i="1"/>
  <c r="F3061" i="1"/>
  <c r="D3061" i="1"/>
  <c r="C3061" i="1"/>
  <c r="M3060" i="1"/>
  <c r="K3060" i="1"/>
  <c r="I3060" i="1"/>
  <c r="H3060" i="1"/>
  <c r="F3060" i="1"/>
  <c r="D3060" i="1"/>
  <c r="C3060" i="1"/>
  <c r="M3059" i="1"/>
  <c r="K3059" i="1"/>
  <c r="I3059" i="1"/>
  <c r="H3059" i="1"/>
  <c r="F3059" i="1"/>
  <c r="D3059" i="1"/>
  <c r="C3059" i="1"/>
  <c r="M3058" i="1"/>
  <c r="K3058" i="1"/>
  <c r="I3058" i="1"/>
  <c r="H3058" i="1"/>
  <c r="F3058" i="1"/>
  <c r="D3058" i="1"/>
  <c r="C3058" i="1"/>
  <c r="M3057" i="1"/>
  <c r="K3057" i="1"/>
  <c r="I3057" i="1"/>
  <c r="H3057" i="1"/>
  <c r="F3057" i="1"/>
  <c r="D3057" i="1"/>
  <c r="C3057" i="1"/>
  <c r="M3056" i="1"/>
  <c r="K3056" i="1"/>
  <c r="I3056" i="1"/>
  <c r="H3056" i="1"/>
  <c r="F3056" i="1"/>
  <c r="D3056" i="1"/>
  <c r="C3056" i="1"/>
  <c r="M3055" i="1"/>
  <c r="K3055" i="1"/>
  <c r="I3055" i="1"/>
  <c r="H3055" i="1"/>
  <c r="F3055" i="1"/>
  <c r="D3055" i="1"/>
  <c r="C3055" i="1"/>
  <c r="M3054" i="1"/>
  <c r="K3054" i="1"/>
  <c r="I3054" i="1"/>
  <c r="H3054" i="1"/>
  <c r="F3054" i="1"/>
  <c r="D3054" i="1"/>
  <c r="C3054" i="1"/>
  <c r="M3053" i="1"/>
  <c r="K3053" i="1"/>
  <c r="I3053" i="1"/>
  <c r="H3053" i="1"/>
  <c r="F3053" i="1"/>
  <c r="D3053" i="1"/>
  <c r="C3053" i="1"/>
  <c r="M3052" i="1"/>
  <c r="K3052" i="1"/>
  <c r="I3052" i="1"/>
  <c r="H3052" i="1"/>
  <c r="F3052" i="1"/>
  <c r="D3052" i="1"/>
  <c r="C3052" i="1"/>
  <c r="M3051" i="1"/>
  <c r="K3051" i="1"/>
  <c r="I3051" i="1"/>
  <c r="H3051" i="1"/>
  <c r="F3051" i="1"/>
  <c r="D3051" i="1"/>
  <c r="C3051" i="1"/>
  <c r="M3050" i="1"/>
  <c r="K3050" i="1"/>
  <c r="I3050" i="1"/>
  <c r="H3050" i="1"/>
  <c r="F3050" i="1"/>
  <c r="D3050" i="1"/>
  <c r="C3050" i="1"/>
  <c r="M3049" i="1"/>
  <c r="K3049" i="1"/>
  <c r="I3049" i="1"/>
  <c r="H3049" i="1"/>
  <c r="F3049" i="1"/>
  <c r="D3049" i="1"/>
  <c r="C3049" i="1"/>
  <c r="M3048" i="1"/>
  <c r="K3048" i="1"/>
  <c r="I3048" i="1"/>
  <c r="H3048" i="1"/>
  <c r="F3048" i="1"/>
  <c r="D3048" i="1"/>
  <c r="C3048" i="1"/>
  <c r="M3047" i="1"/>
  <c r="K3047" i="1"/>
  <c r="I3047" i="1"/>
  <c r="H3047" i="1"/>
  <c r="F3047" i="1"/>
  <c r="D3047" i="1"/>
  <c r="C3047" i="1"/>
  <c r="M3046" i="1"/>
  <c r="K3046" i="1"/>
  <c r="I3046" i="1"/>
  <c r="H3046" i="1"/>
  <c r="F3046" i="1"/>
  <c r="D3046" i="1"/>
  <c r="C3046" i="1"/>
  <c r="M3045" i="1"/>
  <c r="K3045" i="1"/>
  <c r="I3045" i="1"/>
  <c r="H3045" i="1"/>
  <c r="F3045" i="1"/>
  <c r="D3045" i="1"/>
  <c r="C3045" i="1"/>
  <c r="M3044" i="1"/>
  <c r="K3044" i="1"/>
  <c r="I3044" i="1"/>
  <c r="H3044" i="1"/>
  <c r="F3044" i="1"/>
  <c r="D3044" i="1"/>
  <c r="C3044" i="1"/>
  <c r="M3043" i="1"/>
  <c r="K3043" i="1"/>
  <c r="I3043" i="1"/>
  <c r="H3043" i="1"/>
  <c r="F3043" i="1"/>
  <c r="D3043" i="1"/>
  <c r="C3043" i="1"/>
  <c r="M3042" i="1"/>
  <c r="K3042" i="1"/>
  <c r="I3042" i="1"/>
  <c r="H3042" i="1"/>
  <c r="F3042" i="1"/>
  <c r="D3042" i="1"/>
  <c r="C3042" i="1"/>
  <c r="M3041" i="1"/>
  <c r="K3041" i="1"/>
  <c r="I3041" i="1"/>
  <c r="H3041" i="1"/>
  <c r="F3041" i="1"/>
  <c r="D3041" i="1"/>
  <c r="C3041" i="1"/>
  <c r="M3040" i="1"/>
  <c r="K3040" i="1"/>
  <c r="I3040" i="1"/>
  <c r="H3040" i="1"/>
  <c r="F3040" i="1"/>
  <c r="D3040" i="1"/>
  <c r="C3040" i="1"/>
  <c r="M3039" i="1"/>
  <c r="K3039" i="1"/>
  <c r="I3039" i="1"/>
  <c r="H3039" i="1"/>
  <c r="F3039" i="1"/>
  <c r="D3039" i="1"/>
  <c r="C3039" i="1"/>
  <c r="M3038" i="1"/>
  <c r="K3038" i="1"/>
  <c r="I3038" i="1"/>
  <c r="H3038" i="1"/>
  <c r="F3038" i="1"/>
  <c r="D3038" i="1"/>
  <c r="C3038" i="1"/>
  <c r="M3037" i="1"/>
  <c r="K3037" i="1"/>
  <c r="I3037" i="1"/>
  <c r="H3037" i="1"/>
  <c r="F3037" i="1"/>
  <c r="D3037" i="1"/>
  <c r="C3037" i="1"/>
  <c r="M3036" i="1"/>
  <c r="K3036" i="1"/>
  <c r="I3036" i="1"/>
  <c r="H3036" i="1"/>
  <c r="F3036" i="1"/>
  <c r="D3036" i="1"/>
  <c r="C3036" i="1"/>
  <c r="M3035" i="1"/>
  <c r="K3035" i="1"/>
  <c r="I3035" i="1"/>
  <c r="H3035" i="1"/>
  <c r="F3035" i="1"/>
  <c r="D3035" i="1"/>
  <c r="C3035" i="1"/>
  <c r="M3034" i="1"/>
  <c r="K3034" i="1"/>
  <c r="I3034" i="1"/>
  <c r="H3034" i="1"/>
  <c r="F3034" i="1"/>
  <c r="D3034" i="1"/>
  <c r="C3034" i="1"/>
  <c r="M3033" i="1"/>
  <c r="K3033" i="1"/>
  <c r="I3033" i="1"/>
  <c r="H3033" i="1"/>
  <c r="F3033" i="1"/>
  <c r="D3033" i="1"/>
  <c r="C3033" i="1"/>
  <c r="M3032" i="1"/>
  <c r="K3032" i="1"/>
  <c r="I3032" i="1"/>
  <c r="H3032" i="1"/>
  <c r="F3032" i="1"/>
  <c r="D3032" i="1"/>
  <c r="C3032" i="1"/>
  <c r="M3031" i="1"/>
  <c r="K3031" i="1"/>
  <c r="I3031" i="1"/>
  <c r="H3031" i="1"/>
  <c r="F3031" i="1"/>
  <c r="D3031" i="1"/>
  <c r="C3031" i="1"/>
  <c r="M3030" i="1"/>
  <c r="K3030" i="1"/>
  <c r="I3030" i="1"/>
  <c r="H3030" i="1"/>
  <c r="F3030" i="1"/>
  <c r="D3030" i="1"/>
  <c r="C3030" i="1"/>
  <c r="M3029" i="1"/>
  <c r="K3029" i="1"/>
  <c r="I3029" i="1"/>
  <c r="H3029" i="1"/>
  <c r="F3029" i="1"/>
  <c r="D3029" i="1"/>
  <c r="C3029" i="1"/>
  <c r="M3028" i="1"/>
  <c r="K3028" i="1"/>
  <c r="I3028" i="1"/>
  <c r="H3028" i="1"/>
  <c r="F3028" i="1"/>
  <c r="D3028" i="1"/>
  <c r="C3028" i="1"/>
  <c r="M3027" i="1"/>
  <c r="K3027" i="1"/>
  <c r="I3027" i="1"/>
  <c r="H3027" i="1"/>
  <c r="F3027" i="1"/>
  <c r="D3027" i="1"/>
  <c r="C3027" i="1"/>
  <c r="M3026" i="1"/>
  <c r="K3026" i="1"/>
  <c r="I3026" i="1"/>
  <c r="H3026" i="1"/>
  <c r="F3026" i="1"/>
  <c r="D3026" i="1"/>
  <c r="C3026" i="1"/>
  <c r="M3025" i="1"/>
  <c r="K3025" i="1"/>
  <c r="I3025" i="1"/>
  <c r="H3025" i="1"/>
  <c r="F3025" i="1"/>
  <c r="D3025" i="1"/>
  <c r="C3025" i="1"/>
  <c r="M3024" i="1"/>
  <c r="K3024" i="1"/>
  <c r="I3024" i="1"/>
  <c r="H3024" i="1"/>
  <c r="F3024" i="1"/>
  <c r="D3024" i="1"/>
  <c r="C3024" i="1"/>
  <c r="M3023" i="1"/>
  <c r="K3023" i="1"/>
  <c r="I3023" i="1"/>
  <c r="H3023" i="1"/>
  <c r="F3023" i="1"/>
  <c r="D3023" i="1"/>
  <c r="C3023" i="1"/>
  <c r="M3022" i="1"/>
  <c r="K3022" i="1"/>
  <c r="I3022" i="1"/>
  <c r="H3022" i="1"/>
  <c r="F3022" i="1"/>
  <c r="D3022" i="1"/>
  <c r="C3022" i="1"/>
  <c r="M3021" i="1"/>
  <c r="K3021" i="1"/>
  <c r="I3021" i="1"/>
  <c r="H3021" i="1"/>
  <c r="F3021" i="1"/>
  <c r="D3021" i="1"/>
  <c r="C3021" i="1"/>
  <c r="M3020" i="1"/>
  <c r="K3020" i="1"/>
  <c r="J3020" i="1"/>
  <c r="I3020" i="1"/>
  <c r="H3020" i="1"/>
  <c r="F3020" i="1"/>
  <c r="D3020" i="1"/>
  <c r="C3020" i="1"/>
  <c r="M3019" i="1"/>
  <c r="K3019" i="1"/>
  <c r="J3019" i="1"/>
  <c r="I3019" i="1"/>
  <c r="H3019" i="1"/>
  <c r="F3019" i="1"/>
  <c r="D3019" i="1"/>
  <c r="C3019" i="1"/>
  <c r="M3018" i="1"/>
  <c r="K3018" i="1"/>
  <c r="J3018" i="1"/>
  <c r="I3018" i="1"/>
  <c r="H3018" i="1"/>
  <c r="F3018" i="1"/>
  <c r="D3018" i="1"/>
  <c r="C3018" i="1"/>
  <c r="M3017" i="1"/>
  <c r="K3017" i="1"/>
  <c r="J3017" i="1"/>
  <c r="I3017" i="1"/>
  <c r="H3017" i="1"/>
  <c r="F3017" i="1"/>
  <c r="E3017" i="1"/>
  <c r="D3017" i="1"/>
  <c r="C3017" i="1"/>
  <c r="M3016" i="1"/>
  <c r="K3016" i="1"/>
  <c r="J3016" i="1"/>
  <c r="I3016" i="1"/>
  <c r="H3016" i="1"/>
  <c r="F3016" i="1"/>
  <c r="E3016" i="1"/>
  <c r="D3016" i="1"/>
  <c r="C3016" i="1"/>
  <c r="M3015" i="1"/>
  <c r="K3015" i="1"/>
  <c r="J3015" i="1"/>
  <c r="I3015" i="1"/>
  <c r="H3015" i="1"/>
  <c r="F3015" i="1"/>
  <c r="E3015" i="1"/>
  <c r="D3015" i="1"/>
  <c r="C3015" i="1"/>
  <c r="M3014" i="1"/>
  <c r="K3014" i="1"/>
  <c r="J3014" i="1"/>
  <c r="I3014" i="1"/>
  <c r="H3014" i="1"/>
  <c r="F3014" i="1"/>
  <c r="E3014" i="1"/>
  <c r="D3014" i="1"/>
  <c r="C3014" i="1"/>
  <c r="M3013" i="1"/>
  <c r="K3013" i="1"/>
  <c r="J3013" i="1"/>
  <c r="I3013" i="1"/>
  <c r="H3013" i="1"/>
  <c r="F3013" i="1"/>
  <c r="E3013" i="1"/>
  <c r="D3013" i="1"/>
  <c r="C3013" i="1"/>
  <c r="M3012" i="1"/>
  <c r="K3012" i="1"/>
  <c r="J3012" i="1"/>
  <c r="I3012" i="1"/>
  <c r="H3012" i="1"/>
  <c r="F3012" i="1"/>
  <c r="E3012" i="1"/>
  <c r="D3012" i="1"/>
  <c r="C3012" i="1"/>
  <c r="M3011" i="1"/>
  <c r="K3011" i="1"/>
  <c r="J3011" i="1"/>
  <c r="I3011" i="1"/>
  <c r="H3011" i="1"/>
  <c r="F3011" i="1"/>
  <c r="E3011" i="1"/>
  <c r="D3011" i="1"/>
  <c r="C3011" i="1"/>
  <c r="M3010" i="1"/>
  <c r="K3010" i="1"/>
  <c r="J3010" i="1"/>
  <c r="I3010" i="1"/>
  <c r="H3010" i="1"/>
  <c r="F3010" i="1"/>
  <c r="E3010" i="1"/>
  <c r="D3010" i="1"/>
  <c r="C3010" i="1"/>
  <c r="M3009" i="1"/>
  <c r="K3009" i="1"/>
  <c r="J3009" i="1"/>
  <c r="I3009" i="1"/>
  <c r="H3009" i="1"/>
  <c r="F3009" i="1"/>
  <c r="E3009" i="1"/>
  <c r="D3009" i="1"/>
  <c r="C3009" i="1"/>
  <c r="M3008" i="1"/>
  <c r="K3008" i="1"/>
  <c r="J3008" i="1"/>
  <c r="I3008" i="1"/>
  <c r="H3008" i="1"/>
  <c r="F3008" i="1"/>
  <c r="E3008" i="1"/>
  <c r="D3008" i="1"/>
  <c r="C3008" i="1"/>
  <c r="M3007" i="1"/>
  <c r="K3007" i="1"/>
  <c r="J3007" i="1"/>
  <c r="I3007" i="1"/>
  <c r="H3007" i="1"/>
  <c r="F3007" i="1"/>
  <c r="E3007" i="1"/>
  <c r="D3007" i="1"/>
  <c r="C3007" i="1"/>
  <c r="M3006" i="1"/>
  <c r="K3006" i="1"/>
  <c r="J3006" i="1"/>
  <c r="I3006" i="1"/>
  <c r="H3006" i="1"/>
  <c r="F3006" i="1"/>
  <c r="E3006" i="1"/>
  <c r="D3006" i="1"/>
  <c r="C3006" i="1"/>
  <c r="M3005" i="1"/>
  <c r="K3005" i="1"/>
  <c r="J3005" i="1"/>
  <c r="I3005" i="1"/>
  <c r="H3005" i="1"/>
  <c r="F3005" i="1"/>
  <c r="E3005" i="1"/>
  <c r="D3005" i="1"/>
  <c r="C3005" i="1"/>
  <c r="M3004" i="1"/>
  <c r="K3004" i="1"/>
  <c r="J3004" i="1"/>
  <c r="I3004" i="1"/>
  <c r="H3004" i="1"/>
  <c r="F3004" i="1"/>
  <c r="E3004" i="1"/>
  <c r="D3004" i="1"/>
  <c r="C3004" i="1"/>
  <c r="M3003" i="1"/>
  <c r="K3003" i="1"/>
  <c r="J3003" i="1"/>
  <c r="I3003" i="1"/>
  <c r="H3003" i="1"/>
  <c r="F3003" i="1"/>
  <c r="E3003" i="1"/>
  <c r="D3003" i="1"/>
  <c r="C3003" i="1"/>
  <c r="M3002" i="1"/>
  <c r="K3002" i="1"/>
  <c r="J3002" i="1"/>
  <c r="I3002" i="1"/>
  <c r="H3002" i="1"/>
  <c r="F3002" i="1"/>
  <c r="E3002" i="1"/>
  <c r="D3002" i="1"/>
  <c r="C3002" i="1"/>
  <c r="M3001" i="1"/>
  <c r="K3001" i="1"/>
  <c r="J3001" i="1"/>
  <c r="I3001" i="1"/>
  <c r="H3001" i="1"/>
  <c r="F3001" i="1"/>
  <c r="E3001" i="1"/>
  <c r="D3001" i="1"/>
  <c r="C3001" i="1"/>
  <c r="M3000" i="1"/>
  <c r="K3000" i="1"/>
  <c r="J3000" i="1"/>
  <c r="I3000" i="1"/>
  <c r="H3000" i="1"/>
  <c r="F3000" i="1"/>
  <c r="E3000" i="1"/>
  <c r="D3000" i="1"/>
  <c r="C3000" i="1"/>
  <c r="M2999" i="1"/>
  <c r="K2999" i="1"/>
  <c r="J2999" i="1"/>
  <c r="I2999" i="1"/>
  <c r="H2999" i="1"/>
  <c r="F2999" i="1"/>
  <c r="E2999" i="1"/>
  <c r="D2999" i="1"/>
  <c r="C2999" i="1"/>
  <c r="M2998" i="1"/>
  <c r="K2998" i="1"/>
  <c r="J2998" i="1"/>
  <c r="I2998" i="1"/>
  <c r="H2998" i="1"/>
  <c r="F2998" i="1"/>
  <c r="E2998" i="1"/>
  <c r="D2998" i="1"/>
  <c r="C2998" i="1"/>
  <c r="M2997" i="1"/>
  <c r="K2997" i="1"/>
  <c r="J2997" i="1"/>
  <c r="I2997" i="1"/>
  <c r="H2997" i="1"/>
  <c r="F2997" i="1"/>
  <c r="E2997" i="1"/>
  <c r="D2997" i="1"/>
  <c r="C2997" i="1"/>
  <c r="M2996" i="1"/>
  <c r="K2996" i="1"/>
  <c r="J2996" i="1"/>
  <c r="I2996" i="1"/>
  <c r="H2996" i="1"/>
  <c r="F2996" i="1"/>
  <c r="E2996" i="1"/>
  <c r="D2996" i="1"/>
  <c r="C2996" i="1"/>
  <c r="M2995" i="1"/>
  <c r="K2995" i="1"/>
  <c r="J2995" i="1"/>
  <c r="I2995" i="1"/>
  <c r="H2995" i="1"/>
  <c r="F2995" i="1"/>
  <c r="E2995" i="1"/>
  <c r="D2995" i="1"/>
  <c r="C2995" i="1"/>
  <c r="M2994" i="1"/>
  <c r="K2994" i="1"/>
  <c r="J2994" i="1"/>
  <c r="I2994" i="1"/>
  <c r="H2994" i="1"/>
  <c r="F2994" i="1"/>
  <c r="E2994" i="1"/>
  <c r="D2994" i="1"/>
  <c r="C2994" i="1"/>
  <c r="M2993" i="1"/>
  <c r="K2993" i="1"/>
  <c r="J2993" i="1"/>
  <c r="I2993" i="1"/>
  <c r="H2993" i="1"/>
  <c r="F2993" i="1"/>
  <c r="E2993" i="1"/>
  <c r="D2993" i="1"/>
  <c r="C2993" i="1"/>
  <c r="M2992" i="1"/>
  <c r="K2992" i="1"/>
  <c r="J2992" i="1"/>
  <c r="I2992" i="1"/>
  <c r="H2992" i="1"/>
  <c r="F2992" i="1"/>
  <c r="E2992" i="1"/>
  <c r="D2992" i="1"/>
  <c r="C2992" i="1"/>
  <c r="M2991" i="1"/>
  <c r="K2991" i="1"/>
  <c r="J2991" i="1"/>
  <c r="I2991" i="1"/>
  <c r="H2991" i="1"/>
  <c r="F2991" i="1"/>
  <c r="E2991" i="1"/>
  <c r="D2991" i="1"/>
  <c r="C2991" i="1"/>
  <c r="M2990" i="1"/>
  <c r="K2990" i="1"/>
  <c r="J2990" i="1"/>
  <c r="I2990" i="1"/>
  <c r="H2990" i="1"/>
  <c r="F2990" i="1"/>
  <c r="E2990" i="1"/>
  <c r="D2990" i="1"/>
  <c r="C2990" i="1"/>
  <c r="M2989" i="1"/>
  <c r="K2989" i="1"/>
  <c r="J2989" i="1"/>
  <c r="I2989" i="1"/>
  <c r="H2989" i="1"/>
  <c r="F2989" i="1"/>
  <c r="E2989" i="1"/>
  <c r="D2989" i="1"/>
  <c r="C2989" i="1"/>
  <c r="M2988" i="1"/>
  <c r="K2988" i="1"/>
  <c r="J2988" i="1"/>
  <c r="I2988" i="1"/>
  <c r="H2988" i="1"/>
  <c r="F2988" i="1"/>
  <c r="E2988" i="1"/>
  <c r="D2988" i="1"/>
  <c r="C2988" i="1"/>
  <c r="M2987" i="1"/>
  <c r="K2987" i="1"/>
  <c r="J2987" i="1"/>
  <c r="I2987" i="1"/>
  <c r="H2987" i="1"/>
  <c r="F2987" i="1"/>
  <c r="E2987" i="1"/>
  <c r="D2987" i="1"/>
  <c r="C2987" i="1"/>
  <c r="M2986" i="1"/>
  <c r="K2986" i="1"/>
  <c r="J2986" i="1"/>
  <c r="I2986" i="1"/>
  <c r="H2986" i="1"/>
  <c r="F2986" i="1"/>
  <c r="E2986" i="1"/>
  <c r="D2986" i="1"/>
  <c r="C2986" i="1"/>
  <c r="M2985" i="1"/>
  <c r="K2985" i="1"/>
  <c r="J2985" i="1"/>
  <c r="I2985" i="1"/>
  <c r="H2985" i="1"/>
  <c r="F2985" i="1"/>
  <c r="E2985" i="1"/>
  <c r="D2985" i="1"/>
  <c r="C2985" i="1"/>
  <c r="M2984" i="1"/>
  <c r="K2984" i="1"/>
  <c r="J2984" i="1"/>
  <c r="I2984" i="1"/>
  <c r="H2984" i="1"/>
  <c r="F2984" i="1"/>
  <c r="E2984" i="1"/>
  <c r="D2984" i="1"/>
  <c r="C2984" i="1"/>
  <c r="M2983" i="1"/>
  <c r="K2983" i="1"/>
  <c r="J2983" i="1"/>
  <c r="I2983" i="1"/>
  <c r="H2983" i="1"/>
  <c r="F2983" i="1"/>
  <c r="E2983" i="1"/>
  <c r="D2983" i="1"/>
  <c r="C2983" i="1"/>
  <c r="M2982" i="1"/>
  <c r="K2982" i="1"/>
  <c r="J2982" i="1"/>
  <c r="I2982" i="1"/>
  <c r="H2982" i="1"/>
  <c r="F2982" i="1"/>
  <c r="E2982" i="1"/>
  <c r="D2982" i="1"/>
  <c r="C2982" i="1"/>
  <c r="M2981" i="1"/>
  <c r="K2981" i="1"/>
  <c r="J2981" i="1"/>
  <c r="I2981" i="1"/>
  <c r="H2981" i="1"/>
  <c r="F2981" i="1"/>
  <c r="E2981" i="1"/>
  <c r="D2981" i="1"/>
  <c r="C2981" i="1"/>
  <c r="M2980" i="1"/>
  <c r="K2980" i="1"/>
  <c r="J2980" i="1"/>
  <c r="I2980" i="1"/>
  <c r="H2980" i="1"/>
  <c r="F2980" i="1"/>
  <c r="E2980" i="1"/>
  <c r="D2980" i="1"/>
  <c r="C2980" i="1"/>
  <c r="M2979" i="1"/>
  <c r="K2979" i="1"/>
  <c r="J2979" i="1"/>
  <c r="I2979" i="1"/>
  <c r="H2979" i="1"/>
  <c r="F2979" i="1"/>
  <c r="E2979" i="1"/>
  <c r="D2979" i="1"/>
  <c r="C2979" i="1"/>
  <c r="M2978" i="1"/>
  <c r="K2978" i="1"/>
  <c r="J2978" i="1"/>
  <c r="I2978" i="1"/>
  <c r="H2978" i="1"/>
  <c r="F2978" i="1"/>
  <c r="E2978" i="1"/>
  <c r="D2978" i="1"/>
  <c r="C2978" i="1"/>
  <c r="M2977" i="1"/>
  <c r="K2977" i="1"/>
  <c r="J2977" i="1"/>
  <c r="I2977" i="1"/>
  <c r="H2977" i="1"/>
  <c r="F2977" i="1"/>
  <c r="E2977" i="1"/>
  <c r="D2977" i="1"/>
  <c r="C2977" i="1"/>
  <c r="M2976" i="1"/>
  <c r="K2976" i="1"/>
  <c r="J2976" i="1"/>
  <c r="I2976" i="1"/>
  <c r="H2976" i="1"/>
  <c r="F2976" i="1"/>
  <c r="E2976" i="1"/>
  <c r="D2976" i="1"/>
  <c r="C2976" i="1"/>
  <c r="M2975" i="1"/>
  <c r="K2975" i="1"/>
  <c r="J2975" i="1"/>
  <c r="I2975" i="1"/>
  <c r="H2975" i="1"/>
  <c r="F2975" i="1"/>
  <c r="E2975" i="1"/>
  <c r="D2975" i="1"/>
  <c r="C2975" i="1"/>
  <c r="M2974" i="1"/>
  <c r="K2974" i="1"/>
  <c r="J2974" i="1"/>
  <c r="I2974" i="1"/>
  <c r="H2974" i="1"/>
  <c r="G2974" i="1"/>
  <c r="F2974" i="1"/>
  <c r="E2974" i="1"/>
  <c r="D2974" i="1"/>
  <c r="C2974" i="1"/>
  <c r="M2973" i="1"/>
  <c r="K2973" i="1"/>
  <c r="J2973" i="1"/>
  <c r="I2973" i="1"/>
  <c r="H2973" i="1"/>
  <c r="G2973" i="1"/>
  <c r="F2973" i="1"/>
  <c r="E2973" i="1"/>
  <c r="D2973" i="1"/>
  <c r="C2973" i="1"/>
  <c r="M2972" i="1"/>
  <c r="K2972" i="1"/>
  <c r="J2972" i="1"/>
  <c r="I2972" i="1"/>
  <c r="H2972" i="1"/>
  <c r="G2972" i="1"/>
  <c r="F2972" i="1"/>
  <c r="E2972" i="1"/>
  <c r="D2972" i="1"/>
  <c r="C2972" i="1"/>
  <c r="M2971" i="1"/>
  <c r="K2971" i="1"/>
  <c r="J2971" i="1"/>
  <c r="I2971" i="1"/>
  <c r="H2971" i="1"/>
  <c r="G2971" i="1"/>
  <c r="F2971" i="1"/>
  <c r="E2971" i="1"/>
  <c r="D2971" i="1"/>
  <c r="C2971" i="1"/>
  <c r="M2970" i="1"/>
  <c r="K2970" i="1"/>
  <c r="J2970" i="1"/>
  <c r="I2970" i="1"/>
  <c r="H2970" i="1"/>
  <c r="G2970" i="1"/>
  <c r="F2970" i="1"/>
  <c r="E2970" i="1"/>
  <c r="D2970" i="1"/>
  <c r="C2970" i="1"/>
  <c r="M2969" i="1"/>
  <c r="K2969" i="1"/>
  <c r="J2969" i="1"/>
  <c r="I2969" i="1"/>
  <c r="H2969" i="1"/>
  <c r="G2969" i="1"/>
  <c r="F2969" i="1"/>
  <c r="E2969" i="1"/>
  <c r="D2969" i="1"/>
  <c r="C2969" i="1"/>
  <c r="M2968" i="1"/>
  <c r="K2968" i="1"/>
  <c r="J2968" i="1"/>
  <c r="I2968" i="1"/>
  <c r="H2968" i="1"/>
  <c r="G2968" i="1"/>
  <c r="F2968" i="1"/>
  <c r="E2968" i="1"/>
  <c r="D2968" i="1"/>
  <c r="C2968" i="1"/>
  <c r="M2967" i="1"/>
  <c r="K2967" i="1"/>
  <c r="J2967" i="1"/>
  <c r="I2967" i="1"/>
  <c r="H2967" i="1"/>
  <c r="G2967" i="1"/>
  <c r="F2967" i="1"/>
  <c r="E2967" i="1"/>
  <c r="D2967" i="1"/>
  <c r="C2967" i="1"/>
  <c r="M2966" i="1"/>
  <c r="K2966" i="1"/>
  <c r="J2966" i="1"/>
  <c r="I2966" i="1"/>
  <c r="H2966" i="1"/>
  <c r="G2966" i="1"/>
  <c r="F2966" i="1"/>
  <c r="E2966" i="1"/>
  <c r="D2966" i="1"/>
  <c r="C2966" i="1"/>
  <c r="M2965" i="1"/>
  <c r="K2965" i="1"/>
  <c r="J2965" i="1"/>
  <c r="I2965" i="1"/>
  <c r="H2965" i="1"/>
  <c r="G2965" i="1"/>
  <c r="F2965" i="1"/>
  <c r="E2965" i="1"/>
  <c r="D2965" i="1"/>
  <c r="C2965" i="1"/>
  <c r="M2964" i="1"/>
  <c r="K2964" i="1"/>
  <c r="J2964" i="1"/>
  <c r="I2964" i="1"/>
  <c r="H2964" i="1"/>
  <c r="G2964" i="1"/>
  <c r="F2964" i="1"/>
  <c r="E2964" i="1"/>
  <c r="D2964" i="1"/>
  <c r="C2964" i="1"/>
  <c r="M2963" i="1"/>
  <c r="K2963" i="1"/>
  <c r="J2963" i="1"/>
  <c r="I2963" i="1"/>
  <c r="H2963" i="1"/>
  <c r="G2963" i="1"/>
  <c r="F2963" i="1"/>
  <c r="E2963" i="1"/>
  <c r="D2963" i="1"/>
  <c r="C2963" i="1"/>
  <c r="M2962" i="1"/>
  <c r="K2962" i="1"/>
  <c r="J2962" i="1"/>
  <c r="I2962" i="1"/>
  <c r="H2962" i="1"/>
  <c r="G2962" i="1"/>
  <c r="F2962" i="1"/>
  <c r="E2962" i="1"/>
  <c r="D2962" i="1"/>
  <c r="C2962" i="1"/>
  <c r="M2961" i="1"/>
  <c r="K2961" i="1"/>
  <c r="J2961" i="1"/>
  <c r="I2961" i="1"/>
  <c r="H2961" i="1"/>
  <c r="G2961" i="1"/>
  <c r="F2961" i="1"/>
  <c r="E2961" i="1"/>
  <c r="D2961" i="1"/>
  <c r="C2961" i="1"/>
  <c r="M2960" i="1"/>
  <c r="K2960" i="1"/>
  <c r="J2960" i="1"/>
  <c r="I2960" i="1"/>
  <c r="H2960" i="1"/>
  <c r="G2960" i="1"/>
  <c r="F2960" i="1"/>
  <c r="E2960" i="1"/>
  <c r="D2960" i="1"/>
  <c r="C2960" i="1"/>
  <c r="M2959" i="1"/>
  <c r="K2959" i="1"/>
  <c r="J2959" i="1"/>
  <c r="I2959" i="1"/>
  <c r="H2959" i="1"/>
  <c r="G2959" i="1"/>
  <c r="F2959" i="1"/>
  <c r="E2959" i="1"/>
  <c r="D2959" i="1"/>
  <c r="C2959" i="1"/>
  <c r="M2958" i="1"/>
  <c r="K2958" i="1"/>
  <c r="J2958" i="1"/>
  <c r="I2958" i="1"/>
  <c r="H2958" i="1"/>
  <c r="G2958" i="1"/>
  <c r="F2958" i="1"/>
  <c r="E2958" i="1"/>
  <c r="D2958" i="1"/>
  <c r="C2958" i="1"/>
  <c r="M2957" i="1"/>
  <c r="K2957" i="1"/>
  <c r="J2957" i="1"/>
  <c r="I2957" i="1"/>
  <c r="H2957" i="1"/>
  <c r="G2957" i="1"/>
  <c r="F2957" i="1"/>
  <c r="E2957" i="1"/>
  <c r="D2957" i="1"/>
  <c r="C2957" i="1"/>
  <c r="M2956" i="1"/>
  <c r="K2956" i="1"/>
  <c r="J2956" i="1"/>
  <c r="I2956" i="1"/>
  <c r="H2956" i="1"/>
  <c r="G2956" i="1"/>
  <c r="F2956" i="1"/>
  <c r="E2956" i="1"/>
  <c r="D2956" i="1"/>
  <c r="C2956" i="1"/>
  <c r="M2955" i="1"/>
  <c r="K2955" i="1"/>
  <c r="J2955" i="1"/>
  <c r="I2955" i="1"/>
  <c r="H2955" i="1"/>
  <c r="G2955" i="1"/>
  <c r="F2955" i="1"/>
  <c r="E2955" i="1"/>
  <c r="D2955" i="1"/>
  <c r="C2955" i="1"/>
  <c r="M2954" i="1"/>
  <c r="K2954" i="1"/>
  <c r="J2954" i="1"/>
  <c r="I2954" i="1"/>
  <c r="H2954" i="1"/>
  <c r="G2954" i="1"/>
  <c r="F2954" i="1"/>
  <c r="E2954" i="1"/>
  <c r="D2954" i="1"/>
  <c r="C2954" i="1"/>
  <c r="M2953" i="1"/>
  <c r="K2953" i="1"/>
  <c r="J2953" i="1"/>
  <c r="I2953" i="1"/>
  <c r="H2953" i="1"/>
  <c r="G2953" i="1"/>
  <c r="F2953" i="1"/>
  <c r="E2953" i="1"/>
  <c r="D2953" i="1"/>
  <c r="C2953" i="1"/>
  <c r="M2952" i="1"/>
  <c r="K2952" i="1"/>
  <c r="J2952" i="1"/>
  <c r="I2952" i="1"/>
  <c r="H2952" i="1"/>
  <c r="G2952" i="1"/>
  <c r="F2952" i="1"/>
  <c r="E2952" i="1"/>
  <c r="D2952" i="1"/>
  <c r="C2952" i="1"/>
  <c r="M2951" i="1"/>
  <c r="K2951" i="1"/>
  <c r="J2951" i="1"/>
  <c r="I2951" i="1"/>
  <c r="H2951" i="1"/>
  <c r="G2951" i="1"/>
  <c r="F2951" i="1"/>
  <c r="E2951" i="1"/>
  <c r="D2951" i="1"/>
  <c r="C2951" i="1"/>
  <c r="M2950" i="1"/>
  <c r="K2950" i="1"/>
  <c r="J2950" i="1"/>
  <c r="I2950" i="1"/>
  <c r="H2950" i="1"/>
  <c r="G2950" i="1"/>
  <c r="F2950" i="1"/>
  <c r="E2950" i="1"/>
  <c r="D2950" i="1"/>
  <c r="C2950" i="1"/>
  <c r="M2949" i="1"/>
  <c r="K2949" i="1"/>
  <c r="J2949" i="1"/>
  <c r="I2949" i="1"/>
  <c r="H2949" i="1"/>
  <c r="G2949" i="1"/>
  <c r="F2949" i="1"/>
  <c r="E2949" i="1"/>
  <c r="D2949" i="1"/>
  <c r="C2949" i="1"/>
  <c r="M2948" i="1"/>
  <c r="K2948" i="1"/>
  <c r="J2948" i="1"/>
  <c r="I2948" i="1"/>
  <c r="H2948" i="1"/>
  <c r="G2948" i="1"/>
  <c r="F2948" i="1"/>
  <c r="E2948" i="1"/>
  <c r="D2948" i="1"/>
  <c r="C2948" i="1"/>
  <c r="M2947" i="1"/>
  <c r="K2947" i="1"/>
  <c r="J2947" i="1"/>
  <c r="I2947" i="1"/>
  <c r="H2947" i="1"/>
  <c r="G2947" i="1"/>
  <c r="F2947" i="1"/>
  <c r="E2947" i="1"/>
  <c r="D2947" i="1"/>
  <c r="C2947" i="1"/>
  <c r="M2946" i="1"/>
  <c r="K2946" i="1"/>
  <c r="J2946" i="1"/>
  <c r="I2946" i="1"/>
  <c r="H2946" i="1"/>
  <c r="G2946" i="1"/>
  <c r="F2946" i="1"/>
  <c r="E2946" i="1"/>
  <c r="D2946" i="1"/>
  <c r="C2946" i="1"/>
  <c r="M2945" i="1"/>
  <c r="K2945" i="1"/>
  <c r="J2945" i="1"/>
  <c r="I2945" i="1"/>
  <c r="H2945" i="1"/>
  <c r="G2945" i="1"/>
  <c r="F2945" i="1"/>
  <c r="E2945" i="1"/>
  <c r="D2945" i="1"/>
  <c r="C2945" i="1"/>
  <c r="M2944" i="1"/>
  <c r="K2944" i="1"/>
  <c r="J2944" i="1"/>
  <c r="I2944" i="1"/>
  <c r="H2944" i="1"/>
  <c r="G2944" i="1"/>
  <c r="F2944" i="1"/>
  <c r="E2944" i="1"/>
  <c r="D2944" i="1"/>
  <c r="C2944" i="1"/>
  <c r="M2943" i="1"/>
  <c r="K2943" i="1"/>
  <c r="J2943" i="1"/>
  <c r="I2943" i="1"/>
  <c r="H2943" i="1"/>
  <c r="G2943" i="1"/>
  <c r="F2943" i="1"/>
  <c r="E2943" i="1"/>
  <c r="D2943" i="1"/>
  <c r="C2943" i="1"/>
  <c r="M2942" i="1"/>
  <c r="K2942" i="1"/>
  <c r="J2942" i="1"/>
  <c r="I2942" i="1"/>
  <c r="H2942" i="1"/>
  <c r="G2942" i="1"/>
  <c r="F2942" i="1"/>
  <c r="E2942" i="1"/>
  <c r="D2942" i="1"/>
  <c r="C2942" i="1"/>
  <c r="M2941" i="1"/>
  <c r="K2941" i="1"/>
  <c r="J2941" i="1"/>
  <c r="I2941" i="1"/>
  <c r="H2941" i="1"/>
  <c r="G2941" i="1"/>
  <c r="F2941" i="1"/>
  <c r="E2941" i="1"/>
  <c r="D2941" i="1"/>
  <c r="C2941" i="1"/>
  <c r="M2940" i="1"/>
  <c r="K2940" i="1"/>
  <c r="J2940" i="1"/>
  <c r="I2940" i="1"/>
  <c r="H2940" i="1"/>
  <c r="G2940" i="1"/>
  <c r="F2940" i="1"/>
  <c r="E2940" i="1"/>
  <c r="D2940" i="1"/>
  <c r="C2940" i="1"/>
  <c r="M2939" i="1"/>
  <c r="K2939" i="1"/>
  <c r="J2939" i="1"/>
  <c r="I2939" i="1"/>
  <c r="H2939" i="1"/>
  <c r="G2939" i="1"/>
  <c r="F2939" i="1"/>
  <c r="E2939" i="1"/>
  <c r="D2939" i="1"/>
  <c r="C2939" i="1"/>
  <c r="M2938" i="1"/>
  <c r="K2938" i="1"/>
  <c r="J2938" i="1"/>
  <c r="I2938" i="1"/>
  <c r="H2938" i="1"/>
  <c r="G2938" i="1"/>
  <c r="F2938" i="1"/>
  <c r="E2938" i="1"/>
  <c r="D2938" i="1"/>
  <c r="C2938" i="1"/>
  <c r="M2937" i="1"/>
  <c r="K2937" i="1"/>
  <c r="J2937" i="1"/>
  <c r="I2937" i="1"/>
  <c r="H2937" i="1"/>
  <c r="G2937" i="1"/>
  <c r="F2937" i="1"/>
  <c r="E2937" i="1"/>
  <c r="D2937" i="1"/>
  <c r="C2937" i="1"/>
  <c r="M2936" i="1"/>
  <c r="K2936" i="1"/>
  <c r="J2936" i="1"/>
  <c r="I2936" i="1"/>
  <c r="H2936" i="1"/>
  <c r="G2936" i="1"/>
  <c r="F2936" i="1"/>
  <c r="E2936" i="1"/>
  <c r="D2936" i="1"/>
  <c r="C2936" i="1"/>
  <c r="M2935" i="1"/>
  <c r="K2935" i="1"/>
  <c r="J2935" i="1"/>
  <c r="I2935" i="1"/>
  <c r="H2935" i="1"/>
  <c r="G2935" i="1"/>
  <c r="F2935" i="1"/>
  <c r="E2935" i="1"/>
  <c r="D2935" i="1"/>
  <c r="C2935" i="1"/>
  <c r="M2934" i="1"/>
  <c r="K2934" i="1"/>
  <c r="J2934" i="1"/>
  <c r="I2934" i="1"/>
  <c r="H2934" i="1"/>
  <c r="G2934" i="1"/>
  <c r="F2934" i="1"/>
  <c r="E2934" i="1"/>
  <c r="D2934" i="1"/>
  <c r="C2934" i="1"/>
  <c r="M2933" i="1"/>
  <c r="K2933" i="1"/>
  <c r="J2933" i="1"/>
  <c r="I2933" i="1"/>
  <c r="H2933" i="1"/>
  <c r="G2933" i="1"/>
  <c r="F2933" i="1"/>
  <c r="E2933" i="1"/>
  <c r="D2933" i="1"/>
  <c r="C2933" i="1"/>
  <c r="M2932" i="1"/>
  <c r="K2932" i="1"/>
  <c r="J2932" i="1"/>
  <c r="I2932" i="1"/>
  <c r="H2932" i="1"/>
  <c r="G2932" i="1"/>
  <c r="F2932" i="1"/>
  <c r="E2932" i="1"/>
  <c r="D2932" i="1"/>
  <c r="C2932" i="1"/>
  <c r="M2931" i="1"/>
  <c r="K2931" i="1"/>
  <c r="J2931" i="1"/>
  <c r="I2931" i="1"/>
  <c r="H2931" i="1"/>
  <c r="G2931" i="1"/>
  <c r="F2931" i="1"/>
  <c r="E2931" i="1"/>
  <c r="D2931" i="1"/>
  <c r="C2931" i="1"/>
  <c r="M2930" i="1"/>
  <c r="K2930" i="1"/>
  <c r="J2930" i="1"/>
  <c r="I2930" i="1"/>
  <c r="H2930" i="1"/>
  <c r="G2930" i="1"/>
  <c r="F2930" i="1"/>
  <c r="E2930" i="1"/>
  <c r="D2930" i="1"/>
  <c r="C2930" i="1"/>
  <c r="M2929" i="1"/>
  <c r="K2929" i="1"/>
  <c r="J2929" i="1"/>
  <c r="I2929" i="1"/>
  <c r="H2929" i="1"/>
  <c r="G2929" i="1"/>
  <c r="F2929" i="1"/>
  <c r="E2929" i="1"/>
  <c r="D2929" i="1"/>
  <c r="C2929" i="1"/>
  <c r="M2928" i="1"/>
  <c r="K2928" i="1"/>
  <c r="J2928" i="1"/>
  <c r="I2928" i="1"/>
  <c r="H2928" i="1"/>
  <c r="G2928" i="1"/>
  <c r="F2928" i="1"/>
  <c r="E2928" i="1"/>
  <c r="D2928" i="1"/>
  <c r="C2928" i="1"/>
  <c r="M2927" i="1"/>
  <c r="K2927" i="1"/>
  <c r="J2927" i="1"/>
  <c r="I2927" i="1"/>
  <c r="H2927" i="1"/>
  <c r="G2927" i="1"/>
  <c r="F2927" i="1"/>
  <c r="E2927" i="1"/>
  <c r="D2927" i="1"/>
  <c r="C2927" i="1"/>
  <c r="M2926" i="1"/>
  <c r="K2926" i="1"/>
  <c r="J2926" i="1"/>
  <c r="I2926" i="1"/>
  <c r="H2926" i="1"/>
  <c r="G2926" i="1"/>
  <c r="F2926" i="1"/>
  <c r="E2926" i="1"/>
  <c r="D2926" i="1"/>
  <c r="C2926" i="1"/>
  <c r="M2925" i="1"/>
  <c r="K2925" i="1"/>
  <c r="J2925" i="1"/>
  <c r="I2925" i="1"/>
  <c r="H2925" i="1"/>
  <c r="G2925" i="1"/>
  <c r="F2925" i="1"/>
  <c r="E2925" i="1"/>
  <c r="D2925" i="1"/>
  <c r="C2925" i="1"/>
  <c r="M2924" i="1"/>
  <c r="K2924" i="1"/>
  <c r="J2924" i="1"/>
  <c r="I2924" i="1"/>
  <c r="H2924" i="1"/>
  <c r="G2924" i="1"/>
  <c r="F2924" i="1"/>
  <c r="E2924" i="1"/>
  <c r="D2924" i="1"/>
  <c r="C2924" i="1"/>
  <c r="M2923" i="1"/>
  <c r="K2923" i="1"/>
  <c r="J2923" i="1"/>
  <c r="I2923" i="1"/>
  <c r="H2923" i="1"/>
  <c r="G2923" i="1"/>
  <c r="F2923" i="1"/>
  <c r="E2923" i="1"/>
  <c r="D2923" i="1"/>
  <c r="C2923" i="1"/>
  <c r="M2922" i="1"/>
  <c r="K2922" i="1"/>
  <c r="J2922" i="1"/>
  <c r="I2922" i="1"/>
  <c r="H2922" i="1"/>
  <c r="G2922" i="1"/>
  <c r="F2922" i="1"/>
  <c r="E2922" i="1"/>
  <c r="D2922" i="1"/>
  <c r="C2922" i="1"/>
  <c r="M2921" i="1"/>
  <c r="K2921" i="1"/>
  <c r="J2921" i="1"/>
  <c r="I2921" i="1"/>
  <c r="H2921" i="1"/>
  <c r="G2921" i="1"/>
  <c r="F2921" i="1"/>
  <c r="E2921" i="1"/>
  <c r="D2921" i="1"/>
  <c r="C2921" i="1"/>
  <c r="M2920" i="1"/>
  <c r="K2920" i="1"/>
  <c r="J2920" i="1"/>
  <c r="I2920" i="1"/>
  <c r="H2920" i="1"/>
  <c r="G2920" i="1"/>
  <c r="F2920" i="1"/>
  <c r="E2920" i="1"/>
  <c r="D2920" i="1"/>
  <c r="C2920" i="1"/>
  <c r="M2919" i="1"/>
  <c r="K2919" i="1"/>
  <c r="J2919" i="1"/>
  <c r="I2919" i="1"/>
  <c r="H2919" i="1"/>
  <c r="G2919" i="1"/>
  <c r="F2919" i="1"/>
  <c r="E2919" i="1"/>
  <c r="D2919" i="1"/>
  <c r="C2919" i="1"/>
  <c r="M2918" i="1"/>
  <c r="K2918" i="1"/>
  <c r="J2918" i="1"/>
  <c r="I2918" i="1"/>
  <c r="H2918" i="1"/>
  <c r="G2918" i="1"/>
  <c r="F2918" i="1"/>
  <c r="E2918" i="1"/>
  <c r="D2918" i="1"/>
  <c r="C2918" i="1"/>
  <c r="M2917" i="1"/>
  <c r="K2917" i="1"/>
  <c r="J2917" i="1"/>
  <c r="I2917" i="1"/>
  <c r="H2917" i="1"/>
  <c r="G2917" i="1"/>
  <c r="F2917" i="1"/>
  <c r="E2917" i="1"/>
  <c r="D2917" i="1"/>
  <c r="C2917" i="1"/>
  <c r="M2916" i="1"/>
  <c r="K2916" i="1"/>
  <c r="J2916" i="1"/>
  <c r="I2916" i="1"/>
  <c r="H2916" i="1"/>
  <c r="G2916" i="1"/>
  <c r="F2916" i="1"/>
  <c r="E2916" i="1"/>
  <c r="D2916" i="1"/>
  <c r="C2916" i="1"/>
  <c r="M2915" i="1"/>
  <c r="K2915" i="1"/>
  <c r="J2915" i="1"/>
  <c r="I2915" i="1"/>
  <c r="H2915" i="1"/>
  <c r="G2915" i="1"/>
  <c r="F2915" i="1"/>
  <c r="E2915" i="1"/>
  <c r="D2915" i="1"/>
  <c r="C2915" i="1"/>
  <c r="M2914" i="1"/>
  <c r="K2914" i="1"/>
  <c r="J2914" i="1"/>
  <c r="I2914" i="1"/>
  <c r="H2914" i="1"/>
  <c r="G2914" i="1"/>
  <c r="F2914" i="1"/>
  <c r="E2914" i="1"/>
  <c r="D2914" i="1"/>
  <c r="C2914" i="1"/>
  <c r="M2913" i="1"/>
  <c r="K2913" i="1"/>
  <c r="J2913" i="1"/>
  <c r="I2913" i="1"/>
  <c r="H2913" i="1"/>
  <c r="G2913" i="1"/>
  <c r="F2913" i="1"/>
  <c r="E2913" i="1"/>
  <c r="D2913" i="1"/>
  <c r="C2913" i="1"/>
  <c r="M2912" i="1"/>
  <c r="K2912" i="1"/>
  <c r="J2912" i="1"/>
  <c r="I2912" i="1"/>
  <c r="H2912" i="1"/>
  <c r="G2912" i="1"/>
  <c r="F2912" i="1"/>
  <c r="E2912" i="1"/>
  <c r="D2912" i="1"/>
  <c r="C2912" i="1"/>
  <c r="M2911" i="1"/>
  <c r="K2911" i="1"/>
  <c r="J2911" i="1"/>
  <c r="I2911" i="1"/>
  <c r="H2911" i="1"/>
  <c r="G2911" i="1"/>
  <c r="F2911" i="1"/>
  <c r="E2911" i="1"/>
  <c r="D2911" i="1"/>
  <c r="C2911" i="1"/>
  <c r="M2910" i="1"/>
  <c r="K2910" i="1"/>
  <c r="J2910" i="1"/>
  <c r="I2910" i="1"/>
  <c r="H2910" i="1"/>
  <c r="G2910" i="1"/>
  <c r="F2910" i="1"/>
  <c r="E2910" i="1"/>
  <c r="D2910" i="1"/>
  <c r="C2910" i="1"/>
  <c r="M2909" i="1"/>
  <c r="K2909" i="1"/>
  <c r="J2909" i="1"/>
  <c r="I2909" i="1"/>
  <c r="H2909" i="1"/>
  <c r="G2909" i="1"/>
  <c r="F2909" i="1"/>
  <c r="E2909" i="1"/>
  <c r="D2909" i="1"/>
  <c r="C2909" i="1"/>
  <c r="M2908" i="1"/>
  <c r="K2908" i="1"/>
  <c r="J2908" i="1"/>
  <c r="I2908" i="1"/>
  <c r="H2908" i="1"/>
  <c r="G2908" i="1"/>
  <c r="F2908" i="1"/>
  <c r="E2908" i="1"/>
  <c r="D2908" i="1"/>
  <c r="C2908" i="1"/>
  <c r="M2907" i="1"/>
  <c r="K2907" i="1"/>
  <c r="J2907" i="1"/>
  <c r="I2907" i="1"/>
  <c r="H2907" i="1"/>
  <c r="G2907" i="1"/>
  <c r="F2907" i="1"/>
  <c r="E2907" i="1"/>
  <c r="D2907" i="1"/>
  <c r="C2907" i="1"/>
  <c r="M2906" i="1"/>
  <c r="K2906" i="1"/>
  <c r="J2906" i="1"/>
  <c r="I2906" i="1"/>
  <c r="H2906" i="1"/>
  <c r="G2906" i="1"/>
  <c r="F2906" i="1"/>
  <c r="E2906" i="1"/>
  <c r="D2906" i="1"/>
  <c r="C2906" i="1"/>
  <c r="M2905" i="1"/>
  <c r="K2905" i="1"/>
  <c r="J2905" i="1"/>
  <c r="I2905" i="1"/>
  <c r="H2905" i="1"/>
  <c r="G2905" i="1"/>
  <c r="F2905" i="1"/>
  <c r="E2905" i="1"/>
  <c r="D2905" i="1"/>
  <c r="C2905" i="1"/>
  <c r="M2904" i="1"/>
  <c r="K2904" i="1"/>
  <c r="J2904" i="1"/>
  <c r="I2904" i="1"/>
  <c r="H2904" i="1"/>
  <c r="G2904" i="1"/>
  <c r="F2904" i="1"/>
  <c r="E2904" i="1"/>
  <c r="D2904" i="1"/>
  <c r="C2904" i="1"/>
  <c r="M2903" i="1"/>
  <c r="K2903" i="1"/>
  <c r="J2903" i="1"/>
  <c r="I2903" i="1"/>
  <c r="H2903" i="1"/>
  <c r="G2903" i="1"/>
  <c r="F2903" i="1"/>
  <c r="E2903" i="1"/>
  <c r="D2903" i="1"/>
  <c r="C2903" i="1"/>
  <c r="M2902" i="1"/>
  <c r="K2902" i="1"/>
  <c r="J2902" i="1"/>
  <c r="I2902" i="1"/>
  <c r="H2902" i="1"/>
  <c r="G2902" i="1"/>
  <c r="F2902" i="1"/>
  <c r="E2902" i="1"/>
  <c r="D2902" i="1"/>
  <c r="C2902" i="1"/>
  <c r="M2901" i="1"/>
  <c r="K2901" i="1"/>
  <c r="J2901" i="1"/>
  <c r="I2901" i="1"/>
  <c r="H2901" i="1"/>
  <c r="G2901" i="1"/>
  <c r="F2901" i="1"/>
  <c r="E2901" i="1"/>
  <c r="D2901" i="1"/>
  <c r="C2901" i="1"/>
  <c r="M2900" i="1"/>
  <c r="K2900" i="1"/>
  <c r="J2900" i="1"/>
  <c r="I2900" i="1"/>
  <c r="H2900" i="1"/>
  <c r="G2900" i="1"/>
  <c r="F2900" i="1"/>
  <c r="E2900" i="1"/>
  <c r="D2900" i="1"/>
  <c r="C2900" i="1"/>
  <c r="M2899" i="1"/>
  <c r="K2899" i="1"/>
  <c r="J2899" i="1"/>
  <c r="I2899" i="1"/>
  <c r="H2899" i="1"/>
  <c r="G2899" i="1"/>
  <c r="F2899" i="1"/>
  <c r="E2899" i="1"/>
  <c r="D2899" i="1"/>
  <c r="C2899" i="1"/>
  <c r="M2898" i="1"/>
  <c r="K2898" i="1"/>
  <c r="J2898" i="1"/>
  <c r="I2898" i="1"/>
  <c r="H2898" i="1"/>
  <c r="G2898" i="1"/>
  <c r="F2898" i="1"/>
  <c r="E2898" i="1"/>
  <c r="D2898" i="1"/>
  <c r="C2898" i="1"/>
  <c r="M2897" i="1"/>
  <c r="K2897" i="1"/>
  <c r="J2897" i="1"/>
  <c r="I2897" i="1"/>
  <c r="H2897" i="1"/>
  <c r="G2897" i="1"/>
  <c r="F2897" i="1"/>
  <c r="E2897" i="1"/>
  <c r="D2897" i="1"/>
  <c r="C2897" i="1"/>
  <c r="M2896" i="1"/>
  <c r="K2896" i="1"/>
  <c r="J2896" i="1"/>
  <c r="I2896" i="1"/>
  <c r="H2896" i="1"/>
  <c r="G2896" i="1"/>
  <c r="F2896" i="1"/>
  <c r="E2896" i="1"/>
  <c r="D2896" i="1"/>
  <c r="C2896" i="1"/>
  <c r="M2895" i="1"/>
  <c r="K2895" i="1"/>
  <c r="J2895" i="1"/>
  <c r="I2895" i="1"/>
  <c r="H2895" i="1"/>
  <c r="G2895" i="1"/>
  <c r="F2895" i="1"/>
  <c r="E2895" i="1"/>
  <c r="D2895" i="1"/>
  <c r="C2895" i="1"/>
  <c r="M2894" i="1"/>
  <c r="K2894" i="1"/>
  <c r="J2894" i="1"/>
  <c r="I2894" i="1"/>
  <c r="H2894" i="1"/>
  <c r="G2894" i="1"/>
  <c r="F2894" i="1"/>
  <c r="E2894" i="1"/>
  <c r="D2894" i="1"/>
  <c r="C2894" i="1"/>
  <c r="M2893" i="1"/>
  <c r="K2893" i="1"/>
  <c r="J2893" i="1"/>
  <c r="I2893" i="1"/>
  <c r="H2893" i="1"/>
  <c r="G2893" i="1"/>
  <c r="F2893" i="1"/>
  <c r="E2893" i="1"/>
  <c r="D2893" i="1"/>
  <c r="C2893" i="1"/>
  <c r="M2892" i="1"/>
  <c r="K2892" i="1"/>
  <c r="J2892" i="1"/>
  <c r="I2892" i="1"/>
  <c r="H2892" i="1"/>
  <c r="G2892" i="1"/>
  <c r="F2892" i="1"/>
  <c r="E2892" i="1"/>
  <c r="D2892" i="1"/>
  <c r="C2892" i="1"/>
  <c r="M2891" i="1"/>
  <c r="K2891" i="1"/>
  <c r="J2891" i="1"/>
  <c r="I2891" i="1"/>
  <c r="H2891" i="1"/>
  <c r="G2891" i="1"/>
  <c r="F2891" i="1"/>
  <c r="E2891" i="1"/>
  <c r="D2891" i="1"/>
  <c r="C2891" i="1"/>
  <c r="M2890" i="1"/>
  <c r="K2890" i="1"/>
  <c r="J2890" i="1"/>
  <c r="I2890" i="1"/>
  <c r="H2890" i="1"/>
  <c r="G2890" i="1"/>
  <c r="F2890" i="1"/>
  <c r="E2890" i="1"/>
  <c r="D2890" i="1"/>
  <c r="C2890" i="1"/>
  <c r="M2889" i="1"/>
  <c r="K2889" i="1"/>
  <c r="J2889" i="1"/>
  <c r="I2889" i="1"/>
  <c r="H2889" i="1"/>
  <c r="G2889" i="1"/>
  <c r="F2889" i="1"/>
  <c r="E2889" i="1"/>
  <c r="D2889" i="1"/>
  <c r="C2889" i="1"/>
  <c r="M2888" i="1"/>
  <c r="K2888" i="1"/>
  <c r="J2888" i="1"/>
  <c r="I2888" i="1"/>
  <c r="H2888" i="1"/>
  <c r="G2888" i="1"/>
  <c r="F2888" i="1"/>
  <c r="E2888" i="1"/>
  <c r="D2888" i="1"/>
  <c r="C2888" i="1"/>
  <c r="M2887" i="1"/>
  <c r="K2887" i="1"/>
  <c r="J2887" i="1"/>
  <c r="I2887" i="1"/>
  <c r="H2887" i="1"/>
  <c r="G2887" i="1"/>
  <c r="F2887" i="1"/>
  <c r="E2887" i="1"/>
  <c r="D2887" i="1"/>
  <c r="C2887" i="1"/>
  <c r="M2886" i="1"/>
  <c r="K2886" i="1"/>
  <c r="J2886" i="1"/>
  <c r="I2886" i="1"/>
  <c r="H2886" i="1"/>
  <c r="G2886" i="1"/>
  <c r="F2886" i="1"/>
  <c r="E2886" i="1"/>
  <c r="D2886" i="1"/>
  <c r="C2886" i="1"/>
  <c r="M2885" i="1"/>
  <c r="K2885" i="1"/>
  <c r="J2885" i="1"/>
  <c r="I2885" i="1"/>
  <c r="H2885" i="1"/>
  <c r="G2885" i="1"/>
  <c r="F2885" i="1"/>
  <c r="E2885" i="1"/>
  <c r="D2885" i="1"/>
  <c r="C2885" i="1"/>
  <c r="M2884" i="1"/>
  <c r="K2884" i="1"/>
  <c r="J2884" i="1"/>
  <c r="I2884" i="1"/>
  <c r="H2884" i="1"/>
  <c r="G2884" i="1"/>
  <c r="F2884" i="1"/>
  <c r="E2884" i="1"/>
  <c r="D2884" i="1"/>
  <c r="C2884" i="1"/>
  <c r="M2883" i="1"/>
  <c r="K2883" i="1"/>
  <c r="J2883" i="1"/>
  <c r="I2883" i="1"/>
  <c r="H2883" i="1"/>
  <c r="G2883" i="1"/>
  <c r="F2883" i="1"/>
  <c r="E2883" i="1"/>
  <c r="D2883" i="1"/>
  <c r="C2883" i="1"/>
  <c r="M2882" i="1"/>
  <c r="K2882" i="1"/>
  <c r="J2882" i="1"/>
  <c r="I2882" i="1"/>
  <c r="H2882" i="1"/>
  <c r="G2882" i="1"/>
  <c r="F2882" i="1"/>
  <c r="E2882" i="1"/>
  <c r="D2882" i="1"/>
  <c r="C2882" i="1"/>
  <c r="M2881" i="1"/>
  <c r="K2881" i="1"/>
  <c r="J2881" i="1"/>
  <c r="I2881" i="1"/>
  <c r="H2881" i="1"/>
  <c r="G2881" i="1"/>
  <c r="F2881" i="1"/>
  <c r="E2881" i="1"/>
  <c r="D2881" i="1"/>
  <c r="C2881" i="1"/>
  <c r="M2880" i="1"/>
  <c r="K2880" i="1"/>
  <c r="J2880" i="1"/>
  <c r="I2880" i="1"/>
  <c r="H2880" i="1"/>
  <c r="G2880" i="1"/>
  <c r="F2880" i="1"/>
  <c r="E2880" i="1"/>
  <c r="D2880" i="1"/>
  <c r="C2880" i="1"/>
  <c r="M2879" i="1"/>
  <c r="K2879" i="1"/>
  <c r="J2879" i="1"/>
  <c r="I2879" i="1"/>
  <c r="H2879" i="1"/>
  <c r="G2879" i="1"/>
  <c r="F2879" i="1"/>
  <c r="E2879" i="1"/>
  <c r="D2879" i="1"/>
  <c r="C2879" i="1"/>
  <c r="M2878" i="1"/>
  <c r="K2878" i="1"/>
  <c r="J2878" i="1"/>
  <c r="I2878" i="1"/>
  <c r="H2878" i="1"/>
  <c r="G2878" i="1"/>
  <c r="F2878" i="1"/>
  <c r="E2878" i="1"/>
  <c r="D2878" i="1"/>
  <c r="C2878" i="1"/>
  <c r="M2877" i="1"/>
  <c r="K2877" i="1"/>
  <c r="J2877" i="1"/>
  <c r="I2877" i="1"/>
  <c r="H2877" i="1"/>
  <c r="G2877" i="1"/>
  <c r="F2877" i="1"/>
  <c r="E2877" i="1"/>
  <c r="D2877" i="1"/>
  <c r="C2877" i="1"/>
  <c r="M2876" i="1"/>
  <c r="K2876" i="1"/>
  <c r="J2876" i="1"/>
  <c r="I2876" i="1"/>
  <c r="H2876" i="1"/>
  <c r="G2876" i="1"/>
  <c r="F2876" i="1"/>
  <c r="E2876" i="1"/>
  <c r="D2876" i="1"/>
  <c r="C2876" i="1"/>
  <c r="M2875" i="1"/>
  <c r="K2875" i="1"/>
  <c r="J2875" i="1"/>
  <c r="I2875" i="1"/>
  <c r="H2875" i="1"/>
  <c r="G2875" i="1"/>
  <c r="F2875" i="1"/>
  <c r="E2875" i="1"/>
  <c r="D2875" i="1"/>
  <c r="C2875" i="1"/>
  <c r="M2874" i="1"/>
  <c r="K2874" i="1"/>
  <c r="J2874" i="1"/>
  <c r="I2874" i="1"/>
  <c r="H2874" i="1"/>
  <c r="G2874" i="1"/>
  <c r="F2874" i="1"/>
  <c r="E2874" i="1"/>
  <c r="D2874" i="1"/>
  <c r="C2874" i="1"/>
  <c r="M2873" i="1"/>
  <c r="K2873" i="1"/>
  <c r="J2873" i="1"/>
  <c r="I2873" i="1"/>
  <c r="H2873" i="1"/>
  <c r="G2873" i="1"/>
  <c r="F2873" i="1"/>
  <c r="E2873" i="1"/>
  <c r="D2873" i="1"/>
  <c r="C2873" i="1"/>
  <c r="M2872" i="1"/>
  <c r="K2872" i="1"/>
  <c r="J2872" i="1"/>
  <c r="I2872" i="1"/>
  <c r="H2872" i="1"/>
  <c r="G2872" i="1"/>
  <c r="F2872" i="1"/>
  <c r="E2872" i="1"/>
  <c r="D2872" i="1"/>
  <c r="C2872" i="1"/>
  <c r="M2871" i="1"/>
  <c r="K2871" i="1"/>
  <c r="J2871" i="1"/>
  <c r="I2871" i="1"/>
  <c r="H2871" i="1"/>
  <c r="G2871" i="1"/>
  <c r="F2871" i="1"/>
  <c r="E2871" i="1"/>
  <c r="D2871" i="1"/>
  <c r="C2871" i="1"/>
  <c r="M2870" i="1"/>
  <c r="K2870" i="1"/>
  <c r="J2870" i="1"/>
  <c r="I2870" i="1"/>
  <c r="H2870" i="1"/>
  <c r="G2870" i="1"/>
  <c r="F2870" i="1"/>
  <c r="E2870" i="1"/>
  <c r="D2870" i="1"/>
  <c r="C2870" i="1"/>
  <c r="M2869" i="1"/>
  <c r="K2869" i="1"/>
  <c r="J2869" i="1"/>
  <c r="I2869" i="1"/>
  <c r="H2869" i="1"/>
  <c r="G2869" i="1"/>
  <c r="F2869" i="1"/>
  <c r="E2869" i="1"/>
  <c r="D2869" i="1"/>
  <c r="C2869" i="1"/>
  <c r="M2868" i="1"/>
  <c r="K2868" i="1"/>
  <c r="J2868" i="1"/>
  <c r="I2868" i="1"/>
  <c r="H2868" i="1"/>
  <c r="G2868" i="1"/>
  <c r="F2868" i="1"/>
  <c r="E2868" i="1"/>
  <c r="D2868" i="1"/>
  <c r="C2868" i="1"/>
  <c r="M2867" i="1"/>
  <c r="K2867" i="1"/>
  <c r="J2867" i="1"/>
  <c r="I2867" i="1"/>
  <c r="H2867" i="1"/>
  <c r="G2867" i="1"/>
  <c r="F2867" i="1"/>
  <c r="E2867" i="1"/>
  <c r="D2867" i="1"/>
  <c r="C2867" i="1"/>
  <c r="M2866" i="1"/>
  <c r="K2866" i="1"/>
  <c r="J2866" i="1"/>
  <c r="I2866" i="1"/>
  <c r="H2866" i="1"/>
  <c r="G2866" i="1"/>
  <c r="F2866" i="1"/>
  <c r="E2866" i="1"/>
  <c r="D2866" i="1"/>
  <c r="C2866" i="1"/>
  <c r="M2865" i="1"/>
  <c r="K2865" i="1"/>
  <c r="J2865" i="1"/>
  <c r="I2865" i="1"/>
  <c r="H2865" i="1"/>
  <c r="G2865" i="1"/>
  <c r="F2865" i="1"/>
  <c r="E2865" i="1"/>
  <c r="D2865" i="1"/>
  <c r="C2865" i="1"/>
  <c r="M2864" i="1"/>
  <c r="K2864" i="1"/>
  <c r="J2864" i="1"/>
  <c r="I2864" i="1"/>
  <c r="H2864" i="1"/>
  <c r="G2864" i="1"/>
  <c r="F2864" i="1"/>
  <c r="E2864" i="1"/>
  <c r="D2864" i="1"/>
  <c r="C2864" i="1"/>
  <c r="M2863" i="1"/>
  <c r="K2863" i="1"/>
  <c r="J2863" i="1"/>
  <c r="I2863" i="1"/>
  <c r="H2863" i="1"/>
  <c r="G2863" i="1"/>
  <c r="F2863" i="1"/>
  <c r="E2863" i="1"/>
  <c r="D2863" i="1"/>
  <c r="C2863" i="1"/>
  <c r="M2862" i="1"/>
  <c r="K2862" i="1"/>
  <c r="J2862" i="1"/>
  <c r="I2862" i="1"/>
  <c r="H2862" i="1"/>
  <c r="G2862" i="1"/>
  <c r="F2862" i="1"/>
  <c r="E2862" i="1"/>
  <c r="D2862" i="1"/>
  <c r="C2862" i="1"/>
  <c r="M2861" i="1"/>
  <c r="K2861" i="1"/>
  <c r="J2861" i="1"/>
  <c r="I2861" i="1"/>
  <c r="H2861" i="1"/>
  <c r="G2861" i="1"/>
  <c r="F2861" i="1"/>
  <c r="E2861" i="1"/>
  <c r="D2861" i="1"/>
  <c r="C2861" i="1"/>
  <c r="M2860" i="1"/>
  <c r="K2860" i="1"/>
  <c r="J2860" i="1"/>
  <c r="I2860" i="1"/>
  <c r="H2860" i="1"/>
  <c r="G2860" i="1"/>
  <c r="F2860" i="1"/>
  <c r="E2860" i="1"/>
  <c r="D2860" i="1"/>
  <c r="C2860" i="1"/>
  <c r="M2859" i="1"/>
  <c r="K2859" i="1"/>
  <c r="J2859" i="1"/>
  <c r="I2859" i="1"/>
  <c r="H2859" i="1"/>
  <c r="G2859" i="1"/>
  <c r="F2859" i="1"/>
  <c r="E2859" i="1"/>
  <c r="D2859" i="1"/>
  <c r="C2859" i="1"/>
  <c r="M2858" i="1"/>
  <c r="K2858" i="1"/>
  <c r="J2858" i="1"/>
  <c r="I2858" i="1"/>
  <c r="H2858" i="1"/>
  <c r="G2858" i="1"/>
  <c r="F2858" i="1"/>
  <c r="E2858" i="1"/>
  <c r="D2858" i="1"/>
  <c r="C2858" i="1"/>
  <c r="M2857" i="1"/>
  <c r="K2857" i="1"/>
  <c r="J2857" i="1"/>
  <c r="I2857" i="1"/>
  <c r="H2857" i="1"/>
  <c r="G2857" i="1"/>
  <c r="F2857" i="1"/>
  <c r="E2857" i="1"/>
  <c r="D2857" i="1"/>
  <c r="C2857" i="1"/>
  <c r="M2856" i="1"/>
  <c r="K2856" i="1"/>
  <c r="J2856" i="1"/>
  <c r="I2856" i="1"/>
  <c r="H2856" i="1"/>
  <c r="G2856" i="1"/>
  <c r="F2856" i="1"/>
  <c r="E2856" i="1"/>
  <c r="D2856" i="1"/>
  <c r="C2856" i="1"/>
  <c r="M2855" i="1"/>
  <c r="K2855" i="1"/>
  <c r="J2855" i="1"/>
  <c r="I2855" i="1"/>
  <c r="H2855" i="1"/>
  <c r="G2855" i="1"/>
  <c r="F2855" i="1"/>
  <c r="E2855" i="1"/>
  <c r="D2855" i="1"/>
  <c r="C2855" i="1"/>
  <c r="M2854" i="1"/>
  <c r="K2854" i="1"/>
  <c r="J2854" i="1"/>
  <c r="I2854" i="1"/>
  <c r="H2854" i="1"/>
  <c r="G2854" i="1"/>
  <c r="F2854" i="1"/>
  <c r="E2854" i="1"/>
  <c r="D2854" i="1"/>
  <c r="C2854" i="1"/>
  <c r="M2853" i="1"/>
  <c r="K2853" i="1"/>
  <c r="J2853" i="1"/>
  <c r="I2853" i="1"/>
  <c r="H2853" i="1"/>
  <c r="G2853" i="1"/>
  <c r="F2853" i="1"/>
  <c r="E2853" i="1"/>
  <c r="D2853" i="1"/>
  <c r="C2853" i="1"/>
  <c r="M2852" i="1"/>
  <c r="K2852" i="1"/>
  <c r="J2852" i="1"/>
  <c r="I2852" i="1"/>
  <c r="H2852" i="1"/>
  <c r="G2852" i="1"/>
  <c r="F2852" i="1"/>
  <c r="E2852" i="1"/>
  <c r="D2852" i="1"/>
  <c r="C2852" i="1"/>
  <c r="M2851" i="1"/>
  <c r="K2851" i="1"/>
  <c r="J2851" i="1"/>
  <c r="I2851" i="1"/>
  <c r="H2851" i="1"/>
  <c r="G2851" i="1"/>
  <c r="F2851" i="1"/>
  <c r="E2851" i="1"/>
  <c r="D2851" i="1"/>
  <c r="C2851" i="1"/>
  <c r="M2850" i="1"/>
  <c r="K2850" i="1"/>
  <c r="J2850" i="1"/>
  <c r="I2850" i="1"/>
  <c r="H2850" i="1"/>
  <c r="G2850" i="1"/>
  <c r="F2850" i="1"/>
  <c r="E2850" i="1"/>
  <c r="D2850" i="1"/>
  <c r="C2850" i="1"/>
  <c r="M2849" i="1"/>
  <c r="K2849" i="1"/>
  <c r="J2849" i="1"/>
  <c r="I2849" i="1"/>
  <c r="H2849" i="1"/>
  <c r="G2849" i="1"/>
  <c r="F2849" i="1"/>
  <c r="E2849" i="1"/>
  <c r="D2849" i="1"/>
  <c r="C2849" i="1"/>
  <c r="M2848" i="1"/>
  <c r="K2848" i="1"/>
  <c r="J2848" i="1"/>
  <c r="I2848" i="1"/>
  <c r="H2848" i="1"/>
  <c r="G2848" i="1"/>
  <c r="F2848" i="1"/>
  <c r="E2848" i="1"/>
  <c r="D2848" i="1"/>
  <c r="C2848" i="1"/>
  <c r="M2847" i="1"/>
  <c r="K2847" i="1"/>
  <c r="J2847" i="1"/>
  <c r="I2847" i="1"/>
  <c r="H2847" i="1"/>
  <c r="G2847" i="1"/>
  <c r="F2847" i="1"/>
  <c r="E2847" i="1"/>
  <c r="D2847" i="1"/>
  <c r="C2847" i="1"/>
  <c r="M2846" i="1"/>
  <c r="K2846" i="1"/>
  <c r="J2846" i="1"/>
  <c r="I2846" i="1"/>
  <c r="H2846" i="1"/>
  <c r="G2846" i="1"/>
  <c r="F2846" i="1"/>
  <c r="E2846" i="1"/>
  <c r="D2846" i="1"/>
  <c r="C2846" i="1"/>
  <c r="M2845" i="1"/>
  <c r="K2845" i="1"/>
  <c r="J2845" i="1"/>
  <c r="I2845" i="1"/>
  <c r="H2845" i="1"/>
  <c r="G2845" i="1"/>
  <c r="F2845" i="1"/>
  <c r="E2845" i="1"/>
  <c r="D2845" i="1"/>
  <c r="C2845" i="1"/>
  <c r="M2844" i="1"/>
  <c r="K2844" i="1"/>
  <c r="J2844" i="1"/>
  <c r="I2844" i="1"/>
  <c r="H2844" i="1"/>
  <c r="G2844" i="1"/>
  <c r="F2844" i="1"/>
  <c r="E2844" i="1"/>
  <c r="D2844" i="1"/>
  <c r="C2844" i="1"/>
  <c r="M2843" i="1"/>
  <c r="K2843" i="1"/>
  <c r="J2843" i="1"/>
  <c r="I2843" i="1"/>
  <c r="H2843" i="1"/>
  <c r="G2843" i="1"/>
  <c r="F2843" i="1"/>
  <c r="E2843" i="1"/>
  <c r="D2843" i="1"/>
  <c r="C2843" i="1"/>
  <c r="M2842" i="1"/>
  <c r="K2842" i="1"/>
  <c r="J2842" i="1"/>
  <c r="I2842" i="1"/>
  <c r="H2842" i="1"/>
  <c r="G2842" i="1"/>
  <c r="F2842" i="1"/>
  <c r="E2842" i="1"/>
  <c r="D2842" i="1"/>
  <c r="C2842" i="1"/>
  <c r="M2841" i="1"/>
  <c r="K2841" i="1"/>
  <c r="J2841" i="1"/>
  <c r="I2841" i="1"/>
  <c r="H2841" i="1"/>
  <c r="G2841" i="1"/>
  <c r="F2841" i="1"/>
  <c r="E2841" i="1"/>
  <c r="D2841" i="1"/>
  <c r="C2841" i="1"/>
  <c r="M2840" i="1"/>
  <c r="K2840" i="1"/>
  <c r="J2840" i="1"/>
  <c r="I2840" i="1"/>
  <c r="H2840" i="1"/>
  <c r="G2840" i="1"/>
  <c r="F2840" i="1"/>
  <c r="E2840" i="1"/>
  <c r="D2840" i="1"/>
  <c r="C2840" i="1"/>
  <c r="M2839" i="1"/>
  <c r="K2839" i="1"/>
  <c r="J2839" i="1"/>
  <c r="I2839" i="1"/>
  <c r="H2839" i="1"/>
  <c r="G2839" i="1"/>
  <c r="F2839" i="1"/>
  <c r="E2839" i="1"/>
  <c r="D2839" i="1"/>
  <c r="C2839" i="1"/>
  <c r="M2838" i="1"/>
  <c r="K2838" i="1"/>
  <c r="J2838" i="1"/>
  <c r="I2838" i="1"/>
  <c r="H2838" i="1"/>
  <c r="G2838" i="1"/>
  <c r="F2838" i="1"/>
  <c r="E2838" i="1"/>
  <c r="D2838" i="1"/>
  <c r="C2838" i="1"/>
  <c r="M2837" i="1"/>
  <c r="K2837" i="1"/>
  <c r="J2837" i="1"/>
  <c r="I2837" i="1"/>
  <c r="H2837" i="1"/>
  <c r="G2837" i="1"/>
  <c r="F2837" i="1"/>
  <c r="E2837" i="1"/>
  <c r="D2837" i="1"/>
  <c r="C2837" i="1"/>
  <c r="M2836" i="1"/>
  <c r="K2836" i="1"/>
  <c r="J2836" i="1"/>
  <c r="I2836" i="1"/>
  <c r="H2836" i="1"/>
  <c r="G2836" i="1"/>
  <c r="F2836" i="1"/>
  <c r="E2836" i="1"/>
  <c r="D2836" i="1"/>
  <c r="C2836" i="1"/>
  <c r="M2835" i="1"/>
  <c r="K2835" i="1"/>
  <c r="J2835" i="1"/>
  <c r="I2835" i="1"/>
  <c r="H2835" i="1"/>
  <c r="G2835" i="1"/>
  <c r="F2835" i="1"/>
  <c r="E2835" i="1"/>
  <c r="D2835" i="1"/>
  <c r="C2835" i="1"/>
  <c r="M2834" i="1"/>
  <c r="K2834" i="1"/>
  <c r="J2834" i="1"/>
  <c r="I2834" i="1"/>
  <c r="H2834" i="1"/>
  <c r="G2834" i="1"/>
  <c r="F2834" i="1"/>
  <c r="E2834" i="1"/>
  <c r="D2834" i="1"/>
  <c r="C2834" i="1"/>
  <c r="M2833" i="1"/>
  <c r="K2833" i="1"/>
  <c r="J2833" i="1"/>
  <c r="I2833" i="1"/>
  <c r="H2833" i="1"/>
  <c r="G2833" i="1"/>
  <c r="F2833" i="1"/>
  <c r="E2833" i="1"/>
  <c r="D2833" i="1"/>
  <c r="C2833" i="1"/>
  <c r="M2832" i="1"/>
  <c r="K2832" i="1"/>
  <c r="J2832" i="1"/>
  <c r="I2832" i="1"/>
  <c r="H2832" i="1"/>
  <c r="G2832" i="1"/>
  <c r="F2832" i="1"/>
  <c r="E2832" i="1"/>
  <c r="D2832" i="1"/>
  <c r="C2832" i="1"/>
  <c r="M2831" i="1"/>
  <c r="K2831" i="1"/>
  <c r="J2831" i="1"/>
  <c r="I2831" i="1"/>
  <c r="H2831" i="1"/>
  <c r="G2831" i="1"/>
  <c r="F2831" i="1"/>
  <c r="E2831" i="1"/>
  <c r="D2831" i="1"/>
  <c r="C2831" i="1"/>
  <c r="M2830" i="1"/>
  <c r="K2830" i="1"/>
  <c r="J2830" i="1"/>
  <c r="I2830" i="1"/>
  <c r="H2830" i="1"/>
  <c r="G2830" i="1"/>
  <c r="F2830" i="1"/>
  <c r="E2830" i="1"/>
  <c r="D2830" i="1"/>
  <c r="C2830" i="1"/>
  <c r="M2829" i="1"/>
  <c r="K2829" i="1"/>
  <c r="J2829" i="1"/>
  <c r="I2829" i="1"/>
  <c r="H2829" i="1"/>
  <c r="G2829" i="1"/>
  <c r="F2829" i="1"/>
  <c r="E2829" i="1"/>
  <c r="D2829" i="1"/>
  <c r="C2829" i="1"/>
  <c r="M2828" i="1"/>
  <c r="K2828" i="1"/>
  <c r="J2828" i="1"/>
  <c r="I2828" i="1"/>
  <c r="H2828" i="1"/>
  <c r="G2828" i="1"/>
  <c r="F2828" i="1"/>
  <c r="E2828" i="1"/>
  <c r="D2828" i="1"/>
  <c r="C2828" i="1"/>
  <c r="M2827" i="1"/>
  <c r="K2827" i="1"/>
  <c r="J2827" i="1"/>
  <c r="I2827" i="1"/>
  <c r="H2827" i="1"/>
  <c r="G2827" i="1"/>
  <c r="F2827" i="1"/>
  <c r="E2827" i="1"/>
  <c r="D2827" i="1"/>
  <c r="C2827" i="1"/>
  <c r="M2826" i="1"/>
  <c r="K2826" i="1"/>
  <c r="J2826" i="1"/>
  <c r="I2826" i="1"/>
  <c r="H2826" i="1"/>
  <c r="G2826" i="1"/>
  <c r="F2826" i="1"/>
  <c r="E2826" i="1"/>
  <c r="D2826" i="1"/>
  <c r="C2826" i="1"/>
  <c r="M2825" i="1"/>
  <c r="K2825" i="1"/>
  <c r="J2825" i="1"/>
  <c r="I2825" i="1"/>
  <c r="H2825" i="1"/>
  <c r="G2825" i="1"/>
  <c r="F2825" i="1"/>
  <c r="E2825" i="1"/>
  <c r="D2825" i="1"/>
  <c r="C2825" i="1"/>
  <c r="M2824" i="1"/>
  <c r="K2824" i="1"/>
  <c r="J2824" i="1"/>
  <c r="I2824" i="1"/>
  <c r="H2824" i="1"/>
  <c r="G2824" i="1"/>
  <c r="F2824" i="1"/>
  <c r="E2824" i="1"/>
  <c r="D2824" i="1"/>
  <c r="C2824" i="1"/>
  <c r="M2823" i="1"/>
  <c r="K2823" i="1"/>
  <c r="J2823" i="1"/>
  <c r="I2823" i="1"/>
  <c r="H2823" i="1"/>
  <c r="G2823" i="1"/>
  <c r="F2823" i="1"/>
  <c r="E2823" i="1"/>
  <c r="D2823" i="1"/>
  <c r="C2823" i="1"/>
  <c r="M2822" i="1"/>
  <c r="K2822" i="1"/>
  <c r="J2822" i="1"/>
  <c r="I2822" i="1"/>
  <c r="H2822" i="1"/>
  <c r="G2822" i="1"/>
  <c r="F2822" i="1"/>
  <c r="E2822" i="1"/>
  <c r="D2822" i="1"/>
  <c r="C2822" i="1"/>
  <c r="M2821" i="1"/>
  <c r="K2821" i="1"/>
  <c r="J2821" i="1"/>
  <c r="I2821" i="1"/>
  <c r="H2821" i="1"/>
  <c r="G2821" i="1"/>
  <c r="F2821" i="1"/>
  <c r="E2821" i="1"/>
  <c r="D2821" i="1"/>
  <c r="C2821" i="1"/>
  <c r="M2820" i="1"/>
  <c r="K2820" i="1"/>
  <c r="J2820" i="1"/>
  <c r="I2820" i="1"/>
  <c r="H2820" i="1"/>
  <c r="G2820" i="1"/>
  <c r="F2820" i="1"/>
  <c r="E2820" i="1"/>
  <c r="D2820" i="1"/>
  <c r="C2820" i="1"/>
  <c r="M2819" i="1"/>
  <c r="K2819" i="1"/>
  <c r="J2819" i="1"/>
  <c r="I2819" i="1"/>
  <c r="H2819" i="1"/>
  <c r="G2819" i="1"/>
  <c r="F2819" i="1"/>
  <c r="E2819" i="1"/>
  <c r="D2819" i="1"/>
  <c r="C2819" i="1"/>
  <c r="M2818" i="1"/>
  <c r="K2818" i="1"/>
  <c r="J2818" i="1"/>
  <c r="I2818" i="1"/>
  <c r="H2818" i="1"/>
  <c r="G2818" i="1"/>
  <c r="F2818" i="1"/>
  <c r="E2818" i="1"/>
  <c r="D2818" i="1"/>
  <c r="C2818" i="1"/>
  <c r="M2817" i="1"/>
  <c r="K2817" i="1"/>
  <c r="J2817" i="1"/>
  <c r="I2817" i="1"/>
  <c r="H2817" i="1"/>
  <c r="G2817" i="1"/>
  <c r="F2817" i="1"/>
  <c r="E2817" i="1"/>
  <c r="D2817" i="1"/>
  <c r="C2817" i="1"/>
  <c r="M2816" i="1"/>
  <c r="K2816" i="1"/>
  <c r="J2816" i="1"/>
  <c r="I2816" i="1"/>
  <c r="H2816" i="1"/>
  <c r="G2816" i="1"/>
  <c r="F2816" i="1"/>
  <c r="E2816" i="1"/>
  <c r="D2816" i="1"/>
  <c r="C2816" i="1"/>
  <c r="M2815" i="1"/>
  <c r="K2815" i="1"/>
  <c r="J2815" i="1"/>
  <c r="I2815" i="1"/>
  <c r="H2815" i="1"/>
  <c r="G2815" i="1"/>
  <c r="F2815" i="1"/>
  <c r="E2815" i="1"/>
  <c r="D2815" i="1"/>
  <c r="C2815" i="1"/>
  <c r="M2814" i="1"/>
  <c r="K2814" i="1"/>
  <c r="J2814" i="1"/>
  <c r="I2814" i="1"/>
  <c r="H2814" i="1"/>
  <c r="G2814" i="1"/>
  <c r="F2814" i="1"/>
  <c r="E2814" i="1"/>
  <c r="D2814" i="1"/>
  <c r="C2814" i="1"/>
  <c r="M2813" i="1"/>
  <c r="K2813" i="1"/>
  <c r="J2813" i="1"/>
  <c r="I2813" i="1"/>
  <c r="H2813" i="1"/>
  <c r="G2813" i="1"/>
  <c r="F2813" i="1"/>
  <c r="E2813" i="1"/>
  <c r="D2813" i="1"/>
  <c r="C2813" i="1"/>
  <c r="M2812" i="1"/>
  <c r="K2812" i="1"/>
  <c r="J2812" i="1"/>
  <c r="I2812" i="1"/>
  <c r="H2812" i="1"/>
  <c r="G2812" i="1"/>
  <c r="F2812" i="1"/>
  <c r="E2812" i="1"/>
  <c r="D2812" i="1"/>
  <c r="C2812" i="1"/>
  <c r="M2811" i="1"/>
  <c r="K2811" i="1"/>
  <c r="J2811" i="1"/>
  <c r="I2811" i="1"/>
  <c r="H2811" i="1"/>
  <c r="G2811" i="1"/>
  <c r="F2811" i="1"/>
  <c r="E2811" i="1"/>
  <c r="D2811" i="1"/>
  <c r="C2811" i="1"/>
  <c r="M2810" i="1"/>
  <c r="K2810" i="1"/>
  <c r="J2810" i="1"/>
  <c r="I2810" i="1"/>
  <c r="H2810" i="1"/>
  <c r="G2810" i="1"/>
  <c r="F2810" i="1"/>
  <c r="E2810" i="1"/>
  <c r="D2810" i="1"/>
  <c r="C2810" i="1"/>
  <c r="M2809" i="1"/>
  <c r="K2809" i="1"/>
  <c r="J2809" i="1"/>
  <c r="I2809" i="1"/>
  <c r="H2809" i="1"/>
  <c r="G2809" i="1"/>
  <c r="F2809" i="1"/>
  <c r="E2809" i="1"/>
  <c r="D2809" i="1"/>
  <c r="C2809" i="1"/>
  <c r="M2808" i="1"/>
  <c r="K2808" i="1"/>
  <c r="J2808" i="1"/>
  <c r="I2808" i="1"/>
  <c r="H2808" i="1"/>
  <c r="G2808" i="1"/>
  <c r="F2808" i="1"/>
  <c r="E2808" i="1"/>
  <c r="D2808" i="1"/>
  <c r="C2808" i="1"/>
  <c r="M2807" i="1"/>
  <c r="K2807" i="1"/>
  <c r="J2807" i="1"/>
  <c r="I2807" i="1"/>
  <c r="H2807" i="1"/>
  <c r="G2807" i="1"/>
  <c r="F2807" i="1"/>
  <c r="E2807" i="1"/>
  <c r="D2807" i="1"/>
  <c r="C2807" i="1"/>
  <c r="M2806" i="1"/>
  <c r="K2806" i="1"/>
  <c r="J2806" i="1"/>
  <c r="I2806" i="1"/>
  <c r="H2806" i="1"/>
  <c r="G2806" i="1"/>
  <c r="F2806" i="1"/>
  <c r="E2806" i="1"/>
  <c r="D2806" i="1"/>
  <c r="C2806" i="1"/>
  <c r="M2805" i="1"/>
  <c r="K2805" i="1"/>
  <c r="J2805" i="1"/>
  <c r="I2805" i="1"/>
  <c r="H2805" i="1"/>
  <c r="G2805" i="1"/>
  <c r="F2805" i="1"/>
  <c r="E2805" i="1"/>
  <c r="D2805" i="1"/>
  <c r="C2805" i="1"/>
  <c r="M2804" i="1"/>
  <c r="K2804" i="1"/>
  <c r="J2804" i="1"/>
  <c r="I2804" i="1"/>
  <c r="H2804" i="1"/>
  <c r="G2804" i="1"/>
  <c r="F2804" i="1"/>
  <c r="E2804" i="1"/>
  <c r="D2804" i="1"/>
  <c r="C2804" i="1"/>
  <c r="M2803" i="1"/>
  <c r="K2803" i="1"/>
  <c r="J2803" i="1"/>
  <c r="I2803" i="1"/>
  <c r="H2803" i="1"/>
  <c r="G2803" i="1"/>
  <c r="F2803" i="1"/>
  <c r="E2803" i="1"/>
  <c r="D2803" i="1"/>
  <c r="C2803" i="1"/>
  <c r="M2802" i="1"/>
  <c r="K2802" i="1"/>
  <c r="J2802" i="1"/>
  <c r="I2802" i="1"/>
  <c r="H2802" i="1"/>
  <c r="G2802" i="1"/>
  <c r="F2802" i="1"/>
  <c r="E2802" i="1"/>
  <c r="D2802" i="1"/>
  <c r="C2802" i="1"/>
  <c r="M2801" i="1"/>
  <c r="K2801" i="1"/>
  <c r="J2801" i="1"/>
  <c r="I2801" i="1"/>
  <c r="H2801" i="1"/>
  <c r="G2801" i="1"/>
  <c r="F2801" i="1"/>
  <c r="E2801" i="1"/>
  <c r="D2801" i="1"/>
  <c r="C2801" i="1"/>
  <c r="M2800" i="1"/>
  <c r="K2800" i="1"/>
  <c r="J2800" i="1"/>
  <c r="I2800" i="1"/>
  <c r="H2800" i="1"/>
  <c r="G2800" i="1"/>
  <c r="F2800" i="1"/>
  <c r="E2800" i="1"/>
  <c r="D2800" i="1"/>
  <c r="C2800" i="1"/>
  <c r="M2799" i="1"/>
  <c r="K2799" i="1"/>
  <c r="J2799" i="1"/>
  <c r="I2799" i="1"/>
  <c r="H2799" i="1"/>
  <c r="G2799" i="1"/>
  <c r="F2799" i="1"/>
  <c r="E2799" i="1"/>
  <c r="D2799" i="1"/>
  <c r="C2799" i="1"/>
  <c r="M2798" i="1"/>
  <c r="K2798" i="1"/>
  <c r="J2798" i="1"/>
  <c r="I2798" i="1"/>
  <c r="H2798" i="1"/>
  <c r="G2798" i="1"/>
  <c r="F2798" i="1"/>
  <c r="E2798" i="1"/>
  <c r="D2798" i="1"/>
  <c r="C2798" i="1"/>
  <c r="M2797" i="1"/>
  <c r="K2797" i="1"/>
  <c r="J2797" i="1"/>
  <c r="I2797" i="1"/>
  <c r="H2797" i="1"/>
  <c r="G2797" i="1"/>
  <c r="F2797" i="1"/>
  <c r="E2797" i="1"/>
  <c r="D2797" i="1"/>
  <c r="C2797" i="1"/>
  <c r="M2796" i="1"/>
  <c r="K2796" i="1"/>
  <c r="J2796" i="1"/>
  <c r="I2796" i="1"/>
  <c r="H2796" i="1"/>
  <c r="G2796" i="1"/>
  <c r="F2796" i="1"/>
  <c r="E2796" i="1"/>
  <c r="D2796" i="1"/>
  <c r="C2796" i="1"/>
  <c r="M2795" i="1"/>
  <c r="K2795" i="1"/>
  <c r="J2795" i="1"/>
  <c r="I2795" i="1"/>
  <c r="H2795" i="1"/>
  <c r="G2795" i="1"/>
  <c r="F2795" i="1"/>
  <c r="E2795" i="1"/>
  <c r="D2795" i="1"/>
  <c r="C2795" i="1"/>
  <c r="M2794" i="1"/>
  <c r="K2794" i="1"/>
  <c r="J2794" i="1"/>
  <c r="I2794" i="1"/>
  <c r="H2794" i="1"/>
  <c r="G2794" i="1"/>
  <c r="F2794" i="1"/>
  <c r="E2794" i="1"/>
  <c r="D2794" i="1"/>
  <c r="C2794" i="1"/>
  <c r="M2793" i="1"/>
  <c r="K2793" i="1"/>
  <c r="J2793" i="1"/>
  <c r="I2793" i="1"/>
  <c r="H2793" i="1"/>
  <c r="G2793" i="1"/>
  <c r="F2793" i="1"/>
  <c r="E2793" i="1"/>
  <c r="D2793" i="1"/>
  <c r="C2793" i="1"/>
  <c r="M2792" i="1"/>
  <c r="K2792" i="1"/>
  <c r="J2792" i="1"/>
  <c r="I2792" i="1"/>
  <c r="H2792" i="1"/>
  <c r="G2792" i="1"/>
  <c r="F2792" i="1"/>
  <c r="E2792" i="1"/>
  <c r="D2792" i="1"/>
  <c r="C2792" i="1"/>
  <c r="M2791" i="1"/>
  <c r="K2791" i="1"/>
  <c r="J2791" i="1"/>
  <c r="I2791" i="1"/>
  <c r="H2791" i="1"/>
  <c r="G2791" i="1"/>
  <c r="F2791" i="1"/>
  <c r="E2791" i="1"/>
  <c r="D2791" i="1"/>
  <c r="C2791" i="1"/>
  <c r="M2790" i="1"/>
  <c r="K2790" i="1"/>
  <c r="J2790" i="1"/>
  <c r="I2790" i="1"/>
  <c r="H2790" i="1"/>
  <c r="G2790" i="1"/>
  <c r="F2790" i="1"/>
  <c r="E2790" i="1"/>
  <c r="D2790" i="1"/>
  <c r="C2790" i="1"/>
  <c r="M2789" i="1"/>
  <c r="K2789" i="1"/>
  <c r="J2789" i="1"/>
  <c r="I2789" i="1"/>
  <c r="H2789" i="1"/>
  <c r="G2789" i="1"/>
  <c r="F2789" i="1"/>
  <c r="E2789" i="1"/>
  <c r="D2789" i="1"/>
  <c r="C2789" i="1"/>
  <c r="M2788" i="1"/>
  <c r="K2788" i="1"/>
  <c r="J2788" i="1"/>
  <c r="I2788" i="1"/>
  <c r="H2788" i="1"/>
  <c r="G2788" i="1"/>
  <c r="F2788" i="1"/>
  <c r="E2788" i="1"/>
  <c r="D2788" i="1"/>
  <c r="C2788" i="1"/>
  <c r="M2787" i="1"/>
  <c r="K2787" i="1"/>
  <c r="J2787" i="1"/>
  <c r="I2787" i="1"/>
  <c r="H2787" i="1"/>
  <c r="G2787" i="1"/>
  <c r="F2787" i="1"/>
  <c r="E2787" i="1"/>
  <c r="D2787" i="1"/>
  <c r="C2787" i="1"/>
  <c r="M2786" i="1"/>
  <c r="K2786" i="1"/>
  <c r="J2786" i="1"/>
  <c r="I2786" i="1"/>
  <c r="H2786" i="1"/>
  <c r="G2786" i="1"/>
  <c r="F2786" i="1"/>
  <c r="E2786" i="1"/>
  <c r="D2786" i="1"/>
  <c r="C2786" i="1"/>
  <c r="M2785" i="1"/>
  <c r="K2785" i="1"/>
  <c r="J2785" i="1"/>
  <c r="I2785" i="1"/>
  <c r="H2785" i="1"/>
  <c r="G2785" i="1"/>
  <c r="F2785" i="1"/>
  <c r="E2785" i="1"/>
  <c r="D2785" i="1"/>
  <c r="C2785" i="1"/>
  <c r="M2784" i="1"/>
  <c r="K2784" i="1"/>
  <c r="J2784" i="1"/>
  <c r="I2784" i="1"/>
  <c r="H2784" i="1"/>
  <c r="G2784" i="1"/>
  <c r="F2784" i="1"/>
  <c r="E2784" i="1"/>
  <c r="D2784" i="1"/>
  <c r="C2784" i="1"/>
  <c r="M2783" i="1"/>
  <c r="K2783" i="1"/>
  <c r="J2783" i="1"/>
  <c r="I2783" i="1"/>
  <c r="H2783" i="1"/>
  <c r="G2783" i="1"/>
  <c r="F2783" i="1"/>
  <c r="E2783" i="1"/>
  <c r="D2783" i="1"/>
  <c r="C2783" i="1"/>
  <c r="M2782" i="1"/>
  <c r="K2782" i="1"/>
  <c r="J2782" i="1"/>
  <c r="I2782" i="1"/>
  <c r="H2782" i="1"/>
  <c r="G2782" i="1"/>
  <c r="F2782" i="1"/>
  <c r="E2782" i="1"/>
  <c r="D2782" i="1"/>
  <c r="C2782" i="1"/>
  <c r="M2781" i="1"/>
  <c r="K2781" i="1"/>
  <c r="J2781" i="1"/>
  <c r="I2781" i="1"/>
  <c r="H2781" i="1"/>
  <c r="G2781" i="1"/>
  <c r="F2781" i="1"/>
  <c r="E2781" i="1"/>
  <c r="D2781" i="1"/>
  <c r="C2781" i="1"/>
  <c r="M2780" i="1"/>
  <c r="K2780" i="1"/>
  <c r="J2780" i="1"/>
  <c r="I2780" i="1"/>
  <c r="H2780" i="1"/>
  <c r="G2780" i="1"/>
  <c r="F2780" i="1"/>
  <c r="E2780" i="1"/>
  <c r="D2780" i="1"/>
  <c r="C2780" i="1"/>
  <c r="M2779" i="1"/>
  <c r="K2779" i="1"/>
  <c r="J2779" i="1"/>
  <c r="I2779" i="1"/>
  <c r="H2779" i="1"/>
  <c r="G2779" i="1"/>
  <c r="F2779" i="1"/>
  <c r="E2779" i="1"/>
  <c r="D2779" i="1"/>
  <c r="C2779" i="1"/>
  <c r="M2778" i="1"/>
  <c r="K2778" i="1"/>
  <c r="J2778" i="1"/>
  <c r="I2778" i="1"/>
  <c r="H2778" i="1"/>
  <c r="G2778" i="1"/>
  <c r="F2778" i="1"/>
  <c r="E2778" i="1"/>
  <c r="D2778" i="1"/>
  <c r="C2778" i="1"/>
  <c r="M2777" i="1"/>
  <c r="K2777" i="1"/>
  <c r="J2777" i="1"/>
  <c r="I2777" i="1"/>
  <c r="H2777" i="1"/>
  <c r="G2777" i="1"/>
  <c r="F2777" i="1"/>
  <c r="E2777" i="1"/>
  <c r="D2777" i="1"/>
  <c r="C2777" i="1"/>
  <c r="M2776" i="1"/>
  <c r="K2776" i="1"/>
  <c r="J2776" i="1"/>
  <c r="I2776" i="1"/>
  <c r="H2776" i="1"/>
  <c r="G2776" i="1"/>
  <c r="F2776" i="1"/>
  <c r="E2776" i="1"/>
  <c r="D2776" i="1"/>
  <c r="C2776" i="1"/>
  <c r="M2775" i="1"/>
  <c r="K2775" i="1"/>
  <c r="J2775" i="1"/>
  <c r="I2775" i="1"/>
  <c r="H2775" i="1"/>
  <c r="G2775" i="1"/>
  <c r="F2775" i="1"/>
  <c r="E2775" i="1"/>
  <c r="D2775" i="1"/>
  <c r="C2775" i="1"/>
  <c r="M2774" i="1"/>
  <c r="K2774" i="1"/>
  <c r="J2774" i="1"/>
  <c r="I2774" i="1"/>
  <c r="H2774" i="1"/>
  <c r="G2774" i="1"/>
  <c r="F2774" i="1"/>
  <c r="E2774" i="1"/>
  <c r="D2774" i="1"/>
  <c r="C2774" i="1"/>
  <c r="M2773" i="1"/>
  <c r="K2773" i="1"/>
  <c r="J2773" i="1"/>
  <c r="I2773" i="1"/>
  <c r="H2773" i="1"/>
  <c r="G2773" i="1"/>
  <c r="F2773" i="1"/>
  <c r="E2773" i="1"/>
  <c r="D2773" i="1"/>
  <c r="C2773" i="1"/>
  <c r="M2772" i="1"/>
  <c r="K2772" i="1"/>
  <c r="J2772" i="1"/>
  <c r="I2772" i="1"/>
  <c r="H2772" i="1"/>
  <c r="G2772" i="1"/>
  <c r="F2772" i="1"/>
  <c r="E2772" i="1"/>
  <c r="D2772" i="1"/>
  <c r="C2772" i="1"/>
  <c r="M2771" i="1"/>
  <c r="K2771" i="1"/>
  <c r="J2771" i="1"/>
  <c r="I2771" i="1"/>
  <c r="H2771" i="1"/>
  <c r="G2771" i="1"/>
  <c r="F2771" i="1"/>
  <c r="E2771" i="1"/>
  <c r="D2771" i="1"/>
  <c r="C2771" i="1"/>
  <c r="M2770" i="1"/>
  <c r="K2770" i="1"/>
  <c r="J2770" i="1"/>
  <c r="I2770" i="1"/>
  <c r="H2770" i="1"/>
  <c r="G2770" i="1"/>
  <c r="F2770" i="1"/>
  <c r="E2770" i="1"/>
  <c r="D2770" i="1"/>
  <c r="C2770" i="1"/>
  <c r="M2769" i="1"/>
  <c r="K2769" i="1"/>
  <c r="J2769" i="1"/>
  <c r="I2769" i="1"/>
  <c r="H2769" i="1"/>
  <c r="G2769" i="1"/>
  <c r="F2769" i="1"/>
  <c r="E2769" i="1"/>
  <c r="D2769" i="1"/>
  <c r="C2769" i="1"/>
  <c r="M2768" i="1"/>
  <c r="K2768" i="1"/>
  <c r="J2768" i="1"/>
  <c r="I2768" i="1"/>
  <c r="H2768" i="1"/>
  <c r="G2768" i="1"/>
  <c r="F2768" i="1"/>
  <c r="E2768" i="1"/>
  <c r="D2768" i="1"/>
  <c r="C2768" i="1"/>
  <c r="M2767" i="1"/>
  <c r="K2767" i="1"/>
  <c r="J2767" i="1"/>
  <c r="I2767" i="1"/>
  <c r="H2767" i="1"/>
  <c r="G2767" i="1"/>
  <c r="F2767" i="1"/>
  <c r="E2767" i="1"/>
  <c r="D2767" i="1"/>
  <c r="C2767" i="1"/>
  <c r="M2766" i="1"/>
  <c r="K2766" i="1"/>
  <c r="J2766" i="1"/>
  <c r="I2766" i="1"/>
  <c r="H2766" i="1"/>
  <c r="G2766" i="1"/>
  <c r="F2766" i="1"/>
  <c r="E2766" i="1"/>
  <c r="D2766" i="1"/>
  <c r="C2766" i="1"/>
  <c r="M2765" i="1"/>
  <c r="K2765" i="1"/>
  <c r="J2765" i="1"/>
  <c r="I2765" i="1"/>
  <c r="H2765" i="1"/>
  <c r="G2765" i="1"/>
  <c r="F2765" i="1"/>
  <c r="E2765" i="1"/>
  <c r="D2765" i="1"/>
  <c r="C2765" i="1"/>
  <c r="M2764" i="1"/>
  <c r="K2764" i="1"/>
  <c r="J2764" i="1"/>
  <c r="I2764" i="1"/>
  <c r="H2764" i="1"/>
  <c r="G2764" i="1"/>
  <c r="F2764" i="1"/>
  <c r="E2764" i="1"/>
  <c r="D2764" i="1"/>
  <c r="C2764" i="1"/>
  <c r="M2763" i="1"/>
  <c r="K2763" i="1"/>
  <c r="J2763" i="1"/>
  <c r="I2763" i="1"/>
  <c r="H2763" i="1"/>
  <c r="G2763" i="1"/>
  <c r="F2763" i="1"/>
  <c r="E2763" i="1"/>
  <c r="D2763" i="1"/>
  <c r="C2763" i="1"/>
  <c r="M2762" i="1"/>
  <c r="K2762" i="1"/>
  <c r="J2762" i="1"/>
  <c r="I2762" i="1"/>
  <c r="H2762" i="1"/>
  <c r="G2762" i="1"/>
  <c r="F2762" i="1"/>
  <c r="E2762" i="1"/>
  <c r="D2762" i="1"/>
  <c r="C2762" i="1"/>
  <c r="M2761" i="1"/>
  <c r="K2761" i="1"/>
  <c r="J2761" i="1"/>
  <c r="I2761" i="1"/>
  <c r="H2761" i="1"/>
  <c r="G2761" i="1"/>
  <c r="F2761" i="1"/>
  <c r="E2761" i="1"/>
  <c r="D2761" i="1"/>
  <c r="C2761" i="1"/>
  <c r="M2760" i="1"/>
  <c r="K2760" i="1"/>
  <c r="J2760" i="1"/>
  <c r="I2760" i="1"/>
  <c r="H2760" i="1"/>
  <c r="G2760" i="1"/>
  <c r="F2760" i="1"/>
  <c r="E2760" i="1"/>
  <c r="D2760" i="1"/>
  <c r="C2760" i="1"/>
  <c r="M2759" i="1"/>
  <c r="K2759" i="1"/>
  <c r="J2759" i="1"/>
  <c r="I2759" i="1"/>
  <c r="H2759" i="1"/>
  <c r="G2759" i="1"/>
  <c r="F2759" i="1"/>
  <c r="E2759" i="1"/>
  <c r="D2759" i="1"/>
  <c r="C2759" i="1"/>
  <c r="M2758" i="1"/>
  <c r="K2758" i="1"/>
  <c r="J2758" i="1"/>
  <c r="I2758" i="1"/>
  <c r="H2758" i="1"/>
  <c r="G2758" i="1"/>
  <c r="F2758" i="1"/>
  <c r="E2758" i="1"/>
  <c r="D2758" i="1"/>
  <c r="C2758" i="1"/>
  <c r="M2757" i="1"/>
  <c r="K2757" i="1"/>
  <c r="J2757" i="1"/>
  <c r="I2757" i="1"/>
  <c r="H2757" i="1"/>
  <c r="G2757" i="1"/>
  <c r="F2757" i="1"/>
  <c r="E2757" i="1"/>
  <c r="D2757" i="1"/>
  <c r="C2757" i="1"/>
  <c r="M2756" i="1"/>
  <c r="K2756" i="1"/>
  <c r="J2756" i="1"/>
  <c r="I2756" i="1"/>
  <c r="H2756" i="1"/>
  <c r="G2756" i="1"/>
  <c r="F2756" i="1"/>
  <c r="E2756" i="1"/>
  <c r="D2756" i="1"/>
  <c r="C2756" i="1"/>
  <c r="M2755" i="1"/>
  <c r="K2755" i="1"/>
  <c r="J2755" i="1"/>
  <c r="I2755" i="1"/>
  <c r="H2755" i="1"/>
  <c r="G2755" i="1"/>
  <c r="F2755" i="1"/>
  <c r="E2755" i="1"/>
  <c r="D2755" i="1"/>
  <c r="C2755" i="1"/>
  <c r="M2754" i="1"/>
  <c r="K2754" i="1"/>
  <c r="J2754" i="1"/>
  <c r="I2754" i="1"/>
  <c r="H2754" i="1"/>
  <c r="G2754" i="1"/>
  <c r="F2754" i="1"/>
  <c r="E2754" i="1"/>
  <c r="D2754" i="1"/>
  <c r="C2754" i="1"/>
  <c r="M2753" i="1"/>
  <c r="K2753" i="1"/>
  <c r="J2753" i="1"/>
  <c r="I2753" i="1"/>
  <c r="H2753" i="1"/>
  <c r="G2753" i="1"/>
  <c r="F2753" i="1"/>
  <c r="E2753" i="1"/>
  <c r="D2753" i="1"/>
  <c r="C2753" i="1"/>
  <c r="M2752" i="1"/>
  <c r="K2752" i="1"/>
  <c r="J2752" i="1"/>
  <c r="I2752" i="1"/>
  <c r="H2752" i="1"/>
  <c r="G2752" i="1"/>
  <c r="F2752" i="1"/>
  <c r="E2752" i="1"/>
  <c r="D2752" i="1"/>
  <c r="C2752" i="1"/>
  <c r="M2751" i="1"/>
  <c r="K2751" i="1"/>
  <c r="J2751" i="1"/>
  <c r="I2751" i="1"/>
  <c r="H2751" i="1"/>
  <c r="G2751" i="1"/>
  <c r="F2751" i="1"/>
  <c r="E2751" i="1"/>
  <c r="D2751" i="1"/>
  <c r="C2751" i="1"/>
  <c r="M2750" i="1"/>
  <c r="K2750" i="1"/>
  <c r="J2750" i="1"/>
  <c r="I2750" i="1"/>
  <c r="H2750" i="1"/>
  <c r="G2750" i="1"/>
  <c r="F2750" i="1"/>
  <c r="E2750" i="1"/>
  <c r="D2750" i="1"/>
  <c r="C2750" i="1"/>
  <c r="M2749" i="1"/>
  <c r="K2749" i="1"/>
  <c r="J2749" i="1"/>
  <c r="I2749" i="1"/>
  <c r="H2749" i="1"/>
  <c r="G2749" i="1"/>
  <c r="F2749" i="1"/>
  <c r="E2749" i="1"/>
  <c r="D2749" i="1"/>
  <c r="C2749" i="1"/>
  <c r="M2748" i="1"/>
  <c r="K2748" i="1"/>
  <c r="J2748" i="1"/>
  <c r="I2748" i="1"/>
  <c r="H2748" i="1"/>
  <c r="G2748" i="1"/>
  <c r="F2748" i="1"/>
  <c r="E2748" i="1"/>
  <c r="D2748" i="1"/>
  <c r="C2748" i="1"/>
  <c r="M2747" i="1"/>
  <c r="K2747" i="1"/>
  <c r="J2747" i="1"/>
  <c r="I2747" i="1"/>
  <c r="H2747" i="1"/>
  <c r="G2747" i="1"/>
  <c r="F2747" i="1"/>
  <c r="E2747" i="1"/>
  <c r="D2747" i="1"/>
  <c r="C2747" i="1"/>
  <c r="M2746" i="1"/>
  <c r="K2746" i="1"/>
  <c r="J2746" i="1"/>
  <c r="I2746" i="1"/>
  <c r="H2746" i="1"/>
  <c r="G2746" i="1"/>
  <c r="F2746" i="1"/>
  <c r="E2746" i="1"/>
  <c r="D2746" i="1"/>
  <c r="C2746" i="1"/>
  <c r="M2745" i="1"/>
  <c r="K2745" i="1"/>
  <c r="J2745" i="1"/>
  <c r="I2745" i="1"/>
  <c r="H2745" i="1"/>
  <c r="G2745" i="1"/>
  <c r="F2745" i="1"/>
  <c r="E2745" i="1"/>
  <c r="D2745" i="1"/>
  <c r="C2745" i="1"/>
  <c r="M2744" i="1"/>
  <c r="K2744" i="1"/>
  <c r="J2744" i="1"/>
  <c r="I2744" i="1"/>
  <c r="H2744" i="1"/>
  <c r="G2744" i="1"/>
  <c r="F2744" i="1"/>
  <c r="E2744" i="1"/>
  <c r="D2744" i="1"/>
  <c r="C2744" i="1"/>
  <c r="M2743" i="1"/>
  <c r="K2743" i="1"/>
  <c r="J2743" i="1"/>
  <c r="I2743" i="1"/>
  <c r="H2743" i="1"/>
  <c r="G2743" i="1"/>
  <c r="F2743" i="1"/>
  <c r="E2743" i="1"/>
  <c r="D2743" i="1"/>
  <c r="C2743" i="1"/>
  <c r="M2742" i="1"/>
  <c r="K2742" i="1"/>
  <c r="J2742" i="1"/>
  <c r="I2742" i="1"/>
  <c r="H2742" i="1"/>
  <c r="G2742" i="1"/>
  <c r="F2742" i="1"/>
  <c r="E2742" i="1"/>
  <c r="D2742" i="1"/>
  <c r="C2742" i="1"/>
  <c r="M2741" i="1"/>
  <c r="K2741" i="1"/>
  <c r="J2741" i="1"/>
  <c r="I2741" i="1"/>
  <c r="H2741" i="1"/>
  <c r="G2741" i="1"/>
  <c r="F2741" i="1"/>
  <c r="E2741" i="1"/>
  <c r="D2741" i="1"/>
  <c r="C2741" i="1"/>
  <c r="M2740" i="1"/>
  <c r="K2740" i="1"/>
  <c r="J2740" i="1"/>
  <c r="I2740" i="1"/>
  <c r="H2740" i="1"/>
  <c r="G2740" i="1"/>
  <c r="F2740" i="1"/>
  <c r="E2740" i="1"/>
  <c r="D2740" i="1"/>
  <c r="C2740" i="1"/>
  <c r="M2739" i="1"/>
  <c r="K2739" i="1"/>
  <c r="J2739" i="1"/>
  <c r="I2739" i="1"/>
  <c r="H2739" i="1"/>
  <c r="G2739" i="1"/>
  <c r="F2739" i="1"/>
  <c r="E2739" i="1"/>
  <c r="D2739" i="1"/>
  <c r="C2739" i="1"/>
  <c r="M2738" i="1"/>
  <c r="K2738" i="1"/>
  <c r="J2738" i="1"/>
  <c r="I2738" i="1"/>
  <c r="H2738" i="1"/>
  <c r="G2738" i="1"/>
  <c r="F2738" i="1"/>
  <c r="E2738" i="1"/>
  <c r="D2738" i="1"/>
  <c r="C2738" i="1"/>
  <c r="M2737" i="1"/>
  <c r="K2737" i="1"/>
  <c r="J2737" i="1"/>
  <c r="I2737" i="1"/>
  <c r="H2737" i="1"/>
  <c r="G2737" i="1"/>
  <c r="F2737" i="1"/>
  <c r="E2737" i="1"/>
  <c r="D2737" i="1"/>
  <c r="C2737" i="1"/>
  <c r="M2736" i="1"/>
  <c r="K2736" i="1"/>
  <c r="J2736" i="1"/>
  <c r="I2736" i="1"/>
  <c r="H2736" i="1"/>
  <c r="G2736" i="1"/>
  <c r="F2736" i="1"/>
  <c r="E2736" i="1"/>
  <c r="D2736" i="1"/>
  <c r="C2736" i="1"/>
  <c r="M2735" i="1"/>
  <c r="K2735" i="1"/>
  <c r="J2735" i="1"/>
  <c r="I2735" i="1"/>
  <c r="H2735" i="1"/>
  <c r="G2735" i="1"/>
  <c r="F2735" i="1"/>
  <c r="E2735" i="1"/>
  <c r="D2735" i="1"/>
  <c r="C2735" i="1"/>
  <c r="M2734" i="1"/>
  <c r="K2734" i="1"/>
  <c r="J2734" i="1"/>
  <c r="I2734" i="1"/>
  <c r="H2734" i="1"/>
  <c r="G2734" i="1"/>
  <c r="F2734" i="1"/>
  <c r="E2734" i="1"/>
  <c r="D2734" i="1"/>
  <c r="C2734" i="1"/>
  <c r="M2733" i="1"/>
  <c r="K2733" i="1"/>
  <c r="J2733" i="1"/>
  <c r="I2733" i="1"/>
  <c r="H2733" i="1"/>
  <c r="G2733" i="1"/>
  <c r="F2733" i="1"/>
  <c r="E2733" i="1"/>
  <c r="D2733" i="1"/>
  <c r="C2733" i="1"/>
  <c r="M2732" i="1"/>
  <c r="K2732" i="1"/>
  <c r="J2732" i="1"/>
  <c r="I2732" i="1"/>
  <c r="H2732" i="1"/>
  <c r="G2732" i="1"/>
  <c r="F2732" i="1"/>
  <c r="E2732" i="1"/>
  <c r="D2732" i="1"/>
  <c r="C2732" i="1"/>
  <c r="M2731" i="1"/>
  <c r="K2731" i="1"/>
  <c r="J2731" i="1"/>
  <c r="I2731" i="1"/>
  <c r="H2731" i="1"/>
  <c r="G2731" i="1"/>
  <c r="F2731" i="1"/>
  <c r="E2731" i="1"/>
  <c r="D2731" i="1"/>
  <c r="C2731" i="1"/>
  <c r="M2730" i="1"/>
  <c r="K2730" i="1"/>
  <c r="J2730" i="1"/>
  <c r="I2730" i="1"/>
  <c r="H2730" i="1"/>
  <c r="G2730" i="1"/>
  <c r="F2730" i="1"/>
  <c r="E2730" i="1"/>
  <c r="D2730" i="1"/>
  <c r="C2730" i="1"/>
  <c r="M2729" i="1"/>
  <c r="K2729" i="1"/>
  <c r="J2729" i="1"/>
  <c r="I2729" i="1"/>
  <c r="H2729" i="1"/>
  <c r="G2729" i="1"/>
  <c r="F2729" i="1"/>
  <c r="E2729" i="1"/>
  <c r="D2729" i="1"/>
  <c r="C2729" i="1"/>
  <c r="M2728" i="1"/>
  <c r="K2728" i="1"/>
  <c r="J2728" i="1"/>
  <c r="I2728" i="1"/>
  <c r="H2728" i="1"/>
  <c r="G2728" i="1"/>
  <c r="F2728" i="1"/>
  <c r="E2728" i="1"/>
  <c r="D2728" i="1"/>
  <c r="C2728" i="1"/>
  <c r="M2727" i="1"/>
  <c r="K2727" i="1"/>
  <c r="J2727" i="1"/>
  <c r="I2727" i="1"/>
  <c r="H2727" i="1"/>
  <c r="G2727" i="1"/>
  <c r="F2727" i="1"/>
  <c r="E2727" i="1"/>
  <c r="D2727" i="1"/>
  <c r="C2727" i="1"/>
  <c r="M2726" i="1"/>
  <c r="K2726" i="1"/>
  <c r="J2726" i="1"/>
  <c r="I2726" i="1"/>
  <c r="H2726" i="1"/>
  <c r="G2726" i="1"/>
  <c r="F2726" i="1"/>
  <c r="E2726" i="1"/>
  <c r="D2726" i="1"/>
  <c r="C2726" i="1"/>
  <c r="M2725" i="1"/>
  <c r="K2725" i="1"/>
  <c r="J2725" i="1"/>
  <c r="I2725" i="1"/>
  <c r="H2725" i="1"/>
  <c r="G2725" i="1"/>
  <c r="F2725" i="1"/>
  <c r="E2725" i="1"/>
  <c r="D2725" i="1"/>
  <c r="C2725" i="1"/>
  <c r="M2724" i="1"/>
  <c r="K2724" i="1"/>
  <c r="J2724" i="1"/>
  <c r="I2724" i="1"/>
  <c r="H2724" i="1"/>
  <c r="G2724" i="1"/>
  <c r="F2724" i="1"/>
  <c r="E2724" i="1"/>
  <c r="D2724" i="1"/>
  <c r="C2724" i="1"/>
  <c r="M2723" i="1"/>
  <c r="K2723" i="1"/>
  <c r="J2723" i="1"/>
  <c r="I2723" i="1"/>
  <c r="H2723" i="1"/>
  <c r="G2723" i="1"/>
  <c r="F2723" i="1"/>
  <c r="E2723" i="1"/>
  <c r="D2723" i="1"/>
  <c r="C2723" i="1"/>
  <c r="M2722" i="1"/>
  <c r="K2722" i="1"/>
  <c r="J2722" i="1"/>
  <c r="I2722" i="1"/>
  <c r="H2722" i="1"/>
  <c r="G2722" i="1"/>
  <c r="F2722" i="1"/>
  <c r="E2722" i="1"/>
  <c r="D2722" i="1"/>
  <c r="C2722" i="1"/>
  <c r="M2721" i="1"/>
  <c r="K2721" i="1"/>
  <c r="J2721" i="1"/>
  <c r="I2721" i="1"/>
  <c r="H2721" i="1"/>
  <c r="G2721" i="1"/>
  <c r="F2721" i="1"/>
  <c r="E2721" i="1"/>
  <c r="D2721" i="1"/>
  <c r="C2721" i="1"/>
  <c r="M2720" i="1"/>
  <c r="K2720" i="1"/>
  <c r="J2720" i="1"/>
  <c r="I2720" i="1"/>
  <c r="H2720" i="1"/>
  <c r="G2720" i="1"/>
  <c r="F2720" i="1"/>
  <c r="E2720" i="1"/>
  <c r="D2720" i="1"/>
  <c r="C2720" i="1"/>
  <c r="M2719" i="1"/>
  <c r="K2719" i="1"/>
  <c r="J2719" i="1"/>
  <c r="I2719" i="1"/>
  <c r="H2719" i="1"/>
  <c r="G2719" i="1"/>
  <c r="F2719" i="1"/>
  <c r="E2719" i="1"/>
  <c r="D2719" i="1"/>
  <c r="C2719" i="1"/>
  <c r="M2718" i="1"/>
  <c r="K2718" i="1"/>
  <c r="J2718" i="1"/>
  <c r="I2718" i="1"/>
  <c r="H2718" i="1"/>
  <c r="G2718" i="1"/>
  <c r="F2718" i="1"/>
  <c r="E2718" i="1"/>
  <c r="D2718" i="1"/>
  <c r="C2718" i="1"/>
  <c r="M2717" i="1"/>
  <c r="K2717" i="1"/>
  <c r="J2717" i="1"/>
  <c r="I2717" i="1"/>
  <c r="H2717" i="1"/>
  <c r="G2717" i="1"/>
  <c r="F2717" i="1"/>
  <c r="E2717" i="1"/>
  <c r="D2717" i="1"/>
  <c r="C2717" i="1"/>
  <c r="M2716" i="1"/>
  <c r="K2716" i="1"/>
  <c r="J2716" i="1"/>
  <c r="I2716" i="1"/>
  <c r="H2716" i="1"/>
  <c r="G2716" i="1"/>
  <c r="F2716" i="1"/>
  <c r="E2716" i="1"/>
  <c r="D2716" i="1"/>
  <c r="C2716" i="1"/>
  <c r="M2715" i="1"/>
  <c r="K2715" i="1"/>
  <c r="J2715" i="1"/>
  <c r="I2715" i="1"/>
  <c r="H2715" i="1"/>
  <c r="G2715" i="1"/>
  <c r="F2715" i="1"/>
  <c r="E2715" i="1"/>
  <c r="D2715" i="1"/>
  <c r="C2715" i="1"/>
  <c r="M2714" i="1"/>
  <c r="K2714" i="1"/>
  <c r="J2714" i="1"/>
  <c r="I2714" i="1"/>
  <c r="H2714" i="1"/>
  <c r="G2714" i="1"/>
  <c r="F2714" i="1"/>
  <c r="E2714" i="1"/>
  <c r="D2714" i="1"/>
  <c r="C2714" i="1"/>
  <c r="M2713" i="1"/>
  <c r="K2713" i="1"/>
  <c r="J2713" i="1"/>
  <c r="I2713" i="1"/>
  <c r="H2713" i="1"/>
  <c r="G2713" i="1"/>
  <c r="F2713" i="1"/>
  <c r="E2713" i="1"/>
  <c r="D2713" i="1"/>
  <c r="C2713" i="1"/>
  <c r="M2712" i="1"/>
  <c r="K2712" i="1"/>
  <c r="J2712" i="1"/>
  <c r="I2712" i="1"/>
  <c r="H2712" i="1"/>
  <c r="G2712" i="1"/>
  <c r="F2712" i="1"/>
  <c r="E2712" i="1"/>
  <c r="D2712" i="1"/>
  <c r="C2712" i="1"/>
  <c r="M2711" i="1"/>
  <c r="K2711" i="1"/>
  <c r="J2711" i="1"/>
  <c r="I2711" i="1"/>
  <c r="H2711" i="1"/>
  <c r="G2711" i="1"/>
  <c r="F2711" i="1"/>
  <c r="E2711" i="1"/>
  <c r="D2711" i="1"/>
  <c r="C2711" i="1"/>
  <c r="M2710" i="1"/>
  <c r="K2710" i="1"/>
  <c r="J2710" i="1"/>
  <c r="I2710" i="1"/>
  <c r="H2710" i="1"/>
  <c r="G2710" i="1"/>
  <c r="F2710" i="1"/>
  <c r="E2710" i="1"/>
  <c r="D2710" i="1"/>
  <c r="C2710" i="1"/>
  <c r="M2709" i="1"/>
  <c r="K2709" i="1"/>
  <c r="J2709" i="1"/>
  <c r="I2709" i="1"/>
  <c r="H2709" i="1"/>
  <c r="G2709" i="1"/>
  <c r="F2709" i="1"/>
  <c r="E2709" i="1"/>
  <c r="D2709" i="1"/>
  <c r="C2709" i="1"/>
  <c r="M2708" i="1"/>
  <c r="K2708" i="1"/>
  <c r="J2708" i="1"/>
  <c r="I2708" i="1"/>
  <c r="H2708" i="1"/>
  <c r="G2708" i="1"/>
  <c r="F2708" i="1"/>
  <c r="E2708" i="1"/>
  <c r="D2708" i="1"/>
  <c r="C2708" i="1"/>
  <c r="M2707" i="1"/>
  <c r="K2707" i="1"/>
  <c r="J2707" i="1"/>
  <c r="I2707" i="1"/>
  <c r="H2707" i="1"/>
  <c r="G2707" i="1"/>
  <c r="F2707" i="1"/>
  <c r="E2707" i="1"/>
  <c r="D2707" i="1"/>
  <c r="C2707" i="1"/>
  <c r="M2706" i="1"/>
  <c r="K2706" i="1"/>
  <c r="J2706" i="1"/>
  <c r="I2706" i="1"/>
  <c r="H2706" i="1"/>
  <c r="G2706" i="1"/>
  <c r="F2706" i="1"/>
  <c r="E2706" i="1"/>
  <c r="D2706" i="1"/>
  <c r="C2706" i="1"/>
  <c r="M2705" i="1"/>
  <c r="K2705" i="1"/>
  <c r="J2705" i="1"/>
  <c r="I2705" i="1"/>
  <c r="H2705" i="1"/>
  <c r="G2705" i="1"/>
  <c r="F2705" i="1"/>
  <c r="E2705" i="1"/>
  <c r="D2705" i="1"/>
  <c r="C2705" i="1"/>
  <c r="M2704" i="1"/>
  <c r="K2704" i="1"/>
  <c r="J2704" i="1"/>
  <c r="I2704" i="1"/>
  <c r="H2704" i="1"/>
  <c r="G2704" i="1"/>
  <c r="F2704" i="1"/>
  <c r="E2704" i="1"/>
  <c r="D2704" i="1"/>
  <c r="C2704" i="1"/>
  <c r="M2703" i="1"/>
  <c r="K2703" i="1"/>
  <c r="J2703" i="1"/>
  <c r="I2703" i="1"/>
  <c r="H2703" i="1"/>
  <c r="G2703" i="1"/>
  <c r="F2703" i="1"/>
  <c r="E2703" i="1"/>
  <c r="D2703" i="1"/>
  <c r="C2703" i="1"/>
  <c r="M2702" i="1"/>
  <c r="K2702" i="1"/>
  <c r="J2702" i="1"/>
  <c r="I2702" i="1"/>
  <c r="H2702" i="1"/>
  <c r="G2702" i="1"/>
  <c r="F2702" i="1"/>
  <c r="E2702" i="1"/>
  <c r="D2702" i="1"/>
  <c r="C2702" i="1"/>
  <c r="M2701" i="1"/>
  <c r="K2701" i="1"/>
  <c r="J2701" i="1"/>
  <c r="I2701" i="1"/>
  <c r="H2701" i="1"/>
  <c r="G2701" i="1"/>
  <c r="F2701" i="1"/>
  <c r="E2701" i="1"/>
  <c r="D2701" i="1"/>
  <c r="C2701" i="1"/>
  <c r="M2700" i="1"/>
  <c r="K2700" i="1"/>
  <c r="J2700" i="1"/>
  <c r="I2700" i="1"/>
  <c r="H2700" i="1"/>
  <c r="G2700" i="1"/>
  <c r="F2700" i="1"/>
  <c r="E2700" i="1"/>
  <c r="D2700" i="1"/>
  <c r="C2700" i="1"/>
  <c r="M2699" i="1"/>
  <c r="K2699" i="1"/>
  <c r="J2699" i="1"/>
  <c r="I2699" i="1"/>
  <c r="H2699" i="1"/>
  <c r="G2699" i="1"/>
  <c r="F2699" i="1"/>
  <c r="E2699" i="1"/>
  <c r="D2699" i="1"/>
  <c r="C2699" i="1"/>
  <c r="M2698" i="1"/>
  <c r="K2698" i="1"/>
  <c r="J2698" i="1"/>
  <c r="I2698" i="1"/>
  <c r="H2698" i="1"/>
  <c r="G2698" i="1"/>
  <c r="F2698" i="1"/>
  <c r="E2698" i="1"/>
  <c r="D2698" i="1"/>
  <c r="C2698" i="1"/>
  <c r="M2697" i="1"/>
  <c r="K2697" i="1"/>
  <c r="J2697" i="1"/>
  <c r="I2697" i="1"/>
  <c r="H2697" i="1"/>
  <c r="G2697" i="1"/>
  <c r="F2697" i="1"/>
  <c r="E2697" i="1"/>
  <c r="D2697" i="1"/>
  <c r="C2697" i="1"/>
  <c r="M2696" i="1"/>
  <c r="K2696" i="1"/>
  <c r="J2696" i="1"/>
  <c r="I2696" i="1"/>
  <c r="H2696" i="1"/>
  <c r="G2696" i="1"/>
  <c r="F2696" i="1"/>
  <c r="E2696" i="1"/>
  <c r="D2696" i="1"/>
  <c r="C2696" i="1"/>
  <c r="M2695" i="1"/>
  <c r="K2695" i="1"/>
  <c r="J2695" i="1"/>
  <c r="I2695" i="1"/>
  <c r="H2695" i="1"/>
  <c r="G2695" i="1"/>
  <c r="F2695" i="1"/>
  <c r="E2695" i="1"/>
  <c r="D2695" i="1"/>
  <c r="C2695" i="1"/>
  <c r="M2694" i="1"/>
  <c r="K2694" i="1"/>
  <c r="J2694" i="1"/>
  <c r="I2694" i="1"/>
  <c r="H2694" i="1"/>
  <c r="G2694" i="1"/>
  <c r="F2694" i="1"/>
  <c r="E2694" i="1"/>
  <c r="D2694" i="1"/>
  <c r="C2694" i="1"/>
  <c r="M2693" i="1"/>
  <c r="K2693" i="1"/>
  <c r="J2693" i="1"/>
  <c r="I2693" i="1"/>
  <c r="H2693" i="1"/>
  <c r="G2693" i="1"/>
  <c r="F2693" i="1"/>
  <c r="E2693" i="1"/>
  <c r="D2693" i="1"/>
  <c r="C2693" i="1"/>
  <c r="M2692" i="1"/>
  <c r="K2692" i="1"/>
  <c r="J2692" i="1"/>
  <c r="I2692" i="1"/>
  <c r="H2692" i="1"/>
  <c r="G2692" i="1"/>
  <c r="F2692" i="1"/>
  <c r="E2692" i="1"/>
  <c r="D2692" i="1"/>
  <c r="C2692" i="1"/>
  <c r="M2691" i="1"/>
  <c r="K2691" i="1"/>
  <c r="J2691" i="1"/>
  <c r="I2691" i="1"/>
  <c r="H2691" i="1"/>
  <c r="G2691" i="1"/>
  <c r="F2691" i="1"/>
  <c r="E2691" i="1"/>
  <c r="D2691" i="1"/>
  <c r="C2691" i="1"/>
  <c r="M2690" i="1"/>
  <c r="K2690" i="1"/>
  <c r="J2690" i="1"/>
  <c r="I2690" i="1"/>
  <c r="H2690" i="1"/>
  <c r="G2690" i="1"/>
  <c r="F2690" i="1"/>
  <c r="E2690" i="1"/>
  <c r="D2690" i="1"/>
  <c r="C2690" i="1"/>
  <c r="M2689" i="1"/>
  <c r="K2689" i="1"/>
  <c r="J2689" i="1"/>
  <c r="I2689" i="1"/>
  <c r="H2689" i="1"/>
  <c r="G2689" i="1"/>
  <c r="F2689" i="1"/>
  <c r="E2689" i="1"/>
  <c r="D2689" i="1"/>
  <c r="C2689" i="1"/>
  <c r="M2688" i="1"/>
  <c r="K2688" i="1"/>
  <c r="J2688" i="1"/>
  <c r="I2688" i="1"/>
  <c r="H2688" i="1"/>
  <c r="G2688" i="1"/>
  <c r="F2688" i="1"/>
  <c r="E2688" i="1"/>
  <c r="D2688" i="1"/>
  <c r="C2688" i="1"/>
  <c r="M2687" i="1"/>
  <c r="K2687" i="1"/>
  <c r="J2687" i="1"/>
  <c r="I2687" i="1"/>
  <c r="H2687" i="1"/>
  <c r="G2687" i="1"/>
  <c r="F2687" i="1"/>
  <c r="E2687" i="1"/>
  <c r="D2687" i="1"/>
  <c r="C2687" i="1"/>
  <c r="M2686" i="1"/>
  <c r="K2686" i="1"/>
  <c r="J2686" i="1"/>
  <c r="I2686" i="1"/>
  <c r="H2686" i="1"/>
  <c r="G2686" i="1"/>
  <c r="F2686" i="1"/>
  <c r="E2686" i="1"/>
  <c r="D2686" i="1"/>
  <c r="C2686" i="1"/>
  <c r="M2685" i="1"/>
  <c r="K2685" i="1"/>
  <c r="J2685" i="1"/>
  <c r="I2685" i="1"/>
  <c r="H2685" i="1"/>
  <c r="G2685" i="1"/>
  <c r="F2685" i="1"/>
  <c r="E2685" i="1"/>
  <c r="D2685" i="1"/>
  <c r="C2685" i="1"/>
  <c r="M2684" i="1"/>
  <c r="K2684" i="1"/>
  <c r="J2684" i="1"/>
  <c r="I2684" i="1"/>
  <c r="H2684" i="1"/>
  <c r="G2684" i="1"/>
  <c r="F2684" i="1"/>
  <c r="E2684" i="1"/>
  <c r="D2684" i="1"/>
  <c r="C2684" i="1"/>
  <c r="M2683" i="1"/>
  <c r="K2683" i="1"/>
  <c r="J2683" i="1"/>
  <c r="I2683" i="1"/>
  <c r="H2683" i="1"/>
  <c r="G2683" i="1"/>
  <c r="F2683" i="1"/>
  <c r="E2683" i="1"/>
  <c r="D2683" i="1"/>
  <c r="C2683" i="1"/>
  <c r="M2682" i="1"/>
  <c r="K2682" i="1"/>
  <c r="J2682" i="1"/>
  <c r="I2682" i="1"/>
  <c r="H2682" i="1"/>
  <c r="G2682" i="1"/>
  <c r="F2682" i="1"/>
  <c r="E2682" i="1"/>
  <c r="D2682" i="1"/>
  <c r="C2682" i="1"/>
  <c r="M2681" i="1"/>
  <c r="K2681" i="1"/>
  <c r="J2681" i="1"/>
  <c r="I2681" i="1"/>
  <c r="H2681" i="1"/>
  <c r="G2681" i="1"/>
  <c r="F2681" i="1"/>
  <c r="E2681" i="1"/>
  <c r="D2681" i="1"/>
  <c r="C2681" i="1"/>
  <c r="M2680" i="1"/>
  <c r="K2680" i="1"/>
  <c r="J2680" i="1"/>
  <c r="I2680" i="1"/>
  <c r="H2680" i="1"/>
  <c r="G2680" i="1"/>
  <c r="F2680" i="1"/>
  <c r="E2680" i="1"/>
  <c r="D2680" i="1"/>
  <c r="C2680" i="1"/>
  <c r="M2679" i="1"/>
  <c r="K2679" i="1"/>
  <c r="J2679" i="1"/>
  <c r="I2679" i="1"/>
  <c r="H2679" i="1"/>
  <c r="G2679" i="1"/>
  <c r="F2679" i="1"/>
  <c r="E2679" i="1"/>
  <c r="D2679" i="1"/>
  <c r="C2679" i="1"/>
  <c r="M2678" i="1"/>
  <c r="K2678" i="1"/>
  <c r="J2678" i="1"/>
  <c r="I2678" i="1"/>
  <c r="H2678" i="1"/>
  <c r="G2678" i="1"/>
  <c r="F2678" i="1"/>
  <c r="E2678" i="1"/>
  <c r="D2678" i="1"/>
  <c r="C2678" i="1"/>
  <c r="M2677" i="1"/>
  <c r="K2677" i="1"/>
  <c r="J2677" i="1"/>
  <c r="I2677" i="1"/>
  <c r="H2677" i="1"/>
  <c r="G2677" i="1"/>
  <c r="F2677" i="1"/>
  <c r="E2677" i="1"/>
  <c r="D2677" i="1"/>
  <c r="C2677" i="1"/>
  <c r="M2676" i="1"/>
  <c r="K2676" i="1"/>
  <c r="J2676" i="1"/>
  <c r="I2676" i="1"/>
  <c r="H2676" i="1"/>
  <c r="G2676" i="1"/>
  <c r="F2676" i="1"/>
  <c r="E2676" i="1"/>
  <c r="D2676" i="1"/>
  <c r="C2676" i="1"/>
  <c r="M2675" i="1"/>
  <c r="K2675" i="1"/>
  <c r="J2675" i="1"/>
  <c r="I2675" i="1"/>
  <c r="H2675" i="1"/>
  <c r="G2675" i="1"/>
  <c r="F2675" i="1"/>
  <c r="E2675" i="1"/>
  <c r="D2675" i="1"/>
  <c r="C2675" i="1"/>
  <c r="M2674" i="1"/>
  <c r="K2674" i="1"/>
  <c r="J2674" i="1"/>
  <c r="I2674" i="1"/>
  <c r="H2674" i="1"/>
  <c r="G2674" i="1"/>
  <c r="F2674" i="1"/>
  <c r="E2674" i="1"/>
  <c r="D2674" i="1"/>
  <c r="C2674" i="1"/>
  <c r="M2673" i="1"/>
  <c r="K2673" i="1"/>
  <c r="J2673" i="1"/>
  <c r="I2673" i="1"/>
  <c r="H2673" i="1"/>
  <c r="G2673" i="1"/>
  <c r="F2673" i="1"/>
  <c r="E2673" i="1"/>
  <c r="D2673" i="1"/>
  <c r="C2673" i="1"/>
  <c r="M2672" i="1"/>
  <c r="K2672" i="1"/>
  <c r="J2672" i="1"/>
  <c r="I2672" i="1"/>
  <c r="H2672" i="1"/>
  <c r="G2672" i="1"/>
  <c r="F2672" i="1"/>
  <c r="E2672" i="1"/>
  <c r="D2672" i="1"/>
  <c r="C2672" i="1"/>
  <c r="M2671" i="1"/>
  <c r="K2671" i="1"/>
  <c r="J2671" i="1"/>
  <c r="I2671" i="1"/>
  <c r="H2671" i="1"/>
  <c r="G2671" i="1"/>
  <c r="F2671" i="1"/>
  <c r="E2671" i="1"/>
  <c r="D2671" i="1"/>
  <c r="C2671" i="1"/>
  <c r="M2670" i="1"/>
  <c r="K2670" i="1"/>
  <c r="J2670" i="1"/>
  <c r="I2670" i="1"/>
  <c r="H2670" i="1"/>
  <c r="G2670" i="1"/>
  <c r="F2670" i="1"/>
  <c r="E2670" i="1"/>
  <c r="D2670" i="1"/>
  <c r="C2670" i="1"/>
  <c r="M2669" i="1"/>
  <c r="K2669" i="1"/>
  <c r="J2669" i="1"/>
  <c r="I2669" i="1"/>
  <c r="H2669" i="1"/>
  <c r="G2669" i="1"/>
  <c r="F2669" i="1"/>
  <c r="E2669" i="1"/>
  <c r="D2669" i="1"/>
  <c r="C2669" i="1"/>
  <c r="M2668" i="1"/>
  <c r="K2668" i="1"/>
  <c r="J2668" i="1"/>
  <c r="I2668" i="1"/>
  <c r="H2668" i="1"/>
  <c r="G2668" i="1"/>
  <c r="F2668" i="1"/>
  <c r="E2668" i="1"/>
  <c r="D2668" i="1"/>
  <c r="C2668" i="1"/>
  <c r="M2667" i="1"/>
  <c r="K2667" i="1"/>
  <c r="J2667" i="1"/>
  <c r="I2667" i="1"/>
  <c r="H2667" i="1"/>
  <c r="G2667" i="1"/>
  <c r="F2667" i="1"/>
  <c r="E2667" i="1"/>
  <c r="D2667" i="1"/>
  <c r="C2667" i="1"/>
  <c r="M2666" i="1"/>
  <c r="K2666" i="1"/>
  <c r="J2666" i="1"/>
  <c r="I2666" i="1"/>
  <c r="H2666" i="1"/>
  <c r="G2666" i="1"/>
  <c r="F2666" i="1"/>
  <c r="E2666" i="1"/>
  <c r="D2666" i="1"/>
  <c r="C2666" i="1"/>
  <c r="M2665" i="1"/>
  <c r="K2665" i="1"/>
  <c r="J2665" i="1"/>
  <c r="I2665" i="1"/>
  <c r="H2665" i="1"/>
  <c r="G2665" i="1"/>
  <c r="F2665" i="1"/>
  <c r="E2665" i="1"/>
  <c r="D2665" i="1"/>
  <c r="C2665" i="1"/>
  <c r="M2664" i="1"/>
  <c r="K2664" i="1"/>
  <c r="J2664" i="1"/>
  <c r="I2664" i="1"/>
  <c r="H2664" i="1"/>
  <c r="G2664" i="1"/>
  <c r="F2664" i="1"/>
  <c r="E2664" i="1"/>
  <c r="D2664" i="1"/>
  <c r="C2664" i="1"/>
  <c r="M2663" i="1"/>
  <c r="K2663" i="1"/>
  <c r="J2663" i="1"/>
  <c r="I2663" i="1"/>
  <c r="H2663" i="1"/>
  <c r="G2663" i="1"/>
  <c r="F2663" i="1"/>
  <c r="E2663" i="1"/>
  <c r="D2663" i="1"/>
  <c r="C2663" i="1"/>
  <c r="M2662" i="1"/>
  <c r="K2662" i="1"/>
  <c r="J2662" i="1"/>
  <c r="I2662" i="1"/>
  <c r="H2662" i="1"/>
  <c r="G2662" i="1"/>
  <c r="F2662" i="1"/>
  <c r="E2662" i="1"/>
  <c r="D2662" i="1"/>
  <c r="C2662" i="1"/>
  <c r="M2661" i="1"/>
  <c r="K2661" i="1"/>
  <c r="J2661" i="1"/>
  <c r="I2661" i="1"/>
  <c r="H2661" i="1"/>
  <c r="G2661" i="1"/>
  <c r="F2661" i="1"/>
  <c r="E2661" i="1"/>
  <c r="D2661" i="1"/>
  <c r="C2661" i="1"/>
  <c r="M2660" i="1"/>
  <c r="K2660" i="1"/>
  <c r="J2660" i="1"/>
  <c r="I2660" i="1"/>
  <c r="H2660" i="1"/>
  <c r="G2660" i="1"/>
  <c r="F2660" i="1"/>
  <c r="E2660" i="1"/>
  <c r="D2660" i="1"/>
  <c r="C2660" i="1"/>
  <c r="M2659" i="1"/>
  <c r="K2659" i="1"/>
  <c r="J2659" i="1"/>
  <c r="I2659" i="1"/>
  <c r="H2659" i="1"/>
  <c r="G2659" i="1"/>
  <c r="F2659" i="1"/>
  <c r="E2659" i="1"/>
  <c r="D2659" i="1"/>
  <c r="C2659" i="1"/>
  <c r="M2658" i="1"/>
  <c r="K2658" i="1"/>
  <c r="J2658" i="1"/>
  <c r="I2658" i="1"/>
  <c r="H2658" i="1"/>
  <c r="G2658" i="1"/>
  <c r="F2658" i="1"/>
  <c r="E2658" i="1"/>
  <c r="D2658" i="1"/>
  <c r="C2658" i="1"/>
  <c r="M2657" i="1"/>
  <c r="K2657" i="1"/>
  <c r="J2657" i="1"/>
  <c r="I2657" i="1"/>
  <c r="H2657" i="1"/>
  <c r="G2657" i="1"/>
  <c r="F2657" i="1"/>
  <c r="E2657" i="1"/>
  <c r="D2657" i="1"/>
  <c r="C2657" i="1"/>
  <c r="M2656" i="1"/>
  <c r="K2656" i="1"/>
  <c r="J2656" i="1"/>
  <c r="I2656" i="1"/>
  <c r="H2656" i="1"/>
  <c r="G2656" i="1"/>
  <c r="F2656" i="1"/>
  <c r="E2656" i="1"/>
  <c r="D2656" i="1"/>
  <c r="C2656" i="1"/>
  <c r="M2655" i="1"/>
  <c r="K2655" i="1"/>
  <c r="J2655" i="1"/>
  <c r="I2655" i="1"/>
  <c r="H2655" i="1"/>
  <c r="G2655" i="1"/>
  <c r="F2655" i="1"/>
  <c r="E2655" i="1"/>
  <c r="D2655" i="1"/>
  <c r="C2655" i="1"/>
  <c r="M2654" i="1"/>
  <c r="K2654" i="1"/>
  <c r="J2654" i="1"/>
  <c r="I2654" i="1"/>
  <c r="H2654" i="1"/>
  <c r="G2654" i="1"/>
  <c r="F2654" i="1"/>
  <c r="E2654" i="1"/>
  <c r="D2654" i="1"/>
  <c r="C2654" i="1"/>
  <c r="M2653" i="1"/>
  <c r="K2653" i="1"/>
  <c r="J2653" i="1"/>
  <c r="I2653" i="1"/>
  <c r="H2653" i="1"/>
  <c r="G2653" i="1"/>
  <c r="F2653" i="1"/>
  <c r="E2653" i="1"/>
  <c r="D2653" i="1"/>
  <c r="C2653" i="1"/>
  <c r="M2652" i="1"/>
  <c r="K2652" i="1"/>
  <c r="J2652" i="1"/>
  <c r="I2652" i="1"/>
  <c r="H2652" i="1"/>
  <c r="G2652" i="1"/>
  <c r="F2652" i="1"/>
  <c r="E2652" i="1"/>
  <c r="D2652" i="1"/>
  <c r="C2652" i="1"/>
  <c r="M2651" i="1"/>
  <c r="K2651" i="1"/>
  <c r="J2651" i="1"/>
  <c r="I2651" i="1"/>
  <c r="H2651" i="1"/>
  <c r="G2651" i="1"/>
  <c r="F2651" i="1"/>
  <c r="E2651" i="1"/>
  <c r="D2651" i="1"/>
  <c r="C2651" i="1"/>
  <c r="M2650" i="1"/>
  <c r="K2650" i="1"/>
  <c r="J2650" i="1"/>
  <c r="I2650" i="1"/>
  <c r="H2650" i="1"/>
  <c r="G2650" i="1"/>
  <c r="F2650" i="1"/>
  <c r="E2650" i="1"/>
  <c r="D2650" i="1"/>
  <c r="C2650" i="1"/>
  <c r="M2649" i="1"/>
  <c r="K2649" i="1"/>
  <c r="J2649" i="1"/>
  <c r="I2649" i="1"/>
  <c r="H2649" i="1"/>
  <c r="G2649" i="1"/>
  <c r="F2649" i="1"/>
  <c r="E2649" i="1"/>
  <c r="D2649" i="1"/>
  <c r="C2649" i="1"/>
  <c r="M2648" i="1"/>
  <c r="K2648" i="1"/>
  <c r="J2648" i="1"/>
  <c r="I2648" i="1"/>
  <c r="H2648" i="1"/>
  <c r="G2648" i="1"/>
  <c r="F2648" i="1"/>
  <c r="E2648" i="1"/>
  <c r="D2648" i="1"/>
  <c r="C2648" i="1"/>
  <c r="M2647" i="1"/>
  <c r="K2647" i="1"/>
  <c r="J2647" i="1"/>
  <c r="I2647" i="1"/>
  <c r="H2647" i="1"/>
  <c r="G2647" i="1"/>
  <c r="F2647" i="1"/>
  <c r="E2647" i="1"/>
  <c r="D2647" i="1"/>
  <c r="C2647" i="1"/>
  <c r="M2646" i="1"/>
  <c r="K2646" i="1"/>
  <c r="J2646" i="1"/>
  <c r="I2646" i="1"/>
  <c r="H2646" i="1"/>
  <c r="G2646" i="1"/>
  <c r="F2646" i="1"/>
  <c r="E2646" i="1"/>
  <c r="D2646" i="1"/>
  <c r="C2646" i="1"/>
  <c r="M2645" i="1"/>
  <c r="K2645" i="1"/>
  <c r="J2645" i="1"/>
  <c r="I2645" i="1"/>
  <c r="H2645" i="1"/>
  <c r="G2645" i="1"/>
  <c r="F2645" i="1"/>
  <c r="E2645" i="1"/>
  <c r="D2645" i="1"/>
  <c r="C2645" i="1"/>
  <c r="M2644" i="1"/>
  <c r="K2644" i="1"/>
  <c r="J2644" i="1"/>
  <c r="I2644" i="1"/>
  <c r="H2644" i="1"/>
  <c r="G2644" i="1"/>
  <c r="F2644" i="1"/>
  <c r="E2644" i="1"/>
  <c r="D2644" i="1"/>
  <c r="C2644" i="1"/>
  <c r="M2643" i="1"/>
  <c r="K2643" i="1"/>
  <c r="J2643" i="1"/>
  <c r="I2643" i="1"/>
  <c r="H2643" i="1"/>
  <c r="G2643" i="1"/>
  <c r="F2643" i="1"/>
  <c r="E2643" i="1"/>
  <c r="D2643" i="1"/>
  <c r="C2643" i="1"/>
  <c r="M2642" i="1"/>
  <c r="K2642" i="1"/>
  <c r="J2642" i="1"/>
  <c r="I2642" i="1"/>
  <c r="H2642" i="1"/>
  <c r="G2642" i="1"/>
  <c r="F2642" i="1"/>
  <c r="E2642" i="1"/>
  <c r="D2642" i="1"/>
  <c r="C2642" i="1"/>
  <c r="M2641" i="1"/>
  <c r="K2641" i="1"/>
  <c r="J2641" i="1"/>
  <c r="I2641" i="1"/>
  <c r="H2641" i="1"/>
  <c r="G2641" i="1"/>
  <c r="F2641" i="1"/>
  <c r="E2641" i="1"/>
  <c r="D2641" i="1"/>
  <c r="C2641" i="1"/>
  <c r="M2640" i="1"/>
  <c r="K2640" i="1"/>
  <c r="J2640" i="1"/>
  <c r="I2640" i="1"/>
  <c r="H2640" i="1"/>
  <c r="G2640" i="1"/>
  <c r="F2640" i="1"/>
  <c r="E2640" i="1"/>
  <c r="D2640" i="1"/>
  <c r="C2640" i="1"/>
  <c r="M2639" i="1"/>
  <c r="K2639" i="1"/>
  <c r="J2639" i="1"/>
  <c r="I2639" i="1"/>
  <c r="H2639" i="1"/>
  <c r="G2639" i="1"/>
  <c r="F2639" i="1"/>
  <c r="E2639" i="1"/>
  <c r="D2639" i="1"/>
  <c r="C2639" i="1"/>
  <c r="M2638" i="1"/>
  <c r="K2638" i="1"/>
  <c r="J2638" i="1"/>
  <c r="I2638" i="1"/>
  <c r="H2638" i="1"/>
  <c r="G2638" i="1"/>
  <c r="F2638" i="1"/>
  <c r="E2638" i="1"/>
  <c r="D2638" i="1"/>
  <c r="C2638" i="1"/>
  <c r="M2637" i="1"/>
  <c r="K2637" i="1"/>
  <c r="J2637" i="1"/>
  <c r="I2637" i="1"/>
  <c r="H2637" i="1"/>
  <c r="G2637" i="1"/>
  <c r="F2637" i="1"/>
  <c r="E2637" i="1"/>
  <c r="D2637" i="1"/>
  <c r="C2637" i="1"/>
  <c r="M2636" i="1"/>
  <c r="K2636" i="1"/>
  <c r="J2636" i="1"/>
  <c r="I2636" i="1"/>
  <c r="H2636" i="1"/>
  <c r="G2636" i="1"/>
  <c r="F2636" i="1"/>
  <c r="E2636" i="1"/>
  <c r="D2636" i="1"/>
  <c r="C2636" i="1"/>
  <c r="M2635" i="1"/>
  <c r="K2635" i="1"/>
  <c r="J2635" i="1"/>
  <c r="I2635" i="1"/>
  <c r="H2635" i="1"/>
  <c r="G2635" i="1"/>
  <c r="F2635" i="1"/>
  <c r="E2635" i="1"/>
  <c r="D2635" i="1"/>
  <c r="C2635" i="1"/>
  <c r="M2634" i="1"/>
  <c r="K2634" i="1"/>
  <c r="J2634" i="1"/>
  <c r="I2634" i="1"/>
  <c r="H2634" i="1"/>
  <c r="G2634" i="1"/>
  <c r="F2634" i="1"/>
  <c r="E2634" i="1"/>
  <c r="D2634" i="1"/>
  <c r="C2634" i="1"/>
  <c r="M2633" i="1"/>
  <c r="K2633" i="1"/>
  <c r="J2633" i="1"/>
  <c r="I2633" i="1"/>
  <c r="H2633" i="1"/>
  <c r="G2633" i="1"/>
  <c r="F2633" i="1"/>
  <c r="E2633" i="1"/>
  <c r="D2633" i="1"/>
  <c r="C2633" i="1"/>
  <c r="M2632" i="1"/>
  <c r="K2632" i="1"/>
  <c r="J2632" i="1"/>
  <c r="I2632" i="1"/>
  <c r="H2632" i="1"/>
  <c r="G2632" i="1"/>
  <c r="F2632" i="1"/>
  <c r="E2632" i="1"/>
  <c r="D2632" i="1"/>
  <c r="C2632" i="1"/>
  <c r="M2631" i="1"/>
  <c r="K2631" i="1"/>
  <c r="J2631" i="1"/>
  <c r="I2631" i="1"/>
  <c r="H2631" i="1"/>
  <c r="G2631" i="1"/>
  <c r="F2631" i="1"/>
  <c r="E2631" i="1"/>
  <c r="D2631" i="1"/>
  <c r="C2631" i="1"/>
  <c r="M2630" i="1"/>
  <c r="K2630" i="1"/>
  <c r="J2630" i="1"/>
  <c r="I2630" i="1"/>
  <c r="H2630" i="1"/>
  <c r="G2630" i="1"/>
  <c r="F2630" i="1"/>
  <c r="E2630" i="1"/>
  <c r="D2630" i="1"/>
  <c r="C2630" i="1"/>
  <c r="M2629" i="1"/>
  <c r="K2629" i="1"/>
  <c r="J2629" i="1"/>
  <c r="I2629" i="1"/>
  <c r="H2629" i="1"/>
  <c r="G2629" i="1"/>
  <c r="F2629" i="1"/>
  <c r="E2629" i="1"/>
  <c r="D2629" i="1"/>
  <c r="C2629" i="1"/>
  <c r="M2628" i="1"/>
  <c r="K2628" i="1"/>
  <c r="J2628" i="1"/>
  <c r="I2628" i="1"/>
  <c r="H2628" i="1"/>
  <c r="G2628" i="1"/>
  <c r="F2628" i="1"/>
  <c r="E2628" i="1"/>
  <c r="D2628" i="1"/>
  <c r="C2628" i="1"/>
  <c r="M2627" i="1"/>
  <c r="K2627" i="1"/>
  <c r="J2627" i="1"/>
  <c r="I2627" i="1"/>
  <c r="H2627" i="1"/>
  <c r="G2627" i="1"/>
  <c r="F2627" i="1"/>
  <c r="E2627" i="1"/>
  <c r="D2627" i="1"/>
  <c r="C2627" i="1"/>
  <c r="M2626" i="1"/>
  <c r="K2626" i="1"/>
  <c r="J2626" i="1"/>
  <c r="I2626" i="1"/>
  <c r="H2626" i="1"/>
  <c r="G2626" i="1"/>
  <c r="F2626" i="1"/>
  <c r="E2626" i="1"/>
  <c r="D2626" i="1"/>
  <c r="C2626" i="1"/>
  <c r="M2625" i="1"/>
  <c r="K2625" i="1"/>
  <c r="J2625" i="1"/>
  <c r="I2625" i="1"/>
  <c r="H2625" i="1"/>
  <c r="G2625" i="1"/>
  <c r="F2625" i="1"/>
  <c r="E2625" i="1"/>
  <c r="D2625" i="1"/>
  <c r="C2625" i="1"/>
  <c r="M2624" i="1"/>
  <c r="K2624" i="1"/>
  <c r="J2624" i="1"/>
  <c r="I2624" i="1"/>
  <c r="H2624" i="1"/>
  <c r="G2624" i="1"/>
  <c r="F2624" i="1"/>
  <c r="E2624" i="1"/>
  <c r="D2624" i="1"/>
  <c r="C2624" i="1"/>
  <c r="M2623" i="1"/>
  <c r="K2623" i="1"/>
  <c r="J2623" i="1"/>
  <c r="I2623" i="1"/>
  <c r="H2623" i="1"/>
  <c r="G2623" i="1"/>
  <c r="F2623" i="1"/>
  <c r="E2623" i="1"/>
  <c r="D2623" i="1"/>
  <c r="C2623" i="1"/>
  <c r="M2622" i="1"/>
  <c r="K2622" i="1"/>
  <c r="J2622" i="1"/>
  <c r="I2622" i="1"/>
  <c r="H2622" i="1"/>
  <c r="G2622" i="1"/>
  <c r="F2622" i="1"/>
  <c r="E2622" i="1"/>
  <c r="D2622" i="1"/>
  <c r="C2622" i="1"/>
  <c r="M2621" i="1"/>
  <c r="K2621" i="1"/>
  <c r="J2621" i="1"/>
  <c r="I2621" i="1"/>
  <c r="H2621" i="1"/>
  <c r="G2621" i="1"/>
  <c r="F2621" i="1"/>
  <c r="E2621" i="1"/>
  <c r="D2621" i="1"/>
  <c r="C2621" i="1"/>
  <c r="M2620" i="1"/>
  <c r="K2620" i="1"/>
  <c r="J2620" i="1"/>
  <c r="I2620" i="1"/>
  <c r="H2620" i="1"/>
  <c r="G2620" i="1"/>
  <c r="F2620" i="1"/>
  <c r="E2620" i="1"/>
  <c r="D2620" i="1"/>
  <c r="C2620" i="1"/>
  <c r="M2619" i="1"/>
  <c r="K2619" i="1"/>
  <c r="J2619" i="1"/>
  <c r="I2619" i="1"/>
  <c r="H2619" i="1"/>
  <c r="G2619" i="1"/>
  <c r="F2619" i="1"/>
  <c r="E2619" i="1"/>
  <c r="D2619" i="1"/>
  <c r="C2619" i="1"/>
  <c r="M2618" i="1"/>
  <c r="K2618" i="1"/>
  <c r="J2618" i="1"/>
  <c r="I2618" i="1"/>
  <c r="H2618" i="1"/>
  <c r="G2618" i="1"/>
  <c r="F2618" i="1"/>
  <c r="E2618" i="1"/>
  <c r="D2618" i="1"/>
  <c r="C2618" i="1"/>
  <c r="M2617" i="1"/>
  <c r="K2617" i="1"/>
  <c r="J2617" i="1"/>
  <c r="I2617" i="1"/>
  <c r="H2617" i="1"/>
  <c r="G2617" i="1"/>
  <c r="F2617" i="1"/>
  <c r="E2617" i="1"/>
  <c r="D2617" i="1"/>
  <c r="C2617" i="1"/>
  <c r="M2616" i="1"/>
  <c r="K2616" i="1"/>
  <c r="J2616" i="1"/>
  <c r="I2616" i="1"/>
  <c r="H2616" i="1"/>
  <c r="G2616" i="1"/>
  <c r="F2616" i="1"/>
  <c r="E2616" i="1"/>
  <c r="D2616" i="1"/>
  <c r="C2616" i="1"/>
  <c r="M2615" i="1"/>
  <c r="K2615" i="1"/>
  <c r="J2615" i="1"/>
  <c r="I2615" i="1"/>
  <c r="H2615" i="1"/>
  <c r="G2615" i="1"/>
  <c r="F2615" i="1"/>
  <c r="E2615" i="1"/>
  <c r="D2615" i="1"/>
  <c r="C2615" i="1"/>
  <c r="M2614" i="1"/>
  <c r="K2614" i="1"/>
  <c r="J2614" i="1"/>
  <c r="I2614" i="1"/>
  <c r="H2614" i="1"/>
  <c r="G2614" i="1"/>
  <c r="F2614" i="1"/>
  <c r="E2614" i="1"/>
  <c r="D2614" i="1"/>
  <c r="C2614" i="1"/>
  <c r="M2613" i="1"/>
  <c r="K2613" i="1"/>
  <c r="J2613" i="1"/>
  <c r="I2613" i="1"/>
  <c r="H2613" i="1"/>
  <c r="G2613" i="1"/>
  <c r="F2613" i="1"/>
  <c r="E2613" i="1"/>
  <c r="D2613" i="1"/>
  <c r="C2613" i="1"/>
  <c r="M2612" i="1"/>
  <c r="K2612" i="1"/>
  <c r="J2612" i="1"/>
  <c r="I2612" i="1"/>
  <c r="H2612" i="1"/>
  <c r="G2612" i="1"/>
  <c r="F2612" i="1"/>
  <c r="E2612" i="1"/>
  <c r="D2612" i="1"/>
  <c r="C2612" i="1"/>
  <c r="M2611" i="1"/>
  <c r="K2611" i="1"/>
  <c r="J2611" i="1"/>
  <c r="I2611" i="1"/>
  <c r="H2611" i="1"/>
  <c r="G2611" i="1"/>
  <c r="F2611" i="1"/>
  <c r="E2611" i="1"/>
  <c r="D2611" i="1"/>
  <c r="C2611" i="1"/>
  <c r="M2610" i="1"/>
  <c r="K2610" i="1"/>
  <c r="J2610" i="1"/>
  <c r="I2610" i="1"/>
  <c r="H2610" i="1"/>
  <c r="G2610" i="1"/>
  <c r="F2610" i="1"/>
  <c r="E2610" i="1"/>
  <c r="D2610" i="1"/>
  <c r="C2610" i="1"/>
  <c r="M2609" i="1"/>
  <c r="K2609" i="1"/>
  <c r="J2609" i="1"/>
  <c r="I2609" i="1"/>
  <c r="H2609" i="1"/>
  <c r="G2609" i="1"/>
  <c r="F2609" i="1"/>
  <c r="E2609" i="1"/>
  <c r="D2609" i="1"/>
  <c r="C2609" i="1"/>
  <c r="M2608" i="1"/>
  <c r="K2608" i="1"/>
  <c r="J2608" i="1"/>
  <c r="I2608" i="1"/>
  <c r="H2608" i="1"/>
  <c r="G2608" i="1"/>
  <c r="F2608" i="1"/>
  <c r="E2608" i="1"/>
  <c r="D2608" i="1"/>
  <c r="C2608" i="1"/>
  <c r="M2607" i="1"/>
  <c r="K2607" i="1"/>
  <c r="J2607" i="1"/>
  <c r="I2607" i="1"/>
  <c r="H2607" i="1"/>
  <c r="G2607" i="1"/>
  <c r="F2607" i="1"/>
  <c r="E2607" i="1"/>
  <c r="D2607" i="1"/>
  <c r="C2607" i="1"/>
  <c r="M2606" i="1"/>
  <c r="K2606" i="1"/>
  <c r="J2606" i="1"/>
  <c r="I2606" i="1"/>
  <c r="H2606" i="1"/>
  <c r="G2606" i="1"/>
  <c r="F2606" i="1"/>
  <c r="E2606" i="1"/>
  <c r="D2606" i="1"/>
  <c r="C2606" i="1"/>
  <c r="M2605" i="1"/>
  <c r="K2605" i="1"/>
  <c r="J2605" i="1"/>
  <c r="I2605" i="1"/>
  <c r="H2605" i="1"/>
  <c r="G2605" i="1"/>
  <c r="F2605" i="1"/>
  <c r="E2605" i="1"/>
  <c r="D2605" i="1"/>
  <c r="C2605" i="1"/>
  <c r="M2604" i="1"/>
  <c r="K2604" i="1"/>
  <c r="J2604" i="1"/>
  <c r="I2604" i="1"/>
  <c r="H2604" i="1"/>
  <c r="G2604" i="1"/>
  <c r="F2604" i="1"/>
  <c r="E2604" i="1"/>
  <c r="D2604" i="1"/>
  <c r="C2604" i="1"/>
  <c r="M2603" i="1"/>
  <c r="K2603" i="1"/>
  <c r="J2603" i="1"/>
  <c r="I2603" i="1"/>
  <c r="H2603" i="1"/>
  <c r="G2603" i="1"/>
  <c r="F2603" i="1"/>
  <c r="E2603" i="1"/>
  <c r="D2603" i="1"/>
  <c r="C2603" i="1"/>
  <c r="M2602" i="1"/>
  <c r="K2602" i="1"/>
  <c r="J2602" i="1"/>
  <c r="I2602" i="1"/>
  <c r="H2602" i="1"/>
  <c r="G2602" i="1"/>
  <c r="F2602" i="1"/>
  <c r="E2602" i="1"/>
  <c r="D2602" i="1"/>
  <c r="C2602" i="1"/>
  <c r="M2601" i="1"/>
  <c r="K2601" i="1"/>
  <c r="J2601" i="1"/>
  <c r="I2601" i="1"/>
  <c r="H2601" i="1"/>
  <c r="G2601" i="1"/>
  <c r="F2601" i="1"/>
  <c r="E2601" i="1"/>
  <c r="D2601" i="1"/>
  <c r="C2601" i="1"/>
  <c r="M2600" i="1"/>
  <c r="K2600" i="1"/>
  <c r="J2600" i="1"/>
  <c r="I2600" i="1"/>
  <c r="H2600" i="1"/>
  <c r="G2600" i="1"/>
  <c r="F2600" i="1"/>
  <c r="E2600" i="1"/>
  <c r="D2600" i="1"/>
  <c r="C2600" i="1"/>
  <c r="M2599" i="1"/>
  <c r="K2599" i="1"/>
  <c r="J2599" i="1"/>
  <c r="I2599" i="1"/>
  <c r="H2599" i="1"/>
  <c r="G2599" i="1"/>
  <c r="F2599" i="1"/>
  <c r="E2599" i="1"/>
  <c r="D2599" i="1"/>
  <c r="C2599" i="1"/>
  <c r="M2598" i="1"/>
  <c r="K2598" i="1"/>
  <c r="J2598" i="1"/>
  <c r="I2598" i="1"/>
  <c r="H2598" i="1"/>
  <c r="G2598" i="1"/>
  <c r="F2598" i="1"/>
  <c r="E2598" i="1"/>
  <c r="D2598" i="1"/>
  <c r="C2598" i="1"/>
  <c r="M2597" i="1"/>
  <c r="K2597" i="1"/>
  <c r="J2597" i="1"/>
  <c r="I2597" i="1"/>
  <c r="H2597" i="1"/>
  <c r="G2597" i="1"/>
  <c r="F2597" i="1"/>
  <c r="E2597" i="1"/>
  <c r="D2597" i="1"/>
  <c r="C2597" i="1"/>
  <c r="M2596" i="1"/>
  <c r="K2596" i="1"/>
  <c r="J2596" i="1"/>
  <c r="I2596" i="1"/>
  <c r="H2596" i="1"/>
  <c r="G2596" i="1"/>
  <c r="F2596" i="1"/>
  <c r="E2596" i="1"/>
  <c r="D2596" i="1"/>
  <c r="C2596" i="1"/>
  <c r="M2595" i="1"/>
  <c r="K2595" i="1"/>
  <c r="J2595" i="1"/>
  <c r="I2595" i="1"/>
  <c r="H2595" i="1"/>
  <c r="G2595" i="1"/>
  <c r="F2595" i="1"/>
  <c r="E2595" i="1"/>
  <c r="D2595" i="1"/>
  <c r="C2595" i="1"/>
  <c r="M2594" i="1"/>
  <c r="K2594" i="1"/>
  <c r="J2594" i="1"/>
  <c r="I2594" i="1"/>
  <c r="H2594" i="1"/>
  <c r="G2594" i="1"/>
  <c r="F2594" i="1"/>
  <c r="E2594" i="1"/>
  <c r="D2594" i="1"/>
  <c r="C2594" i="1"/>
  <c r="M2593" i="1"/>
  <c r="K2593" i="1"/>
  <c r="J2593" i="1"/>
  <c r="I2593" i="1"/>
  <c r="H2593" i="1"/>
  <c r="G2593" i="1"/>
  <c r="F2593" i="1"/>
  <c r="E2593" i="1"/>
  <c r="D2593" i="1"/>
  <c r="C2593" i="1"/>
  <c r="M2592" i="1"/>
  <c r="K2592" i="1"/>
  <c r="J2592" i="1"/>
  <c r="I2592" i="1"/>
  <c r="H2592" i="1"/>
  <c r="G2592" i="1"/>
  <c r="F2592" i="1"/>
  <c r="E2592" i="1"/>
  <c r="D2592" i="1"/>
  <c r="C2592" i="1"/>
  <c r="M2591" i="1"/>
  <c r="K2591" i="1"/>
  <c r="J2591" i="1"/>
  <c r="I2591" i="1"/>
  <c r="H2591" i="1"/>
  <c r="G2591" i="1"/>
  <c r="F2591" i="1"/>
  <c r="E2591" i="1"/>
  <c r="D2591" i="1"/>
  <c r="C2591" i="1"/>
  <c r="M2590" i="1"/>
  <c r="K2590" i="1"/>
  <c r="J2590" i="1"/>
  <c r="I2590" i="1"/>
  <c r="H2590" i="1"/>
  <c r="G2590" i="1"/>
  <c r="F2590" i="1"/>
  <c r="E2590" i="1"/>
  <c r="D2590" i="1"/>
  <c r="C2590" i="1"/>
  <c r="M2589" i="1"/>
  <c r="K2589" i="1"/>
  <c r="J2589" i="1"/>
  <c r="I2589" i="1"/>
  <c r="H2589" i="1"/>
  <c r="G2589" i="1"/>
  <c r="F2589" i="1"/>
  <c r="E2589" i="1"/>
  <c r="D2589" i="1"/>
  <c r="C2589" i="1"/>
  <c r="M2588" i="1"/>
  <c r="K2588" i="1"/>
  <c r="J2588" i="1"/>
  <c r="I2588" i="1"/>
  <c r="H2588" i="1"/>
  <c r="G2588" i="1"/>
  <c r="F2588" i="1"/>
  <c r="E2588" i="1"/>
  <c r="D2588" i="1"/>
  <c r="C2588" i="1"/>
  <c r="M2587" i="1"/>
  <c r="K2587" i="1"/>
  <c r="J2587" i="1"/>
  <c r="I2587" i="1"/>
  <c r="H2587" i="1"/>
  <c r="G2587" i="1"/>
  <c r="F2587" i="1"/>
  <c r="E2587" i="1"/>
  <c r="D2587" i="1"/>
  <c r="C2587" i="1"/>
  <c r="M2586" i="1"/>
  <c r="K2586" i="1"/>
  <c r="J2586" i="1"/>
  <c r="I2586" i="1"/>
  <c r="H2586" i="1"/>
  <c r="G2586" i="1"/>
  <c r="F2586" i="1"/>
  <c r="E2586" i="1"/>
  <c r="D2586" i="1"/>
  <c r="C2586" i="1"/>
  <c r="M2585" i="1"/>
  <c r="K2585" i="1"/>
  <c r="J2585" i="1"/>
  <c r="I2585" i="1"/>
  <c r="H2585" i="1"/>
  <c r="G2585" i="1"/>
  <c r="F2585" i="1"/>
  <c r="E2585" i="1"/>
  <c r="D2585" i="1"/>
  <c r="C2585" i="1"/>
  <c r="M2584" i="1"/>
  <c r="K2584" i="1"/>
  <c r="J2584" i="1"/>
  <c r="I2584" i="1"/>
  <c r="H2584" i="1"/>
  <c r="G2584" i="1"/>
  <c r="F2584" i="1"/>
  <c r="E2584" i="1"/>
  <c r="D2584" i="1"/>
  <c r="C2584" i="1"/>
  <c r="M2583" i="1"/>
  <c r="K2583" i="1"/>
  <c r="J2583" i="1"/>
  <c r="I2583" i="1"/>
  <c r="H2583" i="1"/>
  <c r="G2583" i="1"/>
  <c r="F2583" i="1"/>
  <c r="E2583" i="1"/>
  <c r="D2583" i="1"/>
  <c r="C2583" i="1"/>
  <c r="M2582" i="1"/>
  <c r="K2582" i="1"/>
  <c r="J2582" i="1"/>
  <c r="I2582" i="1"/>
  <c r="H2582" i="1"/>
  <c r="G2582" i="1"/>
  <c r="F2582" i="1"/>
  <c r="E2582" i="1"/>
  <c r="D2582" i="1"/>
  <c r="C2582" i="1"/>
  <c r="M2581" i="1"/>
  <c r="K2581" i="1"/>
  <c r="J2581" i="1"/>
  <c r="I2581" i="1"/>
  <c r="H2581" i="1"/>
  <c r="G2581" i="1"/>
  <c r="F2581" i="1"/>
  <c r="E2581" i="1"/>
  <c r="D2581" i="1"/>
  <c r="C2581" i="1"/>
  <c r="M2580" i="1"/>
  <c r="K2580" i="1"/>
  <c r="J2580" i="1"/>
  <c r="I2580" i="1"/>
  <c r="H2580" i="1"/>
  <c r="G2580" i="1"/>
  <c r="F2580" i="1"/>
  <c r="E2580" i="1"/>
  <c r="D2580" i="1"/>
  <c r="C2580" i="1"/>
  <c r="M2579" i="1"/>
  <c r="K2579" i="1"/>
  <c r="J2579" i="1"/>
  <c r="I2579" i="1"/>
  <c r="H2579" i="1"/>
  <c r="G2579" i="1"/>
  <c r="F2579" i="1"/>
  <c r="E2579" i="1"/>
  <c r="D2579" i="1"/>
  <c r="C2579" i="1"/>
  <c r="M2578" i="1"/>
  <c r="K2578" i="1"/>
  <c r="J2578" i="1"/>
  <c r="I2578" i="1"/>
  <c r="H2578" i="1"/>
  <c r="G2578" i="1"/>
  <c r="F2578" i="1"/>
  <c r="E2578" i="1"/>
  <c r="D2578" i="1"/>
  <c r="C2578" i="1"/>
  <c r="M2577" i="1"/>
  <c r="K2577" i="1"/>
  <c r="J2577" i="1"/>
  <c r="I2577" i="1"/>
  <c r="H2577" i="1"/>
  <c r="G2577" i="1"/>
  <c r="F2577" i="1"/>
  <c r="E2577" i="1"/>
  <c r="D2577" i="1"/>
  <c r="C2577" i="1"/>
  <c r="M2576" i="1"/>
  <c r="K2576" i="1"/>
  <c r="J2576" i="1"/>
  <c r="I2576" i="1"/>
  <c r="H2576" i="1"/>
  <c r="G2576" i="1"/>
  <c r="F2576" i="1"/>
  <c r="E2576" i="1"/>
  <c r="D2576" i="1"/>
  <c r="C2576" i="1"/>
  <c r="M2575" i="1"/>
  <c r="K2575" i="1"/>
  <c r="J2575" i="1"/>
  <c r="I2575" i="1"/>
  <c r="H2575" i="1"/>
  <c r="G2575" i="1"/>
  <c r="F2575" i="1"/>
  <c r="E2575" i="1"/>
  <c r="D2575" i="1"/>
  <c r="C2575" i="1"/>
  <c r="M2574" i="1"/>
  <c r="K2574" i="1"/>
  <c r="J2574" i="1"/>
  <c r="I2574" i="1"/>
  <c r="H2574" i="1"/>
  <c r="G2574" i="1"/>
  <c r="F2574" i="1"/>
  <c r="E2574" i="1"/>
  <c r="D2574" i="1"/>
  <c r="C2574" i="1"/>
  <c r="M2573" i="1"/>
  <c r="K2573" i="1"/>
  <c r="J2573" i="1"/>
  <c r="I2573" i="1"/>
  <c r="H2573" i="1"/>
  <c r="G2573" i="1"/>
  <c r="F2573" i="1"/>
  <c r="E2573" i="1"/>
  <c r="D2573" i="1"/>
  <c r="C2573" i="1"/>
  <c r="M2572" i="1"/>
  <c r="K2572" i="1"/>
  <c r="J2572" i="1"/>
  <c r="I2572" i="1"/>
  <c r="H2572" i="1"/>
  <c r="G2572" i="1"/>
  <c r="F2572" i="1"/>
  <c r="E2572" i="1"/>
  <c r="D2572" i="1"/>
  <c r="C2572" i="1"/>
  <c r="M2571" i="1"/>
  <c r="K2571" i="1"/>
  <c r="J2571" i="1"/>
  <c r="I2571" i="1"/>
  <c r="H2571" i="1"/>
  <c r="G2571" i="1"/>
  <c r="F2571" i="1"/>
  <c r="E2571" i="1"/>
  <c r="D2571" i="1"/>
  <c r="C2571" i="1"/>
  <c r="M2570" i="1"/>
  <c r="K2570" i="1"/>
  <c r="J2570" i="1"/>
  <c r="I2570" i="1"/>
  <c r="H2570" i="1"/>
  <c r="G2570" i="1"/>
  <c r="F2570" i="1"/>
  <c r="E2570" i="1"/>
  <c r="D2570" i="1"/>
  <c r="C2570" i="1"/>
  <c r="M2569" i="1"/>
  <c r="K2569" i="1"/>
  <c r="J2569" i="1"/>
  <c r="I2569" i="1"/>
  <c r="H2569" i="1"/>
  <c r="G2569" i="1"/>
  <c r="F2569" i="1"/>
  <c r="E2569" i="1"/>
  <c r="D2569" i="1"/>
  <c r="C2569" i="1"/>
  <c r="M2568" i="1"/>
  <c r="K2568" i="1"/>
  <c r="J2568" i="1"/>
  <c r="I2568" i="1"/>
  <c r="H2568" i="1"/>
  <c r="G2568" i="1"/>
  <c r="F2568" i="1"/>
  <c r="E2568" i="1"/>
  <c r="D2568" i="1"/>
  <c r="C2568" i="1"/>
  <c r="M2567" i="1"/>
  <c r="K2567" i="1"/>
  <c r="J2567" i="1"/>
  <c r="I2567" i="1"/>
  <c r="H2567" i="1"/>
  <c r="G2567" i="1"/>
  <c r="F2567" i="1"/>
  <c r="E2567" i="1"/>
  <c r="D2567" i="1"/>
  <c r="C2567" i="1"/>
  <c r="M2566" i="1"/>
  <c r="K2566" i="1"/>
  <c r="J2566" i="1"/>
  <c r="I2566" i="1"/>
  <c r="H2566" i="1"/>
  <c r="G2566" i="1"/>
  <c r="F2566" i="1"/>
  <c r="E2566" i="1"/>
  <c r="D2566" i="1"/>
  <c r="C2566" i="1"/>
  <c r="M2565" i="1"/>
  <c r="K2565" i="1"/>
  <c r="J2565" i="1"/>
  <c r="I2565" i="1"/>
  <c r="H2565" i="1"/>
  <c r="G2565" i="1"/>
  <c r="F2565" i="1"/>
  <c r="E2565" i="1"/>
  <c r="D2565" i="1"/>
  <c r="C2565" i="1"/>
  <c r="M2564" i="1"/>
  <c r="K2564" i="1"/>
  <c r="J2564" i="1"/>
  <c r="I2564" i="1"/>
  <c r="H2564" i="1"/>
  <c r="G2564" i="1"/>
  <c r="F2564" i="1"/>
  <c r="E2564" i="1"/>
  <c r="D2564" i="1"/>
  <c r="C2564" i="1"/>
  <c r="M2563" i="1"/>
  <c r="K2563" i="1"/>
  <c r="J2563" i="1"/>
  <c r="I2563" i="1"/>
  <c r="H2563" i="1"/>
  <c r="G2563" i="1"/>
  <c r="F2563" i="1"/>
  <c r="E2563" i="1"/>
  <c r="D2563" i="1"/>
  <c r="C2563" i="1"/>
  <c r="M2562" i="1"/>
  <c r="K2562" i="1"/>
  <c r="J2562" i="1"/>
  <c r="I2562" i="1"/>
  <c r="H2562" i="1"/>
  <c r="G2562" i="1"/>
  <c r="F2562" i="1"/>
  <c r="E2562" i="1"/>
  <c r="D2562" i="1"/>
  <c r="C2562" i="1"/>
  <c r="M2561" i="1"/>
  <c r="K2561" i="1"/>
  <c r="J2561" i="1"/>
  <c r="I2561" i="1"/>
  <c r="H2561" i="1"/>
  <c r="G2561" i="1"/>
  <c r="F2561" i="1"/>
  <c r="E2561" i="1"/>
  <c r="D2561" i="1"/>
  <c r="C2561" i="1"/>
  <c r="M2560" i="1"/>
  <c r="K2560" i="1"/>
  <c r="J2560" i="1"/>
  <c r="I2560" i="1"/>
  <c r="H2560" i="1"/>
  <c r="G2560" i="1"/>
  <c r="F2560" i="1"/>
  <c r="E2560" i="1"/>
  <c r="D2560" i="1"/>
  <c r="C2560" i="1"/>
  <c r="M2559" i="1"/>
  <c r="K2559" i="1"/>
  <c r="J2559" i="1"/>
  <c r="I2559" i="1"/>
  <c r="H2559" i="1"/>
  <c r="G2559" i="1"/>
  <c r="F2559" i="1"/>
  <c r="E2559" i="1"/>
  <c r="D2559" i="1"/>
  <c r="C2559" i="1"/>
  <c r="M2558" i="1"/>
  <c r="K2558" i="1"/>
  <c r="J2558" i="1"/>
  <c r="I2558" i="1"/>
  <c r="H2558" i="1"/>
  <c r="G2558" i="1"/>
  <c r="F2558" i="1"/>
  <c r="E2558" i="1"/>
  <c r="D2558" i="1"/>
  <c r="C2558" i="1"/>
  <c r="M2557" i="1"/>
  <c r="K2557" i="1"/>
  <c r="J2557" i="1"/>
  <c r="I2557" i="1"/>
  <c r="H2557" i="1"/>
  <c r="G2557" i="1"/>
  <c r="F2557" i="1"/>
  <c r="E2557" i="1"/>
  <c r="D2557" i="1"/>
  <c r="C2557" i="1"/>
  <c r="M2556" i="1"/>
  <c r="K2556" i="1"/>
  <c r="J2556" i="1"/>
  <c r="I2556" i="1"/>
  <c r="H2556" i="1"/>
  <c r="G2556" i="1"/>
  <c r="F2556" i="1"/>
  <c r="E2556" i="1"/>
  <c r="D2556" i="1"/>
  <c r="C2556" i="1"/>
  <c r="M2555" i="1"/>
  <c r="K2555" i="1"/>
  <c r="J2555" i="1"/>
  <c r="I2555" i="1"/>
  <c r="H2555" i="1"/>
  <c r="G2555" i="1"/>
  <c r="F2555" i="1"/>
  <c r="E2555" i="1"/>
  <c r="D2555" i="1"/>
  <c r="C2555" i="1"/>
  <c r="M2554" i="1"/>
  <c r="K2554" i="1"/>
  <c r="J2554" i="1"/>
  <c r="I2554" i="1"/>
  <c r="H2554" i="1"/>
  <c r="G2554" i="1"/>
  <c r="F2554" i="1"/>
  <c r="E2554" i="1"/>
  <c r="D2554" i="1"/>
  <c r="C2554" i="1"/>
  <c r="M2553" i="1"/>
  <c r="K2553" i="1"/>
  <c r="J2553" i="1"/>
  <c r="I2553" i="1"/>
  <c r="H2553" i="1"/>
  <c r="G2553" i="1"/>
  <c r="F2553" i="1"/>
  <c r="E2553" i="1"/>
  <c r="D2553" i="1"/>
  <c r="C2553" i="1"/>
  <c r="M2552" i="1"/>
  <c r="K2552" i="1"/>
  <c r="J2552" i="1"/>
  <c r="I2552" i="1"/>
  <c r="H2552" i="1"/>
  <c r="G2552" i="1"/>
  <c r="F2552" i="1"/>
  <c r="E2552" i="1"/>
  <c r="D2552" i="1"/>
  <c r="C2552" i="1"/>
  <c r="M2551" i="1"/>
  <c r="K2551" i="1"/>
  <c r="J2551" i="1"/>
  <c r="I2551" i="1"/>
  <c r="H2551" i="1"/>
  <c r="G2551" i="1"/>
  <c r="F2551" i="1"/>
  <c r="E2551" i="1"/>
  <c r="D2551" i="1"/>
  <c r="C2551" i="1"/>
  <c r="M2550" i="1"/>
  <c r="K2550" i="1"/>
  <c r="J2550" i="1"/>
  <c r="I2550" i="1"/>
  <c r="H2550" i="1"/>
  <c r="G2550" i="1"/>
  <c r="F2550" i="1"/>
  <c r="E2550" i="1"/>
  <c r="D2550" i="1"/>
  <c r="C2550" i="1"/>
  <c r="M2549" i="1"/>
  <c r="K2549" i="1"/>
  <c r="J2549" i="1"/>
  <c r="I2549" i="1"/>
  <c r="H2549" i="1"/>
  <c r="G2549" i="1"/>
  <c r="F2549" i="1"/>
  <c r="E2549" i="1"/>
  <c r="D2549" i="1"/>
  <c r="C2549" i="1"/>
  <c r="M2548" i="1"/>
  <c r="K2548" i="1"/>
  <c r="J2548" i="1"/>
  <c r="I2548" i="1"/>
  <c r="H2548" i="1"/>
  <c r="G2548" i="1"/>
  <c r="F2548" i="1"/>
  <c r="E2548" i="1"/>
  <c r="D2548" i="1"/>
  <c r="C2548" i="1"/>
  <c r="M2547" i="1"/>
  <c r="K2547" i="1"/>
  <c r="J2547" i="1"/>
  <c r="I2547" i="1"/>
  <c r="H2547" i="1"/>
  <c r="G2547" i="1"/>
  <c r="F2547" i="1"/>
  <c r="E2547" i="1"/>
  <c r="D2547" i="1"/>
  <c r="C2547" i="1"/>
  <c r="M2546" i="1"/>
  <c r="K2546" i="1"/>
  <c r="J2546" i="1"/>
  <c r="I2546" i="1"/>
  <c r="H2546" i="1"/>
  <c r="G2546" i="1"/>
  <c r="F2546" i="1"/>
  <c r="E2546" i="1"/>
  <c r="D2546" i="1"/>
  <c r="C2546" i="1"/>
  <c r="M2545" i="1"/>
  <c r="K2545" i="1"/>
  <c r="J2545" i="1"/>
  <c r="I2545" i="1"/>
  <c r="H2545" i="1"/>
  <c r="G2545" i="1"/>
  <c r="F2545" i="1"/>
  <c r="E2545" i="1"/>
  <c r="D2545" i="1"/>
  <c r="C2545" i="1"/>
  <c r="M2544" i="1"/>
  <c r="K2544" i="1"/>
  <c r="J2544" i="1"/>
  <c r="I2544" i="1"/>
  <c r="H2544" i="1"/>
  <c r="G2544" i="1"/>
  <c r="F2544" i="1"/>
  <c r="E2544" i="1"/>
  <c r="D2544" i="1"/>
  <c r="C2544" i="1"/>
  <c r="M2543" i="1"/>
  <c r="K2543" i="1"/>
  <c r="J2543" i="1"/>
  <c r="I2543" i="1"/>
  <c r="H2543" i="1"/>
  <c r="G2543" i="1"/>
  <c r="F2543" i="1"/>
  <c r="E2543" i="1"/>
  <c r="D2543" i="1"/>
  <c r="C2543" i="1"/>
  <c r="M2542" i="1"/>
  <c r="K2542" i="1"/>
  <c r="J2542" i="1"/>
  <c r="I2542" i="1"/>
  <c r="H2542" i="1"/>
  <c r="G2542" i="1"/>
  <c r="F2542" i="1"/>
  <c r="E2542" i="1"/>
  <c r="D2542" i="1"/>
  <c r="C2542" i="1"/>
  <c r="M2541" i="1"/>
  <c r="K2541" i="1"/>
  <c r="J2541" i="1"/>
  <c r="I2541" i="1"/>
  <c r="H2541" i="1"/>
  <c r="G2541" i="1"/>
  <c r="F2541" i="1"/>
  <c r="E2541" i="1"/>
  <c r="D2541" i="1"/>
  <c r="C2541" i="1"/>
  <c r="M2540" i="1"/>
  <c r="K2540" i="1"/>
  <c r="J2540" i="1"/>
  <c r="I2540" i="1"/>
  <c r="H2540" i="1"/>
  <c r="G2540" i="1"/>
  <c r="F2540" i="1"/>
  <c r="E2540" i="1"/>
  <c r="D2540" i="1"/>
  <c r="C2540" i="1"/>
  <c r="M2539" i="1"/>
  <c r="K2539" i="1"/>
  <c r="J2539" i="1"/>
  <c r="I2539" i="1"/>
  <c r="H2539" i="1"/>
  <c r="G2539" i="1"/>
  <c r="F2539" i="1"/>
  <c r="E2539" i="1"/>
  <c r="D2539" i="1"/>
  <c r="C2539" i="1"/>
  <c r="M2538" i="1"/>
  <c r="K2538" i="1"/>
  <c r="J2538" i="1"/>
  <c r="I2538" i="1"/>
  <c r="H2538" i="1"/>
  <c r="G2538" i="1"/>
  <c r="F2538" i="1"/>
  <c r="E2538" i="1"/>
  <c r="D2538" i="1"/>
  <c r="C2538" i="1"/>
  <c r="M2537" i="1"/>
  <c r="K2537" i="1"/>
  <c r="J2537" i="1"/>
  <c r="I2537" i="1"/>
  <c r="H2537" i="1"/>
  <c r="G2537" i="1"/>
  <c r="F2537" i="1"/>
  <c r="E2537" i="1"/>
  <c r="D2537" i="1"/>
  <c r="C2537" i="1"/>
  <c r="M2536" i="1"/>
  <c r="K2536" i="1"/>
  <c r="J2536" i="1"/>
  <c r="I2536" i="1"/>
  <c r="H2536" i="1"/>
  <c r="G2536" i="1"/>
  <c r="F2536" i="1"/>
  <c r="E2536" i="1"/>
  <c r="D2536" i="1"/>
  <c r="C2536" i="1"/>
  <c r="M2535" i="1"/>
  <c r="K2535" i="1"/>
  <c r="J2535" i="1"/>
  <c r="I2535" i="1"/>
  <c r="H2535" i="1"/>
  <c r="G2535" i="1"/>
  <c r="F2535" i="1"/>
  <c r="E2535" i="1"/>
  <c r="D2535" i="1"/>
  <c r="C2535" i="1"/>
  <c r="M2534" i="1"/>
  <c r="K2534" i="1"/>
  <c r="J2534" i="1"/>
  <c r="I2534" i="1"/>
  <c r="H2534" i="1"/>
  <c r="G2534" i="1"/>
  <c r="F2534" i="1"/>
  <c r="E2534" i="1"/>
  <c r="D2534" i="1"/>
  <c r="C2534" i="1"/>
  <c r="M2533" i="1"/>
  <c r="K2533" i="1"/>
  <c r="J2533" i="1"/>
  <c r="I2533" i="1"/>
  <c r="H2533" i="1"/>
  <c r="G2533" i="1"/>
  <c r="F2533" i="1"/>
  <c r="E2533" i="1"/>
  <c r="D2533" i="1"/>
  <c r="C2533" i="1"/>
  <c r="M2532" i="1"/>
  <c r="K2532" i="1"/>
  <c r="J2532" i="1"/>
  <c r="I2532" i="1"/>
  <c r="H2532" i="1"/>
  <c r="G2532" i="1"/>
  <c r="F2532" i="1"/>
  <c r="E2532" i="1"/>
  <c r="D2532" i="1"/>
  <c r="C2532" i="1"/>
  <c r="M2531" i="1"/>
  <c r="K2531" i="1"/>
  <c r="J2531" i="1"/>
  <c r="I2531" i="1"/>
  <c r="H2531" i="1"/>
  <c r="G2531" i="1"/>
  <c r="F2531" i="1"/>
  <c r="E2531" i="1"/>
  <c r="D2531" i="1"/>
  <c r="C2531" i="1"/>
  <c r="M2530" i="1"/>
  <c r="K2530" i="1"/>
  <c r="J2530" i="1"/>
  <c r="I2530" i="1"/>
  <c r="H2530" i="1"/>
  <c r="G2530" i="1"/>
  <c r="F2530" i="1"/>
  <c r="E2530" i="1"/>
  <c r="D2530" i="1"/>
  <c r="C2530" i="1"/>
  <c r="M2529" i="1"/>
  <c r="K2529" i="1"/>
  <c r="J2529" i="1"/>
  <c r="I2529" i="1"/>
  <c r="H2529" i="1"/>
  <c r="G2529" i="1"/>
  <c r="F2529" i="1"/>
  <c r="E2529" i="1"/>
  <c r="D2529" i="1"/>
  <c r="C2529" i="1"/>
  <c r="M2528" i="1"/>
  <c r="K2528" i="1"/>
  <c r="J2528" i="1"/>
  <c r="I2528" i="1"/>
  <c r="H2528" i="1"/>
  <c r="G2528" i="1"/>
  <c r="F2528" i="1"/>
  <c r="E2528" i="1"/>
  <c r="D2528" i="1"/>
  <c r="C2528" i="1"/>
  <c r="M2527" i="1"/>
  <c r="K2527" i="1"/>
  <c r="J2527" i="1"/>
  <c r="I2527" i="1"/>
  <c r="H2527" i="1"/>
  <c r="G2527" i="1"/>
  <c r="F2527" i="1"/>
  <c r="E2527" i="1"/>
  <c r="D2527" i="1"/>
  <c r="C2527" i="1"/>
  <c r="M2526" i="1"/>
  <c r="K2526" i="1"/>
  <c r="J2526" i="1"/>
  <c r="I2526" i="1"/>
  <c r="H2526" i="1"/>
  <c r="G2526" i="1"/>
  <c r="F2526" i="1"/>
  <c r="E2526" i="1"/>
  <c r="D2526" i="1"/>
  <c r="C2526" i="1"/>
  <c r="M2525" i="1"/>
  <c r="K2525" i="1"/>
  <c r="J2525" i="1"/>
  <c r="I2525" i="1"/>
  <c r="H2525" i="1"/>
  <c r="G2525" i="1"/>
  <c r="F2525" i="1"/>
  <c r="E2525" i="1"/>
  <c r="D2525" i="1"/>
  <c r="C2525" i="1"/>
  <c r="M2524" i="1"/>
  <c r="K2524" i="1"/>
  <c r="J2524" i="1"/>
  <c r="I2524" i="1"/>
  <c r="H2524" i="1"/>
  <c r="G2524" i="1"/>
  <c r="F2524" i="1"/>
  <c r="E2524" i="1"/>
  <c r="D2524" i="1"/>
  <c r="C2524" i="1"/>
  <c r="M2523" i="1"/>
  <c r="K2523" i="1"/>
  <c r="J2523" i="1"/>
  <c r="I2523" i="1"/>
  <c r="H2523" i="1"/>
  <c r="G2523" i="1"/>
  <c r="F2523" i="1"/>
  <c r="E2523" i="1"/>
  <c r="D2523" i="1"/>
  <c r="C2523" i="1"/>
  <c r="M2522" i="1"/>
  <c r="K2522" i="1"/>
  <c r="J2522" i="1"/>
  <c r="I2522" i="1"/>
  <c r="H2522" i="1"/>
  <c r="G2522" i="1"/>
  <c r="F2522" i="1"/>
  <c r="E2522" i="1"/>
  <c r="D2522" i="1"/>
  <c r="C2522" i="1"/>
  <c r="M2521" i="1"/>
  <c r="K2521" i="1"/>
  <c r="J2521" i="1"/>
  <c r="I2521" i="1"/>
  <c r="H2521" i="1"/>
  <c r="G2521" i="1"/>
  <c r="F2521" i="1"/>
  <c r="E2521" i="1"/>
  <c r="D2521" i="1"/>
  <c r="C2521" i="1"/>
  <c r="M2520" i="1"/>
  <c r="K2520" i="1"/>
  <c r="J2520" i="1"/>
  <c r="I2520" i="1"/>
  <c r="H2520" i="1"/>
  <c r="G2520" i="1"/>
  <c r="F2520" i="1"/>
  <c r="E2520" i="1"/>
  <c r="D2520" i="1"/>
  <c r="C2520" i="1"/>
  <c r="M2519" i="1"/>
  <c r="K2519" i="1"/>
  <c r="J2519" i="1"/>
  <c r="I2519" i="1"/>
  <c r="H2519" i="1"/>
  <c r="G2519" i="1"/>
  <c r="F2519" i="1"/>
  <c r="E2519" i="1"/>
  <c r="D2519" i="1"/>
  <c r="C2519" i="1"/>
  <c r="M2518" i="1"/>
  <c r="K2518" i="1"/>
  <c r="J2518" i="1"/>
  <c r="I2518" i="1"/>
  <c r="H2518" i="1"/>
  <c r="G2518" i="1"/>
  <c r="F2518" i="1"/>
  <c r="E2518" i="1"/>
  <c r="D2518" i="1"/>
  <c r="C2518" i="1"/>
  <c r="M2517" i="1"/>
  <c r="K2517" i="1"/>
  <c r="J2517" i="1"/>
  <c r="I2517" i="1"/>
  <c r="H2517" i="1"/>
  <c r="G2517" i="1"/>
  <c r="F2517" i="1"/>
  <c r="E2517" i="1"/>
  <c r="D2517" i="1"/>
  <c r="C2517" i="1"/>
  <c r="M2516" i="1"/>
  <c r="K2516" i="1"/>
  <c r="J2516" i="1"/>
  <c r="I2516" i="1"/>
  <c r="H2516" i="1"/>
  <c r="G2516" i="1"/>
  <c r="F2516" i="1"/>
  <c r="E2516" i="1"/>
  <c r="D2516" i="1"/>
  <c r="C2516" i="1"/>
  <c r="M2515" i="1"/>
  <c r="K2515" i="1"/>
  <c r="J2515" i="1"/>
  <c r="I2515" i="1"/>
  <c r="H2515" i="1"/>
  <c r="G2515" i="1"/>
  <c r="F2515" i="1"/>
  <c r="E2515" i="1"/>
  <c r="D2515" i="1"/>
  <c r="C2515" i="1"/>
  <c r="M2514" i="1"/>
  <c r="K2514" i="1"/>
  <c r="J2514" i="1"/>
  <c r="I2514" i="1"/>
  <c r="H2514" i="1"/>
  <c r="G2514" i="1"/>
  <c r="F2514" i="1"/>
  <c r="E2514" i="1"/>
  <c r="D2514" i="1"/>
  <c r="C2514" i="1"/>
  <c r="M2513" i="1"/>
  <c r="K2513" i="1"/>
  <c r="J2513" i="1"/>
  <c r="I2513" i="1"/>
  <c r="H2513" i="1"/>
  <c r="G2513" i="1"/>
  <c r="F2513" i="1"/>
  <c r="E2513" i="1"/>
  <c r="D2513" i="1"/>
  <c r="C2513" i="1"/>
  <c r="M2512" i="1"/>
  <c r="K2512" i="1"/>
  <c r="J2512" i="1"/>
  <c r="I2512" i="1"/>
  <c r="H2512" i="1"/>
  <c r="G2512" i="1"/>
  <c r="F2512" i="1"/>
  <c r="E2512" i="1"/>
  <c r="D2512" i="1"/>
  <c r="C2512" i="1"/>
  <c r="M2511" i="1"/>
  <c r="K2511" i="1"/>
  <c r="J2511" i="1"/>
  <c r="I2511" i="1"/>
  <c r="H2511" i="1"/>
  <c r="G2511" i="1"/>
  <c r="F2511" i="1"/>
  <c r="E2511" i="1"/>
  <c r="D2511" i="1"/>
  <c r="C2511" i="1"/>
  <c r="M2510" i="1"/>
  <c r="K2510" i="1"/>
  <c r="J2510" i="1"/>
  <c r="I2510" i="1"/>
  <c r="H2510" i="1"/>
  <c r="G2510" i="1"/>
  <c r="F2510" i="1"/>
  <c r="E2510" i="1"/>
  <c r="D2510" i="1"/>
  <c r="C2510" i="1"/>
  <c r="M2509" i="1"/>
  <c r="K2509" i="1"/>
  <c r="J2509" i="1"/>
  <c r="I2509" i="1"/>
  <c r="H2509" i="1"/>
  <c r="G2509" i="1"/>
  <c r="F2509" i="1"/>
  <c r="E2509" i="1"/>
  <c r="D2509" i="1"/>
  <c r="C2509" i="1"/>
  <c r="M2508" i="1"/>
  <c r="K2508" i="1"/>
  <c r="J2508" i="1"/>
  <c r="I2508" i="1"/>
  <c r="H2508" i="1"/>
  <c r="G2508" i="1"/>
  <c r="F2508" i="1"/>
  <c r="E2508" i="1"/>
  <c r="D2508" i="1"/>
  <c r="C2508" i="1"/>
  <c r="M2507" i="1"/>
  <c r="K2507" i="1"/>
  <c r="J2507" i="1"/>
  <c r="I2507" i="1"/>
  <c r="H2507" i="1"/>
  <c r="G2507" i="1"/>
  <c r="F2507" i="1"/>
  <c r="E2507" i="1"/>
  <c r="D2507" i="1"/>
  <c r="C2507" i="1"/>
  <c r="M2506" i="1"/>
  <c r="K2506" i="1"/>
  <c r="J2506" i="1"/>
  <c r="I2506" i="1"/>
  <c r="H2506" i="1"/>
  <c r="G2506" i="1"/>
  <c r="F2506" i="1"/>
  <c r="E2506" i="1"/>
  <c r="D2506" i="1"/>
  <c r="C2506" i="1"/>
  <c r="M2505" i="1"/>
  <c r="K2505" i="1"/>
  <c r="J2505" i="1"/>
  <c r="I2505" i="1"/>
  <c r="H2505" i="1"/>
  <c r="G2505" i="1"/>
  <c r="F2505" i="1"/>
  <c r="E2505" i="1"/>
  <c r="D2505" i="1"/>
  <c r="C2505" i="1"/>
  <c r="M2504" i="1"/>
  <c r="K2504" i="1"/>
  <c r="J2504" i="1"/>
  <c r="I2504" i="1"/>
  <c r="H2504" i="1"/>
  <c r="G2504" i="1"/>
  <c r="F2504" i="1"/>
  <c r="E2504" i="1"/>
  <c r="D2504" i="1"/>
  <c r="C2504" i="1"/>
  <c r="M2503" i="1"/>
  <c r="K2503" i="1"/>
  <c r="J2503" i="1"/>
  <c r="I2503" i="1"/>
  <c r="H2503" i="1"/>
  <c r="G2503" i="1"/>
  <c r="F2503" i="1"/>
  <c r="E2503" i="1"/>
  <c r="D2503" i="1"/>
  <c r="C2503" i="1"/>
  <c r="M2502" i="1"/>
  <c r="K2502" i="1"/>
  <c r="J2502" i="1"/>
  <c r="I2502" i="1"/>
  <c r="H2502" i="1"/>
  <c r="G2502" i="1"/>
  <c r="F2502" i="1"/>
  <c r="E2502" i="1"/>
  <c r="D2502" i="1"/>
  <c r="C2502" i="1"/>
  <c r="M2501" i="1"/>
  <c r="K2501" i="1"/>
  <c r="J2501" i="1"/>
  <c r="I2501" i="1"/>
  <c r="H2501" i="1"/>
  <c r="G2501" i="1"/>
  <c r="F2501" i="1"/>
  <c r="E2501" i="1"/>
  <c r="D2501" i="1"/>
  <c r="C2501" i="1"/>
  <c r="M2500" i="1"/>
  <c r="K2500" i="1"/>
  <c r="J2500" i="1"/>
  <c r="I2500" i="1"/>
  <c r="H2500" i="1"/>
  <c r="G2500" i="1"/>
  <c r="F2500" i="1"/>
  <c r="E2500" i="1"/>
  <c r="D2500" i="1"/>
  <c r="C2500" i="1"/>
  <c r="M2499" i="1"/>
  <c r="K2499" i="1"/>
  <c r="J2499" i="1"/>
  <c r="I2499" i="1"/>
  <c r="H2499" i="1"/>
  <c r="G2499" i="1"/>
  <c r="F2499" i="1"/>
  <c r="E2499" i="1"/>
  <c r="D2499" i="1"/>
  <c r="C2499" i="1"/>
  <c r="M2498" i="1"/>
  <c r="K2498" i="1"/>
  <c r="J2498" i="1"/>
  <c r="I2498" i="1"/>
  <c r="H2498" i="1"/>
  <c r="G2498" i="1"/>
  <c r="F2498" i="1"/>
  <c r="E2498" i="1"/>
  <c r="D2498" i="1"/>
  <c r="C2498" i="1"/>
  <c r="M2497" i="1"/>
  <c r="K2497" i="1"/>
  <c r="J2497" i="1"/>
  <c r="I2497" i="1"/>
  <c r="H2497" i="1"/>
  <c r="G2497" i="1"/>
  <c r="F2497" i="1"/>
  <c r="E2497" i="1"/>
  <c r="D2497" i="1"/>
  <c r="C2497" i="1"/>
  <c r="M2496" i="1"/>
  <c r="K2496" i="1"/>
  <c r="J2496" i="1"/>
  <c r="I2496" i="1"/>
  <c r="H2496" i="1"/>
  <c r="G2496" i="1"/>
  <c r="F2496" i="1"/>
  <c r="E2496" i="1"/>
  <c r="D2496" i="1"/>
  <c r="C2496" i="1"/>
  <c r="M2495" i="1"/>
  <c r="K2495" i="1"/>
  <c r="J2495" i="1"/>
  <c r="I2495" i="1"/>
  <c r="H2495" i="1"/>
  <c r="G2495" i="1"/>
  <c r="F2495" i="1"/>
  <c r="E2495" i="1"/>
  <c r="D2495" i="1"/>
  <c r="C2495" i="1"/>
  <c r="M2494" i="1"/>
  <c r="K2494" i="1"/>
  <c r="J2494" i="1"/>
  <c r="I2494" i="1"/>
  <c r="H2494" i="1"/>
  <c r="G2494" i="1"/>
  <c r="F2494" i="1"/>
  <c r="E2494" i="1"/>
  <c r="D2494" i="1"/>
  <c r="C2494" i="1"/>
  <c r="M2493" i="1"/>
  <c r="K2493" i="1"/>
  <c r="J2493" i="1"/>
  <c r="I2493" i="1"/>
  <c r="H2493" i="1"/>
  <c r="G2493" i="1"/>
  <c r="F2493" i="1"/>
  <c r="E2493" i="1"/>
  <c r="D2493" i="1"/>
  <c r="C2493" i="1"/>
  <c r="M2492" i="1"/>
  <c r="K2492" i="1"/>
  <c r="J2492" i="1"/>
  <c r="I2492" i="1"/>
  <c r="H2492" i="1"/>
  <c r="G2492" i="1"/>
  <c r="F2492" i="1"/>
  <c r="E2492" i="1"/>
  <c r="D2492" i="1"/>
  <c r="C2492" i="1"/>
  <c r="M2491" i="1"/>
  <c r="K2491" i="1"/>
  <c r="J2491" i="1"/>
  <c r="I2491" i="1"/>
  <c r="H2491" i="1"/>
  <c r="G2491" i="1"/>
  <c r="F2491" i="1"/>
  <c r="E2491" i="1"/>
  <c r="D2491" i="1"/>
  <c r="C2491" i="1"/>
  <c r="M2490" i="1"/>
  <c r="K2490" i="1"/>
  <c r="J2490" i="1"/>
  <c r="I2490" i="1"/>
  <c r="H2490" i="1"/>
  <c r="G2490" i="1"/>
  <c r="F2490" i="1"/>
  <c r="E2490" i="1"/>
  <c r="D2490" i="1"/>
  <c r="C2490" i="1"/>
  <c r="M2489" i="1"/>
  <c r="K2489" i="1"/>
  <c r="J2489" i="1"/>
  <c r="I2489" i="1"/>
  <c r="H2489" i="1"/>
  <c r="G2489" i="1"/>
  <c r="F2489" i="1"/>
  <c r="E2489" i="1"/>
  <c r="D2489" i="1"/>
  <c r="C2489" i="1"/>
  <c r="M2488" i="1"/>
  <c r="K2488" i="1"/>
  <c r="J2488" i="1"/>
  <c r="I2488" i="1"/>
  <c r="H2488" i="1"/>
  <c r="G2488" i="1"/>
  <c r="F2488" i="1"/>
  <c r="E2488" i="1"/>
  <c r="D2488" i="1"/>
  <c r="C2488" i="1"/>
  <c r="M2487" i="1"/>
  <c r="K2487" i="1"/>
  <c r="J2487" i="1"/>
  <c r="I2487" i="1"/>
  <c r="H2487" i="1"/>
  <c r="G2487" i="1"/>
  <c r="F2487" i="1"/>
  <c r="E2487" i="1"/>
  <c r="D2487" i="1"/>
  <c r="C2487" i="1"/>
  <c r="M2486" i="1"/>
  <c r="K2486" i="1"/>
  <c r="J2486" i="1"/>
  <c r="I2486" i="1"/>
  <c r="H2486" i="1"/>
  <c r="G2486" i="1"/>
  <c r="F2486" i="1"/>
  <c r="E2486" i="1"/>
  <c r="D2486" i="1"/>
  <c r="C2486" i="1"/>
  <c r="M2485" i="1"/>
  <c r="K2485" i="1"/>
  <c r="J2485" i="1"/>
  <c r="I2485" i="1"/>
  <c r="H2485" i="1"/>
  <c r="G2485" i="1"/>
  <c r="F2485" i="1"/>
  <c r="E2485" i="1"/>
  <c r="D2485" i="1"/>
  <c r="C2485" i="1"/>
  <c r="M2484" i="1"/>
  <c r="K2484" i="1"/>
  <c r="J2484" i="1"/>
  <c r="I2484" i="1"/>
  <c r="H2484" i="1"/>
  <c r="G2484" i="1"/>
  <c r="F2484" i="1"/>
  <c r="E2484" i="1"/>
  <c r="D2484" i="1"/>
  <c r="C2484" i="1"/>
  <c r="M2483" i="1"/>
  <c r="K2483" i="1"/>
  <c r="J2483" i="1"/>
  <c r="I2483" i="1"/>
  <c r="H2483" i="1"/>
  <c r="G2483" i="1"/>
  <c r="F2483" i="1"/>
  <c r="E2483" i="1"/>
  <c r="D2483" i="1"/>
  <c r="C2483" i="1"/>
  <c r="M2482" i="1"/>
  <c r="K2482" i="1"/>
  <c r="J2482" i="1"/>
  <c r="I2482" i="1"/>
  <c r="H2482" i="1"/>
  <c r="G2482" i="1"/>
  <c r="F2482" i="1"/>
  <c r="E2482" i="1"/>
  <c r="D2482" i="1"/>
  <c r="C2482" i="1"/>
  <c r="M2481" i="1"/>
  <c r="K2481" i="1"/>
  <c r="J2481" i="1"/>
  <c r="I2481" i="1"/>
  <c r="H2481" i="1"/>
  <c r="G2481" i="1"/>
  <c r="F2481" i="1"/>
  <c r="E2481" i="1"/>
  <c r="D2481" i="1"/>
  <c r="C2481" i="1"/>
  <c r="M2480" i="1"/>
  <c r="K2480" i="1"/>
  <c r="J2480" i="1"/>
  <c r="I2480" i="1"/>
  <c r="H2480" i="1"/>
  <c r="G2480" i="1"/>
  <c r="F2480" i="1"/>
  <c r="E2480" i="1"/>
  <c r="D2480" i="1"/>
  <c r="C2480" i="1"/>
  <c r="M2479" i="1"/>
  <c r="K2479" i="1"/>
  <c r="J2479" i="1"/>
  <c r="I2479" i="1"/>
  <c r="H2479" i="1"/>
  <c r="G2479" i="1"/>
  <c r="F2479" i="1"/>
  <c r="E2479" i="1"/>
  <c r="D2479" i="1"/>
  <c r="C2479" i="1"/>
  <c r="M2478" i="1"/>
  <c r="K2478" i="1"/>
  <c r="J2478" i="1"/>
  <c r="I2478" i="1"/>
  <c r="H2478" i="1"/>
  <c r="G2478" i="1"/>
  <c r="F2478" i="1"/>
  <c r="E2478" i="1"/>
  <c r="D2478" i="1"/>
  <c r="C2478" i="1"/>
  <c r="M2477" i="1"/>
  <c r="K2477" i="1"/>
  <c r="J2477" i="1"/>
  <c r="I2477" i="1"/>
  <c r="H2477" i="1"/>
  <c r="G2477" i="1"/>
  <c r="F2477" i="1"/>
  <c r="E2477" i="1"/>
  <c r="D2477" i="1"/>
  <c r="C2477" i="1"/>
  <c r="M2476" i="1"/>
  <c r="K2476" i="1"/>
  <c r="J2476" i="1"/>
  <c r="I2476" i="1"/>
  <c r="H2476" i="1"/>
  <c r="G2476" i="1"/>
  <c r="F2476" i="1"/>
  <c r="E2476" i="1"/>
  <c r="D2476" i="1"/>
  <c r="C2476" i="1"/>
  <c r="M2475" i="1"/>
  <c r="K2475" i="1"/>
  <c r="J2475" i="1"/>
  <c r="I2475" i="1"/>
  <c r="H2475" i="1"/>
  <c r="G2475" i="1"/>
  <c r="F2475" i="1"/>
  <c r="E2475" i="1"/>
  <c r="D2475" i="1"/>
  <c r="C2475" i="1"/>
  <c r="M2474" i="1"/>
  <c r="K2474" i="1"/>
  <c r="J2474" i="1"/>
  <c r="I2474" i="1"/>
  <c r="H2474" i="1"/>
  <c r="G2474" i="1"/>
  <c r="F2474" i="1"/>
  <c r="E2474" i="1"/>
  <c r="D2474" i="1"/>
  <c r="C2474" i="1"/>
  <c r="M2473" i="1"/>
  <c r="K2473" i="1"/>
  <c r="J2473" i="1"/>
  <c r="I2473" i="1"/>
  <c r="H2473" i="1"/>
  <c r="G2473" i="1"/>
  <c r="F2473" i="1"/>
  <c r="E2473" i="1"/>
  <c r="D2473" i="1"/>
  <c r="C2473" i="1"/>
  <c r="M2472" i="1"/>
  <c r="K2472" i="1"/>
  <c r="J2472" i="1"/>
  <c r="I2472" i="1"/>
  <c r="H2472" i="1"/>
  <c r="G2472" i="1"/>
  <c r="F2472" i="1"/>
  <c r="E2472" i="1"/>
  <c r="D2472" i="1"/>
  <c r="C2472" i="1"/>
  <c r="M2471" i="1"/>
  <c r="K2471" i="1"/>
  <c r="J2471" i="1"/>
  <c r="I2471" i="1"/>
  <c r="H2471" i="1"/>
  <c r="G2471" i="1"/>
  <c r="F2471" i="1"/>
  <c r="E2471" i="1"/>
  <c r="D2471" i="1"/>
  <c r="C2471" i="1"/>
  <c r="M2470" i="1"/>
  <c r="K2470" i="1"/>
  <c r="J2470" i="1"/>
  <c r="I2470" i="1"/>
  <c r="H2470" i="1"/>
  <c r="G2470" i="1"/>
  <c r="F2470" i="1"/>
  <c r="E2470" i="1"/>
  <c r="D2470" i="1"/>
  <c r="C2470" i="1"/>
  <c r="M2469" i="1"/>
  <c r="K2469" i="1"/>
  <c r="J2469" i="1"/>
  <c r="I2469" i="1"/>
  <c r="H2469" i="1"/>
  <c r="G2469" i="1"/>
  <c r="F2469" i="1"/>
  <c r="E2469" i="1"/>
  <c r="D2469" i="1"/>
  <c r="C2469" i="1"/>
  <c r="M2468" i="1"/>
  <c r="K2468" i="1"/>
  <c r="J2468" i="1"/>
  <c r="I2468" i="1"/>
  <c r="H2468" i="1"/>
  <c r="G2468" i="1"/>
  <c r="F2468" i="1"/>
  <c r="E2468" i="1"/>
  <c r="D2468" i="1"/>
  <c r="C2468" i="1"/>
  <c r="M2467" i="1"/>
  <c r="K2467" i="1"/>
  <c r="J2467" i="1"/>
  <c r="I2467" i="1"/>
  <c r="H2467" i="1"/>
  <c r="G2467" i="1"/>
  <c r="F2467" i="1"/>
  <c r="E2467" i="1"/>
  <c r="D2467" i="1"/>
  <c r="C2467" i="1"/>
  <c r="M2466" i="1"/>
  <c r="K2466" i="1"/>
  <c r="J2466" i="1"/>
  <c r="I2466" i="1"/>
  <c r="H2466" i="1"/>
  <c r="G2466" i="1"/>
  <c r="F2466" i="1"/>
  <c r="E2466" i="1"/>
  <c r="D2466" i="1"/>
  <c r="C2466" i="1"/>
  <c r="M2465" i="1"/>
  <c r="K2465" i="1"/>
  <c r="J2465" i="1"/>
  <c r="I2465" i="1"/>
  <c r="H2465" i="1"/>
  <c r="G2465" i="1"/>
  <c r="F2465" i="1"/>
  <c r="E2465" i="1"/>
  <c r="D2465" i="1"/>
  <c r="C2465" i="1"/>
  <c r="M2464" i="1"/>
  <c r="K2464" i="1"/>
  <c r="J2464" i="1"/>
  <c r="I2464" i="1"/>
  <c r="H2464" i="1"/>
  <c r="G2464" i="1"/>
  <c r="F2464" i="1"/>
  <c r="E2464" i="1"/>
  <c r="D2464" i="1"/>
  <c r="C2464" i="1"/>
  <c r="M2463" i="1"/>
  <c r="K2463" i="1"/>
  <c r="J2463" i="1"/>
  <c r="I2463" i="1"/>
  <c r="H2463" i="1"/>
  <c r="G2463" i="1"/>
  <c r="F2463" i="1"/>
  <c r="E2463" i="1"/>
  <c r="D2463" i="1"/>
  <c r="C2463" i="1"/>
  <c r="M2462" i="1"/>
  <c r="K2462" i="1"/>
  <c r="J2462" i="1"/>
  <c r="I2462" i="1"/>
  <c r="H2462" i="1"/>
  <c r="G2462" i="1"/>
  <c r="F2462" i="1"/>
  <c r="E2462" i="1"/>
  <c r="D2462" i="1"/>
  <c r="C2462" i="1"/>
  <c r="M2461" i="1"/>
  <c r="K2461" i="1"/>
  <c r="J2461" i="1"/>
  <c r="I2461" i="1"/>
  <c r="H2461" i="1"/>
  <c r="G2461" i="1"/>
  <c r="F2461" i="1"/>
  <c r="E2461" i="1"/>
  <c r="D2461" i="1"/>
  <c r="C2461" i="1"/>
  <c r="M2460" i="1"/>
  <c r="K2460" i="1"/>
  <c r="J2460" i="1"/>
  <c r="I2460" i="1"/>
  <c r="H2460" i="1"/>
  <c r="G2460" i="1"/>
  <c r="F2460" i="1"/>
  <c r="E2460" i="1"/>
  <c r="D2460" i="1"/>
  <c r="C2460" i="1"/>
  <c r="M2459" i="1"/>
  <c r="K2459" i="1"/>
  <c r="J2459" i="1"/>
  <c r="I2459" i="1"/>
  <c r="H2459" i="1"/>
  <c r="G2459" i="1"/>
  <c r="F2459" i="1"/>
  <c r="E2459" i="1"/>
  <c r="D2459" i="1"/>
  <c r="C2459" i="1"/>
  <c r="M2458" i="1"/>
  <c r="K2458" i="1"/>
  <c r="J2458" i="1"/>
  <c r="I2458" i="1"/>
  <c r="H2458" i="1"/>
  <c r="G2458" i="1"/>
  <c r="F2458" i="1"/>
  <c r="E2458" i="1"/>
  <c r="D2458" i="1"/>
  <c r="C2458" i="1"/>
  <c r="M2457" i="1"/>
  <c r="K2457" i="1"/>
  <c r="J2457" i="1"/>
  <c r="I2457" i="1"/>
  <c r="H2457" i="1"/>
  <c r="G2457" i="1"/>
  <c r="F2457" i="1"/>
  <c r="E2457" i="1"/>
  <c r="D2457" i="1"/>
  <c r="C2457" i="1"/>
  <c r="M2456" i="1"/>
  <c r="K2456" i="1"/>
  <c r="J2456" i="1"/>
  <c r="I2456" i="1"/>
  <c r="H2456" i="1"/>
  <c r="G2456" i="1"/>
  <c r="F2456" i="1"/>
  <c r="E2456" i="1"/>
  <c r="D2456" i="1"/>
  <c r="C2456" i="1"/>
  <c r="M2455" i="1"/>
  <c r="K2455" i="1"/>
  <c r="J2455" i="1"/>
  <c r="I2455" i="1"/>
  <c r="H2455" i="1"/>
  <c r="G2455" i="1"/>
  <c r="F2455" i="1"/>
  <c r="E2455" i="1"/>
  <c r="D2455" i="1"/>
  <c r="C2455" i="1"/>
  <c r="M2454" i="1"/>
  <c r="K2454" i="1"/>
  <c r="J2454" i="1"/>
  <c r="I2454" i="1"/>
  <c r="H2454" i="1"/>
  <c r="G2454" i="1"/>
  <c r="F2454" i="1"/>
  <c r="E2454" i="1"/>
  <c r="D2454" i="1"/>
  <c r="C2454" i="1"/>
  <c r="M2453" i="1"/>
  <c r="K2453" i="1"/>
  <c r="J2453" i="1"/>
  <c r="I2453" i="1"/>
  <c r="H2453" i="1"/>
  <c r="G2453" i="1"/>
  <c r="F2453" i="1"/>
  <c r="E2453" i="1"/>
  <c r="D2453" i="1"/>
  <c r="C2453" i="1"/>
  <c r="M2452" i="1"/>
  <c r="K2452" i="1"/>
  <c r="J2452" i="1"/>
  <c r="I2452" i="1"/>
  <c r="H2452" i="1"/>
  <c r="G2452" i="1"/>
  <c r="F2452" i="1"/>
  <c r="E2452" i="1"/>
  <c r="D2452" i="1"/>
  <c r="C2452" i="1"/>
  <c r="M2451" i="1"/>
  <c r="K2451" i="1"/>
  <c r="J2451" i="1"/>
  <c r="I2451" i="1"/>
  <c r="H2451" i="1"/>
  <c r="G2451" i="1"/>
  <c r="F2451" i="1"/>
  <c r="E2451" i="1"/>
  <c r="D2451" i="1"/>
  <c r="C2451" i="1"/>
  <c r="M2450" i="1"/>
  <c r="K2450" i="1"/>
  <c r="J2450" i="1"/>
  <c r="I2450" i="1"/>
  <c r="H2450" i="1"/>
  <c r="G2450" i="1"/>
  <c r="F2450" i="1"/>
  <c r="E2450" i="1"/>
  <c r="D2450" i="1"/>
  <c r="C2450" i="1"/>
  <c r="M2449" i="1"/>
  <c r="K2449" i="1"/>
  <c r="J2449" i="1"/>
  <c r="I2449" i="1"/>
  <c r="H2449" i="1"/>
  <c r="G2449" i="1"/>
  <c r="F2449" i="1"/>
  <c r="E2449" i="1"/>
  <c r="D2449" i="1"/>
  <c r="C2449" i="1"/>
  <c r="M2448" i="1"/>
  <c r="K2448" i="1"/>
  <c r="J2448" i="1"/>
  <c r="I2448" i="1"/>
  <c r="H2448" i="1"/>
  <c r="G2448" i="1"/>
  <c r="F2448" i="1"/>
  <c r="E2448" i="1"/>
  <c r="D2448" i="1"/>
  <c r="C2448" i="1"/>
  <c r="M2447" i="1"/>
  <c r="K2447" i="1"/>
  <c r="J2447" i="1"/>
  <c r="I2447" i="1"/>
  <c r="H2447" i="1"/>
  <c r="G2447" i="1"/>
  <c r="F2447" i="1"/>
  <c r="E2447" i="1"/>
  <c r="D2447" i="1"/>
  <c r="C2447" i="1"/>
  <c r="M2446" i="1"/>
  <c r="K2446" i="1"/>
  <c r="J2446" i="1"/>
  <c r="I2446" i="1"/>
  <c r="H2446" i="1"/>
  <c r="G2446" i="1"/>
  <c r="F2446" i="1"/>
  <c r="E2446" i="1"/>
  <c r="D2446" i="1"/>
  <c r="C2446" i="1"/>
  <c r="M2445" i="1"/>
  <c r="K2445" i="1"/>
  <c r="J2445" i="1"/>
  <c r="I2445" i="1"/>
  <c r="H2445" i="1"/>
  <c r="G2445" i="1"/>
  <c r="F2445" i="1"/>
  <c r="E2445" i="1"/>
  <c r="D2445" i="1"/>
  <c r="C2445" i="1"/>
  <c r="M2444" i="1"/>
  <c r="K2444" i="1"/>
  <c r="J2444" i="1"/>
  <c r="I2444" i="1"/>
  <c r="H2444" i="1"/>
  <c r="G2444" i="1"/>
  <c r="F2444" i="1"/>
  <c r="E2444" i="1"/>
  <c r="D2444" i="1"/>
  <c r="C2444" i="1"/>
  <c r="M2443" i="1"/>
  <c r="K2443" i="1"/>
  <c r="J2443" i="1"/>
  <c r="I2443" i="1"/>
  <c r="H2443" i="1"/>
  <c r="G2443" i="1"/>
  <c r="F2443" i="1"/>
  <c r="E2443" i="1"/>
  <c r="D2443" i="1"/>
  <c r="C2443" i="1"/>
  <c r="M2442" i="1"/>
  <c r="K2442" i="1"/>
  <c r="J2442" i="1"/>
  <c r="I2442" i="1"/>
  <c r="H2442" i="1"/>
  <c r="G2442" i="1"/>
  <c r="F2442" i="1"/>
  <c r="E2442" i="1"/>
  <c r="D2442" i="1"/>
  <c r="C2442" i="1"/>
  <c r="M2441" i="1"/>
  <c r="K2441" i="1"/>
  <c r="J2441" i="1"/>
  <c r="I2441" i="1"/>
  <c r="H2441" i="1"/>
  <c r="G2441" i="1"/>
  <c r="F2441" i="1"/>
  <c r="E2441" i="1"/>
  <c r="D2441" i="1"/>
  <c r="C2441" i="1"/>
  <c r="M2440" i="1"/>
  <c r="K2440" i="1"/>
  <c r="J2440" i="1"/>
  <c r="I2440" i="1"/>
  <c r="H2440" i="1"/>
  <c r="G2440" i="1"/>
  <c r="F2440" i="1"/>
  <c r="E2440" i="1"/>
  <c r="D2440" i="1"/>
  <c r="C2440" i="1"/>
  <c r="M2439" i="1"/>
  <c r="K2439" i="1"/>
  <c r="J2439" i="1"/>
  <c r="I2439" i="1"/>
  <c r="H2439" i="1"/>
  <c r="G2439" i="1"/>
  <c r="F2439" i="1"/>
  <c r="E2439" i="1"/>
  <c r="D2439" i="1"/>
  <c r="C2439" i="1"/>
  <c r="M2438" i="1"/>
  <c r="K2438" i="1"/>
  <c r="J2438" i="1"/>
  <c r="I2438" i="1"/>
  <c r="H2438" i="1"/>
  <c r="G2438" i="1"/>
  <c r="F2438" i="1"/>
  <c r="E2438" i="1"/>
  <c r="D2438" i="1"/>
  <c r="C2438" i="1"/>
  <c r="M2437" i="1"/>
  <c r="K2437" i="1"/>
  <c r="J2437" i="1"/>
  <c r="I2437" i="1"/>
  <c r="H2437" i="1"/>
  <c r="G2437" i="1"/>
  <c r="F2437" i="1"/>
  <c r="E2437" i="1"/>
  <c r="D2437" i="1"/>
  <c r="C2437" i="1"/>
  <c r="M2436" i="1"/>
  <c r="K2436" i="1"/>
  <c r="J2436" i="1"/>
  <c r="I2436" i="1"/>
  <c r="H2436" i="1"/>
  <c r="G2436" i="1"/>
  <c r="F2436" i="1"/>
  <c r="E2436" i="1"/>
  <c r="D2436" i="1"/>
  <c r="C2436" i="1"/>
  <c r="M2435" i="1"/>
  <c r="K2435" i="1"/>
  <c r="J2435" i="1"/>
  <c r="I2435" i="1"/>
  <c r="H2435" i="1"/>
  <c r="G2435" i="1"/>
  <c r="F2435" i="1"/>
  <c r="E2435" i="1"/>
  <c r="D2435" i="1"/>
  <c r="C2435" i="1"/>
  <c r="M2434" i="1"/>
  <c r="K2434" i="1"/>
  <c r="J2434" i="1"/>
  <c r="I2434" i="1"/>
  <c r="H2434" i="1"/>
  <c r="G2434" i="1"/>
  <c r="F2434" i="1"/>
  <c r="E2434" i="1"/>
  <c r="D2434" i="1"/>
  <c r="C2434" i="1"/>
  <c r="M2433" i="1"/>
  <c r="K2433" i="1"/>
  <c r="J2433" i="1"/>
  <c r="I2433" i="1"/>
  <c r="H2433" i="1"/>
  <c r="G2433" i="1"/>
  <c r="F2433" i="1"/>
  <c r="E2433" i="1"/>
  <c r="D2433" i="1"/>
  <c r="C2433" i="1"/>
  <c r="M2432" i="1"/>
  <c r="K2432" i="1"/>
  <c r="J2432" i="1"/>
  <c r="I2432" i="1"/>
  <c r="H2432" i="1"/>
  <c r="G2432" i="1"/>
  <c r="F2432" i="1"/>
  <c r="E2432" i="1"/>
  <c r="D2432" i="1"/>
  <c r="C2432" i="1"/>
  <c r="M2431" i="1"/>
  <c r="K2431" i="1"/>
  <c r="J2431" i="1"/>
  <c r="I2431" i="1"/>
  <c r="H2431" i="1"/>
  <c r="G2431" i="1"/>
  <c r="F2431" i="1"/>
  <c r="E2431" i="1"/>
  <c r="D2431" i="1"/>
  <c r="C2431" i="1"/>
  <c r="M2430" i="1"/>
  <c r="K2430" i="1"/>
  <c r="J2430" i="1"/>
  <c r="I2430" i="1"/>
  <c r="H2430" i="1"/>
  <c r="G2430" i="1"/>
  <c r="F2430" i="1"/>
  <c r="E2430" i="1"/>
  <c r="D2430" i="1"/>
  <c r="C2430" i="1"/>
  <c r="M2429" i="1"/>
  <c r="K2429" i="1"/>
  <c r="J2429" i="1"/>
  <c r="I2429" i="1"/>
  <c r="H2429" i="1"/>
  <c r="G2429" i="1"/>
  <c r="F2429" i="1"/>
  <c r="E2429" i="1"/>
  <c r="D2429" i="1"/>
  <c r="C2429" i="1"/>
  <c r="M2428" i="1"/>
  <c r="K2428" i="1"/>
  <c r="J2428" i="1"/>
  <c r="I2428" i="1"/>
  <c r="H2428" i="1"/>
  <c r="G2428" i="1"/>
  <c r="F2428" i="1"/>
  <c r="E2428" i="1"/>
  <c r="D2428" i="1"/>
  <c r="C2428" i="1"/>
  <c r="M2427" i="1"/>
  <c r="K2427" i="1"/>
  <c r="J2427" i="1"/>
  <c r="I2427" i="1"/>
  <c r="H2427" i="1"/>
  <c r="G2427" i="1"/>
  <c r="F2427" i="1"/>
  <c r="E2427" i="1"/>
  <c r="D2427" i="1"/>
  <c r="C2427" i="1"/>
  <c r="M2426" i="1"/>
  <c r="K2426" i="1"/>
  <c r="J2426" i="1"/>
  <c r="I2426" i="1"/>
  <c r="H2426" i="1"/>
  <c r="G2426" i="1"/>
  <c r="F2426" i="1"/>
  <c r="E2426" i="1"/>
  <c r="D2426" i="1"/>
  <c r="C2426" i="1"/>
  <c r="M2425" i="1"/>
  <c r="K2425" i="1"/>
  <c r="J2425" i="1"/>
  <c r="I2425" i="1"/>
  <c r="H2425" i="1"/>
  <c r="G2425" i="1"/>
  <c r="F2425" i="1"/>
  <c r="E2425" i="1"/>
  <c r="D2425" i="1"/>
  <c r="C2425" i="1"/>
  <c r="M2424" i="1"/>
  <c r="K2424" i="1"/>
  <c r="J2424" i="1"/>
  <c r="I2424" i="1"/>
  <c r="H2424" i="1"/>
  <c r="G2424" i="1"/>
  <c r="F2424" i="1"/>
  <c r="E2424" i="1"/>
  <c r="D2424" i="1"/>
  <c r="C2424" i="1"/>
  <c r="M2423" i="1"/>
  <c r="K2423" i="1"/>
  <c r="J2423" i="1"/>
  <c r="I2423" i="1"/>
  <c r="H2423" i="1"/>
  <c r="G2423" i="1"/>
  <c r="F2423" i="1"/>
  <c r="E2423" i="1"/>
  <c r="D2423" i="1"/>
  <c r="C2423" i="1"/>
  <c r="M2422" i="1"/>
  <c r="K2422" i="1"/>
  <c r="J2422" i="1"/>
  <c r="I2422" i="1"/>
  <c r="H2422" i="1"/>
  <c r="G2422" i="1"/>
  <c r="F2422" i="1"/>
  <c r="E2422" i="1"/>
  <c r="D2422" i="1"/>
  <c r="C2422" i="1"/>
  <c r="M2421" i="1"/>
  <c r="K2421" i="1"/>
  <c r="J2421" i="1"/>
  <c r="I2421" i="1"/>
  <c r="H2421" i="1"/>
  <c r="G2421" i="1"/>
  <c r="F2421" i="1"/>
  <c r="E2421" i="1"/>
  <c r="D2421" i="1"/>
  <c r="C2421" i="1"/>
  <c r="M2420" i="1"/>
  <c r="K2420" i="1"/>
  <c r="J2420" i="1"/>
  <c r="I2420" i="1"/>
  <c r="H2420" i="1"/>
  <c r="G2420" i="1"/>
  <c r="F2420" i="1"/>
  <c r="E2420" i="1"/>
  <c r="D2420" i="1"/>
  <c r="C2420" i="1"/>
  <c r="M2419" i="1"/>
  <c r="K2419" i="1"/>
  <c r="J2419" i="1"/>
  <c r="I2419" i="1"/>
  <c r="H2419" i="1"/>
  <c r="G2419" i="1"/>
  <c r="F2419" i="1"/>
  <c r="E2419" i="1"/>
  <c r="D2419" i="1"/>
  <c r="C2419" i="1"/>
  <c r="M2418" i="1"/>
  <c r="K2418" i="1"/>
  <c r="J2418" i="1"/>
  <c r="I2418" i="1"/>
  <c r="H2418" i="1"/>
  <c r="G2418" i="1"/>
  <c r="F2418" i="1"/>
  <c r="E2418" i="1"/>
  <c r="D2418" i="1"/>
  <c r="C2418" i="1"/>
  <c r="M2417" i="1"/>
  <c r="K2417" i="1"/>
  <c r="J2417" i="1"/>
  <c r="I2417" i="1"/>
  <c r="H2417" i="1"/>
  <c r="G2417" i="1"/>
  <c r="F2417" i="1"/>
  <c r="E2417" i="1"/>
  <c r="D2417" i="1"/>
  <c r="C2417" i="1"/>
  <c r="M2416" i="1"/>
  <c r="K2416" i="1"/>
  <c r="J2416" i="1"/>
  <c r="I2416" i="1"/>
  <c r="H2416" i="1"/>
  <c r="G2416" i="1"/>
  <c r="F2416" i="1"/>
  <c r="E2416" i="1"/>
  <c r="D2416" i="1"/>
  <c r="C2416" i="1"/>
  <c r="M2415" i="1"/>
  <c r="K2415" i="1"/>
  <c r="J2415" i="1"/>
  <c r="I2415" i="1"/>
  <c r="H2415" i="1"/>
  <c r="G2415" i="1"/>
  <c r="F2415" i="1"/>
  <c r="E2415" i="1"/>
  <c r="D2415" i="1"/>
  <c r="C2415" i="1"/>
  <c r="M2414" i="1"/>
  <c r="K2414" i="1"/>
  <c r="J2414" i="1"/>
  <c r="I2414" i="1"/>
  <c r="H2414" i="1"/>
  <c r="G2414" i="1"/>
  <c r="F2414" i="1"/>
  <c r="E2414" i="1"/>
  <c r="D2414" i="1"/>
  <c r="C2414" i="1"/>
  <c r="M2413" i="1"/>
  <c r="K2413" i="1"/>
  <c r="J2413" i="1"/>
  <c r="I2413" i="1"/>
  <c r="H2413" i="1"/>
  <c r="G2413" i="1"/>
  <c r="F2413" i="1"/>
  <c r="E2413" i="1"/>
  <c r="D2413" i="1"/>
  <c r="C2413" i="1"/>
  <c r="M2412" i="1"/>
  <c r="K2412" i="1"/>
  <c r="J2412" i="1"/>
  <c r="I2412" i="1"/>
  <c r="H2412" i="1"/>
  <c r="G2412" i="1"/>
  <c r="F2412" i="1"/>
  <c r="E2412" i="1"/>
  <c r="D2412" i="1"/>
  <c r="C2412" i="1"/>
  <c r="M2411" i="1"/>
  <c r="K2411" i="1"/>
  <c r="J2411" i="1"/>
  <c r="I2411" i="1"/>
  <c r="H2411" i="1"/>
  <c r="G2411" i="1"/>
  <c r="F2411" i="1"/>
  <c r="E2411" i="1"/>
  <c r="D2411" i="1"/>
  <c r="C2411" i="1"/>
  <c r="M2410" i="1"/>
  <c r="K2410" i="1"/>
  <c r="J2410" i="1"/>
  <c r="I2410" i="1"/>
  <c r="H2410" i="1"/>
  <c r="G2410" i="1"/>
  <c r="F2410" i="1"/>
  <c r="E2410" i="1"/>
  <c r="D2410" i="1"/>
  <c r="C2410" i="1"/>
  <c r="M2409" i="1"/>
  <c r="K2409" i="1"/>
  <c r="J2409" i="1"/>
  <c r="I2409" i="1"/>
  <c r="H2409" i="1"/>
  <c r="G2409" i="1"/>
  <c r="F2409" i="1"/>
  <c r="E2409" i="1"/>
  <c r="D2409" i="1"/>
  <c r="C2409" i="1"/>
  <c r="M2408" i="1"/>
  <c r="K2408" i="1"/>
  <c r="J2408" i="1"/>
  <c r="I2408" i="1"/>
  <c r="H2408" i="1"/>
  <c r="G2408" i="1"/>
  <c r="F2408" i="1"/>
  <c r="E2408" i="1"/>
  <c r="D2408" i="1"/>
  <c r="C2408" i="1"/>
  <c r="M2407" i="1"/>
  <c r="K2407" i="1"/>
  <c r="J2407" i="1"/>
  <c r="I2407" i="1"/>
  <c r="H2407" i="1"/>
  <c r="G2407" i="1"/>
  <c r="F2407" i="1"/>
  <c r="E2407" i="1"/>
  <c r="D2407" i="1"/>
  <c r="C2407" i="1"/>
  <c r="M2406" i="1"/>
  <c r="K2406" i="1"/>
  <c r="J2406" i="1"/>
  <c r="I2406" i="1"/>
  <c r="H2406" i="1"/>
  <c r="G2406" i="1"/>
  <c r="F2406" i="1"/>
  <c r="E2406" i="1"/>
  <c r="D2406" i="1"/>
  <c r="C2406" i="1"/>
  <c r="M2405" i="1"/>
  <c r="K2405" i="1"/>
  <c r="J2405" i="1"/>
  <c r="I2405" i="1"/>
  <c r="H2405" i="1"/>
  <c r="G2405" i="1"/>
  <c r="F2405" i="1"/>
  <c r="E2405" i="1"/>
  <c r="D2405" i="1"/>
  <c r="C2405" i="1"/>
  <c r="M2404" i="1"/>
  <c r="K2404" i="1"/>
  <c r="J2404" i="1"/>
  <c r="I2404" i="1"/>
  <c r="H2404" i="1"/>
  <c r="G2404" i="1"/>
  <c r="F2404" i="1"/>
  <c r="E2404" i="1"/>
  <c r="D2404" i="1"/>
  <c r="C2404" i="1"/>
  <c r="M2403" i="1"/>
  <c r="K2403" i="1"/>
  <c r="J2403" i="1"/>
  <c r="I2403" i="1"/>
  <c r="H2403" i="1"/>
  <c r="G2403" i="1"/>
  <c r="F2403" i="1"/>
  <c r="E2403" i="1"/>
  <c r="D2403" i="1"/>
  <c r="C2403" i="1"/>
  <c r="M2402" i="1"/>
  <c r="K2402" i="1"/>
  <c r="J2402" i="1"/>
  <c r="I2402" i="1"/>
  <c r="H2402" i="1"/>
  <c r="G2402" i="1"/>
  <c r="F2402" i="1"/>
  <c r="E2402" i="1"/>
  <c r="D2402" i="1"/>
  <c r="C2402" i="1"/>
  <c r="M2401" i="1"/>
  <c r="K2401" i="1"/>
  <c r="J2401" i="1"/>
  <c r="I2401" i="1"/>
  <c r="H2401" i="1"/>
  <c r="G2401" i="1"/>
  <c r="F2401" i="1"/>
  <c r="E2401" i="1"/>
  <c r="D2401" i="1"/>
  <c r="C2401" i="1"/>
  <c r="M2400" i="1"/>
  <c r="K2400" i="1"/>
  <c r="J2400" i="1"/>
  <c r="I2400" i="1"/>
  <c r="H2400" i="1"/>
  <c r="G2400" i="1"/>
  <c r="F2400" i="1"/>
  <c r="E2400" i="1"/>
  <c r="D2400" i="1"/>
  <c r="C2400" i="1"/>
  <c r="M2399" i="1"/>
  <c r="K2399" i="1"/>
  <c r="J2399" i="1"/>
  <c r="I2399" i="1"/>
  <c r="H2399" i="1"/>
  <c r="G2399" i="1"/>
  <c r="F2399" i="1"/>
  <c r="E2399" i="1"/>
  <c r="D2399" i="1"/>
  <c r="C2399" i="1"/>
  <c r="M2398" i="1"/>
  <c r="K2398" i="1"/>
  <c r="J2398" i="1"/>
  <c r="I2398" i="1"/>
  <c r="H2398" i="1"/>
  <c r="G2398" i="1"/>
  <c r="F2398" i="1"/>
  <c r="E2398" i="1"/>
  <c r="D2398" i="1"/>
  <c r="C2398" i="1"/>
  <c r="M2397" i="1"/>
  <c r="K2397" i="1"/>
  <c r="J2397" i="1"/>
  <c r="I2397" i="1"/>
  <c r="H2397" i="1"/>
  <c r="G2397" i="1"/>
  <c r="F2397" i="1"/>
  <c r="E2397" i="1"/>
  <c r="D2397" i="1"/>
  <c r="C2397" i="1"/>
  <c r="M2396" i="1"/>
  <c r="K2396" i="1"/>
  <c r="J2396" i="1"/>
  <c r="I2396" i="1"/>
  <c r="H2396" i="1"/>
  <c r="G2396" i="1"/>
  <c r="F2396" i="1"/>
  <c r="E2396" i="1"/>
  <c r="D2396" i="1"/>
  <c r="C2396" i="1"/>
  <c r="M2395" i="1"/>
  <c r="K2395" i="1"/>
  <c r="J2395" i="1"/>
  <c r="I2395" i="1"/>
  <c r="H2395" i="1"/>
  <c r="G2395" i="1"/>
  <c r="F2395" i="1"/>
  <c r="E2395" i="1"/>
  <c r="D2395" i="1"/>
  <c r="C2395" i="1"/>
  <c r="M2394" i="1"/>
  <c r="K2394" i="1"/>
  <c r="J2394" i="1"/>
  <c r="I2394" i="1"/>
  <c r="H2394" i="1"/>
  <c r="G2394" i="1"/>
  <c r="F2394" i="1"/>
  <c r="E2394" i="1"/>
  <c r="D2394" i="1"/>
  <c r="C2394" i="1"/>
  <c r="M2393" i="1"/>
  <c r="K2393" i="1"/>
  <c r="J2393" i="1"/>
  <c r="I2393" i="1"/>
  <c r="H2393" i="1"/>
  <c r="G2393" i="1"/>
  <c r="F2393" i="1"/>
  <c r="E2393" i="1"/>
  <c r="D2393" i="1"/>
  <c r="C2393" i="1"/>
  <c r="M2392" i="1"/>
  <c r="K2392" i="1"/>
  <c r="J2392" i="1"/>
  <c r="I2392" i="1"/>
  <c r="H2392" i="1"/>
  <c r="G2392" i="1"/>
  <c r="F2392" i="1"/>
  <c r="E2392" i="1"/>
  <c r="D2392" i="1"/>
  <c r="C2392" i="1"/>
  <c r="M2391" i="1"/>
  <c r="K2391" i="1"/>
  <c r="J2391" i="1"/>
  <c r="I2391" i="1"/>
  <c r="H2391" i="1"/>
  <c r="G2391" i="1"/>
  <c r="F2391" i="1"/>
  <c r="E2391" i="1"/>
  <c r="D2391" i="1"/>
  <c r="C2391" i="1"/>
  <c r="M2390" i="1"/>
  <c r="K2390" i="1"/>
  <c r="J2390" i="1"/>
  <c r="I2390" i="1"/>
  <c r="H2390" i="1"/>
  <c r="G2390" i="1"/>
  <c r="F2390" i="1"/>
  <c r="E2390" i="1"/>
  <c r="D2390" i="1"/>
  <c r="C2390" i="1"/>
  <c r="M2389" i="1"/>
  <c r="K2389" i="1"/>
  <c r="J2389" i="1"/>
  <c r="I2389" i="1"/>
  <c r="H2389" i="1"/>
  <c r="G2389" i="1"/>
  <c r="F2389" i="1"/>
  <c r="E2389" i="1"/>
  <c r="D2389" i="1"/>
  <c r="C2389" i="1"/>
  <c r="M2388" i="1"/>
  <c r="K2388" i="1"/>
  <c r="J2388" i="1"/>
  <c r="I2388" i="1"/>
  <c r="H2388" i="1"/>
  <c r="G2388" i="1"/>
  <c r="F2388" i="1"/>
  <c r="E2388" i="1"/>
  <c r="D2388" i="1"/>
  <c r="C2388" i="1"/>
  <c r="M2387" i="1"/>
  <c r="K2387" i="1"/>
  <c r="J2387" i="1"/>
  <c r="I2387" i="1"/>
  <c r="H2387" i="1"/>
  <c r="G2387" i="1"/>
  <c r="F2387" i="1"/>
  <c r="E2387" i="1"/>
  <c r="D2387" i="1"/>
  <c r="C2387" i="1"/>
  <c r="M2386" i="1"/>
  <c r="K2386" i="1"/>
  <c r="J2386" i="1"/>
  <c r="I2386" i="1"/>
  <c r="H2386" i="1"/>
  <c r="G2386" i="1"/>
  <c r="F2386" i="1"/>
  <c r="E2386" i="1"/>
  <c r="D2386" i="1"/>
  <c r="C2386" i="1"/>
  <c r="M2385" i="1"/>
  <c r="K2385" i="1"/>
  <c r="J2385" i="1"/>
  <c r="I2385" i="1"/>
  <c r="H2385" i="1"/>
  <c r="G2385" i="1"/>
  <c r="F2385" i="1"/>
  <c r="E2385" i="1"/>
  <c r="D2385" i="1"/>
  <c r="C2385" i="1"/>
  <c r="M2384" i="1"/>
  <c r="K2384" i="1"/>
  <c r="J2384" i="1"/>
  <c r="I2384" i="1"/>
  <c r="H2384" i="1"/>
  <c r="G2384" i="1"/>
  <c r="F2384" i="1"/>
  <c r="E2384" i="1"/>
  <c r="D2384" i="1"/>
  <c r="C2384" i="1"/>
  <c r="M2383" i="1"/>
  <c r="K2383" i="1"/>
  <c r="J2383" i="1"/>
  <c r="I2383" i="1"/>
  <c r="H2383" i="1"/>
  <c r="G2383" i="1"/>
  <c r="F2383" i="1"/>
  <c r="E2383" i="1"/>
  <c r="D2383" i="1"/>
  <c r="C2383" i="1"/>
  <c r="M2382" i="1"/>
  <c r="K2382" i="1"/>
  <c r="J2382" i="1"/>
  <c r="I2382" i="1"/>
  <c r="H2382" i="1"/>
  <c r="G2382" i="1"/>
  <c r="F2382" i="1"/>
  <c r="E2382" i="1"/>
  <c r="D2382" i="1"/>
  <c r="C2382" i="1"/>
  <c r="M2381" i="1"/>
  <c r="K2381" i="1"/>
  <c r="J2381" i="1"/>
  <c r="I2381" i="1"/>
  <c r="H2381" i="1"/>
  <c r="G2381" i="1"/>
  <c r="F2381" i="1"/>
  <c r="E2381" i="1"/>
  <c r="D2381" i="1"/>
  <c r="C2381" i="1"/>
  <c r="M2380" i="1"/>
  <c r="K2380" i="1"/>
  <c r="J2380" i="1"/>
  <c r="I2380" i="1"/>
  <c r="H2380" i="1"/>
  <c r="G2380" i="1"/>
  <c r="F2380" i="1"/>
  <c r="E2380" i="1"/>
  <c r="D2380" i="1"/>
  <c r="C2380" i="1"/>
  <c r="M2379" i="1"/>
  <c r="K2379" i="1"/>
  <c r="J2379" i="1"/>
  <c r="I2379" i="1"/>
  <c r="H2379" i="1"/>
  <c r="G2379" i="1"/>
  <c r="F2379" i="1"/>
  <c r="E2379" i="1"/>
  <c r="D2379" i="1"/>
  <c r="C2379" i="1"/>
  <c r="M2378" i="1"/>
  <c r="K2378" i="1"/>
  <c r="J2378" i="1"/>
  <c r="I2378" i="1"/>
  <c r="H2378" i="1"/>
  <c r="G2378" i="1"/>
  <c r="F2378" i="1"/>
  <c r="E2378" i="1"/>
  <c r="D2378" i="1"/>
  <c r="C2378" i="1"/>
  <c r="M2377" i="1"/>
  <c r="K2377" i="1"/>
  <c r="J2377" i="1"/>
  <c r="I2377" i="1"/>
  <c r="H2377" i="1"/>
  <c r="G2377" i="1"/>
  <c r="F2377" i="1"/>
  <c r="E2377" i="1"/>
  <c r="D2377" i="1"/>
  <c r="C2377" i="1"/>
  <c r="M2376" i="1"/>
  <c r="K2376" i="1"/>
  <c r="J2376" i="1"/>
  <c r="I2376" i="1"/>
  <c r="H2376" i="1"/>
  <c r="G2376" i="1"/>
  <c r="F2376" i="1"/>
  <c r="E2376" i="1"/>
  <c r="D2376" i="1"/>
  <c r="C2376" i="1"/>
  <c r="M2375" i="1"/>
  <c r="K2375" i="1"/>
  <c r="J2375" i="1"/>
  <c r="I2375" i="1"/>
  <c r="H2375" i="1"/>
  <c r="G2375" i="1"/>
  <c r="F2375" i="1"/>
  <c r="E2375" i="1"/>
  <c r="D2375" i="1"/>
  <c r="C2375" i="1"/>
  <c r="M2374" i="1"/>
  <c r="K2374" i="1"/>
  <c r="J2374" i="1"/>
  <c r="I2374" i="1"/>
  <c r="H2374" i="1"/>
  <c r="G2374" i="1"/>
  <c r="F2374" i="1"/>
  <c r="E2374" i="1"/>
  <c r="D2374" i="1"/>
  <c r="C2374" i="1"/>
  <c r="M2373" i="1"/>
  <c r="K2373" i="1"/>
  <c r="J2373" i="1"/>
  <c r="I2373" i="1"/>
  <c r="H2373" i="1"/>
  <c r="G2373" i="1"/>
  <c r="F2373" i="1"/>
  <c r="E2373" i="1"/>
  <c r="D2373" i="1"/>
  <c r="C2373" i="1"/>
  <c r="M2372" i="1"/>
  <c r="K2372" i="1"/>
  <c r="J2372" i="1"/>
  <c r="I2372" i="1"/>
  <c r="H2372" i="1"/>
  <c r="G2372" i="1"/>
  <c r="F2372" i="1"/>
  <c r="E2372" i="1"/>
  <c r="D2372" i="1"/>
  <c r="C2372" i="1"/>
  <c r="M2371" i="1"/>
  <c r="K2371" i="1"/>
  <c r="J2371" i="1"/>
  <c r="I2371" i="1"/>
  <c r="H2371" i="1"/>
  <c r="G2371" i="1"/>
  <c r="F2371" i="1"/>
  <c r="E2371" i="1"/>
  <c r="D2371" i="1"/>
  <c r="C2371" i="1"/>
  <c r="M2370" i="1"/>
  <c r="K2370" i="1"/>
  <c r="J2370" i="1"/>
  <c r="I2370" i="1"/>
  <c r="H2370" i="1"/>
  <c r="G2370" i="1"/>
  <c r="F2370" i="1"/>
  <c r="E2370" i="1"/>
  <c r="D2370" i="1"/>
  <c r="C2370" i="1"/>
  <c r="M2369" i="1"/>
  <c r="K2369" i="1"/>
  <c r="J2369" i="1"/>
  <c r="I2369" i="1"/>
  <c r="H2369" i="1"/>
  <c r="G2369" i="1"/>
  <c r="F2369" i="1"/>
  <c r="E2369" i="1"/>
  <c r="D2369" i="1"/>
  <c r="C2369" i="1"/>
  <c r="M2368" i="1"/>
  <c r="K2368" i="1"/>
  <c r="J2368" i="1"/>
  <c r="I2368" i="1"/>
  <c r="H2368" i="1"/>
  <c r="G2368" i="1"/>
  <c r="F2368" i="1"/>
  <c r="E2368" i="1"/>
  <c r="D2368" i="1"/>
  <c r="C2368" i="1"/>
  <c r="M2367" i="1"/>
  <c r="K2367" i="1"/>
  <c r="J2367" i="1"/>
  <c r="I2367" i="1"/>
  <c r="H2367" i="1"/>
  <c r="G2367" i="1"/>
  <c r="F2367" i="1"/>
  <c r="E2367" i="1"/>
  <c r="D2367" i="1"/>
  <c r="C2367" i="1"/>
  <c r="M2366" i="1"/>
  <c r="K2366" i="1"/>
  <c r="J2366" i="1"/>
  <c r="I2366" i="1"/>
  <c r="H2366" i="1"/>
  <c r="G2366" i="1"/>
  <c r="F2366" i="1"/>
  <c r="E2366" i="1"/>
  <c r="D2366" i="1"/>
  <c r="C2366" i="1"/>
  <c r="M2365" i="1"/>
  <c r="K2365" i="1"/>
  <c r="J2365" i="1"/>
  <c r="I2365" i="1"/>
  <c r="H2365" i="1"/>
  <c r="G2365" i="1"/>
  <c r="F2365" i="1"/>
  <c r="E2365" i="1"/>
  <c r="D2365" i="1"/>
  <c r="C2365" i="1"/>
  <c r="M2364" i="1"/>
  <c r="K2364" i="1"/>
  <c r="J2364" i="1"/>
  <c r="I2364" i="1"/>
  <c r="H2364" i="1"/>
  <c r="G2364" i="1"/>
  <c r="F2364" i="1"/>
  <c r="E2364" i="1"/>
  <c r="D2364" i="1"/>
  <c r="C2364" i="1"/>
  <c r="M2363" i="1"/>
  <c r="K2363" i="1"/>
  <c r="J2363" i="1"/>
  <c r="I2363" i="1"/>
  <c r="H2363" i="1"/>
  <c r="G2363" i="1"/>
  <c r="F2363" i="1"/>
  <c r="E2363" i="1"/>
  <c r="D2363" i="1"/>
  <c r="C2363" i="1"/>
  <c r="M2362" i="1"/>
  <c r="K2362" i="1"/>
  <c r="J2362" i="1"/>
  <c r="I2362" i="1"/>
  <c r="H2362" i="1"/>
  <c r="G2362" i="1"/>
  <c r="F2362" i="1"/>
  <c r="E2362" i="1"/>
  <c r="D2362" i="1"/>
  <c r="C2362" i="1"/>
  <c r="M2361" i="1"/>
  <c r="K2361" i="1"/>
  <c r="J2361" i="1"/>
  <c r="I2361" i="1"/>
  <c r="H2361" i="1"/>
  <c r="G2361" i="1"/>
  <c r="F2361" i="1"/>
  <c r="E2361" i="1"/>
  <c r="D2361" i="1"/>
  <c r="C2361" i="1"/>
  <c r="M2360" i="1"/>
  <c r="K2360" i="1"/>
  <c r="J2360" i="1"/>
  <c r="I2360" i="1"/>
  <c r="H2360" i="1"/>
  <c r="G2360" i="1"/>
  <c r="F2360" i="1"/>
  <c r="E2360" i="1"/>
  <c r="D2360" i="1"/>
  <c r="C2360" i="1"/>
  <c r="M2359" i="1"/>
  <c r="K2359" i="1"/>
  <c r="J2359" i="1"/>
  <c r="I2359" i="1"/>
  <c r="H2359" i="1"/>
  <c r="G2359" i="1"/>
  <c r="F2359" i="1"/>
  <c r="E2359" i="1"/>
  <c r="D2359" i="1"/>
  <c r="C2359" i="1"/>
  <c r="M2358" i="1"/>
  <c r="K2358" i="1"/>
  <c r="J2358" i="1"/>
  <c r="I2358" i="1"/>
  <c r="H2358" i="1"/>
  <c r="G2358" i="1"/>
  <c r="F2358" i="1"/>
  <c r="E2358" i="1"/>
  <c r="D2358" i="1"/>
  <c r="C2358" i="1"/>
  <c r="M2357" i="1"/>
  <c r="K2357" i="1"/>
  <c r="J2357" i="1"/>
  <c r="I2357" i="1"/>
  <c r="H2357" i="1"/>
  <c r="G2357" i="1"/>
  <c r="F2357" i="1"/>
  <c r="E2357" i="1"/>
  <c r="D2357" i="1"/>
  <c r="C2357" i="1"/>
  <c r="M2356" i="1"/>
  <c r="K2356" i="1"/>
  <c r="J2356" i="1"/>
  <c r="I2356" i="1"/>
  <c r="H2356" i="1"/>
  <c r="G2356" i="1"/>
  <c r="F2356" i="1"/>
  <c r="E2356" i="1"/>
  <c r="D2356" i="1"/>
  <c r="C2356" i="1"/>
  <c r="M2355" i="1"/>
  <c r="K2355" i="1"/>
  <c r="J2355" i="1"/>
  <c r="I2355" i="1"/>
  <c r="H2355" i="1"/>
  <c r="G2355" i="1"/>
  <c r="F2355" i="1"/>
  <c r="E2355" i="1"/>
  <c r="D2355" i="1"/>
  <c r="C2355" i="1"/>
  <c r="M2354" i="1"/>
  <c r="K2354" i="1"/>
  <c r="J2354" i="1"/>
  <c r="I2354" i="1"/>
  <c r="H2354" i="1"/>
  <c r="G2354" i="1"/>
  <c r="F2354" i="1"/>
  <c r="E2354" i="1"/>
  <c r="D2354" i="1"/>
  <c r="C2354" i="1"/>
  <c r="M2353" i="1"/>
  <c r="K2353" i="1"/>
  <c r="J2353" i="1"/>
  <c r="I2353" i="1"/>
  <c r="H2353" i="1"/>
  <c r="G2353" i="1"/>
  <c r="F2353" i="1"/>
  <c r="E2353" i="1"/>
  <c r="D2353" i="1"/>
  <c r="C2353" i="1"/>
  <c r="M2352" i="1"/>
  <c r="K2352" i="1"/>
  <c r="J2352" i="1"/>
  <c r="I2352" i="1"/>
  <c r="H2352" i="1"/>
  <c r="G2352" i="1"/>
  <c r="F2352" i="1"/>
  <c r="E2352" i="1"/>
  <c r="D2352" i="1"/>
  <c r="C2352" i="1"/>
  <c r="M2351" i="1"/>
  <c r="K2351" i="1"/>
  <c r="J2351" i="1"/>
  <c r="I2351" i="1"/>
  <c r="H2351" i="1"/>
  <c r="G2351" i="1"/>
  <c r="F2351" i="1"/>
  <c r="E2351" i="1"/>
  <c r="D2351" i="1"/>
  <c r="C2351" i="1"/>
  <c r="M2350" i="1"/>
  <c r="K2350" i="1"/>
  <c r="J2350" i="1"/>
  <c r="I2350" i="1"/>
  <c r="H2350" i="1"/>
  <c r="G2350" i="1"/>
  <c r="F2350" i="1"/>
  <c r="E2350" i="1"/>
  <c r="D2350" i="1"/>
  <c r="C2350" i="1"/>
  <c r="M2349" i="1"/>
  <c r="K2349" i="1"/>
  <c r="J2349" i="1"/>
  <c r="I2349" i="1"/>
  <c r="H2349" i="1"/>
  <c r="G2349" i="1"/>
  <c r="F2349" i="1"/>
  <c r="E2349" i="1"/>
  <c r="D2349" i="1"/>
  <c r="C2349" i="1"/>
  <c r="M2348" i="1"/>
  <c r="K2348" i="1"/>
  <c r="J2348" i="1"/>
  <c r="I2348" i="1"/>
  <c r="H2348" i="1"/>
  <c r="G2348" i="1"/>
  <c r="F2348" i="1"/>
  <c r="E2348" i="1"/>
  <c r="D2348" i="1"/>
  <c r="C2348" i="1"/>
  <c r="M2347" i="1"/>
  <c r="K2347" i="1"/>
  <c r="J2347" i="1"/>
  <c r="I2347" i="1"/>
  <c r="H2347" i="1"/>
  <c r="G2347" i="1"/>
  <c r="F2347" i="1"/>
  <c r="E2347" i="1"/>
  <c r="D2347" i="1"/>
  <c r="C2347" i="1"/>
  <c r="M2346" i="1"/>
  <c r="K2346" i="1"/>
  <c r="J2346" i="1"/>
  <c r="I2346" i="1"/>
  <c r="H2346" i="1"/>
  <c r="G2346" i="1"/>
  <c r="F2346" i="1"/>
  <c r="E2346" i="1"/>
  <c r="D2346" i="1"/>
  <c r="C2346" i="1"/>
  <c r="M2345" i="1"/>
  <c r="K2345" i="1"/>
  <c r="J2345" i="1"/>
  <c r="I2345" i="1"/>
  <c r="H2345" i="1"/>
  <c r="G2345" i="1"/>
  <c r="F2345" i="1"/>
  <c r="E2345" i="1"/>
  <c r="D2345" i="1"/>
  <c r="C2345" i="1"/>
  <c r="M2344" i="1"/>
  <c r="K2344" i="1"/>
  <c r="J2344" i="1"/>
  <c r="I2344" i="1"/>
  <c r="H2344" i="1"/>
  <c r="G2344" i="1"/>
  <c r="F2344" i="1"/>
  <c r="E2344" i="1"/>
  <c r="D2344" i="1"/>
  <c r="C2344" i="1"/>
  <c r="M2343" i="1"/>
  <c r="K2343" i="1"/>
  <c r="J2343" i="1"/>
  <c r="I2343" i="1"/>
  <c r="H2343" i="1"/>
  <c r="G2343" i="1"/>
  <c r="F2343" i="1"/>
  <c r="E2343" i="1"/>
  <c r="D2343" i="1"/>
  <c r="C2343" i="1"/>
  <c r="M2342" i="1"/>
  <c r="K2342" i="1"/>
  <c r="J2342" i="1"/>
  <c r="I2342" i="1"/>
  <c r="H2342" i="1"/>
  <c r="G2342" i="1"/>
  <c r="F2342" i="1"/>
  <c r="E2342" i="1"/>
  <c r="D2342" i="1"/>
  <c r="C2342" i="1"/>
  <c r="M2341" i="1"/>
  <c r="K2341" i="1"/>
  <c r="J2341" i="1"/>
  <c r="I2341" i="1"/>
  <c r="H2341" i="1"/>
  <c r="G2341" i="1"/>
  <c r="F2341" i="1"/>
  <c r="E2341" i="1"/>
  <c r="D2341" i="1"/>
  <c r="C2341" i="1"/>
  <c r="M2340" i="1"/>
  <c r="K2340" i="1"/>
  <c r="J2340" i="1"/>
  <c r="I2340" i="1"/>
  <c r="H2340" i="1"/>
  <c r="G2340" i="1"/>
  <c r="F2340" i="1"/>
  <c r="E2340" i="1"/>
  <c r="D2340" i="1"/>
  <c r="C2340" i="1"/>
  <c r="M2339" i="1"/>
  <c r="K2339" i="1"/>
  <c r="J2339" i="1"/>
  <c r="I2339" i="1"/>
  <c r="H2339" i="1"/>
  <c r="G2339" i="1"/>
  <c r="F2339" i="1"/>
  <c r="E2339" i="1"/>
  <c r="D2339" i="1"/>
  <c r="C2339" i="1"/>
  <c r="M2338" i="1"/>
  <c r="K2338" i="1"/>
  <c r="J2338" i="1"/>
  <c r="I2338" i="1"/>
  <c r="H2338" i="1"/>
  <c r="G2338" i="1"/>
  <c r="F2338" i="1"/>
  <c r="E2338" i="1"/>
  <c r="D2338" i="1"/>
  <c r="C2338" i="1"/>
  <c r="M2337" i="1"/>
  <c r="K2337" i="1"/>
  <c r="J2337" i="1"/>
  <c r="I2337" i="1"/>
  <c r="H2337" i="1"/>
  <c r="G2337" i="1"/>
  <c r="F2337" i="1"/>
  <c r="E2337" i="1"/>
  <c r="D2337" i="1"/>
  <c r="C2337" i="1"/>
  <c r="M2336" i="1"/>
  <c r="K2336" i="1"/>
  <c r="J2336" i="1"/>
  <c r="I2336" i="1"/>
  <c r="H2336" i="1"/>
  <c r="G2336" i="1"/>
  <c r="F2336" i="1"/>
  <c r="E2336" i="1"/>
  <c r="D2336" i="1"/>
  <c r="C2336" i="1"/>
  <c r="M2335" i="1"/>
  <c r="K2335" i="1"/>
  <c r="J2335" i="1"/>
  <c r="I2335" i="1"/>
  <c r="H2335" i="1"/>
  <c r="G2335" i="1"/>
  <c r="F2335" i="1"/>
  <c r="E2335" i="1"/>
  <c r="D2335" i="1"/>
  <c r="C2335" i="1"/>
  <c r="M2334" i="1"/>
  <c r="K2334" i="1"/>
  <c r="J2334" i="1"/>
  <c r="I2334" i="1"/>
  <c r="H2334" i="1"/>
  <c r="G2334" i="1"/>
  <c r="F2334" i="1"/>
  <c r="E2334" i="1"/>
  <c r="D2334" i="1"/>
  <c r="C2334" i="1"/>
  <c r="M2333" i="1"/>
  <c r="K2333" i="1"/>
  <c r="J2333" i="1"/>
  <c r="I2333" i="1"/>
  <c r="H2333" i="1"/>
  <c r="G2333" i="1"/>
  <c r="F2333" i="1"/>
  <c r="E2333" i="1"/>
  <c r="D2333" i="1"/>
  <c r="C2333" i="1"/>
  <c r="M2332" i="1"/>
  <c r="K2332" i="1"/>
  <c r="J2332" i="1"/>
  <c r="I2332" i="1"/>
  <c r="H2332" i="1"/>
  <c r="G2332" i="1"/>
  <c r="F2332" i="1"/>
  <c r="E2332" i="1"/>
  <c r="D2332" i="1"/>
  <c r="C2332" i="1"/>
  <c r="M2331" i="1"/>
  <c r="K2331" i="1"/>
  <c r="J2331" i="1"/>
  <c r="I2331" i="1"/>
  <c r="H2331" i="1"/>
  <c r="G2331" i="1"/>
  <c r="F2331" i="1"/>
  <c r="E2331" i="1"/>
  <c r="D2331" i="1"/>
  <c r="C2331" i="1"/>
  <c r="M2330" i="1"/>
  <c r="K2330" i="1"/>
  <c r="J2330" i="1"/>
  <c r="I2330" i="1"/>
  <c r="H2330" i="1"/>
  <c r="G2330" i="1"/>
  <c r="F2330" i="1"/>
  <c r="E2330" i="1"/>
  <c r="D2330" i="1"/>
  <c r="C2330" i="1"/>
  <c r="M2329" i="1"/>
  <c r="K2329" i="1"/>
  <c r="J2329" i="1"/>
  <c r="I2329" i="1"/>
  <c r="H2329" i="1"/>
  <c r="G2329" i="1"/>
  <c r="F2329" i="1"/>
  <c r="E2329" i="1"/>
  <c r="D2329" i="1"/>
  <c r="C2329" i="1"/>
  <c r="M2328" i="1"/>
  <c r="K2328" i="1"/>
  <c r="J2328" i="1"/>
  <c r="I2328" i="1"/>
  <c r="H2328" i="1"/>
  <c r="G2328" i="1"/>
  <c r="F2328" i="1"/>
  <c r="E2328" i="1"/>
  <c r="D2328" i="1"/>
  <c r="C2328" i="1"/>
  <c r="M2327" i="1"/>
  <c r="K2327" i="1"/>
  <c r="J2327" i="1"/>
  <c r="I2327" i="1"/>
  <c r="H2327" i="1"/>
  <c r="G2327" i="1"/>
  <c r="F2327" i="1"/>
  <c r="E2327" i="1"/>
  <c r="D2327" i="1"/>
  <c r="C2327" i="1"/>
  <c r="M2326" i="1"/>
  <c r="K2326" i="1"/>
  <c r="J2326" i="1"/>
  <c r="I2326" i="1"/>
  <c r="H2326" i="1"/>
  <c r="G2326" i="1"/>
  <c r="F2326" i="1"/>
  <c r="E2326" i="1"/>
  <c r="D2326" i="1"/>
  <c r="C2326" i="1"/>
  <c r="M2325" i="1"/>
  <c r="K2325" i="1"/>
  <c r="J2325" i="1"/>
  <c r="I2325" i="1"/>
  <c r="H2325" i="1"/>
  <c r="G2325" i="1"/>
  <c r="F2325" i="1"/>
  <c r="E2325" i="1"/>
  <c r="D2325" i="1"/>
  <c r="C2325" i="1"/>
  <c r="M2324" i="1"/>
  <c r="K2324" i="1"/>
  <c r="J2324" i="1"/>
  <c r="I2324" i="1"/>
  <c r="H2324" i="1"/>
  <c r="G2324" i="1"/>
  <c r="F2324" i="1"/>
  <c r="E2324" i="1"/>
  <c r="D2324" i="1"/>
  <c r="C2324" i="1"/>
  <c r="M2323" i="1"/>
  <c r="K2323" i="1"/>
  <c r="J2323" i="1"/>
  <c r="I2323" i="1"/>
  <c r="H2323" i="1"/>
  <c r="G2323" i="1"/>
  <c r="F2323" i="1"/>
  <c r="E2323" i="1"/>
  <c r="D2323" i="1"/>
  <c r="C2323" i="1"/>
  <c r="M2322" i="1"/>
  <c r="K2322" i="1"/>
  <c r="J2322" i="1"/>
  <c r="I2322" i="1"/>
  <c r="H2322" i="1"/>
  <c r="G2322" i="1"/>
  <c r="F2322" i="1"/>
  <c r="E2322" i="1"/>
  <c r="D2322" i="1"/>
  <c r="C2322" i="1"/>
  <c r="M2321" i="1"/>
  <c r="K2321" i="1"/>
  <c r="J2321" i="1"/>
  <c r="I2321" i="1"/>
  <c r="H2321" i="1"/>
  <c r="G2321" i="1"/>
  <c r="F2321" i="1"/>
  <c r="E2321" i="1"/>
  <c r="D2321" i="1"/>
  <c r="C2321" i="1"/>
  <c r="M2320" i="1"/>
  <c r="K2320" i="1"/>
  <c r="J2320" i="1"/>
  <c r="I2320" i="1"/>
  <c r="H2320" i="1"/>
  <c r="G2320" i="1"/>
  <c r="F2320" i="1"/>
  <c r="E2320" i="1"/>
  <c r="D2320" i="1"/>
  <c r="C2320" i="1"/>
  <c r="M2319" i="1"/>
  <c r="K2319" i="1"/>
  <c r="J2319" i="1"/>
  <c r="I2319" i="1"/>
  <c r="H2319" i="1"/>
  <c r="G2319" i="1"/>
  <c r="F2319" i="1"/>
  <c r="E2319" i="1"/>
  <c r="D2319" i="1"/>
  <c r="C2319" i="1"/>
  <c r="M2318" i="1"/>
  <c r="K2318" i="1"/>
  <c r="J2318" i="1"/>
  <c r="I2318" i="1"/>
  <c r="H2318" i="1"/>
  <c r="G2318" i="1"/>
  <c r="F2318" i="1"/>
  <c r="E2318" i="1"/>
  <c r="D2318" i="1"/>
  <c r="C2318" i="1"/>
  <c r="M2317" i="1"/>
  <c r="K2317" i="1"/>
  <c r="J2317" i="1"/>
  <c r="I2317" i="1"/>
  <c r="H2317" i="1"/>
  <c r="G2317" i="1"/>
  <c r="F2317" i="1"/>
  <c r="E2317" i="1"/>
  <c r="D2317" i="1"/>
  <c r="C2317" i="1"/>
  <c r="M2316" i="1"/>
  <c r="K2316" i="1"/>
  <c r="J2316" i="1"/>
  <c r="I2316" i="1"/>
  <c r="H2316" i="1"/>
  <c r="G2316" i="1"/>
  <c r="F2316" i="1"/>
  <c r="E2316" i="1"/>
  <c r="D2316" i="1"/>
  <c r="C2316" i="1"/>
  <c r="M2315" i="1"/>
  <c r="K2315" i="1"/>
  <c r="J2315" i="1"/>
  <c r="I2315" i="1"/>
  <c r="H2315" i="1"/>
  <c r="G2315" i="1"/>
  <c r="F2315" i="1"/>
  <c r="E2315" i="1"/>
  <c r="D2315" i="1"/>
  <c r="C2315" i="1"/>
  <c r="M2314" i="1"/>
  <c r="K2314" i="1"/>
  <c r="J2314" i="1"/>
  <c r="I2314" i="1"/>
  <c r="H2314" i="1"/>
  <c r="G2314" i="1"/>
  <c r="F2314" i="1"/>
  <c r="E2314" i="1"/>
  <c r="D2314" i="1"/>
  <c r="C2314" i="1"/>
  <c r="M2313" i="1"/>
  <c r="K2313" i="1"/>
  <c r="J2313" i="1"/>
  <c r="I2313" i="1"/>
  <c r="H2313" i="1"/>
  <c r="G2313" i="1"/>
  <c r="F2313" i="1"/>
  <c r="E2313" i="1"/>
  <c r="D2313" i="1"/>
  <c r="C2313" i="1"/>
  <c r="M2312" i="1"/>
  <c r="K2312" i="1"/>
  <c r="J2312" i="1"/>
  <c r="I2312" i="1"/>
  <c r="H2312" i="1"/>
  <c r="G2312" i="1"/>
  <c r="F2312" i="1"/>
  <c r="E2312" i="1"/>
  <c r="D2312" i="1"/>
  <c r="C2312" i="1"/>
  <c r="M2311" i="1"/>
  <c r="K2311" i="1"/>
  <c r="J2311" i="1"/>
  <c r="I2311" i="1"/>
  <c r="H2311" i="1"/>
  <c r="G2311" i="1"/>
  <c r="F2311" i="1"/>
  <c r="E2311" i="1"/>
  <c r="D2311" i="1"/>
  <c r="C2311" i="1"/>
  <c r="M2310" i="1"/>
  <c r="K2310" i="1"/>
  <c r="J2310" i="1"/>
  <c r="I2310" i="1"/>
  <c r="H2310" i="1"/>
  <c r="G2310" i="1"/>
  <c r="F2310" i="1"/>
  <c r="E2310" i="1"/>
  <c r="D2310" i="1"/>
  <c r="C2310" i="1"/>
  <c r="M2309" i="1"/>
  <c r="K2309" i="1"/>
  <c r="J2309" i="1"/>
  <c r="I2309" i="1"/>
  <c r="H2309" i="1"/>
  <c r="G2309" i="1"/>
  <c r="F2309" i="1"/>
  <c r="E2309" i="1"/>
  <c r="D2309" i="1"/>
  <c r="C2309" i="1"/>
  <c r="M2308" i="1"/>
  <c r="K2308" i="1"/>
  <c r="J2308" i="1"/>
  <c r="I2308" i="1"/>
  <c r="H2308" i="1"/>
  <c r="G2308" i="1"/>
  <c r="F2308" i="1"/>
  <c r="E2308" i="1"/>
  <c r="D2308" i="1"/>
  <c r="C2308" i="1"/>
  <c r="M2307" i="1"/>
  <c r="K2307" i="1"/>
  <c r="J2307" i="1"/>
  <c r="I2307" i="1"/>
  <c r="H2307" i="1"/>
  <c r="G2307" i="1"/>
  <c r="F2307" i="1"/>
  <c r="E2307" i="1"/>
  <c r="D2307" i="1"/>
  <c r="C2307" i="1"/>
  <c r="M2306" i="1"/>
  <c r="K2306" i="1"/>
  <c r="J2306" i="1"/>
  <c r="I2306" i="1"/>
  <c r="H2306" i="1"/>
  <c r="G2306" i="1"/>
  <c r="F2306" i="1"/>
  <c r="E2306" i="1"/>
  <c r="D2306" i="1"/>
  <c r="C2306" i="1"/>
  <c r="M2305" i="1"/>
  <c r="K2305" i="1"/>
  <c r="J2305" i="1"/>
  <c r="I2305" i="1"/>
  <c r="H2305" i="1"/>
  <c r="G2305" i="1"/>
  <c r="F2305" i="1"/>
  <c r="E2305" i="1"/>
  <c r="D2305" i="1"/>
  <c r="C2305" i="1"/>
  <c r="M2304" i="1"/>
  <c r="K2304" i="1"/>
  <c r="J2304" i="1"/>
  <c r="I2304" i="1"/>
  <c r="H2304" i="1"/>
  <c r="G2304" i="1"/>
  <c r="F2304" i="1"/>
  <c r="E2304" i="1"/>
  <c r="D2304" i="1"/>
  <c r="C2304" i="1"/>
  <c r="M2303" i="1"/>
  <c r="K2303" i="1"/>
  <c r="J2303" i="1"/>
  <c r="I2303" i="1"/>
  <c r="H2303" i="1"/>
  <c r="G2303" i="1"/>
  <c r="F2303" i="1"/>
  <c r="E2303" i="1"/>
  <c r="D2303" i="1"/>
  <c r="C2303" i="1"/>
  <c r="M2302" i="1"/>
  <c r="K2302" i="1"/>
  <c r="J2302" i="1"/>
  <c r="I2302" i="1"/>
  <c r="H2302" i="1"/>
  <c r="G2302" i="1"/>
  <c r="F2302" i="1"/>
  <c r="E2302" i="1"/>
  <c r="D2302" i="1"/>
  <c r="C2302" i="1"/>
  <c r="M2301" i="1"/>
  <c r="K2301" i="1"/>
  <c r="J2301" i="1"/>
  <c r="I2301" i="1"/>
  <c r="H2301" i="1"/>
  <c r="G2301" i="1"/>
  <c r="F2301" i="1"/>
  <c r="E2301" i="1"/>
  <c r="D2301" i="1"/>
  <c r="C2301" i="1"/>
  <c r="M2300" i="1"/>
  <c r="K2300" i="1"/>
  <c r="J2300" i="1"/>
  <c r="I2300" i="1"/>
  <c r="H2300" i="1"/>
  <c r="G2300" i="1"/>
  <c r="F2300" i="1"/>
  <c r="E2300" i="1"/>
  <c r="D2300" i="1"/>
  <c r="C2300" i="1"/>
  <c r="M2299" i="1"/>
  <c r="K2299" i="1"/>
  <c r="J2299" i="1"/>
  <c r="I2299" i="1"/>
  <c r="H2299" i="1"/>
  <c r="G2299" i="1"/>
  <c r="F2299" i="1"/>
  <c r="E2299" i="1"/>
  <c r="D2299" i="1"/>
  <c r="C2299" i="1"/>
  <c r="M2298" i="1"/>
  <c r="K2298" i="1"/>
  <c r="J2298" i="1"/>
  <c r="I2298" i="1"/>
  <c r="H2298" i="1"/>
  <c r="G2298" i="1"/>
  <c r="F2298" i="1"/>
  <c r="E2298" i="1"/>
  <c r="D2298" i="1"/>
  <c r="C2298" i="1"/>
  <c r="M2297" i="1"/>
  <c r="K2297" i="1"/>
  <c r="J2297" i="1"/>
  <c r="I2297" i="1"/>
  <c r="H2297" i="1"/>
  <c r="G2297" i="1"/>
  <c r="F2297" i="1"/>
  <c r="E2297" i="1"/>
  <c r="D2297" i="1"/>
  <c r="C2297" i="1"/>
  <c r="M2296" i="1"/>
  <c r="K2296" i="1"/>
  <c r="J2296" i="1"/>
  <c r="I2296" i="1"/>
  <c r="H2296" i="1"/>
  <c r="G2296" i="1"/>
  <c r="F2296" i="1"/>
  <c r="E2296" i="1"/>
  <c r="D2296" i="1"/>
  <c r="C2296" i="1"/>
  <c r="M2295" i="1"/>
  <c r="K2295" i="1"/>
  <c r="J2295" i="1"/>
  <c r="I2295" i="1"/>
  <c r="H2295" i="1"/>
  <c r="G2295" i="1"/>
  <c r="F2295" i="1"/>
  <c r="E2295" i="1"/>
  <c r="D2295" i="1"/>
  <c r="C2295" i="1"/>
  <c r="M2294" i="1"/>
  <c r="K2294" i="1"/>
  <c r="J2294" i="1"/>
  <c r="I2294" i="1"/>
  <c r="H2294" i="1"/>
  <c r="G2294" i="1"/>
  <c r="F2294" i="1"/>
  <c r="E2294" i="1"/>
  <c r="D2294" i="1"/>
  <c r="C2294" i="1"/>
  <c r="M2293" i="1"/>
  <c r="K2293" i="1"/>
  <c r="J2293" i="1"/>
  <c r="I2293" i="1"/>
  <c r="H2293" i="1"/>
  <c r="G2293" i="1"/>
  <c r="F2293" i="1"/>
  <c r="E2293" i="1"/>
  <c r="D2293" i="1"/>
  <c r="C2293" i="1"/>
  <c r="M2292" i="1"/>
  <c r="K2292" i="1"/>
  <c r="J2292" i="1"/>
  <c r="I2292" i="1"/>
  <c r="H2292" i="1"/>
  <c r="G2292" i="1"/>
  <c r="F2292" i="1"/>
  <c r="E2292" i="1"/>
  <c r="D2292" i="1"/>
  <c r="C2292" i="1"/>
  <c r="M2291" i="1"/>
  <c r="K2291" i="1"/>
  <c r="J2291" i="1"/>
  <c r="I2291" i="1"/>
  <c r="H2291" i="1"/>
  <c r="G2291" i="1"/>
  <c r="F2291" i="1"/>
  <c r="E2291" i="1"/>
  <c r="D2291" i="1"/>
  <c r="C2291" i="1"/>
  <c r="M2290" i="1"/>
  <c r="K2290" i="1"/>
  <c r="J2290" i="1"/>
  <c r="I2290" i="1"/>
  <c r="H2290" i="1"/>
  <c r="G2290" i="1"/>
  <c r="F2290" i="1"/>
  <c r="E2290" i="1"/>
  <c r="D2290" i="1"/>
  <c r="C2290" i="1"/>
  <c r="M2289" i="1"/>
  <c r="K2289" i="1"/>
  <c r="J2289" i="1"/>
  <c r="I2289" i="1"/>
  <c r="H2289" i="1"/>
  <c r="G2289" i="1"/>
  <c r="F2289" i="1"/>
  <c r="E2289" i="1"/>
  <c r="D2289" i="1"/>
  <c r="C2289" i="1"/>
  <c r="M2288" i="1"/>
  <c r="K2288" i="1"/>
  <c r="J2288" i="1"/>
  <c r="I2288" i="1"/>
  <c r="H2288" i="1"/>
  <c r="G2288" i="1"/>
  <c r="F2288" i="1"/>
  <c r="E2288" i="1"/>
  <c r="D2288" i="1"/>
  <c r="C2288" i="1"/>
  <c r="M2287" i="1"/>
  <c r="K2287" i="1"/>
  <c r="J2287" i="1"/>
  <c r="I2287" i="1"/>
  <c r="H2287" i="1"/>
  <c r="G2287" i="1"/>
  <c r="F2287" i="1"/>
  <c r="E2287" i="1"/>
  <c r="D2287" i="1"/>
  <c r="C2287" i="1"/>
  <c r="M2286" i="1"/>
  <c r="K2286" i="1"/>
  <c r="J2286" i="1"/>
  <c r="I2286" i="1"/>
  <c r="H2286" i="1"/>
  <c r="G2286" i="1"/>
  <c r="F2286" i="1"/>
  <c r="E2286" i="1"/>
  <c r="D2286" i="1"/>
  <c r="C2286" i="1"/>
  <c r="M2285" i="1"/>
  <c r="K2285" i="1"/>
  <c r="J2285" i="1"/>
  <c r="I2285" i="1"/>
  <c r="H2285" i="1"/>
  <c r="G2285" i="1"/>
  <c r="F2285" i="1"/>
  <c r="E2285" i="1"/>
  <c r="D2285" i="1"/>
  <c r="C2285" i="1"/>
  <c r="M2284" i="1"/>
  <c r="K2284" i="1"/>
  <c r="J2284" i="1"/>
  <c r="I2284" i="1"/>
  <c r="H2284" i="1"/>
  <c r="G2284" i="1"/>
  <c r="F2284" i="1"/>
  <c r="E2284" i="1"/>
  <c r="D2284" i="1"/>
  <c r="C2284" i="1"/>
  <c r="M2283" i="1"/>
  <c r="K2283" i="1"/>
  <c r="J2283" i="1"/>
  <c r="I2283" i="1"/>
  <c r="H2283" i="1"/>
  <c r="G2283" i="1"/>
  <c r="F2283" i="1"/>
  <c r="E2283" i="1"/>
  <c r="D2283" i="1"/>
  <c r="C2283" i="1"/>
  <c r="M2282" i="1"/>
  <c r="K2282" i="1"/>
  <c r="J2282" i="1"/>
  <c r="I2282" i="1"/>
  <c r="H2282" i="1"/>
  <c r="G2282" i="1"/>
  <c r="F2282" i="1"/>
  <c r="E2282" i="1"/>
  <c r="D2282" i="1"/>
  <c r="C2282" i="1"/>
  <c r="M2281" i="1"/>
  <c r="K2281" i="1"/>
  <c r="J2281" i="1"/>
  <c r="I2281" i="1"/>
  <c r="H2281" i="1"/>
  <c r="G2281" i="1"/>
  <c r="F2281" i="1"/>
  <c r="E2281" i="1"/>
  <c r="D2281" i="1"/>
  <c r="C2281" i="1"/>
  <c r="M2280" i="1"/>
  <c r="K2280" i="1"/>
  <c r="J2280" i="1"/>
  <c r="I2280" i="1"/>
  <c r="H2280" i="1"/>
  <c r="G2280" i="1"/>
  <c r="F2280" i="1"/>
  <c r="E2280" i="1"/>
  <c r="D2280" i="1"/>
  <c r="C2280" i="1"/>
  <c r="M2279" i="1"/>
  <c r="K2279" i="1"/>
  <c r="J2279" i="1"/>
  <c r="I2279" i="1"/>
  <c r="H2279" i="1"/>
  <c r="G2279" i="1"/>
  <c r="F2279" i="1"/>
  <c r="E2279" i="1"/>
  <c r="D2279" i="1"/>
  <c r="C2279" i="1"/>
  <c r="M2278" i="1"/>
  <c r="K2278" i="1"/>
  <c r="J2278" i="1"/>
  <c r="I2278" i="1"/>
  <c r="H2278" i="1"/>
  <c r="G2278" i="1"/>
  <c r="F2278" i="1"/>
  <c r="E2278" i="1"/>
  <c r="D2278" i="1"/>
  <c r="C2278" i="1"/>
  <c r="M2277" i="1"/>
  <c r="K2277" i="1"/>
  <c r="J2277" i="1"/>
  <c r="I2277" i="1"/>
  <c r="H2277" i="1"/>
  <c r="G2277" i="1"/>
  <c r="F2277" i="1"/>
  <c r="E2277" i="1"/>
  <c r="D2277" i="1"/>
  <c r="C2277" i="1"/>
  <c r="M2276" i="1"/>
  <c r="K2276" i="1"/>
  <c r="J2276" i="1"/>
  <c r="I2276" i="1"/>
  <c r="H2276" i="1"/>
  <c r="G2276" i="1"/>
  <c r="F2276" i="1"/>
  <c r="E2276" i="1"/>
  <c r="D2276" i="1"/>
  <c r="C2276" i="1"/>
  <c r="M2275" i="1"/>
  <c r="K2275" i="1"/>
  <c r="J2275" i="1"/>
  <c r="I2275" i="1"/>
  <c r="H2275" i="1"/>
  <c r="G2275" i="1"/>
  <c r="F2275" i="1"/>
  <c r="E2275" i="1"/>
  <c r="D2275" i="1"/>
  <c r="C2275" i="1"/>
  <c r="M2274" i="1"/>
  <c r="K2274" i="1"/>
  <c r="J2274" i="1"/>
  <c r="I2274" i="1"/>
  <c r="H2274" i="1"/>
  <c r="G2274" i="1"/>
  <c r="F2274" i="1"/>
  <c r="E2274" i="1"/>
  <c r="D2274" i="1"/>
  <c r="C2274" i="1"/>
  <c r="M2273" i="1"/>
  <c r="K2273" i="1"/>
  <c r="J2273" i="1"/>
  <c r="I2273" i="1"/>
  <c r="H2273" i="1"/>
  <c r="G2273" i="1"/>
  <c r="F2273" i="1"/>
  <c r="E2273" i="1"/>
  <c r="D2273" i="1"/>
  <c r="C2273" i="1"/>
  <c r="M2272" i="1"/>
  <c r="K2272" i="1"/>
  <c r="J2272" i="1"/>
  <c r="I2272" i="1"/>
  <c r="H2272" i="1"/>
  <c r="G2272" i="1"/>
  <c r="F2272" i="1"/>
  <c r="E2272" i="1"/>
  <c r="D2272" i="1"/>
  <c r="C2272" i="1"/>
  <c r="M2271" i="1"/>
  <c r="K2271" i="1"/>
  <c r="J2271" i="1"/>
  <c r="I2271" i="1"/>
  <c r="H2271" i="1"/>
  <c r="G2271" i="1"/>
  <c r="F2271" i="1"/>
  <c r="E2271" i="1"/>
  <c r="D2271" i="1"/>
  <c r="C2271" i="1"/>
  <c r="M2270" i="1"/>
  <c r="K2270" i="1"/>
  <c r="J2270" i="1"/>
  <c r="I2270" i="1"/>
  <c r="H2270" i="1"/>
  <c r="G2270" i="1"/>
  <c r="F2270" i="1"/>
  <c r="E2270" i="1"/>
  <c r="D2270" i="1"/>
  <c r="C2270" i="1"/>
  <c r="M2269" i="1"/>
  <c r="K2269" i="1"/>
  <c r="J2269" i="1"/>
  <c r="I2269" i="1"/>
  <c r="H2269" i="1"/>
  <c r="G2269" i="1"/>
  <c r="F2269" i="1"/>
  <c r="E2269" i="1"/>
  <c r="D2269" i="1"/>
  <c r="C2269" i="1"/>
  <c r="M2268" i="1"/>
  <c r="K2268" i="1"/>
  <c r="J2268" i="1"/>
  <c r="I2268" i="1"/>
  <c r="H2268" i="1"/>
  <c r="G2268" i="1"/>
  <c r="F2268" i="1"/>
  <c r="E2268" i="1"/>
  <c r="D2268" i="1"/>
  <c r="C2268" i="1"/>
  <c r="M2267" i="1"/>
  <c r="K2267" i="1"/>
  <c r="J2267" i="1"/>
  <c r="I2267" i="1"/>
  <c r="H2267" i="1"/>
  <c r="G2267" i="1"/>
  <c r="F2267" i="1"/>
  <c r="E2267" i="1"/>
  <c r="D2267" i="1"/>
  <c r="C2267" i="1"/>
  <c r="M2266" i="1"/>
  <c r="K2266" i="1"/>
  <c r="J2266" i="1"/>
  <c r="I2266" i="1"/>
  <c r="H2266" i="1"/>
  <c r="G2266" i="1"/>
  <c r="F2266" i="1"/>
  <c r="E2266" i="1"/>
  <c r="D2266" i="1"/>
  <c r="C2266" i="1"/>
  <c r="M2265" i="1"/>
  <c r="K2265" i="1"/>
  <c r="J2265" i="1"/>
  <c r="I2265" i="1"/>
  <c r="H2265" i="1"/>
  <c r="G2265" i="1"/>
  <c r="F2265" i="1"/>
  <c r="E2265" i="1"/>
  <c r="D2265" i="1"/>
  <c r="C2265" i="1"/>
  <c r="M2264" i="1"/>
  <c r="K2264" i="1"/>
  <c r="J2264" i="1"/>
  <c r="I2264" i="1"/>
  <c r="H2264" i="1"/>
  <c r="G2264" i="1"/>
  <c r="F2264" i="1"/>
  <c r="E2264" i="1"/>
  <c r="D2264" i="1"/>
  <c r="C2264" i="1"/>
  <c r="M2263" i="1"/>
  <c r="K2263" i="1"/>
  <c r="J2263" i="1"/>
  <c r="I2263" i="1"/>
  <c r="H2263" i="1"/>
  <c r="G2263" i="1"/>
  <c r="F2263" i="1"/>
  <c r="E2263" i="1"/>
  <c r="D2263" i="1"/>
  <c r="C2263" i="1"/>
  <c r="M2262" i="1"/>
  <c r="K2262" i="1"/>
  <c r="J2262" i="1"/>
  <c r="I2262" i="1"/>
  <c r="H2262" i="1"/>
  <c r="G2262" i="1"/>
  <c r="F2262" i="1"/>
  <c r="E2262" i="1"/>
  <c r="D2262" i="1"/>
  <c r="C2262" i="1"/>
  <c r="M2261" i="1"/>
  <c r="K2261" i="1"/>
  <c r="J2261" i="1"/>
  <c r="I2261" i="1"/>
  <c r="H2261" i="1"/>
  <c r="G2261" i="1"/>
  <c r="F2261" i="1"/>
  <c r="E2261" i="1"/>
  <c r="D2261" i="1"/>
  <c r="C2261" i="1"/>
  <c r="M2260" i="1"/>
  <c r="K2260" i="1"/>
  <c r="J2260" i="1"/>
  <c r="I2260" i="1"/>
  <c r="H2260" i="1"/>
  <c r="G2260" i="1"/>
  <c r="F2260" i="1"/>
  <c r="E2260" i="1"/>
  <c r="D2260" i="1"/>
  <c r="C2260" i="1"/>
  <c r="M2259" i="1"/>
  <c r="K2259" i="1"/>
  <c r="J2259" i="1"/>
  <c r="I2259" i="1"/>
  <c r="H2259" i="1"/>
  <c r="G2259" i="1"/>
  <c r="F2259" i="1"/>
  <c r="E2259" i="1"/>
  <c r="D2259" i="1"/>
  <c r="C2259" i="1"/>
  <c r="M2258" i="1"/>
  <c r="K2258" i="1"/>
  <c r="J2258" i="1"/>
  <c r="I2258" i="1"/>
  <c r="H2258" i="1"/>
  <c r="G2258" i="1"/>
  <c r="F2258" i="1"/>
  <c r="E2258" i="1"/>
  <c r="D2258" i="1"/>
  <c r="C2258" i="1"/>
  <c r="M2257" i="1"/>
  <c r="K2257" i="1"/>
  <c r="J2257" i="1"/>
  <c r="I2257" i="1"/>
  <c r="H2257" i="1"/>
  <c r="G2257" i="1"/>
  <c r="F2257" i="1"/>
  <c r="E2257" i="1"/>
  <c r="D2257" i="1"/>
  <c r="C2257" i="1"/>
  <c r="M2256" i="1"/>
  <c r="K2256" i="1"/>
  <c r="J2256" i="1"/>
  <c r="I2256" i="1"/>
  <c r="H2256" i="1"/>
  <c r="G2256" i="1"/>
  <c r="F2256" i="1"/>
  <c r="E2256" i="1"/>
  <c r="D2256" i="1"/>
  <c r="C2256" i="1"/>
  <c r="M2255" i="1"/>
  <c r="K2255" i="1"/>
  <c r="J2255" i="1"/>
  <c r="I2255" i="1"/>
  <c r="H2255" i="1"/>
  <c r="G2255" i="1"/>
  <c r="F2255" i="1"/>
  <c r="E2255" i="1"/>
  <c r="D2255" i="1"/>
  <c r="C2255" i="1"/>
  <c r="M2254" i="1"/>
  <c r="K2254" i="1"/>
  <c r="J2254" i="1"/>
  <c r="I2254" i="1"/>
  <c r="H2254" i="1"/>
  <c r="G2254" i="1"/>
  <c r="F2254" i="1"/>
  <c r="E2254" i="1"/>
  <c r="D2254" i="1"/>
  <c r="C2254" i="1"/>
  <c r="M2253" i="1"/>
  <c r="K2253" i="1"/>
  <c r="J2253" i="1"/>
  <c r="I2253" i="1"/>
  <c r="H2253" i="1"/>
  <c r="G2253" i="1"/>
  <c r="F2253" i="1"/>
  <c r="E2253" i="1"/>
  <c r="D2253" i="1"/>
  <c r="C2253" i="1"/>
  <c r="M2252" i="1"/>
  <c r="K2252" i="1"/>
  <c r="J2252" i="1"/>
  <c r="I2252" i="1"/>
  <c r="H2252" i="1"/>
  <c r="G2252" i="1"/>
  <c r="F2252" i="1"/>
  <c r="E2252" i="1"/>
  <c r="D2252" i="1"/>
  <c r="C2252" i="1"/>
  <c r="M2251" i="1"/>
  <c r="K2251" i="1"/>
  <c r="J2251" i="1"/>
  <c r="I2251" i="1"/>
  <c r="H2251" i="1"/>
  <c r="G2251" i="1"/>
  <c r="F2251" i="1"/>
  <c r="E2251" i="1"/>
  <c r="D2251" i="1"/>
  <c r="C2251" i="1"/>
  <c r="M2250" i="1"/>
  <c r="K2250" i="1"/>
  <c r="J2250" i="1"/>
  <c r="I2250" i="1"/>
  <c r="H2250" i="1"/>
  <c r="G2250" i="1"/>
  <c r="F2250" i="1"/>
  <c r="E2250" i="1"/>
  <c r="D2250" i="1"/>
  <c r="C2250" i="1"/>
  <c r="M2249" i="1"/>
  <c r="K2249" i="1"/>
  <c r="J2249" i="1"/>
  <c r="I2249" i="1"/>
  <c r="H2249" i="1"/>
  <c r="G2249" i="1"/>
  <c r="F2249" i="1"/>
  <c r="E2249" i="1"/>
  <c r="D2249" i="1"/>
  <c r="C2249" i="1"/>
  <c r="M2248" i="1"/>
  <c r="K2248" i="1"/>
  <c r="J2248" i="1"/>
  <c r="I2248" i="1"/>
  <c r="H2248" i="1"/>
  <c r="G2248" i="1"/>
  <c r="F2248" i="1"/>
  <c r="E2248" i="1"/>
  <c r="D2248" i="1"/>
  <c r="C2248" i="1"/>
  <c r="M2247" i="1"/>
  <c r="K2247" i="1"/>
  <c r="J2247" i="1"/>
  <c r="I2247" i="1"/>
  <c r="H2247" i="1"/>
  <c r="G2247" i="1"/>
  <c r="F2247" i="1"/>
  <c r="E2247" i="1"/>
  <c r="D2247" i="1"/>
  <c r="C2247" i="1"/>
  <c r="M2246" i="1"/>
  <c r="K2246" i="1"/>
  <c r="J2246" i="1"/>
  <c r="I2246" i="1"/>
  <c r="H2246" i="1"/>
  <c r="G2246" i="1"/>
  <c r="F2246" i="1"/>
  <c r="E2246" i="1"/>
  <c r="D2246" i="1"/>
  <c r="C2246" i="1"/>
  <c r="M2245" i="1"/>
  <c r="K2245" i="1"/>
  <c r="J2245" i="1"/>
  <c r="I2245" i="1"/>
  <c r="H2245" i="1"/>
  <c r="G2245" i="1"/>
  <c r="F2245" i="1"/>
  <c r="E2245" i="1"/>
  <c r="D2245" i="1"/>
  <c r="C2245" i="1"/>
  <c r="M2244" i="1"/>
  <c r="K2244" i="1"/>
  <c r="J2244" i="1"/>
  <c r="I2244" i="1"/>
  <c r="H2244" i="1"/>
  <c r="G2244" i="1"/>
  <c r="F2244" i="1"/>
  <c r="E2244" i="1"/>
  <c r="D2244" i="1"/>
  <c r="C2244" i="1"/>
  <c r="M2243" i="1"/>
  <c r="K2243" i="1"/>
  <c r="J2243" i="1"/>
  <c r="I2243" i="1"/>
  <c r="H2243" i="1"/>
  <c r="G2243" i="1"/>
  <c r="F2243" i="1"/>
  <c r="E2243" i="1"/>
  <c r="D2243" i="1"/>
  <c r="C2243" i="1"/>
  <c r="M2242" i="1"/>
  <c r="K2242" i="1"/>
  <c r="J2242" i="1"/>
  <c r="I2242" i="1"/>
  <c r="H2242" i="1"/>
  <c r="G2242" i="1"/>
  <c r="F2242" i="1"/>
  <c r="E2242" i="1"/>
  <c r="D2242" i="1"/>
  <c r="C2242" i="1"/>
  <c r="M2241" i="1"/>
  <c r="K2241" i="1"/>
  <c r="J2241" i="1"/>
  <c r="I2241" i="1"/>
  <c r="H2241" i="1"/>
  <c r="G2241" i="1"/>
  <c r="F2241" i="1"/>
  <c r="E2241" i="1"/>
  <c r="D2241" i="1"/>
  <c r="C2241" i="1"/>
  <c r="M2240" i="1"/>
  <c r="K2240" i="1"/>
  <c r="J2240" i="1"/>
  <c r="I2240" i="1"/>
  <c r="H2240" i="1"/>
  <c r="G2240" i="1"/>
  <c r="F2240" i="1"/>
  <c r="E2240" i="1"/>
  <c r="D2240" i="1"/>
  <c r="C2240" i="1"/>
  <c r="M2239" i="1"/>
  <c r="K2239" i="1"/>
  <c r="J2239" i="1"/>
  <c r="I2239" i="1"/>
  <c r="H2239" i="1"/>
  <c r="G2239" i="1"/>
  <c r="F2239" i="1"/>
  <c r="E2239" i="1"/>
  <c r="D2239" i="1"/>
  <c r="C2239" i="1"/>
  <c r="M2238" i="1"/>
  <c r="K2238" i="1"/>
  <c r="J2238" i="1"/>
  <c r="I2238" i="1"/>
  <c r="H2238" i="1"/>
  <c r="G2238" i="1"/>
  <c r="F2238" i="1"/>
  <c r="E2238" i="1"/>
  <c r="D2238" i="1"/>
  <c r="C2238" i="1"/>
  <c r="M2237" i="1"/>
  <c r="K2237" i="1"/>
  <c r="J2237" i="1"/>
  <c r="I2237" i="1"/>
  <c r="H2237" i="1"/>
  <c r="G2237" i="1"/>
  <c r="F2237" i="1"/>
  <c r="E2237" i="1"/>
  <c r="D2237" i="1"/>
  <c r="C2237" i="1"/>
  <c r="M2236" i="1"/>
  <c r="K2236" i="1"/>
  <c r="J2236" i="1"/>
  <c r="I2236" i="1"/>
  <c r="H2236" i="1"/>
  <c r="G2236" i="1"/>
  <c r="F2236" i="1"/>
  <c r="E2236" i="1"/>
  <c r="D2236" i="1"/>
  <c r="C2236" i="1"/>
  <c r="M2235" i="1"/>
  <c r="K2235" i="1"/>
  <c r="J2235" i="1"/>
  <c r="I2235" i="1"/>
  <c r="H2235" i="1"/>
  <c r="G2235" i="1"/>
  <c r="F2235" i="1"/>
  <c r="E2235" i="1"/>
  <c r="D2235" i="1"/>
  <c r="C2235" i="1"/>
  <c r="M2234" i="1"/>
  <c r="K2234" i="1"/>
  <c r="J2234" i="1"/>
  <c r="I2234" i="1"/>
  <c r="H2234" i="1"/>
  <c r="G2234" i="1"/>
  <c r="F2234" i="1"/>
  <c r="E2234" i="1"/>
  <c r="D2234" i="1"/>
  <c r="C2234" i="1"/>
  <c r="M2233" i="1"/>
  <c r="K2233" i="1"/>
  <c r="J2233" i="1"/>
  <c r="I2233" i="1"/>
  <c r="H2233" i="1"/>
  <c r="G2233" i="1"/>
  <c r="F2233" i="1"/>
  <c r="E2233" i="1"/>
  <c r="D2233" i="1"/>
  <c r="C2233" i="1"/>
  <c r="M2232" i="1"/>
  <c r="K2232" i="1"/>
  <c r="J2232" i="1"/>
  <c r="I2232" i="1"/>
  <c r="H2232" i="1"/>
  <c r="G2232" i="1"/>
  <c r="F2232" i="1"/>
  <c r="E2232" i="1"/>
  <c r="D2232" i="1"/>
  <c r="C2232" i="1"/>
  <c r="M2231" i="1"/>
  <c r="K2231" i="1"/>
  <c r="J2231" i="1"/>
  <c r="I2231" i="1"/>
  <c r="H2231" i="1"/>
  <c r="G2231" i="1"/>
  <c r="F2231" i="1"/>
  <c r="E2231" i="1"/>
  <c r="D2231" i="1"/>
  <c r="C2231" i="1"/>
  <c r="M2230" i="1"/>
  <c r="K2230" i="1"/>
  <c r="J2230" i="1"/>
  <c r="I2230" i="1"/>
  <c r="H2230" i="1"/>
  <c r="G2230" i="1"/>
  <c r="F2230" i="1"/>
  <c r="E2230" i="1"/>
  <c r="D2230" i="1"/>
  <c r="C2230" i="1"/>
  <c r="M2229" i="1"/>
  <c r="K2229" i="1"/>
  <c r="J2229" i="1"/>
  <c r="I2229" i="1"/>
  <c r="H2229" i="1"/>
  <c r="G2229" i="1"/>
  <c r="F2229" i="1"/>
  <c r="E2229" i="1"/>
  <c r="D2229" i="1"/>
  <c r="C2229" i="1"/>
  <c r="M2228" i="1"/>
  <c r="K2228" i="1"/>
  <c r="J2228" i="1"/>
  <c r="I2228" i="1"/>
  <c r="H2228" i="1"/>
  <c r="G2228" i="1"/>
  <c r="F2228" i="1"/>
  <c r="E2228" i="1"/>
  <c r="D2228" i="1"/>
  <c r="C2228" i="1"/>
  <c r="M2227" i="1"/>
  <c r="K2227" i="1"/>
  <c r="J2227" i="1"/>
  <c r="I2227" i="1"/>
  <c r="H2227" i="1"/>
  <c r="G2227" i="1"/>
  <c r="F2227" i="1"/>
  <c r="E2227" i="1"/>
  <c r="D2227" i="1"/>
  <c r="C2227" i="1"/>
  <c r="M2226" i="1"/>
  <c r="K2226" i="1"/>
  <c r="J2226" i="1"/>
  <c r="I2226" i="1"/>
  <c r="H2226" i="1"/>
  <c r="G2226" i="1"/>
  <c r="F2226" i="1"/>
  <c r="E2226" i="1"/>
  <c r="D2226" i="1"/>
  <c r="C2226" i="1"/>
  <c r="M2225" i="1"/>
  <c r="K2225" i="1"/>
  <c r="J2225" i="1"/>
  <c r="I2225" i="1"/>
  <c r="H2225" i="1"/>
  <c r="G2225" i="1"/>
  <c r="F2225" i="1"/>
  <c r="E2225" i="1"/>
  <c r="D2225" i="1"/>
  <c r="C2225" i="1"/>
  <c r="M2224" i="1"/>
  <c r="K2224" i="1"/>
  <c r="J2224" i="1"/>
  <c r="I2224" i="1"/>
  <c r="H2224" i="1"/>
  <c r="G2224" i="1"/>
  <c r="F2224" i="1"/>
  <c r="E2224" i="1"/>
  <c r="D2224" i="1"/>
  <c r="C2224" i="1"/>
  <c r="M2223" i="1"/>
  <c r="K2223" i="1"/>
  <c r="J2223" i="1"/>
  <c r="I2223" i="1"/>
  <c r="H2223" i="1"/>
  <c r="G2223" i="1"/>
  <c r="F2223" i="1"/>
  <c r="E2223" i="1"/>
  <c r="D2223" i="1"/>
  <c r="C2223" i="1"/>
  <c r="M2222" i="1"/>
  <c r="K2222" i="1"/>
  <c r="J2222" i="1"/>
  <c r="I2222" i="1"/>
  <c r="H2222" i="1"/>
  <c r="G2222" i="1"/>
  <c r="F2222" i="1"/>
  <c r="E2222" i="1"/>
  <c r="D2222" i="1"/>
  <c r="C2222" i="1"/>
  <c r="M2221" i="1"/>
  <c r="K2221" i="1"/>
  <c r="J2221" i="1"/>
  <c r="I2221" i="1"/>
  <c r="H2221" i="1"/>
  <c r="G2221" i="1"/>
  <c r="F2221" i="1"/>
  <c r="E2221" i="1"/>
  <c r="D2221" i="1"/>
  <c r="C2221" i="1"/>
  <c r="M2220" i="1"/>
  <c r="K2220" i="1"/>
  <c r="J2220" i="1"/>
  <c r="I2220" i="1"/>
  <c r="H2220" i="1"/>
  <c r="G2220" i="1"/>
  <c r="F2220" i="1"/>
  <c r="E2220" i="1"/>
  <c r="D2220" i="1"/>
  <c r="C2220" i="1"/>
  <c r="M2219" i="1"/>
  <c r="K2219" i="1"/>
  <c r="J2219" i="1"/>
  <c r="I2219" i="1"/>
  <c r="H2219" i="1"/>
  <c r="G2219" i="1"/>
  <c r="F2219" i="1"/>
  <c r="E2219" i="1"/>
  <c r="D2219" i="1"/>
  <c r="C2219" i="1"/>
  <c r="M2218" i="1"/>
  <c r="K2218" i="1"/>
  <c r="J2218" i="1"/>
  <c r="I2218" i="1"/>
  <c r="H2218" i="1"/>
  <c r="G2218" i="1"/>
  <c r="F2218" i="1"/>
  <c r="E2218" i="1"/>
  <c r="D2218" i="1"/>
  <c r="C2218" i="1"/>
  <c r="M2217" i="1"/>
  <c r="K2217" i="1"/>
  <c r="J2217" i="1"/>
  <c r="I2217" i="1"/>
  <c r="H2217" i="1"/>
  <c r="G2217" i="1"/>
  <c r="F2217" i="1"/>
  <c r="E2217" i="1"/>
  <c r="D2217" i="1"/>
  <c r="C2217" i="1"/>
  <c r="M2216" i="1"/>
  <c r="K2216" i="1"/>
  <c r="J2216" i="1"/>
  <c r="I2216" i="1"/>
  <c r="H2216" i="1"/>
  <c r="G2216" i="1"/>
  <c r="F2216" i="1"/>
  <c r="E2216" i="1"/>
  <c r="D2216" i="1"/>
  <c r="C2216" i="1"/>
  <c r="M2215" i="1"/>
  <c r="K2215" i="1"/>
  <c r="J2215" i="1"/>
  <c r="I2215" i="1"/>
  <c r="H2215" i="1"/>
  <c r="G2215" i="1"/>
  <c r="F2215" i="1"/>
  <c r="E2215" i="1"/>
  <c r="D2215" i="1"/>
  <c r="C2215" i="1"/>
  <c r="M2214" i="1"/>
  <c r="K2214" i="1"/>
  <c r="J2214" i="1"/>
  <c r="I2214" i="1"/>
  <c r="H2214" i="1"/>
  <c r="G2214" i="1"/>
  <c r="F2214" i="1"/>
  <c r="E2214" i="1"/>
  <c r="D2214" i="1"/>
  <c r="C2214" i="1"/>
  <c r="M2213" i="1"/>
  <c r="K2213" i="1"/>
  <c r="J2213" i="1"/>
  <c r="I2213" i="1"/>
  <c r="H2213" i="1"/>
  <c r="G2213" i="1"/>
  <c r="F2213" i="1"/>
  <c r="E2213" i="1"/>
  <c r="D2213" i="1"/>
  <c r="C2213" i="1"/>
  <c r="M2212" i="1"/>
  <c r="K2212" i="1"/>
  <c r="J2212" i="1"/>
  <c r="I2212" i="1"/>
  <c r="H2212" i="1"/>
  <c r="G2212" i="1"/>
  <c r="F2212" i="1"/>
  <c r="E2212" i="1"/>
  <c r="D2212" i="1"/>
  <c r="C2212" i="1"/>
  <c r="M2211" i="1"/>
  <c r="K2211" i="1"/>
  <c r="J2211" i="1"/>
  <c r="I2211" i="1"/>
  <c r="H2211" i="1"/>
  <c r="G2211" i="1"/>
  <c r="F2211" i="1"/>
  <c r="E2211" i="1"/>
  <c r="D2211" i="1"/>
  <c r="C2211" i="1"/>
  <c r="M2210" i="1"/>
  <c r="K2210" i="1"/>
  <c r="J2210" i="1"/>
  <c r="I2210" i="1"/>
  <c r="H2210" i="1"/>
  <c r="G2210" i="1"/>
  <c r="F2210" i="1"/>
  <c r="E2210" i="1"/>
  <c r="D2210" i="1"/>
  <c r="C2210" i="1"/>
  <c r="M2209" i="1"/>
  <c r="K2209" i="1"/>
  <c r="J2209" i="1"/>
  <c r="I2209" i="1"/>
  <c r="H2209" i="1"/>
  <c r="G2209" i="1"/>
  <c r="F2209" i="1"/>
  <c r="E2209" i="1"/>
  <c r="D2209" i="1"/>
  <c r="C2209" i="1"/>
  <c r="M2208" i="1"/>
  <c r="K2208" i="1"/>
  <c r="J2208" i="1"/>
  <c r="I2208" i="1"/>
  <c r="H2208" i="1"/>
  <c r="G2208" i="1"/>
  <c r="F2208" i="1"/>
  <c r="E2208" i="1"/>
  <c r="D2208" i="1"/>
  <c r="C2208" i="1"/>
  <c r="M2207" i="1"/>
  <c r="K2207" i="1"/>
  <c r="J2207" i="1"/>
  <c r="I2207" i="1"/>
  <c r="H2207" i="1"/>
  <c r="G2207" i="1"/>
  <c r="F2207" i="1"/>
  <c r="E2207" i="1"/>
  <c r="D2207" i="1"/>
  <c r="C2207" i="1"/>
  <c r="M2206" i="1"/>
  <c r="K2206" i="1"/>
  <c r="J2206" i="1"/>
  <c r="I2206" i="1"/>
  <c r="H2206" i="1"/>
  <c r="G2206" i="1"/>
  <c r="F2206" i="1"/>
  <c r="E2206" i="1"/>
  <c r="D2206" i="1"/>
  <c r="C2206" i="1"/>
  <c r="M2205" i="1"/>
  <c r="K2205" i="1"/>
  <c r="J2205" i="1"/>
  <c r="I2205" i="1"/>
  <c r="H2205" i="1"/>
  <c r="G2205" i="1"/>
  <c r="F2205" i="1"/>
  <c r="E2205" i="1"/>
  <c r="D2205" i="1"/>
  <c r="C2205" i="1"/>
  <c r="M2204" i="1"/>
  <c r="K2204" i="1"/>
  <c r="J2204" i="1"/>
  <c r="I2204" i="1"/>
  <c r="H2204" i="1"/>
  <c r="G2204" i="1"/>
  <c r="F2204" i="1"/>
  <c r="E2204" i="1"/>
  <c r="D2204" i="1"/>
  <c r="C2204" i="1"/>
  <c r="M2203" i="1"/>
  <c r="K2203" i="1"/>
  <c r="J2203" i="1"/>
  <c r="I2203" i="1"/>
  <c r="H2203" i="1"/>
  <c r="G2203" i="1"/>
  <c r="F2203" i="1"/>
  <c r="E2203" i="1"/>
  <c r="D2203" i="1"/>
  <c r="C2203" i="1"/>
  <c r="M2202" i="1"/>
  <c r="K2202" i="1"/>
  <c r="J2202" i="1"/>
  <c r="I2202" i="1"/>
  <c r="H2202" i="1"/>
  <c r="G2202" i="1"/>
  <c r="F2202" i="1"/>
  <c r="E2202" i="1"/>
  <c r="D2202" i="1"/>
  <c r="C2202" i="1"/>
  <c r="M2201" i="1"/>
  <c r="K2201" i="1"/>
  <c r="J2201" i="1"/>
  <c r="I2201" i="1"/>
  <c r="H2201" i="1"/>
  <c r="G2201" i="1"/>
  <c r="F2201" i="1"/>
  <c r="E2201" i="1"/>
  <c r="D2201" i="1"/>
  <c r="C2201" i="1"/>
  <c r="M2200" i="1"/>
  <c r="K2200" i="1"/>
  <c r="J2200" i="1"/>
  <c r="I2200" i="1"/>
  <c r="H2200" i="1"/>
  <c r="G2200" i="1"/>
  <c r="F2200" i="1"/>
  <c r="E2200" i="1"/>
  <c r="D2200" i="1"/>
  <c r="C2200" i="1"/>
  <c r="M2199" i="1"/>
  <c r="K2199" i="1"/>
  <c r="J2199" i="1"/>
  <c r="I2199" i="1"/>
  <c r="H2199" i="1"/>
  <c r="G2199" i="1"/>
  <c r="F2199" i="1"/>
  <c r="E2199" i="1"/>
  <c r="D2199" i="1"/>
  <c r="C2199" i="1"/>
  <c r="M2198" i="1"/>
  <c r="K2198" i="1"/>
  <c r="J2198" i="1"/>
  <c r="I2198" i="1"/>
  <c r="H2198" i="1"/>
  <c r="G2198" i="1"/>
  <c r="F2198" i="1"/>
  <c r="E2198" i="1"/>
  <c r="D2198" i="1"/>
  <c r="C2198" i="1"/>
  <c r="M2197" i="1"/>
  <c r="K2197" i="1"/>
  <c r="J2197" i="1"/>
  <c r="I2197" i="1"/>
  <c r="H2197" i="1"/>
  <c r="G2197" i="1"/>
  <c r="F2197" i="1"/>
  <c r="E2197" i="1"/>
  <c r="D2197" i="1"/>
  <c r="C2197" i="1"/>
  <c r="M2196" i="1"/>
  <c r="K2196" i="1"/>
  <c r="J2196" i="1"/>
  <c r="I2196" i="1"/>
  <c r="H2196" i="1"/>
  <c r="G2196" i="1"/>
  <c r="F2196" i="1"/>
  <c r="E2196" i="1"/>
  <c r="D2196" i="1"/>
  <c r="C2196" i="1"/>
  <c r="M2195" i="1"/>
  <c r="K2195" i="1"/>
  <c r="J2195" i="1"/>
  <c r="I2195" i="1"/>
  <c r="H2195" i="1"/>
  <c r="G2195" i="1"/>
  <c r="F2195" i="1"/>
  <c r="E2195" i="1"/>
  <c r="D2195" i="1"/>
  <c r="C2195" i="1"/>
  <c r="M2194" i="1"/>
  <c r="K2194" i="1"/>
  <c r="J2194" i="1"/>
  <c r="I2194" i="1"/>
  <c r="H2194" i="1"/>
  <c r="G2194" i="1"/>
  <c r="F2194" i="1"/>
  <c r="E2194" i="1"/>
  <c r="D2194" i="1"/>
  <c r="C2194" i="1"/>
  <c r="M2193" i="1"/>
  <c r="K2193" i="1"/>
  <c r="J2193" i="1"/>
  <c r="I2193" i="1"/>
  <c r="H2193" i="1"/>
  <c r="G2193" i="1"/>
  <c r="F2193" i="1"/>
  <c r="E2193" i="1"/>
  <c r="D2193" i="1"/>
  <c r="C2193" i="1"/>
  <c r="M2192" i="1"/>
  <c r="K2192" i="1"/>
  <c r="J2192" i="1"/>
  <c r="I2192" i="1"/>
  <c r="H2192" i="1"/>
  <c r="G2192" i="1"/>
  <c r="F2192" i="1"/>
  <c r="E2192" i="1"/>
  <c r="D2192" i="1"/>
  <c r="C2192" i="1"/>
  <c r="M2191" i="1"/>
  <c r="K2191" i="1"/>
  <c r="J2191" i="1"/>
  <c r="I2191" i="1"/>
  <c r="H2191" i="1"/>
  <c r="G2191" i="1"/>
  <c r="F2191" i="1"/>
  <c r="E2191" i="1"/>
  <c r="D2191" i="1"/>
  <c r="C2191" i="1"/>
  <c r="M2190" i="1"/>
  <c r="K2190" i="1"/>
  <c r="J2190" i="1"/>
  <c r="I2190" i="1"/>
  <c r="H2190" i="1"/>
  <c r="G2190" i="1"/>
  <c r="F2190" i="1"/>
  <c r="E2190" i="1"/>
  <c r="D2190" i="1"/>
  <c r="C2190" i="1"/>
  <c r="M2189" i="1"/>
  <c r="K2189" i="1"/>
  <c r="J2189" i="1"/>
  <c r="I2189" i="1"/>
  <c r="H2189" i="1"/>
  <c r="G2189" i="1"/>
  <c r="F2189" i="1"/>
  <c r="E2189" i="1"/>
  <c r="D2189" i="1"/>
  <c r="C2189" i="1"/>
  <c r="M2188" i="1"/>
  <c r="K2188" i="1"/>
  <c r="J2188" i="1"/>
  <c r="I2188" i="1"/>
  <c r="H2188" i="1"/>
  <c r="G2188" i="1"/>
  <c r="F2188" i="1"/>
  <c r="E2188" i="1"/>
  <c r="D2188" i="1"/>
  <c r="C2188" i="1"/>
  <c r="M2187" i="1"/>
  <c r="K2187" i="1"/>
  <c r="J2187" i="1"/>
  <c r="I2187" i="1"/>
  <c r="H2187" i="1"/>
  <c r="G2187" i="1"/>
  <c r="F2187" i="1"/>
  <c r="E2187" i="1"/>
  <c r="D2187" i="1"/>
  <c r="C2187" i="1"/>
  <c r="M2186" i="1"/>
  <c r="K2186" i="1"/>
  <c r="J2186" i="1"/>
  <c r="I2186" i="1"/>
  <c r="H2186" i="1"/>
  <c r="G2186" i="1"/>
  <c r="F2186" i="1"/>
  <c r="E2186" i="1"/>
  <c r="D2186" i="1"/>
  <c r="C2186" i="1"/>
  <c r="M2185" i="1"/>
  <c r="K2185" i="1"/>
  <c r="J2185" i="1"/>
  <c r="I2185" i="1"/>
  <c r="H2185" i="1"/>
  <c r="G2185" i="1"/>
  <c r="F2185" i="1"/>
  <c r="E2185" i="1"/>
  <c r="D2185" i="1"/>
  <c r="C2185" i="1"/>
  <c r="M2184" i="1"/>
  <c r="K2184" i="1"/>
  <c r="J2184" i="1"/>
  <c r="I2184" i="1"/>
  <c r="H2184" i="1"/>
  <c r="G2184" i="1"/>
  <c r="F2184" i="1"/>
  <c r="E2184" i="1"/>
  <c r="D2184" i="1"/>
  <c r="C2184" i="1"/>
  <c r="M2183" i="1"/>
  <c r="K2183" i="1"/>
  <c r="J2183" i="1"/>
  <c r="I2183" i="1"/>
  <c r="H2183" i="1"/>
  <c r="G2183" i="1"/>
  <c r="F2183" i="1"/>
  <c r="E2183" i="1"/>
  <c r="D2183" i="1"/>
  <c r="C2183" i="1"/>
  <c r="M2182" i="1"/>
  <c r="K2182" i="1"/>
  <c r="J2182" i="1"/>
  <c r="I2182" i="1"/>
  <c r="H2182" i="1"/>
  <c r="G2182" i="1"/>
  <c r="F2182" i="1"/>
  <c r="E2182" i="1"/>
  <c r="D2182" i="1"/>
  <c r="C2182" i="1"/>
  <c r="M2181" i="1"/>
  <c r="K2181" i="1"/>
  <c r="J2181" i="1"/>
  <c r="I2181" i="1"/>
  <c r="H2181" i="1"/>
  <c r="G2181" i="1"/>
  <c r="F2181" i="1"/>
  <c r="E2181" i="1"/>
  <c r="D2181" i="1"/>
  <c r="C2181" i="1"/>
  <c r="M2180" i="1"/>
  <c r="K2180" i="1"/>
  <c r="J2180" i="1"/>
  <c r="I2180" i="1"/>
  <c r="H2180" i="1"/>
  <c r="G2180" i="1"/>
  <c r="F2180" i="1"/>
  <c r="E2180" i="1"/>
  <c r="D2180" i="1"/>
  <c r="C2180" i="1"/>
  <c r="M2179" i="1"/>
  <c r="K2179" i="1"/>
  <c r="J2179" i="1"/>
  <c r="I2179" i="1"/>
  <c r="H2179" i="1"/>
  <c r="G2179" i="1"/>
  <c r="F2179" i="1"/>
  <c r="E2179" i="1"/>
  <c r="D2179" i="1"/>
  <c r="C2179" i="1"/>
  <c r="M2178" i="1"/>
  <c r="K2178" i="1"/>
  <c r="J2178" i="1"/>
  <c r="I2178" i="1"/>
  <c r="H2178" i="1"/>
  <c r="G2178" i="1"/>
  <c r="F2178" i="1"/>
  <c r="E2178" i="1"/>
  <c r="D2178" i="1"/>
  <c r="C2178" i="1"/>
  <c r="M2177" i="1"/>
  <c r="K2177" i="1"/>
  <c r="J2177" i="1"/>
  <c r="I2177" i="1"/>
  <c r="H2177" i="1"/>
  <c r="G2177" i="1"/>
  <c r="F2177" i="1"/>
  <c r="E2177" i="1"/>
  <c r="D2177" i="1"/>
  <c r="C2177" i="1"/>
  <c r="M2176" i="1"/>
  <c r="K2176" i="1"/>
  <c r="J2176" i="1"/>
  <c r="I2176" i="1"/>
  <c r="H2176" i="1"/>
  <c r="G2176" i="1"/>
  <c r="F2176" i="1"/>
  <c r="E2176" i="1"/>
  <c r="D2176" i="1"/>
  <c r="C2176" i="1"/>
  <c r="M2175" i="1"/>
  <c r="K2175" i="1"/>
  <c r="J2175" i="1"/>
  <c r="I2175" i="1"/>
  <c r="H2175" i="1"/>
  <c r="G2175" i="1"/>
  <c r="F2175" i="1"/>
  <c r="E2175" i="1"/>
  <c r="D2175" i="1"/>
  <c r="C2175" i="1"/>
  <c r="M2174" i="1"/>
  <c r="K2174" i="1"/>
  <c r="J2174" i="1"/>
  <c r="I2174" i="1"/>
  <c r="H2174" i="1"/>
  <c r="G2174" i="1"/>
  <c r="F2174" i="1"/>
  <c r="E2174" i="1"/>
  <c r="D2174" i="1"/>
  <c r="C2174" i="1"/>
  <c r="M2173" i="1"/>
  <c r="K2173" i="1"/>
  <c r="J2173" i="1"/>
  <c r="I2173" i="1"/>
  <c r="H2173" i="1"/>
  <c r="G2173" i="1"/>
  <c r="F2173" i="1"/>
  <c r="E2173" i="1"/>
  <c r="D2173" i="1"/>
  <c r="C2173" i="1"/>
  <c r="M2172" i="1"/>
  <c r="K2172" i="1"/>
  <c r="J2172" i="1"/>
  <c r="I2172" i="1"/>
  <c r="H2172" i="1"/>
  <c r="G2172" i="1"/>
  <c r="F2172" i="1"/>
  <c r="E2172" i="1"/>
  <c r="D2172" i="1"/>
  <c r="C2172" i="1"/>
  <c r="M2171" i="1"/>
  <c r="K2171" i="1"/>
  <c r="J2171" i="1"/>
  <c r="I2171" i="1"/>
  <c r="H2171" i="1"/>
  <c r="G2171" i="1"/>
  <c r="F2171" i="1"/>
  <c r="E2171" i="1"/>
  <c r="D2171" i="1"/>
  <c r="C2171" i="1"/>
  <c r="M2170" i="1"/>
  <c r="K2170" i="1"/>
  <c r="J2170" i="1"/>
  <c r="I2170" i="1"/>
  <c r="H2170" i="1"/>
  <c r="G2170" i="1"/>
  <c r="F2170" i="1"/>
  <c r="E2170" i="1"/>
  <c r="D2170" i="1"/>
  <c r="C2170" i="1"/>
  <c r="M2169" i="1"/>
  <c r="K2169" i="1"/>
  <c r="J2169" i="1"/>
  <c r="I2169" i="1"/>
  <c r="H2169" i="1"/>
  <c r="G2169" i="1"/>
  <c r="F2169" i="1"/>
  <c r="E2169" i="1"/>
  <c r="D2169" i="1"/>
  <c r="C2169" i="1"/>
  <c r="M2168" i="1"/>
  <c r="K2168" i="1"/>
  <c r="J2168" i="1"/>
  <c r="I2168" i="1"/>
  <c r="H2168" i="1"/>
  <c r="G2168" i="1"/>
  <c r="F2168" i="1"/>
  <c r="E2168" i="1"/>
  <c r="D2168" i="1"/>
  <c r="C2168" i="1"/>
  <c r="M2167" i="1"/>
  <c r="K2167" i="1"/>
  <c r="J2167" i="1"/>
  <c r="I2167" i="1"/>
  <c r="H2167" i="1"/>
  <c r="G2167" i="1"/>
  <c r="F2167" i="1"/>
  <c r="E2167" i="1"/>
  <c r="D2167" i="1"/>
  <c r="C2167" i="1"/>
  <c r="M2166" i="1"/>
  <c r="K2166" i="1"/>
  <c r="J2166" i="1"/>
  <c r="I2166" i="1"/>
  <c r="H2166" i="1"/>
  <c r="G2166" i="1"/>
  <c r="F2166" i="1"/>
  <c r="E2166" i="1"/>
  <c r="D2166" i="1"/>
  <c r="C2166" i="1"/>
  <c r="M2165" i="1"/>
  <c r="K2165" i="1"/>
  <c r="J2165" i="1"/>
  <c r="I2165" i="1"/>
  <c r="H2165" i="1"/>
  <c r="G2165" i="1"/>
  <c r="F2165" i="1"/>
  <c r="E2165" i="1"/>
  <c r="D2165" i="1"/>
  <c r="C2165" i="1"/>
  <c r="M2164" i="1"/>
  <c r="K2164" i="1"/>
  <c r="J2164" i="1"/>
  <c r="I2164" i="1"/>
  <c r="H2164" i="1"/>
  <c r="G2164" i="1"/>
  <c r="F2164" i="1"/>
  <c r="E2164" i="1"/>
  <c r="D2164" i="1"/>
  <c r="C2164" i="1"/>
  <c r="M2163" i="1"/>
  <c r="K2163" i="1"/>
  <c r="J2163" i="1"/>
  <c r="I2163" i="1"/>
  <c r="H2163" i="1"/>
  <c r="G2163" i="1"/>
  <c r="F2163" i="1"/>
  <c r="E2163" i="1"/>
  <c r="D2163" i="1"/>
  <c r="C2163" i="1"/>
  <c r="M2162" i="1"/>
  <c r="K2162" i="1"/>
  <c r="J2162" i="1"/>
  <c r="I2162" i="1"/>
  <c r="H2162" i="1"/>
  <c r="G2162" i="1"/>
  <c r="F2162" i="1"/>
  <c r="E2162" i="1"/>
  <c r="D2162" i="1"/>
  <c r="C2162" i="1"/>
  <c r="M2161" i="1"/>
  <c r="K2161" i="1"/>
  <c r="J2161" i="1"/>
  <c r="I2161" i="1"/>
  <c r="H2161" i="1"/>
  <c r="G2161" i="1"/>
  <c r="F2161" i="1"/>
  <c r="E2161" i="1"/>
  <c r="D2161" i="1"/>
  <c r="C2161" i="1"/>
  <c r="M2160" i="1"/>
  <c r="K2160" i="1"/>
  <c r="J2160" i="1"/>
  <c r="I2160" i="1"/>
  <c r="H2160" i="1"/>
  <c r="G2160" i="1"/>
  <c r="F2160" i="1"/>
  <c r="E2160" i="1"/>
  <c r="D2160" i="1"/>
  <c r="C2160" i="1"/>
  <c r="M2159" i="1"/>
  <c r="K2159" i="1"/>
  <c r="J2159" i="1"/>
  <c r="I2159" i="1"/>
  <c r="H2159" i="1"/>
  <c r="G2159" i="1"/>
  <c r="F2159" i="1"/>
  <c r="E2159" i="1"/>
  <c r="D2159" i="1"/>
  <c r="C2159" i="1"/>
  <c r="M2158" i="1"/>
  <c r="K2158" i="1"/>
  <c r="J2158" i="1"/>
  <c r="I2158" i="1"/>
  <c r="H2158" i="1"/>
  <c r="G2158" i="1"/>
  <c r="F2158" i="1"/>
  <c r="E2158" i="1"/>
  <c r="D2158" i="1"/>
  <c r="C2158" i="1"/>
  <c r="M2157" i="1"/>
  <c r="K2157" i="1"/>
  <c r="J2157" i="1"/>
  <c r="I2157" i="1"/>
  <c r="H2157" i="1"/>
  <c r="G2157" i="1"/>
  <c r="F2157" i="1"/>
  <c r="E2157" i="1"/>
  <c r="D2157" i="1"/>
  <c r="C2157" i="1"/>
  <c r="M2156" i="1"/>
  <c r="K2156" i="1"/>
  <c r="J2156" i="1"/>
  <c r="I2156" i="1"/>
  <c r="H2156" i="1"/>
  <c r="G2156" i="1"/>
  <c r="F2156" i="1"/>
  <c r="E2156" i="1"/>
  <c r="D2156" i="1"/>
  <c r="C2156" i="1"/>
  <c r="M2155" i="1"/>
  <c r="K2155" i="1"/>
  <c r="J2155" i="1"/>
  <c r="I2155" i="1"/>
  <c r="H2155" i="1"/>
  <c r="G2155" i="1"/>
  <c r="F2155" i="1"/>
  <c r="E2155" i="1"/>
  <c r="D2155" i="1"/>
  <c r="C2155" i="1"/>
  <c r="M2154" i="1"/>
  <c r="K2154" i="1"/>
  <c r="J2154" i="1"/>
  <c r="I2154" i="1"/>
  <c r="H2154" i="1"/>
  <c r="G2154" i="1"/>
  <c r="F2154" i="1"/>
  <c r="E2154" i="1"/>
  <c r="D2154" i="1"/>
  <c r="C2154" i="1"/>
  <c r="M2153" i="1"/>
  <c r="K2153" i="1"/>
  <c r="J2153" i="1"/>
  <c r="I2153" i="1"/>
  <c r="H2153" i="1"/>
  <c r="G2153" i="1"/>
  <c r="F2153" i="1"/>
  <c r="E2153" i="1"/>
  <c r="D2153" i="1"/>
  <c r="C2153" i="1"/>
  <c r="M2152" i="1"/>
  <c r="K2152" i="1"/>
  <c r="J2152" i="1"/>
  <c r="I2152" i="1"/>
  <c r="H2152" i="1"/>
  <c r="G2152" i="1"/>
  <c r="F2152" i="1"/>
  <c r="E2152" i="1"/>
  <c r="D2152" i="1"/>
  <c r="C2152" i="1"/>
  <c r="M2151" i="1"/>
  <c r="K2151" i="1"/>
  <c r="J2151" i="1"/>
  <c r="I2151" i="1"/>
  <c r="H2151" i="1"/>
  <c r="G2151" i="1"/>
  <c r="F2151" i="1"/>
  <c r="E2151" i="1"/>
  <c r="D2151" i="1"/>
  <c r="C2151" i="1"/>
  <c r="M2150" i="1"/>
  <c r="K2150" i="1"/>
  <c r="J2150" i="1"/>
  <c r="I2150" i="1"/>
  <c r="H2150" i="1"/>
  <c r="G2150" i="1"/>
  <c r="F2150" i="1"/>
  <c r="E2150" i="1"/>
  <c r="D2150" i="1"/>
  <c r="C2150" i="1"/>
  <c r="M2149" i="1"/>
  <c r="K2149" i="1"/>
  <c r="J2149" i="1"/>
  <c r="I2149" i="1"/>
  <c r="H2149" i="1"/>
  <c r="G2149" i="1"/>
  <c r="F2149" i="1"/>
  <c r="E2149" i="1"/>
  <c r="D2149" i="1"/>
  <c r="C2149" i="1"/>
  <c r="M2148" i="1"/>
  <c r="K2148" i="1"/>
  <c r="J2148" i="1"/>
  <c r="I2148" i="1"/>
  <c r="H2148" i="1"/>
  <c r="G2148" i="1"/>
  <c r="F2148" i="1"/>
  <c r="E2148" i="1"/>
  <c r="D2148" i="1"/>
  <c r="C2148" i="1"/>
  <c r="M2147" i="1"/>
  <c r="K2147" i="1"/>
  <c r="J2147" i="1"/>
  <c r="I2147" i="1"/>
  <c r="H2147" i="1"/>
  <c r="G2147" i="1"/>
  <c r="F2147" i="1"/>
  <c r="E2147" i="1"/>
  <c r="D2147" i="1"/>
  <c r="C2147" i="1"/>
  <c r="M2146" i="1"/>
  <c r="K2146" i="1"/>
  <c r="J2146" i="1"/>
  <c r="I2146" i="1"/>
  <c r="H2146" i="1"/>
  <c r="G2146" i="1"/>
  <c r="F2146" i="1"/>
  <c r="E2146" i="1"/>
  <c r="D2146" i="1"/>
  <c r="C2146" i="1"/>
  <c r="M2145" i="1"/>
  <c r="K2145" i="1"/>
  <c r="J2145" i="1"/>
  <c r="I2145" i="1"/>
  <c r="H2145" i="1"/>
  <c r="G2145" i="1"/>
  <c r="F2145" i="1"/>
  <c r="E2145" i="1"/>
  <c r="D2145" i="1"/>
  <c r="C2145" i="1"/>
  <c r="M2144" i="1"/>
  <c r="K2144" i="1"/>
  <c r="J2144" i="1"/>
  <c r="I2144" i="1"/>
  <c r="H2144" i="1"/>
  <c r="G2144" i="1"/>
  <c r="F2144" i="1"/>
  <c r="E2144" i="1"/>
  <c r="D2144" i="1"/>
  <c r="C2144" i="1"/>
  <c r="M2143" i="1"/>
  <c r="K2143" i="1"/>
  <c r="J2143" i="1"/>
  <c r="I2143" i="1"/>
  <c r="H2143" i="1"/>
  <c r="G2143" i="1"/>
  <c r="F2143" i="1"/>
  <c r="E2143" i="1"/>
  <c r="D2143" i="1"/>
  <c r="C2143" i="1"/>
  <c r="M2142" i="1"/>
  <c r="K2142" i="1"/>
  <c r="J2142" i="1"/>
  <c r="I2142" i="1"/>
  <c r="H2142" i="1"/>
  <c r="G2142" i="1"/>
  <c r="F2142" i="1"/>
  <c r="E2142" i="1"/>
  <c r="D2142" i="1"/>
  <c r="C2142" i="1"/>
  <c r="M2141" i="1"/>
  <c r="K2141" i="1"/>
  <c r="J2141" i="1"/>
  <c r="I2141" i="1"/>
  <c r="H2141" i="1"/>
  <c r="G2141" i="1"/>
  <c r="F2141" i="1"/>
  <c r="E2141" i="1"/>
  <c r="D2141" i="1"/>
  <c r="C2141" i="1"/>
  <c r="M2140" i="1"/>
  <c r="K2140" i="1"/>
  <c r="J2140" i="1"/>
  <c r="I2140" i="1"/>
  <c r="H2140" i="1"/>
  <c r="G2140" i="1"/>
  <c r="F2140" i="1"/>
  <c r="E2140" i="1"/>
  <c r="D2140" i="1"/>
  <c r="C2140" i="1"/>
  <c r="M2139" i="1"/>
  <c r="K2139" i="1"/>
  <c r="J2139" i="1"/>
  <c r="I2139" i="1"/>
  <c r="H2139" i="1"/>
  <c r="G2139" i="1"/>
  <c r="F2139" i="1"/>
  <c r="E2139" i="1"/>
  <c r="D2139" i="1"/>
  <c r="C2139" i="1"/>
  <c r="M2138" i="1"/>
  <c r="K2138" i="1"/>
  <c r="J2138" i="1"/>
  <c r="I2138" i="1"/>
  <c r="H2138" i="1"/>
  <c r="G2138" i="1"/>
  <c r="F2138" i="1"/>
  <c r="E2138" i="1"/>
  <c r="D2138" i="1"/>
  <c r="C2138" i="1"/>
  <c r="M2137" i="1"/>
  <c r="K2137" i="1"/>
  <c r="J2137" i="1"/>
  <c r="I2137" i="1"/>
  <c r="H2137" i="1"/>
  <c r="G2137" i="1"/>
  <c r="F2137" i="1"/>
  <c r="E2137" i="1"/>
  <c r="D2137" i="1"/>
  <c r="C2137" i="1"/>
  <c r="M2136" i="1"/>
  <c r="K2136" i="1"/>
  <c r="J2136" i="1"/>
  <c r="I2136" i="1"/>
  <c r="H2136" i="1"/>
  <c r="G2136" i="1"/>
  <c r="F2136" i="1"/>
  <c r="E2136" i="1"/>
  <c r="D2136" i="1"/>
  <c r="C2136" i="1"/>
  <c r="M2135" i="1"/>
  <c r="K2135" i="1"/>
  <c r="J2135" i="1"/>
  <c r="I2135" i="1"/>
  <c r="H2135" i="1"/>
  <c r="G2135" i="1"/>
  <c r="F2135" i="1"/>
  <c r="E2135" i="1"/>
  <c r="D2135" i="1"/>
  <c r="C2135" i="1"/>
  <c r="M2134" i="1"/>
  <c r="K2134" i="1"/>
  <c r="J2134" i="1"/>
  <c r="I2134" i="1"/>
  <c r="H2134" i="1"/>
  <c r="G2134" i="1"/>
  <c r="F2134" i="1"/>
  <c r="E2134" i="1"/>
  <c r="D2134" i="1"/>
  <c r="C2134" i="1"/>
  <c r="M2133" i="1"/>
  <c r="K2133" i="1"/>
  <c r="J2133" i="1"/>
  <c r="I2133" i="1"/>
  <c r="H2133" i="1"/>
  <c r="G2133" i="1"/>
  <c r="F2133" i="1"/>
  <c r="E2133" i="1"/>
  <c r="D2133" i="1"/>
  <c r="C2133" i="1"/>
  <c r="M2132" i="1"/>
  <c r="K2132" i="1"/>
  <c r="J2132" i="1"/>
  <c r="I2132" i="1"/>
  <c r="H2132" i="1"/>
  <c r="G2132" i="1"/>
  <c r="F2132" i="1"/>
  <c r="E2132" i="1"/>
  <c r="D2132" i="1"/>
  <c r="C2132" i="1"/>
  <c r="M2131" i="1"/>
  <c r="K2131" i="1"/>
  <c r="J2131" i="1"/>
  <c r="I2131" i="1"/>
  <c r="H2131" i="1"/>
  <c r="G2131" i="1"/>
  <c r="F2131" i="1"/>
  <c r="E2131" i="1"/>
  <c r="D2131" i="1"/>
  <c r="C2131" i="1"/>
  <c r="M2130" i="1"/>
  <c r="K2130" i="1"/>
  <c r="J2130" i="1"/>
  <c r="I2130" i="1"/>
  <c r="H2130" i="1"/>
  <c r="G2130" i="1"/>
  <c r="F2130" i="1"/>
  <c r="E2130" i="1"/>
  <c r="D2130" i="1"/>
  <c r="C2130" i="1"/>
  <c r="M2129" i="1"/>
  <c r="K2129" i="1"/>
  <c r="J2129" i="1"/>
  <c r="I2129" i="1"/>
  <c r="H2129" i="1"/>
  <c r="G2129" i="1"/>
  <c r="F2129" i="1"/>
  <c r="E2129" i="1"/>
  <c r="D2129" i="1"/>
  <c r="C2129" i="1"/>
  <c r="M2128" i="1"/>
  <c r="K2128" i="1"/>
  <c r="J2128" i="1"/>
  <c r="I2128" i="1"/>
  <c r="H2128" i="1"/>
  <c r="G2128" i="1"/>
  <c r="F2128" i="1"/>
  <c r="E2128" i="1"/>
  <c r="D2128" i="1"/>
  <c r="C2128" i="1"/>
  <c r="M2127" i="1"/>
  <c r="K2127" i="1"/>
  <c r="J2127" i="1"/>
  <c r="I2127" i="1"/>
  <c r="H2127" i="1"/>
  <c r="G2127" i="1"/>
  <c r="F2127" i="1"/>
  <c r="E2127" i="1"/>
  <c r="D2127" i="1"/>
  <c r="C2127" i="1"/>
  <c r="M2126" i="1"/>
  <c r="K2126" i="1"/>
  <c r="J2126" i="1"/>
  <c r="I2126" i="1"/>
  <c r="H2126" i="1"/>
  <c r="G2126" i="1"/>
  <c r="F2126" i="1"/>
  <c r="E2126" i="1"/>
  <c r="D2126" i="1"/>
  <c r="C2126" i="1"/>
  <c r="M2125" i="1"/>
  <c r="K2125" i="1"/>
  <c r="J2125" i="1"/>
  <c r="I2125" i="1"/>
  <c r="H2125" i="1"/>
  <c r="G2125" i="1"/>
  <c r="F2125" i="1"/>
  <c r="E2125" i="1"/>
  <c r="D2125" i="1"/>
  <c r="C2125" i="1"/>
  <c r="M2124" i="1"/>
  <c r="K2124" i="1"/>
  <c r="J2124" i="1"/>
  <c r="I2124" i="1"/>
  <c r="H2124" i="1"/>
  <c r="G2124" i="1"/>
  <c r="F2124" i="1"/>
  <c r="E2124" i="1"/>
  <c r="D2124" i="1"/>
  <c r="C2124" i="1"/>
  <c r="M2123" i="1"/>
  <c r="K2123" i="1"/>
  <c r="J2123" i="1"/>
  <c r="I2123" i="1"/>
  <c r="H2123" i="1"/>
  <c r="G2123" i="1"/>
  <c r="F2123" i="1"/>
  <c r="E2123" i="1"/>
  <c r="D2123" i="1"/>
  <c r="C2123" i="1"/>
  <c r="M2122" i="1"/>
  <c r="K2122" i="1"/>
  <c r="J2122" i="1"/>
  <c r="I2122" i="1"/>
  <c r="H2122" i="1"/>
  <c r="G2122" i="1"/>
  <c r="F2122" i="1"/>
  <c r="E2122" i="1"/>
  <c r="D2122" i="1"/>
  <c r="C2122" i="1"/>
  <c r="M2121" i="1"/>
  <c r="K2121" i="1"/>
  <c r="J2121" i="1"/>
  <c r="I2121" i="1"/>
  <c r="H2121" i="1"/>
  <c r="G2121" i="1"/>
  <c r="F2121" i="1"/>
  <c r="E2121" i="1"/>
  <c r="D2121" i="1"/>
  <c r="C2121" i="1"/>
  <c r="M2120" i="1"/>
  <c r="K2120" i="1"/>
  <c r="J2120" i="1"/>
  <c r="I2120" i="1"/>
  <c r="H2120" i="1"/>
  <c r="G2120" i="1"/>
  <c r="F2120" i="1"/>
  <c r="E2120" i="1"/>
  <c r="D2120" i="1"/>
  <c r="C2120" i="1"/>
  <c r="M2119" i="1"/>
  <c r="K2119" i="1"/>
  <c r="J2119" i="1"/>
  <c r="I2119" i="1"/>
  <c r="H2119" i="1"/>
  <c r="G2119" i="1"/>
  <c r="F2119" i="1"/>
  <c r="E2119" i="1"/>
  <c r="D2119" i="1"/>
  <c r="C2119" i="1"/>
  <c r="M2118" i="1"/>
  <c r="K2118" i="1"/>
  <c r="J2118" i="1"/>
  <c r="I2118" i="1"/>
  <c r="H2118" i="1"/>
  <c r="G2118" i="1"/>
  <c r="F2118" i="1"/>
  <c r="E2118" i="1"/>
  <c r="D2118" i="1"/>
  <c r="C2118" i="1"/>
  <c r="M2117" i="1"/>
  <c r="K2117" i="1"/>
  <c r="J2117" i="1"/>
  <c r="I2117" i="1"/>
  <c r="H2117" i="1"/>
  <c r="G2117" i="1"/>
  <c r="F2117" i="1"/>
  <c r="E2117" i="1"/>
  <c r="D2117" i="1"/>
  <c r="C2117" i="1"/>
  <c r="M2116" i="1"/>
  <c r="K2116" i="1"/>
  <c r="J2116" i="1"/>
  <c r="I2116" i="1"/>
  <c r="H2116" i="1"/>
  <c r="G2116" i="1"/>
  <c r="F2116" i="1"/>
  <c r="E2116" i="1"/>
  <c r="D2116" i="1"/>
  <c r="C2116" i="1"/>
  <c r="M2115" i="1"/>
  <c r="K2115" i="1"/>
  <c r="J2115" i="1"/>
  <c r="I2115" i="1"/>
  <c r="H2115" i="1"/>
  <c r="G2115" i="1"/>
  <c r="F2115" i="1"/>
  <c r="E2115" i="1"/>
  <c r="D2115" i="1"/>
  <c r="C2115" i="1"/>
  <c r="M2114" i="1"/>
  <c r="K2114" i="1"/>
  <c r="J2114" i="1"/>
  <c r="I2114" i="1"/>
  <c r="H2114" i="1"/>
  <c r="G2114" i="1"/>
  <c r="F2114" i="1"/>
  <c r="E2114" i="1"/>
  <c r="D2114" i="1"/>
  <c r="C2114" i="1"/>
  <c r="M2113" i="1"/>
  <c r="K2113" i="1"/>
  <c r="J2113" i="1"/>
  <c r="I2113" i="1"/>
  <c r="H2113" i="1"/>
  <c r="G2113" i="1"/>
  <c r="F2113" i="1"/>
  <c r="E2113" i="1"/>
  <c r="D2113" i="1"/>
  <c r="C2113" i="1"/>
  <c r="M2112" i="1"/>
  <c r="K2112" i="1"/>
  <c r="J2112" i="1"/>
  <c r="I2112" i="1"/>
  <c r="H2112" i="1"/>
  <c r="G2112" i="1"/>
  <c r="F2112" i="1"/>
  <c r="E2112" i="1"/>
  <c r="D2112" i="1"/>
  <c r="C2112" i="1"/>
  <c r="M2111" i="1"/>
  <c r="K2111" i="1"/>
  <c r="J2111" i="1"/>
  <c r="I2111" i="1"/>
  <c r="H2111" i="1"/>
  <c r="G2111" i="1"/>
  <c r="F2111" i="1"/>
  <c r="E2111" i="1"/>
  <c r="D2111" i="1"/>
  <c r="C2111" i="1"/>
  <c r="M2110" i="1"/>
  <c r="K2110" i="1"/>
  <c r="J2110" i="1"/>
  <c r="I2110" i="1"/>
  <c r="H2110" i="1"/>
  <c r="G2110" i="1"/>
  <c r="F2110" i="1"/>
  <c r="E2110" i="1"/>
  <c r="D2110" i="1"/>
  <c r="C2110" i="1"/>
  <c r="M2109" i="1"/>
  <c r="K2109" i="1"/>
  <c r="J2109" i="1"/>
  <c r="I2109" i="1"/>
  <c r="H2109" i="1"/>
  <c r="G2109" i="1"/>
  <c r="F2109" i="1"/>
  <c r="E2109" i="1"/>
  <c r="D2109" i="1"/>
  <c r="C2109" i="1"/>
  <c r="M2108" i="1"/>
  <c r="K2108" i="1"/>
  <c r="J2108" i="1"/>
  <c r="I2108" i="1"/>
  <c r="H2108" i="1"/>
  <c r="G2108" i="1"/>
  <c r="F2108" i="1"/>
  <c r="E2108" i="1"/>
  <c r="D2108" i="1"/>
  <c r="C2108" i="1"/>
  <c r="M2107" i="1"/>
  <c r="K2107" i="1"/>
  <c r="J2107" i="1"/>
  <c r="I2107" i="1"/>
  <c r="H2107" i="1"/>
  <c r="G2107" i="1"/>
  <c r="F2107" i="1"/>
  <c r="E2107" i="1"/>
  <c r="D2107" i="1"/>
  <c r="C2107" i="1"/>
  <c r="M2106" i="1"/>
  <c r="K2106" i="1"/>
  <c r="J2106" i="1"/>
  <c r="I2106" i="1"/>
  <c r="H2106" i="1"/>
  <c r="G2106" i="1"/>
  <c r="F2106" i="1"/>
  <c r="E2106" i="1"/>
  <c r="D2106" i="1"/>
  <c r="C2106" i="1"/>
  <c r="M2105" i="1"/>
  <c r="K2105" i="1"/>
  <c r="J2105" i="1"/>
  <c r="I2105" i="1"/>
  <c r="H2105" i="1"/>
  <c r="G2105" i="1"/>
  <c r="F2105" i="1"/>
  <c r="E2105" i="1"/>
  <c r="D2105" i="1"/>
  <c r="C2105" i="1"/>
  <c r="M2104" i="1"/>
  <c r="K2104" i="1"/>
  <c r="J2104" i="1"/>
  <c r="I2104" i="1"/>
  <c r="H2104" i="1"/>
  <c r="G2104" i="1"/>
  <c r="F2104" i="1"/>
  <c r="E2104" i="1"/>
  <c r="D2104" i="1"/>
  <c r="C2104" i="1"/>
  <c r="M2103" i="1"/>
  <c r="K2103" i="1"/>
  <c r="J2103" i="1"/>
  <c r="I2103" i="1"/>
  <c r="H2103" i="1"/>
  <c r="G2103" i="1"/>
  <c r="F2103" i="1"/>
  <c r="E2103" i="1"/>
  <c r="D2103" i="1"/>
  <c r="C2103" i="1"/>
  <c r="M2102" i="1"/>
  <c r="K2102" i="1"/>
  <c r="J2102" i="1"/>
  <c r="I2102" i="1"/>
  <c r="H2102" i="1"/>
  <c r="G2102" i="1"/>
  <c r="F2102" i="1"/>
  <c r="E2102" i="1"/>
  <c r="D2102" i="1"/>
  <c r="C2102" i="1"/>
  <c r="M2101" i="1"/>
  <c r="K2101" i="1"/>
  <c r="J2101" i="1"/>
  <c r="I2101" i="1"/>
  <c r="H2101" i="1"/>
  <c r="G2101" i="1"/>
  <c r="F2101" i="1"/>
  <c r="E2101" i="1"/>
  <c r="D2101" i="1"/>
  <c r="C2101" i="1"/>
  <c r="M2100" i="1"/>
  <c r="K2100" i="1"/>
  <c r="J2100" i="1"/>
  <c r="I2100" i="1"/>
  <c r="H2100" i="1"/>
  <c r="G2100" i="1"/>
  <c r="F2100" i="1"/>
  <c r="E2100" i="1"/>
  <c r="D2100" i="1"/>
  <c r="C2100" i="1"/>
  <c r="M2099" i="1"/>
  <c r="K2099" i="1"/>
  <c r="J2099" i="1"/>
  <c r="I2099" i="1"/>
  <c r="H2099" i="1"/>
  <c r="G2099" i="1"/>
  <c r="F2099" i="1"/>
  <c r="E2099" i="1"/>
  <c r="D2099" i="1"/>
  <c r="C2099" i="1"/>
  <c r="M2098" i="1"/>
  <c r="K2098" i="1"/>
  <c r="J2098" i="1"/>
  <c r="I2098" i="1"/>
  <c r="H2098" i="1"/>
  <c r="G2098" i="1"/>
  <c r="F2098" i="1"/>
  <c r="E2098" i="1"/>
  <c r="D2098" i="1"/>
  <c r="C2098" i="1"/>
  <c r="M2097" i="1"/>
  <c r="K2097" i="1"/>
  <c r="J2097" i="1"/>
  <c r="I2097" i="1"/>
  <c r="H2097" i="1"/>
  <c r="G2097" i="1"/>
  <c r="F2097" i="1"/>
  <c r="E2097" i="1"/>
  <c r="D2097" i="1"/>
  <c r="C2097" i="1"/>
  <c r="M2096" i="1"/>
  <c r="K2096" i="1"/>
  <c r="J2096" i="1"/>
  <c r="I2096" i="1"/>
  <c r="H2096" i="1"/>
  <c r="G2096" i="1"/>
  <c r="F2096" i="1"/>
  <c r="E2096" i="1"/>
  <c r="D2096" i="1"/>
  <c r="C2096" i="1"/>
  <c r="M2095" i="1"/>
  <c r="K2095" i="1"/>
  <c r="J2095" i="1"/>
  <c r="I2095" i="1"/>
  <c r="H2095" i="1"/>
  <c r="G2095" i="1"/>
  <c r="F2095" i="1"/>
  <c r="E2095" i="1"/>
  <c r="D2095" i="1"/>
  <c r="C2095" i="1"/>
  <c r="M2094" i="1"/>
  <c r="K2094" i="1"/>
  <c r="J2094" i="1"/>
  <c r="I2094" i="1"/>
  <c r="H2094" i="1"/>
  <c r="G2094" i="1"/>
  <c r="F2094" i="1"/>
  <c r="E2094" i="1"/>
  <c r="D2094" i="1"/>
  <c r="C2094" i="1"/>
  <c r="M2093" i="1"/>
  <c r="K2093" i="1"/>
  <c r="J2093" i="1"/>
  <c r="I2093" i="1"/>
  <c r="H2093" i="1"/>
  <c r="G2093" i="1"/>
  <c r="F2093" i="1"/>
  <c r="E2093" i="1"/>
  <c r="D2093" i="1"/>
  <c r="C2093" i="1"/>
  <c r="M2092" i="1"/>
  <c r="K2092" i="1"/>
  <c r="J2092" i="1"/>
  <c r="I2092" i="1"/>
  <c r="H2092" i="1"/>
  <c r="G2092" i="1"/>
  <c r="F2092" i="1"/>
  <c r="E2092" i="1"/>
  <c r="D2092" i="1"/>
  <c r="C2092" i="1"/>
  <c r="M2091" i="1"/>
  <c r="K2091" i="1"/>
  <c r="J2091" i="1"/>
  <c r="I2091" i="1"/>
  <c r="H2091" i="1"/>
  <c r="G2091" i="1"/>
  <c r="F2091" i="1"/>
  <c r="E2091" i="1"/>
  <c r="D2091" i="1"/>
  <c r="C2091" i="1"/>
  <c r="M2090" i="1"/>
  <c r="K2090" i="1"/>
  <c r="J2090" i="1"/>
  <c r="I2090" i="1"/>
  <c r="H2090" i="1"/>
  <c r="G2090" i="1"/>
  <c r="F2090" i="1"/>
  <c r="E2090" i="1"/>
  <c r="D2090" i="1"/>
  <c r="C2090" i="1"/>
  <c r="M2089" i="1"/>
  <c r="K2089" i="1"/>
  <c r="J2089" i="1"/>
  <c r="I2089" i="1"/>
  <c r="H2089" i="1"/>
  <c r="G2089" i="1"/>
  <c r="F2089" i="1"/>
  <c r="E2089" i="1"/>
  <c r="D2089" i="1"/>
  <c r="C2089" i="1"/>
  <c r="M2088" i="1"/>
  <c r="K2088" i="1"/>
  <c r="J2088" i="1"/>
  <c r="I2088" i="1"/>
  <c r="H2088" i="1"/>
  <c r="G2088" i="1"/>
  <c r="F2088" i="1"/>
  <c r="E2088" i="1"/>
  <c r="D2088" i="1"/>
  <c r="C2088" i="1"/>
  <c r="M2087" i="1"/>
  <c r="K2087" i="1"/>
  <c r="J2087" i="1"/>
  <c r="I2087" i="1"/>
  <c r="H2087" i="1"/>
  <c r="G2087" i="1"/>
  <c r="F2087" i="1"/>
  <c r="E2087" i="1"/>
  <c r="D2087" i="1"/>
  <c r="C2087" i="1"/>
  <c r="M2086" i="1"/>
  <c r="K2086" i="1"/>
  <c r="J2086" i="1"/>
  <c r="I2086" i="1"/>
  <c r="H2086" i="1"/>
  <c r="G2086" i="1"/>
  <c r="F2086" i="1"/>
  <c r="E2086" i="1"/>
  <c r="D2086" i="1"/>
  <c r="C2086" i="1"/>
  <c r="M2085" i="1"/>
  <c r="K2085" i="1"/>
  <c r="J2085" i="1"/>
  <c r="I2085" i="1"/>
  <c r="H2085" i="1"/>
  <c r="G2085" i="1"/>
  <c r="F2085" i="1"/>
  <c r="E2085" i="1"/>
  <c r="D2085" i="1"/>
  <c r="C2085" i="1"/>
  <c r="M2084" i="1"/>
  <c r="K2084" i="1"/>
  <c r="J2084" i="1"/>
  <c r="I2084" i="1"/>
  <c r="H2084" i="1"/>
  <c r="G2084" i="1"/>
  <c r="F2084" i="1"/>
  <c r="E2084" i="1"/>
  <c r="D2084" i="1"/>
  <c r="C2084" i="1"/>
  <c r="M2083" i="1"/>
  <c r="K2083" i="1"/>
  <c r="J2083" i="1"/>
  <c r="I2083" i="1"/>
  <c r="H2083" i="1"/>
  <c r="G2083" i="1"/>
  <c r="F2083" i="1"/>
  <c r="E2083" i="1"/>
  <c r="D2083" i="1"/>
  <c r="C2083" i="1"/>
  <c r="M2082" i="1"/>
  <c r="K2082" i="1"/>
  <c r="J2082" i="1"/>
  <c r="I2082" i="1"/>
  <c r="H2082" i="1"/>
  <c r="G2082" i="1"/>
  <c r="F2082" i="1"/>
  <c r="E2082" i="1"/>
  <c r="D2082" i="1"/>
  <c r="C2082" i="1"/>
  <c r="M2081" i="1"/>
  <c r="K2081" i="1"/>
  <c r="J2081" i="1"/>
  <c r="I2081" i="1"/>
  <c r="H2081" i="1"/>
  <c r="G2081" i="1"/>
  <c r="F2081" i="1"/>
  <c r="E2081" i="1"/>
  <c r="D2081" i="1"/>
  <c r="C2081" i="1"/>
  <c r="M2080" i="1"/>
  <c r="K2080" i="1"/>
  <c r="J2080" i="1"/>
  <c r="I2080" i="1"/>
  <c r="H2080" i="1"/>
  <c r="G2080" i="1"/>
  <c r="F2080" i="1"/>
  <c r="E2080" i="1"/>
  <c r="D2080" i="1"/>
  <c r="C2080" i="1"/>
  <c r="M2079" i="1"/>
  <c r="K2079" i="1"/>
  <c r="J2079" i="1"/>
  <c r="I2079" i="1"/>
  <c r="H2079" i="1"/>
  <c r="G2079" i="1"/>
  <c r="F2079" i="1"/>
  <c r="E2079" i="1"/>
  <c r="D2079" i="1"/>
  <c r="C2079" i="1"/>
  <c r="M2078" i="1"/>
  <c r="K2078" i="1"/>
  <c r="J2078" i="1"/>
  <c r="I2078" i="1"/>
  <c r="H2078" i="1"/>
  <c r="G2078" i="1"/>
  <c r="F2078" i="1"/>
  <c r="E2078" i="1"/>
  <c r="D2078" i="1"/>
  <c r="C2078" i="1"/>
  <c r="M2077" i="1"/>
  <c r="K2077" i="1"/>
  <c r="J2077" i="1"/>
  <c r="I2077" i="1"/>
  <c r="H2077" i="1"/>
  <c r="G2077" i="1"/>
  <c r="F2077" i="1"/>
  <c r="E2077" i="1"/>
  <c r="D2077" i="1"/>
  <c r="C2077" i="1"/>
  <c r="M2076" i="1"/>
  <c r="K2076" i="1"/>
  <c r="J2076" i="1"/>
  <c r="I2076" i="1"/>
  <c r="H2076" i="1"/>
  <c r="G2076" i="1"/>
  <c r="F2076" i="1"/>
  <c r="E2076" i="1"/>
  <c r="D2076" i="1"/>
  <c r="C2076" i="1"/>
  <c r="M2075" i="1"/>
  <c r="K2075" i="1"/>
  <c r="J2075" i="1"/>
  <c r="I2075" i="1"/>
  <c r="H2075" i="1"/>
  <c r="G2075" i="1"/>
  <c r="F2075" i="1"/>
  <c r="E2075" i="1"/>
  <c r="D2075" i="1"/>
  <c r="C2075" i="1"/>
  <c r="M2074" i="1"/>
  <c r="K2074" i="1"/>
  <c r="J2074" i="1"/>
  <c r="I2074" i="1"/>
  <c r="H2074" i="1"/>
  <c r="G2074" i="1"/>
  <c r="F2074" i="1"/>
  <c r="E2074" i="1"/>
  <c r="D2074" i="1"/>
  <c r="C2074" i="1"/>
  <c r="M2073" i="1"/>
  <c r="K2073" i="1"/>
  <c r="J2073" i="1"/>
  <c r="I2073" i="1"/>
  <c r="H2073" i="1"/>
  <c r="G2073" i="1"/>
  <c r="F2073" i="1"/>
  <c r="E2073" i="1"/>
  <c r="D2073" i="1"/>
  <c r="C2073" i="1"/>
  <c r="M2072" i="1"/>
  <c r="K2072" i="1"/>
  <c r="J2072" i="1"/>
  <c r="I2072" i="1"/>
  <c r="H2072" i="1"/>
  <c r="G2072" i="1"/>
  <c r="F2072" i="1"/>
  <c r="E2072" i="1"/>
  <c r="D2072" i="1"/>
  <c r="C2072" i="1"/>
  <c r="M2071" i="1"/>
  <c r="K2071" i="1"/>
  <c r="J2071" i="1"/>
  <c r="I2071" i="1"/>
  <c r="H2071" i="1"/>
  <c r="G2071" i="1"/>
  <c r="F2071" i="1"/>
  <c r="E2071" i="1"/>
  <c r="D2071" i="1"/>
  <c r="C2071" i="1"/>
  <c r="M2070" i="1"/>
  <c r="K2070" i="1"/>
  <c r="J2070" i="1"/>
  <c r="I2070" i="1"/>
  <c r="H2070" i="1"/>
  <c r="G2070" i="1"/>
  <c r="F2070" i="1"/>
  <c r="E2070" i="1"/>
  <c r="D2070" i="1"/>
  <c r="C2070" i="1"/>
  <c r="M2069" i="1"/>
  <c r="K2069" i="1"/>
  <c r="J2069" i="1"/>
  <c r="I2069" i="1"/>
  <c r="H2069" i="1"/>
  <c r="G2069" i="1"/>
  <c r="F2069" i="1"/>
  <c r="E2069" i="1"/>
  <c r="D2069" i="1"/>
  <c r="C2069" i="1"/>
  <c r="M2068" i="1"/>
  <c r="K2068" i="1"/>
  <c r="J2068" i="1"/>
  <c r="I2068" i="1"/>
  <c r="H2068" i="1"/>
  <c r="G2068" i="1"/>
  <c r="F2068" i="1"/>
  <c r="E2068" i="1"/>
  <c r="D2068" i="1"/>
  <c r="C2068" i="1"/>
  <c r="M2067" i="1"/>
  <c r="K2067" i="1"/>
  <c r="J2067" i="1"/>
  <c r="I2067" i="1"/>
  <c r="H2067" i="1"/>
  <c r="G2067" i="1"/>
  <c r="F2067" i="1"/>
  <c r="E2067" i="1"/>
  <c r="D2067" i="1"/>
  <c r="C2067" i="1"/>
  <c r="M2066" i="1"/>
  <c r="K2066" i="1"/>
  <c r="J2066" i="1"/>
  <c r="I2066" i="1"/>
  <c r="H2066" i="1"/>
  <c r="G2066" i="1"/>
  <c r="F2066" i="1"/>
  <c r="E2066" i="1"/>
  <c r="D2066" i="1"/>
  <c r="C2066" i="1"/>
  <c r="M2065" i="1"/>
  <c r="K2065" i="1"/>
  <c r="J2065" i="1"/>
  <c r="I2065" i="1"/>
  <c r="H2065" i="1"/>
  <c r="G2065" i="1"/>
  <c r="F2065" i="1"/>
  <c r="E2065" i="1"/>
  <c r="D2065" i="1"/>
  <c r="C2065" i="1"/>
  <c r="M2064" i="1"/>
  <c r="K2064" i="1"/>
  <c r="J2064" i="1"/>
  <c r="I2064" i="1"/>
  <c r="H2064" i="1"/>
  <c r="G2064" i="1"/>
  <c r="F2064" i="1"/>
  <c r="E2064" i="1"/>
  <c r="D2064" i="1"/>
  <c r="C2064" i="1"/>
  <c r="M2063" i="1"/>
  <c r="K2063" i="1"/>
  <c r="J2063" i="1"/>
  <c r="I2063" i="1"/>
  <c r="H2063" i="1"/>
  <c r="G2063" i="1"/>
  <c r="F2063" i="1"/>
  <c r="E2063" i="1"/>
  <c r="D2063" i="1"/>
  <c r="C2063" i="1"/>
  <c r="M2062" i="1"/>
  <c r="K2062" i="1"/>
  <c r="J2062" i="1"/>
  <c r="I2062" i="1"/>
  <c r="H2062" i="1"/>
  <c r="G2062" i="1"/>
  <c r="F2062" i="1"/>
  <c r="E2062" i="1"/>
  <c r="D2062" i="1"/>
  <c r="C2062" i="1"/>
  <c r="M2061" i="1"/>
  <c r="K2061" i="1"/>
  <c r="J2061" i="1"/>
  <c r="I2061" i="1"/>
  <c r="H2061" i="1"/>
  <c r="G2061" i="1"/>
  <c r="F2061" i="1"/>
  <c r="E2061" i="1"/>
  <c r="D2061" i="1"/>
  <c r="C2061" i="1"/>
  <c r="M2060" i="1"/>
  <c r="K2060" i="1"/>
  <c r="J2060" i="1"/>
  <c r="I2060" i="1"/>
  <c r="H2060" i="1"/>
  <c r="G2060" i="1"/>
  <c r="F2060" i="1"/>
  <c r="E2060" i="1"/>
  <c r="D2060" i="1"/>
  <c r="C2060" i="1"/>
  <c r="M2059" i="1"/>
  <c r="K2059" i="1"/>
  <c r="J2059" i="1"/>
  <c r="I2059" i="1"/>
  <c r="H2059" i="1"/>
  <c r="G2059" i="1"/>
  <c r="F2059" i="1"/>
  <c r="E2059" i="1"/>
  <c r="D2059" i="1"/>
  <c r="C2059" i="1"/>
  <c r="M2058" i="1"/>
  <c r="K2058" i="1"/>
  <c r="J2058" i="1"/>
  <c r="I2058" i="1"/>
  <c r="H2058" i="1"/>
  <c r="G2058" i="1"/>
  <c r="F2058" i="1"/>
  <c r="E2058" i="1"/>
  <c r="D2058" i="1"/>
  <c r="C2058" i="1"/>
  <c r="M2057" i="1"/>
  <c r="K2057" i="1"/>
  <c r="J2057" i="1"/>
  <c r="I2057" i="1"/>
  <c r="H2057" i="1"/>
  <c r="G2057" i="1"/>
  <c r="F2057" i="1"/>
  <c r="E2057" i="1"/>
  <c r="D2057" i="1"/>
  <c r="C2057" i="1"/>
  <c r="M2056" i="1"/>
  <c r="K2056" i="1"/>
  <c r="J2056" i="1"/>
  <c r="I2056" i="1"/>
  <c r="H2056" i="1"/>
  <c r="G2056" i="1"/>
  <c r="F2056" i="1"/>
  <c r="E2056" i="1"/>
  <c r="D2056" i="1"/>
  <c r="C2056" i="1"/>
  <c r="M2055" i="1"/>
  <c r="K2055" i="1"/>
  <c r="J2055" i="1"/>
  <c r="I2055" i="1"/>
  <c r="H2055" i="1"/>
  <c r="G2055" i="1"/>
  <c r="F2055" i="1"/>
  <c r="E2055" i="1"/>
  <c r="D2055" i="1"/>
  <c r="C2055" i="1"/>
  <c r="M2054" i="1"/>
  <c r="K2054" i="1"/>
  <c r="J2054" i="1"/>
  <c r="I2054" i="1"/>
  <c r="H2054" i="1"/>
  <c r="G2054" i="1"/>
  <c r="F2054" i="1"/>
  <c r="E2054" i="1"/>
  <c r="D2054" i="1"/>
  <c r="C2054" i="1"/>
  <c r="M2053" i="1"/>
  <c r="K2053" i="1"/>
  <c r="J2053" i="1"/>
  <c r="I2053" i="1"/>
  <c r="H2053" i="1"/>
  <c r="G2053" i="1"/>
  <c r="F2053" i="1"/>
  <c r="E2053" i="1"/>
  <c r="D2053" i="1"/>
  <c r="C2053" i="1"/>
  <c r="M2052" i="1"/>
  <c r="K2052" i="1"/>
  <c r="J2052" i="1"/>
  <c r="I2052" i="1"/>
  <c r="H2052" i="1"/>
  <c r="G2052" i="1"/>
  <c r="F2052" i="1"/>
  <c r="E2052" i="1"/>
  <c r="D2052" i="1"/>
  <c r="C2052" i="1"/>
  <c r="M2051" i="1"/>
  <c r="K2051" i="1"/>
  <c r="J2051" i="1"/>
  <c r="I2051" i="1"/>
  <c r="H2051" i="1"/>
  <c r="G2051" i="1"/>
  <c r="F2051" i="1"/>
  <c r="E2051" i="1"/>
  <c r="D2051" i="1"/>
  <c r="C2051" i="1"/>
  <c r="M2050" i="1"/>
  <c r="K2050" i="1"/>
  <c r="J2050" i="1"/>
  <c r="I2050" i="1"/>
  <c r="H2050" i="1"/>
  <c r="G2050" i="1"/>
  <c r="F2050" i="1"/>
  <c r="E2050" i="1"/>
  <c r="D2050" i="1"/>
  <c r="C2050" i="1"/>
  <c r="M2049" i="1"/>
  <c r="K2049" i="1"/>
  <c r="J2049" i="1"/>
  <c r="I2049" i="1"/>
  <c r="H2049" i="1"/>
  <c r="G2049" i="1"/>
  <c r="F2049" i="1"/>
  <c r="E2049" i="1"/>
  <c r="D2049" i="1"/>
  <c r="C2049" i="1"/>
  <c r="M2048" i="1"/>
  <c r="K2048" i="1"/>
  <c r="J2048" i="1"/>
  <c r="I2048" i="1"/>
  <c r="H2048" i="1"/>
  <c r="G2048" i="1"/>
  <c r="F2048" i="1"/>
  <c r="E2048" i="1"/>
  <c r="D2048" i="1"/>
  <c r="C2048" i="1"/>
  <c r="M2047" i="1"/>
  <c r="K2047" i="1"/>
  <c r="J2047" i="1"/>
  <c r="I2047" i="1"/>
  <c r="H2047" i="1"/>
  <c r="G2047" i="1"/>
  <c r="F2047" i="1"/>
  <c r="E2047" i="1"/>
  <c r="D2047" i="1"/>
  <c r="C2047" i="1"/>
  <c r="M2046" i="1"/>
  <c r="K2046" i="1"/>
  <c r="J2046" i="1"/>
  <c r="I2046" i="1"/>
  <c r="H2046" i="1"/>
  <c r="G2046" i="1"/>
  <c r="F2046" i="1"/>
  <c r="E2046" i="1"/>
  <c r="D2046" i="1"/>
  <c r="C2046" i="1"/>
  <c r="M2045" i="1"/>
  <c r="K2045" i="1"/>
  <c r="J2045" i="1"/>
  <c r="I2045" i="1"/>
  <c r="H2045" i="1"/>
  <c r="G2045" i="1"/>
  <c r="F2045" i="1"/>
  <c r="E2045" i="1"/>
  <c r="D2045" i="1"/>
  <c r="C2045" i="1"/>
  <c r="M2044" i="1"/>
  <c r="K2044" i="1"/>
  <c r="J2044" i="1"/>
  <c r="I2044" i="1"/>
  <c r="H2044" i="1"/>
  <c r="G2044" i="1"/>
  <c r="F2044" i="1"/>
  <c r="E2044" i="1"/>
  <c r="D2044" i="1"/>
  <c r="C2044" i="1"/>
  <c r="M2043" i="1"/>
  <c r="K2043" i="1"/>
  <c r="J2043" i="1"/>
  <c r="I2043" i="1"/>
  <c r="H2043" i="1"/>
  <c r="G2043" i="1"/>
  <c r="F2043" i="1"/>
  <c r="E2043" i="1"/>
  <c r="D2043" i="1"/>
  <c r="C2043" i="1"/>
  <c r="M2042" i="1"/>
  <c r="K2042" i="1"/>
  <c r="J2042" i="1"/>
  <c r="I2042" i="1"/>
  <c r="H2042" i="1"/>
  <c r="G2042" i="1"/>
  <c r="F2042" i="1"/>
  <c r="E2042" i="1"/>
  <c r="D2042" i="1"/>
  <c r="C2042" i="1"/>
  <c r="M2041" i="1"/>
  <c r="K2041" i="1"/>
  <c r="J2041" i="1"/>
  <c r="I2041" i="1"/>
  <c r="H2041" i="1"/>
  <c r="G2041" i="1"/>
  <c r="F2041" i="1"/>
  <c r="E2041" i="1"/>
  <c r="D2041" i="1"/>
  <c r="C2041" i="1"/>
  <c r="M2040" i="1"/>
  <c r="K2040" i="1"/>
  <c r="J2040" i="1"/>
  <c r="I2040" i="1"/>
  <c r="H2040" i="1"/>
  <c r="G2040" i="1"/>
  <c r="F2040" i="1"/>
  <c r="E2040" i="1"/>
  <c r="D2040" i="1"/>
  <c r="C2040" i="1"/>
  <c r="M2039" i="1"/>
  <c r="K2039" i="1"/>
  <c r="J2039" i="1"/>
  <c r="I2039" i="1"/>
  <c r="H2039" i="1"/>
  <c r="G2039" i="1"/>
  <c r="F2039" i="1"/>
  <c r="E2039" i="1"/>
  <c r="D2039" i="1"/>
  <c r="C2039" i="1"/>
  <c r="M2038" i="1"/>
  <c r="K2038" i="1"/>
  <c r="J2038" i="1"/>
  <c r="I2038" i="1"/>
  <c r="H2038" i="1"/>
  <c r="G2038" i="1"/>
  <c r="F2038" i="1"/>
  <c r="E2038" i="1"/>
  <c r="D2038" i="1"/>
  <c r="C2038" i="1"/>
  <c r="M2037" i="1"/>
  <c r="K2037" i="1"/>
  <c r="J2037" i="1"/>
  <c r="I2037" i="1"/>
  <c r="H2037" i="1"/>
  <c r="G2037" i="1"/>
  <c r="F2037" i="1"/>
  <c r="E2037" i="1"/>
  <c r="D2037" i="1"/>
  <c r="C2037" i="1"/>
  <c r="M2036" i="1"/>
  <c r="K2036" i="1"/>
  <c r="J2036" i="1"/>
  <c r="I2036" i="1"/>
  <c r="H2036" i="1"/>
  <c r="G2036" i="1"/>
  <c r="F2036" i="1"/>
  <c r="E2036" i="1"/>
  <c r="D2036" i="1"/>
  <c r="C2036" i="1"/>
  <c r="M2035" i="1"/>
  <c r="K2035" i="1"/>
  <c r="J2035" i="1"/>
  <c r="I2035" i="1"/>
  <c r="H2035" i="1"/>
  <c r="G2035" i="1"/>
  <c r="F2035" i="1"/>
  <c r="E2035" i="1"/>
  <c r="D2035" i="1"/>
  <c r="C2035" i="1"/>
  <c r="M2034" i="1"/>
  <c r="K2034" i="1"/>
  <c r="J2034" i="1"/>
  <c r="I2034" i="1"/>
  <c r="H2034" i="1"/>
  <c r="G2034" i="1"/>
  <c r="F2034" i="1"/>
  <c r="E2034" i="1"/>
  <c r="D2034" i="1"/>
  <c r="C2034" i="1"/>
  <c r="M2033" i="1"/>
  <c r="K2033" i="1"/>
  <c r="J2033" i="1"/>
  <c r="I2033" i="1"/>
  <c r="H2033" i="1"/>
  <c r="G2033" i="1"/>
  <c r="F2033" i="1"/>
  <c r="E2033" i="1"/>
  <c r="D2033" i="1"/>
  <c r="C2033" i="1"/>
  <c r="M2032" i="1"/>
  <c r="K2032" i="1"/>
  <c r="J2032" i="1"/>
  <c r="I2032" i="1"/>
  <c r="H2032" i="1"/>
  <c r="G2032" i="1"/>
  <c r="F2032" i="1"/>
  <c r="E2032" i="1"/>
  <c r="D2032" i="1"/>
  <c r="C2032" i="1"/>
  <c r="M2031" i="1"/>
  <c r="K2031" i="1"/>
  <c r="J2031" i="1"/>
  <c r="I2031" i="1"/>
  <c r="H2031" i="1"/>
  <c r="G2031" i="1"/>
  <c r="F2031" i="1"/>
  <c r="E2031" i="1"/>
  <c r="D2031" i="1"/>
  <c r="C2031" i="1"/>
  <c r="M2030" i="1"/>
  <c r="K2030" i="1"/>
  <c r="J2030" i="1"/>
  <c r="I2030" i="1"/>
  <c r="H2030" i="1"/>
  <c r="G2030" i="1"/>
  <c r="F2030" i="1"/>
  <c r="E2030" i="1"/>
  <c r="D2030" i="1"/>
  <c r="C2030" i="1"/>
  <c r="M2029" i="1"/>
  <c r="K2029" i="1"/>
  <c r="J2029" i="1"/>
  <c r="I2029" i="1"/>
  <c r="H2029" i="1"/>
  <c r="G2029" i="1"/>
  <c r="F2029" i="1"/>
  <c r="E2029" i="1"/>
  <c r="D2029" i="1"/>
  <c r="C2029" i="1"/>
  <c r="M2028" i="1"/>
  <c r="K2028" i="1"/>
  <c r="J2028" i="1"/>
  <c r="I2028" i="1"/>
  <c r="H2028" i="1"/>
  <c r="G2028" i="1"/>
  <c r="F2028" i="1"/>
  <c r="E2028" i="1"/>
  <c r="D2028" i="1"/>
  <c r="C2028" i="1"/>
  <c r="M2027" i="1"/>
  <c r="K2027" i="1"/>
  <c r="J2027" i="1"/>
  <c r="I2027" i="1"/>
  <c r="H2027" i="1"/>
  <c r="G2027" i="1"/>
  <c r="F2027" i="1"/>
  <c r="E2027" i="1"/>
  <c r="D2027" i="1"/>
  <c r="C2027" i="1"/>
  <c r="M2026" i="1"/>
  <c r="K2026" i="1"/>
  <c r="J2026" i="1"/>
  <c r="I2026" i="1"/>
  <c r="H2026" i="1"/>
  <c r="G2026" i="1"/>
  <c r="F2026" i="1"/>
  <c r="E2026" i="1"/>
  <c r="D2026" i="1"/>
  <c r="C2026" i="1"/>
  <c r="M2025" i="1"/>
  <c r="K2025" i="1"/>
  <c r="J2025" i="1"/>
  <c r="I2025" i="1"/>
  <c r="H2025" i="1"/>
  <c r="G2025" i="1"/>
  <c r="F2025" i="1"/>
  <c r="E2025" i="1"/>
  <c r="D2025" i="1"/>
  <c r="C2025" i="1"/>
  <c r="M2024" i="1"/>
  <c r="K2024" i="1"/>
  <c r="J2024" i="1"/>
  <c r="I2024" i="1"/>
  <c r="H2024" i="1"/>
  <c r="G2024" i="1"/>
  <c r="F2024" i="1"/>
  <c r="E2024" i="1"/>
  <c r="D2024" i="1"/>
  <c r="C2024" i="1"/>
  <c r="M2023" i="1"/>
  <c r="K2023" i="1"/>
  <c r="J2023" i="1"/>
  <c r="I2023" i="1"/>
  <c r="H2023" i="1"/>
  <c r="G2023" i="1"/>
  <c r="F2023" i="1"/>
  <c r="E2023" i="1"/>
  <c r="D2023" i="1"/>
  <c r="C2023" i="1"/>
  <c r="M2022" i="1"/>
  <c r="K2022" i="1"/>
  <c r="J2022" i="1"/>
  <c r="I2022" i="1"/>
  <c r="H2022" i="1"/>
  <c r="G2022" i="1"/>
  <c r="F2022" i="1"/>
  <c r="E2022" i="1"/>
  <c r="D2022" i="1"/>
  <c r="C2022" i="1"/>
  <c r="M2021" i="1"/>
  <c r="K2021" i="1"/>
  <c r="J2021" i="1"/>
  <c r="I2021" i="1"/>
  <c r="H2021" i="1"/>
  <c r="G2021" i="1"/>
  <c r="F2021" i="1"/>
  <c r="E2021" i="1"/>
  <c r="D2021" i="1"/>
  <c r="C2021" i="1"/>
  <c r="M2020" i="1"/>
  <c r="K2020" i="1"/>
  <c r="J2020" i="1"/>
  <c r="I2020" i="1"/>
  <c r="H2020" i="1"/>
  <c r="G2020" i="1"/>
  <c r="F2020" i="1"/>
  <c r="E2020" i="1"/>
  <c r="D2020" i="1"/>
  <c r="C2020" i="1"/>
  <c r="M2019" i="1"/>
  <c r="K2019" i="1"/>
  <c r="J2019" i="1"/>
  <c r="I2019" i="1"/>
  <c r="H2019" i="1"/>
  <c r="G2019" i="1"/>
  <c r="F2019" i="1"/>
  <c r="E2019" i="1"/>
  <c r="D2019" i="1"/>
  <c r="C2019" i="1"/>
  <c r="M2018" i="1"/>
  <c r="K2018" i="1"/>
  <c r="J2018" i="1"/>
  <c r="I2018" i="1"/>
  <c r="H2018" i="1"/>
  <c r="G2018" i="1"/>
  <c r="F2018" i="1"/>
  <c r="E2018" i="1"/>
  <c r="D2018" i="1"/>
  <c r="C2018" i="1"/>
  <c r="M2017" i="1"/>
  <c r="K2017" i="1"/>
  <c r="J2017" i="1"/>
  <c r="I2017" i="1"/>
  <c r="H2017" i="1"/>
  <c r="G2017" i="1"/>
  <c r="F2017" i="1"/>
  <c r="E2017" i="1"/>
  <c r="D2017" i="1"/>
  <c r="C2017" i="1"/>
  <c r="M2016" i="1"/>
  <c r="K2016" i="1"/>
  <c r="J2016" i="1"/>
  <c r="I2016" i="1"/>
  <c r="H2016" i="1"/>
  <c r="G2016" i="1"/>
  <c r="F2016" i="1"/>
  <c r="E2016" i="1"/>
  <c r="D2016" i="1"/>
  <c r="C2016" i="1"/>
  <c r="M2015" i="1"/>
  <c r="K2015" i="1"/>
  <c r="J2015" i="1"/>
  <c r="I2015" i="1"/>
  <c r="H2015" i="1"/>
  <c r="G2015" i="1"/>
  <c r="F2015" i="1"/>
  <c r="E2015" i="1"/>
  <c r="D2015" i="1"/>
  <c r="C2015" i="1"/>
  <c r="M2014" i="1"/>
  <c r="K2014" i="1"/>
  <c r="J2014" i="1"/>
  <c r="I2014" i="1"/>
  <c r="H2014" i="1"/>
  <c r="G2014" i="1"/>
  <c r="F2014" i="1"/>
  <c r="E2014" i="1"/>
  <c r="D2014" i="1"/>
  <c r="C2014" i="1"/>
  <c r="M2013" i="1"/>
  <c r="K2013" i="1"/>
  <c r="J2013" i="1"/>
  <c r="I2013" i="1"/>
  <c r="H2013" i="1"/>
  <c r="G2013" i="1"/>
  <c r="F2013" i="1"/>
  <c r="E2013" i="1"/>
  <c r="D2013" i="1"/>
  <c r="C2013" i="1"/>
  <c r="M2012" i="1"/>
  <c r="K2012" i="1"/>
  <c r="J2012" i="1"/>
  <c r="I2012" i="1"/>
  <c r="H2012" i="1"/>
  <c r="G2012" i="1"/>
  <c r="F2012" i="1"/>
  <c r="E2012" i="1"/>
  <c r="D2012" i="1"/>
  <c r="C2012" i="1"/>
  <c r="M2011" i="1"/>
  <c r="K2011" i="1"/>
  <c r="J2011" i="1"/>
  <c r="I2011" i="1"/>
  <c r="H2011" i="1"/>
  <c r="G2011" i="1"/>
  <c r="F2011" i="1"/>
  <c r="E2011" i="1"/>
  <c r="D2011" i="1"/>
  <c r="C2011" i="1"/>
  <c r="M2010" i="1"/>
  <c r="K2010" i="1"/>
  <c r="J2010" i="1"/>
  <c r="I2010" i="1"/>
  <c r="H2010" i="1"/>
  <c r="G2010" i="1"/>
  <c r="F2010" i="1"/>
  <c r="E2010" i="1"/>
  <c r="D2010" i="1"/>
  <c r="C2010" i="1"/>
  <c r="M2009" i="1"/>
  <c r="K2009" i="1"/>
  <c r="J2009" i="1"/>
  <c r="I2009" i="1"/>
  <c r="H2009" i="1"/>
  <c r="G2009" i="1"/>
  <c r="F2009" i="1"/>
  <c r="E2009" i="1"/>
  <c r="D2009" i="1"/>
  <c r="C2009" i="1"/>
  <c r="M2008" i="1"/>
  <c r="K2008" i="1"/>
  <c r="J2008" i="1"/>
  <c r="I2008" i="1"/>
  <c r="H2008" i="1"/>
  <c r="G2008" i="1"/>
  <c r="F2008" i="1"/>
  <c r="E2008" i="1"/>
  <c r="D2008" i="1"/>
  <c r="C2008" i="1"/>
  <c r="M2007" i="1"/>
  <c r="K2007" i="1"/>
  <c r="J2007" i="1"/>
  <c r="I2007" i="1"/>
  <c r="H2007" i="1"/>
  <c r="G2007" i="1"/>
  <c r="F2007" i="1"/>
  <c r="E2007" i="1"/>
  <c r="D2007" i="1"/>
  <c r="C2007" i="1"/>
  <c r="M2006" i="1"/>
  <c r="K2006" i="1"/>
  <c r="J2006" i="1"/>
  <c r="I2006" i="1"/>
  <c r="H2006" i="1"/>
  <c r="G2006" i="1"/>
  <c r="F2006" i="1"/>
  <c r="E2006" i="1"/>
  <c r="D2006" i="1"/>
  <c r="C2006" i="1"/>
  <c r="M2005" i="1"/>
  <c r="K2005" i="1"/>
  <c r="J2005" i="1"/>
  <c r="I2005" i="1"/>
  <c r="H2005" i="1"/>
  <c r="G2005" i="1"/>
  <c r="F2005" i="1"/>
  <c r="E2005" i="1"/>
  <c r="D2005" i="1"/>
  <c r="C2005" i="1"/>
  <c r="M2004" i="1"/>
  <c r="K2004" i="1"/>
  <c r="J2004" i="1"/>
  <c r="I2004" i="1"/>
  <c r="H2004" i="1"/>
  <c r="G2004" i="1"/>
  <c r="F2004" i="1"/>
  <c r="E2004" i="1"/>
  <c r="D2004" i="1"/>
  <c r="C2004" i="1"/>
  <c r="M2003" i="1"/>
  <c r="K2003" i="1"/>
  <c r="J2003" i="1"/>
  <c r="I2003" i="1"/>
  <c r="H2003" i="1"/>
  <c r="G2003" i="1"/>
  <c r="F2003" i="1"/>
  <c r="E2003" i="1"/>
  <c r="D2003" i="1"/>
  <c r="C2003" i="1"/>
  <c r="M2002" i="1"/>
  <c r="K2002" i="1"/>
  <c r="J2002" i="1"/>
  <c r="I2002" i="1"/>
  <c r="H2002" i="1"/>
  <c r="G2002" i="1"/>
  <c r="F2002" i="1"/>
  <c r="E2002" i="1"/>
  <c r="D2002" i="1"/>
  <c r="C2002" i="1"/>
  <c r="M2001" i="1"/>
  <c r="K2001" i="1"/>
  <c r="J2001" i="1"/>
  <c r="I2001" i="1"/>
  <c r="H2001" i="1"/>
  <c r="G2001" i="1"/>
  <c r="F2001" i="1"/>
  <c r="E2001" i="1"/>
  <c r="D2001" i="1"/>
  <c r="C2001" i="1"/>
  <c r="M2000" i="1"/>
  <c r="K2000" i="1"/>
  <c r="J2000" i="1"/>
  <c r="I2000" i="1"/>
  <c r="H2000" i="1"/>
  <c r="G2000" i="1"/>
  <c r="F2000" i="1"/>
  <c r="E2000" i="1"/>
  <c r="D2000" i="1"/>
  <c r="C2000" i="1"/>
  <c r="M1999" i="1"/>
  <c r="K1999" i="1"/>
  <c r="J1999" i="1"/>
  <c r="I1999" i="1"/>
  <c r="H1999" i="1"/>
  <c r="G1999" i="1"/>
  <c r="F1999" i="1"/>
  <c r="E1999" i="1"/>
  <c r="D1999" i="1"/>
  <c r="C1999" i="1"/>
  <c r="M1998" i="1"/>
  <c r="K1998" i="1"/>
  <c r="J1998" i="1"/>
  <c r="I1998" i="1"/>
  <c r="H1998" i="1"/>
  <c r="G1998" i="1"/>
  <c r="F1998" i="1"/>
  <c r="E1998" i="1"/>
  <c r="D1998" i="1"/>
  <c r="C1998" i="1"/>
  <c r="M1997" i="1"/>
  <c r="K1997" i="1"/>
  <c r="J1997" i="1"/>
  <c r="I1997" i="1"/>
  <c r="H1997" i="1"/>
  <c r="G1997" i="1"/>
  <c r="F1997" i="1"/>
  <c r="E1997" i="1"/>
  <c r="D1997" i="1"/>
  <c r="C1997" i="1"/>
  <c r="M1996" i="1"/>
  <c r="K1996" i="1"/>
  <c r="J1996" i="1"/>
  <c r="I1996" i="1"/>
  <c r="H1996" i="1"/>
  <c r="G1996" i="1"/>
  <c r="F1996" i="1"/>
  <c r="E1996" i="1"/>
  <c r="D1996" i="1"/>
  <c r="C1996" i="1"/>
  <c r="M1995" i="1"/>
  <c r="K1995" i="1"/>
  <c r="J1995" i="1"/>
  <c r="I1995" i="1"/>
  <c r="H1995" i="1"/>
  <c r="G1995" i="1"/>
  <c r="F1995" i="1"/>
  <c r="E1995" i="1"/>
  <c r="D1995" i="1"/>
  <c r="C1995" i="1"/>
  <c r="M1994" i="1"/>
  <c r="K1994" i="1"/>
  <c r="J1994" i="1"/>
  <c r="I1994" i="1"/>
  <c r="H1994" i="1"/>
  <c r="G1994" i="1"/>
  <c r="F1994" i="1"/>
  <c r="E1994" i="1"/>
  <c r="D1994" i="1"/>
  <c r="C1994" i="1"/>
  <c r="M1993" i="1"/>
  <c r="K1993" i="1"/>
  <c r="J1993" i="1"/>
  <c r="I1993" i="1"/>
  <c r="H1993" i="1"/>
  <c r="G1993" i="1"/>
  <c r="F1993" i="1"/>
  <c r="E1993" i="1"/>
  <c r="D1993" i="1"/>
  <c r="C1993" i="1"/>
  <c r="M1992" i="1"/>
  <c r="K1992" i="1"/>
  <c r="J1992" i="1"/>
  <c r="I1992" i="1"/>
  <c r="H1992" i="1"/>
  <c r="G1992" i="1"/>
  <c r="F1992" i="1"/>
  <c r="E1992" i="1"/>
  <c r="D1992" i="1"/>
  <c r="C1992" i="1"/>
  <c r="M1991" i="1"/>
  <c r="K1991" i="1"/>
  <c r="J1991" i="1"/>
  <c r="I1991" i="1"/>
  <c r="H1991" i="1"/>
  <c r="G1991" i="1"/>
  <c r="F1991" i="1"/>
  <c r="E1991" i="1"/>
  <c r="D1991" i="1"/>
  <c r="C1991" i="1"/>
  <c r="M1990" i="1"/>
  <c r="K1990" i="1"/>
  <c r="J1990" i="1"/>
  <c r="I1990" i="1"/>
  <c r="H1990" i="1"/>
  <c r="G1990" i="1"/>
  <c r="F1990" i="1"/>
  <c r="E1990" i="1"/>
  <c r="D1990" i="1"/>
  <c r="C1990" i="1"/>
  <c r="M1989" i="1"/>
  <c r="K1989" i="1"/>
  <c r="J1989" i="1"/>
  <c r="I1989" i="1"/>
  <c r="H1989" i="1"/>
  <c r="G1989" i="1"/>
  <c r="F1989" i="1"/>
  <c r="E1989" i="1"/>
  <c r="D1989" i="1"/>
  <c r="C1989" i="1"/>
  <c r="M1988" i="1"/>
  <c r="K1988" i="1"/>
  <c r="J1988" i="1"/>
  <c r="I1988" i="1"/>
  <c r="H1988" i="1"/>
  <c r="G1988" i="1"/>
  <c r="F1988" i="1"/>
  <c r="E1988" i="1"/>
  <c r="D1988" i="1"/>
  <c r="C1988" i="1"/>
  <c r="M1987" i="1"/>
  <c r="K1987" i="1"/>
  <c r="J1987" i="1"/>
  <c r="I1987" i="1"/>
  <c r="H1987" i="1"/>
  <c r="G1987" i="1"/>
  <c r="F1987" i="1"/>
  <c r="E1987" i="1"/>
  <c r="D1987" i="1"/>
  <c r="C1987" i="1"/>
  <c r="M1986" i="1"/>
  <c r="K1986" i="1"/>
  <c r="J1986" i="1"/>
  <c r="I1986" i="1"/>
  <c r="H1986" i="1"/>
  <c r="G1986" i="1"/>
  <c r="F1986" i="1"/>
  <c r="E1986" i="1"/>
  <c r="D1986" i="1"/>
  <c r="C1986" i="1"/>
  <c r="M1985" i="1"/>
  <c r="K1985" i="1"/>
  <c r="J1985" i="1"/>
  <c r="I1985" i="1"/>
  <c r="H1985" i="1"/>
  <c r="G1985" i="1"/>
  <c r="F1985" i="1"/>
  <c r="E1985" i="1"/>
  <c r="D1985" i="1"/>
  <c r="C1985" i="1"/>
  <c r="M1984" i="1"/>
  <c r="K1984" i="1"/>
  <c r="J1984" i="1"/>
  <c r="I1984" i="1"/>
  <c r="H1984" i="1"/>
  <c r="G1984" i="1"/>
  <c r="F1984" i="1"/>
  <c r="E1984" i="1"/>
  <c r="D1984" i="1"/>
  <c r="C1984" i="1"/>
  <c r="M1983" i="1"/>
  <c r="K1983" i="1"/>
  <c r="J1983" i="1"/>
  <c r="I1983" i="1"/>
  <c r="H1983" i="1"/>
  <c r="G1983" i="1"/>
  <c r="F1983" i="1"/>
  <c r="E1983" i="1"/>
  <c r="D1983" i="1"/>
  <c r="C1983" i="1"/>
  <c r="M1982" i="1"/>
  <c r="K1982" i="1"/>
  <c r="J1982" i="1"/>
  <c r="I1982" i="1"/>
  <c r="H1982" i="1"/>
  <c r="G1982" i="1"/>
  <c r="F1982" i="1"/>
  <c r="E1982" i="1"/>
  <c r="D1982" i="1"/>
  <c r="C1982" i="1"/>
  <c r="M1981" i="1"/>
  <c r="K1981" i="1"/>
  <c r="J1981" i="1"/>
  <c r="I1981" i="1"/>
  <c r="H1981" i="1"/>
  <c r="G1981" i="1"/>
  <c r="F1981" i="1"/>
  <c r="E1981" i="1"/>
  <c r="D1981" i="1"/>
  <c r="C1981" i="1"/>
  <c r="M1980" i="1"/>
  <c r="K1980" i="1"/>
  <c r="J1980" i="1"/>
  <c r="I1980" i="1"/>
  <c r="H1980" i="1"/>
  <c r="G1980" i="1"/>
  <c r="F1980" i="1"/>
  <c r="E1980" i="1"/>
  <c r="D1980" i="1"/>
  <c r="C1980" i="1"/>
  <c r="M1979" i="1"/>
  <c r="K1979" i="1"/>
  <c r="J1979" i="1"/>
  <c r="I1979" i="1"/>
  <c r="H1979" i="1"/>
  <c r="G1979" i="1"/>
  <c r="F1979" i="1"/>
  <c r="E1979" i="1"/>
  <c r="D1979" i="1"/>
  <c r="C1979" i="1"/>
  <c r="M1978" i="1"/>
  <c r="K1978" i="1"/>
  <c r="J1978" i="1"/>
  <c r="I1978" i="1"/>
  <c r="H1978" i="1"/>
  <c r="G1978" i="1"/>
  <c r="F1978" i="1"/>
  <c r="E1978" i="1"/>
  <c r="D1978" i="1"/>
  <c r="C1978" i="1"/>
  <c r="M1977" i="1"/>
  <c r="K1977" i="1"/>
  <c r="J1977" i="1"/>
  <c r="I1977" i="1"/>
  <c r="H1977" i="1"/>
  <c r="G1977" i="1"/>
  <c r="F1977" i="1"/>
  <c r="E1977" i="1"/>
  <c r="D1977" i="1"/>
  <c r="C1977" i="1"/>
  <c r="M1976" i="1"/>
  <c r="K1976" i="1"/>
  <c r="J1976" i="1"/>
  <c r="I1976" i="1"/>
  <c r="H1976" i="1"/>
  <c r="G1976" i="1"/>
  <c r="F1976" i="1"/>
  <c r="E1976" i="1"/>
  <c r="D1976" i="1"/>
  <c r="C1976" i="1"/>
  <c r="M1975" i="1"/>
  <c r="K1975" i="1"/>
  <c r="J1975" i="1"/>
  <c r="I1975" i="1"/>
  <c r="H1975" i="1"/>
  <c r="G1975" i="1"/>
  <c r="F1975" i="1"/>
  <c r="E1975" i="1"/>
  <c r="D1975" i="1"/>
  <c r="C1975" i="1"/>
  <c r="M1974" i="1"/>
  <c r="K1974" i="1"/>
  <c r="J1974" i="1"/>
  <c r="I1974" i="1"/>
  <c r="H1974" i="1"/>
  <c r="G1974" i="1"/>
  <c r="F1974" i="1"/>
  <c r="E1974" i="1"/>
  <c r="D1974" i="1"/>
  <c r="C1974" i="1"/>
  <c r="M1973" i="1"/>
  <c r="K1973" i="1"/>
  <c r="J1973" i="1"/>
  <c r="I1973" i="1"/>
  <c r="H1973" i="1"/>
  <c r="G1973" i="1"/>
  <c r="F1973" i="1"/>
  <c r="E1973" i="1"/>
  <c r="D1973" i="1"/>
  <c r="C1973" i="1"/>
  <c r="M1972" i="1"/>
  <c r="K1972" i="1"/>
  <c r="J1972" i="1"/>
  <c r="I1972" i="1"/>
  <c r="H1972" i="1"/>
  <c r="G1972" i="1"/>
  <c r="F1972" i="1"/>
  <c r="E1972" i="1"/>
  <c r="D1972" i="1"/>
  <c r="C1972" i="1"/>
  <c r="M1971" i="1"/>
  <c r="K1971" i="1"/>
  <c r="J1971" i="1"/>
  <c r="I1971" i="1"/>
  <c r="H1971" i="1"/>
  <c r="G1971" i="1"/>
  <c r="F1971" i="1"/>
  <c r="E1971" i="1"/>
  <c r="D1971" i="1"/>
  <c r="C1971" i="1"/>
  <c r="M1970" i="1"/>
  <c r="K1970" i="1"/>
  <c r="J1970" i="1"/>
  <c r="I1970" i="1"/>
  <c r="H1970" i="1"/>
  <c r="G1970" i="1"/>
  <c r="F1970" i="1"/>
  <c r="E1970" i="1"/>
  <c r="D1970" i="1"/>
  <c r="C1970" i="1"/>
  <c r="M1969" i="1"/>
  <c r="K1969" i="1"/>
  <c r="J1969" i="1"/>
  <c r="I1969" i="1"/>
  <c r="H1969" i="1"/>
  <c r="G1969" i="1"/>
  <c r="F1969" i="1"/>
  <c r="E1969" i="1"/>
  <c r="D1969" i="1"/>
  <c r="C1969" i="1"/>
  <c r="M1968" i="1"/>
  <c r="K1968" i="1"/>
  <c r="J1968" i="1"/>
  <c r="I1968" i="1"/>
  <c r="H1968" i="1"/>
  <c r="G1968" i="1"/>
  <c r="F1968" i="1"/>
  <c r="E1968" i="1"/>
  <c r="D1968" i="1"/>
  <c r="C1968" i="1"/>
  <c r="M1967" i="1"/>
  <c r="K1967" i="1"/>
  <c r="J1967" i="1"/>
  <c r="I1967" i="1"/>
  <c r="H1967" i="1"/>
  <c r="G1967" i="1"/>
  <c r="F1967" i="1"/>
  <c r="E1967" i="1"/>
  <c r="D1967" i="1"/>
  <c r="C1967" i="1"/>
  <c r="M1966" i="1"/>
  <c r="K1966" i="1"/>
  <c r="J1966" i="1"/>
  <c r="I1966" i="1"/>
  <c r="H1966" i="1"/>
  <c r="G1966" i="1"/>
  <c r="F1966" i="1"/>
  <c r="E1966" i="1"/>
  <c r="D1966" i="1"/>
  <c r="C1966" i="1"/>
  <c r="M1965" i="1"/>
  <c r="K1965" i="1"/>
  <c r="J1965" i="1"/>
  <c r="I1965" i="1"/>
  <c r="H1965" i="1"/>
  <c r="G1965" i="1"/>
  <c r="F1965" i="1"/>
  <c r="E1965" i="1"/>
  <c r="D1965" i="1"/>
  <c r="C1965" i="1"/>
  <c r="M1964" i="1"/>
  <c r="K1964" i="1"/>
  <c r="J1964" i="1"/>
  <c r="I1964" i="1"/>
  <c r="H1964" i="1"/>
  <c r="G1964" i="1"/>
  <c r="F1964" i="1"/>
  <c r="E1964" i="1"/>
  <c r="D1964" i="1"/>
  <c r="C1964" i="1"/>
  <c r="M1963" i="1"/>
  <c r="K1963" i="1"/>
  <c r="J1963" i="1"/>
  <c r="I1963" i="1"/>
  <c r="H1963" i="1"/>
  <c r="G1963" i="1"/>
  <c r="F1963" i="1"/>
  <c r="E1963" i="1"/>
  <c r="D1963" i="1"/>
  <c r="C1963" i="1"/>
  <c r="M1962" i="1"/>
  <c r="K1962" i="1"/>
  <c r="J1962" i="1"/>
  <c r="I1962" i="1"/>
  <c r="H1962" i="1"/>
  <c r="G1962" i="1"/>
  <c r="F1962" i="1"/>
  <c r="E1962" i="1"/>
  <c r="D1962" i="1"/>
  <c r="C1962" i="1"/>
  <c r="M1961" i="1"/>
  <c r="K1961" i="1"/>
  <c r="J1961" i="1"/>
  <c r="I1961" i="1"/>
  <c r="H1961" i="1"/>
  <c r="G1961" i="1"/>
  <c r="F1961" i="1"/>
  <c r="E1961" i="1"/>
  <c r="D1961" i="1"/>
  <c r="C1961" i="1"/>
  <c r="M1960" i="1"/>
  <c r="K1960" i="1"/>
  <c r="J1960" i="1"/>
  <c r="I1960" i="1"/>
  <c r="H1960" i="1"/>
  <c r="G1960" i="1"/>
  <c r="F1960" i="1"/>
  <c r="E1960" i="1"/>
  <c r="D1960" i="1"/>
  <c r="C1960" i="1"/>
  <c r="M1959" i="1"/>
  <c r="K1959" i="1"/>
  <c r="J1959" i="1"/>
  <c r="I1959" i="1"/>
  <c r="H1959" i="1"/>
  <c r="G1959" i="1"/>
  <c r="F1959" i="1"/>
  <c r="E1959" i="1"/>
  <c r="D1959" i="1"/>
  <c r="C1959" i="1"/>
  <c r="M1958" i="1"/>
  <c r="K1958" i="1"/>
  <c r="J1958" i="1"/>
  <c r="I1958" i="1"/>
  <c r="H1958" i="1"/>
  <c r="G1958" i="1"/>
  <c r="F1958" i="1"/>
  <c r="E1958" i="1"/>
  <c r="D1958" i="1"/>
  <c r="C1958" i="1"/>
  <c r="M1957" i="1"/>
  <c r="K1957" i="1"/>
  <c r="J1957" i="1"/>
  <c r="I1957" i="1"/>
  <c r="H1957" i="1"/>
  <c r="G1957" i="1"/>
  <c r="F1957" i="1"/>
  <c r="E1957" i="1"/>
  <c r="D1957" i="1"/>
  <c r="C1957" i="1"/>
  <c r="M1956" i="1"/>
  <c r="K1956" i="1"/>
  <c r="J1956" i="1"/>
  <c r="I1956" i="1"/>
  <c r="H1956" i="1"/>
  <c r="G1956" i="1"/>
  <c r="F1956" i="1"/>
  <c r="E1956" i="1"/>
  <c r="D1956" i="1"/>
  <c r="C1956" i="1"/>
  <c r="M1955" i="1"/>
  <c r="K1955" i="1"/>
  <c r="J1955" i="1"/>
  <c r="I1955" i="1"/>
  <c r="H1955" i="1"/>
  <c r="G1955" i="1"/>
  <c r="F1955" i="1"/>
  <c r="E1955" i="1"/>
  <c r="D1955" i="1"/>
  <c r="C1955" i="1"/>
  <c r="M1954" i="1"/>
  <c r="K1954" i="1"/>
  <c r="J1954" i="1"/>
  <c r="I1954" i="1"/>
  <c r="H1954" i="1"/>
  <c r="G1954" i="1"/>
  <c r="F1954" i="1"/>
  <c r="E1954" i="1"/>
  <c r="D1954" i="1"/>
  <c r="C1954" i="1"/>
  <c r="M1953" i="1"/>
  <c r="K1953" i="1"/>
  <c r="J1953" i="1"/>
  <c r="I1953" i="1"/>
  <c r="H1953" i="1"/>
  <c r="G1953" i="1"/>
  <c r="F1953" i="1"/>
  <c r="E1953" i="1"/>
  <c r="D1953" i="1"/>
  <c r="C1953" i="1"/>
  <c r="M1952" i="1"/>
  <c r="K1952" i="1"/>
  <c r="J1952" i="1"/>
  <c r="I1952" i="1"/>
  <c r="H1952" i="1"/>
  <c r="G1952" i="1"/>
  <c r="F1952" i="1"/>
  <c r="E1952" i="1"/>
  <c r="D1952" i="1"/>
  <c r="C1952" i="1"/>
  <c r="M1951" i="1"/>
  <c r="K1951" i="1"/>
  <c r="J1951" i="1"/>
  <c r="I1951" i="1"/>
  <c r="H1951" i="1"/>
  <c r="G1951" i="1"/>
  <c r="F1951" i="1"/>
  <c r="E1951" i="1"/>
  <c r="D1951" i="1"/>
  <c r="C1951" i="1"/>
  <c r="M1950" i="1"/>
  <c r="K1950" i="1"/>
  <c r="J1950" i="1"/>
  <c r="I1950" i="1"/>
  <c r="H1950" i="1"/>
  <c r="G1950" i="1"/>
  <c r="F1950" i="1"/>
  <c r="E1950" i="1"/>
  <c r="D1950" i="1"/>
  <c r="C1950" i="1"/>
  <c r="M1949" i="1"/>
  <c r="K1949" i="1"/>
  <c r="J1949" i="1"/>
  <c r="I1949" i="1"/>
  <c r="H1949" i="1"/>
  <c r="G1949" i="1"/>
  <c r="F1949" i="1"/>
  <c r="E1949" i="1"/>
  <c r="D1949" i="1"/>
  <c r="C1949" i="1"/>
  <c r="M1948" i="1"/>
  <c r="K1948" i="1"/>
  <c r="J1948" i="1"/>
  <c r="I1948" i="1"/>
  <c r="H1948" i="1"/>
  <c r="G1948" i="1"/>
  <c r="F1948" i="1"/>
  <c r="E1948" i="1"/>
  <c r="D1948" i="1"/>
  <c r="C1948" i="1"/>
  <c r="M1947" i="1"/>
  <c r="K1947" i="1"/>
  <c r="J1947" i="1"/>
  <c r="I1947" i="1"/>
  <c r="H1947" i="1"/>
  <c r="G1947" i="1"/>
  <c r="F1947" i="1"/>
  <c r="E1947" i="1"/>
  <c r="D1947" i="1"/>
  <c r="C1947" i="1"/>
  <c r="M1946" i="1"/>
  <c r="K1946" i="1"/>
  <c r="J1946" i="1"/>
  <c r="I1946" i="1"/>
  <c r="H1946" i="1"/>
  <c r="G1946" i="1"/>
  <c r="F1946" i="1"/>
  <c r="E1946" i="1"/>
  <c r="D1946" i="1"/>
  <c r="C1946" i="1"/>
  <c r="M1945" i="1"/>
  <c r="K1945" i="1"/>
  <c r="J1945" i="1"/>
  <c r="I1945" i="1"/>
  <c r="H1945" i="1"/>
  <c r="G1945" i="1"/>
  <c r="F1945" i="1"/>
  <c r="E1945" i="1"/>
  <c r="D1945" i="1"/>
  <c r="C1945" i="1"/>
  <c r="M1944" i="1"/>
  <c r="K1944" i="1"/>
  <c r="J1944" i="1"/>
  <c r="I1944" i="1"/>
  <c r="H1944" i="1"/>
  <c r="G1944" i="1"/>
  <c r="F1944" i="1"/>
  <c r="E1944" i="1"/>
  <c r="D1944" i="1"/>
  <c r="C1944" i="1"/>
  <c r="M1943" i="1"/>
  <c r="K1943" i="1"/>
  <c r="J1943" i="1"/>
  <c r="I1943" i="1"/>
  <c r="H1943" i="1"/>
  <c r="G1943" i="1"/>
  <c r="F1943" i="1"/>
  <c r="E1943" i="1"/>
  <c r="D1943" i="1"/>
  <c r="C1943" i="1"/>
  <c r="M1942" i="1"/>
  <c r="K1942" i="1"/>
  <c r="J1942" i="1"/>
  <c r="I1942" i="1"/>
  <c r="H1942" i="1"/>
  <c r="G1942" i="1"/>
  <c r="F1942" i="1"/>
  <c r="E1942" i="1"/>
  <c r="D1942" i="1"/>
  <c r="C1942" i="1"/>
  <c r="M1941" i="1"/>
  <c r="K1941" i="1"/>
  <c r="J1941" i="1"/>
  <c r="I1941" i="1"/>
  <c r="H1941" i="1"/>
  <c r="G1941" i="1"/>
  <c r="F1941" i="1"/>
  <c r="E1941" i="1"/>
  <c r="D1941" i="1"/>
  <c r="C1941" i="1"/>
  <c r="M1940" i="1"/>
  <c r="K1940" i="1"/>
  <c r="J1940" i="1"/>
  <c r="I1940" i="1"/>
  <c r="H1940" i="1"/>
  <c r="G1940" i="1"/>
  <c r="F1940" i="1"/>
  <c r="E1940" i="1"/>
  <c r="D1940" i="1"/>
  <c r="C1940" i="1"/>
  <c r="M1939" i="1"/>
  <c r="K1939" i="1"/>
  <c r="J1939" i="1"/>
  <c r="I1939" i="1"/>
  <c r="H1939" i="1"/>
  <c r="G1939" i="1"/>
  <c r="F1939" i="1"/>
  <c r="E1939" i="1"/>
  <c r="D1939" i="1"/>
  <c r="C1939" i="1"/>
  <c r="M1938" i="1"/>
  <c r="K1938" i="1"/>
  <c r="J1938" i="1"/>
  <c r="I1938" i="1"/>
  <c r="H1938" i="1"/>
  <c r="G1938" i="1"/>
  <c r="F1938" i="1"/>
  <c r="E1938" i="1"/>
  <c r="D1938" i="1"/>
  <c r="C1938" i="1"/>
  <c r="M1937" i="1"/>
  <c r="K1937" i="1"/>
  <c r="J1937" i="1"/>
  <c r="I1937" i="1"/>
  <c r="H1937" i="1"/>
  <c r="G1937" i="1"/>
  <c r="F1937" i="1"/>
  <c r="E1937" i="1"/>
  <c r="D1937" i="1"/>
  <c r="C1937" i="1"/>
  <c r="M1936" i="1"/>
  <c r="K1936" i="1"/>
  <c r="J1936" i="1"/>
  <c r="I1936" i="1"/>
  <c r="H1936" i="1"/>
  <c r="G1936" i="1"/>
  <c r="F1936" i="1"/>
  <c r="E1936" i="1"/>
  <c r="D1936" i="1"/>
  <c r="C1936" i="1"/>
  <c r="M1935" i="1"/>
  <c r="K1935" i="1"/>
  <c r="J1935" i="1"/>
  <c r="I1935" i="1"/>
  <c r="H1935" i="1"/>
  <c r="G1935" i="1"/>
  <c r="F1935" i="1"/>
  <c r="E1935" i="1"/>
  <c r="D1935" i="1"/>
  <c r="C1935" i="1"/>
  <c r="M1934" i="1"/>
  <c r="K1934" i="1"/>
  <c r="J1934" i="1"/>
  <c r="I1934" i="1"/>
  <c r="H1934" i="1"/>
  <c r="G1934" i="1"/>
  <c r="F1934" i="1"/>
  <c r="E1934" i="1"/>
  <c r="D1934" i="1"/>
  <c r="C1934" i="1"/>
  <c r="M1933" i="1"/>
  <c r="K1933" i="1"/>
  <c r="J1933" i="1"/>
  <c r="I1933" i="1"/>
  <c r="H1933" i="1"/>
  <c r="G1933" i="1"/>
  <c r="F1933" i="1"/>
  <c r="E1933" i="1"/>
  <c r="D1933" i="1"/>
  <c r="C1933" i="1"/>
  <c r="M1932" i="1"/>
  <c r="K1932" i="1"/>
  <c r="J1932" i="1"/>
  <c r="I1932" i="1"/>
  <c r="H1932" i="1"/>
  <c r="G1932" i="1"/>
  <c r="F1932" i="1"/>
  <c r="E1932" i="1"/>
  <c r="D1932" i="1"/>
  <c r="C1932" i="1"/>
  <c r="M1931" i="1"/>
  <c r="K1931" i="1"/>
  <c r="J1931" i="1"/>
  <c r="I1931" i="1"/>
  <c r="H1931" i="1"/>
  <c r="G1931" i="1"/>
  <c r="F1931" i="1"/>
  <c r="E1931" i="1"/>
  <c r="D1931" i="1"/>
  <c r="C1931" i="1"/>
  <c r="M1930" i="1"/>
  <c r="K1930" i="1"/>
  <c r="J1930" i="1"/>
  <c r="I1930" i="1"/>
  <c r="H1930" i="1"/>
  <c r="G1930" i="1"/>
  <c r="F1930" i="1"/>
  <c r="E1930" i="1"/>
  <c r="D1930" i="1"/>
  <c r="C1930" i="1"/>
  <c r="M1929" i="1"/>
  <c r="K1929" i="1"/>
  <c r="J1929" i="1"/>
  <c r="I1929" i="1"/>
  <c r="H1929" i="1"/>
  <c r="G1929" i="1"/>
  <c r="F1929" i="1"/>
  <c r="E1929" i="1"/>
  <c r="D1929" i="1"/>
  <c r="C1929" i="1"/>
  <c r="M1928" i="1"/>
  <c r="K1928" i="1"/>
  <c r="J1928" i="1"/>
  <c r="I1928" i="1"/>
  <c r="H1928" i="1"/>
  <c r="G1928" i="1"/>
  <c r="F1928" i="1"/>
  <c r="E1928" i="1"/>
  <c r="D1928" i="1"/>
  <c r="C1928" i="1"/>
  <c r="M1927" i="1"/>
  <c r="K1927" i="1"/>
  <c r="J1927" i="1"/>
  <c r="I1927" i="1"/>
  <c r="H1927" i="1"/>
  <c r="G1927" i="1"/>
  <c r="F1927" i="1"/>
  <c r="E1927" i="1"/>
  <c r="D1927" i="1"/>
  <c r="C1927" i="1"/>
  <c r="M1926" i="1"/>
  <c r="K1926" i="1"/>
  <c r="J1926" i="1"/>
  <c r="I1926" i="1"/>
  <c r="H1926" i="1"/>
  <c r="G1926" i="1"/>
  <c r="F1926" i="1"/>
  <c r="E1926" i="1"/>
  <c r="D1926" i="1"/>
  <c r="C1926" i="1"/>
  <c r="M1925" i="1"/>
  <c r="K1925" i="1"/>
  <c r="J1925" i="1"/>
  <c r="I1925" i="1"/>
  <c r="H1925" i="1"/>
  <c r="G1925" i="1"/>
  <c r="F1925" i="1"/>
  <c r="E1925" i="1"/>
  <c r="D1925" i="1"/>
  <c r="C1925" i="1"/>
  <c r="M1924" i="1"/>
  <c r="K1924" i="1"/>
  <c r="J1924" i="1"/>
  <c r="I1924" i="1"/>
  <c r="H1924" i="1"/>
  <c r="G1924" i="1"/>
  <c r="F1924" i="1"/>
  <c r="E1924" i="1"/>
  <c r="D1924" i="1"/>
  <c r="C1924" i="1"/>
  <c r="M1923" i="1"/>
  <c r="K1923" i="1"/>
  <c r="J1923" i="1"/>
  <c r="I1923" i="1"/>
  <c r="H1923" i="1"/>
  <c r="G1923" i="1"/>
  <c r="F1923" i="1"/>
  <c r="E1923" i="1"/>
  <c r="D1923" i="1"/>
  <c r="C1923" i="1"/>
  <c r="M1922" i="1"/>
  <c r="K1922" i="1"/>
  <c r="J1922" i="1"/>
  <c r="I1922" i="1"/>
  <c r="H1922" i="1"/>
  <c r="G1922" i="1"/>
  <c r="F1922" i="1"/>
  <c r="E1922" i="1"/>
  <c r="D1922" i="1"/>
  <c r="C1922" i="1"/>
  <c r="M1921" i="1"/>
  <c r="K1921" i="1"/>
  <c r="J1921" i="1"/>
  <c r="I1921" i="1"/>
  <c r="H1921" i="1"/>
  <c r="G1921" i="1"/>
  <c r="F1921" i="1"/>
  <c r="E1921" i="1"/>
  <c r="D1921" i="1"/>
  <c r="C1921" i="1"/>
  <c r="M1920" i="1"/>
  <c r="K1920" i="1"/>
  <c r="J1920" i="1"/>
  <c r="I1920" i="1"/>
  <c r="H1920" i="1"/>
  <c r="G1920" i="1"/>
  <c r="F1920" i="1"/>
  <c r="E1920" i="1"/>
  <c r="D1920" i="1"/>
  <c r="C1920" i="1"/>
  <c r="M1919" i="1"/>
  <c r="K1919" i="1"/>
  <c r="J1919" i="1"/>
  <c r="I1919" i="1"/>
  <c r="H1919" i="1"/>
  <c r="G1919" i="1"/>
  <c r="F1919" i="1"/>
  <c r="E1919" i="1"/>
  <c r="D1919" i="1"/>
  <c r="C1919" i="1"/>
  <c r="M1918" i="1"/>
  <c r="K1918" i="1"/>
  <c r="J1918" i="1"/>
  <c r="I1918" i="1"/>
  <c r="H1918" i="1"/>
  <c r="G1918" i="1"/>
  <c r="F1918" i="1"/>
  <c r="E1918" i="1"/>
  <c r="D1918" i="1"/>
  <c r="C1918" i="1"/>
  <c r="M1917" i="1"/>
  <c r="K1917" i="1"/>
  <c r="J1917" i="1"/>
  <c r="I1917" i="1"/>
  <c r="H1917" i="1"/>
  <c r="G1917" i="1"/>
  <c r="F1917" i="1"/>
  <c r="E1917" i="1"/>
  <c r="D1917" i="1"/>
  <c r="C1917" i="1"/>
  <c r="M1916" i="1"/>
  <c r="K1916" i="1"/>
  <c r="J1916" i="1"/>
  <c r="I1916" i="1"/>
  <c r="H1916" i="1"/>
  <c r="G1916" i="1"/>
  <c r="F1916" i="1"/>
  <c r="E1916" i="1"/>
  <c r="D1916" i="1"/>
  <c r="C1916" i="1"/>
  <c r="M1915" i="1"/>
  <c r="K1915" i="1"/>
  <c r="J1915" i="1"/>
  <c r="I1915" i="1"/>
  <c r="H1915" i="1"/>
  <c r="G1915" i="1"/>
  <c r="F1915" i="1"/>
  <c r="E1915" i="1"/>
  <c r="D1915" i="1"/>
  <c r="C1915" i="1"/>
  <c r="M1914" i="1"/>
  <c r="K1914" i="1"/>
  <c r="J1914" i="1"/>
  <c r="I1914" i="1"/>
  <c r="H1914" i="1"/>
  <c r="G1914" i="1"/>
  <c r="F1914" i="1"/>
  <c r="E1914" i="1"/>
  <c r="D1914" i="1"/>
  <c r="C1914" i="1"/>
  <c r="M1913" i="1"/>
  <c r="K1913" i="1"/>
  <c r="J1913" i="1"/>
  <c r="I1913" i="1"/>
  <c r="H1913" i="1"/>
  <c r="G1913" i="1"/>
  <c r="F1913" i="1"/>
  <c r="E1913" i="1"/>
  <c r="D1913" i="1"/>
  <c r="C1913" i="1"/>
  <c r="M1912" i="1"/>
  <c r="K1912" i="1"/>
  <c r="J1912" i="1"/>
  <c r="I1912" i="1"/>
  <c r="H1912" i="1"/>
  <c r="G1912" i="1"/>
  <c r="F1912" i="1"/>
  <c r="E1912" i="1"/>
  <c r="D1912" i="1"/>
  <c r="C1912" i="1"/>
  <c r="M1911" i="1"/>
  <c r="K1911" i="1"/>
  <c r="J1911" i="1"/>
  <c r="I1911" i="1"/>
  <c r="H1911" i="1"/>
  <c r="G1911" i="1"/>
  <c r="F1911" i="1"/>
  <c r="E1911" i="1"/>
  <c r="D1911" i="1"/>
  <c r="C1911" i="1"/>
  <c r="M1910" i="1"/>
  <c r="K1910" i="1"/>
  <c r="J1910" i="1"/>
  <c r="I1910" i="1"/>
  <c r="H1910" i="1"/>
  <c r="G1910" i="1"/>
  <c r="F1910" i="1"/>
  <c r="E1910" i="1"/>
  <c r="D1910" i="1"/>
  <c r="C1910" i="1"/>
  <c r="M1909" i="1"/>
  <c r="K1909" i="1"/>
  <c r="J1909" i="1"/>
  <c r="I1909" i="1"/>
  <c r="H1909" i="1"/>
  <c r="G1909" i="1"/>
  <c r="F1909" i="1"/>
  <c r="E1909" i="1"/>
  <c r="D1909" i="1"/>
  <c r="C1909" i="1"/>
  <c r="M1908" i="1"/>
  <c r="K1908" i="1"/>
  <c r="J1908" i="1"/>
  <c r="I1908" i="1"/>
  <c r="H1908" i="1"/>
  <c r="G1908" i="1"/>
  <c r="F1908" i="1"/>
  <c r="E1908" i="1"/>
  <c r="D1908" i="1"/>
  <c r="C1908" i="1"/>
  <c r="M1907" i="1"/>
  <c r="K1907" i="1"/>
  <c r="J1907" i="1"/>
  <c r="I1907" i="1"/>
  <c r="H1907" i="1"/>
  <c r="G1907" i="1"/>
  <c r="F1907" i="1"/>
  <c r="E1907" i="1"/>
  <c r="D1907" i="1"/>
  <c r="C1907" i="1"/>
  <c r="M1906" i="1"/>
  <c r="K1906" i="1"/>
  <c r="J1906" i="1"/>
  <c r="I1906" i="1"/>
  <c r="H1906" i="1"/>
  <c r="G1906" i="1"/>
  <c r="F1906" i="1"/>
  <c r="E1906" i="1"/>
  <c r="D1906" i="1"/>
  <c r="C1906" i="1"/>
  <c r="M1905" i="1"/>
  <c r="K1905" i="1"/>
  <c r="J1905" i="1"/>
  <c r="I1905" i="1"/>
  <c r="H1905" i="1"/>
  <c r="G1905" i="1"/>
  <c r="F1905" i="1"/>
  <c r="E1905" i="1"/>
  <c r="D1905" i="1"/>
  <c r="C1905" i="1"/>
  <c r="M1904" i="1"/>
  <c r="K1904" i="1"/>
  <c r="J1904" i="1"/>
  <c r="I1904" i="1"/>
  <c r="H1904" i="1"/>
  <c r="G1904" i="1"/>
  <c r="F1904" i="1"/>
  <c r="E1904" i="1"/>
  <c r="D1904" i="1"/>
  <c r="C1904" i="1"/>
  <c r="M1903" i="1"/>
  <c r="K1903" i="1"/>
  <c r="J1903" i="1"/>
  <c r="I1903" i="1"/>
  <c r="H1903" i="1"/>
  <c r="G1903" i="1"/>
  <c r="F1903" i="1"/>
  <c r="E1903" i="1"/>
  <c r="D1903" i="1"/>
  <c r="C1903" i="1"/>
  <c r="M1902" i="1"/>
  <c r="K1902" i="1"/>
  <c r="J1902" i="1"/>
  <c r="I1902" i="1"/>
  <c r="H1902" i="1"/>
  <c r="G1902" i="1"/>
  <c r="F1902" i="1"/>
  <c r="E1902" i="1"/>
  <c r="D1902" i="1"/>
  <c r="C1902" i="1"/>
  <c r="M1901" i="1"/>
  <c r="K1901" i="1"/>
  <c r="J1901" i="1"/>
  <c r="I1901" i="1"/>
  <c r="H1901" i="1"/>
  <c r="G1901" i="1"/>
  <c r="F1901" i="1"/>
  <c r="E1901" i="1"/>
  <c r="D1901" i="1"/>
  <c r="C1901" i="1"/>
  <c r="M1900" i="1"/>
  <c r="K1900" i="1"/>
  <c r="J1900" i="1"/>
  <c r="I1900" i="1"/>
  <c r="H1900" i="1"/>
  <c r="G1900" i="1"/>
  <c r="F1900" i="1"/>
  <c r="E1900" i="1"/>
  <c r="D1900" i="1"/>
  <c r="C1900" i="1"/>
  <c r="M1899" i="1"/>
  <c r="K1899" i="1"/>
  <c r="J1899" i="1"/>
  <c r="I1899" i="1"/>
  <c r="H1899" i="1"/>
  <c r="G1899" i="1"/>
  <c r="F1899" i="1"/>
  <c r="E1899" i="1"/>
  <c r="D1899" i="1"/>
  <c r="C1899" i="1"/>
  <c r="M1898" i="1"/>
  <c r="K1898" i="1"/>
  <c r="J1898" i="1"/>
  <c r="I1898" i="1"/>
  <c r="H1898" i="1"/>
  <c r="G1898" i="1"/>
  <c r="F1898" i="1"/>
  <c r="E1898" i="1"/>
  <c r="D1898" i="1"/>
  <c r="C1898" i="1"/>
  <c r="M1897" i="1"/>
  <c r="K1897" i="1"/>
  <c r="J1897" i="1"/>
  <c r="I1897" i="1"/>
  <c r="H1897" i="1"/>
  <c r="G1897" i="1"/>
  <c r="F1897" i="1"/>
  <c r="E1897" i="1"/>
  <c r="D1897" i="1"/>
  <c r="C1897" i="1"/>
  <c r="M1896" i="1"/>
  <c r="K1896" i="1"/>
  <c r="J1896" i="1"/>
  <c r="I1896" i="1"/>
  <c r="H1896" i="1"/>
  <c r="G1896" i="1"/>
  <c r="F1896" i="1"/>
  <c r="E1896" i="1"/>
  <c r="D1896" i="1"/>
  <c r="C1896" i="1"/>
  <c r="M1895" i="1"/>
  <c r="K1895" i="1"/>
  <c r="J1895" i="1"/>
  <c r="I1895" i="1"/>
  <c r="H1895" i="1"/>
  <c r="G1895" i="1"/>
  <c r="F1895" i="1"/>
  <c r="E1895" i="1"/>
  <c r="D1895" i="1"/>
  <c r="C1895" i="1"/>
  <c r="M1894" i="1"/>
  <c r="K1894" i="1"/>
  <c r="J1894" i="1"/>
  <c r="I1894" i="1"/>
  <c r="H1894" i="1"/>
  <c r="G1894" i="1"/>
  <c r="F1894" i="1"/>
  <c r="E1894" i="1"/>
  <c r="D1894" i="1"/>
  <c r="C1894" i="1"/>
  <c r="M1893" i="1"/>
  <c r="K1893" i="1"/>
  <c r="J1893" i="1"/>
  <c r="I1893" i="1"/>
  <c r="H1893" i="1"/>
  <c r="G1893" i="1"/>
  <c r="F1893" i="1"/>
  <c r="E1893" i="1"/>
  <c r="D1893" i="1"/>
  <c r="C1893" i="1"/>
  <c r="M1892" i="1"/>
  <c r="K1892" i="1"/>
  <c r="J1892" i="1"/>
  <c r="I1892" i="1"/>
  <c r="H1892" i="1"/>
  <c r="G1892" i="1"/>
  <c r="F1892" i="1"/>
  <c r="E1892" i="1"/>
  <c r="D1892" i="1"/>
  <c r="C1892" i="1"/>
  <c r="M1891" i="1"/>
  <c r="K1891" i="1"/>
  <c r="J1891" i="1"/>
  <c r="I1891" i="1"/>
  <c r="H1891" i="1"/>
  <c r="G1891" i="1"/>
  <c r="F1891" i="1"/>
  <c r="E1891" i="1"/>
  <c r="D1891" i="1"/>
  <c r="C1891" i="1"/>
  <c r="M1890" i="1"/>
  <c r="K1890" i="1"/>
  <c r="J1890" i="1"/>
  <c r="I1890" i="1"/>
  <c r="H1890" i="1"/>
  <c r="G1890" i="1"/>
  <c r="F1890" i="1"/>
  <c r="E1890" i="1"/>
  <c r="D1890" i="1"/>
  <c r="C1890" i="1"/>
  <c r="M1889" i="1"/>
  <c r="K1889" i="1"/>
  <c r="J1889" i="1"/>
  <c r="I1889" i="1"/>
  <c r="H1889" i="1"/>
  <c r="G1889" i="1"/>
  <c r="F1889" i="1"/>
  <c r="E1889" i="1"/>
  <c r="D1889" i="1"/>
  <c r="C1889" i="1"/>
  <c r="M1888" i="1"/>
  <c r="K1888" i="1"/>
  <c r="J1888" i="1"/>
  <c r="I1888" i="1"/>
  <c r="H1888" i="1"/>
  <c r="G1888" i="1"/>
  <c r="F1888" i="1"/>
  <c r="E1888" i="1"/>
  <c r="D1888" i="1"/>
  <c r="C1888" i="1"/>
  <c r="M1887" i="1"/>
  <c r="K1887" i="1"/>
  <c r="J1887" i="1"/>
  <c r="I1887" i="1"/>
  <c r="H1887" i="1"/>
  <c r="G1887" i="1"/>
  <c r="F1887" i="1"/>
  <c r="E1887" i="1"/>
  <c r="D1887" i="1"/>
  <c r="C1887" i="1"/>
  <c r="M1886" i="1"/>
  <c r="K1886" i="1"/>
  <c r="J1886" i="1"/>
  <c r="I1886" i="1"/>
  <c r="H1886" i="1"/>
  <c r="G1886" i="1"/>
  <c r="F1886" i="1"/>
  <c r="E1886" i="1"/>
  <c r="D1886" i="1"/>
  <c r="C1886" i="1"/>
  <c r="M1885" i="1"/>
  <c r="K1885" i="1"/>
  <c r="J1885" i="1"/>
  <c r="I1885" i="1"/>
  <c r="H1885" i="1"/>
  <c r="G1885" i="1"/>
  <c r="F1885" i="1"/>
  <c r="E1885" i="1"/>
  <c r="D1885" i="1"/>
  <c r="C1885" i="1"/>
  <c r="M1884" i="1"/>
  <c r="K1884" i="1"/>
  <c r="J1884" i="1"/>
  <c r="I1884" i="1"/>
  <c r="H1884" i="1"/>
  <c r="G1884" i="1"/>
  <c r="F1884" i="1"/>
  <c r="E1884" i="1"/>
  <c r="D1884" i="1"/>
  <c r="C1884" i="1"/>
  <c r="M1883" i="1"/>
  <c r="K1883" i="1"/>
  <c r="J1883" i="1"/>
  <c r="I1883" i="1"/>
  <c r="H1883" i="1"/>
  <c r="G1883" i="1"/>
  <c r="F1883" i="1"/>
  <c r="E1883" i="1"/>
  <c r="D1883" i="1"/>
  <c r="C1883" i="1"/>
  <c r="M1882" i="1"/>
  <c r="K1882" i="1"/>
  <c r="J1882" i="1"/>
  <c r="I1882" i="1"/>
  <c r="H1882" i="1"/>
  <c r="G1882" i="1"/>
  <c r="F1882" i="1"/>
  <c r="E1882" i="1"/>
  <c r="D1882" i="1"/>
  <c r="C1882" i="1"/>
  <c r="M1881" i="1"/>
  <c r="K1881" i="1"/>
  <c r="J1881" i="1"/>
  <c r="I1881" i="1"/>
  <c r="H1881" i="1"/>
  <c r="G1881" i="1"/>
  <c r="F1881" i="1"/>
  <c r="E1881" i="1"/>
  <c r="D1881" i="1"/>
  <c r="C1881" i="1"/>
  <c r="M1880" i="1"/>
  <c r="K1880" i="1"/>
  <c r="J1880" i="1"/>
  <c r="I1880" i="1"/>
  <c r="H1880" i="1"/>
  <c r="G1880" i="1"/>
  <c r="F1880" i="1"/>
  <c r="E1880" i="1"/>
  <c r="D1880" i="1"/>
  <c r="C1880" i="1"/>
  <c r="M1879" i="1"/>
  <c r="K1879" i="1"/>
  <c r="J1879" i="1"/>
  <c r="I1879" i="1"/>
  <c r="H1879" i="1"/>
  <c r="G1879" i="1"/>
  <c r="F1879" i="1"/>
  <c r="E1879" i="1"/>
  <c r="D1879" i="1"/>
  <c r="C1879" i="1"/>
  <c r="M1878" i="1"/>
  <c r="K1878" i="1"/>
  <c r="J1878" i="1"/>
  <c r="I1878" i="1"/>
  <c r="H1878" i="1"/>
  <c r="G1878" i="1"/>
  <c r="F1878" i="1"/>
  <c r="E1878" i="1"/>
  <c r="D1878" i="1"/>
  <c r="C1878" i="1"/>
  <c r="M1877" i="1"/>
  <c r="K1877" i="1"/>
  <c r="J1877" i="1"/>
  <c r="I1877" i="1"/>
  <c r="H1877" i="1"/>
  <c r="G1877" i="1"/>
  <c r="F1877" i="1"/>
  <c r="E1877" i="1"/>
  <c r="D1877" i="1"/>
  <c r="C1877" i="1"/>
  <c r="M1876" i="1"/>
  <c r="K1876" i="1"/>
  <c r="J1876" i="1"/>
  <c r="I1876" i="1"/>
  <c r="H1876" i="1"/>
  <c r="G1876" i="1"/>
  <c r="F1876" i="1"/>
  <c r="E1876" i="1"/>
  <c r="D1876" i="1"/>
  <c r="C1876" i="1"/>
  <c r="M1875" i="1"/>
  <c r="K1875" i="1"/>
  <c r="J1875" i="1"/>
  <c r="I1875" i="1"/>
  <c r="H1875" i="1"/>
  <c r="G1875" i="1"/>
  <c r="F1875" i="1"/>
  <c r="E1875" i="1"/>
  <c r="D1875" i="1"/>
  <c r="C1875" i="1"/>
  <c r="M1874" i="1"/>
  <c r="K1874" i="1"/>
  <c r="J1874" i="1"/>
  <c r="I1874" i="1"/>
  <c r="H1874" i="1"/>
  <c r="G1874" i="1"/>
  <c r="F1874" i="1"/>
  <c r="E1874" i="1"/>
  <c r="D1874" i="1"/>
  <c r="C1874" i="1"/>
  <c r="M1873" i="1"/>
  <c r="K1873" i="1"/>
  <c r="J1873" i="1"/>
  <c r="I1873" i="1"/>
  <c r="H1873" i="1"/>
  <c r="G1873" i="1"/>
  <c r="F1873" i="1"/>
  <c r="E1873" i="1"/>
  <c r="D1873" i="1"/>
  <c r="C1873" i="1"/>
  <c r="M1872" i="1"/>
  <c r="K1872" i="1"/>
  <c r="J1872" i="1"/>
  <c r="I1872" i="1"/>
  <c r="H1872" i="1"/>
  <c r="G1872" i="1"/>
  <c r="F1872" i="1"/>
  <c r="E1872" i="1"/>
  <c r="D1872" i="1"/>
  <c r="C1872" i="1"/>
  <c r="M1871" i="1"/>
  <c r="K1871" i="1"/>
  <c r="J1871" i="1"/>
  <c r="I1871" i="1"/>
  <c r="H1871" i="1"/>
  <c r="G1871" i="1"/>
  <c r="F1871" i="1"/>
  <c r="E1871" i="1"/>
  <c r="D1871" i="1"/>
  <c r="C1871" i="1"/>
  <c r="M1870" i="1"/>
  <c r="K1870" i="1"/>
  <c r="J1870" i="1"/>
  <c r="I1870" i="1"/>
  <c r="H1870" i="1"/>
  <c r="G1870" i="1"/>
  <c r="F1870" i="1"/>
  <c r="E1870" i="1"/>
  <c r="D1870" i="1"/>
  <c r="C1870" i="1"/>
  <c r="M1869" i="1"/>
  <c r="K1869" i="1"/>
  <c r="J1869" i="1"/>
  <c r="I1869" i="1"/>
  <c r="H1869" i="1"/>
  <c r="G1869" i="1"/>
  <c r="F1869" i="1"/>
  <c r="E1869" i="1"/>
  <c r="D1869" i="1"/>
  <c r="C1869" i="1"/>
  <c r="M1868" i="1"/>
  <c r="K1868" i="1"/>
  <c r="J1868" i="1"/>
  <c r="I1868" i="1"/>
  <c r="H1868" i="1"/>
  <c r="G1868" i="1"/>
  <c r="F1868" i="1"/>
  <c r="E1868" i="1"/>
  <c r="D1868" i="1"/>
  <c r="C1868" i="1"/>
  <c r="M1867" i="1"/>
  <c r="K1867" i="1"/>
  <c r="J1867" i="1"/>
  <c r="I1867" i="1"/>
  <c r="H1867" i="1"/>
  <c r="G1867" i="1"/>
  <c r="F1867" i="1"/>
  <c r="E1867" i="1"/>
  <c r="D1867" i="1"/>
  <c r="C1867" i="1"/>
  <c r="M1866" i="1"/>
  <c r="K1866" i="1"/>
  <c r="J1866" i="1"/>
  <c r="I1866" i="1"/>
  <c r="H1866" i="1"/>
  <c r="G1866" i="1"/>
  <c r="F1866" i="1"/>
  <c r="E1866" i="1"/>
  <c r="D1866" i="1"/>
  <c r="C1866" i="1"/>
  <c r="M1865" i="1"/>
  <c r="K1865" i="1"/>
  <c r="J1865" i="1"/>
  <c r="I1865" i="1"/>
  <c r="H1865" i="1"/>
  <c r="G1865" i="1"/>
  <c r="F1865" i="1"/>
  <c r="E1865" i="1"/>
  <c r="D1865" i="1"/>
  <c r="C1865" i="1"/>
  <c r="M1864" i="1"/>
  <c r="K1864" i="1"/>
  <c r="J1864" i="1"/>
  <c r="I1864" i="1"/>
  <c r="H1864" i="1"/>
  <c r="G1864" i="1"/>
  <c r="F1864" i="1"/>
  <c r="E1864" i="1"/>
  <c r="D1864" i="1"/>
  <c r="C1864" i="1"/>
  <c r="M1863" i="1"/>
  <c r="K1863" i="1"/>
  <c r="J1863" i="1"/>
  <c r="I1863" i="1"/>
  <c r="H1863" i="1"/>
  <c r="G1863" i="1"/>
  <c r="F1863" i="1"/>
  <c r="E1863" i="1"/>
  <c r="D1863" i="1"/>
  <c r="C1863" i="1"/>
  <c r="M1862" i="1"/>
  <c r="K1862" i="1"/>
  <c r="J1862" i="1"/>
  <c r="I1862" i="1"/>
  <c r="H1862" i="1"/>
  <c r="G1862" i="1"/>
  <c r="F1862" i="1"/>
  <c r="E1862" i="1"/>
  <c r="D1862" i="1"/>
  <c r="C1862" i="1"/>
  <c r="M1861" i="1"/>
  <c r="K1861" i="1"/>
  <c r="J1861" i="1"/>
  <c r="I1861" i="1"/>
  <c r="H1861" i="1"/>
  <c r="G1861" i="1"/>
  <c r="F1861" i="1"/>
  <c r="E1861" i="1"/>
  <c r="D1861" i="1"/>
  <c r="C1861" i="1"/>
  <c r="M1860" i="1"/>
  <c r="K1860" i="1"/>
  <c r="J1860" i="1"/>
  <c r="I1860" i="1"/>
  <c r="H1860" i="1"/>
  <c r="G1860" i="1"/>
  <c r="F1860" i="1"/>
  <c r="E1860" i="1"/>
  <c r="D1860" i="1"/>
  <c r="C1860" i="1"/>
  <c r="M1859" i="1"/>
  <c r="K1859" i="1"/>
  <c r="J1859" i="1"/>
  <c r="I1859" i="1"/>
  <c r="H1859" i="1"/>
  <c r="G1859" i="1"/>
  <c r="F1859" i="1"/>
  <c r="E1859" i="1"/>
  <c r="D1859" i="1"/>
  <c r="C1859" i="1"/>
  <c r="M1858" i="1"/>
  <c r="K1858" i="1"/>
  <c r="J1858" i="1"/>
  <c r="I1858" i="1"/>
  <c r="H1858" i="1"/>
  <c r="G1858" i="1"/>
  <c r="F1858" i="1"/>
  <c r="E1858" i="1"/>
  <c r="D1858" i="1"/>
  <c r="C1858" i="1"/>
  <c r="M1857" i="1"/>
  <c r="K1857" i="1"/>
  <c r="J1857" i="1"/>
  <c r="I1857" i="1"/>
  <c r="H1857" i="1"/>
  <c r="G1857" i="1"/>
  <c r="F1857" i="1"/>
  <c r="E1857" i="1"/>
  <c r="D1857" i="1"/>
  <c r="C1857" i="1"/>
  <c r="M1856" i="1"/>
  <c r="K1856" i="1"/>
  <c r="J1856" i="1"/>
  <c r="I1856" i="1"/>
  <c r="H1856" i="1"/>
  <c r="G1856" i="1"/>
  <c r="F1856" i="1"/>
  <c r="E1856" i="1"/>
  <c r="D1856" i="1"/>
  <c r="C1856" i="1"/>
  <c r="M1855" i="1"/>
  <c r="K1855" i="1"/>
  <c r="J1855" i="1"/>
  <c r="I1855" i="1"/>
  <c r="H1855" i="1"/>
  <c r="G1855" i="1"/>
  <c r="F1855" i="1"/>
  <c r="E1855" i="1"/>
  <c r="D1855" i="1"/>
  <c r="C1855" i="1"/>
  <c r="M1854" i="1"/>
  <c r="K1854" i="1"/>
  <c r="J1854" i="1"/>
  <c r="I1854" i="1"/>
  <c r="H1854" i="1"/>
  <c r="G1854" i="1"/>
  <c r="F1854" i="1"/>
  <c r="E1854" i="1"/>
  <c r="D1854" i="1"/>
  <c r="C1854" i="1"/>
  <c r="M1853" i="1"/>
  <c r="K1853" i="1"/>
  <c r="J1853" i="1"/>
  <c r="I1853" i="1"/>
  <c r="H1853" i="1"/>
  <c r="G1853" i="1"/>
  <c r="F1853" i="1"/>
  <c r="E1853" i="1"/>
  <c r="D1853" i="1"/>
  <c r="C1853" i="1"/>
  <c r="M1852" i="1"/>
  <c r="K1852" i="1"/>
  <c r="J1852" i="1"/>
  <c r="I1852" i="1"/>
  <c r="H1852" i="1"/>
  <c r="G1852" i="1"/>
  <c r="F1852" i="1"/>
  <c r="E1852" i="1"/>
  <c r="D1852" i="1"/>
  <c r="C1852" i="1"/>
  <c r="M1851" i="1"/>
  <c r="K1851" i="1"/>
  <c r="J1851" i="1"/>
  <c r="I1851" i="1"/>
  <c r="H1851" i="1"/>
  <c r="G1851" i="1"/>
  <c r="F1851" i="1"/>
  <c r="E1851" i="1"/>
  <c r="D1851" i="1"/>
  <c r="C1851" i="1"/>
  <c r="M1850" i="1"/>
  <c r="K1850" i="1"/>
  <c r="J1850" i="1"/>
  <c r="I1850" i="1"/>
  <c r="H1850" i="1"/>
  <c r="G1850" i="1"/>
  <c r="F1850" i="1"/>
  <c r="E1850" i="1"/>
  <c r="D1850" i="1"/>
  <c r="C1850" i="1"/>
  <c r="M1849" i="1"/>
  <c r="K1849" i="1"/>
  <c r="J1849" i="1"/>
  <c r="I1849" i="1"/>
  <c r="H1849" i="1"/>
  <c r="G1849" i="1"/>
  <c r="F1849" i="1"/>
  <c r="E1849" i="1"/>
  <c r="D1849" i="1"/>
  <c r="C1849" i="1"/>
  <c r="M1848" i="1"/>
  <c r="K1848" i="1"/>
  <c r="J1848" i="1"/>
  <c r="I1848" i="1"/>
  <c r="H1848" i="1"/>
  <c r="G1848" i="1"/>
  <c r="F1848" i="1"/>
  <c r="E1848" i="1"/>
  <c r="D1848" i="1"/>
  <c r="C1848" i="1"/>
  <c r="M1847" i="1"/>
  <c r="K1847" i="1"/>
  <c r="J1847" i="1"/>
  <c r="I1847" i="1"/>
  <c r="H1847" i="1"/>
  <c r="G1847" i="1"/>
  <c r="F1847" i="1"/>
  <c r="E1847" i="1"/>
  <c r="D1847" i="1"/>
  <c r="C1847" i="1"/>
  <c r="M1846" i="1"/>
  <c r="K1846" i="1"/>
  <c r="J1846" i="1"/>
  <c r="I1846" i="1"/>
  <c r="H1846" i="1"/>
  <c r="G1846" i="1"/>
  <c r="F1846" i="1"/>
  <c r="E1846" i="1"/>
  <c r="D1846" i="1"/>
  <c r="C1846" i="1"/>
  <c r="M1845" i="1"/>
  <c r="K1845" i="1"/>
  <c r="J1845" i="1"/>
  <c r="I1845" i="1"/>
  <c r="H1845" i="1"/>
  <c r="G1845" i="1"/>
  <c r="F1845" i="1"/>
  <c r="E1845" i="1"/>
  <c r="D1845" i="1"/>
  <c r="C1845" i="1"/>
  <c r="M1844" i="1"/>
  <c r="K1844" i="1"/>
  <c r="J1844" i="1"/>
  <c r="I1844" i="1"/>
  <c r="H1844" i="1"/>
  <c r="G1844" i="1"/>
  <c r="F1844" i="1"/>
  <c r="E1844" i="1"/>
  <c r="D1844" i="1"/>
  <c r="C1844" i="1"/>
  <c r="M1843" i="1"/>
  <c r="K1843" i="1"/>
  <c r="J1843" i="1"/>
  <c r="I1843" i="1"/>
  <c r="H1843" i="1"/>
  <c r="G1843" i="1"/>
  <c r="F1843" i="1"/>
  <c r="E1843" i="1"/>
  <c r="D1843" i="1"/>
  <c r="C1843" i="1"/>
  <c r="M1842" i="1"/>
  <c r="K1842" i="1"/>
  <c r="J1842" i="1"/>
  <c r="I1842" i="1"/>
  <c r="H1842" i="1"/>
  <c r="G1842" i="1"/>
  <c r="F1842" i="1"/>
  <c r="E1842" i="1"/>
  <c r="D1842" i="1"/>
  <c r="C1842" i="1"/>
  <c r="M1841" i="1"/>
  <c r="K1841" i="1"/>
  <c r="J1841" i="1"/>
  <c r="I1841" i="1"/>
  <c r="H1841" i="1"/>
  <c r="G1841" i="1"/>
  <c r="F1841" i="1"/>
  <c r="E1841" i="1"/>
  <c r="D1841" i="1"/>
  <c r="C1841" i="1"/>
  <c r="M1840" i="1"/>
  <c r="K1840" i="1"/>
  <c r="J1840" i="1"/>
  <c r="I1840" i="1"/>
  <c r="H1840" i="1"/>
  <c r="G1840" i="1"/>
  <c r="F1840" i="1"/>
  <c r="E1840" i="1"/>
  <c r="D1840" i="1"/>
  <c r="C1840" i="1"/>
  <c r="M1839" i="1"/>
  <c r="K1839" i="1"/>
  <c r="J1839" i="1"/>
  <c r="I1839" i="1"/>
  <c r="H1839" i="1"/>
  <c r="G1839" i="1"/>
  <c r="F1839" i="1"/>
  <c r="E1839" i="1"/>
  <c r="D1839" i="1"/>
  <c r="C1839" i="1"/>
  <c r="M1838" i="1"/>
  <c r="K1838" i="1"/>
  <c r="J1838" i="1"/>
  <c r="I1838" i="1"/>
  <c r="H1838" i="1"/>
  <c r="G1838" i="1"/>
  <c r="F1838" i="1"/>
  <c r="E1838" i="1"/>
  <c r="D1838" i="1"/>
  <c r="C1838" i="1"/>
  <c r="M1837" i="1"/>
  <c r="K1837" i="1"/>
  <c r="J1837" i="1"/>
  <c r="I1837" i="1"/>
  <c r="H1837" i="1"/>
  <c r="G1837" i="1"/>
  <c r="F1837" i="1"/>
  <c r="E1837" i="1"/>
  <c r="D1837" i="1"/>
  <c r="C1837" i="1"/>
  <c r="M1836" i="1"/>
  <c r="K1836" i="1"/>
  <c r="J1836" i="1"/>
  <c r="I1836" i="1"/>
  <c r="H1836" i="1"/>
  <c r="G1836" i="1"/>
  <c r="F1836" i="1"/>
  <c r="E1836" i="1"/>
  <c r="D1836" i="1"/>
  <c r="C1836" i="1"/>
  <c r="M1835" i="1"/>
  <c r="K1835" i="1"/>
  <c r="J1835" i="1"/>
  <c r="I1835" i="1"/>
  <c r="H1835" i="1"/>
  <c r="G1835" i="1"/>
  <c r="F1835" i="1"/>
  <c r="E1835" i="1"/>
  <c r="D1835" i="1"/>
  <c r="C1835" i="1"/>
  <c r="M1834" i="1"/>
  <c r="K1834" i="1"/>
  <c r="J1834" i="1"/>
  <c r="I1834" i="1"/>
  <c r="H1834" i="1"/>
  <c r="G1834" i="1"/>
  <c r="F1834" i="1"/>
  <c r="E1834" i="1"/>
  <c r="D1834" i="1"/>
  <c r="C1834" i="1"/>
  <c r="M1833" i="1"/>
  <c r="K1833" i="1"/>
  <c r="J1833" i="1"/>
  <c r="I1833" i="1"/>
  <c r="H1833" i="1"/>
  <c r="G1833" i="1"/>
  <c r="F1833" i="1"/>
  <c r="E1833" i="1"/>
  <c r="D1833" i="1"/>
  <c r="C1833" i="1"/>
  <c r="M1832" i="1"/>
  <c r="K1832" i="1"/>
  <c r="J1832" i="1"/>
  <c r="I1832" i="1"/>
  <c r="H1832" i="1"/>
  <c r="G1832" i="1"/>
  <c r="F1832" i="1"/>
  <c r="E1832" i="1"/>
  <c r="D1832" i="1"/>
  <c r="C1832" i="1"/>
  <c r="M1831" i="1"/>
  <c r="K1831" i="1"/>
  <c r="J1831" i="1"/>
  <c r="I1831" i="1"/>
  <c r="H1831" i="1"/>
  <c r="G1831" i="1"/>
  <c r="F1831" i="1"/>
  <c r="E1831" i="1"/>
  <c r="D1831" i="1"/>
  <c r="C1831" i="1"/>
  <c r="M1830" i="1"/>
  <c r="K1830" i="1"/>
  <c r="J1830" i="1"/>
  <c r="I1830" i="1"/>
  <c r="H1830" i="1"/>
  <c r="G1830" i="1"/>
  <c r="F1830" i="1"/>
  <c r="E1830" i="1"/>
  <c r="D1830" i="1"/>
  <c r="C1830" i="1"/>
  <c r="M1829" i="1"/>
  <c r="K1829" i="1"/>
  <c r="J1829" i="1"/>
  <c r="I1829" i="1"/>
  <c r="H1829" i="1"/>
  <c r="G1829" i="1"/>
  <c r="F1829" i="1"/>
  <c r="E1829" i="1"/>
  <c r="D1829" i="1"/>
  <c r="C1829" i="1"/>
  <c r="M1828" i="1"/>
  <c r="K1828" i="1"/>
  <c r="J1828" i="1"/>
  <c r="I1828" i="1"/>
  <c r="H1828" i="1"/>
  <c r="G1828" i="1"/>
  <c r="F1828" i="1"/>
  <c r="E1828" i="1"/>
  <c r="D1828" i="1"/>
  <c r="C1828" i="1"/>
  <c r="M1827" i="1"/>
  <c r="K1827" i="1"/>
  <c r="J1827" i="1"/>
  <c r="I1827" i="1"/>
  <c r="H1827" i="1"/>
  <c r="G1827" i="1"/>
  <c r="F1827" i="1"/>
  <c r="E1827" i="1"/>
  <c r="D1827" i="1"/>
  <c r="C1827" i="1"/>
  <c r="M1826" i="1"/>
  <c r="K1826" i="1"/>
  <c r="J1826" i="1"/>
  <c r="I1826" i="1"/>
  <c r="H1826" i="1"/>
  <c r="G1826" i="1"/>
  <c r="F1826" i="1"/>
  <c r="E1826" i="1"/>
  <c r="D1826" i="1"/>
  <c r="C1826" i="1"/>
  <c r="M1825" i="1"/>
  <c r="K1825" i="1"/>
  <c r="J1825" i="1"/>
  <c r="I1825" i="1"/>
  <c r="H1825" i="1"/>
  <c r="G1825" i="1"/>
  <c r="F1825" i="1"/>
  <c r="E1825" i="1"/>
  <c r="D1825" i="1"/>
  <c r="C1825" i="1"/>
  <c r="M1824" i="1"/>
  <c r="K1824" i="1"/>
  <c r="J1824" i="1"/>
  <c r="I1824" i="1"/>
  <c r="H1824" i="1"/>
  <c r="G1824" i="1"/>
  <c r="F1824" i="1"/>
  <c r="E1824" i="1"/>
  <c r="D1824" i="1"/>
  <c r="C1824" i="1"/>
  <c r="M1823" i="1"/>
  <c r="K1823" i="1"/>
  <c r="J1823" i="1"/>
  <c r="I1823" i="1"/>
  <c r="H1823" i="1"/>
  <c r="G1823" i="1"/>
  <c r="F1823" i="1"/>
  <c r="E1823" i="1"/>
  <c r="D1823" i="1"/>
  <c r="C1823" i="1"/>
  <c r="M1822" i="1"/>
  <c r="K1822" i="1"/>
  <c r="J1822" i="1"/>
  <c r="I1822" i="1"/>
  <c r="H1822" i="1"/>
  <c r="G1822" i="1"/>
  <c r="F1822" i="1"/>
  <c r="E1822" i="1"/>
  <c r="D1822" i="1"/>
  <c r="C1822" i="1"/>
  <c r="M1821" i="1"/>
  <c r="K1821" i="1"/>
  <c r="J1821" i="1"/>
  <c r="I1821" i="1"/>
  <c r="H1821" i="1"/>
  <c r="G1821" i="1"/>
  <c r="F1821" i="1"/>
  <c r="E1821" i="1"/>
  <c r="D1821" i="1"/>
  <c r="C1821" i="1"/>
  <c r="M1820" i="1"/>
  <c r="K1820" i="1"/>
  <c r="J1820" i="1"/>
  <c r="I1820" i="1"/>
  <c r="H1820" i="1"/>
  <c r="G1820" i="1"/>
  <c r="F1820" i="1"/>
  <c r="E1820" i="1"/>
  <c r="D1820" i="1"/>
  <c r="C1820" i="1"/>
  <c r="M1819" i="1"/>
  <c r="K1819" i="1"/>
  <c r="J1819" i="1"/>
  <c r="I1819" i="1"/>
  <c r="H1819" i="1"/>
  <c r="G1819" i="1"/>
  <c r="F1819" i="1"/>
  <c r="E1819" i="1"/>
  <c r="D1819" i="1"/>
  <c r="C1819" i="1"/>
  <c r="M1818" i="1"/>
  <c r="K1818" i="1"/>
  <c r="J1818" i="1"/>
  <c r="I1818" i="1"/>
  <c r="H1818" i="1"/>
  <c r="G1818" i="1"/>
  <c r="F1818" i="1"/>
  <c r="E1818" i="1"/>
  <c r="D1818" i="1"/>
  <c r="C1818" i="1"/>
  <c r="M1817" i="1"/>
  <c r="K1817" i="1"/>
  <c r="J1817" i="1"/>
  <c r="I1817" i="1"/>
  <c r="H1817" i="1"/>
  <c r="G1817" i="1"/>
  <c r="F1817" i="1"/>
  <c r="E1817" i="1"/>
  <c r="D1817" i="1"/>
  <c r="C1817" i="1"/>
  <c r="M1816" i="1"/>
  <c r="K1816" i="1"/>
  <c r="J1816" i="1"/>
  <c r="I1816" i="1"/>
  <c r="H1816" i="1"/>
  <c r="G1816" i="1"/>
  <c r="F1816" i="1"/>
  <c r="E1816" i="1"/>
  <c r="D1816" i="1"/>
  <c r="C1816" i="1"/>
  <c r="M1815" i="1"/>
  <c r="K1815" i="1"/>
  <c r="J1815" i="1"/>
  <c r="I1815" i="1"/>
  <c r="H1815" i="1"/>
  <c r="G1815" i="1"/>
  <c r="F1815" i="1"/>
  <c r="E1815" i="1"/>
  <c r="D1815" i="1"/>
  <c r="C1815" i="1"/>
  <c r="M1814" i="1"/>
  <c r="K1814" i="1"/>
  <c r="J1814" i="1"/>
  <c r="I1814" i="1"/>
  <c r="H1814" i="1"/>
  <c r="G1814" i="1"/>
  <c r="F1814" i="1"/>
  <c r="E1814" i="1"/>
  <c r="D1814" i="1"/>
  <c r="C1814" i="1"/>
  <c r="M1813" i="1"/>
  <c r="K1813" i="1"/>
  <c r="J1813" i="1"/>
  <c r="I1813" i="1"/>
  <c r="H1813" i="1"/>
  <c r="G1813" i="1"/>
  <c r="F1813" i="1"/>
  <c r="E1813" i="1"/>
  <c r="D1813" i="1"/>
  <c r="C1813" i="1"/>
  <c r="M1812" i="1"/>
  <c r="K1812" i="1"/>
  <c r="J1812" i="1"/>
  <c r="I1812" i="1"/>
  <c r="H1812" i="1"/>
  <c r="G1812" i="1"/>
  <c r="F1812" i="1"/>
  <c r="E1812" i="1"/>
  <c r="D1812" i="1"/>
  <c r="C1812" i="1"/>
  <c r="M1811" i="1"/>
  <c r="K1811" i="1"/>
  <c r="J1811" i="1"/>
  <c r="I1811" i="1"/>
  <c r="H1811" i="1"/>
  <c r="G1811" i="1"/>
  <c r="F1811" i="1"/>
  <c r="E1811" i="1"/>
  <c r="D1811" i="1"/>
  <c r="C1811" i="1"/>
  <c r="M1810" i="1"/>
  <c r="K1810" i="1"/>
  <c r="J1810" i="1"/>
  <c r="I1810" i="1"/>
  <c r="H1810" i="1"/>
  <c r="G1810" i="1"/>
  <c r="F1810" i="1"/>
  <c r="E1810" i="1"/>
  <c r="D1810" i="1"/>
  <c r="C1810" i="1"/>
  <c r="M1809" i="1"/>
  <c r="K1809" i="1"/>
  <c r="J1809" i="1"/>
  <c r="I1809" i="1"/>
  <c r="H1809" i="1"/>
  <c r="G1809" i="1"/>
  <c r="F1809" i="1"/>
  <c r="E1809" i="1"/>
  <c r="D1809" i="1"/>
  <c r="C1809" i="1"/>
  <c r="M1808" i="1"/>
  <c r="K1808" i="1"/>
  <c r="J1808" i="1"/>
  <c r="I1808" i="1"/>
  <c r="H1808" i="1"/>
  <c r="G1808" i="1"/>
  <c r="F1808" i="1"/>
  <c r="E1808" i="1"/>
  <c r="D1808" i="1"/>
  <c r="C1808" i="1"/>
  <c r="M1807" i="1"/>
  <c r="K1807" i="1"/>
  <c r="J1807" i="1"/>
  <c r="I1807" i="1"/>
  <c r="H1807" i="1"/>
  <c r="G1807" i="1"/>
  <c r="F1807" i="1"/>
  <c r="E1807" i="1"/>
  <c r="D1807" i="1"/>
  <c r="C1807" i="1"/>
  <c r="M1806" i="1"/>
  <c r="K1806" i="1"/>
  <c r="J1806" i="1"/>
  <c r="I1806" i="1"/>
  <c r="H1806" i="1"/>
  <c r="G1806" i="1"/>
  <c r="F1806" i="1"/>
  <c r="E1806" i="1"/>
  <c r="D1806" i="1"/>
  <c r="C1806" i="1"/>
  <c r="M1805" i="1"/>
  <c r="K1805" i="1"/>
  <c r="J1805" i="1"/>
  <c r="I1805" i="1"/>
  <c r="H1805" i="1"/>
  <c r="G1805" i="1"/>
  <c r="F1805" i="1"/>
  <c r="E1805" i="1"/>
  <c r="D1805" i="1"/>
  <c r="C1805" i="1"/>
  <c r="M1804" i="1"/>
  <c r="K1804" i="1"/>
  <c r="J1804" i="1"/>
  <c r="I1804" i="1"/>
  <c r="H1804" i="1"/>
  <c r="G1804" i="1"/>
  <c r="F1804" i="1"/>
  <c r="E1804" i="1"/>
  <c r="D1804" i="1"/>
  <c r="C1804" i="1"/>
  <c r="M1803" i="1"/>
  <c r="K1803" i="1"/>
  <c r="J1803" i="1"/>
  <c r="I1803" i="1"/>
  <c r="H1803" i="1"/>
  <c r="G1803" i="1"/>
  <c r="F1803" i="1"/>
  <c r="E1803" i="1"/>
  <c r="D1803" i="1"/>
  <c r="C1803" i="1"/>
  <c r="M1802" i="1"/>
  <c r="K1802" i="1"/>
  <c r="J1802" i="1"/>
  <c r="I1802" i="1"/>
  <c r="H1802" i="1"/>
  <c r="G1802" i="1"/>
  <c r="F1802" i="1"/>
  <c r="E1802" i="1"/>
  <c r="D1802" i="1"/>
  <c r="C1802" i="1"/>
  <c r="M1801" i="1"/>
  <c r="K1801" i="1"/>
  <c r="J1801" i="1"/>
  <c r="I1801" i="1"/>
  <c r="H1801" i="1"/>
  <c r="G1801" i="1"/>
  <c r="F1801" i="1"/>
  <c r="E1801" i="1"/>
  <c r="D1801" i="1"/>
  <c r="C1801" i="1"/>
  <c r="M1800" i="1"/>
  <c r="K1800" i="1"/>
  <c r="J1800" i="1"/>
  <c r="I1800" i="1"/>
  <c r="H1800" i="1"/>
  <c r="G1800" i="1"/>
  <c r="F1800" i="1"/>
  <c r="E1800" i="1"/>
  <c r="D1800" i="1"/>
  <c r="C1800" i="1"/>
  <c r="M1799" i="1"/>
  <c r="K1799" i="1"/>
  <c r="J1799" i="1"/>
  <c r="I1799" i="1"/>
  <c r="H1799" i="1"/>
  <c r="G1799" i="1"/>
  <c r="F1799" i="1"/>
  <c r="E1799" i="1"/>
  <c r="D1799" i="1"/>
  <c r="C1799" i="1"/>
  <c r="M1798" i="1"/>
  <c r="K1798" i="1"/>
  <c r="J1798" i="1"/>
  <c r="I1798" i="1"/>
  <c r="H1798" i="1"/>
  <c r="G1798" i="1"/>
  <c r="F1798" i="1"/>
  <c r="E1798" i="1"/>
  <c r="D1798" i="1"/>
  <c r="C1798" i="1"/>
  <c r="M1797" i="1"/>
  <c r="K1797" i="1"/>
  <c r="J1797" i="1"/>
  <c r="I1797" i="1"/>
  <c r="H1797" i="1"/>
  <c r="G1797" i="1"/>
  <c r="F1797" i="1"/>
  <c r="E1797" i="1"/>
  <c r="D1797" i="1"/>
  <c r="C1797" i="1"/>
  <c r="M1796" i="1"/>
  <c r="K1796" i="1"/>
  <c r="J1796" i="1"/>
  <c r="I1796" i="1"/>
  <c r="H1796" i="1"/>
  <c r="G1796" i="1"/>
  <c r="F1796" i="1"/>
  <c r="E1796" i="1"/>
  <c r="D1796" i="1"/>
  <c r="C1796" i="1"/>
  <c r="M1795" i="1"/>
  <c r="K1795" i="1"/>
  <c r="J1795" i="1"/>
  <c r="I1795" i="1"/>
  <c r="H1795" i="1"/>
  <c r="G1795" i="1"/>
  <c r="F1795" i="1"/>
  <c r="E1795" i="1"/>
  <c r="D1795" i="1"/>
  <c r="C1795" i="1"/>
  <c r="M1794" i="1"/>
  <c r="K1794" i="1"/>
  <c r="J1794" i="1"/>
  <c r="I1794" i="1"/>
  <c r="H1794" i="1"/>
  <c r="G1794" i="1"/>
  <c r="F1794" i="1"/>
  <c r="E1794" i="1"/>
  <c r="D1794" i="1"/>
  <c r="C1794" i="1"/>
  <c r="M1793" i="1"/>
  <c r="K1793" i="1"/>
  <c r="J1793" i="1"/>
  <c r="I1793" i="1"/>
  <c r="H1793" i="1"/>
  <c r="G1793" i="1"/>
  <c r="F1793" i="1"/>
  <c r="E1793" i="1"/>
  <c r="D1793" i="1"/>
  <c r="C1793" i="1"/>
  <c r="M1792" i="1"/>
  <c r="K1792" i="1"/>
  <c r="J1792" i="1"/>
  <c r="I1792" i="1"/>
  <c r="H1792" i="1"/>
  <c r="G1792" i="1"/>
  <c r="F1792" i="1"/>
  <c r="E1792" i="1"/>
  <c r="D1792" i="1"/>
  <c r="C1792" i="1"/>
  <c r="M1791" i="1"/>
  <c r="K1791" i="1"/>
  <c r="J1791" i="1"/>
  <c r="I1791" i="1"/>
  <c r="H1791" i="1"/>
  <c r="G1791" i="1"/>
  <c r="F1791" i="1"/>
  <c r="E1791" i="1"/>
  <c r="D1791" i="1"/>
  <c r="C1791" i="1"/>
  <c r="M1790" i="1"/>
  <c r="K1790" i="1"/>
  <c r="J1790" i="1"/>
  <c r="I1790" i="1"/>
  <c r="H1790" i="1"/>
  <c r="G1790" i="1"/>
  <c r="F1790" i="1"/>
  <c r="E1790" i="1"/>
  <c r="D1790" i="1"/>
  <c r="C1790" i="1"/>
  <c r="M1789" i="1"/>
  <c r="K1789" i="1"/>
  <c r="J1789" i="1"/>
  <c r="I1789" i="1"/>
  <c r="H1789" i="1"/>
  <c r="G1789" i="1"/>
  <c r="F1789" i="1"/>
  <c r="E1789" i="1"/>
  <c r="D1789" i="1"/>
  <c r="C1789" i="1"/>
  <c r="M1788" i="1"/>
  <c r="K1788" i="1"/>
  <c r="J1788" i="1"/>
  <c r="I1788" i="1"/>
  <c r="H1788" i="1"/>
  <c r="G1788" i="1"/>
  <c r="F1788" i="1"/>
  <c r="E1788" i="1"/>
  <c r="D1788" i="1"/>
  <c r="C1788" i="1"/>
  <c r="M1787" i="1"/>
  <c r="K1787" i="1"/>
  <c r="J1787" i="1"/>
  <c r="I1787" i="1"/>
  <c r="H1787" i="1"/>
  <c r="G1787" i="1"/>
  <c r="F1787" i="1"/>
  <c r="E1787" i="1"/>
  <c r="D1787" i="1"/>
  <c r="C1787" i="1"/>
  <c r="M1786" i="1"/>
  <c r="K1786" i="1"/>
  <c r="J1786" i="1"/>
  <c r="I1786" i="1"/>
  <c r="H1786" i="1"/>
  <c r="G1786" i="1"/>
  <c r="F1786" i="1"/>
  <c r="E1786" i="1"/>
  <c r="D1786" i="1"/>
  <c r="C1786" i="1"/>
  <c r="M1785" i="1"/>
  <c r="K1785" i="1"/>
  <c r="J1785" i="1"/>
  <c r="I1785" i="1"/>
  <c r="H1785" i="1"/>
  <c r="G1785" i="1"/>
  <c r="F1785" i="1"/>
  <c r="E1785" i="1"/>
  <c r="D1785" i="1"/>
  <c r="C1785" i="1"/>
  <c r="M1784" i="1"/>
  <c r="K1784" i="1"/>
  <c r="J1784" i="1"/>
  <c r="I1784" i="1"/>
  <c r="H1784" i="1"/>
  <c r="G1784" i="1"/>
  <c r="F1784" i="1"/>
  <c r="E1784" i="1"/>
  <c r="D1784" i="1"/>
  <c r="C1784" i="1"/>
  <c r="M1783" i="1"/>
  <c r="K1783" i="1"/>
  <c r="J1783" i="1"/>
  <c r="I1783" i="1"/>
  <c r="H1783" i="1"/>
  <c r="G1783" i="1"/>
  <c r="F1783" i="1"/>
  <c r="E1783" i="1"/>
  <c r="D1783" i="1"/>
  <c r="C1783" i="1"/>
  <c r="M1782" i="1"/>
  <c r="K1782" i="1"/>
  <c r="J1782" i="1"/>
  <c r="I1782" i="1"/>
  <c r="H1782" i="1"/>
  <c r="G1782" i="1"/>
  <c r="F1782" i="1"/>
  <c r="E1782" i="1"/>
  <c r="D1782" i="1"/>
  <c r="C1782" i="1"/>
  <c r="M1781" i="1"/>
  <c r="K1781" i="1"/>
  <c r="J1781" i="1"/>
  <c r="I1781" i="1"/>
  <c r="H1781" i="1"/>
  <c r="G1781" i="1"/>
  <c r="F1781" i="1"/>
  <c r="E1781" i="1"/>
  <c r="D1781" i="1"/>
  <c r="C1781" i="1"/>
  <c r="M1780" i="1"/>
  <c r="K1780" i="1"/>
  <c r="J1780" i="1"/>
  <c r="I1780" i="1"/>
  <c r="H1780" i="1"/>
  <c r="G1780" i="1"/>
  <c r="F1780" i="1"/>
  <c r="E1780" i="1"/>
  <c r="D1780" i="1"/>
  <c r="C1780" i="1"/>
  <c r="M1779" i="1"/>
  <c r="K1779" i="1"/>
  <c r="J1779" i="1"/>
  <c r="I1779" i="1"/>
  <c r="H1779" i="1"/>
  <c r="G1779" i="1"/>
  <c r="F1779" i="1"/>
  <c r="E1779" i="1"/>
  <c r="D1779" i="1"/>
  <c r="C1779" i="1"/>
  <c r="M1778" i="1"/>
  <c r="K1778" i="1"/>
  <c r="J1778" i="1"/>
  <c r="I1778" i="1"/>
  <c r="H1778" i="1"/>
  <c r="G1778" i="1"/>
  <c r="F1778" i="1"/>
  <c r="E1778" i="1"/>
  <c r="D1778" i="1"/>
  <c r="C1778" i="1"/>
  <c r="M1777" i="1"/>
  <c r="K1777" i="1"/>
  <c r="J1777" i="1"/>
  <c r="I1777" i="1"/>
  <c r="H1777" i="1"/>
  <c r="G1777" i="1"/>
  <c r="F1777" i="1"/>
  <c r="E1777" i="1"/>
  <c r="D1777" i="1"/>
  <c r="C1777" i="1"/>
  <c r="M1776" i="1"/>
  <c r="K1776" i="1"/>
  <c r="J1776" i="1"/>
  <c r="I1776" i="1"/>
  <c r="H1776" i="1"/>
  <c r="G1776" i="1"/>
  <c r="F1776" i="1"/>
  <c r="E1776" i="1"/>
  <c r="D1776" i="1"/>
  <c r="C1776" i="1"/>
  <c r="M1775" i="1"/>
  <c r="K1775" i="1"/>
  <c r="J1775" i="1"/>
  <c r="I1775" i="1"/>
  <c r="H1775" i="1"/>
  <c r="G1775" i="1"/>
  <c r="F1775" i="1"/>
  <c r="E1775" i="1"/>
  <c r="D1775" i="1"/>
  <c r="C1775" i="1"/>
  <c r="M1774" i="1"/>
  <c r="K1774" i="1"/>
  <c r="J1774" i="1"/>
  <c r="I1774" i="1"/>
  <c r="H1774" i="1"/>
  <c r="G1774" i="1"/>
  <c r="F1774" i="1"/>
  <c r="E1774" i="1"/>
  <c r="D1774" i="1"/>
  <c r="C1774" i="1"/>
  <c r="M1773" i="1"/>
  <c r="K1773" i="1"/>
  <c r="J1773" i="1"/>
  <c r="I1773" i="1"/>
  <c r="H1773" i="1"/>
  <c r="G1773" i="1"/>
  <c r="F1773" i="1"/>
  <c r="E1773" i="1"/>
  <c r="D1773" i="1"/>
  <c r="C1773" i="1"/>
  <c r="M1772" i="1"/>
  <c r="K1772" i="1"/>
  <c r="J1772" i="1"/>
  <c r="I1772" i="1"/>
  <c r="H1772" i="1"/>
  <c r="G1772" i="1"/>
  <c r="F1772" i="1"/>
  <c r="E1772" i="1"/>
  <c r="D1772" i="1"/>
  <c r="C1772" i="1"/>
  <c r="M1771" i="1"/>
  <c r="K1771" i="1"/>
  <c r="J1771" i="1"/>
  <c r="I1771" i="1"/>
  <c r="H1771" i="1"/>
  <c r="G1771" i="1"/>
  <c r="F1771" i="1"/>
  <c r="E1771" i="1"/>
  <c r="D1771" i="1"/>
  <c r="C1771" i="1"/>
  <c r="M1770" i="1"/>
  <c r="K1770" i="1"/>
  <c r="J1770" i="1"/>
  <c r="I1770" i="1"/>
  <c r="H1770" i="1"/>
  <c r="G1770" i="1"/>
  <c r="F1770" i="1"/>
  <c r="E1770" i="1"/>
  <c r="D1770" i="1"/>
  <c r="C1770" i="1"/>
  <c r="M1769" i="1"/>
  <c r="K1769" i="1"/>
  <c r="J1769" i="1"/>
  <c r="I1769" i="1"/>
  <c r="H1769" i="1"/>
  <c r="G1769" i="1"/>
  <c r="F1769" i="1"/>
  <c r="E1769" i="1"/>
  <c r="D1769" i="1"/>
  <c r="C1769" i="1"/>
  <c r="M1768" i="1"/>
  <c r="K1768" i="1"/>
  <c r="J1768" i="1"/>
  <c r="I1768" i="1"/>
  <c r="H1768" i="1"/>
  <c r="G1768" i="1"/>
  <c r="F1768" i="1"/>
  <c r="E1768" i="1"/>
  <c r="D1768" i="1"/>
  <c r="C1768" i="1"/>
  <c r="M1767" i="1"/>
  <c r="K1767" i="1"/>
  <c r="J1767" i="1"/>
  <c r="I1767" i="1"/>
  <c r="H1767" i="1"/>
  <c r="G1767" i="1"/>
  <c r="F1767" i="1"/>
  <c r="E1767" i="1"/>
  <c r="D1767" i="1"/>
  <c r="C1767" i="1"/>
  <c r="M1766" i="1"/>
  <c r="K1766" i="1"/>
  <c r="J1766" i="1"/>
  <c r="I1766" i="1"/>
  <c r="H1766" i="1"/>
  <c r="G1766" i="1"/>
  <c r="F1766" i="1"/>
  <c r="E1766" i="1"/>
  <c r="D1766" i="1"/>
  <c r="C1766" i="1"/>
  <c r="M1765" i="1"/>
  <c r="K1765" i="1"/>
  <c r="J1765" i="1"/>
  <c r="I1765" i="1"/>
  <c r="H1765" i="1"/>
  <c r="G1765" i="1"/>
  <c r="F1765" i="1"/>
  <c r="E1765" i="1"/>
  <c r="D1765" i="1"/>
  <c r="C1765" i="1"/>
  <c r="M1764" i="1"/>
  <c r="K1764" i="1"/>
  <c r="J1764" i="1"/>
  <c r="I1764" i="1"/>
  <c r="H1764" i="1"/>
  <c r="G1764" i="1"/>
  <c r="F1764" i="1"/>
  <c r="E1764" i="1"/>
  <c r="D1764" i="1"/>
  <c r="C1764" i="1"/>
  <c r="M1763" i="1"/>
  <c r="K1763" i="1"/>
  <c r="J1763" i="1"/>
  <c r="I1763" i="1"/>
  <c r="H1763" i="1"/>
  <c r="G1763" i="1"/>
  <c r="F1763" i="1"/>
  <c r="E1763" i="1"/>
  <c r="D1763" i="1"/>
  <c r="C1763" i="1"/>
  <c r="M1762" i="1"/>
  <c r="K1762" i="1"/>
  <c r="J1762" i="1"/>
  <c r="I1762" i="1"/>
  <c r="H1762" i="1"/>
  <c r="G1762" i="1"/>
  <c r="F1762" i="1"/>
  <c r="E1762" i="1"/>
  <c r="D1762" i="1"/>
  <c r="C1762" i="1"/>
  <c r="M1761" i="1"/>
  <c r="K1761" i="1"/>
  <c r="J1761" i="1"/>
  <c r="I1761" i="1"/>
  <c r="H1761" i="1"/>
  <c r="G1761" i="1"/>
  <c r="F1761" i="1"/>
  <c r="E1761" i="1"/>
  <c r="D1761" i="1"/>
  <c r="C1761" i="1"/>
  <c r="M1760" i="1"/>
  <c r="K1760" i="1"/>
  <c r="J1760" i="1"/>
  <c r="I1760" i="1"/>
  <c r="H1760" i="1"/>
  <c r="G1760" i="1"/>
  <c r="F1760" i="1"/>
  <c r="E1760" i="1"/>
  <c r="D1760" i="1"/>
  <c r="C1760" i="1"/>
  <c r="M1759" i="1"/>
  <c r="K1759" i="1"/>
  <c r="J1759" i="1"/>
  <c r="I1759" i="1"/>
  <c r="H1759" i="1"/>
  <c r="G1759" i="1"/>
  <c r="F1759" i="1"/>
  <c r="E1759" i="1"/>
  <c r="D1759" i="1"/>
  <c r="C1759" i="1"/>
  <c r="M1758" i="1"/>
  <c r="K1758" i="1"/>
  <c r="J1758" i="1"/>
  <c r="I1758" i="1"/>
  <c r="H1758" i="1"/>
  <c r="G1758" i="1"/>
  <c r="F1758" i="1"/>
  <c r="E1758" i="1"/>
  <c r="D1758" i="1"/>
  <c r="C1758" i="1"/>
  <c r="M1757" i="1"/>
  <c r="K1757" i="1"/>
  <c r="J1757" i="1"/>
  <c r="I1757" i="1"/>
  <c r="H1757" i="1"/>
  <c r="G1757" i="1"/>
  <c r="F1757" i="1"/>
  <c r="E1757" i="1"/>
  <c r="D1757" i="1"/>
  <c r="C1757" i="1"/>
  <c r="M1756" i="1"/>
  <c r="K1756" i="1"/>
  <c r="J1756" i="1"/>
  <c r="I1756" i="1"/>
  <c r="H1756" i="1"/>
  <c r="G1756" i="1"/>
  <c r="F1756" i="1"/>
  <c r="E1756" i="1"/>
  <c r="D1756" i="1"/>
  <c r="C1756" i="1"/>
  <c r="M1755" i="1"/>
  <c r="K1755" i="1"/>
  <c r="J1755" i="1"/>
  <c r="I1755" i="1"/>
  <c r="H1755" i="1"/>
  <c r="G1755" i="1"/>
  <c r="F1755" i="1"/>
  <c r="E1755" i="1"/>
  <c r="D1755" i="1"/>
  <c r="C1755" i="1"/>
  <c r="M1754" i="1"/>
  <c r="K1754" i="1"/>
  <c r="J1754" i="1"/>
  <c r="I1754" i="1"/>
  <c r="H1754" i="1"/>
  <c r="G1754" i="1"/>
  <c r="F1754" i="1"/>
  <c r="E1754" i="1"/>
  <c r="D1754" i="1"/>
  <c r="C1754" i="1"/>
  <c r="M1753" i="1"/>
  <c r="K1753" i="1"/>
  <c r="J1753" i="1"/>
  <c r="I1753" i="1"/>
  <c r="H1753" i="1"/>
  <c r="G1753" i="1"/>
  <c r="F1753" i="1"/>
  <c r="E1753" i="1"/>
  <c r="D1753" i="1"/>
  <c r="C1753" i="1"/>
  <c r="M1752" i="1"/>
  <c r="K1752" i="1"/>
  <c r="J1752" i="1"/>
  <c r="I1752" i="1"/>
  <c r="H1752" i="1"/>
  <c r="G1752" i="1"/>
  <c r="F1752" i="1"/>
  <c r="E1752" i="1"/>
  <c r="D1752" i="1"/>
  <c r="C1752" i="1"/>
  <c r="M1751" i="1"/>
  <c r="K1751" i="1"/>
  <c r="J1751" i="1"/>
  <c r="I1751" i="1"/>
  <c r="H1751" i="1"/>
  <c r="G1751" i="1"/>
  <c r="F1751" i="1"/>
  <c r="E1751" i="1"/>
  <c r="D1751" i="1"/>
  <c r="C1751" i="1"/>
  <c r="M1750" i="1"/>
  <c r="K1750" i="1"/>
  <c r="J1750" i="1"/>
  <c r="I1750" i="1"/>
  <c r="H1750" i="1"/>
  <c r="G1750" i="1"/>
  <c r="F1750" i="1"/>
  <c r="E1750" i="1"/>
  <c r="D1750" i="1"/>
  <c r="C1750" i="1"/>
  <c r="M1749" i="1"/>
  <c r="K1749" i="1"/>
  <c r="J1749" i="1"/>
  <c r="I1749" i="1"/>
  <c r="H1749" i="1"/>
  <c r="G1749" i="1"/>
  <c r="F1749" i="1"/>
  <c r="E1749" i="1"/>
  <c r="D1749" i="1"/>
  <c r="C1749" i="1"/>
  <c r="M1748" i="1"/>
  <c r="K1748" i="1"/>
  <c r="J1748" i="1"/>
  <c r="I1748" i="1"/>
  <c r="H1748" i="1"/>
  <c r="G1748" i="1"/>
  <c r="F1748" i="1"/>
  <c r="E1748" i="1"/>
  <c r="D1748" i="1"/>
  <c r="C1748" i="1"/>
  <c r="M1747" i="1"/>
  <c r="K1747" i="1"/>
  <c r="J1747" i="1"/>
  <c r="I1747" i="1"/>
  <c r="H1747" i="1"/>
  <c r="G1747" i="1"/>
  <c r="F1747" i="1"/>
  <c r="E1747" i="1"/>
  <c r="D1747" i="1"/>
  <c r="C1747" i="1"/>
  <c r="M1746" i="1"/>
  <c r="K1746" i="1"/>
  <c r="J1746" i="1"/>
  <c r="I1746" i="1"/>
  <c r="H1746" i="1"/>
  <c r="G1746" i="1"/>
  <c r="F1746" i="1"/>
  <c r="E1746" i="1"/>
  <c r="D1746" i="1"/>
  <c r="C1746" i="1"/>
  <c r="M1745" i="1"/>
  <c r="K1745" i="1"/>
  <c r="J1745" i="1"/>
  <c r="I1745" i="1"/>
  <c r="H1745" i="1"/>
  <c r="G1745" i="1"/>
  <c r="F1745" i="1"/>
  <c r="E1745" i="1"/>
  <c r="D1745" i="1"/>
  <c r="C1745" i="1"/>
  <c r="M1744" i="1"/>
  <c r="K1744" i="1"/>
  <c r="J1744" i="1"/>
  <c r="I1744" i="1"/>
  <c r="H1744" i="1"/>
  <c r="G1744" i="1"/>
  <c r="F1744" i="1"/>
  <c r="E1744" i="1"/>
  <c r="D1744" i="1"/>
  <c r="C1744" i="1"/>
  <c r="M1743" i="1"/>
  <c r="K1743" i="1"/>
  <c r="J1743" i="1"/>
  <c r="I1743" i="1"/>
  <c r="H1743" i="1"/>
  <c r="G1743" i="1"/>
  <c r="F1743" i="1"/>
  <c r="E1743" i="1"/>
  <c r="D1743" i="1"/>
  <c r="C1743" i="1"/>
  <c r="M1742" i="1"/>
  <c r="K1742" i="1"/>
  <c r="J1742" i="1"/>
  <c r="I1742" i="1"/>
  <c r="H1742" i="1"/>
  <c r="G1742" i="1"/>
  <c r="F1742" i="1"/>
  <c r="E1742" i="1"/>
  <c r="D1742" i="1"/>
  <c r="C1742" i="1"/>
  <c r="M1741" i="1"/>
  <c r="K1741" i="1"/>
  <c r="J1741" i="1"/>
  <c r="I1741" i="1"/>
  <c r="H1741" i="1"/>
  <c r="G1741" i="1"/>
  <c r="F1741" i="1"/>
  <c r="E1741" i="1"/>
  <c r="D1741" i="1"/>
  <c r="C1741" i="1"/>
  <c r="M1740" i="1"/>
  <c r="K1740" i="1"/>
  <c r="J1740" i="1"/>
  <c r="I1740" i="1"/>
  <c r="H1740" i="1"/>
  <c r="G1740" i="1"/>
  <c r="F1740" i="1"/>
  <c r="E1740" i="1"/>
  <c r="D1740" i="1"/>
  <c r="C1740" i="1"/>
  <c r="M1739" i="1"/>
  <c r="K1739" i="1"/>
  <c r="J1739" i="1"/>
  <c r="I1739" i="1"/>
  <c r="H1739" i="1"/>
  <c r="G1739" i="1"/>
  <c r="F1739" i="1"/>
  <c r="E1739" i="1"/>
  <c r="D1739" i="1"/>
  <c r="C1739" i="1"/>
  <c r="M1738" i="1"/>
  <c r="K1738" i="1"/>
  <c r="J1738" i="1"/>
  <c r="I1738" i="1"/>
  <c r="H1738" i="1"/>
  <c r="G1738" i="1"/>
  <c r="F1738" i="1"/>
  <c r="E1738" i="1"/>
  <c r="D1738" i="1"/>
  <c r="C1738" i="1"/>
  <c r="M1737" i="1"/>
  <c r="K1737" i="1"/>
  <c r="J1737" i="1"/>
  <c r="I1737" i="1"/>
  <c r="H1737" i="1"/>
  <c r="G1737" i="1"/>
  <c r="F1737" i="1"/>
  <c r="E1737" i="1"/>
  <c r="D1737" i="1"/>
  <c r="C1737" i="1"/>
  <c r="M1736" i="1"/>
  <c r="K1736" i="1"/>
  <c r="J1736" i="1"/>
  <c r="I1736" i="1"/>
  <c r="H1736" i="1"/>
  <c r="G1736" i="1"/>
  <c r="F1736" i="1"/>
  <c r="E1736" i="1"/>
  <c r="D1736" i="1"/>
  <c r="C1736" i="1"/>
  <c r="M1735" i="1"/>
  <c r="K1735" i="1"/>
  <c r="J1735" i="1"/>
  <c r="I1735" i="1"/>
  <c r="H1735" i="1"/>
  <c r="G1735" i="1"/>
  <c r="F1735" i="1"/>
  <c r="E1735" i="1"/>
  <c r="D1735" i="1"/>
  <c r="C1735" i="1"/>
  <c r="M1734" i="1"/>
  <c r="K1734" i="1"/>
  <c r="J1734" i="1"/>
  <c r="I1734" i="1"/>
  <c r="H1734" i="1"/>
  <c r="G1734" i="1"/>
  <c r="F1734" i="1"/>
  <c r="E1734" i="1"/>
  <c r="D1734" i="1"/>
  <c r="C1734" i="1"/>
  <c r="M1733" i="1"/>
  <c r="K1733" i="1"/>
  <c r="J1733" i="1"/>
  <c r="I1733" i="1"/>
  <c r="H1733" i="1"/>
  <c r="G1733" i="1"/>
  <c r="F1733" i="1"/>
  <c r="E1733" i="1"/>
  <c r="D1733" i="1"/>
  <c r="C1733" i="1"/>
  <c r="M1732" i="1"/>
  <c r="K1732" i="1"/>
  <c r="J1732" i="1"/>
  <c r="I1732" i="1"/>
  <c r="H1732" i="1"/>
  <c r="G1732" i="1"/>
  <c r="F1732" i="1"/>
  <c r="E1732" i="1"/>
  <c r="D1732" i="1"/>
  <c r="C1732" i="1"/>
  <c r="M1731" i="1"/>
  <c r="K1731" i="1"/>
  <c r="J1731" i="1"/>
  <c r="I1731" i="1"/>
  <c r="H1731" i="1"/>
  <c r="G1731" i="1"/>
  <c r="F1731" i="1"/>
  <c r="E1731" i="1"/>
  <c r="D1731" i="1"/>
  <c r="C1731" i="1"/>
  <c r="M1730" i="1"/>
  <c r="K1730" i="1"/>
  <c r="J1730" i="1"/>
  <c r="I1730" i="1"/>
  <c r="H1730" i="1"/>
  <c r="G1730" i="1"/>
  <c r="F1730" i="1"/>
  <c r="E1730" i="1"/>
  <c r="D1730" i="1"/>
  <c r="C1730" i="1"/>
  <c r="M1729" i="1"/>
  <c r="K1729" i="1"/>
  <c r="J1729" i="1"/>
  <c r="I1729" i="1"/>
  <c r="H1729" i="1"/>
  <c r="G1729" i="1"/>
  <c r="F1729" i="1"/>
  <c r="E1729" i="1"/>
  <c r="D1729" i="1"/>
  <c r="C1729" i="1"/>
  <c r="M1728" i="1"/>
  <c r="K1728" i="1"/>
  <c r="J1728" i="1"/>
  <c r="I1728" i="1"/>
  <c r="H1728" i="1"/>
  <c r="G1728" i="1"/>
  <c r="F1728" i="1"/>
  <c r="E1728" i="1"/>
  <c r="D1728" i="1"/>
  <c r="C1728" i="1"/>
  <c r="M1727" i="1"/>
  <c r="K1727" i="1"/>
  <c r="J1727" i="1"/>
  <c r="I1727" i="1"/>
  <c r="H1727" i="1"/>
  <c r="G1727" i="1"/>
  <c r="F1727" i="1"/>
  <c r="E1727" i="1"/>
  <c r="D1727" i="1"/>
  <c r="C1727" i="1"/>
  <c r="M1726" i="1"/>
  <c r="K1726" i="1"/>
  <c r="J1726" i="1"/>
  <c r="I1726" i="1"/>
  <c r="H1726" i="1"/>
  <c r="G1726" i="1"/>
  <c r="F1726" i="1"/>
  <c r="E1726" i="1"/>
  <c r="D1726" i="1"/>
  <c r="C1726" i="1"/>
  <c r="M1725" i="1"/>
  <c r="K1725" i="1"/>
  <c r="J1725" i="1"/>
  <c r="I1725" i="1"/>
  <c r="H1725" i="1"/>
  <c r="G1725" i="1"/>
  <c r="F1725" i="1"/>
  <c r="E1725" i="1"/>
  <c r="D1725" i="1"/>
  <c r="C1725" i="1"/>
  <c r="M1724" i="1"/>
  <c r="K1724" i="1"/>
  <c r="J1724" i="1"/>
  <c r="I1724" i="1"/>
  <c r="H1724" i="1"/>
  <c r="G1724" i="1"/>
  <c r="F1724" i="1"/>
  <c r="E1724" i="1"/>
  <c r="D1724" i="1"/>
  <c r="C1724" i="1"/>
  <c r="M1723" i="1"/>
  <c r="K1723" i="1"/>
  <c r="J1723" i="1"/>
  <c r="I1723" i="1"/>
  <c r="H1723" i="1"/>
  <c r="G1723" i="1"/>
  <c r="F1723" i="1"/>
  <c r="E1723" i="1"/>
  <c r="D1723" i="1"/>
  <c r="C1723" i="1"/>
  <c r="M1722" i="1"/>
  <c r="K1722" i="1"/>
  <c r="J1722" i="1"/>
  <c r="I1722" i="1"/>
  <c r="H1722" i="1"/>
  <c r="G1722" i="1"/>
  <c r="F1722" i="1"/>
  <c r="E1722" i="1"/>
  <c r="D1722" i="1"/>
  <c r="C1722" i="1"/>
  <c r="M1721" i="1"/>
  <c r="K1721" i="1"/>
  <c r="J1721" i="1"/>
  <c r="I1721" i="1"/>
  <c r="H1721" i="1"/>
  <c r="G1721" i="1"/>
  <c r="F1721" i="1"/>
  <c r="E1721" i="1"/>
  <c r="D1721" i="1"/>
  <c r="C1721" i="1"/>
  <c r="M1720" i="1"/>
  <c r="K1720" i="1"/>
  <c r="J1720" i="1"/>
  <c r="I1720" i="1"/>
  <c r="H1720" i="1"/>
  <c r="G1720" i="1"/>
  <c r="F1720" i="1"/>
  <c r="E1720" i="1"/>
  <c r="D1720" i="1"/>
  <c r="C1720" i="1"/>
  <c r="M1719" i="1"/>
  <c r="K1719" i="1"/>
  <c r="J1719" i="1"/>
  <c r="I1719" i="1"/>
  <c r="H1719" i="1"/>
  <c r="G1719" i="1"/>
  <c r="F1719" i="1"/>
  <c r="E1719" i="1"/>
  <c r="D1719" i="1"/>
  <c r="C1719" i="1"/>
  <c r="M1718" i="1"/>
  <c r="K1718" i="1"/>
  <c r="J1718" i="1"/>
  <c r="I1718" i="1"/>
  <c r="H1718" i="1"/>
  <c r="G1718" i="1"/>
  <c r="F1718" i="1"/>
  <c r="E1718" i="1"/>
  <c r="D1718" i="1"/>
  <c r="C1718" i="1"/>
  <c r="M1717" i="1"/>
  <c r="K1717" i="1"/>
  <c r="J1717" i="1"/>
  <c r="I1717" i="1"/>
  <c r="H1717" i="1"/>
  <c r="G1717" i="1"/>
  <c r="F1717" i="1"/>
  <c r="E1717" i="1"/>
  <c r="D1717" i="1"/>
  <c r="C1717" i="1"/>
  <c r="M1716" i="1"/>
  <c r="K1716" i="1"/>
  <c r="J1716" i="1"/>
  <c r="I1716" i="1"/>
  <c r="H1716" i="1"/>
  <c r="G1716" i="1"/>
  <c r="F1716" i="1"/>
  <c r="E1716" i="1"/>
  <c r="D1716" i="1"/>
  <c r="C1716" i="1"/>
  <c r="M1715" i="1"/>
  <c r="K1715" i="1"/>
  <c r="J1715" i="1"/>
  <c r="I1715" i="1"/>
  <c r="H1715" i="1"/>
  <c r="G1715" i="1"/>
  <c r="F1715" i="1"/>
  <c r="E1715" i="1"/>
  <c r="D1715" i="1"/>
  <c r="C1715" i="1"/>
  <c r="M1714" i="1"/>
  <c r="K1714" i="1"/>
  <c r="J1714" i="1"/>
  <c r="I1714" i="1"/>
  <c r="H1714" i="1"/>
  <c r="G1714" i="1"/>
  <c r="F1714" i="1"/>
  <c r="E1714" i="1"/>
  <c r="D1714" i="1"/>
  <c r="C1714" i="1"/>
  <c r="M1713" i="1"/>
  <c r="K1713" i="1"/>
  <c r="J1713" i="1"/>
  <c r="I1713" i="1"/>
  <c r="H1713" i="1"/>
  <c r="G1713" i="1"/>
  <c r="F1713" i="1"/>
  <c r="E1713" i="1"/>
  <c r="D1713" i="1"/>
  <c r="C1713" i="1"/>
  <c r="M1712" i="1"/>
  <c r="K1712" i="1"/>
  <c r="J1712" i="1"/>
  <c r="I1712" i="1"/>
  <c r="H1712" i="1"/>
  <c r="G1712" i="1"/>
  <c r="F1712" i="1"/>
  <c r="E1712" i="1"/>
  <c r="D1712" i="1"/>
  <c r="C1712" i="1"/>
  <c r="M1711" i="1"/>
  <c r="K1711" i="1"/>
  <c r="J1711" i="1"/>
  <c r="I1711" i="1"/>
  <c r="H1711" i="1"/>
  <c r="G1711" i="1"/>
  <c r="F1711" i="1"/>
  <c r="E1711" i="1"/>
  <c r="D1711" i="1"/>
  <c r="C1711" i="1"/>
  <c r="M1710" i="1"/>
  <c r="K1710" i="1"/>
  <c r="J1710" i="1"/>
  <c r="I1710" i="1"/>
  <c r="H1710" i="1"/>
  <c r="G1710" i="1"/>
  <c r="F1710" i="1"/>
  <c r="E1710" i="1"/>
  <c r="D1710" i="1"/>
  <c r="C1710" i="1"/>
  <c r="M1709" i="1"/>
  <c r="K1709" i="1"/>
  <c r="J1709" i="1"/>
  <c r="I1709" i="1"/>
  <c r="H1709" i="1"/>
  <c r="G1709" i="1"/>
  <c r="F1709" i="1"/>
  <c r="E1709" i="1"/>
  <c r="D1709" i="1"/>
  <c r="C1709" i="1"/>
  <c r="M1708" i="1"/>
  <c r="K1708" i="1"/>
  <c r="J1708" i="1"/>
  <c r="I1708" i="1"/>
  <c r="H1708" i="1"/>
  <c r="G1708" i="1"/>
  <c r="F1708" i="1"/>
  <c r="E1708" i="1"/>
  <c r="D1708" i="1"/>
  <c r="C1708" i="1"/>
  <c r="M1707" i="1"/>
  <c r="K1707" i="1"/>
  <c r="J1707" i="1"/>
  <c r="I1707" i="1"/>
  <c r="H1707" i="1"/>
  <c r="G1707" i="1"/>
  <c r="F1707" i="1"/>
  <c r="E1707" i="1"/>
  <c r="D1707" i="1"/>
  <c r="C1707" i="1"/>
  <c r="M1706" i="1"/>
  <c r="K1706" i="1"/>
  <c r="J1706" i="1"/>
  <c r="I1706" i="1"/>
  <c r="H1706" i="1"/>
  <c r="G1706" i="1"/>
  <c r="F1706" i="1"/>
  <c r="E1706" i="1"/>
  <c r="D1706" i="1"/>
  <c r="C1706" i="1"/>
  <c r="M1705" i="1"/>
  <c r="K1705" i="1"/>
  <c r="J1705" i="1"/>
  <c r="I1705" i="1"/>
  <c r="H1705" i="1"/>
  <c r="G1705" i="1"/>
  <c r="F1705" i="1"/>
  <c r="E1705" i="1"/>
  <c r="D1705" i="1"/>
  <c r="C1705" i="1"/>
  <c r="M1704" i="1"/>
  <c r="K1704" i="1"/>
  <c r="J1704" i="1"/>
  <c r="I1704" i="1"/>
  <c r="H1704" i="1"/>
  <c r="G1704" i="1"/>
  <c r="F1704" i="1"/>
  <c r="E1704" i="1"/>
  <c r="D1704" i="1"/>
  <c r="C1704" i="1"/>
  <c r="M1703" i="1"/>
  <c r="K1703" i="1"/>
  <c r="J1703" i="1"/>
  <c r="I1703" i="1"/>
  <c r="H1703" i="1"/>
  <c r="G1703" i="1"/>
  <c r="F1703" i="1"/>
  <c r="E1703" i="1"/>
  <c r="D1703" i="1"/>
  <c r="C1703" i="1"/>
  <c r="M1702" i="1"/>
  <c r="K1702" i="1"/>
  <c r="J1702" i="1"/>
  <c r="I1702" i="1"/>
  <c r="H1702" i="1"/>
  <c r="G1702" i="1"/>
  <c r="F1702" i="1"/>
  <c r="E1702" i="1"/>
  <c r="D1702" i="1"/>
  <c r="C1702" i="1"/>
  <c r="M1701" i="1"/>
  <c r="K1701" i="1"/>
  <c r="J1701" i="1"/>
  <c r="I1701" i="1"/>
  <c r="H1701" i="1"/>
  <c r="G1701" i="1"/>
  <c r="F1701" i="1"/>
  <c r="E1701" i="1"/>
  <c r="D1701" i="1"/>
  <c r="C1701" i="1"/>
  <c r="M1700" i="1"/>
  <c r="K1700" i="1"/>
  <c r="J1700" i="1"/>
  <c r="I1700" i="1"/>
  <c r="H1700" i="1"/>
  <c r="G1700" i="1"/>
  <c r="F1700" i="1"/>
  <c r="E1700" i="1"/>
  <c r="D1700" i="1"/>
  <c r="C1700" i="1"/>
  <c r="M1699" i="1"/>
  <c r="K1699" i="1"/>
  <c r="J1699" i="1"/>
  <c r="I1699" i="1"/>
  <c r="H1699" i="1"/>
  <c r="G1699" i="1"/>
  <c r="F1699" i="1"/>
  <c r="E1699" i="1"/>
  <c r="D1699" i="1"/>
  <c r="C1699" i="1"/>
  <c r="M1698" i="1"/>
  <c r="K1698" i="1"/>
  <c r="J1698" i="1"/>
  <c r="I1698" i="1"/>
  <c r="H1698" i="1"/>
  <c r="G1698" i="1"/>
  <c r="F1698" i="1"/>
  <c r="E1698" i="1"/>
  <c r="D1698" i="1"/>
  <c r="C1698" i="1"/>
  <c r="M1697" i="1"/>
  <c r="K1697" i="1"/>
  <c r="J1697" i="1"/>
  <c r="I1697" i="1"/>
  <c r="H1697" i="1"/>
  <c r="G1697" i="1"/>
  <c r="F1697" i="1"/>
  <c r="E1697" i="1"/>
  <c r="D1697" i="1"/>
  <c r="C1697" i="1"/>
  <c r="M1696" i="1"/>
  <c r="K1696" i="1"/>
  <c r="J1696" i="1"/>
  <c r="I1696" i="1"/>
  <c r="H1696" i="1"/>
  <c r="G1696" i="1"/>
  <c r="F1696" i="1"/>
  <c r="E1696" i="1"/>
  <c r="D1696" i="1"/>
  <c r="C1696" i="1"/>
  <c r="M1695" i="1"/>
  <c r="K1695" i="1"/>
  <c r="J1695" i="1"/>
  <c r="I1695" i="1"/>
  <c r="H1695" i="1"/>
  <c r="G1695" i="1"/>
  <c r="F1695" i="1"/>
  <c r="E1695" i="1"/>
  <c r="D1695" i="1"/>
  <c r="C1695" i="1"/>
  <c r="M1694" i="1"/>
  <c r="K1694" i="1"/>
  <c r="J1694" i="1"/>
  <c r="I1694" i="1"/>
  <c r="H1694" i="1"/>
  <c r="G1694" i="1"/>
  <c r="F1694" i="1"/>
  <c r="E1694" i="1"/>
  <c r="D1694" i="1"/>
  <c r="C1694" i="1"/>
  <c r="M1693" i="1"/>
  <c r="K1693" i="1"/>
  <c r="J1693" i="1"/>
  <c r="I1693" i="1"/>
  <c r="H1693" i="1"/>
  <c r="G1693" i="1"/>
  <c r="F1693" i="1"/>
  <c r="E1693" i="1"/>
  <c r="D1693" i="1"/>
  <c r="C1693" i="1"/>
  <c r="M1692" i="1"/>
  <c r="K1692" i="1"/>
  <c r="J1692" i="1"/>
  <c r="I1692" i="1"/>
  <c r="H1692" i="1"/>
  <c r="G1692" i="1"/>
  <c r="F1692" i="1"/>
  <c r="E1692" i="1"/>
  <c r="D1692" i="1"/>
  <c r="C1692" i="1"/>
  <c r="M1691" i="1"/>
  <c r="K1691" i="1"/>
  <c r="J1691" i="1"/>
  <c r="I1691" i="1"/>
  <c r="H1691" i="1"/>
  <c r="G1691" i="1"/>
  <c r="F1691" i="1"/>
  <c r="E1691" i="1"/>
  <c r="D1691" i="1"/>
  <c r="C1691" i="1"/>
  <c r="M1690" i="1"/>
  <c r="K1690" i="1"/>
  <c r="J1690" i="1"/>
  <c r="I1690" i="1"/>
  <c r="H1690" i="1"/>
  <c r="G1690" i="1"/>
  <c r="F1690" i="1"/>
  <c r="E1690" i="1"/>
  <c r="D1690" i="1"/>
  <c r="C1690" i="1"/>
  <c r="M1689" i="1"/>
  <c r="K1689" i="1"/>
  <c r="J1689" i="1"/>
  <c r="I1689" i="1"/>
  <c r="H1689" i="1"/>
  <c r="G1689" i="1"/>
  <c r="F1689" i="1"/>
  <c r="E1689" i="1"/>
  <c r="D1689" i="1"/>
  <c r="C1689" i="1"/>
  <c r="M1688" i="1"/>
  <c r="K1688" i="1"/>
  <c r="J1688" i="1"/>
  <c r="I1688" i="1"/>
  <c r="H1688" i="1"/>
  <c r="G1688" i="1"/>
  <c r="F1688" i="1"/>
  <c r="E1688" i="1"/>
  <c r="D1688" i="1"/>
  <c r="C1688" i="1"/>
  <c r="M1687" i="1"/>
  <c r="K1687" i="1"/>
  <c r="J1687" i="1"/>
  <c r="I1687" i="1"/>
  <c r="H1687" i="1"/>
  <c r="G1687" i="1"/>
  <c r="F1687" i="1"/>
  <c r="E1687" i="1"/>
  <c r="D1687" i="1"/>
  <c r="C1687" i="1"/>
  <c r="M1686" i="1"/>
  <c r="K1686" i="1"/>
  <c r="J1686" i="1"/>
  <c r="I1686" i="1"/>
  <c r="H1686" i="1"/>
  <c r="G1686" i="1"/>
  <c r="F1686" i="1"/>
  <c r="E1686" i="1"/>
  <c r="D1686" i="1"/>
  <c r="C1686" i="1"/>
  <c r="M1685" i="1"/>
  <c r="K1685" i="1"/>
  <c r="J1685" i="1"/>
  <c r="I1685" i="1"/>
  <c r="H1685" i="1"/>
  <c r="G1685" i="1"/>
  <c r="F1685" i="1"/>
  <c r="E1685" i="1"/>
  <c r="D1685" i="1"/>
  <c r="C1685" i="1"/>
  <c r="M1684" i="1"/>
  <c r="K1684" i="1"/>
  <c r="J1684" i="1"/>
  <c r="I1684" i="1"/>
  <c r="H1684" i="1"/>
  <c r="G1684" i="1"/>
  <c r="F1684" i="1"/>
  <c r="E1684" i="1"/>
  <c r="D1684" i="1"/>
  <c r="C1684" i="1"/>
  <c r="M1683" i="1"/>
  <c r="K1683" i="1"/>
  <c r="J1683" i="1"/>
  <c r="I1683" i="1"/>
  <c r="H1683" i="1"/>
  <c r="G1683" i="1"/>
  <c r="F1683" i="1"/>
  <c r="E1683" i="1"/>
  <c r="D1683" i="1"/>
  <c r="C1683" i="1"/>
  <c r="M1682" i="1"/>
  <c r="K1682" i="1"/>
  <c r="J1682" i="1"/>
  <c r="I1682" i="1"/>
  <c r="H1682" i="1"/>
  <c r="G1682" i="1"/>
  <c r="F1682" i="1"/>
  <c r="E1682" i="1"/>
  <c r="D1682" i="1"/>
  <c r="C1682" i="1"/>
  <c r="M1681" i="1"/>
  <c r="K1681" i="1"/>
  <c r="J1681" i="1"/>
  <c r="I1681" i="1"/>
  <c r="H1681" i="1"/>
  <c r="G1681" i="1"/>
  <c r="F1681" i="1"/>
  <c r="E1681" i="1"/>
  <c r="D1681" i="1"/>
  <c r="C1681" i="1"/>
  <c r="M1680" i="1"/>
  <c r="K1680" i="1"/>
  <c r="J1680" i="1"/>
  <c r="I1680" i="1"/>
  <c r="H1680" i="1"/>
  <c r="G1680" i="1"/>
  <c r="F1680" i="1"/>
  <c r="E1680" i="1"/>
  <c r="D1680" i="1"/>
  <c r="C1680" i="1"/>
  <c r="M1679" i="1"/>
  <c r="K1679" i="1"/>
  <c r="J1679" i="1"/>
  <c r="I1679" i="1"/>
  <c r="H1679" i="1"/>
  <c r="G1679" i="1"/>
  <c r="F1679" i="1"/>
  <c r="E1679" i="1"/>
  <c r="D1679" i="1"/>
  <c r="C1679" i="1"/>
  <c r="M1678" i="1"/>
  <c r="K1678" i="1"/>
  <c r="J1678" i="1"/>
  <c r="I1678" i="1"/>
  <c r="H1678" i="1"/>
  <c r="G1678" i="1"/>
  <c r="F1678" i="1"/>
  <c r="E1678" i="1"/>
  <c r="D1678" i="1"/>
  <c r="C1678" i="1"/>
  <c r="M1677" i="1"/>
  <c r="K1677" i="1"/>
  <c r="J1677" i="1"/>
  <c r="I1677" i="1"/>
  <c r="H1677" i="1"/>
  <c r="G1677" i="1"/>
  <c r="F1677" i="1"/>
  <c r="E1677" i="1"/>
  <c r="D1677" i="1"/>
  <c r="C1677" i="1"/>
  <c r="M1676" i="1"/>
  <c r="K1676" i="1"/>
  <c r="J1676" i="1"/>
  <c r="I1676" i="1"/>
  <c r="H1676" i="1"/>
  <c r="G1676" i="1"/>
  <c r="F1676" i="1"/>
  <c r="E1676" i="1"/>
  <c r="D1676" i="1"/>
  <c r="C1676" i="1"/>
  <c r="M1675" i="1"/>
  <c r="K1675" i="1"/>
  <c r="J1675" i="1"/>
  <c r="I1675" i="1"/>
  <c r="H1675" i="1"/>
  <c r="G1675" i="1"/>
  <c r="F1675" i="1"/>
  <c r="E1675" i="1"/>
  <c r="D1675" i="1"/>
  <c r="C1675" i="1"/>
  <c r="M1674" i="1"/>
  <c r="K1674" i="1"/>
  <c r="J1674" i="1"/>
  <c r="I1674" i="1"/>
  <c r="H1674" i="1"/>
  <c r="G1674" i="1"/>
  <c r="F1674" i="1"/>
  <c r="E1674" i="1"/>
  <c r="D1674" i="1"/>
  <c r="C1674" i="1"/>
  <c r="M1673" i="1"/>
  <c r="K1673" i="1"/>
  <c r="J1673" i="1"/>
  <c r="I1673" i="1"/>
  <c r="H1673" i="1"/>
  <c r="G1673" i="1"/>
  <c r="F1673" i="1"/>
  <c r="E1673" i="1"/>
  <c r="D1673" i="1"/>
  <c r="C1673" i="1"/>
  <c r="M1672" i="1"/>
  <c r="K1672" i="1"/>
  <c r="J1672" i="1"/>
  <c r="I1672" i="1"/>
  <c r="H1672" i="1"/>
  <c r="G1672" i="1"/>
  <c r="F1672" i="1"/>
  <c r="E1672" i="1"/>
  <c r="D1672" i="1"/>
  <c r="C1672" i="1"/>
  <c r="M1671" i="1"/>
  <c r="K1671" i="1"/>
  <c r="J1671" i="1"/>
  <c r="I1671" i="1"/>
  <c r="H1671" i="1"/>
  <c r="G1671" i="1"/>
  <c r="F1671" i="1"/>
  <c r="E1671" i="1"/>
  <c r="D1671" i="1"/>
  <c r="C1671" i="1"/>
  <c r="M1670" i="1"/>
  <c r="K1670" i="1"/>
  <c r="J1670" i="1"/>
  <c r="I1670" i="1"/>
  <c r="H1670" i="1"/>
  <c r="G1670" i="1"/>
  <c r="F1670" i="1"/>
  <c r="E1670" i="1"/>
  <c r="D1670" i="1"/>
  <c r="C1670" i="1"/>
  <c r="M1669" i="1"/>
  <c r="K1669" i="1"/>
  <c r="J1669" i="1"/>
  <c r="I1669" i="1"/>
  <c r="H1669" i="1"/>
  <c r="G1669" i="1"/>
  <c r="F1669" i="1"/>
  <c r="E1669" i="1"/>
  <c r="D1669" i="1"/>
  <c r="C1669" i="1"/>
  <c r="M1668" i="1"/>
  <c r="K1668" i="1"/>
  <c r="J1668" i="1"/>
  <c r="I1668" i="1"/>
  <c r="H1668" i="1"/>
  <c r="G1668" i="1"/>
  <c r="F1668" i="1"/>
  <c r="E1668" i="1"/>
  <c r="D1668" i="1"/>
  <c r="C1668" i="1"/>
  <c r="M1667" i="1"/>
  <c r="K1667" i="1"/>
  <c r="J1667" i="1"/>
  <c r="I1667" i="1"/>
  <c r="H1667" i="1"/>
  <c r="G1667" i="1"/>
  <c r="F1667" i="1"/>
  <c r="E1667" i="1"/>
  <c r="D1667" i="1"/>
  <c r="C1667" i="1"/>
  <c r="M1666" i="1"/>
  <c r="K1666" i="1"/>
  <c r="J1666" i="1"/>
  <c r="I1666" i="1"/>
  <c r="H1666" i="1"/>
  <c r="G1666" i="1"/>
  <c r="F1666" i="1"/>
  <c r="E1666" i="1"/>
  <c r="D1666" i="1"/>
  <c r="C1666" i="1"/>
  <c r="M1665" i="1"/>
  <c r="K1665" i="1"/>
  <c r="J1665" i="1"/>
  <c r="I1665" i="1"/>
  <c r="H1665" i="1"/>
  <c r="G1665" i="1"/>
  <c r="F1665" i="1"/>
  <c r="E1665" i="1"/>
  <c r="D1665" i="1"/>
  <c r="C1665" i="1"/>
  <c r="M1664" i="1"/>
  <c r="K1664" i="1"/>
  <c r="J1664" i="1"/>
  <c r="I1664" i="1"/>
  <c r="H1664" i="1"/>
  <c r="G1664" i="1"/>
  <c r="F1664" i="1"/>
  <c r="E1664" i="1"/>
  <c r="D1664" i="1"/>
  <c r="C1664" i="1"/>
  <c r="M1663" i="1"/>
  <c r="K1663" i="1"/>
  <c r="J1663" i="1"/>
  <c r="I1663" i="1"/>
  <c r="H1663" i="1"/>
  <c r="G1663" i="1"/>
  <c r="F1663" i="1"/>
  <c r="E1663" i="1"/>
  <c r="D1663" i="1"/>
  <c r="C1663" i="1"/>
  <c r="M1662" i="1"/>
  <c r="K1662" i="1"/>
  <c r="J1662" i="1"/>
  <c r="I1662" i="1"/>
  <c r="H1662" i="1"/>
  <c r="G1662" i="1"/>
  <c r="F1662" i="1"/>
  <c r="E1662" i="1"/>
  <c r="D1662" i="1"/>
  <c r="C1662" i="1"/>
  <c r="M1661" i="1"/>
  <c r="K1661" i="1"/>
  <c r="J1661" i="1"/>
  <c r="I1661" i="1"/>
  <c r="H1661" i="1"/>
  <c r="G1661" i="1"/>
  <c r="F1661" i="1"/>
  <c r="E1661" i="1"/>
  <c r="D1661" i="1"/>
  <c r="C1661" i="1"/>
  <c r="M1660" i="1"/>
  <c r="K1660" i="1"/>
  <c r="J1660" i="1"/>
  <c r="I1660" i="1"/>
  <c r="H1660" i="1"/>
  <c r="G1660" i="1"/>
  <c r="F1660" i="1"/>
  <c r="E1660" i="1"/>
  <c r="D1660" i="1"/>
  <c r="C1660" i="1"/>
  <c r="M1659" i="1"/>
  <c r="K1659" i="1"/>
  <c r="J1659" i="1"/>
  <c r="I1659" i="1"/>
  <c r="H1659" i="1"/>
  <c r="G1659" i="1"/>
  <c r="F1659" i="1"/>
  <c r="E1659" i="1"/>
  <c r="D1659" i="1"/>
  <c r="C1659" i="1"/>
  <c r="M1658" i="1"/>
  <c r="K1658" i="1"/>
  <c r="J1658" i="1"/>
  <c r="I1658" i="1"/>
  <c r="H1658" i="1"/>
  <c r="G1658" i="1"/>
  <c r="F1658" i="1"/>
  <c r="E1658" i="1"/>
  <c r="D1658" i="1"/>
  <c r="C1658" i="1"/>
  <c r="M1657" i="1"/>
  <c r="K1657" i="1"/>
  <c r="J1657" i="1"/>
  <c r="I1657" i="1"/>
  <c r="H1657" i="1"/>
  <c r="G1657" i="1"/>
  <c r="F1657" i="1"/>
  <c r="E1657" i="1"/>
  <c r="D1657" i="1"/>
  <c r="C1657" i="1"/>
  <c r="M1656" i="1"/>
  <c r="K1656" i="1"/>
  <c r="J1656" i="1"/>
  <c r="I1656" i="1"/>
  <c r="H1656" i="1"/>
  <c r="G1656" i="1"/>
  <c r="F1656" i="1"/>
  <c r="E1656" i="1"/>
  <c r="D1656" i="1"/>
  <c r="C1656" i="1"/>
  <c r="M1655" i="1"/>
  <c r="K1655" i="1"/>
  <c r="J1655" i="1"/>
  <c r="I1655" i="1"/>
  <c r="H1655" i="1"/>
  <c r="G1655" i="1"/>
  <c r="F1655" i="1"/>
  <c r="E1655" i="1"/>
  <c r="D1655" i="1"/>
  <c r="C1655" i="1"/>
  <c r="M1654" i="1"/>
  <c r="K1654" i="1"/>
  <c r="J1654" i="1"/>
  <c r="I1654" i="1"/>
  <c r="H1654" i="1"/>
  <c r="G1654" i="1"/>
  <c r="F1654" i="1"/>
  <c r="E1654" i="1"/>
  <c r="D1654" i="1"/>
  <c r="C1654" i="1"/>
  <c r="M1653" i="1"/>
  <c r="K1653" i="1"/>
  <c r="J1653" i="1"/>
  <c r="I1653" i="1"/>
  <c r="H1653" i="1"/>
  <c r="G1653" i="1"/>
  <c r="F1653" i="1"/>
  <c r="E1653" i="1"/>
  <c r="D1653" i="1"/>
  <c r="C1653" i="1"/>
  <c r="M1652" i="1"/>
  <c r="K1652" i="1"/>
  <c r="J1652" i="1"/>
  <c r="I1652" i="1"/>
  <c r="H1652" i="1"/>
  <c r="G1652" i="1"/>
  <c r="F1652" i="1"/>
  <c r="E1652" i="1"/>
  <c r="D1652" i="1"/>
  <c r="C1652" i="1"/>
  <c r="M1651" i="1"/>
  <c r="K1651" i="1"/>
  <c r="J1651" i="1"/>
  <c r="I1651" i="1"/>
  <c r="H1651" i="1"/>
  <c r="G1651" i="1"/>
  <c r="F1651" i="1"/>
  <c r="E1651" i="1"/>
  <c r="D1651" i="1"/>
  <c r="C1651" i="1"/>
  <c r="M1650" i="1"/>
  <c r="K1650" i="1"/>
  <c r="J1650" i="1"/>
  <c r="I1650" i="1"/>
  <c r="H1650" i="1"/>
  <c r="G1650" i="1"/>
  <c r="F1650" i="1"/>
  <c r="E1650" i="1"/>
  <c r="D1650" i="1"/>
  <c r="C1650" i="1"/>
  <c r="M1649" i="1"/>
  <c r="K1649" i="1"/>
  <c r="J1649" i="1"/>
  <c r="I1649" i="1"/>
  <c r="H1649" i="1"/>
  <c r="G1649" i="1"/>
  <c r="F1649" i="1"/>
  <c r="E1649" i="1"/>
  <c r="D1649" i="1"/>
  <c r="C1649" i="1"/>
  <c r="M1648" i="1"/>
  <c r="K1648" i="1"/>
  <c r="J1648" i="1"/>
  <c r="I1648" i="1"/>
  <c r="H1648" i="1"/>
  <c r="G1648" i="1"/>
  <c r="F1648" i="1"/>
  <c r="E1648" i="1"/>
  <c r="D1648" i="1"/>
  <c r="C1648" i="1"/>
  <c r="M1647" i="1"/>
  <c r="K1647" i="1"/>
  <c r="J1647" i="1"/>
  <c r="I1647" i="1"/>
  <c r="H1647" i="1"/>
  <c r="G1647" i="1"/>
  <c r="F1647" i="1"/>
  <c r="E1647" i="1"/>
  <c r="D1647" i="1"/>
  <c r="C1647" i="1"/>
  <c r="M1646" i="1"/>
  <c r="K1646" i="1"/>
  <c r="J1646" i="1"/>
  <c r="I1646" i="1"/>
  <c r="H1646" i="1"/>
  <c r="G1646" i="1"/>
  <c r="F1646" i="1"/>
  <c r="E1646" i="1"/>
  <c r="D1646" i="1"/>
  <c r="C1646" i="1"/>
  <c r="M1645" i="1"/>
  <c r="K1645" i="1"/>
  <c r="J1645" i="1"/>
  <c r="I1645" i="1"/>
  <c r="H1645" i="1"/>
  <c r="G1645" i="1"/>
  <c r="F1645" i="1"/>
  <c r="E1645" i="1"/>
  <c r="D1645" i="1"/>
  <c r="C1645" i="1"/>
  <c r="M1644" i="1"/>
  <c r="K1644" i="1"/>
  <c r="J1644" i="1"/>
  <c r="I1644" i="1"/>
  <c r="H1644" i="1"/>
  <c r="G1644" i="1"/>
  <c r="F1644" i="1"/>
  <c r="E1644" i="1"/>
  <c r="D1644" i="1"/>
  <c r="C1644" i="1"/>
  <c r="M1643" i="1"/>
  <c r="K1643" i="1"/>
  <c r="J1643" i="1"/>
  <c r="I1643" i="1"/>
  <c r="H1643" i="1"/>
  <c r="G1643" i="1"/>
  <c r="F1643" i="1"/>
  <c r="E1643" i="1"/>
  <c r="D1643" i="1"/>
  <c r="C1643" i="1"/>
  <c r="M1642" i="1"/>
  <c r="K1642" i="1"/>
  <c r="J1642" i="1"/>
  <c r="I1642" i="1"/>
  <c r="H1642" i="1"/>
  <c r="G1642" i="1"/>
  <c r="F1642" i="1"/>
  <c r="E1642" i="1"/>
  <c r="D1642" i="1"/>
  <c r="C1642" i="1"/>
  <c r="M1641" i="1"/>
  <c r="K1641" i="1"/>
  <c r="J1641" i="1"/>
  <c r="I1641" i="1"/>
  <c r="H1641" i="1"/>
  <c r="G1641" i="1"/>
  <c r="F1641" i="1"/>
  <c r="E1641" i="1"/>
  <c r="D1641" i="1"/>
  <c r="C1641" i="1"/>
  <c r="M1640" i="1"/>
  <c r="K1640" i="1"/>
  <c r="J1640" i="1"/>
  <c r="I1640" i="1"/>
  <c r="H1640" i="1"/>
  <c r="G1640" i="1"/>
  <c r="F1640" i="1"/>
  <c r="E1640" i="1"/>
  <c r="D1640" i="1"/>
  <c r="C1640" i="1"/>
  <c r="M1639" i="1"/>
  <c r="K1639" i="1"/>
  <c r="J1639" i="1"/>
  <c r="I1639" i="1"/>
  <c r="H1639" i="1"/>
  <c r="G1639" i="1"/>
  <c r="F1639" i="1"/>
  <c r="E1639" i="1"/>
  <c r="D1639" i="1"/>
  <c r="C1639" i="1"/>
  <c r="M1638" i="1"/>
  <c r="K1638" i="1"/>
  <c r="J1638" i="1"/>
  <c r="I1638" i="1"/>
  <c r="H1638" i="1"/>
  <c r="G1638" i="1"/>
  <c r="F1638" i="1"/>
  <c r="E1638" i="1"/>
  <c r="D1638" i="1"/>
  <c r="C1638" i="1"/>
  <c r="M1637" i="1"/>
  <c r="K1637" i="1"/>
  <c r="J1637" i="1"/>
  <c r="I1637" i="1"/>
  <c r="H1637" i="1"/>
  <c r="G1637" i="1"/>
  <c r="F1637" i="1"/>
  <c r="E1637" i="1"/>
  <c r="D1637" i="1"/>
  <c r="C1637" i="1"/>
  <c r="M1636" i="1"/>
  <c r="K1636" i="1"/>
  <c r="J1636" i="1"/>
  <c r="I1636" i="1"/>
  <c r="H1636" i="1"/>
  <c r="G1636" i="1"/>
  <c r="F1636" i="1"/>
  <c r="E1636" i="1"/>
  <c r="D1636" i="1"/>
  <c r="C1636" i="1"/>
  <c r="M1635" i="1"/>
  <c r="K1635" i="1"/>
  <c r="J1635" i="1"/>
  <c r="I1635" i="1"/>
  <c r="H1635" i="1"/>
  <c r="G1635" i="1"/>
  <c r="F1635" i="1"/>
  <c r="E1635" i="1"/>
  <c r="D1635" i="1"/>
  <c r="C1635" i="1"/>
  <c r="M1634" i="1"/>
  <c r="K1634" i="1"/>
  <c r="J1634" i="1"/>
  <c r="I1634" i="1"/>
  <c r="H1634" i="1"/>
  <c r="G1634" i="1"/>
  <c r="F1634" i="1"/>
  <c r="E1634" i="1"/>
  <c r="D1634" i="1"/>
  <c r="C1634" i="1"/>
  <c r="M1633" i="1"/>
  <c r="K1633" i="1"/>
  <c r="J1633" i="1"/>
  <c r="I1633" i="1"/>
  <c r="H1633" i="1"/>
  <c r="G1633" i="1"/>
  <c r="F1633" i="1"/>
  <c r="E1633" i="1"/>
  <c r="D1633" i="1"/>
  <c r="C1633" i="1"/>
  <c r="M1632" i="1"/>
  <c r="K1632" i="1"/>
  <c r="J1632" i="1"/>
  <c r="I1632" i="1"/>
  <c r="H1632" i="1"/>
  <c r="G1632" i="1"/>
  <c r="F1632" i="1"/>
  <c r="E1632" i="1"/>
  <c r="D1632" i="1"/>
  <c r="C1632" i="1"/>
  <c r="M1631" i="1"/>
  <c r="K1631" i="1"/>
  <c r="J1631" i="1"/>
  <c r="I1631" i="1"/>
  <c r="H1631" i="1"/>
  <c r="G1631" i="1"/>
  <c r="F1631" i="1"/>
  <c r="E1631" i="1"/>
  <c r="D1631" i="1"/>
  <c r="C1631" i="1"/>
  <c r="M1630" i="1"/>
  <c r="K1630" i="1"/>
  <c r="J1630" i="1"/>
  <c r="I1630" i="1"/>
  <c r="H1630" i="1"/>
  <c r="G1630" i="1"/>
  <c r="F1630" i="1"/>
  <c r="E1630" i="1"/>
  <c r="D1630" i="1"/>
  <c r="C1630" i="1"/>
  <c r="M1629" i="1"/>
  <c r="K1629" i="1"/>
  <c r="J1629" i="1"/>
  <c r="I1629" i="1"/>
  <c r="H1629" i="1"/>
  <c r="G1629" i="1"/>
  <c r="F1629" i="1"/>
  <c r="E1629" i="1"/>
  <c r="D1629" i="1"/>
  <c r="C1629" i="1"/>
  <c r="M1628" i="1"/>
  <c r="K1628" i="1"/>
  <c r="J1628" i="1"/>
  <c r="I1628" i="1"/>
  <c r="H1628" i="1"/>
  <c r="G1628" i="1"/>
  <c r="F1628" i="1"/>
  <c r="E1628" i="1"/>
  <c r="D1628" i="1"/>
  <c r="C1628" i="1"/>
  <c r="M1627" i="1"/>
  <c r="K1627" i="1"/>
  <c r="J1627" i="1"/>
  <c r="I1627" i="1"/>
  <c r="H1627" i="1"/>
  <c r="G1627" i="1"/>
  <c r="F1627" i="1"/>
  <c r="E1627" i="1"/>
  <c r="D1627" i="1"/>
  <c r="C1627" i="1"/>
  <c r="M1626" i="1"/>
  <c r="K1626" i="1"/>
  <c r="J1626" i="1"/>
  <c r="I1626" i="1"/>
  <c r="H1626" i="1"/>
  <c r="G1626" i="1"/>
  <c r="F1626" i="1"/>
  <c r="E1626" i="1"/>
  <c r="D1626" i="1"/>
  <c r="C1626" i="1"/>
  <c r="M1625" i="1"/>
  <c r="K1625" i="1"/>
  <c r="J1625" i="1"/>
  <c r="I1625" i="1"/>
  <c r="H1625" i="1"/>
  <c r="G1625" i="1"/>
  <c r="F1625" i="1"/>
  <c r="E1625" i="1"/>
  <c r="D1625" i="1"/>
  <c r="C1625" i="1"/>
  <c r="M1624" i="1"/>
  <c r="K1624" i="1"/>
  <c r="J1624" i="1"/>
  <c r="I1624" i="1"/>
  <c r="H1624" i="1"/>
  <c r="G1624" i="1"/>
  <c r="F1624" i="1"/>
  <c r="E1624" i="1"/>
  <c r="D1624" i="1"/>
  <c r="C1624" i="1"/>
  <c r="M1623" i="1"/>
  <c r="K1623" i="1"/>
  <c r="J1623" i="1"/>
  <c r="I1623" i="1"/>
  <c r="H1623" i="1"/>
  <c r="G1623" i="1"/>
  <c r="F1623" i="1"/>
  <c r="E1623" i="1"/>
  <c r="D1623" i="1"/>
  <c r="C1623" i="1"/>
  <c r="M1622" i="1"/>
  <c r="K1622" i="1"/>
  <c r="J1622" i="1"/>
  <c r="I1622" i="1"/>
  <c r="H1622" i="1"/>
  <c r="G1622" i="1"/>
  <c r="F1622" i="1"/>
  <c r="E1622" i="1"/>
  <c r="D1622" i="1"/>
  <c r="C1622" i="1"/>
  <c r="M1621" i="1"/>
  <c r="K1621" i="1"/>
  <c r="J1621" i="1"/>
  <c r="I1621" i="1"/>
  <c r="H1621" i="1"/>
  <c r="G1621" i="1"/>
  <c r="F1621" i="1"/>
  <c r="E1621" i="1"/>
  <c r="D1621" i="1"/>
  <c r="C1621" i="1"/>
  <c r="M1620" i="1"/>
  <c r="K1620" i="1"/>
  <c r="J1620" i="1"/>
  <c r="I1620" i="1"/>
  <c r="H1620" i="1"/>
  <c r="G1620" i="1"/>
  <c r="F1620" i="1"/>
  <c r="E1620" i="1"/>
  <c r="D1620" i="1"/>
  <c r="C1620" i="1"/>
  <c r="M1619" i="1"/>
  <c r="K1619" i="1"/>
  <c r="J1619" i="1"/>
  <c r="I1619" i="1"/>
  <c r="H1619" i="1"/>
  <c r="G1619" i="1"/>
  <c r="F1619" i="1"/>
  <c r="E1619" i="1"/>
  <c r="D1619" i="1"/>
  <c r="C1619" i="1"/>
  <c r="M1618" i="1"/>
  <c r="K1618" i="1"/>
  <c r="J1618" i="1"/>
  <c r="I1618" i="1"/>
  <c r="H1618" i="1"/>
  <c r="G1618" i="1"/>
  <c r="F1618" i="1"/>
  <c r="E1618" i="1"/>
  <c r="D1618" i="1"/>
  <c r="C1618" i="1"/>
  <c r="M1617" i="1"/>
  <c r="K1617" i="1"/>
  <c r="J1617" i="1"/>
  <c r="I1617" i="1"/>
  <c r="H1617" i="1"/>
  <c r="G1617" i="1"/>
  <c r="F1617" i="1"/>
  <c r="E1617" i="1"/>
  <c r="D1617" i="1"/>
  <c r="C1617" i="1"/>
  <c r="M1616" i="1"/>
  <c r="K1616" i="1"/>
  <c r="J1616" i="1"/>
  <c r="I1616" i="1"/>
  <c r="H1616" i="1"/>
  <c r="G1616" i="1"/>
  <c r="F1616" i="1"/>
  <c r="E1616" i="1"/>
  <c r="D1616" i="1"/>
  <c r="C1616" i="1"/>
  <c r="M1615" i="1"/>
  <c r="K1615" i="1"/>
  <c r="J1615" i="1"/>
  <c r="I1615" i="1"/>
  <c r="H1615" i="1"/>
  <c r="G1615" i="1"/>
  <c r="F1615" i="1"/>
  <c r="E1615" i="1"/>
  <c r="D1615" i="1"/>
  <c r="C1615" i="1"/>
  <c r="M1614" i="1"/>
  <c r="K1614" i="1"/>
  <c r="J1614" i="1"/>
  <c r="I1614" i="1"/>
  <c r="H1614" i="1"/>
  <c r="G1614" i="1"/>
  <c r="F1614" i="1"/>
  <c r="E1614" i="1"/>
  <c r="D1614" i="1"/>
  <c r="C1614" i="1"/>
  <c r="M1613" i="1"/>
  <c r="K1613" i="1"/>
  <c r="J1613" i="1"/>
  <c r="I1613" i="1"/>
  <c r="H1613" i="1"/>
  <c r="G1613" i="1"/>
  <c r="F1613" i="1"/>
  <c r="E1613" i="1"/>
  <c r="D1613" i="1"/>
  <c r="C1613" i="1"/>
  <c r="M1612" i="1"/>
  <c r="K1612" i="1"/>
  <c r="J1612" i="1"/>
  <c r="I1612" i="1"/>
  <c r="H1612" i="1"/>
  <c r="G1612" i="1"/>
  <c r="F1612" i="1"/>
  <c r="E1612" i="1"/>
  <c r="D1612" i="1"/>
  <c r="C1612" i="1"/>
  <c r="M1611" i="1"/>
  <c r="K1611" i="1"/>
  <c r="J1611" i="1"/>
  <c r="I1611" i="1"/>
  <c r="H1611" i="1"/>
  <c r="G1611" i="1"/>
  <c r="F1611" i="1"/>
  <c r="E1611" i="1"/>
  <c r="D1611" i="1"/>
  <c r="C1611" i="1"/>
  <c r="M1610" i="1"/>
  <c r="K1610" i="1"/>
  <c r="J1610" i="1"/>
  <c r="I1610" i="1"/>
  <c r="H1610" i="1"/>
  <c r="G1610" i="1"/>
  <c r="F1610" i="1"/>
  <c r="E1610" i="1"/>
  <c r="D1610" i="1"/>
  <c r="C1610" i="1"/>
  <c r="M1609" i="1"/>
  <c r="K1609" i="1"/>
  <c r="J1609" i="1"/>
  <c r="I1609" i="1"/>
  <c r="H1609" i="1"/>
  <c r="G1609" i="1"/>
  <c r="F1609" i="1"/>
  <c r="E1609" i="1"/>
  <c r="D1609" i="1"/>
  <c r="C1609" i="1"/>
  <c r="M1608" i="1"/>
  <c r="K1608" i="1"/>
  <c r="J1608" i="1"/>
  <c r="I1608" i="1"/>
  <c r="H1608" i="1"/>
  <c r="G1608" i="1"/>
  <c r="F1608" i="1"/>
  <c r="E1608" i="1"/>
  <c r="D1608" i="1"/>
  <c r="C1608" i="1"/>
  <c r="M1607" i="1"/>
  <c r="K1607" i="1"/>
  <c r="J1607" i="1"/>
  <c r="I1607" i="1"/>
  <c r="H1607" i="1"/>
  <c r="G1607" i="1"/>
  <c r="F1607" i="1"/>
  <c r="E1607" i="1"/>
  <c r="D1607" i="1"/>
  <c r="C1607" i="1"/>
  <c r="M1606" i="1"/>
  <c r="K1606" i="1"/>
  <c r="J1606" i="1"/>
  <c r="I1606" i="1"/>
  <c r="H1606" i="1"/>
  <c r="G1606" i="1"/>
  <c r="F1606" i="1"/>
  <c r="E1606" i="1"/>
  <c r="D1606" i="1"/>
  <c r="C1606" i="1"/>
  <c r="M1605" i="1"/>
  <c r="K1605" i="1"/>
  <c r="J1605" i="1"/>
  <c r="I1605" i="1"/>
  <c r="H1605" i="1"/>
  <c r="G1605" i="1"/>
  <c r="F1605" i="1"/>
  <c r="E1605" i="1"/>
  <c r="D1605" i="1"/>
  <c r="C1605" i="1"/>
  <c r="M1604" i="1"/>
  <c r="K1604" i="1"/>
  <c r="J1604" i="1"/>
  <c r="I1604" i="1"/>
  <c r="H1604" i="1"/>
  <c r="G1604" i="1"/>
  <c r="F1604" i="1"/>
  <c r="E1604" i="1"/>
  <c r="D1604" i="1"/>
  <c r="C1604" i="1"/>
  <c r="M1603" i="1"/>
  <c r="K1603" i="1"/>
  <c r="J1603" i="1"/>
  <c r="I1603" i="1"/>
  <c r="H1603" i="1"/>
  <c r="G1603" i="1"/>
  <c r="F1603" i="1"/>
  <c r="E1603" i="1"/>
  <c r="D1603" i="1"/>
  <c r="C1603" i="1"/>
  <c r="M1602" i="1"/>
  <c r="K1602" i="1"/>
  <c r="J1602" i="1"/>
  <c r="I1602" i="1"/>
  <c r="H1602" i="1"/>
  <c r="G1602" i="1"/>
  <c r="F1602" i="1"/>
  <c r="E1602" i="1"/>
  <c r="D1602" i="1"/>
  <c r="C1602" i="1"/>
  <c r="M1601" i="1"/>
  <c r="K1601" i="1"/>
  <c r="J1601" i="1"/>
  <c r="I1601" i="1"/>
  <c r="H1601" i="1"/>
  <c r="G1601" i="1"/>
  <c r="F1601" i="1"/>
  <c r="E1601" i="1"/>
  <c r="D1601" i="1"/>
  <c r="C1601" i="1"/>
  <c r="M1600" i="1"/>
  <c r="K1600" i="1"/>
  <c r="J1600" i="1"/>
  <c r="I1600" i="1"/>
  <c r="H1600" i="1"/>
  <c r="G1600" i="1"/>
  <c r="F1600" i="1"/>
  <c r="E1600" i="1"/>
  <c r="D1600" i="1"/>
  <c r="C1600" i="1"/>
  <c r="M1599" i="1"/>
  <c r="K1599" i="1"/>
  <c r="J1599" i="1"/>
  <c r="I1599" i="1"/>
  <c r="H1599" i="1"/>
  <c r="G1599" i="1"/>
  <c r="F1599" i="1"/>
  <c r="E1599" i="1"/>
  <c r="D1599" i="1"/>
  <c r="C1599" i="1"/>
  <c r="M1598" i="1"/>
  <c r="K1598" i="1"/>
  <c r="J1598" i="1"/>
  <c r="I1598" i="1"/>
  <c r="H1598" i="1"/>
  <c r="G1598" i="1"/>
  <c r="F1598" i="1"/>
  <c r="E1598" i="1"/>
  <c r="D1598" i="1"/>
  <c r="C1598" i="1"/>
  <c r="M1597" i="1"/>
  <c r="K1597" i="1"/>
  <c r="J1597" i="1"/>
  <c r="I1597" i="1"/>
  <c r="H1597" i="1"/>
  <c r="G1597" i="1"/>
  <c r="F1597" i="1"/>
  <c r="E1597" i="1"/>
  <c r="D1597" i="1"/>
  <c r="C1597" i="1"/>
  <c r="M1596" i="1"/>
  <c r="K1596" i="1"/>
  <c r="J1596" i="1"/>
  <c r="I1596" i="1"/>
  <c r="H1596" i="1"/>
  <c r="G1596" i="1"/>
  <c r="F1596" i="1"/>
  <c r="E1596" i="1"/>
  <c r="D1596" i="1"/>
  <c r="C1596" i="1"/>
  <c r="M1595" i="1"/>
  <c r="K1595" i="1"/>
  <c r="J1595" i="1"/>
  <c r="I1595" i="1"/>
  <c r="H1595" i="1"/>
  <c r="G1595" i="1"/>
  <c r="F1595" i="1"/>
  <c r="E1595" i="1"/>
  <c r="D1595" i="1"/>
  <c r="C1595" i="1"/>
  <c r="M1594" i="1"/>
  <c r="K1594" i="1"/>
  <c r="J1594" i="1"/>
  <c r="I1594" i="1"/>
  <c r="H1594" i="1"/>
  <c r="G1594" i="1"/>
  <c r="F1594" i="1"/>
  <c r="E1594" i="1"/>
  <c r="D1594" i="1"/>
  <c r="C1594" i="1"/>
  <c r="M1593" i="1"/>
  <c r="K1593" i="1"/>
  <c r="J1593" i="1"/>
  <c r="I1593" i="1"/>
  <c r="H1593" i="1"/>
  <c r="G1593" i="1"/>
  <c r="F1593" i="1"/>
  <c r="E1593" i="1"/>
  <c r="D1593" i="1"/>
  <c r="C1593" i="1"/>
  <c r="M1592" i="1"/>
  <c r="K1592" i="1"/>
  <c r="J1592" i="1"/>
  <c r="I1592" i="1"/>
  <c r="H1592" i="1"/>
  <c r="G1592" i="1"/>
  <c r="F1592" i="1"/>
  <c r="E1592" i="1"/>
  <c r="D1592" i="1"/>
  <c r="C1592" i="1"/>
  <c r="M1591" i="1"/>
  <c r="K1591" i="1"/>
  <c r="J1591" i="1"/>
  <c r="I1591" i="1"/>
  <c r="H1591" i="1"/>
  <c r="G1591" i="1"/>
  <c r="F1591" i="1"/>
  <c r="E1591" i="1"/>
  <c r="D1591" i="1"/>
  <c r="C1591" i="1"/>
  <c r="M1590" i="1"/>
  <c r="K1590" i="1"/>
  <c r="J1590" i="1"/>
  <c r="I1590" i="1"/>
  <c r="H1590" i="1"/>
  <c r="G1590" i="1"/>
  <c r="F1590" i="1"/>
  <c r="E1590" i="1"/>
  <c r="D1590" i="1"/>
  <c r="C1590" i="1"/>
  <c r="M1589" i="1"/>
  <c r="K1589" i="1"/>
  <c r="J1589" i="1"/>
  <c r="I1589" i="1"/>
  <c r="H1589" i="1"/>
  <c r="G1589" i="1"/>
  <c r="F1589" i="1"/>
  <c r="E1589" i="1"/>
  <c r="D1589" i="1"/>
  <c r="C1589" i="1"/>
  <c r="M1588" i="1"/>
  <c r="K1588" i="1"/>
  <c r="J1588" i="1"/>
  <c r="I1588" i="1"/>
  <c r="H1588" i="1"/>
  <c r="G1588" i="1"/>
  <c r="F1588" i="1"/>
  <c r="E1588" i="1"/>
  <c r="D1588" i="1"/>
  <c r="C1588" i="1"/>
  <c r="M1587" i="1"/>
  <c r="K1587" i="1"/>
  <c r="J1587" i="1"/>
  <c r="I1587" i="1"/>
  <c r="H1587" i="1"/>
  <c r="G1587" i="1"/>
  <c r="F1587" i="1"/>
  <c r="E1587" i="1"/>
  <c r="D1587" i="1"/>
  <c r="C1587" i="1"/>
  <c r="M1586" i="1"/>
  <c r="K1586" i="1"/>
  <c r="J1586" i="1"/>
  <c r="I1586" i="1"/>
  <c r="H1586" i="1"/>
  <c r="G1586" i="1"/>
  <c r="F1586" i="1"/>
  <c r="E1586" i="1"/>
  <c r="D1586" i="1"/>
  <c r="C1586" i="1"/>
  <c r="M1585" i="1"/>
  <c r="K1585" i="1"/>
  <c r="J1585" i="1"/>
  <c r="I1585" i="1"/>
  <c r="H1585" i="1"/>
  <c r="G1585" i="1"/>
  <c r="F1585" i="1"/>
  <c r="E1585" i="1"/>
  <c r="D1585" i="1"/>
  <c r="C1585" i="1"/>
  <c r="M1584" i="1"/>
  <c r="K1584" i="1"/>
  <c r="J1584" i="1"/>
  <c r="I1584" i="1"/>
  <c r="H1584" i="1"/>
  <c r="G1584" i="1"/>
  <c r="F1584" i="1"/>
  <c r="E1584" i="1"/>
  <c r="D1584" i="1"/>
  <c r="C1584" i="1"/>
  <c r="M1583" i="1"/>
  <c r="K1583" i="1"/>
  <c r="J1583" i="1"/>
  <c r="I1583" i="1"/>
  <c r="H1583" i="1"/>
  <c r="G1583" i="1"/>
  <c r="F1583" i="1"/>
  <c r="E1583" i="1"/>
  <c r="D1583" i="1"/>
  <c r="C1583" i="1"/>
  <c r="M1582" i="1"/>
  <c r="K1582" i="1"/>
  <c r="J1582" i="1"/>
  <c r="I1582" i="1"/>
  <c r="H1582" i="1"/>
  <c r="G1582" i="1"/>
  <c r="F1582" i="1"/>
  <c r="E1582" i="1"/>
  <c r="D1582" i="1"/>
  <c r="C1582" i="1"/>
  <c r="M1581" i="1"/>
  <c r="K1581" i="1"/>
  <c r="J1581" i="1"/>
  <c r="I1581" i="1"/>
  <c r="H1581" i="1"/>
  <c r="G1581" i="1"/>
  <c r="F1581" i="1"/>
  <c r="E1581" i="1"/>
  <c r="D1581" i="1"/>
  <c r="C1581" i="1"/>
  <c r="M1580" i="1"/>
  <c r="K1580" i="1"/>
  <c r="J1580" i="1"/>
  <c r="I1580" i="1"/>
  <c r="H1580" i="1"/>
  <c r="G1580" i="1"/>
  <c r="F1580" i="1"/>
  <c r="E1580" i="1"/>
  <c r="D1580" i="1"/>
  <c r="C1580" i="1"/>
  <c r="M1579" i="1"/>
  <c r="K1579" i="1"/>
  <c r="J1579" i="1"/>
  <c r="I1579" i="1"/>
  <c r="H1579" i="1"/>
  <c r="G1579" i="1"/>
  <c r="F1579" i="1"/>
  <c r="E1579" i="1"/>
  <c r="D1579" i="1"/>
  <c r="C1579" i="1"/>
  <c r="M1578" i="1"/>
  <c r="K1578" i="1"/>
  <c r="J1578" i="1"/>
  <c r="I1578" i="1"/>
  <c r="H1578" i="1"/>
  <c r="G1578" i="1"/>
  <c r="F1578" i="1"/>
  <c r="E1578" i="1"/>
  <c r="D1578" i="1"/>
  <c r="C1578" i="1"/>
  <c r="M1577" i="1"/>
  <c r="K1577" i="1"/>
  <c r="J1577" i="1"/>
  <c r="I1577" i="1"/>
  <c r="H1577" i="1"/>
  <c r="G1577" i="1"/>
  <c r="F1577" i="1"/>
  <c r="E1577" i="1"/>
  <c r="D1577" i="1"/>
  <c r="C1577" i="1"/>
  <c r="M1576" i="1"/>
  <c r="K1576" i="1"/>
  <c r="J1576" i="1"/>
  <c r="I1576" i="1"/>
  <c r="H1576" i="1"/>
  <c r="G1576" i="1"/>
  <c r="F1576" i="1"/>
  <c r="E1576" i="1"/>
  <c r="D1576" i="1"/>
  <c r="C1576" i="1"/>
  <c r="M1575" i="1"/>
  <c r="K1575" i="1"/>
  <c r="J1575" i="1"/>
  <c r="I1575" i="1"/>
  <c r="H1575" i="1"/>
  <c r="G1575" i="1"/>
  <c r="F1575" i="1"/>
  <c r="E1575" i="1"/>
  <c r="D1575" i="1"/>
  <c r="C1575" i="1"/>
  <c r="M1574" i="1"/>
  <c r="K1574" i="1"/>
  <c r="J1574" i="1"/>
  <c r="I1574" i="1"/>
  <c r="H1574" i="1"/>
  <c r="G1574" i="1"/>
  <c r="F1574" i="1"/>
  <c r="E1574" i="1"/>
  <c r="D1574" i="1"/>
  <c r="C1574" i="1"/>
  <c r="M1573" i="1"/>
  <c r="K1573" i="1"/>
  <c r="J1573" i="1"/>
  <c r="I1573" i="1"/>
  <c r="H1573" i="1"/>
  <c r="G1573" i="1"/>
  <c r="F1573" i="1"/>
  <c r="E1573" i="1"/>
  <c r="D1573" i="1"/>
  <c r="C1573" i="1"/>
  <c r="M1572" i="1"/>
  <c r="K1572" i="1"/>
  <c r="J1572" i="1"/>
  <c r="I1572" i="1"/>
  <c r="H1572" i="1"/>
  <c r="G1572" i="1"/>
  <c r="F1572" i="1"/>
  <c r="E1572" i="1"/>
  <c r="D1572" i="1"/>
  <c r="C1572" i="1"/>
  <c r="M1571" i="1"/>
  <c r="K1571" i="1"/>
  <c r="J1571" i="1"/>
  <c r="I1571" i="1"/>
  <c r="H1571" i="1"/>
  <c r="G1571" i="1"/>
  <c r="F1571" i="1"/>
  <c r="E1571" i="1"/>
  <c r="D1571" i="1"/>
  <c r="C1571" i="1"/>
  <c r="M1570" i="1"/>
  <c r="K1570" i="1"/>
  <c r="J1570" i="1"/>
  <c r="I1570" i="1"/>
  <c r="H1570" i="1"/>
  <c r="G1570" i="1"/>
  <c r="F1570" i="1"/>
  <c r="E1570" i="1"/>
  <c r="D1570" i="1"/>
  <c r="C1570" i="1"/>
  <c r="M1569" i="1"/>
  <c r="K1569" i="1"/>
  <c r="J1569" i="1"/>
  <c r="I1569" i="1"/>
  <c r="H1569" i="1"/>
  <c r="G1569" i="1"/>
  <c r="F1569" i="1"/>
  <c r="E1569" i="1"/>
  <c r="D1569" i="1"/>
  <c r="C1569" i="1"/>
  <c r="M1568" i="1"/>
  <c r="K1568" i="1"/>
  <c r="J1568" i="1"/>
  <c r="I1568" i="1"/>
  <c r="H1568" i="1"/>
  <c r="G1568" i="1"/>
  <c r="F1568" i="1"/>
  <c r="E1568" i="1"/>
  <c r="D1568" i="1"/>
  <c r="C1568" i="1"/>
  <c r="M1567" i="1"/>
  <c r="K1567" i="1"/>
  <c r="J1567" i="1"/>
  <c r="I1567" i="1"/>
  <c r="H1567" i="1"/>
  <c r="G1567" i="1"/>
  <c r="F1567" i="1"/>
  <c r="E1567" i="1"/>
  <c r="D1567" i="1"/>
  <c r="C1567" i="1"/>
  <c r="M1566" i="1"/>
  <c r="K1566" i="1"/>
  <c r="J1566" i="1"/>
  <c r="I1566" i="1"/>
  <c r="H1566" i="1"/>
  <c r="G1566" i="1"/>
  <c r="F1566" i="1"/>
  <c r="E1566" i="1"/>
  <c r="D1566" i="1"/>
  <c r="C1566" i="1"/>
  <c r="M1565" i="1"/>
  <c r="K1565" i="1"/>
  <c r="J1565" i="1"/>
  <c r="I1565" i="1"/>
  <c r="H1565" i="1"/>
  <c r="G1565" i="1"/>
  <c r="F1565" i="1"/>
  <c r="E1565" i="1"/>
  <c r="D1565" i="1"/>
  <c r="C1565" i="1"/>
  <c r="M1564" i="1"/>
  <c r="K1564" i="1"/>
  <c r="J1564" i="1"/>
  <c r="I1564" i="1"/>
  <c r="H1564" i="1"/>
  <c r="G1564" i="1"/>
  <c r="F1564" i="1"/>
  <c r="E1564" i="1"/>
  <c r="D1564" i="1"/>
  <c r="C1564" i="1"/>
  <c r="M1563" i="1"/>
  <c r="K1563" i="1"/>
  <c r="J1563" i="1"/>
  <c r="I1563" i="1"/>
  <c r="H1563" i="1"/>
  <c r="G1563" i="1"/>
  <c r="F1563" i="1"/>
  <c r="E1563" i="1"/>
  <c r="D1563" i="1"/>
  <c r="C1563" i="1"/>
  <c r="M1562" i="1"/>
  <c r="K1562" i="1"/>
  <c r="J1562" i="1"/>
  <c r="I1562" i="1"/>
  <c r="H1562" i="1"/>
  <c r="G1562" i="1"/>
  <c r="F1562" i="1"/>
  <c r="E1562" i="1"/>
  <c r="D1562" i="1"/>
  <c r="C1562" i="1"/>
  <c r="M1561" i="1"/>
  <c r="K1561" i="1"/>
  <c r="J1561" i="1"/>
  <c r="I1561" i="1"/>
  <c r="H1561" i="1"/>
  <c r="G1561" i="1"/>
  <c r="F1561" i="1"/>
  <c r="E1561" i="1"/>
  <c r="D1561" i="1"/>
  <c r="C1561" i="1"/>
  <c r="M1560" i="1"/>
  <c r="K1560" i="1"/>
  <c r="J1560" i="1"/>
  <c r="I1560" i="1"/>
  <c r="H1560" i="1"/>
  <c r="G1560" i="1"/>
  <c r="F1560" i="1"/>
  <c r="E1560" i="1"/>
  <c r="D1560" i="1"/>
  <c r="C1560" i="1"/>
  <c r="M1559" i="1"/>
  <c r="K1559" i="1"/>
  <c r="J1559" i="1"/>
  <c r="I1559" i="1"/>
  <c r="H1559" i="1"/>
  <c r="G1559" i="1"/>
  <c r="F1559" i="1"/>
  <c r="E1559" i="1"/>
  <c r="D1559" i="1"/>
  <c r="C1559" i="1"/>
  <c r="M1558" i="1"/>
  <c r="K1558" i="1"/>
  <c r="J1558" i="1"/>
  <c r="I1558" i="1"/>
  <c r="H1558" i="1"/>
  <c r="G1558" i="1"/>
  <c r="F1558" i="1"/>
  <c r="E1558" i="1"/>
  <c r="D1558" i="1"/>
  <c r="C1558" i="1"/>
  <c r="M1557" i="1"/>
  <c r="K1557" i="1"/>
  <c r="J1557" i="1"/>
  <c r="I1557" i="1"/>
  <c r="H1557" i="1"/>
  <c r="G1557" i="1"/>
  <c r="F1557" i="1"/>
  <c r="E1557" i="1"/>
  <c r="D1557" i="1"/>
  <c r="C1557" i="1"/>
  <c r="M1556" i="1"/>
  <c r="K1556" i="1"/>
  <c r="J1556" i="1"/>
  <c r="I1556" i="1"/>
  <c r="H1556" i="1"/>
  <c r="G1556" i="1"/>
  <c r="F1556" i="1"/>
  <c r="E1556" i="1"/>
  <c r="D1556" i="1"/>
  <c r="C1556" i="1"/>
  <c r="M1555" i="1"/>
  <c r="K1555" i="1"/>
  <c r="J1555" i="1"/>
  <c r="I1555" i="1"/>
  <c r="H1555" i="1"/>
  <c r="G1555" i="1"/>
  <c r="F1555" i="1"/>
  <c r="E1555" i="1"/>
  <c r="D1555" i="1"/>
  <c r="C1555" i="1"/>
  <c r="M1554" i="1"/>
  <c r="K1554" i="1"/>
  <c r="J1554" i="1"/>
  <c r="I1554" i="1"/>
  <c r="H1554" i="1"/>
  <c r="G1554" i="1"/>
  <c r="F1554" i="1"/>
  <c r="E1554" i="1"/>
  <c r="D1554" i="1"/>
  <c r="C1554" i="1"/>
  <c r="M1553" i="1"/>
  <c r="K1553" i="1"/>
  <c r="J1553" i="1"/>
  <c r="I1553" i="1"/>
  <c r="H1553" i="1"/>
  <c r="G1553" i="1"/>
  <c r="F1553" i="1"/>
  <c r="E1553" i="1"/>
  <c r="D1553" i="1"/>
  <c r="C1553" i="1"/>
  <c r="M1552" i="1"/>
  <c r="K1552" i="1"/>
  <c r="J1552" i="1"/>
  <c r="I1552" i="1"/>
  <c r="H1552" i="1"/>
  <c r="G1552" i="1"/>
  <c r="F1552" i="1"/>
  <c r="E1552" i="1"/>
  <c r="D1552" i="1"/>
  <c r="C1552" i="1"/>
  <c r="M1551" i="1"/>
  <c r="K1551" i="1"/>
  <c r="J1551" i="1"/>
  <c r="I1551" i="1"/>
  <c r="H1551" i="1"/>
  <c r="G1551" i="1"/>
  <c r="F1551" i="1"/>
  <c r="E1551" i="1"/>
  <c r="D1551" i="1"/>
  <c r="C1551" i="1"/>
  <c r="M1550" i="1"/>
  <c r="K1550" i="1"/>
  <c r="J1550" i="1"/>
  <c r="I1550" i="1"/>
  <c r="H1550" i="1"/>
  <c r="G1550" i="1"/>
  <c r="F1550" i="1"/>
  <c r="E1550" i="1"/>
  <c r="D1550" i="1"/>
  <c r="C1550" i="1"/>
  <c r="M1549" i="1"/>
  <c r="K1549" i="1"/>
  <c r="J1549" i="1"/>
  <c r="I1549" i="1"/>
  <c r="H1549" i="1"/>
  <c r="G1549" i="1"/>
  <c r="F1549" i="1"/>
  <c r="E1549" i="1"/>
  <c r="D1549" i="1"/>
  <c r="C1549" i="1"/>
  <c r="M1548" i="1"/>
  <c r="K1548" i="1"/>
  <c r="J1548" i="1"/>
  <c r="I1548" i="1"/>
  <c r="H1548" i="1"/>
  <c r="G1548" i="1"/>
  <c r="F1548" i="1"/>
  <c r="E1548" i="1"/>
  <c r="D1548" i="1"/>
  <c r="C1548" i="1"/>
  <c r="M1547" i="1"/>
  <c r="K1547" i="1"/>
  <c r="J1547" i="1"/>
  <c r="I1547" i="1"/>
  <c r="H1547" i="1"/>
  <c r="G1547" i="1"/>
  <c r="F1547" i="1"/>
  <c r="E1547" i="1"/>
  <c r="D1547" i="1"/>
  <c r="C1547" i="1"/>
  <c r="M1546" i="1"/>
  <c r="K1546" i="1"/>
  <c r="J1546" i="1"/>
  <c r="I1546" i="1"/>
  <c r="H1546" i="1"/>
  <c r="G1546" i="1"/>
  <c r="F1546" i="1"/>
  <c r="E1546" i="1"/>
  <c r="D1546" i="1"/>
  <c r="C1546" i="1"/>
  <c r="M1545" i="1"/>
  <c r="K1545" i="1"/>
  <c r="J1545" i="1"/>
  <c r="I1545" i="1"/>
  <c r="H1545" i="1"/>
  <c r="G1545" i="1"/>
  <c r="F1545" i="1"/>
  <c r="E1545" i="1"/>
  <c r="D1545" i="1"/>
  <c r="C1545" i="1"/>
  <c r="M1544" i="1"/>
  <c r="K1544" i="1"/>
  <c r="J1544" i="1"/>
  <c r="I1544" i="1"/>
  <c r="H1544" i="1"/>
  <c r="G1544" i="1"/>
  <c r="F1544" i="1"/>
  <c r="E1544" i="1"/>
  <c r="D1544" i="1"/>
  <c r="C1544" i="1"/>
  <c r="M1543" i="1"/>
  <c r="K1543" i="1"/>
  <c r="J1543" i="1"/>
  <c r="I1543" i="1"/>
  <c r="H1543" i="1"/>
  <c r="G1543" i="1"/>
  <c r="F1543" i="1"/>
  <c r="E1543" i="1"/>
  <c r="D1543" i="1"/>
  <c r="C1543" i="1"/>
  <c r="M1542" i="1"/>
  <c r="K1542" i="1"/>
  <c r="J1542" i="1"/>
  <c r="I1542" i="1"/>
  <c r="H1542" i="1"/>
  <c r="G1542" i="1"/>
  <c r="F1542" i="1"/>
  <c r="E1542" i="1"/>
  <c r="D1542" i="1"/>
  <c r="C1542" i="1"/>
  <c r="M1541" i="1"/>
  <c r="K1541" i="1"/>
  <c r="J1541" i="1"/>
  <c r="I1541" i="1"/>
  <c r="H1541" i="1"/>
  <c r="G1541" i="1"/>
  <c r="F1541" i="1"/>
  <c r="E1541" i="1"/>
  <c r="D1541" i="1"/>
  <c r="C1541" i="1"/>
  <c r="M1540" i="1"/>
  <c r="K1540" i="1"/>
  <c r="J1540" i="1"/>
  <c r="I1540" i="1"/>
  <c r="H1540" i="1"/>
  <c r="G1540" i="1"/>
  <c r="F1540" i="1"/>
  <c r="E1540" i="1"/>
  <c r="D1540" i="1"/>
  <c r="C1540" i="1"/>
  <c r="M1539" i="1"/>
  <c r="K1539" i="1"/>
  <c r="J1539" i="1"/>
  <c r="I1539" i="1"/>
  <c r="H1539" i="1"/>
  <c r="G1539" i="1"/>
  <c r="F1539" i="1"/>
  <c r="E1539" i="1"/>
  <c r="D1539" i="1"/>
  <c r="C1539" i="1"/>
  <c r="M1538" i="1"/>
  <c r="K1538" i="1"/>
  <c r="J1538" i="1"/>
  <c r="I1538" i="1"/>
  <c r="H1538" i="1"/>
  <c r="G1538" i="1"/>
  <c r="F1538" i="1"/>
  <c r="E1538" i="1"/>
  <c r="D1538" i="1"/>
  <c r="C1538" i="1"/>
  <c r="M1537" i="1"/>
  <c r="K1537" i="1"/>
  <c r="J1537" i="1"/>
  <c r="I1537" i="1"/>
  <c r="H1537" i="1"/>
  <c r="G1537" i="1"/>
  <c r="F1537" i="1"/>
  <c r="E1537" i="1"/>
  <c r="D1537" i="1"/>
  <c r="C1537" i="1"/>
  <c r="M1536" i="1"/>
  <c r="K1536" i="1"/>
  <c r="J1536" i="1"/>
  <c r="I1536" i="1"/>
  <c r="H1536" i="1"/>
  <c r="G1536" i="1"/>
  <c r="F1536" i="1"/>
  <c r="E1536" i="1"/>
  <c r="D1536" i="1"/>
  <c r="C1536" i="1"/>
  <c r="M1535" i="1"/>
  <c r="K1535" i="1"/>
  <c r="J1535" i="1"/>
  <c r="I1535" i="1"/>
  <c r="H1535" i="1"/>
  <c r="G1535" i="1"/>
  <c r="F1535" i="1"/>
  <c r="E1535" i="1"/>
  <c r="D1535" i="1"/>
  <c r="C1535" i="1"/>
  <c r="M1534" i="1"/>
  <c r="K1534" i="1"/>
  <c r="J1534" i="1"/>
  <c r="I1534" i="1"/>
  <c r="H1534" i="1"/>
  <c r="G1534" i="1"/>
  <c r="F1534" i="1"/>
  <c r="E1534" i="1"/>
  <c r="D1534" i="1"/>
  <c r="C1534" i="1"/>
  <c r="M1533" i="1"/>
  <c r="K1533" i="1"/>
  <c r="J1533" i="1"/>
  <c r="I1533" i="1"/>
  <c r="H1533" i="1"/>
  <c r="G1533" i="1"/>
  <c r="F1533" i="1"/>
  <c r="E1533" i="1"/>
  <c r="D1533" i="1"/>
  <c r="C1533" i="1"/>
  <c r="M1532" i="1"/>
  <c r="K1532" i="1"/>
  <c r="J1532" i="1"/>
  <c r="I1532" i="1"/>
  <c r="H1532" i="1"/>
  <c r="G1532" i="1"/>
  <c r="F1532" i="1"/>
  <c r="E1532" i="1"/>
  <c r="D1532" i="1"/>
  <c r="C1532" i="1"/>
  <c r="M1531" i="1"/>
  <c r="K1531" i="1"/>
  <c r="J1531" i="1"/>
  <c r="I1531" i="1"/>
  <c r="H1531" i="1"/>
  <c r="G1531" i="1"/>
  <c r="F1531" i="1"/>
  <c r="E1531" i="1"/>
  <c r="D1531" i="1"/>
  <c r="C1531" i="1"/>
  <c r="M1530" i="1"/>
  <c r="K1530" i="1"/>
  <c r="J1530" i="1"/>
  <c r="I1530" i="1"/>
  <c r="H1530" i="1"/>
  <c r="G1530" i="1"/>
  <c r="F1530" i="1"/>
  <c r="E1530" i="1"/>
  <c r="D1530" i="1"/>
  <c r="C1530" i="1"/>
  <c r="M1529" i="1"/>
  <c r="K1529" i="1"/>
  <c r="J1529" i="1"/>
  <c r="I1529" i="1"/>
  <c r="H1529" i="1"/>
  <c r="G1529" i="1"/>
  <c r="F1529" i="1"/>
  <c r="E1529" i="1"/>
  <c r="D1529" i="1"/>
  <c r="C1529" i="1"/>
  <c r="M1528" i="1"/>
  <c r="K1528" i="1"/>
  <c r="J1528" i="1"/>
  <c r="I1528" i="1"/>
  <c r="H1528" i="1"/>
  <c r="G1528" i="1"/>
  <c r="F1528" i="1"/>
  <c r="E1528" i="1"/>
  <c r="D1528" i="1"/>
  <c r="C1528" i="1"/>
  <c r="M1527" i="1"/>
  <c r="K1527" i="1"/>
  <c r="J1527" i="1"/>
  <c r="I1527" i="1"/>
  <c r="H1527" i="1"/>
  <c r="G1527" i="1"/>
  <c r="F1527" i="1"/>
  <c r="E1527" i="1"/>
  <c r="D1527" i="1"/>
  <c r="C1527" i="1"/>
  <c r="M1526" i="1"/>
  <c r="K1526" i="1"/>
  <c r="J1526" i="1"/>
  <c r="I1526" i="1"/>
  <c r="H1526" i="1"/>
  <c r="G1526" i="1"/>
  <c r="F1526" i="1"/>
  <c r="E1526" i="1"/>
  <c r="D1526" i="1"/>
  <c r="C1526" i="1"/>
  <c r="M1525" i="1"/>
  <c r="K1525" i="1"/>
  <c r="J1525" i="1"/>
  <c r="I1525" i="1"/>
  <c r="H1525" i="1"/>
  <c r="G1525" i="1"/>
  <c r="F1525" i="1"/>
  <c r="E1525" i="1"/>
  <c r="D1525" i="1"/>
  <c r="C1525" i="1"/>
  <c r="M1524" i="1"/>
  <c r="K1524" i="1"/>
  <c r="J1524" i="1"/>
  <c r="I1524" i="1"/>
  <c r="H1524" i="1"/>
  <c r="G1524" i="1"/>
  <c r="F1524" i="1"/>
  <c r="E1524" i="1"/>
  <c r="D1524" i="1"/>
  <c r="C1524" i="1"/>
  <c r="M1523" i="1"/>
  <c r="K1523" i="1"/>
  <c r="J1523" i="1"/>
  <c r="I1523" i="1"/>
  <c r="H1523" i="1"/>
  <c r="G1523" i="1"/>
  <c r="F1523" i="1"/>
  <c r="E1523" i="1"/>
  <c r="D1523" i="1"/>
  <c r="C1523" i="1"/>
  <c r="M1522" i="1"/>
  <c r="K1522" i="1"/>
  <c r="J1522" i="1"/>
  <c r="I1522" i="1"/>
  <c r="H1522" i="1"/>
  <c r="G1522" i="1"/>
  <c r="F1522" i="1"/>
  <c r="E1522" i="1"/>
  <c r="D1522" i="1"/>
  <c r="C1522" i="1"/>
  <c r="M1521" i="1"/>
  <c r="K1521" i="1"/>
  <c r="J1521" i="1"/>
  <c r="I1521" i="1"/>
  <c r="H1521" i="1"/>
  <c r="G1521" i="1"/>
  <c r="F1521" i="1"/>
  <c r="E1521" i="1"/>
  <c r="D1521" i="1"/>
  <c r="C1521" i="1"/>
  <c r="M1520" i="1"/>
  <c r="K1520" i="1"/>
  <c r="J1520" i="1"/>
  <c r="I1520" i="1"/>
  <c r="H1520" i="1"/>
  <c r="G1520" i="1"/>
  <c r="F1520" i="1"/>
  <c r="E1520" i="1"/>
  <c r="D1520" i="1"/>
  <c r="C1520" i="1"/>
  <c r="M1519" i="1"/>
  <c r="K1519" i="1"/>
  <c r="J1519" i="1"/>
  <c r="I1519" i="1"/>
  <c r="H1519" i="1"/>
  <c r="G1519" i="1"/>
  <c r="F1519" i="1"/>
  <c r="E1519" i="1"/>
  <c r="D1519" i="1"/>
  <c r="C1519" i="1"/>
  <c r="M1518" i="1"/>
  <c r="K1518" i="1"/>
  <c r="J1518" i="1"/>
  <c r="I1518" i="1"/>
  <c r="H1518" i="1"/>
  <c r="G1518" i="1"/>
  <c r="F1518" i="1"/>
  <c r="E1518" i="1"/>
  <c r="D1518" i="1"/>
  <c r="C1518" i="1"/>
  <c r="M1517" i="1"/>
  <c r="K1517" i="1"/>
  <c r="J1517" i="1"/>
  <c r="I1517" i="1"/>
  <c r="H1517" i="1"/>
  <c r="G1517" i="1"/>
  <c r="F1517" i="1"/>
  <c r="E1517" i="1"/>
  <c r="D1517" i="1"/>
  <c r="C1517" i="1"/>
  <c r="M1516" i="1"/>
  <c r="K1516" i="1"/>
  <c r="J1516" i="1"/>
  <c r="I1516" i="1"/>
  <c r="H1516" i="1"/>
  <c r="G1516" i="1"/>
  <c r="F1516" i="1"/>
  <c r="E1516" i="1"/>
  <c r="D1516" i="1"/>
  <c r="C1516" i="1"/>
  <c r="M1515" i="1"/>
  <c r="K1515" i="1"/>
  <c r="J1515" i="1"/>
  <c r="I1515" i="1"/>
  <c r="H1515" i="1"/>
  <c r="G1515" i="1"/>
  <c r="F1515" i="1"/>
  <c r="E1515" i="1"/>
  <c r="D1515" i="1"/>
  <c r="C1515" i="1"/>
  <c r="M1514" i="1"/>
  <c r="K1514" i="1"/>
  <c r="J1514" i="1"/>
  <c r="I1514" i="1"/>
  <c r="H1514" i="1"/>
  <c r="G1514" i="1"/>
  <c r="F1514" i="1"/>
  <c r="E1514" i="1"/>
  <c r="D1514" i="1"/>
  <c r="C1514" i="1"/>
  <c r="M1513" i="1"/>
  <c r="K1513" i="1"/>
  <c r="J1513" i="1"/>
  <c r="I1513" i="1"/>
  <c r="H1513" i="1"/>
  <c r="G1513" i="1"/>
  <c r="F1513" i="1"/>
  <c r="E1513" i="1"/>
  <c r="D1513" i="1"/>
  <c r="C1513" i="1"/>
  <c r="M1512" i="1"/>
  <c r="K1512" i="1"/>
  <c r="J1512" i="1"/>
  <c r="I1512" i="1"/>
  <c r="H1512" i="1"/>
  <c r="G1512" i="1"/>
  <c r="F1512" i="1"/>
  <c r="E1512" i="1"/>
  <c r="D1512" i="1"/>
  <c r="C1512" i="1"/>
  <c r="M1511" i="1"/>
  <c r="K1511" i="1"/>
  <c r="J1511" i="1"/>
  <c r="I1511" i="1"/>
  <c r="H1511" i="1"/>
  <c r="G1511" i="1"/>
  <c r="F1511" i="1"/>
  <c r="E1511" i="1"/>
  <c r="D1511" i="1"/>
  <c r="C1511" i="1"/>
  <c r="M1510" i="1"/>
  <c r="K1510" i="1"/>
  <c r="J1510" i="1"/>
  <c r="I1510" i="1"/>
  <c r="H1510" i="1"/>
  <c r="G1510" i="1"/>
  <c r="F1510" i="1"/>
  <c r="E1510" i="1"/>
  <c r="D1510" i="1"/>
  <c r="C1510" i="1"/>
  <c r="M1509" i="1"/>
  <c r="K1509" i="1"/>
  <c r="J1509" i="1"/>
  <c r="I1509" i="1"/>
  <c r="H1509" i="1"/>
  <c r="G1509" i="1"/>
  <c r="F1509" i="1"/>
  <c r="E1509" i="1"/>
  <c r="D1509" i="1"/>
  <c r="C1509" i="1"/>
  <c r="M1508" i="1"/>
  <c r="K1508" i="1"/>
  <c r="J1508" i="1"/>
  <c r="I1508" i="1"/>
  <c r="H1508" i="1"/>
  <c r="G1508" i="1"/>
  <c r="F1508" i="1"/>
  <c r="E1508" i="1"/>
  <c r="D1508" i="1"/>
  <c r="C1508" i="1"/>
  <c r="M1507" i="1"/>
  <c r="K1507" i="1"/>
  <c r="J1507" i="1"/>
  <c r="I1507" i="1"/>
  <c r="H1507" i="1"/>
  <c r="G1507" i="1"/>
  <c r="F1507" i="1"/>
  <c r="E1507" i="1"/>
  <c r="D1507" i="1"/>
  <c r="C1507" i="1"/>
  <c r="M1506" i="1"/>
  <c r="K1506" i="1"/>
  <c r="J1506" i="1"/>
  <c r="I1506" i="1"/>
  <c r="H1506" i="1"/>
  <c r="G1506" i="1"/>
  <c r="F1506" i="1"/>
  <c r="E1506" i="1"/>
  <c r="D1506" i="1"/>
  <c r="C1506" i="1"/>
  <c r="M1505" i="1"/>
  <c r="K1505" i="1"/>
  <c r="J1505" i="1"/>
  <c r="I1505" i="1"/>
  <c r="H1505" i="1"/>
  <c r="G1505" i="1"/>
  <c r="F1505" i="1"/>
  <c r="E1505" i="1"/>
  <c r="D1505" i="1"/>
  <c r="C1505" i="1"/>
  <c r="M1504" i="1"/>
  <c r="K1504" i="1"/>
  <c r="J1504" i="1"/>
  <c r="I1504" i="1"/>
  <c r="H1504" i="1"/>
  <c r="G1504" i="1"/>
  <c r="F1504" i="1"/>
  <c r="E1504" i="1"/>
  <c r="D1504" i="1"/>
  <c r="C1504" i="1"/>
  <c r="M1503" i="1"/>
  <c r="K1503" i="1"/>
  <c r="J1503" i="1"/>
  <c r="I1503" i="1"/>
  <c r="H1503" i="1"/>
  <c r="G1503" i="1"/>
  <c r="F1503" i="1"/>
  <c r="E1503" i="1"/>
  <c r="D1503" i="1"/>
  <c r="C1503" i="1"/>
  <c r="M1502" i="1"/>
  <c r="K1502" i="1"/>
  <c r="J1502" i="1"/>
  <c r="I1502" i="1"/>
  <c r="H1502" i="1"/>
  <c r="G1502" i="1"/>
  <c r="F1502" i="1"/>
  <c r="E1502" i="1"/>
  <c r="D1502" i="1"/>
  <c r="C1502" i="1"/>
  <c r="M1501" i="1"/>
  <c r="K1501" i="1"/>
  <c r="J1501" i="1"/>
  <c r="I1501" i="1"/>
  <c r="H1501" i="1"/>
  <c r="G1501" i="1"/>
  <c r="F1501" i="1"/>
  <c r="E1501" i="1"/>
  <c r="D1501" i="1"/>
  <c r="C1501" i="1"/>
  <c r="M1500" i="1"/>
  <c r="K1500" i="1"/>
  <c r="J1500" i="1"/>
  <c r="I1500" i="1"/>
  <c r="H1500" i="1"/>
  <c r="G1500" i="1"/>
  <c r="F1500" i="1"/>
  <c r="E1500" i="1"/>
  <c r="D1500" i="1"/>
  <c r="C1500" i="1"/>
  <c r="M1499" i="1"/>
  <c r="K1499" i="1"/>
  <c r="J1499" i="1"/>
  <c r="I1499" i="1"/>
  <c r="H1499" i="1"/>
  <c r="G1499" i="1"/>
  <c r="F1499" i="1"/>
  <c r="E1499" i="1"/>
  <c r="D1499" i="1"/>
  <c r="C1499" i="1"/>
  <c r="M1498" i="1"/>
  <c r="K1498" i="1"/>
  <c r="J1498" i="1"/>
  <c r="I1498" i="1"/>
  <c r="H1498" i="1"/>
  <c r="G1498" i="1"/>
  <c r="F1498" i="1"/>
  <c r="E1498" i="1"/>
  <c r="D1498" i="1"/>
  <c r="C1498" i="1"/>
  <c r="M1497" i="1"/>
  <c r="K1497" i="1"/>
  <c r="J1497" i="1"/>
  <c r="I1497" i="1"/>
  <c r="H1497" i="1"/>
  <c r="G1497" i="1"/>
  <c r="F1497" i="1"/>
  <c r="E1497" i="1"/>
  <c r="D1497" i="1"/>
  <c r="C1497" i="1"/>
  <c r="M1496" i="1"/>
  <c r="K1496" i="1"/>
  <c r="J1496" i="1"/>
  <c r="I1496" i="1"/>
  <c r="H1496" i="1"/>
  <c r="G1496" i="1"/>
  <c r="F1496" i="1"/>
  <c r="E1496" i="1"/>
  <c r="D1496" i="1"/>
  <c r="C1496" i="1"/>
  <c r="M1495" i="1"/>
  <c r="K1495" i="1"/>
  <c r="J1495" i="1"/>
  <c r="I1495" i="1"/>
  <c r="H1495" i="1"/>
  <c r="G1495" i="1"/>
  <c r="F1495" i="1"/>
  <c r="E1495" i="1"/>
  <c r="D1495" i="1"/>
  <c r="C1495" i="1"/>
  <c r="M1494" i="1"/>
  <c r="K1494" i="1"/>
  <c r="J1494" i="1"/>
  <c r="I1494" i="1"/>
  <c r="H1494" i="1"/>
  <c r="G1494" i="1"/>
  <c r="F1494" i="1"/>
  <c r="E1494" i="1"/>
  <c r="D1494" i="1"/>
  <c r="C1494" i="1"/>
  <c r="M1493" i="1"/>
  <c r="K1493" i="1"/>
  <c r="J1493" i="1"/>
  <c r="I1493" i="1"/>
  <c r="H1493" i="1"/>
  <c r="G1493" i="1"/>
  <c r="F1493" i="1"/>
  <c r="E1493" i="1"/>
  <c r="D1493" i="1"/>
  <c r="C1493" i="1"/>
  <c r="M1492" i="1"/>
  <c r="K1492" i="1"/>
  <c r="J1492" i="1"/>
  <c r="I1492" i="1"/>
  <c r="H1492" i="1"/>
  <c r="G1492" i="1"/>
  <c r="F1492" i="1"/>
  <c r="E1492" i="1"/>
  <c r="D1492" i="1"/>
  <c r="C1492" i="1"/>
  <c r="M1491" i="1"/>
  <c r="K1491" i="1"/>
  <c r="J1491" i="1"/>
  <c r="I1491" i="1"/>
  <c r="H1491" i="1"/>
  <c r="G1491" i="1"/>
  <c r="F1491" i="1"/>
  <c r="E1491" i="1"/>
  <c r="D1491" i="1"/>
  <c r="C1491" i="1"/>
  <c r="M1490" i="1"/>
  <c r="K1490" i="1"/>
  <c r="J1490" i="1"/>
  <c r="I1490" i="1"/>
  <c r="H1490" i="1"/>
  <c r="G1490" i="1"/>
  <c r="F1490" i="1"/>
  <c r="E1490" i="1"/>
  <c r="D1490" i="1"/>
  <c r="C1490" i="1"/>
  <c r="M1489" i="1"/>
  <c r="K1489" i="1"/>
  <c r="J1489" i="1"/>
  <c r="I1489" i="1"/>
  <c r="H1489" i="1"/>
  <c r="G1489" i="1"/>
  <c r="F1489" i="1"/>
  <c r="E1489" i="1"/>
  <c r="D1489" i="1"/>
  <c r="C1489" i="1"/>
  <c r="M1488" i="1"/>
  <c r="K1488" i="1"/>
  <c r="J1488" i="1"/>
  <c r="I1488" i="1"/>
  <c r="H1488" i="1"/>
  <c r="G1488" i="1"/>
  <c r="F1488" i="1"/>
  <c r="E1488" i="1"/>
  <c r="D1488" i="1"/>
  <c r="C1488" i="1"/>
  <c r="M1487" i="1"/>
  <c r="K1487" i="1"/>
  <c r="J1487" i="1"/>
  <c r="I1487" i="1"/>
  <c r="H1487" i="1"/>
  <c r="G1487" i="1"/>
  <c r="F1487" i="1"/>
  <c r="E1487" i="1"/>
  <c r="D1487" i="1"/>
  <c r="C1487" i="1"/>
  <c r="M1486" i="1"/>
  <c r="K1486" i="1"/>
  <c r="J1486" i="1"/>
  <c r="I1486" i="1"/>
  <c r="H1486" i="1"/>
  <c r="G1486" i="1"/>
  <c r="F1486" i="1"/>
  <c r="E1486" i="1"/>
  <c r="D1486" i="1"/>
  <c r="C1486" i="1"/>
  <c r="M1485" i="1"/>
  <c r="K1485" i="1"/>
  <c r="J1485" i="1"/>
  <c r="I1485" i="1"/>
  <c r="H1485" i="1"/>
  <c r="G1485" i="1"/>
  <c r="F1485" i="1"/>
  <c r="E1485" i="1"/>
  <c r="D1485" i="1"/>
  <c r="C1485" i="1"/>
  <c r="M1484" i="1"/>
  <c r="K1484" i="1"/>
  <c r="J1484" i="1"/>
  <c r="I1484" i="1"/>
  <c r="H1484" i="1"/>
  <c r="G1484" i="1"/>
  <c r="F1484" i="1"/>
  <c r="E1484" i="1"/>
  <c r="D1484" i="1"/>
  <c r="C1484" i="1"/>
  <c r="M1483" i="1"/>
  <c r="K1483" i="1"/>
  <c r="J1483" i="1"/>
  <c r="I1483" i="1"/>
  <c r="H1483" i="1"/>
  <c r="G1483" i="1"/>
  <c r="F1483" i="1"/>
  <c r="E1483" i="1"/>
  <c r="D1483" i="1"/>
  <c r="C1483" i="1"/>
  <c r="M1482" i="1"/>
  <c r="K1482" i="1"/>
  <c r="J1482" i="1"/>
  <c r="I1482" i="1"/>
  <c r="H1482" i="1"/>
  <c r="G1482" i="1"/>
  <c r="F1482" i="1"/>
  <c r="E1482" i="1"/>
  <c r="D1482" i="1"/>
  <c r="C1482" i="1"/>
  <c r="M1481" i="1"/>
  <c r="K1481" i="1"/>
  <c r="J1481" i="1"/>
  <c r="I1481" i="1"/>
  <c r="H1481" i="1"/>
  <c r="G1481" i="1"/>
  <c r="F1481" i="1"/>
  <c r="E1481" i="1"/>
  <c r="D1481" i="1"/>
  <c r="C1481" i="1"/>
  <c r="M1480" i="1"/>
  <c r="K1480" i="1"/>
  <c r="J1480" i="1"/>
  <c r="I1480" i="1"/>
  <c r="H1480" i="1"/>
  <c r="G1480" i="1"/>
  <c r="F1480" i="1"/>
  <c r="E1480" i="1"/>
  <c r="D1480" i="1"/>
  <c r="C1480" i="1"/>
  <c r="M1479" i="1"/>
  <c r="K1479" i="1"/>
  <c r="J1479" i="1"/>
  <c r="I1479" i="1"/>
  <c r="H1479" i="1"/>
  <c r="G1479" i="1"/>
  <c r="F1479" i="1"/>
  <c r="E1479" i="1"/>
  <c r="D1479" i="1"/>
  <c r="C1479" i="1"/>
  <c r="M1478" i="1"/>
  <c r="K1478" i="1"/>
  <c r="J1478" i="1"/>
  <c r="I1478" i="1"/>
  <c r="H1478" i="1"/>
  <c r="G1478" i="1"/>
  <c r="F1478" i="1"/>
  <c r="E1478" i="1"/>
  <c r="D1478" i="1"/>
  <c r="C1478" i="1"/>
  <c r="M1477" i="1"/>
  <c r="K1477" i="1"/>
  <c r="J1477" i="1"/>
  <c r="I1477" i="1"/>
  <c r="H1477" i="1"/>
  <c r="G1477" i="1"/>
  <c r="F1477" i="1"/>
  <c r="E1477" i="1"/>
  <c r="D1477" i="1"/>
  <c r="C1477" i="1"/>
  <c r="M1476" i="1"/>
  <c r="K1476" i="1"/>
  <c r="J1476" i="1"/>
  <c r="I1476" i="1"/>
  <c r="H1476" i="1"/>
  <c r="G1476" i="1"/>
  <c r="F1476" i="1"/>
  <c r="E1476" i="1"/>
  <c r="D1476" i="1"/>
  <c r="C1476" i="1"/>
  <c r="M1475" i="1"/>
  <c r="K1475" i="1"/>
  <c r="J1475" i="1"/>
  <c r="I1475" i="1"/>
  <c r="H1475" i="1"/>
  <c r="G1475" i="1"/>
  <c r="F1475" i="1"/>
  <c r="E1475" i="1"/>
  <c r="D1475" i="1"/>
  <c r="C1475" i="1"/>
  <c r="M1474" i="1"/>
  <c r="K1474" i="1"/>
  <c r="J1474" i="1"/>
  <c r="I1474" i="1"/>
  <c r="H1474" i="1"/>
  <c r="G1474" i="1"/>
  <c r="F1474" i="1"/>
  <c r="E1474" i="1"/>
  <c r="D1474" i="1"/>
  <c r="C1474" i="1"/>
  <c r="M1473" i="1"/>
  <c r="K1473" i="1"/>
  <c r="J1473" i="1"/>
  <c r="I1473" i="1"/>
  <c r="H1473" i="1"/>
  <c r="G1473" i="1"/>
  <c r="F1473" i="1"/>
  <c r="E1473" i="1"/>
  <c r="D1473" i="1"/>
  <c r="C1473" i="1"/>
  <c r="M1472" i="1"/>
  <c r="K1472" i="1"/>
  <c r="J1472" i="1"/>
  <c r="I1472" i="1"/>
  <c r="H1472" i="1"/>
  <c r="G1472" i="1"/>
  <c r="F1472" i="1"/>
  <c r="E1472" i="1"/>
  <c r="D1472" i="1"/>
  <c r="C1472" i="1"/>
  <c r="M1471" i="1"/>
  <c r="K1471" i="1"/>
  <c r="J1471" i="1"/>
  <c r="I1471" i="1"/>
  <c r="H1471" i="1"/>
  <c r="G1471" i="1"/>
  <c r="F1471" i="1"/>
  <c r="E1471" i="1"/>
  <c r="D1471" i="1"/>
  <c r="C1471" i="1"/>
  <c r="M1470" i="1"/>
  <c r="K1470" i="1"/>
  <c r="J1470" i="1"/>
  <c r="I1470" i="1"/>
  <c r="H1470" i="1"/>
  <c r="G1470" i="1"/>
  <c r="F1470" i="1"/>
  <c r="E1470" i="1"/>
  <c r="D1470" i="1"/>
  <c r="C1470" i="1"/>
  <c r="M1469" i="1"/>
  <c r="K1469" i="1"/>
  <c r="J1469" i="1"/>
  <c r="I1469" i="1"/>
  <c r="H1469" i="1"/>
  <c r="G1469" i="1"/>
  <c r="F1469" i="1"/>
  <c r="E1469" i="1"/>
  <c r="D1469" i="1"/>
  <c r="C1469" i="1"/>
  <c r="M1468" i="1"/>
  <c r="K1468" i="1"/>
  <c r="J1468" i="1"/>
  <c r="I1468" i="1"/>
  <c r="H1468" i="1"/>
  <c r="G1468" i="1"/>
  <c r="F1468" i="1"/>
  <c r="E1468" i="1"/>
  <c r="D1468" i="1"/>
  <c r="C1468" i="1"/>
  <c r="M1467" i="1"/>
  <c r="K1467" i="1"/>
  <c r="J1467" i="1"/>
  <c r="I1467" i="1"/>
  <c r="H1467" i="1"/>
  <c r="G1467" i="1"/>
  <c r="F1467" i="1"/>
  <c r="E1467" i="1"/>
  <c r="D1467" i="1"/>
  <c r="C1467" i="1"/>
  <c r="M1466" i="1"/>
  <c r="K1466" i="1"/>
  <c r="J1466" i="1"/>
  <c r="I1466" i="1"/>
  <c r="H1466" i="1"/>
  <c r="G1466" i="1"/>
  <c r="F1466" i="1"/>
  <c r="E1466" i="1"/>
  <c r="D1466" i="1"/>
  <c r="C1466" i="1"/>
  <c r="M1465" i="1"/>
  <c r="K1465" i="1"/>
  <c r="J1465" i="1"/>
  <c r="I1465" i="1"/>
  <c r="H1465" i="1"/>
  <c r="G1465" i="1"/>
  <c r="F1465" i="1"/>
  <c r="E1465" i="1"/>
  <c r="D1465" i="1"/>
  <c r="C1465" i="1"/>
  <c r="M1464" i="1"/>
  <c r="K1464" i="1"/>
  <c r="J1464" i="1"/>
  <c r="I1464" i="1"/>
  <c r="H1464" i="1"/>
  <c r="G1464" i="1"/>
  <c r="F1464" i="1"/>
  <c r="E1464" i="1"/>
  <c r="D1464" i="1"/>
  <c r="C1464" i="1"/>
  <c r="M1463" i="1"/>
  <c r="K1463" i="1"/>
  <c r="J1463" i="1"/>
  <c r="I1463" i="1"/>
  <c r="H1463" i="1"/>
  <c r="G1463" i="1"/>
  <c r="F1463" i="1"/>
  <c r="E1463" i="1"/>
  <c r="D1463" i="1"/>
  <c r="C1463" i="1"/>
  <c r="M1462" i="1"/>
  <c r="K1462" i="1"/>
  <c r="J1462" i="1"/>
  <c r="I1462" i="1"/>
  <c r="H1462" i="1"/>
  <c r="G1462" i="1"/>
  <c r="F1462" i="1"/>
  <c r="E1462" i="1"/>
  <c r="D1462" i="1"/>
  <c r="C1462" i="1"/>
  <c r="M1461" i="1"/>
  <c r="K1461" i="1"/>
  <c r="J1461" i="1"/>
  <c r="I1461" i="1"/>
  <c r="H1461" i="1"/>
  <c r="G1461" i="1"/>
  <c r="F1461" i="1"/>
  <c r="E1461" i="1"/>
  <c r="D1461" i="1"/>
  <c r="C1461" i="1"/>
  <c r="M1460" i="1"/>
  <c r="K1460" i="1"/>
  <c r="J1460" i="1"/>
  <c r="I1460" i="1"/>
  <c r="H1460" i="1"/>
  <c r="G1460" i="1"/>
  <c r="F1460" i="1"/>
  <c r="E1460" i="1"/>
  <c r="D1460" i="1"/>
  <c r="C1460" i="1"/>
  <c r="M1459" i="1"/>
  <c r="K1459" i="1"/>
  <c r="J1459" i="1"/>
  <c r="I1459" i="1"/>
  <c r="H1459" i="1"/>
  <c r="G1459" i="1"/>
  <c r="F1459" i="1"/>
  <c r="E1459" i="1"/>
  <c r="D1459" i="1"/>
  <c r="C1459" i="1"/>
  <c r="M1458" i="1"/>
  <c r="K1458" i="1"/>
  <c r="J1458" i="1"/>
  <c r="I1458" i="1"/>
  <c r="H1458" i="1"/>
  <c r="G1458" i="1"/>
  <c r="F1458" i="1"/>
  <c r="E1458" i="1"/>
  <c r="D1458" i="1"/>
  <c r="C1458" i="1"/>
  <c r="M1457" i="1"/>
  <c r="K1457" i="1"/>
  <c r="J1457" i="1"/>
  <c r="I1457" i="1"/>
  <c r="H1457" i="1"/>
  <c r="G1457" i="1"/>
  <c r="F1457" i="1"/>
  <c r="E1457" i="1"/>
  <c r="D1457" i="1"/>
  <c r="C1457" i="1"/>
  <c r="M1456" i="1"/>
  <c r="K1456" i="1"/>
  <c r="J1456" i="1"/>
  <c r="I1456" i="1"/>
  <c r="H1456" i="1"/>
  <c r="G1456" i="1"/>
  <c r="F1456" i="1"/>
  <c r="E1456" i="1"/>
  <c r="D1456" i="1"/>
  <c r="C1456" i="1"/>
  <c r="M1455" i="1"/>
  <c r="K1455" i="1"/>
  <c r="J1455" i="1"/>
  <c r="I1455" i="1"/>
  <c r="H1455" i="1"/>
  <c r="G1455" i="1"/>
  <c r="F1455" i="1"/>
  <c r="E1455" i="1"/>
  <c r="D1455" i="1"/>
  <c r="C1455" i="1"/>
  <c r="M1454" i="1"/>
  <c r="K1454" i="1"/>
  <c r="J1454" i="1"/>
  <c r="I1454" i="1"/>
  <c r="H1454" i="1"/>
  <c r="G1454" i="1"/>
  <c r="F1454" i="1"/>
  <c r="E1454" i="1"/>
  <c r="D1454" i="1"/>
  <c r="C1454" i="1"/>
  <c r="M1453" i="1"/>
  <c r="K1453" i="1"/>
  <c r="J1453" i="1"/>
  <c r="I1453" i="1"/>
  <c r="H1453" i="1"/>
  <c r="G1453" i="1"/>
  <c r="F1453" i="1"/>
  <c r="E1453" i="1"/>
  <c r="D1453" i="1"/>
  <c r="C1453" i="1"/>
  <c r="M1452" i="1"/>
  <c r="K1452" i="1"/>
  <c r="J1452" i="1"/>
  <c r="I1452" i="1"/>
  <c r="H1452" i="1"/>
  <c r="G1452" i="1"/>
  <c r="F1452" i="1"/>
  <c r="E1452" i="1"/>
  <c r="D1452" i="1"/>
  <c r="C1452" i="1"/>
  <c r="M1451" i="1"/>
  <c r="K1451" i="1"/>
  <c r="J1451" i="1"/>
  <c r="I1451" i="1"/>
  <c r="H1451" i="1"/>
  <c r="G1451" i="1"/>
  <c r="F1451" i="1"/>
  <c r="E1451" i="1"/>
  <c r="D1451" i="1"/>
  <c r="C1451" i="1"/>
  <c r="M1450" i="1"/>
  <c r="K1450" i="1"/>
  <c r="J1450" i="1"/>
  <c r="I1450" i="1"/>
  <c r="H1450" i="1"/>
  <c r="G1450" i="1"/>
  <c r="F1450" i="1"/>
  <c r="E1450" i="1"/>
  <c r="D1450" i="1"/>
  <c r="C1450" i="1"/>
  <c r="M1449" i="1"/>
  <c r="K1449" i="1"/>
  <c r="J1449" i="1"/>
  <c r="I1449" i="1"/>
  <c r="H1449" i="1"/>
  <c r="G1449" i="1"/>
  <c r="F1449" i="1"/>
  <c r="E1449" i="1"/>
  <c r="D1449" i="1"/>
  <c r="C1449" i="1"/>
  <c r="M1448" i="1"/>
  <c r="K1448" i="1"/>
  <c r="J1448" i="1"/>
  <c r="I1448" i="1"/>
  <c r="H1448" i="1"/>
  <c r="G1448" i="1"/>
  <c r="F1448" i="1"/>
  <c r="E1448" i="1"/>
  <c r="D1448" i="1"/>
  <c r="C1448" i="1"/>
  <c r="M1447" i="1"/>
  <c r="K1447" i="1"/>
  <c r="J1447" i="1"/>
  <c r="I1447" i="1"/>
  <c r="H1447" i="1"/>
  <c r="G1447" i="1"/>
  <c r="F1447" i="1"/>
  <c r="E1447" i="1"/>
  <c r="D1447" i="1"/>
  <c r="C1447" i="1"/>
  <c r="M1446" i="1"/>
  <c r="K1446" i="1"/>
  <c r="J1446" i="1"/>
  <c r="I1446" i="1"/>
  <c r="H1446" i="1"/>
  <c r="G1446" i="1"/>
  <c r="F1446" i="1"/>
  <c r="E1446" i="1"/>
  <c r="D1446" i="1"/>
  <c r="C1446" i="1"/>
  <c r="M1445" i="1"/>
  <c r="K1445" i="1"/>
  <c r="J1445" i="1"/>
  <c r="I1445" i="1"/>
  <c r="H1445" i="1"/>
  <c r="G1445" i="1"/>
  <c r="F1445" i="1"/>
  <c r="E1445" i="1"/>
  <c r="D1445" i="1"/>
  <c r="C1445" i="1"/>
  <c r="M1444" i="1"/>
  <c r="K1444" i="1"/>
  <c r="J1444" i="1"/>
  <c r="I1444" i="1"/>
  <c r="H1444" i="1"/>
  <c r="G1444" i="1"/>
  <c r="F1444" i="1"/>
  <c r="E1444" i="1"/>
  <c r="D1444" i="1"/>
  <c r="C1444" i="1"/>
  <c r="M1443" i="1"/>
  <c r="K1443" i="1"/>
  <c r="J1443" i="1"/>
  <c r="I1443" i="1"/>
  <c r="H1443" i="1"/>
  <c r="G1443" i="1"/>
  <c r="F1443" i="1"/>
  <c r="E1443" i="1"/>
  <c r="D1443" i="1"/>
  <c r="C1443" i="1"/>
  <c r="M1442" i="1"/>
  <c r="K1442" i="1"/>
  <c r="J1442" i="1"/>
  <c r="I1442" i="1"/>
  <c r="H1442" i="1"/>
  <c r="G1442" i="1"/>
  <c r="F1442" i="1"/>
  <c r="E1442" i="1"/>
  <c r="D1442" i="1"/>
  <c r="C1442" i="1"/>
  <c r="M1441" i="1"/>
  <c r="K1441" i="1"/>
  <c r="J1441" i="1"/>
  <c r="I1441" i="1"/>
  <c r="H1441" i="1"/>
  <c r="G1441" i="1"/>
  <c r="F1441" i="1"/>
  <c r="E1441" i="1"/>
  <c r="D1441" i="1"/>
  <c r="C1441" i="1"/>
  <c r="M1440" i="1"/>
  <c r="K1440" i="1"/>
  <c r="J1440" i="1"/>
  <c r="I1440" i="1"/>
  <c r="H1440" i="1"/>
  <c r="G1440" i="1"/>
  <c r="F1440" i="1"/>
  <c r="E1440" i="1"/>
  <c r="D1440" i="1"/>
  <c r="C1440" i="1"/>
  <c r="M1439" i="1"/>
  <c r="K1439" i="1"/>
  <c r="J1439" i="1"/>
  <c r="I1439" i="1"/>
  <c r="H1439" i="1"/>
  <c r="G1439" i="1"/>
  <c r="F1439" i="1"/>
  <c r="E1439" i="1"/>
  <c r="D1439" i="1"/>
  <c r="C1439" i="1"/>
  <c r="M1438" i="1"/>
  <c r="K1438" i="1"/>
  <c r="J1438" i="1"/>
  <c r="I1438" i="1"/>
  <c r="H1438" i="1"/>
  <c r="G1438" i="1"/>
  <c r="F1438" i="1"/>
  <c r="E1438" i="1"/>
  <c r="D1438" i="1"/>
  <c r="C1438" i="1"/>
  <c r="M1437" i="1"/>
  <c r="K1437" i="1"/>
  <c r="J1437" i="1"/>
  <c r="I1437" i="1"/>
  <c r="H1437" i="1"/>
  <c r="G1437" i="1"/>
  <c r="F1437" i="1"/>
  <c r="E1437" i="1"/>
  <c r="D1437" i="1"/>
  <c r="C1437" i="1"/>
  <c r="M1436" i="1"/>
  <c r="K1436" i="1"/>
  <c r="J1436" i="1"/>
  <c r="I1436" i="1"/>
  <c r="H1436" i="1"/>
  <c r="G1436" i="1"/>
  <c r="F1436" i="1"/>
  <c r="E1436" i="1"/>
  <c r="D1436" i="1"/>
  <c r="C1436" i="1"/>
  <c r="M1435" i="1"/>
  <c r="K1435" i="1"/>
  <c r="J1435" i="1"/>
  <c r="I1435" i="1"/>
  <c r="H1435" i="1"/>
  <c r="G1435" i="1"/>
  <c r="F1435" i="1"/>
  <c r="E1435" i="1"/>
  <c r="D1435" i="1"/>
  <c r="C1435" i="1"/>
  <c r="M1434" i="1"/>
  <c r="K1434" i="1"/>
  <c r="J1434" i="1"/>
  <c r="I1434" i="1"/>
  <c r="H1434" i="1"/>
  <c r="G1434" i="1"/>
  <c r="F1434" i="1"/>
  <c r="E1434" i="1"/>
  <c r="D1434" i="1"/>
  <c r="C1434" i="1"/>
  <c r="M1433" i="1"/>
  <c r="K1433" i="1"/>
  <c r="J1433" i="1"/>
  <c r="I1433" i="1"/>
  <c r="H1433" i="1"/>
  <c r="G1433" i="1"/>
  <c r="F1433" i="1"/>
  <c r="E1433" i="1"/>
  <c r="D1433" i="1"/>
  <c r="C1433" i="1"/>
  <c r="M1432" i="1"/>
  <c r="K1432" i="1"/>
  <c r="J1432" i="1"/>
  <c r="I1432" i="1"/>
  <c r="H1432" i="1"/>
  <c r="G1432" i="1"/>
  <c r="F1432" i="1"/>
  <c r="E1432" i="1"/>
  <c r="D1432" i="1"/>
  <c r="C1432" i="1"/>
  <c r="M1431" i="1"/>
  <c r="K1431" i="1"/>
  <c r="J1431" i="1"/>
  <c r="I1431" i="1"/>
  <c r="H1431" i="1"/>
  <c r="G1431" i="1"/>
  <c r="F1431" i="1"/>
  <c r="E1431" i="1"/>
  <c r="D1431" i="1"/>
  <c r="C1431" i="1"/>
  <c r="M1430" i="1"/>
  <c r="K1430" i="1"/>
  <c r="J1430" i="1"/>
  <c r="I1430" i="1"/>
  <c r="H1430" i="1"/>
  <c r="G1430" i="1"/>
  <c r="F1430" i="1"/>
  <c r="E1430" i="1"/>
  <c r="D1430" i="1"/>
  <c r="C1430" i="1"/>
  <c r="M1429" i="1"/>
  <c r="K1429" i="1"/>
  <c r="J1429" i="1"/>
  <c r="I1429" i="1"/>
  <c r="H1429" i="1"/>
  <c r="G1429" i="1"/>
  <c r="F1429" i="1"/>
  <c r="E1429" i="1"/>
  <c r="D1429" i="1"/>
  <c r="C1429" i="1"/>
  <c r="M1428" i="1"/>
  <c r="K1428" i="1"/>
  <c r="J1428" i="1"/>
  <c r="I1428" i="1"/>
  <c r="H1428" i="1"/>
  <c r="G1428" i="1"/>
  <c r="F1428" i="1"/>
  <c r="E1428" i="1"/>
  <c r="D1428" i="1"/>
  <c r="C1428" i="1"/>
  <c r="M1427" i="1"/>
  <c r="K1427" i="1"/>
  <c r="J1427" i="1"/>
  <c r="I1427" i="1"/>
  <c r="H1427" i="1"/>
  <c r="G1427" i="1"/>
  <c r="F1427" i="1"/>
  <c r="E1427" i="1"/>
  <c r="D1427" i="1"/>
  <c r="C1427" i="1"/>
  <c r="M1426" i="1"/>
  <c r="K1426" i="1"/>
  <c r="J1426" i="1"/>
  <c r="I1426" i="1"/>
  <c r="H1426" i="1"/>
  <c r="G1426" i="1"/>
  <c r="F1426" i="1"/>
  <c r="E1426" i="1"/>
  <c r="D1426" i="1"/>
  <c r="C1426" i="1"/>
  <c r="M1425" i="1"/>
  <c r="K1425" i="1"/>
  <c r="J1425" i="1"/>
  <c r="I1425" i="1"/>
  <c r="H1425" i="1"/>
  <c r="G1425" i="1"/>
  <c r="F1425" i="1"/>
  <c r="E1425" i="1"/>
  <c r="D1425" i="1"/>
  <c r="C1425" i="1"/>
  <c r="M1424" i="1"/>
  <c r="K1424" i="1"/>
  <c r="J1424" i="1"/>
  <c r="I1424" i="1"/>
  <c r="H1424" i="1"/>
  <c r="G1424" i="1"/>
  <c r="F1424" i="1"/>
  <c r="E1424" i="1"/>
  <c r="D1424" i="1"/>
  <c r="C1424" i="1"/>
  <c r="M1423" i="1"/>
  <c r="K1423" i="1"/>
  <c r="J1423" i="1"/>
  <c r="I1423" i="1"/>
  <c r="H1423" i="1"/>
  <c r="G1423" i="1"/>
  <c r="F1423" i="1"/>
  <c r="E1423" i="1"/>
  <c r="D1423" i="1"/>
  <c r="C1423" i="1"/>
  <c r="M1422" i="1"/>
  <c r="K1422" i="1"/>
  <c r="J1422" i="1"/>
  <c r="I1422" i="1"/>
  <c r="H1422" i="1"/>
  <c r="G1422" i="1"/>
  <c r="F1422" i="1"/>
  <c r="E1422" i="1"/>
  <c r="D1422" i="1"/>
  <c r="C1422" i="1"/>
  <c r="M1421" i="1"/>
  <c r="K1421" i="1"/>
  <c r="J1421" i="1"/>
  <c r="I1421" i="1"/>
  <c r="H1421" i="1"/>
  <c r="G1421" i="1"/>
  <c r="F1421" i="1"/>
  <c r="E1421" i="1"/>
  <c r="D1421" i="1"/>
  <c r="C1421" i="1"/>
  <c r="M1420" i="1"/>
  <c r="K1420" i="1"/>
  <c r="J1420" i="1"/>
  <c r="I1420" i="1"/>
  <c r="H1420" i="1"/>
  <c r="G1420" i="1"/>
  <c r="F1420" i="1"/>
  <c r="E1420" i="1"/>
  <c r="D1420" i="1"/>
  <c r="C1420" i="1"/>
  <c r="M1419" i="1"/>
  <c r="K1419" i="1"/>
  <c r="J1419" i="1"/>
  <c r="I1419" i="1"/>
  <c r="H1419" i="1"/>
  <c r="G1419" i="1"/>
  <c r="F1419" i="1"/>
  <c r="E1419" i="1"/>
  <c r="D1419" i="1"/>
  <c r="C1419" i="1"/>
  <c r="M1418" i="1"/>
  <c r="K1418" i="1"/>
  <c r="J1418" i="1"/>
  <c r="I1418" i="1"/>
  <c r="H1418" i="1"/>
  <c r="G1418" i="1"/>
  <c r="F1418" i="1"/>
  <c r="E1418" i="1"/>
  <c r="D1418" i="1"/>
  <c r="C1418" i="1"/>
  <c r="M1417" i="1"/>
  <c r="K1417" i="1"/>
  <c r="J1417" i="1"/>
  <c r="I1417" i="1"/>
  <c r="H1417" i="1"/>
  <c r="G1417" i="1"/>
  <c r="F1417" i="1"/>
  <c r="E1417" i="1"/>
  <c r="D1417" i="1"/>
  <c r="C1417" i="1"/>
  <c r="M1416" i="1"/>
  <c r="K1416" i="1"/>
  <c r="J1416" i="1"/>
  <c r="I1416" i="1"/>
  <c r="H1416" i="1"/>
  <c r="G1416" i="1"/>
  <c r="F1416" i="1"/>
  <c r="E1416" i="1"/>
  <c r="D1416" i="1"/>
  <c r="C1416" i="1"/>
  <c r="M1415" i="1"/>
  <c r="K1415" i="1"/>
  <c r="J1415" i="1"/>
  <c r="I1415" i="1"/>
  <c r="H1415" i="1"/>
  <c r="G1415" i="1"/>
  <c r="F1415" i="1"/>
  <c r="E1415" i="1"/>
  <c r="D1415" i="1"/>
  <c r="C1415" i="1"/>
  <c r="M1414" i="1"/>
  <c r="K1414" i="1"/>
  <c r="J1414" i="1"/>
  <c r="I1414" i="1"/>
  <c r="H1414" i="1"/>
  <c r="G1414" i="1"/>
  <c r="F1414" i="1"/>
  <c r="E1414" i="1"/>
  <c r="D1414" i="1"/>
  <c r="C1414" i="1"/>
  <c r="M1413" i="1"/>
  <c r="K1413" i="1"/>
  <c r="J1413" i="1"/>
  <c r="I1413" i="1"/>
  <c r="H1413" i="1"/>
  <c r="G1413" i="1"/>
  <c r="F1413" i="1"/>
  <c r="E1413" i="1"/>
  <c r="D1413" i="1"/>
  <c r="C1413" i="1"/>
  <c r="M1412" i="1"/>
  <c r="K1412" i="1"/>
  <c r="J1412" i="1"/>
  <c r="I1412" i="1"/>
  <c r="H1412" i="1"/>
  <c r="G1412" i="1"/>
  <c r="F1412" i="1"/>
  <c r="E1412" i="1"/>
  <c r="D1412" i="1"/>
  <c r="C1412" i="1"/>
  <c r="M1411" i="1"/>
  <c r="K1411" i="1"/>
  <c r="J1411" i="1"/>
  <c r="I1411" i="1"/>
  <c r="H1411" i="1"/>
  <c r="G1411" i="1"/>
  <c r="F1411" i="1"/>
  <c r="E1411" i="1"/>
  <c r="D1411" i="1"/>
  <c r="C1411" i="1"/>
  <c r="M1410" i="1"/>
  <c r="K1410" i="1"/>
  <c r="J1410" i="1"/>
  <c r="I1410" i="1"/>
  <c r="H1410" i="1"/>
  <c r="G1410" i="1"/>
  <c r="F1410" i="1"/>
  <c r="E1410" i="1"/>
  <c r="D1410" i="1"/>
  <c r="C1410" i="1"/>
  <c r="M1409" i="1"/>
  <c r="K1409" i="1"/>
  <c r="J1409" i="1"/>
  <c r="I1409" i="1"/>
  <c r="H1409" i="1"/>
  <c r="G1409" i="1"/>
  <c r="F1409" i="1"/>
  <c r="E1409" i="1"/>
  <c r="D1409" i="1"/>
  <c r="C1409" i="1"/>
  <c r="M1408" i="1"/>
  <c r="K1408" i="1"/>
  <c r="J1408" i="1"/>
  <c r="I1408" i="1"/>
  <c r="H1408" i="1"/>
  <c r="G1408" i="1"/>
  <c r="F1408" i="1"/>
  <c r="E1408" i="1"/>
  <c r="D1408" i="1"/>
  <c r="C1408" i="1"/>
  <c r="M1407" i="1"/>
  <c r="K1407" i="1"/>
  <c r="J1407" i="1"/>
  <c r="I1407" i="1"/>
  <c r="H1407" i="1"/>
  <c r="G1407" i="1"/>
  <c r="F1407" i="1"/>
  <c r="E1407" i="1"/>
  <c r="D1407" i="1"/>
  <c r="C1407" i="1"/>
  <c r="M1406" i="1"/>
  <c r="K1406" i="1"/>
  <c r="J1406" i="1"/>
  <c r="I1406" i="1"/>
  <c r="H1406" i="1"/>
  <c r="G1406" i="1"/>
  <c r="F1406" i="1"/>
  <c r="E1406" i="1"/>
  <c r="D1406" i="1"/>
  <c r="C1406" i="1"/>
  <c r="M1405" i="1"/>
  <c r="K1405" i="1"/>
  <c r="J1405" i="1"/>
  <c r="I1405" i="1"/>
  <c r="H1405" i="1"/>
  <c r="G1405" i="1"/>
  <c r="F1405" i="1"/>
  <c r="E1405" i="1"/>
  <c r="D1405" i="1"/>
  <c r="C1405" i="1"/>
  <c r="M1404" i="1"/>
  <c r="K1404" i="1"/>
  <c r="J1404" i="1"/>
  <c r="I1404" i="1"/>
  <c r="H1404" i="1"/>
  <c r="G1404" i="1"/>
  <c r="F1404" i="1"/>
  <c r="E1404" i="1"/>
  <c r="D1404" i="1"/>
  <c r="C1404" i="1"/>
  <c r="M1403" i="1"/>
  <c r="K1403" i="1"/>
  <c r="J1403" i="1"/>
  <c r="I1403" i="1"/>
  <c r="H1403" i="1"/>
  <c r="G1403" i="1"/>
  <c r="F1403" i="1"/>
  <c r="E1403" i="1"/>
  <c r="D1403" i="1"/>
  <c r="C1403" i="1"/>
  <c r="M1402" i="1"/>
  <c r="K1402" i="1"/>
  <c r="J1402" i="1"/>
  <c r="I1402" i="1"/>
  <c r="H1402" i="1"/>
  <c r="G1402" i="1"/>
  <c r="F1402" i="1"/>
  <c r="E1402" i="1"/>
  <c r="D1402" i="1"/>
  <c r="C1402" i="1"/>
  <c r="M1401" i="1"/>
  <c r="K1401" i="1"/>
  <c r="J1401" i="1"/>
  <c r="I1401" i="1"/>
  <c r="H1401" i="1"/>
  <c r="G1401" i="1"/>
  <c r="F1401" i="1"/>
  <c r="E1401" i="1"/>
  <c r="D1401" i="1"/>
  <c r="C1401" i="1"/>
  <c r="M1400" i="1"/>
  <c r="K1400" i="1"/>
  <c r="J1400" i="1"/>
  <c r="I1400" i="1"/>
  <c r="H1400" i="1"/>
  <c r="G1400" i="1"/>
  <c r="F1400" i="1"/>
  <c r="E1400" i="1"/>
  <c r="D1400" i="1"/>
  <c r="C1400" i="1"/>
  <c r="M1399" i="1"/>
  <c r="K1399" i="1"/>
  <c r="J1399" i="1"/>
  <c r="I1399" i="1"/>
  <c r="H1399" i="1"/>
  <c r="G1399" i="1"/>
  <c r="F1399" i="1"/>
  <c r="E1399" i="1"/>
  <c r="D1399" i="1"/>
  <c r="C1399" i="1"/>
  <c r="M1398" i="1"/>
  <c r="K1398" i="1"/>
  <c r="J1398" i="1"/>
  <c r="I1398" i="1"/>
  <c r="H1398" i="1"/>
  <c r="G1398" i="1"/>
  <c r="F1398" i="1"/>
  <c r="E1398" i="1"/>
  <c r="D1398" i="1"/>
  <c r="C1398" i="1"/>
  <c r="M1397" i="1"/>
  <c r="K1397" i="1"/>
  <c r="J1397" i="1"/>
  <c r="I1397" i="1"/>
  <c r="H1397" i="1"/>
  <c r="G1397" i="1"/>
  <c r="F1397" i="1"/>
  <c r="E1397" i="1"/>
  <c r="D1397" i="1"/>
  <c r="C1397" i="1"/>
  <c r="M1396" i="1"/>
  <c r="K1396" i="1"/>
  <c r="J1396" i="1"/>
  <c r="I1396" i="1"/>
  <c r="H1396" i="1"/>
  <c r="G1396" i="1"/>
  <c r="F1396" i="1"/>
  <c r="E1396" i="1"/>
  <c r="D1396" i="1"/>
  <c r="C1396" i="1"/>
  <c r="M1395" i="1"/>
  <c r="K1395" i="1"/>
  <c r="J1395" i="1"/>
  <c r="I1395" i="1"/>
  <c r="H1395" i="1"/>
  <c r="G1395" i="1"/>
  <c r="F1395" i="1"/>
  <c r="E1395" i="1"/>
  <c r="D1395" i="1"/>
  <c r="C1395" i="1"/>
  <c r="M1394" i="1"/>
  <c r="K1394" i="1"/>
  <c r="J1394" i="1"/>
  <c r="I1394" i="1"/>
  <c r="H1394" i="1"/>
  <c r="G1394" i="1"/>
  <c r="F1394" i="1"/>
  <c r="E1394" i="1"/>
  <c r="D1394" i="1"/>
  <c r="C1394" i="1"/>
  <c r="M1393" i="1"/>
  <c r="K1393" i="1"/>
  <c r="J1393" i="1"/>
  <c r="I1393" i="1"/>
  <c r="H1393" i="1"/>
  <c r="G1393" i="1"/>
  <c r="F1393" i="1"/>
  <c r="E1393" i="1"/>
  <c r="D1393" i="1"/>
  <c r="C1393" i="1"/>
  <c r="M1392" i="1"/>
  <c r="K1392" i="1"/>
  <c r="J1392" i="1"/>
  <c r="I1392" i="1"/>
  <c r="H1392" i="1"/>
  <c r="G1392" i="1"/>
  <c r="F1392" i="1"/>
  <c r="E1392" i="1"/>
  <c r="D1392" i="1"/>
  <c r="C1392" i="1"/>
  <c r="M1391" i="1"/>
  <c r="K1391" i="1"/>
  <c r="J1391" i="1"/>
  <c r="I1391" i="1"/>
  <c r="H1391" i="1"/>
  <c r="G1391" i="1"/>
  <c r="F1391" i="1"/>
  <c r="E1391" i="1"/>
  <c r="D1391" i="1"/>
  <c r="C1391" i="1"/>
  <c r="M1390" i="1"/>
  <c r="K1390" i="1"/>
  <c r="J1390" i="1"/>
  <c r="I1390" i="1"/>
  <c r="H1390" i="1"/>
  <c r="G1390" i="1"/>
  <c r="F1390" i="1"/>
  <c r="E1390" i="1"/>
  <c r="D1390" i="1"/>
  <c r="C1390" i="1"/>
  <c r="M1389" i="1"/>
  <c r="K1389" i="1"/>
  <c r="J1389" i="1"/>
  <c r="I1389" i="1"/>
  <c r="H1389" i="1"/>
  <c r="G1389" i="1"/>
  <c r="F1389" i="1"/>
  <c r="E1389" i="1"/>
  <c r="D1389" i="1"/>
  <c r="C1389" i="1"/>
  <c r="M1388" i="1"/>
  <c r="K1388" i="1"/>
  <c r="J1388" i="1"/>
  <c r="I1388" i="1"/>
  <c r="H1388" i="1"/>
  <c r="G1388" i="1"/>
  <c r="F1388" i="1"/>
  <c r="E1388" i="1"/>
  <c r="D1388" i="1"/>
  <c r="C1388" i="1"/>
  <c r="M1387" i="1"/>
  <c r="K1387" i="1"/>
  <c r="J1387" i="1"/>
  <c r="I1387" i="1"/>
  <c r="H1387" i="1"/>
  <c r="G1387" i="1"/>
  <c r="F1387" i="1"/>
  <c r="E1387" i="1"/>
  <c r="D1387" i="1"/>
  <c r="C1387" i="1"/>
  <c r="M1386" i="1"/>
  <c r="K1386" i="1"/>
  <c r="J1386" i="1"/>
  <c r="I1386" i="1"/>
  <c r="H1386" i="1"/>
  <c r="G1386" i="1"/>
  <c r="F1386" i="1"/>
  <c r="E1386" i="1"/>
  <c r="D1386" i="1"/>
  <c r="C1386" i="1"/>
  <c r="M1385" i="1"/>
  <c r="K1385" i="1"/>
  <c r="J1385" i="1"/>
  <c r="I1385" i="1"/>
  <c r="H1385" i="1"/>
  <c r="G1385" i="1"/>
  <c r="F1385" i="1"/>
  <c r="E1385" i="1"/>
  <c r="D1385" i="1"/>
  <c r="C1385" i="1"/>
  <c r="M1384" i="1"/>
  <c r="K1384" i="1"/>
  <c r="J1384" i="1"/>
  <c r="I1384" i="1"/>
  <c r="H1384" i="1"/>
  <c r="G1384" i="1"/>
  <c r="F1384" i="1"/>
  <c r="E1384" i="1"/>
  <c r="D1384" i="1"/>
  <c r="C1384" i="1"/>
  <c r="M1383" i="1"/>
  <c r="K1383" i="1"/>
  <c r="J1383" i="1"/>
  <c r="I1383" i="1"/>
  <c r="H1383" i="1"/>
  <c r="G1383" i="1"/>
  <c r="F1383" i="1"/>
  <c r="E1383" i="1"/>
  <c r="D1383" i="1"/>
  <c r="C1383" i="1"/>
  <c r="M1382" i="1"/>
  <c r="K1382" i="1"/>
  <c r="J1382" i="1"/>
  <c r="I1382" i="1"/>
  <c r="H1382" i="1"/>
  <c r="G1382" i="1"/>
  <c r="F1382" i="1"/>
  <c r="E1382" i="1"/>
  <c r="D1382" i="1"/>
  <c r="C1382" i="1"/>
  <c r="M1381" i="1"/>
  <c r="K1381" i="1"/>
  <c r="J1381" i="1"/>
  <c r="I1381" i="1"/>
  <c r="H1381" i="1"/>
  <c r="G1381" i="1"/>
  <c r="F1381" i="1"/>
  <c r="E1381" i="1"/>
  <c r="D1381" i="1"/>
  <c r="C1381" i="1"/>
  <c r="M1380" i="1"/>
  <c r="K1380" i="1"/>
  <c r="J1380" i="1"/>
  <c r="I1380" i="1"/>
  <c r="H1380" i="1"/>
  <c r="G1380" i="1"/>
  <c r="F1380" i="1"/>
  <c r="E1380" i="1"/>
  <c r="D1380" i="1"/>
  <c r="C1380" i="1"/>
  <c r="M1379" i="1"/>
  <c r="K1379" i="1"/>
  <c r="J1379" i="1"/>
  <c r="I1379" i="1"/>
  <c r="H1379" i="1"/>
  <c r="G1379" i="1"/>
  <c r="F1379" i="1"/>
  <c r="E1379" i="1"/>
  <c r="D1379" i="1"/>
  <c r="C1379" i="1"/>
  <c r="M1378" i="1"/>
  <c r="K1378" i="1"/>
  <c r="J1378" i="1"/>
  <c r="I1378" i="1"/>
  <c r="H1378" i="1"/>
  <c r="G1378" i="1"/>
  <c r="F1378" i="1"/>
  <c r="E1378" i="1"/>
  <c r="D1378" i="1"/>
  <c r="C1378" i="1"/>
  <c r="M1377" i="1"/>
  <c r="K1377" i="1"/>
  <c r="J1377" i="1"/>
  <c r="I1377" i="1"/>
  <c r="H1377" i="1"/>
  <c r="G1377" i="1"/>
  <c r="F1377" i="1"/>
  <c r="E1377" i="1"/>
  <c r="D1377" i="1"/>
  <c r="C1377" i="1"/>
  <c r="M1376" i="1"/>
  <c r="K1376" i="1"/>
  <c r="J1376" i="1"/>
  <c r="I1376" i="1"/>
  <c r="H1376" i="1"/>
  <c r="G1376" i="1"/>
  <c r="F1376" i="1"/>
  <c r="E1376" i="1"/>
  <c r="D1376" i="1"/>
  <c r="C1376" i="1"/>
  <c r="M1375" i="1"/>
  <c r="K1375" i="1"/>
  <c r="J1375" i="1"/>
  <c r="I1375" i="1"/>
  <c r="H1375" i="1"/>
  <c r="G1375" i="1"/>
  <c r="F1375" i="1"/>
  <c r="E1375" i="1"/>
  <c r="D1375" i="1"/>
  <c r="C1375" i="1"/>
  <c r="M1374" i="1"/>
  <c r="K1374" i="1"/>
  <c r="J1374" i="1"/>
  <c r="I1374" i="1"/>
  <c r="H1374" i="1"/>
  <c r="G1374" i="1"/>
  <c r="F1374" i="1"/>
  <c r="E1374" i="1"/>
  <c r="D1374" i="1"/>
  <c r="C1374" i="1"/>
  <c r="M1373" i="1"/>
  <c r="K1373" i="1"/>
  <c r="J1373" i="1"/>
  <c r="I1373" i="1"/>
  <c r="H1373" i="1"/>
  <c r="G1373" i="1"/>
  <c r="F1373" i="1"/>
  <c r="E1373" i="1"/>
  <c r="D1373" i="1"/>
  <c r="C1373" i="1"/>
  <c r="M1372" i="1"/>
  <c r="K1372" i="1"/>
  <c r="J1372" i="1"/>
  <c r="I1372" i="1"/>
  <c r="H1372" i="1"/>
  <c r="G1372" i="1"/>
  <c r="F1372" i="1"/>
  <c r="E1372" i="1"/>
  <c r="D1372" i="1"/>
  <c r="C1372" i="1"/>
  <c r="M1371" i="1"/>
  <c r="K1371" i="1"/>
  <c r="J1371" i="1"/>
  <c r="I1371" i="1"/>
  <c r="H1371" i="1"/>
  <c r="G1371" i="1"/>
  <c r="F1371" i="1"/>
  <c r="E1371" i="1"/>
  <c r="D1371" i="1"/>
  <c r="C1371" i="1"/>
  <c r="M1370" i="1"/>
  <c r="K1370" i="1"/>
  <c r="J1370" i="1"/>
  <c r="I1370" i="1"/>
  <c r="H1370" i="1"/>
  <c r="G1370" i="1"/>
  <c r="F1370" i="1"/>
  <c r="E1370" i="1"/>
  <c r="D1370" i="1"/>
  <c r="C1370" i="1"/>
  <c r="M1369" i="1"/>
  <c r="K1369" i="1"/>
  <c r="J1369" i="1"/>
  <c r="I1369" i="1"/>
  <c r="H1369" i="1"/>
  <c r="G1369" i="1"/>
  <c r="F1369" i="1"/>
  <c r="E1369" i="1"/>
  <c r="D1369" i="1"/>
  <c r="C1369" i="1"/>
  <c r="M1368" i="1"/>
  <c r="K1368" i="1"/>
  <c r="J1368" i="1"/>
  <c r="I1368" i="1"/>
  <c r="H1368" i="1"/>
  <c r="G1368" i="1"/>
  <c r="F1368" i="1"/>
  <c r="E1368" i="1"/>
  <c r="D1368" i="1"/>
  <c r="C1368" i="1"/>
  <c r="M1367" i="1"/>
  <c r="K1367" i="1"/>
  <c r="J1367" i="1"/>
  <c r="I1367" i="1"/>
  <c r="H1367" i="1"/>
  <c r="G1367" i="1"/>
  <c r="F1367" i="1"/>
  <c r="E1367" i="1"/>
  <c r="D1367" i="1"/>
  <c r="C1367" i="1"/>
  <c r="M1366" i="1"/>
  <c r="K1366" i="1"/>
  <c r="J1366" i="1"/>
  <c r="I1366" i="1"/>
  <c r="H1366" i="1"/>
  <c r="G1366" i="1"/>
  <c r="F1366" i="1"/>
  <c r="E1366" i="1"/>
  <c r="D1366" i="1"/>
  <c r="C1366" i="1"/>
  <c r="M1365" i="1"/>
  <c r="K1365" i="1"/>
  <c r="J1365" i="1"/>
  <c r="I1365" i="1"/>
  <c r="H1365" i="1"/>
  <c r="G1365" i="1"/>
  <c r="F1365" i="1"/>
  <c r="E1365" i="1"/>
  <c r="D1365" i="1"/>
  <c r="C1365" i="1"/>
  <c r="M1364" i="1"/>
  <c r="K1364" i="1"/>
  <c r="J1364" i="1"/>
  <c r="I1364" i="1"/>
  <c r="H1364" i="1"/>
  <c r="G1364" i="1"/>
  <c r="F1364" i="1"/>
  <c r="E1364" i="1"/>
  <c r="D1364" i="1"/>
  <c r="C1364" i="1"/>
  <c r="M1363" i="1"/>
  <c r="K1363" i="1"/>
  <c r="J1363" i="1"/>
  <c r="I1363" i="1"/>
  <c r="H1363" i="1"/>
  <c r="G1363" i="1"/>
  <c r="F1363" i="1"/>
  <c r="E1363" i="1"/>
  <c r="D1363" i="1"/>
  <c r="C1363" i="1"/>
  <c r="M1362" i="1"/>
  <c r="K1362" i="1"/>
  <c r="J1362" i="1"/>
  <c r="I1362" i="1"/>
  <c r="H1362" i="1"/>
  <c r="G1362" i="1"/>
  <c r="F1362" i="1"/>
  <c r="E1362" i="1"/>
  <c r="D1362" i="1"/>
  <c r="C1362" i="1"/>
  <c r="M1361" i="1"/>
  <c r="K1361" i="1"/>
  <c r="J1361" i="1"/>
  <c r="I1361" i="1"/>
  <c r="H1361" i="1"/>
  <c r="G1361" i="1"/>
  <c r="F1361" i="1"/>
  <c r="E1361" i="1"/>
  <c r="D1361" i="1"/>
  <c r="C1361" i="1"/>
  <c r="M1360" i="1"/>
  <c r="K1360" i="1"/>
  <c r="J1360" i="1"/>
  <c r="I1360" i="1"/>
  <c r="H1360" i="1"/>
  <c r="G1360" i="1"/>
  <c r="F1360" i="1"/>
  <c r="E1360" i="1"/>
  <c r="D1360" i="1"/>
  <c r="C1360" i="1"/>
  <c r="M1359" i="1"/>
  <c r="K1359" i="1"/>
  <c r="J1359" i="1"/>
  <c r="I1359" i="1"/>
  <c r="H1359" i="1"/>
  <c r="G1359" i="1"/>
  <c r="F1359" i="1"/>
  <c r="E1359" i="1"/>
  <c r="D1359" i="1"/>
  <c r="C1359" i="1"/>
  <c r="M1358" i="1"/>
  <c r="K1358" i="1"/>
  <c r="J1358" i="1"/>
  <c r="I1358" i="1"/>
  <c r="H1358" i="1"/>
  <c r="G1358" i="1"/>
  <c r="F1358" i="1"/>
  <c r="E1358" i="1"/>
  <c r="D1358" i="1"/>
  <c r="C1358" i="1"/>
  <c r="M1357" i="1"/>
  <c r="K1357" i="1"/>
  <c r="J1357" i="1"/>
  <c r="I1357" i="1"/>
  <c r="H1357" i="1"/>
  <c r="G1357" i="1"/>
  <c r="F1357" i="1"/>
  <c r="E1357" i="1"/>
  <c r="D1357" i="1"/>
  <c r="C1357" i="1"/>
  <c r="M1356" i="1"/>
  <c r="K1356" i="1"/>
  <c r="J1356" i="1"/>
  <c r="I1356" i="1"/>
  <c r="H1356" i="1"/>
  <c r="G1356" i="1"/>
  <c r="F1356" i="1"/>
  <c r="E1356" i="1"/>
  <c r="D1356" i="1"/>
  <c r="C1356" i="1"/>
  <c r="M1355" i="1"/>
  <c r="K1355" i="1"/>
  <c r="J1355" i="1"/>
  <c r="I1355" i="1"/>
  <c r="H1355" i="1"/>
  <c r="G1355" i="1"/>
  <c r="F1355" i="1"/>
  <c r="E1355" i="1"/>
  <c r="D1355" i="1"/>
  <c r="C1355" i="1"/>
  <c r="M1354" i="1"/>
  <c r="K1354" i="1"/>
  <c r="J1354" i="1"/>
  <c r="I1354" i="1"/>
  <c r="H1354" i="1"/>
  <c r="G1354" i="1"/>
  <c r="F1354" i="1"/>
  <c r="E1354" i="1"/>
  <c r="D1354" i="1"/>
  <c r="C1354" i="1"/>
  <c r="M1353" i="1"/>
  <c r="K1353" i="1"/>
  <c r="J1353" i="1"/>
  <c r="I1353" i="1"/>
  <c r="H1353" i="1"/>
  <c r="G1353" i="1"/>
  <c r="F1353" i="1"/>
  <c r="E1353" i="1"/>
  <c r="D1353" i="1"/>
  <c r="C1353" i="1"/>
  <c r="M1352" i="1"/>
  <c r="K1352" i="1"/>
  <c r="J1352" i="1"/>
  <c r="I1352" i="1"/>
  <c r="H1352" i="1"/>
  <c r="G1352" i="1"/>
  <c r="F1352" i="1"/>
  <c r="E1352" i="1"/>
  <c r="D1352" i="1"/>
  <c r="C1352" i="1"/>
  <c r="M1351" i="1"/>
  <c r="K1351" i="1"/>
  <c r="J1351" i="1"/>
  <c r="I1351" i="1"/>
  <c r="H1351" i="1"/>
  <c r="G1351" i="1"/>
  <c r="F1351" i="1"/>
  <c r="E1351" i="1"/>
  <c r="D1351" i="1"/>
  <c r="C1351" i="1"/>
  <c r="M1350" i="1"/>
  <c r="K1350" i="1"/>
  <c r="J1350" i="1"/>
  <c r="I1350" i="1"/>
  <c r="H1350" i="1"/>
  <c r="G1350" i="1"/>
  <c r="F1350" i="1"/>
  <c r="E1350" i="1"/>
  <c r="D1350" i="1"/>
  <c r="C1350" i="1"/>
  <c r="M1349" i="1"/>
  <c r="K1349" i="1"/>
  <c r="J1349" i="1"/>
  <c r="I1349" i="1"/>
  <c r="H1349" i="1"/>
  <c r="G1349" i="1"/>
  <c r="F1349" i="1"/>
  <c r="E1349" i="1"/>
  <c r="D1349" i="1"/>
  <c r="C1349" i="1"/>
  <c r="M1348" i="1"/>
  <c r="K1348" i="1"/>
  <c r="J1348" i="1"/>
  <c r="I1348" i="1"/>
  <c r="H1348" i="1"/>
  <c r="G1348" i="1"/>
  <c r="F1348" i="1"/>
  <c r="E1348" i="1"/>
  <c r="D1348" i="1"/>
  <c r="C1348" i="1"/>
  <c r="M1347" i="1"/>
  <c r="K1347" i="1"/>
  <c r="J1347" i="1"/>
  <c r="I1347" i="1"/>
  <c r="H1347" i="1"/>
  <c r="G1347" i="1"/>
  <c r="F1347" i="1"/>
  <c r="E1347" i="1"/>
  <c r="D1347" i="1"/>
  <c r="C1347" i="1"/>
  <c r="M1346" i="1"/>
  <c r="K1346" i="1"/>
  <c r="J1346" i="1"/>
  <c r="I1346" i="1"/>
  <c r="H1346" i="1"/>
  <c r="G1346" i="1"/>
  <c r="F1346" i="1"/>
  <c r="E1346" i="1"/>
  <c r="D1346" i="1"/>
  <c r="C1346" i="1"/>
  <c r="M1345" i="1"/>
  <c r="K1345" i="1"/>
  <c r="J1345" i="1"/>
  <c r="I1345" i="1"/>
  <c r="H1345" i="1"/>
  <c r="G1345" i="1"/>
  <c r="F1345" i="1"/>
  <c r="E1345" i="1"/>
  <c r="D1345" i="1"/>
  <c r="C1345" i="1"/>
  <c r="M1344" i="1"/>
  <c r="K1344" i="1"/>
  <c r="J1344" i="1"/>
  <c r="I1344" i="1"/>
  <c r="H1344" i="1"/>
  <c r="G1344" i="1"/>
  <c r="F1344" i="1"/>
  <c r="E1344" i="1"/>
  <c r="D1344" i="1"/>
  <c r="C1344" i="1"/>
  <c r="M1343" i="1"/>
  <c r="K1343" i="1"/>
  <c r="J1343" i="1"/>
  <c r="I1343" i="1"/>
  <c r="H1343" i="1"/>
  <c r="G1343" i="1"/>
  <c r="F1343" i="1"/>
  <c r="E1343" i="1"/>
  <c r="D1343" i="1"/>
  <c r="C1343" i="1"/>
  <c r="M1342" i="1"/>
  <c r="K1342" i="1"/>
  <c r="J1342" i="1"/>
  <c r="I1342" i="1"/>
  <c r="H1342" i="1"/>
  <c r="G1342" i="1"/>
  <c r="F1342" i="1"/>
  <c r="E1342" i="1"/>
  <c r="D1342" i="1"/>
  <c r="C1342" i="1"/>
  <c r="M1341" i="1"/>
  <c r="K1341" i="1"/>
  <c r="J1341" i="1"/>
  <c r="I1341" i="1"/>
  <c r="H1341" i="1"/>
  <c r="G1341" i="1"/>
  <c r="F1341" i="1"/>
  <c r="E1341" i="1"/>
  <c r="D1341" i="1"/>
  <c r="C1341" i="1"/>
  <c r="M1340" i="1"/>
  <c r="K1340" i="1"/>
  <c r="J1340" i="1"/>
  <c r="I1340" i="1"/>
  <c r="H1340" i="1"/>
  <c r="G1340" i="1"/>
  <c r="F1340" i="1"/>
  <c r="E1340" i="1"/>
  <c r="D1340" i="1"/>
  <c r="C1340" i="1"/>
  <c r="M1339" i="1"/>
  <c r="K1339" i="1"/>
  <c r="J1339" i="1"/>
  <c r="I1339" i="1"/>
  <c r="H1339" i="1"/>
  <c r="G1339" i="1"/>
  <c r="F1339" i="1"/>
  <c r="E1339" i="1"/>
  <c r="D1339" i="1"/>
  <c r="C1339" i="1"/>
  <c r="M1338" i="1"/>
  <c r="K1338" i="1"/>
  <c r="J1338" i="1"/>
  <c r="I1338" i="1"/>
  <c r="H1338" i="1"/>
  <c r="G1338" i="1"/>
  <c r="F1338" i="1"/>
  <c r="E1338" i="1"/>
  <c r="D1338" i="1"/>
  <c r="C1338" i="1"/>
  <c r="M1337" i="1"/>
  <c r="K1337" i="1"/>
  <c r="J1337" i="1"/>
  <c r="I1337" i="1"/>
  <c r="H1337" i="1"/>
  <c r="G1337" i="1"/>
  <c r="F1337" i="1"/>
  <c r="E1337" i="1"/>
  <c r="D1337" i="1"/>
  <c r="C1337" i="1"/>
  <c r="M1336" i="1"/>
  <c r="K1336" i="1"/>
  <c r="J1336" i="1"/>
  <c r="I1336" i="1"/>
  <c r="H1336" i="1"/>
  <c r="G1336" i="1"/>
  <c r="F1336" i="1"/>
  <c r="E1336" i="1"/>
  <c r="D1336" i="1"/>
  <c r="C1336" i="1"/>
  <c r="M1335" i="1"/>
  <c r="K1335" i="1"/>
  <c r="J1335" i="1"/>
  <c r="I1335" i="1"/>
  <c r="H1335" i="1"/>
  <c r="G1335" i="1"/>
  <c r="F1335" i="1"/>
  <c r="E1335" i="1"/>
  <c r="D1335" i="1"/>
  <c r="C1335" i="1"/>
  <c r="M1334" i="1"/>
  <c r="K1334" i="1"/>
  <c r="J1334" i="1"/>
  <c r="I1334" i="1"/>
  <c r="H1334" i="1"/>
  <c r="G1334" i="1"/>
  <c r="F1334" i="1"/>
  <c r="E1334" i="1"/>
  <c r="D1334" i="1"/>
  <c r="C1334" i="1"/>
  <c r="M1333" i="1"/>
  <c r="K1333" i="1"/>
  <c r="J1333" i="1"/>
  <c r="I1333" i="1"/>
  <c r="H1333" i="1"/>
  <c r="G1333" i="1"/>
  <c r="F1333" i="1"/>
  <c r="E1333" i="1"/>
  <c r="D1333" i="1"/>
  <c r="C1333" i="1"/>
  <c r="M1332" i="1"/>
  <c r="K1332" i="1"/>
  <c r="J1332" i="1"/>
  <c r="I1332" i="1"/>
  <c r="H1332" i="1"/>
  <c r="G1332" i="1"/>
  <c r="F1332" i="1"/>
  <c r="E1332" i="1"/>
  <c r="D1332" i="1"/>
  <c r="C1332" i="1"/>
  <c r="M1331" i="1"/>
  <c r="K1331" i="1"/>
  <c r="J1331" i="1"/>
  <c r="I1331" i="1"/>
  <c r="H1331" i="1"/>
  <c r="G1331" i="1"/>
  <c r="F1331" i="1"/>
  <c r="E1331" i="1"/>
  <c r="D1331" i="1"/>
  <c r="C1331" i="1"/>
  <c r="M1330" i="1"/>
  <c r="K1330" i="1"/>
  <c r="J1330" i="1"/>
  <c r="I1330" i="1"/>
  <c r="H1330" i="1"/>
  <c r="G1330" i="1"/>
  <c r="F1330" i="1"/>
  <c r="E1330" i="1"/>
  <c r="D1330" i="1"/>
  <c r="C1330" i="1"/>
  <c r="M1329" i="1"/>
  <c r="K1329" i="1"/>
  <c r="J1329" i="1"/>
  <c r="I1329" i="1"/>
  <c r="H1329" i="1"/>
  <c r="G1329" i="1"/>
  <c r="F1329" i="1"/>
  <c r="E1329" i="1"/>
  <c r="D1329" i="1"/>
  <c r="C1329" i="1"/>
  <c r="M1328" i="1"/>
  <c r="K1328" i="1"/>
  <c r="J1328" i="1"/>
  <c r="I1328" i="1"/>
  <c r="H1328" i="1"/>
  <c r="G1328" i="1"/>
  <c r="F1328" i="1"/>
  <c r="E1328" i="1"/>
  <c r="D1328" i="1"/>
  <c r="C1328" i="1"/>
  <c r="M1327" i="1"/>
  <c r="K1327" i="1"/>
  <c r="J1327" i="1"/>
  <c r="I1327" i="1"/>
  <c r="H1327" i="1"/>
  <c r="G1327" i="1"/>
  <c r="F1327" i="1"/>
  <c r="E1327" i="1"/>
  <c r="D1327" i="1"/>
  <c r="C1327" i="1"/>
  <c r="M1326" i="1"/>
  <c r="K1326" i="1"/>
  <c r="J1326" i="1"/>
  <c r="I1326" i="1"/>
  <c r="H1326" i="1"/>
  <c r="G1326" i="1"/>
  <c r="F1326" i="1"/>
  <c r="E1326" i="1"/>
  <c r="D1326" i="1"/>
  <c r="C1326" i="1"/>
  <c r="M1325" i="1"/>
  <c r="K1325" i="1"/>
  <c r="J1325" i="1"/>
  <c r="I1325" i="1"/>
  <c r="H1325" i="1"/>
  <c r="G1325" i="1"/>
  <c r="F1325" i="1"/>
  <c r="E1325" i="1"/>
  <c r="D1325" i="1"/>
  <c r="C1325" i="1"/>
  <c r="M1324" i="1"/>
  <c r="K1324" i="1"/>
  <c r="J1324" i="1"/>
  <c r="I1324" i="1"/>
  <c r="H1324" i="1"/>
  <c r="G1324" i="1"/>
  <c r="F1324" i="1"/>
  <c r="E1324" i="1"/>
  <c r="D1324" i="1"/>
  <c r="C1324" i="1"/>
  <c r="M1323" i="1"/>
  <c r="K1323" i="1"/>
  <c r="J1323" i="1"/>
  <c r="I1323" i="1"/>
  <c r="H1323" i="1"/>
  <c r="G1323" i="1"/>
  <c r="F1323" i="1"/>
  <c r="E1323" i="1"/>
  <c r="D1323" i="1"/>
  <c r="C1323" i="1"/>
  <c r="M1322" i="1"/>
  <c r="K1322" i="1"/>
  <c r="J1322" i="1"/>
  <c r="I1322" i="1"/>
  <c r="H1322" i="1"/>
  <c r="G1322" i="1"/>
  <c r="F1322" i="1"/>
  <c r="E1322" i="1"/>
  <c r="D1322" i="1"/>
  <c r="C1322" i="1"/>
  <c r="M1321" i="1"/>
  <c r="K1321" i="1"/>
  <c r="J1321" i="1"/>
  <c r="I1321" i="1"/>
  <c r="H1321" i="1"/>
  <c r="G1321" i="1"/>
  <c r="F1321" i="1"/>
  <c r="E1321" i="1"/>
  <c r="D1321" i="1"/>
  <c r="C1321" i="1"/>
  <c r="M1320" i="1"/>
  <c r="K1320" i="1"/>
  <c r="J1320" i="1"/>
  <c r="I1320" i="1"/>
  <c r="H1320" i="1"/>
  <c r="G1320" i="1"/>
  <c r="F1320" i="1"/>
  <c r="E1320" i="1"/>
  <c r="D1320" i="1"/>
  <c r="C1320" i="1"/>
  <c r="M1319" i="1"/>
  <c r="K1319" i="1"/>
  <c r="J1319" i="1"/>
  <c r="I1319" i="1"/>
  <c r="H1319" i="1"/>
  <c r="G1319" i="1"/>
  <c r="F1319" i="1"/>
  <c r="E1319" i="1"/>
  <c r="D1319" i="1"/>
  <c r="C1319" i="1"/>
  <c r="M1318" i="1"/>
  <c r="K1318" i="1"/>
  <c r="J1318" i="1"/>
  <c r="I1318" i="1"/>
  <c r="H1318" i="1"/>
  <c r="G1318" i="1"/>
  <c r="F1318" i="1"/>
  <c r="E1318" i="1"/>
  <c r="D1318" i="1"/>
  <c r="C1318" i="1"/>
  <c r="M1317" i="1"/>
  <c r="K1317" i="1"/>
  <c r="J1317" i="1"/>
  <c r="I1317" i="1"/>
  <c r="H1317" i="1"/>
  <c r="G1317" i="1"/>
  <c r="F1317" i="1"/>
  <c r="E1317" i="1"/>
  <c r="D1317" i="1"/>
  <c r="C1317" i="1"/>
  <c r="M1316" i="1"/>
  <c r="K1316" i="1"/>
  <c r="J1316" i="1"/>
  <c r="I1316" i="1"/>
  <c r="H1316" i="1"/>
  <c r="G1316" i="1"/>
  <c r="F1316" i="1"/>
  <c r="E1316" i="1"/>
  <c r="D1316" i="1"/>
  <c r="C1316" i="1"/>
  <c r="M1315" i="1"/>
  <c r="K1315" i="1"/>
  <c r="J1315" i="1"/>
  <c r="I1315" i="1"/>
  <c r="H1315" i="1"/>
  <c r="G1315" i="1"/>
  <c r="F1315" i="1"/>
  <c r="E1315" i="1"/>
  <c r="D1315" i="1"/>
  <c r="C1315" i="1"/>
  <c r="M1314" i="1"/>
  <c r="K1314" i="1"/>
  <c r="J1314" i="1"/>
  <c r="I1314" i="1"/>
  <c r="H1314" i="1"/>
  <c r="G1314" i="1"/>
  <c r="F1314" i="1"/>
  <c r="E1314" i="1"/>
  <c r="D1314" i="1"/>
  <c r="C1314" i="1"/>
  <c r="M1313" i="1"/>
  <c r="K1313" i="1"/>
  <c r="J1313" i="1"/>
  <c r="I1313" i="1"/>
  <c r="H1313" i="1"/>
  <c r="G1313" i="1"/>
  <c r="F1313" i="1"/>
  <c r="E1313" i="1"/>
  <c r="D1313" i="1"/>
  <c r="C1313" i="1"/>
  <c r="M1312" i="1"/>
  <c r="K1312" i="1"/>
  <c r="J1312" i="1"/>
  <c r="I1312" i="1"/>
  <c r="H1312" i="1"/>
  <c r="G1312" i="1"/>
  <c r="F1312" i="1"/>
  <c r="E1312" i="1"/>
  <c r="D1312" i="1"/>
  <c r="C1312" i="1"/>
  <c r="M1311" i="1"/>
  <c r="K1311" i="1"/>
  <c r="J1311" i="1"/>
  <c r="I1311" i="1"/>
  <c r="H1311" i="1"/>
  <c r="G1311" i="1"/>
  <c r="F1311" i="1"/>
  <c r="E1311" i="1"/>
  <c r="D1311" i="1"/>
  <c r="C1311" i="1"/>
  <c r="M1310" i="1"/>
  <c r="K1310" i="1"/>
  <c r="J1310" i="1"/>
  <c r="I1310" i="1"/>
  <c r="H1310" i="1"/>
  <c r="G1310" i="1"/>
  <c r="F1310" i="1"/>
  <c r="E1310" i="1"/>
  <c r="D1310" i="1"/>
  <c r="C1310" i="1"/>
  <c r="M1309" i="1"/>
  <c r="K1309" i="1"/>
  <c r="J1309" i="1"/>
  <c r="I1309" i="1"/>
  <c r="H1309" i="1"/>
  <c r="G1309" i="1"/>
  <c r="F1309" i="1"/>
  <c r="E1309" i="1"/>
  <c r="D1309" i="1"/>
  <c r="C1309" i="1"/>
  <c r="M1308" i="1"/>
  <c r="K1308" i="1"/>
  <c r="J1308" i="1"/>
  <c r="I1308" i="1"/>
  <c r="H1308" i="1"/>
  <c r="G1308" i="1"/>
  <c r="F1308" i="1"/>
  <c r="E1308" i="1"/>
  <c r="D1308" i="1"/>
  <c r="C1308" i="1"/>
  <c r="M1307" i="1"/>
  <c r="K1307" i="1"/>
  <c r="J1307" i="1"/>
  <c r="I1307" i="1"/>
  <c r="H1307" i="1"/>
  <c r="G1307" i="1"/>
  <c r="F1307" i="1"/>
  <c r="E1307" i="1"/>
  <c r="D1307" i="1"/>
  <c r="C1307" i="1"/>
  <c r="M1306" i="1"/>
  <c r="K1306" i="1"/>
  <c r="J1306" i="1"/>
  <c r="I1306" i="1"/>
  <c r="H1306" i="1"/>
  <c r="G1306" i="1"/>
  <c r="F1306" i="1"/>
  <c r="E1306" i="1"/>
  <c r="D1306" i="1"/>
  <c r="C1306" i="1"/>
  <c r="M1305" i="1"/>
  <c r="K1305" i="1"/>
  <c r="J1305" i="1"/>
  <c r="I1305" i="1"/>
  <c r="H1305" i="1"/>
  <c r="G1305" i="1"/>
  <c r="F1305" i="1"/>
  <c r="E1305" i="1"/>
  <c r="D1305" i="1"/>
  <c r="C1305" i="1"/>
  <c r="M1304" i="1"/>
  <c r="K1304" i="1"/>
  <c r="J1304" i="1"/>
  <c r="I1304" i="1"/>
  <c r="H1304" i="1"/>
  <c r="G1304" i="1"/>
  <c r="F1304" i="1"/>
  <c r="E1304" i="1"/>
  <c r="D1304" i="1"/>
  <c r="C1304" i="1"/>
  <c r="M1303" i="1"/>
  <c r="K1303" i="1"/>
  <c r="J1303" i="1"/>
  <c r="I1303" i="1"/>
  <c r="H1303" i="1"/>
  <c r="G1303" i="1"/>
  <c r="F1303" i="1"/>
  <c r="E1303" i="1"/>
  <c r="D1303" i="1"/>
  <c r="C1303" i="1"/>
  <c r="M1302" i="1"/>
  <c r="K1302" i="1"/>
  <c r="J1302" i="1"/>
  <c r="I1302" i="1"/>
  <c r="H1302" i="1"/>
  <c r="G1302" i="1"/>
  <c r="F1302" i="1"/>
  <c r="E1302" i="1"/>
  <c r="D1302" i="1"/>
  <c r="C1302" i="1"/>
  <c r="M1301" i="1"/>
  <c r="K1301" i="1"/>
  <c r="J1301" i="1"/>
  <c r="I1301" i="1"/>
  <c r="H1301" i="1"/>
  <c r="G1301" i="1"/>
  <c r="F1301" i="1"/>
  <c r="E1301" i="1"/>
  <c r="D1301" i="1"/>
  <c r="C1301" i="1"/>
  <c r="M1300" i="1"/>
  <c r="K1300" i="1"/>
  <c r="J1300" i="1"/>
  <c r="I1300" i="1"/>
  <c r="H1300" i="1"/>
  <c r="G1300" i="1"/>
  <c r="F1300" i="1"/>
  <c r="E1300" i="1"/>
  <c r="D1300" i="1"/>
  <c r="C1300" i="1"/>
  <c r="M1299" i="1"/>
  <c r="K1299" i="1"/>
  <c r="J1299" i="1"/>
  <c r="I1299" i="1"/>
  <c r="H1299" i="1"/>
  <c r="G1299" i="1"/>
  <c r="F1299" i="1"/>
  <c r="E1299" i="1"/>
  <c r="D1299" i="1"/>
  <c r="C1299" i="1"/>
  <c r="M1298" i="1"/>
  <c r="K1298" i="1"/>
  <c r="J1298" i="1"/>
  <c r="I1298" i="1"/>
  <c r="H1298" i="1"/>
  <c r="G1298" i="1"/>
  <c r="F1298" i="1"/>
  <c r="E1298" i="1"/>
  <c r="D1298" i="1"/>
  <c r="C1298" i="1"/>
  <c r="M1297" i="1"/>
  <c r="K1297" i="1"/>
  <c r="J1297" i="1"/>
  <c r="I1297" i="1"/>
  <c r="H1297" i="1"/>
  <c r="G1297" i="1"/>
  <c r="F1297" i="1"/>
  <c r="E1297" i="1"/>
  <c r="D1297" i="1"/>
  <c r="C1297" i="1"/>
  <c r="M1296" i="1"/>
  <c r="K1296" i="1"/>
  <c r="J1296" i="1"/>
  <c r="I1296" i="1"/>
  <c r="H1296" i="1"/>
  <c r="G1296" i="1"/>
  <c r="F1296" i="1"/>
  <c r="E1296" i="1"/>
  <c r="D1296" i="1"/>
  <c r="C1296" i="1"/>
  <c r="M1295" i="1"/>
  <c r="K1295" i="1"/>
  <c r="J1295" i="1"/>
  <c r="I1295" i="1"/>
  <c r="H1295" i="1"/>
  <c r="G1295" i="1"/>
  <c r="F1295" i="1"/>
  <c r="E1295" i="1"/>
  <c r="D1295" i="1"/>
  <c r="C1295" i="1"/>
  <c r="M1294" i="1"/>
  <c r="K1294" i="1"/>
  <c r="J1294" i="1"/>
  <c r="I1294" i="1"/>
  <c r="H1294" i="1"/>
  <c r="G1294" i="1"/>
  <c r="F1294" i="1"/>
  <c r="E1294" i="1"/>
  <c r="D1294" i="1"/>
  <c r="C1294" i="1"/>
  <c r="M1293" i="1"/>
  <c r="K1293" i="1"/>
  <c r="J1293" i="1"/>
  <c r="I1293" i="1"/>
  <c r="H1293" i="1"/>
  <c r="G1293" i="1"/>
  <c r="F1293" i="1"/>
  <c r="E1293" i="1"/>
  <c r="D1293" i="1"/>
  <c r="C1293" i="1"/>
  <c r="M1292" i="1"/>
  <c r="K1292" i="1"/>
  <c r="J1292" i="1"/>
  <c r="I1292" i="1"/>
  <c r="H1292" i="1"/>
  <c r="G1292" i="1"/>
  <c r="F1292" i="1"/>
  <c r="E1292" i="1"/>
  <c r="D1292" i="1"/>
  <c r="C1292" i="1"/>
  <c r="M1291" i="1"/>
  <c r="K1291" i="1"/>
  <c r="J1291" i="1"/>
  <c r="I1291" i="1"/>
  <c r="H1291" i="1"/>
  <c r="G1291" i="1"/>
  <c r="F1291" i="1"/>
  <c r="E1291" i="1"/>
  <c r="D1291" i="1"/>
  <c r="C1291" i="1"/>
  <c r="M1290" i="1"/>
  <c r="K1290" i="1"/>
  <c r="J1290" i="1"/>
  <c r="I1290" i="1"/>
  <c r="H1290" i="1"/>
  <c r="G1290" i="1"/>
  <c r="F1290" i="1"/>
  <c r="E1290" i="1"/>
  <c r="D1290" i="1"/>
  <c r="C1290" i="1"/>
  <c r="M1289" i="1"/>
  <c r="K1289" i="1"/>
  <c r="J1289" i="1"/>
  <c r="I1289" i="1"/>
  <c r="H1289" i="1"/>
  <c r="G1289" i="1"/>
  <c r="F1289" i="1"/>
  <c r="E1289" i="1"/>
  <c r="D1289" i="1"/>
  <c r="C1289" i="1"/>
  <c r="M1288" i="1"/>
  <c r="K1288" i="1"/>
  <c r="J1288" i="1"/>
  <c r="I1288" i="1"/>
  <c r="H1288" i="1"/>
  <c r="G1288" i="1"/>
  <c r="F1288" i="1"/>
  <c r="E1288" i="1"/>
  <c r="D1288" i="1"/>
  <c r="C1288" i="1"/>
  <c r="M1287" i="1"/>
  <c r="K1287" i="1"/>
  <c r="J1287" i="1"/>
  <c r="I1287" i="1"/>
  <c r="H1287" i="1"/>
  <c r="G1287" i="1"/>
  <c r="F1287" i="1"/>
  <c r="E1287" i="1"/>
  <c r="D1287" i="1"/>
  <c r="C1287" i="1"/>
  <c r="M1286" i="1"/>
  <c r="K1286" i="1"/>
  <c r="J1286" i="1"/>
  <c r="I1286" i="1"/>
  <c r="H1286" i="1"/>
  <c r="G1286" i="1"/>
  <c r="F1286" i="1"/>
  <c r="E1286" i="1"/>
  <c r="D1286" i="1"/>
  <c r="C1286" i="1"/>
  <c r="M1285" i="1"/>
  <c r="K1285" i="1"/>
  <c r="J1285" i="1"/>
  <c r="I1285" i="1"/>
  <c r="H1285" i="1"/>
  <c r="G1285" i="1"/>
  <c r="F1285" i="1"/>
  <c r="E1285" i="1"/>
  <c r="D1285" i="1"/>
  <c r="C1285" i="1"/>
  <c r="M1284" i="1"/>
  <c r="K1284" i="1"/>
  <c r="J1284" i="1"/>
  <c r="I1284" i="1"/>
  <c r="H1284" i="1"/>
  <c r="G1284" i="1"/>
  <c r="F1284" i="1"/>
  <c r="E1284" i="1"/>
  <c r="D1284" i="1"/>
  <c r="C1284" i="1"/>
  <c r="M1283" i="1"/>
  <c r="L1283" i="1"/>
  <c r="K1283" i="1"/>
  <c r="J1283" i="1"/>
  <c r="I1283" i="1"/>
  <c r="H1283" i="1"/>
  <c r="G1283" i="1"/>
  <c r="F1283" i="1"/>
  <c r="E1283" i="1"/>
  <c r="D1283" i="1"/>
  <c r="C1283" i="1"/>
  <c r="M1282" i="1"/>
  <c r="L1282" i="1"/>
  <c r="K1282" i="1"/>
  <c r="J1282" i="1"/>
  <c r="I1282" i="1"/>
  <c r="H1282" i="1"/>
  <c r="G1282" i="1"/>
  <c r="F1282" i="1"/>
  <c r="E1282" i="1"/>
  <c r="D1282" i="1"/>
  <c r="C1282" i="1"/>
  <c r="M1281" i="1"/>
  <c r="L1281" i="1"/>
  <c r="K1281" i="1"/>
  <c r="J1281" i="1"/>
  <c r="I1281" i="1"/>
  <c r="H1281" i="1"/>
  <c r="G1281" i="1"/>
  <c r="F1281" i="1"/>
  <c r="E1281" i="1"/>
  <c r="D1281" i="1"/>
  <c r="C1281" i="1"/>
  <c r="M1280" i="1"/>
  <c r="L1280" i="1"/>
  <c r="K1280" i="1"/>
  <c r="J1280" i="1"/>
  <c r="I1280" i="1"/>
  <c r="H1280" i="1"/>
  <c r="G1280" i="1"/>
  <c r="F1280" i="1"/>
  <c r="E1280" i="1"/>
  <c r="D1280" i="1"/>
  <c r="C1280" i="1"/>
  <c r="M1279" i="1"/>
  <c r="L1279" i="1"/>
  <c r="K1279" i="1"/>
  <c r="J1279" i="1"/>
  <c r="I1279" i="1"/>
  <c r="H1279" i="1"/>
  <c r="G1279" i="1"/>
  <c r="F1279" i="1"/>
  <c r="E1279" i="1"/>
  <c r="D1279" i="1"/>
  <c r="C1279" i="1"/>
  <c r="M1278" i="1"/>
  <c r="L1278" i="1"/>
  <c r="K1278" i="1"/>
  <c r="J1278" i="1"/>
  <c r="I1278" i="1"/>
  <c r="H1278" i="1"/>
  <c r="G1278" i="1"/>
  <c r="F1278" i="1"/>
  <c r="E1278" i="1"/>
  <c r="D1278" i="1"/>
  <c r="C1278" i="1"/>
  <c r="M1277" i="1"/>
  <c r="L1277" i="1"/>
  <c r="K1277" i="1"/>
  <c r="J1277" i="1"/>
  <c r="I1277" i="1"/>
  <c r="H1277" i="1"/>
  <c r="G1277" i="1"/>
  <c r="F1277" i="1"/>
  <c r="E1277" i="1"/>
  <c r="D1277" i="1"/>
  <c r="C1277" i="1"/>
  <c r="M1276" i="1"/>
  <c r="L1276" i="1"/>
  <c r="K1276" i="1"/>
  <c r="J1276" i="1"/>
  <c r="I1276" i="1"/>
  <c r="H1276" i="1"/>
  <c r="G1276" i="1"/>
  <c r="F1276" i="1"/>
  <c r="E1276" i="1"/>
  <c r="D1276" i="1"/>
  <c r="C1276" i="1"/>
  <c r="M1275" i="1"/>
  <c r="L1275" i="1"/>
  <c r="K1275" i="1"/>
  <c r="J1275" i="1"/>
  <c r="I1275" i="1"/>
  <c r="H1275" i="1"/>
  <c r="G1275" i="1"/>
  <c r="F1275" i="1"/>
  <c r="E1275" i="1"/>
  <c r="D1275" i="1"/>
  <c r="C1275" i="1"/>
  <c r="M1274" i="1"/>
  <c r="L1274" i="1"/>
  <c r="K1274" i="1"/>
  <c r="J1274" i="1"/>
  <c r="I1274" i="1"/>
  <c r="H1274" i="1"/>
  <c r="G1274" i="1"/>
  <c r="F1274" i="1"/>
  <c r="E1274" i="1"/>
  <c r="D1274" i="1"/>
  <c r="C1274" i="1"/>
  <c r="M1273" i="1"/>
  <c r="L1273" i="1"/>
  <c r="K1273" i="1"/>
  <c r="J1273" i="1"/>
  <c r="I1273" i="1"/>
  <c r="H1273" i="1"/>
  <c r="G1273" i="1"/>
  <c r="F1273" i="1"/>
  <c r="E1273" i="1"/>
  <c r="D1273" i="1"/>
  <c r="C1273" i="1"/>
  <c r="M1272" i="1"/>
  <c r="L1272" i="1"/>
  <c r="K1272" i="1"/>
  <c r="J1272" i="1"/>
  <c r="I1272" i="1"/>
  <c r="H1272" i="1"/>
  <c r="G1272" i="1"/>
  <c r="F1272" i="1"/>
  <c r="E1272" i="1"/>
  <c r="D1272" i="1"/>
  <c r="C1272" i="1"/>
  <c r="M1271" i="1"/>
  <c r="L1271" i="1"/>
  <c r="K1271" i="1"/>
  <c r="J1271" i="1"/>
  <c r="I1271" i="1"/>
  <c r="H1271" i="1"/>
  <c r="G1271" i="1"/>
  <c r="F1271" i="1"/>
  <c r="E1271" i="1"/>
  <c r="D1271" i="1"/>
  <c r="C1271" i="1"/>
  <c r="M1270" i="1"/>
  <c r="L1270" i="1"/>
  <c r="K1270" i="1"/>
  <c r="J1270" i="1"/>
  <c r="I1270" i="1"/>
  <c r="H1270" i="1"/>
  <c r="G1270" i="1"/>
  <c r="F1270" i="1"/>
  <c r="E1270" i="1"/>
  <c r="D1270" i="1"/>
  <c r="C1270" i="1"/>
  <c r="M1269" i="1"/>
  <c r="L1269" i="1"/>
  <c r="K1269" i="1"/>
  <c r="J1269" i="1"/>
  <c r="I1269" i="1"/>
  <c r="H1269" i="1"/>
  <c r="G1269" i="1"/>
  <c r="F1269" i="1"/>
  <c r="E1269" i="1"/>
  <c r="D1269" i="1"/>
  <c r="C1269" i="1"/>
  <c r="M1268" i="1"/>
  <c r="L1268" i="1"/>
  <c r="K1268" i="1"/>
  <c r="J1268" i="1"/>
  <c r="I1268" i="1"/>
  <c r="H1268" i="1"/>
  <c r="G1268" i="1"/>
  <c r="F1268" i="1"/>
  <c r="E1268" i="1"/>
  <c r="D1268" i="1"/>
  <c r="C1268" i="1"/>
  <c r="M1267" i="1"/>
  <c r="L1267" i="1"/>
  <c r="K1267" i="1"/>
  <c r="J1267" i="1"/>
  <c r="I1267" i="1"/>
  <c r="H1267" i="1"/>
  <c r="G1267" i="1"/>
  <c r="F1267" i="1"/>
  <c r="E1267" i="1"/>
  <c r="D1267" i="1"/>
  <c r="C1267" i="1"/>
  <c r="M1266" i="1"/>
  <c r="L1266" i="1"/>
  <c r="K1266" i="1"/>
  <c r="J1266" i="1"/>
  <c r="I1266" i="1"/>
  <c r="H1266" i="1"/>
  <c r="G1266" i="1"/>
  <c r="F1266" i="1"/>
  <c r="E1266" i="1"/>
  <c r="D1266" i="1"/>
  <c r="C1266" i="1"/>
  <c r="M1265" i="1"/>
  <c r="L1265" i="1"/>
  <c r="K1265" i="1"/>
  <c r="J1265" i="1"/>
  <c r="I1265" i="1"/>
  <c r="H1265" i="1"/>
  <c r="G1265" i="1"/>
  <c r="F1265" i="1"/>
  <c r="E1265" i="1"/>
  <c r="D1265" i="1"/>
  <c r="C1265" i="1"/>
  <c r="M1264" i="1"/>
  <c r="L1264" i="1"/>
  <c r="K1264" i="1"/>
  <c r="J1264" i="1"/>
  <c r="I1264" i="1"/>
  <c r="H1264" i="1"/>
  <c r="G1264" i="1"/>
  <c r="F1264" i="1"/>
  <c r="E1264" i="1"/>
  <c r="D1264" i="1"/>
  <c r="C1264" i="1"/>
  <c r="M1263" i="1"/>
  <c r="L1263" i="1"/>
  <c r="K1263" i="1"/>
  <c r="J1263" i="1"/>
  <c r="I1263" i="1"/>
  <c r="H1263" i="1"/>
  <c r="G1263" i="1"/>
  <c r="F1263" i="1"/>
  <c r="E1263" i="1"/>
  <c r="D1263" i="1"/>
  <c r="C1263" i="1"/>
  <c r="M1262" i="1"/>
  <c r="L1262" i="1"/>
  <c r="K1262" i="1"/>
  <c r="J1262" i="1"/>
  <c r="I1262" i="1"/>
  <c r="H1262" i="1"/>
  <c r="G1262" i="1"/>
  <c r="F1262" i="1"/>
  <c r="E1262" i="1"/>
  <c r="D1262" i="1"/>
  <c r="C1262" i="1"/>
  <c r="M1261" i="1"/>
  <c r="L1261" i="1"/>
  <c r="K1261" i="1"/>
  <c r="J1261" i="1"/>
  <c r="I1261" i="1"/>
  <c r="H1261" i="1"/>
  <c r="G1261" i="1"/>
  <c r="F1261" i="1"/>
  <c r="E1261" i="1"/>
  <c r="D1261" i="1"/>
  <c r="C1261" i="1"/>
  <c r="M1260" i="1"/>
  <c r="L1260" i="1"/>
  <c r="K1260" i="1"/>
  <c r="J1260" i="1"/>
  <c r="I1260" i="1"/>
  <c r="H1260" i="1"/>
  <c r="G1260" i="1"/>
  <c r="F1260" i="1"/>
  <c r="E1260" i="1"/>
  <c r="D1260" i="1"/>
  <c r="C1260" i="1"/>
  <c r="M1259" i="1"/>
  <c r="L1259" i="1"/>
  <c r="K1259" i="1"/>
  <c r="J1259" i="1"/>
  <c r="I1259" i="1"/>
  <c r="H1259" i="1"/>
  <c r="G1259" i="1"/>
  <c r="F1259" i="1"/>
  <c r="E1259" i="1"/>
  <c r="D1259" i="1"/>
  <c r="C1259" i="1"/>
  <c r="M1258" i="1"/>
  <c r="L1258" i="1"/>
  <c r="K1258" i="1"/>
  <c r="J1258" i="1"/>
  <c r="I1258" i="1"/>
  <c r="H1258" i="1"/>
  <c r="G1258" i="1"/>
  <c r="F1258" i="1"/>
  <c r="E1258" i="1"/>
  <c r="D1258" i="1"/>
  <c r="C1258" i="1"/>
  <c r="M1257" i="1"/>
  <c r="L1257" i="1"/>
  <c r="K1257" i="1"/>
  <c r="J1257" i="1"/>
  <c r="I1257" i="1"/>
  <c r="H1257" i="1"/>
  <c r="G1257" i="1"/>
  <c r="F1257" i="1"/>
  <c r="E1257" i="1"/>
  <c r="D1257" i="1"/>
  <c r="C1257" i="1"/>
  <c r="M1256" i="1"/>
  <c r="L1256" i="1"/>
  <c r="K1256" i="1"/>
  <c r="J1256" i="1"/>
  <c r="I1256" i="1"/>
  <c r="H1256" i="1"/>
  <c r="G1256" i="1"/>
  <c r="F1256" i="1"/>
  <c r="E1256" i="1"/>
  <c r="D1256" i="1"/>
  <c r="C1256" i="1"/>
  <c r="M1255" i="1"/>
  <c r="L1255" i="1"/>
  <c r="K1255" i="1"/>
  <c r="J1255" i="1"/>
  <c r="I1255" i="1"/>
  <c r="H1255" i="1"/>
  <c r="G1255" i="1"/>
  <c r="F1255" i="1"/>
  <c r="E1255" i="1"/>
  <c r="D1255" i="1"/>
  <c r="C1255" i="1"/>
  <c r="M1254" i="1"/>
  <c r="L1254" i="1"/>
  <c r="K1254" i="1"/>
  <c r="J1254" i="1"/>
  <c r="I1254" i="1"/>
  <c r="H1254" i="1"/>
  <c r="G1254" i="1"/>
  <c r="F1254" i="1"/>
  <c r="E1254" i="1"/>
  <c r="D1254" i="1"/>
  <c r="C1254" i="1"/>
  <c r="M1253" i="1"/>
  <c r="L1253" i="1"/>
  <c r="K1253" i="1"/>
  <c r="J1253" i="1"/>
  <c r="I1253" i="1"/>
  <c r="H1253" i="1"/>
  <c r="G1253" i="1"/>
  <c r="F1253" i="1"/>
  <c r="E1253" i="1"/>
  <c r="D1253" i="1"/>
  <c r="C1253" i="1"/>
  <c r="M1252" i="1"/>
  <c r="L1252" i="1"/>
  <c r="K1252" i="1"/>
  <c r="J1252" i="1"/>
  <c r="I1252" i="1"/>
  <c r="H1252" i="1"/>
  <c r="G1252" i="1"/>
  <c r="F1252" i="1"/>
  <c r="E1252" i="1"/>
  <c r="D1252" i="1"/>
  <c r="C1252" i="1"/>
  <c r="M1251" i="1"/>
  <c r="L1251" i="1"/>
  <c r="K1251" i="1"/>
  <c r="J1251" i="1"/>
  <c r="I1251" i="1"/>
  <c r="H1251" i="1"/>
  <c r="G1251" i="1"/>
  <c r="F1251" i="1"/>
  <c r="E1251" i="1"/>
  <c r="D1251" i="1"/>
  <c r="C1251" i="1"/>
  <c r="M1250" i="1"/>
  <c r="L1250" i="1"/>
  <c r="K1250" i="1"/>
  <c r="J1250" i="1"/>
  <c r="I1250" i="1"/>
  <c r="H1250" i="1"/>
  <c r="G1250" i="1"/>
  <c r="F1250" i="1"/>
  <c r="E1250" i="1"/>
  <c r="D1250" i="1"/>
  <c r="C1250" i="1"/>
  <c r="M1249" i="1"/>
  <c r="L1249" i="1"/>
  <c r="K1249" i="1"/>
  <c r="J1249" i="1"/>
  <c r="I1249" i="1"/>
  <c r="H1249" i="1"/>
  <c r="G1249" i="1"/>
  <c r="F1249" i="1"/>
  <c r="E1249" i="1"/>
  <c r="D1249" i="1"/>
  <c r="C1249" i="1"/>
  <c r="M1248" i="1"/>
  <c r="L1248" i="1"/>
  <c r="K1248" i="1"/>
  <c r="J1248" i="1"/>
  <c r="I1248" i="1"/>
  <c r="H1248" i="1"/>
  <c r="G1248" i="1"/>
  <c r="F1248" i="1"/>
  <c r="E1248" i="1"/>
  <c r="D1248" i="1"/>
  <c r="C1248" i="1"/>
  <c r="M1247" i="1"/>
  <c r="L1247" i="1"/>
  <c r="K1247" i="1"/>
  <c r="J1247" i="1"/>
  <c r="I1247" i="1"/>
  <c r="H1247" i="1"/>
  <c r="G1247" i="1"/>
  <c r="F1247" i="1"/>
  <c r="E1247" i="1"/>
  <c r="D1247" i="1"/>
  <c r="C1247" i="1"/>
  <c r="M1246" i="1"/>
  <c r="L1246" i="1"/>
  <c r="K1246" i="1"/>
  <c r="J1246" i="1"/>
  <c r="I1246" i="1"/>
  <c r="H1246" i="1"/>
  <c r="G1246" i="1"/>
  <c r="F1246" i="1"/>
  <c r="E1246" i="1"/>
  <c r="D1246" i="1"/>
  <c r="C1246" i="1"/>
  <c r="M1245" i="1"/>
  <c r="L1245" i="1"/>
  <c r="K1245" i="1"/>
  <c r="J1245" i="1"/>
  <c r="I1245" i="1"/>
  <c r="H1245" i="1"/>
  <c r="G1245" i="1"/>
  <c r="F1245" i="1"/>
  <c r="E1245" i="1"/>
  <c r="D1245" i="1"/>
  <c r="C1245" i="1"/>
  <c r="M1244" i="1"/>
  <c r="L1244" i="1"/>
  <c r="K1244" i="1"/>
  <c r="J1244" i="1"/>
  <c r="I1244" i="1"/>
  <c r="H1244" i="1"/>
  <c r="G1244" i="1"/>
  <c r="F1244" i="1"/>
  <c r="E1244" i="1"/>
  <c r="D1244" i="1"/>
  <c r="C1244" i="1"/>
  <c r="M1243" i="1"/>
  <c r="L1243" i="1"/>
  <c r="K1243" i="1"/>
  <c r="J1243" i="1"/>
  <c r="I1243" i="1"/>
  <c r="H1243" i="1"/>
  <c r="G1243" i="1"/>
  <c r="F1243" i="1"/>
  <c r="E1243" i="1"/>
  <c r="D1243" i="1"/>
  <c r="C1243" i="1"/>
  <c r="M1242" i="1"/>
  <c r="L1242" i="1"/>
  <c r="K1242" i="1"/>
  <c r="J1242" i="1"/>
  <c r="I1242" i="1"/>
  <c r="H1242" i="1"/>
  <c r="G1242" i="1"/>
  <c r="F1242" i="1"/>
  <c r="E1242" i="1"/>
  <c r="D1242" i="1"/>
  <c r="C1242" i="1"/>
  <c r="M1241" i="1"/>
  <c r="L1241" i="1"/>
  <c r="K1241" i="1"/>
  <c r="J1241" i="1"/>
  <c r="I1241" i="1"/>
  <c r="H1241" i="1"/>
  <c r="G1241" i="1"/>
  <c r="F1241" i="1"/>
  <c r="E1241" i="1"/>
  <c r="D1241" i="1"/>
  <c r="C1241" i="1"/>
  <c r="M1240" i="1"/>
  <c r="L1240" i="1"/>
  <c r="K1240" i="1"/>
  <c r="J1240" i="1"/>
  <c r="I1240" i="1"/>
  <c r="H1240" i="1"/>
  <c r="G1240" i="1"/>
  <c r="F1240" i="1"/>
  <c r="E1240" i="1"/>
  <c r="D1240" i="1"/>
  <c r="C1240" i="1"/>
  <c r="M1239" i="1"/>
  <c r="L1239" i="1"/>
  <c r="K1239" i="1"/>
  <c r="J1239" i="1"/>
  <c r="I1239" i="1"/>
  <c r="H1239" i="1"/>
  <c r="G1239" i="1"/>
  <c r="F1239" i="1"/>
  <c r="E1239" i="1"/>
  <c r="D1239" i="1"/>
  <c r="C1239" i="1"/>
  <c r="M1238" i="1"/>
  <c r="L1238" i="1"/>
  <c r="K1238" i="1"/>
  <c r="J1238" i="1"/>
  <c r="I1238" i="1"/>
  <c r="H1238" i="1"/>
  <c r="G1238" i="1"/>
  <c r="F1238" i="1"/>
  <c r="E1238" i="1"/>
  <c r="D1238" i="1"/>
  <c r="C1238" i="1"/>
  <c r="M1237" i="1"/>
  <c r="L1237" i="1"/>
  <c r="K1237" i="1"/>
  <c r="J1237" i="1"/>
  <c r="I1237" i="1"/>
  <c r="H1237" i="1"/>
  <c r="G1237" i="1"/>
  <c r="F1237" i="1"/>
  <c r="E1237" i="1"/>
  <c r="D1237" i="1"/>
  <c r="C1237" i="1"/>
  <c r="M1236" i="1"/>
  <c r="L1236" i="1"/>
  <c r="K1236" i="1"/>
  <c r="J1236" i="1"/>
  <c r="I1236" i="1"/>
  <c r="H1236" i="1"/>
  <c r="G1236" i="1"/>
  <c r="F1236" i="1"/>
  <c r="E1236" i="1"/>
  <c r="D1236" i="1"/>
  <c r="C1236" i="1"/>
  <c r="M1235" i="1"/>
  <c r="L1235" i="1"/>
  <c r="K1235" i="1"/>
  <c r="J1235" i="1"/>
  <c r="I1235" i="1"/>
  <c r="H1235" i="1"/>
  <c r="G1235" i="1"/>
  <c r="F1235" i="1"/>
  <c r="E1235" i="1"/>
  <c r="D1235" i="1"/>
  <c r="C1235" i="1"/>
  <c r="M1234" i="1"/>
  <c r="L1234" i="1"/>
  <c r="K1234" i="1"/>
  <c r="J1234" i="1"/>
  <c r="I1234" i="1"/>
  <c r="H1234" i="1"/>
  <c r="G1234" i="1"/>
  <c r="F1234" i="1"/>
  <c r="E1234" i="1"/>
  <c r="D1234" i="1"/>
  <c r="C1234" i="1"/>
  <c r="M1233" i="1"/>
  <c r="L1233" i="1"/>
  <c r="K1233" i="1"/>
  <c r="J1233" i="1"/>
  <c r="I1233" i="1"/>
  <c r="H1233" i="1"/>
  <c r="G1233" i="1"/>
  <c r="F1233" i="1"/>
  <c r="E1233" i="1"/>
  <c r="D1233" i="1"/>
  <c r="C1233" i="1"/>
  <c r="M1232" i="1"/>
  <c r="L1232" i="1"/>
  <c r="K1232" i="1"/>
  <c r="J1232" i="1"/>
  <c r="I1232" i="1"/>
  <c r="H1232" i="1"/>
  <c r="G1232" i="1"/>
  <c r="F1232" i="1"/>
  <c r="E1232" i="1"/>
  <c r="D1232" i="1"/>
  <c r="C1232" i="1"/>
  <c r="M1231" i="1"/>
  <c r="L1231" i="1"/>
  <c r="K1231" i="1"/>
  <c r="J1231" i="1"/>
  <c r="I1231" i="1"/>
  <c r="H1231" i="1"/>
  <c r="G1231" i="1"/>
  <c r="F1231" i="1"/>
  <c r="E1231" i="1"/>
  <c r="D1231" i="1"/>
  <c r="C1231" i="1"/>
  <c r="M1230" i="1"/>
  <c r="L1230" i="1"/>
  <c r="K1230" i="1"/>
  <c r="J1230" i="1"/>
  <c r="I1230" i="1"/>
  <c r="H1230" i="1"/>
  <c r="G1230" i="1"/>
  <c r="F1230" i="1"/>
  <c r="E1230" i="1"/>
  <c r="D1230" i="1"/>
  <c r="C1230" i="1"/>
  <c r="M1229" i="1"/>
  <c r="L1229" i="1"/>
  <c r="K1229" i="1"/>
  <c r="J1229" i="1"/>
  <c r="I1229" i="1"/>
  <c r="H1229" i="1"/>
  <c r="G1229" i="1"/>
  <c r="F1229" i="1"/>
  <c r="E1229" i="1"/>
  <c r="D1229" i="1"/>
  <c r="C1229" i="1"/>
  <c r="M1228" i="1"/>
  <c r="L1228" i="1"/>
  <c r="K1228" i="1"/>
  <c r="J1228" i="1"/>
  <c r="I1228" i="1"/>
  <c r="H1228" i="1"/>
  <c r="G1228" i="1"/>
  <c r="F1228" i="1"/>
  <c r="E1228" i="1"/>
  <c r="D1228" i="1"/>
  <c r="C1228" i="1"/>
  <c r="M1227" i="1"/>
  <c r="L1227" i="1"/>
  <c r="K1227" i="1"/>
  <c r="J1227" i="1"/>
  <c r="I1227" i="1"/>
  <c r="H1227" i="1"/>
  <c r="G1227" i="1"/>
  <c r="F1227" i="1"/>
  <c r="E1227" i="1"/>
  <c r="D1227" i="1"/>
  <c r="C1227" i="1"/>
  <c r="M1226" i="1"/>
  <c r="L1226" i="1"/>
  <c r="K1226" i="1"/>
  <c r="J1226" i="1"/>
  <c r="I1226" i="1"/>
  <c r="H1226" i="1"/>
  <c r="G1226" i="1"/>
  <c r="F1226" i="1"/>
  <c r="E1226" i="1"/>
  <c r="D1226" i="1"/>
  <c r="C1226" i="1"/>
  <c r="M1225" i="1"/>
  <c r="L1225" i="1"/>
  <c r="K1225" i="1"/>
  <c r="J1225" i="1"/>
  <c r="I1225" i="1"/>
  <c r="H1225" i="1"/>
  <c r="G1225" i="1"/>
  <c r="F1225" i="1"/>
  <c r="E1225" i="1"/>
  <c r="D1225" i="1"/>
  <c r="C1225" i="1"/>
  <c r="M1224" i="1"/>
  <c r="L1224" i="1"/>
  <c r="K1224" i="1"/>
  <c r="J1224" i="1"/>
  <c r="I1224" i="1"/>
  <c r="H1224" i="1"/>
  <c r="G1224" i="1"/>
  <c r="F1224" i="1"/>
  <c r="E1224" i="1"/>
  <c r="D1224" i="1"/>
  <c r="C1224" i="1"/>
  <c r="M1223" i="1"/>
  <c r="L1223" i="1"/>
  <c r="K1223" i="1"/>
  <c r="J1223" i="1"/>
  <c r="I1223" i="1"/>
  <c r="H1223" i="1"/>
  <c r="G1223" i="1"/>
  <c r="F1223" i="1"/>
  <c r="E1223" i="1"/>
  <c r="D1223" i="1"/>
  <c r="C1223" i="1"/>
  <c r="M1222" i="1"/>
  <c r="L1222" i="1"/>
  <c r="K1222" i="1"/>
  <c r="J1222" i="1"/>
  <c r="I1222" i="1"/>
  <c r="H1222" i="1"/>
  <c r="G1222" i="1"/>
  <c r="F1222" i="1"/>
  <c r="E1222" i="1"/>
  <c r="D1222" i="1"/>
  <c r="C1222" i="1"/>
  <c r="M1221" i="1"/>
  <c r="L1221" i="1"/>
  <c r="K1221" i="1"/>
  <c r="J1221" i="1"/>
  <c r="I1221" i="1"/>
  <c r="H1221" i="1"/>
  <c r="G1221" i="1"/>
  <c r="F1221" i="1"/>
  <c r="E1221" i="1"/>
  <c r="D1221" i="1"/>
  <c r="C1221" i="1"/>
  <c r="M1220" i="1"/>
  <c r="L1220" i="1"/>
  <c r="K1220" i="1"/>
  <c r="J1220" i="1"/>
  <c r="I1220" i="1"/>
  <c r="H1220" i="1"/>
  <c r="G1220" i="1"/>
  <c r="F1220" i="1"/>
  <c r="E1220" i="1"/>
  <c r="D1220" i="1"/>
  <c r="C1220" i="1"/>
  <c r="M1219" i="1"/>
  <c r="L1219" i="1"/>
  <c r="K1219" i="1"/>
  <c r="J1219" i="1"/>
  <c r="I1219" i="1"/>
  <c r="H1219" i="1"/>
  <c r="G1219" i="1"/>
  <c r="F1219" i="1"/>
  <c r="E1219" i="1"/>
  <c r="D1219" i="1"/>
  <c r="C1219" i="1"/>
  <c r="M1218" i="1"/>
  <c r="L1218" i="1"/>
  <c r="K1218" i="1"/>
  <c r="J1218" i="1"/>
  <c r="I1218" i="1"/>
  <c r="H1218" i="1"/>
  <c r="G1218" i="1"/>
  <c r="F1218" i="1"/>
  <c r="E1218" i="1"/>
  <c r="D1218" i="1"/>
  <c r="C1218" i="1"/>
  <c r="M1217" i="1"/>
  <c r="L1217" i="1"/>
  <c r="K1217" i="1"/>
  <c r="J1217" i="1"/>
  <c r="I1217" i="1"/>
  <c r="H1217" i="1"/>
  <c r="G1217" i="1"/>
  <c r="F1217" i="1"/>
  <c r="E1217" i="1"/>
  <c r="D1217" i="1"/>
  <c r="C1217" i="1"/>
  <c r="M1216" i="1"/>
  <c r="L1216" i="1"/>
  <c r="K1216" i="1"/>
  <c r="J1216" i="1"/>
  <c r="I1216" i="1"/>
  <c r="H1216" i="1"/>
  <c r="G1216" i="1"/>
  <c r="F1216" i="1"/>
  <c r="E1216" i="1"/>
  <c r="D1216" i="1"/>
  <c r="C1216" i="1"/>
  <c r="M1215" i="1"/>
  <c r="L1215" i="1"/>
  <c r="K1215" i="1"/>
  <c r="J1215" i="1"/>
  <c r="I1215" i="1"/>
  <c r="H1215" i="1"/>
  <c r="G1215" i="1"/>
  <c r="F1215" i="1"/>
  <c r="E1215" i="1"/>
  <c r="D1215" i="1"/>
  <c r="C1215" i="1"/>
  <c r="M1214" i="1"/>
  <c r="L1214" i="1"/>
  <c r="K1214" i="1"/>
  <c r="J1214" i="1"/>
  <c r="I1214" i="1"/>
  <c r="H1214" i="1"/>
  <c r="G1214" i="1"/>
  <c r="F1214" i="1"/>
  <c r="E1214" i="1"/>
  <c r="D1214" i="1"/>
  <c r="C1214" i="1"/>
  <c r="M1213" i="1"/>
  <c r="L1213" i="1"/>
  <c r="K1213" i="1"/>
  <c r="J1213" i="1"/>
  <c r="I1213" i="1"/>
  <c r="H1213" i="1"/>
  <c r="G1213" i="1"/>
  <c r="F1213" i="1"/>
  <c r="E1213" i="1"/>
  <c r="D1213" i="1"/>
  <c r="C1213" i="1"/>
  <c r="M1212" i="1"/>
  <c r="L1212" i="1"/>
  <c r="K1212" i="1"/>
  <c r="J1212" i="1"/>
  <c r="I1212" i="1"/>
  <c r="H1212" i="1"/>
  <c r="G1212" i="1"/>
  <c r="F1212" i="1"/>
  <c r="E1212" i="1"/>
  <c r="D1212" i="1"/>
  <c r="C1212" i="1"/>
  <c r="M1211" i="1"/>
  <c r="L1211" i="1"/>
  <c r="K1211" i="1"/>
  <c r="J1211" i="1"/>
  <c r="I1211" i="1"/>
  <c r="H1211" i="1"/>
  <c r="G1211" i="1"/>
  <c r="F1211" i="1"/>
  <c r="E1211" i="1"/>
  <c r="D1211" i="1"/>
  <c r="C1211" i="1"/>
  <c r="M1210" i="1"/>
  <c r="L1210" i="1"/>
  <c r="K1210" i="1"/>
  <c r="J1210" i="1"/>
  <c r="I1210" i="1"/>
  <c r="H1210" i="1"/>
  <c r="G1210" i="1"/>
  <c r="F1210" i="1"/>
  <c r="E1210" i="1"/>
  <c r="D1210" i="1"/>
  <c r="C1210" i="1"/>
  <c r="M1209" i="1"/>
  <c r="L1209" i="1"/>
  <c r="K1209" i="1"/>
  <c r="J1209" i="1"/>
  <c r="I1209" i="1"/>
  <c r="H1209" i="1"/>
  <c r="G1209" i="1"/>
  <c r="F1209" i="1"/>
  <c r="E1209" i="1"/>
  <c r="D1209" i="1"/>
  <c r="C1209" i="1"/>
  <c r="M1208" i="1"/>
  <c r="L1208" i="1"/>
  <c r="K1208" i="1"/>
  <c r="J1208" i="1"/>
  <c r="I1208" i="1"/>
  <c r="H1208" i="1"/>
  <c r="G1208" i="1"/>
  <c r="F1208" i="1"/>
  <c r="E1208" i="1"/>
  <c r="D1208" i="1"/>
  <c r="C1208" i="1"/>
  <c r="M1207" i="1"/>
  <c r="L1207" i="1"/>
  <c r="K1207" i="1"/>
  <c r="J1207" i="1"/>
  <c r="I1207" i="1"/>
  <c r="H1207" i="1"/>
  <c r="G1207" i="1"/>
  <c r="F1207" i="1"/>
  <c r="E1207" i="1"/>
  <c r="D1207" i="1"/>
  <c r="C1207" i="1"/>
  <c r="M1206" i="1"/>
  <c r="L1206" i="1"/>
  <c r="K1206" i="1"/>
  <c r="J1206" i="1"/>
  <c r="I1206" i="1"/>
  <c r="H1206" i="1"/>
  <c r="G1206" i="1"/>
  <c r="F1206" i="1"/>
  <c r="E1206" i="1"/>
  <c r="D1206" i="1"/>
  <c r="C1206" i="1"/>
  <c r="M1205" i="1"/>
  <c r="L1205" i="1"/>
  <c r="K1205" i="1"/>
  <c r="J1205" i="1"/>
  <c r="I1205" i="1"/>
  <c r="H1205" i="1"/>
  <c r="G1205" i="1"/>
  <c r="F1205" i="1"/>
  <c r="E1205" i="1"/>
  <c r="D1205" i="1"/>
  <c r="C1205" i="1"/>
  <c r="M1204" i="1"/>
  <c r="L1204" i="1"/>
  <c r="K1204" i="1"/>
  <c r="J1204" i="1"/>
  <c r="I1204" i="1"/>
  <c r="H1204" i="1"/>
  <c r="G1204" i="1"/>
  <c r="F1204" i="1"/>
  <c r="E1204" i="1"/>
  <c r="D1204" i="1"/>
  <c r="C1204" i="1"/>
  <c r="M1203" i="1"/>
  <c r="L1203" i="1"/>
  <c r="K1203" i="1"/>
  <c r="J1203" i="1"/>
  <c r="I1203" i="1"/>
  <c r="H1203" i="1"/>
  <c r="G1203" i="1"/>
  <c r="F1203" i="1"/>
  <c r="E1203" i="1"/>
  <c r="D1203" i="1"/>
  <c r="C1203" i="1"/>
  <c r="M1202" i="1"/>
  <c r="L1202" i="1"/>
  <c r="K1202" i="1"/>
  <c r="J1202" i="1"/>
  <c r="I1202" i="1"/>
  <c r="H1202" i="1"/>
  <c r="G1202" i="1"/>
  <c r="F1202" i="1"/>
  <c r="E1202" i="1"/>
  <c r="D1202" i="1"/>
  <c r="C1202" i="1"/>
  <c r="M1201" i="1"/>
  <c r="L1201" i="1"/>
  <c r="K1201" i="1"/>
  <c r="J1201" i="1"/>
  <c r="I1201" i="1"/>
  <c r="H1201" i="1"/>
  <c r="G1201" i="1"/>
  <c r="F1201" i="1"/>
  <c r="E1201" i="1"/>
  <c r="D1201" i="1"/>
  <c r="C1201" i="1"/>
  <c r="M1200" i="1"/>
  <c r="L1200" i="1"/>
  <c r="K1200" i="1"/>
  <c r="J1200" i="1"/>
  <c r="I1200" i="1"/>
  <c r="H1200" i="1"/>
  <c r="G1200" i="1"/>
  <c r="F1200" i="1"/>
  <c r="E1200" i="1"/>
  <c r="D1200" i="1"/>
  <c r="C1200" i="1"/>
  <c r="M1199" i="1"/>
  <c r="L1199" i="1"/>
  <c r="K1199" i="1"/>
  <c r="J1199" i="1"/>
  <c r="I1199" i="1"/>
  <c r="H1199" i="1"/>
  <c r="G1199" i="1"/>
  <c r="F1199" i="1"/>
  <c r="E1199" i="1"/>
  <c r="D1199" i="1"/>
  <c r="C1199" i="1"/>
  <c r="M1198" i="1"/>
  <c r="L1198" i="1"/>
  <c r="K1198" i="1"/>
  <c r="J1198" i="1"/>
  <c r="I1198" i="1"/>
  <c r="H1198" i="1"/>
  <c r="G1198" i="1"/>
  <c r="F1198" i="1"/>
  <c r="E1198" i="1"/>
  <c r="D1198" i="1"/>
  <c r="C1198" i="1"/>
  <c r="M1197" i="1"/>
  <c r="L1197" i="1"/>
  <c r="K1197" i="1"/>
  <c r="J1197" i="1"/>
  <c r="I1197" i="1"/>
  <c r="H1197" i="1"/>
  <c r="G1197" i="1"/>
  <c r="F1197" i="1"/>
  <c r="E1197" i="1"/>
  <c r="D1197" i="1"/>
  <c r="C1197" i="1"/>
  <c r="M1196" i="1"/>
  <c r="L1196" i="1"/>
  <c r="K1196" i="1"/>
  <c r="J1196" i="1"/>
  <c r="I1196" i="1"/>
  <c r="H1196" i="1"/>
  <c r="G1196" i="1"/>
  <c r="F1196" i="1"/>
  <c r="E1196" i="1"/>
  <c r="D1196" i="1"/>
  <c r="C1196" i="1"/>
  <c r="M1195" i="1"/>
  <c r="L1195" i="1"/>
  <c r="K1195" i="1"/>
  <c r="J1195" i="1"/>
  <c r="I1195" i="1"/>
  <c r="H1195" i="1"/>
  <c r="G1195" i="1"/>
  <c r="F1195" i="1"/>
  <c r="E1195" i="1"/>
  <c r="D1195" i="1"/>
  <c r="C1195" i="1"/>
  <c r="M1194" i="1"/>
  <c r="L1194" i="1"/>
  <c r="K1194" i="1"/>
  <c r="J1194" i="1"/>
  <c r="I1194" i="1"/>
  <c r="H1194" i="1"/>
  <c r="G1194" i="1"/>
  <c r="F1194" i="1"/>
  <c r="E1194" i="1"/>
  <c r="D1194" i="1"/>
  <c r="C1194" i="1"/>
  <c r="M1193" i="1"/>
  <c r="L1193" i="1"/>
  <c r="K1193" i="1"/>
  <c r="J1193" i="1"/>
  <c r="I1193" i="1"/>
  <c r="H1193" i="1"/>
  <c r="G1193" i="1"/>
  <c r="F1193" i="1"/>
  <c r="E1193" i="1"/>
  <c r="D1193" i="1"/>
  <c r="C1193" i="1"/>
  <c r="M1192" i="1"/>
  <c r="L1192" i="1"/>
  <c r="K1192" i="1"/>
  <c r="J1192" i="1"/>
  <c r="I1192" i="1"/>
  <c r="H1192" i="1"/>
  <c r="G1192" i="1"/>
  <c r="F1192" i="1"/>
  <c r="E1192" i="1"/>
  <c r="D1192" i="1"/>
  <c r="C1192" i="1"/>
  <c r="M1191" i="1"/>
  <c r="L1191" i="1"/>
  <c r="K1191" i="1"/>
  <c r="J1191" i="1"/>
  <c r="I1191" i="1"/>
  <c r="H1191" i="1"/>
  <c r="G1191" i="1"/>
  <c r="F1191" i="1"/>
  <c r="E1191" i="1"/>
  <c r="D1191" i="1"/>
  <c r="C1191" i="1"/>
  <c r="M1190" i="1"/>
  <c r="L1190" i="1"/>
  <c r="K1190" i="1"/>
  <c r="J1190" i="1"/>
  <c r="I1190" i="1"/>
  <c r="H1190" i="1"/>
  <c r="G1190" i="1"/>
  <c r="F1190" i="1"/>
  <c r="E1190" i="1"/>
  <c r="D1190" i="1"/>
  <c r="C1190" i="1"/>
  <c r="M1189" i="1"/>
  <c r="L1189" i="1"/>
  <c r="K1189" i="1"/>
  <c r="J1189" i="1"/>
  <c r="I1189" i="1"/>
  <c r="H1189" i="1"/>
  <c r="G1189" i="1"/>
  <c r="F1189" i="1"/>
  <c r="E1189" i="1"/>
  <c r="D1189" i="1"/>
  <c r="C1189" i="1"/>
  <c r="M1188" i="1"/>
  <c r="L1188" i="1"/>
  <c r="K1188" i="1"/>
  <c r="J1188" i="1"/>
  <c r="I1188" i="1"/>
  <c r="H1188" i="1"/>
  <c r="G1188" i="1"/>
  <c r="F1188" i="1"/>
  <c r="E1188" i="1"/>
  <c r="D1188" i="1"/>
  <c r="C1188" i="1"/>
  <c r="M1187" i="1"/>
  <c r="L1187" i="1"/>
  <c r="K1187" i="1"/>
  <c r="J1187" i="1"/>
  <c r="I1187" i="1"/>
  <c r="H1187" i="1"/>
  <c r="G1187" i="1"/>
  <c r="F1187" i="1"/>
  <c r="E1187" i="1"/>
  <c r="D1187" i="1"/>
  <c r="C1187" i="1"/>
  <c r="M1186" i="1"/>
  <c r="L1186" i="1"/>
  <c r="K1186" i="1"/>
  <c r="J1186" i="1"/>
  <c r="I1186" i="1"/>
  <c r="H1186" i="1"/>
  <c r="G1186" i="1"/>
  <c r="F1186" i="1"/>
  <c r="E1186" i="1"/>
  <c r="D1186" i="1"/>
  <c r="C1186" i="1"/>
  <c r="M1185" i="1"/>
  <c r="L1185" i="1"/>
  <c r="K1185" i="1"/>
  <c r="J1185" i="1"/>
  <c r="I1185" i="1"/>
  <c r="H1185" i="1"/>
  <c r="G1185" i="1"/>
  <c r="F1185" i="1"/>
  <c r="E1185" i="1"/>
  <c r="D1185" i="1"/>
  <c r="C1185" i="1"/>
  <c r="M1184" i="1"/>
  <c r="L1184" i="1"/>
  <c r="K1184" i="1"/>
  <c r="J1184" i="1"/>
  <c r="I1184" i="1"/>
  <c r="H1184" i="1"/>
  <c r="G1184" i="1"/>
  <c r="F1184" i="1"/>
  <c r="E1184" i="1"/>
  <c r="D1184" i="1"/>
  <c r="C1184" i="1"/>
  <c r="M1183" i="1"/>
  <c r="L1183" i="1"/>
  <c r="K1183" i="1"/>
  <c r="J1183" i="1"/>
  <c r="I1183" i="1"/>
  <c r="H1183" i="1"/>
  <c r="G1183" i="1"/>
  <c r="F1183" i="1"/>
  <c r="E1183" i="1"/>
  <c r="D1183" i="1"/>
  <c r="C1183" i="1"/>
  <c r="M1182" i="1"/>
  <c r="L1182" i="1"/>
  <c r="K1182" i="1"/>
  <c r="J1182" i="1"/>
  <c r="I1182" i="1"/>
  <c r="H1182" i="1"/>
  <c r="G1182" i="1"/>
  <c r="F1182" i="1"/>
  <c r="E1182" i="1"/>
  <c r="D1182" i="1"/>
  <c r="C1182" i="1"/>
  <c r="M1181" i="1"/>
  <c r="L1181" i="1"/>
  <c r="K1181" i="1"/>
  <c r="J1181" i="1"/>
  <c r="I1181" i="1"/>
  <c r="H1181" i="1"/>
  <c r="G1181" i="1"/>
  <c r="F1181" i="1"/>
  <c r="E1181" i="1"/>
  <c r="D1181" i="1"/>
  <c r="C1181" i="1"/>
  <c r="M1180" i="1"/>
  <c r="L1180" i="1"/>
  <c r="K1180" i="1"/>
  <c r="J1180" i="1"/>
  <c r="I1180" i="1"/>
  <c r="H1180" i="1"/>
  <c r="G1180" i="1"/>
  <c r="F1180" i="1"/>
  <c r="E1180" i="1"/>
  <c r="D1180" i="1"/>
  <c r="C1180" i="1"/>
  <c r="M1179" i="1"/>
  <c r="L1179" i="1"/>
  <c r="K1179" i="1"/>
  <c r="J1179" i="1"/>
  <c r="I1179" i="1"/>
  <c r="H1179" i="1"/>
  <c r="G1179" i="1"/>
  <c r="F1179" i="1"/>
  <c r="E1179" i="1"/>
  <c r="D1179" i="1"/>
  <c r="C1179" i="1"/>
  <c r="M1178" i="1"/>
  <c r="L1178" i="1"/>
  <c r="K1178" i="1"/>
  <c r="J1178" i="1"/>
  <c r="I1178" i="1"/>
  <c r="H1178" i="1"/>
  <c r="G1178" i="1"/>
  <c r="F1178" i="1"/>
  <c r="E1178" i="1"/>
  <c r="D1178" i="1"/>
  <c r="C1178" i="1"/>
  <c r="M1177" i="1"/>
  <c r="L1177" i="1"/>
  <c r="K1177" i="1"/>
  <c r="J1177" i="1"/>
  <c r="I1177" i="1"/>
  <c r="H1177" i="1"/>
  <c r="G1177" i="1"/>
  <c r="F1177" i="1"/>
  <c r="E1177" i="1"/>
  <c r="D1177" i="1"/>
  <c r="C1177" i="1"/>
  <c r="M1176" i="1"/>
  <c r="L1176" i="1"/>
  <c r="K1176" i="1"/>
  <c r="J1176" i="1"/>
  <c r="I1176" i="1"/>
  <c r="H1176" i="1"/>
  <c r="G1176" i="1"/>
  <c r="F1176" i="1"/>
  <c r="E1176" i="1"/>
  <c r="D1176" i="1"/>
  <c r="C1176" i="1"/>
  <c r="M1175" i="1"/>
  <c r="L1175" i="1"/>
  <c r="K1175" i="1"/>
  <c r="J1175" i="1"/>
  <c r="I1175" i="1"/>
  <c r="H1175" i="1"/>
  <c r="G1175" i="1"/>
  <c r="F1175" i="1"/>
  <c r="E1175" i="1"/>
  <c r="D1175" i="1"/>
  <c r="C1175" i="1"/>
  <c r="M1174" i="1"/>
  <c r="L1174" i="1"/>
  <c r="K1174" i="1"/>
  <c r="J1174" i="1"/>
  <c r="I1174" i="1"/>
  <c r="H1174" i="1"/>
  <c r="G1174" i="1"/>
  <c r="F1174" i="1"/>
  <c r="E1174" i="1"/>
  <c r="D1174" i="1"/>
  <c r="C1174" i="1"/>
  <c r="M1173" i="1"/>
  <c r="L1173" i="1"/>
  <c r="K1173" i="1"/>
  <c r="J1173" i="1"/>
  <c r="I1173" i="1"/>
  <c r="H1173" i="1"/>
  <c r="G1173" i="1"/>
  <c r="F1173" i="1"/>
  <c r="E1173" i="1"/>
  <c r="D1173" i="1"/>
  <c r="C1173" i="1"/>
  <c r="M1172" i="1"/>
  <c r="L1172" i="1"/>
  <c r="K1172" i="1"/>
  <c r="J1172" i="1"/>
  <c r="I1172" i="1"/>
  <c r="H1172" i="1"/>
  <c r="G1172" i="1"/>
  <c r="F1172" i="1"/>
  <c r="E1172" i="1"/>
  <c r="D1172" i="1"/>
  <c r="C1172" i="1"/>
  <c r="M1171" i="1"/>
  <c r="L1171" i="1"/>
  <c r="K1171" i="1"/>
  <c r="J1171" i="1"/>
  <c r="I1171" i="1"/>
  <c r="H1171" i="1"/>
  <c r="G1171" i="1"/>
  <c r="F1171" i="1"/>
  <c r="E1171" i="1"/>
  <c r="D1171" i="1"/>
  <c r="C1171" i="1"/>
  <c r="M1170" i="1"/>
  <c r="L1170" i="1"/>
  <c r="K1170" i="1"/>
  <c r="J1170" i="1"/>
  <c r="I1170" i="1"/>
  <c r="H1170" i="1"/>
  <c r="G1170" i="1"/>
  <c r="F1170" i="1"/>
  <c r="E1170" i="1"/>
  <c r="D1170" i="1"/>
  <c r="C1170" i="1"/>
  <c r="M1169" i="1"/>
  <c r="L1169" i="1"/>
  <c r="K1169" i="1"/>
  <c r="J1169" i="1"/>
  <c r="I1169" i="1"/>
  <c r="H1169" i="1"/>
  <c r="G1169" i="1"/>
  <c r="F1169" i="1"/>
  <c r="E1169" i="1"/>
  <c r="D1169" i="1"/>
  <c r="C1169" i="1"/>
  <c r="M1168" i="1"/>
  <c r="L1168" i="1"/>
  <c r="K1168" i="1"/>
  <c r="J1168" i="1"/>
  <c r="I1168" i="1"/>
  <c r="H1168" i="1"/>
  <c r="G1168" i="1"/>
  <c r="F1168" i="1"/>
  <c r="E1168" i="1"/>
  <c r="D1168" i="1"/>
  <c r="C1168" i="1"/>
  <c r="M1167" i="1"/>
  <c r="L1167" i="1"/>
  <c r="K1167" i="1"/>
  <c r="J1167" i="1"/>
  <c r="I1167" i="1"/>
  <c r="H1167" i="1"/>
  <c r="G1167" i="1"/>
  <c r="F1167" i="1"/>
  <c r="E1167" i="1"/>
  <c r="D1167" i="1"/>
  <c r="C1167" i="1"/>
  <c r="M1166" i="1"/>
  <c r="L1166" i="1"/>
  <c r="K1166" i="1"/>
  <c r="J1166" i="1"/>
  <c r="I1166" i="1"/>
  <c r="H1166" i="1"/>
  <c r="G1166" i="1"/>
  <c r="F1166" i="1"/>
  <c r="E1166" i="1"/>
  <c r="D1166" i="1"/>
  <c r="C1166" i="1"/>
  <c r="M1165" i="1"/>
  <c r="L1165" i="1"/>
  <c r="K1165" i="1"/>
  <c r="J1165" i="1"/>
  <c r="I1165" i="1"/>
  <c r="H1165" i="1"/>
  <c r="G1165" i="1"/>
  <c r="F1165" i="1"/>
  <c r="E1165" i="1"/>
  <c r="D1165" i="1"/>
  <c r="C1165" i="1"/>
  <c r="M1164" i="1"/>
  <c r="L1164" i="1"/>
  <c r="K1164" i="1"/>
  <c r="J1164" i="1"/>
  <c r="I1164" i="1"/>
  <c r="H1164" i="1"/>
  <c r="G1164" i="1"/>
  <c r="F1164" i="1"/>
  <c r="E1164" i="1"/>
  <c r="D1164" i="1"/>
  <c r="C1164" i="1"/>
  <c r="M1163" i="1"/>
  <c r="L1163" i="1"/>
  <c r="K1163" i="1"/>
  <c r="J1163" i="1"/>
  <c r="I1163" i="1"/>
  <c r="H1163" i="1"/>
  <c r="G1163" i="1"/>
  <c r="F1163" i="1"/>
  <c r="E1163" i="1"/>
  <c r="D1163" i="1"/>
  <c r="C1163" i="1"/>
  <c r="M1162" i="1"/>
  <c r="L1162" i="1"/>
  <c r="K1162" i="1"/>
  <c r="J1162" i="1"/>
  <c r="I1162" i="1"/>
  <c r="H1162" i="1"/>
  <c r="G1162" i="1"/>
  <c r="F1162" i="1"/>
  <c r="E1162" i="1"/>
  <c r="D1162" i="1"/>
  <c r="C1162" i="1"/>
  <c r="M1161" i="1"/>
  <c r="L1161" i="1"/>
  <c r="K1161" i="1"/>
  <c r="J1161" i="1"/>
  <c r="I1161" i="1"/>
  <c r="H1161" i="1"/>
  <c r="G1161" i="1"/>
  <c r="F1161" i="1"/>
  <c r="E1161" i="1"/>
  <c r="D1161" i="1"/>
  <c r="C1161" i="1"/>
  <c r="M1160" i="1"/>
  <c r="L1160" i="1"/>
  <c r="K1160" i="1"/>
  <c r="J1160" i="1"/>
  <c r="I1160" i="1"/>
  <c r="H1160" i="1"/>
  <c r="G1160" i="1"/>
  <c r="F1160" i="1"/>
  <c r="E1160" i="1"/>
  <c r="D1160" i="1"/>
  <c r="C1160" i="1"/>
  <c r="M1159" i="1"/>
  <c r="L1159" i="1"/>
  <c r="K1159" i="1"/>
  <c r="J1159" i="1"/>
  <c r="I1159" i="1"/>
  <c r="H1159" i="1"/>
  <c r="G1159" i="1"/>
  <c r="F1159" i="1"/>
  <c r="E1159" i="1"/>
  <c r="D1159" i="1"/>
  <c r="C1159" i="1"/>
  <c r="M1158" i="1"/>
  <c r="L1158" i="1"/>
  <c r="K1158" i="1"/>
  <c r="J1158" i="1"/>
  <c r="I1158" i="1"/>
  <c r="H1158" i="1"/>
  <c r="G1158" i="1"/>
  <c r="F1158" i="1"/>
  <c r="E1158" i="1"/>
  <c r="D1158" i="1"/>
  <c r="C1158" i="1"/>
  <c r="M1157" i="1"/>
  <c r="L1157" i="1"/>
  <c r="K1157" i="1"/>
  <c r="J1157" i="1"/>
  <c r="I1157" i="1"/>
  <c r="H1157" i="1"/>
  <c r="G1157" i="1"/>
  <c r="F1157" i="1"/>
  <c r="E1157" i="1"/>
  <c r="D1157" i="1"/>
  <c r="C1157" i="1"/>
  <c r="M1156" i="1"/>
  <c r="L1156" i="1"/>
  <c r="K1156" i="1"/>
  <c r="J1156" i="1"/>
  <c r="I1156" i="1"/>
  <c r="H1156" i="1"/>
  <c r="G1156" i="1"/>
  <c r="F1156" i="1"/>
  <c r="E1156" i="1"/>
  <c r="D1156" i="1"/>
  <c r="C1156" i="1"/>
  <c r="M1155" i="1"/>
  <c r="L1155" i="1"/>
  <c r="K1155" i="1"/>
  <c r="J1155" i="1"/>
  <c r="I1155" i="1"/>
  <c r="H1155" i="1"/>
  <c r="G1155" i="1"/>
  <c r="F1155" i="1"/>
  <c r="E1155" i="1"/>
  <c r="D1155" i="1"/>
  <c r="C1155" i="1"/>
  <c r="M1154" i="1"/>
  <c r="L1154" i="1"/>
  <c r="K1154" i="1"/>
  <c r="J1154" i="1"/>
  <c r="I1154" i="1"/>
  <c r="H1154" i="1"/>
  <c r="G1154" i="1"/>
  <c r="F1154" i="1"/>
  <c r="E1154" i="1"/>
  <c r="D1154" i="1"/>
  <c r="C1154" i="1"/>
  <c r="M1153" i="1"/>
  <c r="L1153" i="1"/>
  <c r="K1153" i="1"/>
  <c r="J1153" i="1"/>
  <c r="I1153" i="1"/>
  <c r="H1153" i="1"/>
  <c r="G1153" i="1"/>
  <c r="F1153" i="1"/>
  <c r="E1153" i="1"/>
  <c r="D1153" i="1"/>
  <c r="C1153" i="1"/>
  <c r="M1152" i="1"/>
  <c r="L1152" i="1"/>
  <c r="K1152" i="1"/>
  <c r="J1152" i="1"/>
  <c r="I1152" i="1"/>
  <c r="H1152" i="1"/>
  <c r="G1152" i="1"/>
  <c r="F1152" i="1"/>
  <c r="E1152" i="1"/>
  <c r="D1152" i="1"/>
  <c r="C1152" i="1"/>
  <c r="M1151" i="1"/>
  <c r="L1151" i="1"/>
  <c r="K1151" i="1"/>
  <c r="J1151" i="1"/>
  <c r="I1151" i="1"/>
  <c r="H1151" i="1"/>
  <c r="G1151" i="1"/>
  <c r="F1151" i="1"/>
  <c r="E1151" i="1"/>
  <c r="D1151" i="1"/>
  <c r="C1151" i="1"/>
  <c r="M1150" i="1"/>
  <c r="L1150" i="1"/>
  <c r="K1150" i="1"/>
  <c r="J1150" i="1"/>
  <c r="I1150" i="1"/>
  <c r="H1150" i="1"/>
  <c r="G1150" i="1"/>
  <c r="F1150" i="1"/>
  <c r="E1150" i="1"/>
  <c r="D1150" i="1"/>
  <c r="C1150" i="1"/>
  <c r="M1149" i="1"/>
  <c r="L1149" i="1"/>
  <c r="K1149" i="1"/>
  <c r="J1149" i="1"/>
  <c r="I1149" i="1"/>
  <c r="H1149" i="1"/>
  <c r="G1149" i="1"/>
  <c r="F1149" i="1"/>
  <c r="E1149" i="1"/>
  <c r="D1149" i="1"/>
  <c r="C1149" i="1"/>
  <c r="M1148" i="1"/>
  <c r="L1148" i="1"/>
  <c r="K1148" i="1"/>
  <c r="J1148" i="1"/>
  <c r="I1148" i="1"/>
  <c r="H1148" i="1"/>
  <c r="G1148" i="1"/>
  <c r="F1148" i="1"/>
  <c r="E1148" i="1"/>
  <c r="D1148" i="1"/>
  <c r="C1148" i="1"/>
  <c r="M1147" i="1"/>
  <c r="L1147" i="1"/>
  <c r="K1147" i="1"/>
  <c r="J1147" i="1"/>
  <c r="I1147" i="1"/>
  <c r="H1147" i="1"/>
  <c r="G1147" i="1"/>
  <c r="F1147" i="1"/>
  <c r="E1147" i="1"/>
  <c r="D1147" i="1"/>
  <c r="C1147" i="1"/>
  <c r="M1146" i="1"/>
  <c r="L1146" i="1"/>
  <c r="K1146" i="1"/>
  <c r="J1146" i="1"/>
  <c r="I1146" i="1"/>
  <c r="H1146" i="1"/>
  <c r="G1146" i="1"/>
  <c r="F1146" i="1"/>
  <c r="E1146" i="1"/>
  <c r="D1146" i="1"/>
  <c r="C1146" i="1"/>
  <c r="M1145" i="1"/>
  <c r="L1145" i="1"/>
  <c r="K1145" i="1"/>
  <c r="J1145" i="1"/>
  <c r="I1145" i="1"/>
  <c r="H1145" i="1"/>
  <c r="G1145" i="1"/>
  <c r="F1145" i="1"/>
  <c r="E1145" i="1"/>
  <c r="D1145" i="1"/>
  <c r="C1145" i="1"/>
  <c r="M1144" i="1"/>
  <c r="L1144" i="1"/>
  <c r="K1144" i="1"/>
  <c r="J1144" i="1"/>
  <c r="I1144" i="1"/>
  <c r="H1144" i="1"/>
  <c r="G1144" i="1"/>
  <c r="F1144" i="1"/>
  <c r="E1144" i="1"/>
  <c r="D1144" i="1"/>
  <c r="C1144" i="1"/>
  <c r="M1143" i="1"/>
  <c r="L1143" i="1"/>
  <c r="K1143" i="1"/>
  <c r="J1143" i="1"/>
  <c r="I1143" i="1"/>
  <c r="H1143" i="1"/>
  <c r="G1143" i="1"/>
  <c r="F1143" i="1"/>
  <c r="E1143" i="1"/>
  <c r="D1143" i="1"/>
  <c r="C1143" i="1"/>
  <c r="M1142" i="1"/>
  <c r="L1142" i="1"/>
  <c r="K1142" i="1"/>
  <c r="J1142" i="1"/>
  <c r="I1142" i="1"/>
  <c r="H1142" i="1"/>
  <c r="G1142" i="1"/>
  <c r="F1142" i="1"/>
  <c r="E1142" i="1"/>
  <c r="D1142" i="1"/>
  <c r="C1142" i="1"/>
  <c r="M1141" i="1"/>
  <c r="L1141" i="1"/>
  <c r="K1141" i="1"/>
  <c r="J1141" i="1"/>
  <c r="I1141" i="1"/>
  <c r="H1141" i="1"/>
  <c r="G1141" i="1"/>
  <c r="F1141" i="1"/>
  <c r="E1141" i="1"/>
  <c r="D1141" i="1"/>
  <c r="C1141" i="1"/>
  <c r="M1140" i="1"/>
  <c r="L1140" i="1"/>
  <c r="K1140" i="1"/>
  <c r="J1140" i="1"/>
  <c r="I1140" i="1"/>
  <c r="H1140" i="1"/>
  <c r="G1140" i="1"/>
  <c r="F1140" i="1"/>
  <c r="E1140" i="1"/>
  <c r="D1140" i="1"/>
  <c r="C1140" i="1"/>
  <c r="M1139" i="1"/>
  <c r="L1139" i="1"/>
  <c r="K1139" i="1"/>
  <c r="J1139" i="1"/>
  <c r="I1139" i="1"/>
  <c r="H1139" i="1"/>
  <c r="G1139" i="1"/>
  <c r="F1139" i="1"/>
  <c r="E1139" i="1"/>
  <c r="D1139" i="1"/>
  <c r="C1139" i="1"/>
  <c r="M1138" i="1"/>
  <c r="L1138" i="1"/>
  <c r="K1138" i="1"/>
  <c r="J1138" i="1"/>
  <c r="I1138" i="1"/>
  <c r="H1138" i="1"/>
  <c r="G1138" i="1"/>
  <c r="F1138" i="1"/>
  <c r="E1138" i="1"/>
  <c r="D1138" i="1"/>
  <c r="C1138" i="1"/>
  <c r="M1137" i="1"/>
  <c r="L1137" i="1"/>
  <c r="K1137" i="1"/>
  <c r="J1137" i="1"/>
  <c r="I1137" i="1"/>
  <c r="H1137" i="1"/>
  <c r="G1137" i="1"/>
  <c r="F1137" i="1"/>
  <c r="E1137" i="1"/>
  <c r="D1137" i="1"/>
  <c r="C1137" i="1"/>
  <c r="M1136" i="1"/>
  <c r="L1136" i="1"/>
  <c r="K1136" i="1"/>
  <c r="J1136" i="1"/>
  <c r="I1136" i="1"/>
  <c r="H1136" i="1"/>
  <c r="G1136" i="1"/>
  <c r="F1136" i="1"/>
  <c r="E1136" i="1"/>
  <c r="D1136" i="1"/>
  <c r="C1136" i="1"/>
  <c r="M1135" i="1"/>
  <c r="L1135" i="1"/>
  <c r="K1135" i="1"/>
  <c r="J1135" i="1"/>
  <c r="I1135" i="1"/>
  <c r="H1135" i="1"/>
  <c r="G1135" i="1"/>
  <c r="F1135" i="1"/>
  <c r="E1135" i="1"/>
  <c r="D1135" i="1"/>
  <c r="C1135" i="1"/>
  <c r="M1134" i="1"/>
  <c r="L1134" i="1"/>
  <c r="K1134" i="1"/>
  <c r="J1134" i="1"/>
  <c r="I1134" i="1"/>
  <c r="H1134" i="1"/>
  <c r="G1134" i="1"/>
  <c r="F1134" i="1"/>
  <c r="E1134" i="1"/>
  <c r="D1134" i="1"/>
  <c r="C1134" i="1"/>
  <c r="M1133" i="1"/>
  <c r="L1133" i="1"/>
  <c r="K1133" i="1"/>
  <c r="J1133" i="1"/>
  <c r="I1133" i="1"/>
  <c r="H1133" i="1"/>
  <c r="G1133" i="1"/>
  <c r="F1133" i="1"/>
  <c r="E1133" i="1"/>
  <c r="D1133" i="1"/>
  <c r="C1133" i="1"/>
  <c r="M1132" i="1"/>
  <c r="L1132" i="1"/>
  <c r="K1132" i="1"/>
  <c r="J1132" i="1"/>
  <c r="I1132" i="1"/>
  <c r="H1132" i="1"/>
  <c r="G1132" i="1"/>
  <c r="F1132" i="1"/>
  <c r="E1132" i="1"/>
  <c r="D1132" i="1"/>
  <c r="C1132" i="1"/>
  <c r="M1131" i="1"/>
  <c r="L1131" i="1"/>
  <c r="K1131" i="1"/>
  <c r="J1131" i="1"/>
  <c r="I1131" i="1"/>
  <c r="H1131" i="1"/>
  <c r="G1131" i="1"/>
  <c r="F1131" i="1"/>
  <c r="E1131" i="1"/>
  <c r="D1131" i="1"/>
  <c r="C1131" i="1"/>
  <c r="M1130" i="1"/>
  <c r="L1130" i="1"/>
  <c r="K1130" i="1"/>
  <c r="J1130" i="1"/>
  <c r="I1130" i="1"/>
  <c r="H1130" i="1"/>
  <c r="G1130" i="1"/>
  <c r="F1130" i="1"/>
  <c r="E1130" i="1"/>
  <c r="D1130" i="1"/>
  <c r="C1130" i="1"/>
  <c r="M1129" i="1"/>
  <c r="L1129" i="1"/>
  <c r="K1129" i="1"/>
  <c r="J1129" i="1"/>
  <c r="I1129" i="1"/>
  <c r="H1129" i="1"/>
  <c r="G1129" i="1"/>
  <c r="F1129" i="1"/>
  <c r="E1129" i="1"/>
  <c r="D1129" i="1"/>
  <c r="C1129" i="1"/>
  <c r="M1128" i="1"/>
  <c r="L1128" i="1"/>
  <c r="K1128" i="1"/>
  <c r="J1128" i="1"/>
  <c r="I1128" i="1"/>
  <c r="H1128" i="1"/>
  <c r="G1128" i="1"/>
  <c r="F1128" i="1"/>
  <c r="E1128" i="1"/>
  <c r="D1128" i="1"/>
  <c r="C1128" i="1"/>
  <c r="M1127" i="1"/>
  <c r="L1127" i="1"/>
  <c r="K1127" i="1"/>
  <c r="J1127" i="1"/>
  <c r="I1127" i="1"/>
  <c r="H1127" i="1"/>
  <c r="G1127" i="1"/>
  <c r="F1127" i="1"/>
  <c r="E1127" i="1"/>
  <c r="D1127" i="1"/>
  <c r="C1127" i="1"/>
  <c r="M1126" i="1"/>
  <c r="L1126" i="1"/>
  <c r="K1126" i="1"/>
  <c r="J1126" i="1"/>
  <c r="I1126" i="1"/>
  <c r="H1126" i="1"/>
  <c r="G1126" i="1"/>
  <c r="F1126" i="1"/>
  <c r="E1126" i="1"/>
  <c r="D1126" i="1"/>
  <c r="C1126" i="1"/>
  <c r="M1125" i="1"/>
  <c r="L1125" i="1"/>
  <c r="K1125" i="1"/>
  <c r="J1125" i="1"/>
  <c r="I1125" i="1"/>
  <c r="H1125" i="1"/>
  <c r="G1125" i="1"/>
  <c r="F1125" i="1"/>
  <c r="E1125" i="1"/>
  <c r="D1125" i="1"/>
  <c r="C1125" i="1"/>
  <c r="M1124" i="1"/>
  <c r="L1124" i="1"/>
  <c r="K1124" i="1"/>
  <c r="J1124" i="1"/>
  <c r="I1124" i="1"/>
  <c r="H1124" i="1"/>
  <c r="G1124" i="1"/>
  <c r="F1124" i="1"/>
  <c r="E1124" i="1"/>
  <c r="D1124" i="1"/>
  <c r="C1124" i="1"/>
  <c r="M1123" i="1"/>
  <c r="L1123" i="1"/>
  <c r="K1123" i="1"/>
  <c r="J1123" i="1"/>
  <c r="I1123" i="1"/>
  <c r="H1123" i="1"/>
  <c r="G1123" i="1"/>
  <c r="F1123" i="1"/>
  <c r="E1123" i="1"/>
  <c r="D1123" i="1"/>
  <c r="C1123" i="1"/>
  <c r="M1122" i="1"/>
  <c r="L1122" i="1"/>
  <c r="K1122" i="1"/>
  <c r="J1122" i="1"/>
  <c r="I1122" i="1"/>
  <c r="H1122" i="1"/>
  <c r="G1122" i="1"/>
  <c r="F1122" i="1"/>
  <c r="E1122" i="1"/>
  <c r="D1122" i="1"/>
  <c r="C1122" i="1"/>
  <c r="M1121" i="1"/>
  <c r="L1121" i="1"/>
  <c r="K1121" i="1"/>
  <c r="J1121" i="1"/>
  <c r="I1121" i="1"/>
  <c r="H1121" i="1"/>
  <c r="G1121" i="1"/>
  <c r="F1121" i="1"/>
  <c r="E1121" i="1"/>
  <c r="D1121" i="1"/>
  <c r="C1121" i="1"/>
  <c r="M1120" i="1"/>
  <c r="L1120" i="1"/>
  <c r="K1120" i="1"/>
  <c r="J1120" i="1"/>
  <c r="I1120" i="1"/>
  <c r="H1120" i="1"/>
  <c r="G1120" i="1"/>
  <c r="F1120" i="1"/>
  <c r="E1120" i="1"/>
  <c r="D1120" i="1"/>
  <c r="C1120" i="1"/>
  <c r="M1119" i="1"/>
  <c r="L1119" i="1"/>
  <c r="K1119" i="1"/>
  <c r="J1119" i="1"/>
  <c r="I1119" i="1"/>
  <c r="H1119" i="1"/>
  <c r="G1119" i="1"/>
  <c r="F1119" i="1"/>
  <c r="E1119" i="1"/>
  <c r="D1119" i="1"/>
  <c r="C1119" i="1"/>
  <c r="M1118" i="1"/>
  <c r="L1118" i="1"/>
  <c r="K1118" i="1"/>
  <c r="J1118" i="1"/>
  <c r="I1118" i="1"/>
  <c r="H1118" i="1"/>
  <c r="G1118" i="1"/>
  <c r="F1118" i="1"/>
  <c r="E1118" i="1"/>
  <c r="D1118" i="1"/>
  <c r="C1118" i="1"/>
  <c r="M1117" i="1"/>
  <c r="L1117" i="1"/>
  <c r="K1117" i="1"/>
  <c r="J1117" i="1"/>
  <c r="I1117" i="1"/>
  <c r="H1117" i="1"/>
  <c r="G1117" i="1"/>
  <c r="F1117" i="1"/>
  <c r="E1117" i="1"/>
  <c r="D1117" i="1"/>
  <c r="C1117" i="1"/>
  <c r="M1116" i="1"/>
  <c r="L1116" i="1"/>
  <c r="K1116" i="1"/>
  <c r="J1116" i="1"/>
  <c r="I1116" i="1"/>
  <c r="H1116" i="1"/>
  <c r="G1116" i="1"/>
  <c r="F1116" i="1"/>
  <c r="E1116" i="1"/>
  <c r="D1116" i="1"/>
  <c r="C1116" i="1"/>
  <c r="M1115" i="1"/>
  <c r="L1115" i="1"/>
  <c r="K1115" i="1"/>
  <c r="J1115" i="1"/>
  <c r="I1115" i="1"/>
  <c r="H1115" i="1"/>
  <c r="G1115" i="1"/>
  <c r="F1115" i="1"/>
  <c r="E1115" i="1"/>
  <c r="D1115" i="1"/>
  <c r="C1115" i="1"/>
  <c r="M1114" i="1"/>
  <c r="L1114" i="1"/>
  <c r="K1114" i="1"/>
  <c r="J1114" i="1"/>
  <c r="I1114" i="1"/>
  <c r="H1114" i="1"/>
  <c r="G1114" i="1"/>
  <c r="F1114" i="1"/>
  <c r="E1114" i="1"/>
  <c r="D1114" i="1"/>
  <c r="C1114" i="1"/>
  <c r="M1113" i="1"/>
  <c r="L1113" i="1"/>
  <c r="K1113" i="1"/>
  <c r="J1113" i="1"/>
  <c r="I1113" i="1"/>
  <c r="H1113" i="1"/>
  <c r="G1113" i="1"/>
  <c r="F1113" i="1"/>
  <c r="E1113" i="1"/>
  <c r="D1113" i="1"/>
  <c r="C1113" i="1"/>
  <c r="M1112" i="1"/>
  <c r="L1112" i="1"/>
  <c r="K1112" i="1"/>
  <c r="J1112" i="1"/>
  <c r="I1112" i="1"/>
  <c r="H1112" i="1"/>
  <c r="G1112" i="1"/>
  <c r="F1112" i="1"/>
  <c r="E1112" i="1"/>
  <c r="D1112" i="1"/>
  <c r="C1112" i="1"/>
  <c r="M1111" i="1"/>
  <c r="L1111" i="1"/>
  <c r="K1111" i="1"/>
  <c r="J1111" i="1"/>
  <c r="I1111" i="1"/>
  <c r="H1111" i="1"/>
  <c r="G1111" i="1"/>
  <c r="F1111" i="1"/>
  <c r="E1111" i="1"/>
  <c r="D1111" i="1"/>
  <c r="C1111" i="1"/>
  <c r="M1110" i="1"/>
  <c r="L1110" i="1"/>
  <c r="K1110" i="1"/>
  <c r="J1110" i="1"/>
  <c r="I1110" i="1"/>
  <c r="H1110" i="1"/>
  <c r="G1110" i="1"/>
  <c r="F1110" i="1"/>
  <c r="E1110" i="1"/>
  <c r="D1110" i="1"/>
  <c r="C1110" i="1"/>
  <c r="M1109" i="1"/>
  <c r="L1109" i="1"/>
  <c r="K1109" i="1"/>
  <c r="J1109" i="1"/>
  <c r="I1109" i="1"/>
  <c r="H1109" i="1"/>
  <c r="G1109" i="1"/>
  <c r="F1109" i="1"/>
  <c r="E1109" i="1"/>
  <c r="D1109" i="1"/>
  <c r="C1109" i="1"/>
  <c r="M1108" i="1"/>
  <c r="L1108" i="1"/>
  <c r="K1108" i="1"/>
  <c r="J1108" i="1"/>
  <c r="I1108" i="1"/>
  <c r="H1108" i="1"/>
  <c r="G1108" i="1"/>
  <c r="F1108" i="1"/>
  <c r="E1108" i="1"/>
  <c r="D1108" i="1"/>
  <c r="C1108" i="1"/>
  <c r="M1107" i="1"/>
  <c r="L1107" i="1"/>
  <c r="K1107" i="1"/>
  <c r="J1107" i="1"/>
  <c r="I1107" i="1"/>
  <c r="H1107" i="1"/>
  <c r="G1107" i="1"/>
  <c r="F1107" i="1"/>
  <c r="E1107" i="1"/>
  <c r="D1107" i="1"/>
  <c r="C1107" i="1"/>
  <c r="M1106" i="1"/>
  <c r="L1106" i="1"/>
  <c r="K1106" i="1"/>
  <c r="J1106" i="1"/>
  <c r="I1106" i="1"/>
  <c r="H1106" i="1"/>
  <c r="G1106" i="1"/>
  <c r="F1106" i="1"/>
  <c r="E1106" i="1"/>
  <c r="D1106" i="1"/>
  <c r="C1106" i="1"/>
  <c r="M1105" i="1"/>
  <c r="L1105" i="1"/>
  <c r="K1105" i="1"/>
  <c r="J1105" i="1"/>
  <c r="I1105" i="1"/>
  <c r="H1105" i="1"/>
  <c r="G1105" i="1"/>
  <c r="F1105" i="1"/>
  <c r="E1105" i="1"/>
  <c r="D1105" i="1"/>
  <c r="C1105" i="1"/>
  <c r="M1104" i="1"/>
  <c r="L1104" i="1"/>
  <c r="K1104" i="1"/>
  <c r="J1104" i="1"/>
  <c r="I1104" i="1"/>
  <c r="H1104" i="1"/>
  <c r="G1104" i="1"/>
  <c r="F1104" i="1"/>
  <c r="E1104" i="1"/>
  <c r="D1104" i="1"/>
  <c r="C1104" i="1"/>
  <c r="M1103" i="1"/>
  <c r="L1103" i="1"/>
  <c r="K1103" i="1"/>
  <c r="J1103" i="1"/>
  <c r="I1103" i="1"/>
  <c r="H1103" i="1"/>
  <c r="G1103" i="1"/>
  <c r="F1103" i="1"/>
  <c r="E1103" i="1"/>
  <c r="D1103" i="1"/>
  <c r="C1103" i="1"/>
  <c r="M1102" i="1"/>
  <c r="L1102" i="1"/>
  <c r="K1102" i="1"/>
  <c r="J1102" i="1"/>
  <c r="I1102" i="1"/>
  <c r="H1102" i="1"/>
  <c r="G1102" i="1"/>
  <c r="F1102" i="1"/>
  <c r="E1102" i="1"/>
  <c r="D1102" i="1"/>
  <c r="C1102" i="1"/>
  <c r="M1101" i="1"/>
  <c r="L1101" i="1"/>
  <c r="K1101" i="1"/>
  <c r="J1101" i="1"/>
  <c r="I1101" i="1"/>
  <c r="H1101" i="1"/>
  <c r="G1101" i="1"/>
  <c r="F1101" i="1"/>
  <c r="E1101" i="1"/>
  <c r="D1101" i="1"/>
  <c r="C1101" i="1"/>
  <c r="M1100" i="1"/>
  <c r="L1100" i="1"/>
  <c r="K1100" i="1"/>
  <c r="J1100" i="1"/>
  <c r="I1100" i="1"/>
  <c r="H1100" i="1"/>
  <c r="G1100" i="1"/>
  <c r="F1100" i="1"/>
  <c r="E1100" i="1"/>
  <c r="D1100" i="1"/>
  <c r="C1100" i="1"/>
  <c r="M1099" i="1"/>
  <c r="L1099" i="1"/>
  <c r="K1099" i="1"/>
  <c r="J1099" i="1"/>
  <c r="I1099" i="1"/>
  <c r="H1099" i="1"/>
  <c r="G1099" i="1"/>
  <c r="F1099" i="1"/>
  <c r="E1099" i="1"/>
  <c r="D1099" i="1"/>
  <c r="C1099" i="1"/>
  <c r="M1098" i="1"/>
  <c r="L1098" i="1"/>
  <c r="K1098" i="1"/>
  <c r="J1098" i="1"/>
  <c r="I1098" i="1"/>
  <c r="H1098" i="1"/>
  <c r="G1098" i="1"/>
  <c r="F1098" i="1"/>
  <c r="E1098" i="1"/>
  <c r="D1098" i="1"/>
  <c r="C1098" i="1"/>
  <c r="M1097" i="1"/>
  <c r="L1097" i="1"/>
  <c r="K1097" i="1"/>
  <c r="J1097" i="1"/>
  <c r="I1097" i="1"/>
  <c r="H1097" i="1"/>
  <c r="G1097" i="1"/>
  <c r="F1097" i="1"/>
  <c r="E1097" i="1"/>
  <c r="D1097" i="1"/>
  <c r="C1097" i="1"/>
  <c r="M1096" i="1"/>
  <c r="L1096" i="1"/>
  <c r="K1096" i="1"/>
  <c r="J1096" i="1"/>
  <c r="I1096" i="1"/>
  <c r="H1096" i="1"/>
  <c r="G1096" i="1"/>
  <c r="F1096" i="1"/>
  <c r="E1096" i="1"/>
  <c r="D1096" i="1"/>
  <c r="C1096" i="1"/>
  <c r="M1095" i="1"/>
  <c r="L1095" i="1"/>
  <c r="K1095" i="1"/>
  <c r="J1095" i="1"/>
  <c r="I1095" i="1"/>
  <c r="H1095" i="1"/>
  <c r="G1095" i="1"/>
  <c r="F1095" i="1"/>
  <c r="E1095" i="1"/>
  <c r="D1095" i="1"/>
  <c r="C1095" i="1"/>
  <c r="M1094" i="1"/>
  <c r="L1094" i="1"/>
  <c r="K1094" i="1"/>
  <c r="J1094" i="1"/>
  <c r="I1094" i="1"/>
  <c r="H1094" i="1"/>
  <c r="G1094" i="1"/>
  <c r="F1094" i="1"/>
  <c r="E1094" i="1"/>
  <c r="D1094" i="1"/>
  <c r="C1094" i="1"/>
  <c r="M1093" i="1"/>
  <c r="L1093" i="1"/>
  <c r="K1093" i="1"/>
  <c r="J1093" i="1"/>
  <c r="I1093" i="1"/>
  <c r="H1093" i="1"/>
  <c r="G1093" i="1"/>
  <c r="F1093" i="1"/>
  <c r="E1093" i="1"/>
  <c r="D1093" i="1"/>
  <c r="C1093" i="1"/>
  <c r="M1092" i="1"/>
  <c r="L1092" i="1"/>
  <c r="K1092" i="1"/>
  <c r="J1092" i="1"/>
  <c r="I1092" i="1"/>
  <c r="H1092" i="1"/>
  <c r="G1092" i="1"/>
  <c r="F1092" i="1"/>
  <c r="E1092" i="1"/>
  <c r="D1092" i="1"/>
  <c r="C1092" i="1"/>
  <c r="M1091" i="1"/>
  <c r="L1091" i="1"/>
  <c r="K1091" i="1"/>
  <c r="J1091" i="1"/>
  <c r="I1091" i="1"/>
  <c r="H1091" i="1"/>
  <c r="G1091" i="1"/>
  <c r="F1091" i="1"/>
  <c r="E1091" i="1"/>
  <c r="D1091" i="1"/>
  <c r="C1091" i="1"/>
  <c r="M1090" i="1"/>
  <c r="L1090" i="1"/>
  <c r="K1090" i="1"/>
  <c r="J1090" i="1"/>
  <c r="I1090" i="1"/>
  <c r="H1090" i="1"/>
  <c r="G1090" i="1"/>
  <c r="F1090" i="1"/>
  <c r="E1090" i="1"/>
  <c r="D1090" i="1"/>
  <c r="C1090" i="1"/>
  <c r="M1089" i="1"/>
  <c r="L1089" i="1"/>
  <c r="K1089" i="1"/>
  <c r="J1089" i="1"/>
  <c r="I1089" i="1"/>
  <c r="H1089" i="1"/>
  <c r="G1089" i="1"/>
  <c r="F1089" i="1"/>
  <c r="E1089" i="1"/>
  <c r="D1089" i="1"/>
  <c r="C1089" i="1"/>
  <c r="M1088" i="1"/>
  <c r="L1088" i="1"/>
  <c r="K1088" i="1"/>
  <c r="J1088" i="1"/>
  <c r="I1088" i="1"/>
  <c r="H1088" i="1"/>
  <c r="G1088" i="1"/>
  <c r="F1088" i="1"/>
  <c r="E1088" i="1"/>
  <c r="D1088" i="1"/>
  <c r="C1088" i="1"/>
  <c r="M1087" i="1"/>
  <c r="L1087" i="1"/>
  <c r="K1087" i="1"/>
  <c r="J1087" i="1"/>
  <c r="I1087" i="1"/>
  <c r="H1087" i="1"/>
  <c r="G1087" i="1"/>
  <c r="F1087" i="1"/>
  <c r="E1087" i="1"/>
  <c r="D1087" i="1"/>
  <c r="C1087" i="1"/>
  <c r="M1086" i="1"/>
  <c r="L1086" i="1"/>
  <c r="K1086" i="1"/>
  <c r="J1086" i="1"/>
  <c r="I1086" i="1"/>
  <c r="H1086" i="1"/>
  <c r="G1086" i="1"/>
  <c r="F1086" i="1"/>
  <c r="E1086" i="1"/>
  <c r="D1086" i="1"/>
  <c r="C1086" i="1"/>
  <c r="M1085" i="1"/>
  <c r="L1085" i="1"/>
  <c r="K1085" i="1"/>
  <c r="J1085" i="1"/>
  <c r="I1085" i="1"/>
  <c r="H1085" i="1"/>
  <c r="G1085" i="1"/>
  <c r="F1085" i="1"/>
  <c r="E1085" i="1"/>
  <c r="D1085" i="1"/>
  <c r="C1085" i="1"/>
  <c r="M1084" i="1"/>
  <c r="L1084" i="1"/>
  <c r="K1084" i="1"/>
  <c r="J1084" i="1"/>
  <c r="I1084" i="1"/>
  <c r="H1084" i="1"/>
  <c r="G1084" i="1"/>
  <c r="F1084" i="1"/>
  <c r="E1084" i="1"/>
  <c r="D1084" i="1"/>
  <c r="C1084" i="1"/>
  <c r="M1083" i="1"/>
  <c r="L1083" i="1"/>
  <c r="K1083" i="1"/>
  <c r="J1083" i="1"/>
  <c r="I1083" i="1"/>
  <c r="H1083" i="1"/>
  <c r="G1083" i="1"/>
  <c r="F1083" i="1"/>
  <c r="E1083" i="1"/>
  <c r="D1083" i="1"/>
  <c r="C1083" i="1"/>
  <c r="M1082" i="1"/>
  <c r="L1082" i="1"/>
  <c r="K1082" i="1"/>
  <c r="J1082" i="1"/>
  <c r="I1082" i="1"/>
  <c r="H1082" i="1"/>
  <c r="G1082" i="1"/>
  <c r="F1082" i="1"/>
  <c r="E1082" i="1"/>
  <c r="D1082" i="1"/>
  <c r="C1082" i="1"/>
  <c r="M1081" i="1"/>
  <c r="L1081" i="1"/>
  <c r="K1081" i="1"/>
  <c r="J1081" i="1"/>
  <c r="I1081" i="1"/>
  <c r="H1081" i="1"/>
  <c r="G1081" i="1"/>
  <c r="F1081" i="1"/>
  <c r="E1081" i="1"/>
  <c r="D1081" i="1"/>
  <c r="C1081" i="1"/>
  <c r="M1080" i="1"/>
  <c r="L1080" i="1"/>
  <c r="K1080" i="1"/>
  <c r="J1080" i="1"/>
  <c r="I1080" i="1"/>
  <c r="H1080" i="1"/>
  <c r="G1080" i="1"/>
  <c r="F1080" i="1"/>
  <c r="E1080" i="1"/>
  <c r="D1080" i="1"/>
  <c r="C1080" i="1"/>
  <c r="M1079" i="1"/>
  <c r="L1079" i="1"/>
  <c r="K1079" i="1"/>
  <c r="J1079" i="1"/>
  <c r="I1079" i="1"/>
  <c r="H1079" i="1"/>
  <c r="G1079" i="1"/>
  <c r="F1079" i="1"/>
  <c r="E1079" i="1"/>
  <c r="D1079" i="1"/>
  <c r="C1079" i="1"/>
  <c r="M1078" i="1"/>
  <c r="L1078" i="1"/>
  <c r="K1078" i="1"/>
  <c r="J1078" i="1"/>
  <c r="I1078" i="1"/>
  <c r="H1078" i="1"/>
  <c r="G1078" i="1"/>
  <c r="F1078" i="1"/>
  <c r="E1078" i="1"/>
  <c r="D1078" i="1"/>
  <c r="C1078" i="1"/>
  <c r="M1077" i="1"/>
  <c r="L1077" i="1"/>
  <c r="K1077" i="1"/>
  <c r="J1077" i="1"/>
  <c r="I1077" i="1"/>
  <c r="H1077" i="1"/>
  <c r="G1077" i="1"/>
  <c r="F1077" i="1"/>
  <c r="E1077" i="1"/>
  <c r="D1077" i="1"/>
  <c r="C1077" i="1"/>
  <c r="M1076" i="1"/>
  <c r="L1076" i="1"/>
  <c r="K1076" i="1"/>
  <c r="J1076" i="1"/>
  <c r="I1076" i="1"/>
  <c r="H1076" i="1"/>
  <c r="G1076" i="1"/>
  <c r="F1076" i="1"/>
  <c r="E1076" i="1"/>
  <c r="D1076" i="1"/>
  <c r="C1076" i="1"/>
  <c r="M1075" i="1"/>
  <c r="L1075" i="1"/>
  <c r="K1075" i="1"/>
  <c r="J1075" i="1"/>
  <c r="I1075" i="1"/>
  <c r="H1075" i="1"/>
  <c r="G1075" i="1"/>
  <c r="F1075" i="1"/>
  <c r="E1075" i="1"/>
  <c r="D1075" i="1"/>
  <c r="C1075" i="1"/>
  <c r="M1074" i="1"/>
  <c r="L1074" i="1"/>
  <c r="K1074" i="1"/>
  <c r="J1074" i="1"/>
  <c r="I1074" i="1"/>
  <c r="H1074" i="1"/>
  <c r="G1074" i="1"/>
  <c r="F1074" i="1"/>
  <c r="E1074" i="1"/>
  <c r="D1074" i="1"/>
  <c r="C1074" i="1"/>
  <c r="M1073" i="1"/>
  <c r="L1073" i="1"/>
  <c r="K1073" i="1"/>
  <c r="J1073" i="1"/>
  <c r="I1073" i="1"/>
  <c r="H1073" i="1"/>
  <c r="G1073" i="1"/>
  <c r="F1073" i="1"/>
  <c r="E1073" i="1"/>
  <c r="D1073" i="1"/>
  <c r="C1073" i="1"/>
  <c r="M1072" i="1"/>
  <c r="L1072" i="1"/>
  <c r="K1072" i="1"/>
  <c r="J1072" i="1"/>
  <c r="I1072" i="1"/>
  <c r="H1072" i="1"/>
  <c r="G1072" i="1"/>
  <c r="F1072" i="1"/>
  <c r="E1072" i="1"/>
  <c r="D1072" i="1"/>
  <c r="C1072" i="1"/>
  <c r="M1071" i="1"/>
  <c r="L1071" i="1"/>
  <c r="K1071" i="1"/>
  <c r="J1071" i="1"/>
  <c r="I1071" i="1"/>
  <c r="H1071" i="1"/>
  <c r="G1071" i="1"/>
  <c r="F1071" i="1"/>
  <c r="E1071" i="1"/>
  <c r="D1071" i="1"/>
  <c r="C1071" i="1"/>
  <c r="M1070" i="1"/>
  <c r="L1070" i="1"/>
  <c r="K1070" i="1"/>
  <c r="J1070" i="1"/>
  <c r="I1070" i="1"/>
  <c r="H1070" i="1"/>
  <c r="G1070" i="1"/>
  <c r="F1070" i="1"/>
  <c r="E1070" i="1"/>
  <c r="D1070" i="1"/>
  <c r="C1070" i="1"/>
  <c r="M1069" i="1"/>
  <c r="L1069" i="1"/>
  <c r="K1069" i="1"/>
  <c r="J1069" i="1"/>
  <c r="I1069" i="1"/>
  <c r="H1069" i="1"/>
  <c r="G1069" i="1"/>
  <c r="F1069" i="1"/>
  <c r="E1069" i="1"/>
  <c r="D1069" i="1"/>
  <c r="C1069" i="1"/>
  <c r="M1068" i="1"/>
  <c r="L1068" i="1"/>
  <c r="K1068" i="1"/>
  <c r="J1068" i="1"/>
  <c r="I1068" i="1"/>
  <c r="H1068" i="1"/>
  <c r="G1068" i="1"/>
  <c r="F1068" i="1"/>
  <c r="E1068" i="1"/>
  <c r="D1068" i="1"/>
  <c r="C1068" i="1"/>
  <c r="M1067" i="1"/>
  <c r="L1067" i="1"/>
  <c r="K1067" i="1"/>
  <c r="J1067" i="1"/>
  <c r="I1067" i="1"/>
  <c r="H1067" i="1"/>
  <c r="G1067" i="1"/>
  <c r="F1067" i="1"/>
  <c r="E1067" i="1"/>
  <c r="D1067" i="1"/>
  <c r="C1067" i="1"/>
  <c r="M1066" i="1"/>
  <c r="L1066" i="1"/>
  <c r="K1066" i="1"/>
  <c r="J1066" i="1"/>
  <c r="I1066" i="1"/>
  <c r="H1066" i="1"/>
  <c r="G1066" i="1"/>
  <c r="F1066" i="1"/>
  <c r="E1066" i="1"/>
  <c r="D1066" i="1"/>
  <c r="C1066" i="1"/>
  <c r="M1065" i="1"/>
  <c r="L1065" i="1"/>
  <c r="K1065" i="1"/>
  <c r="J1065" i="1"/>
  <c r="I1065" i="1"/>
  <c r="H1065" i="1"/>
  <c r="G1065" i="1"/>
  <c r="F1065" i="1"/>
  <c r="E1065" i="1"/>
  <c r="D1065" i="1"/>
  <c r="C1065" i="1"/>
  <c r="M1064" i="1"/>
  <c r="L1064" i="1"/>
  <c r="K1064" i="1"/>
  <c r="J1064" i="1"/>
  <c r="I1064" i="1"/>
  <c r="H1064" i="1"/>
  <c r="G1064" i="1"/>
  <c r="F1064" i="1"/>
  <c r="E1064" i="1"/>
  <c r="D1064" i="1"/>
  <c r="C1064" i="1"/>
  <c r="M1063" i="1"/>
  <c r="L1063" i="1"/>
  <c r="K1063" i="1"/>
  <c r="J1063" i="1"/>
  <c r="I1063" i="1"/>
  <c r="H1063" i="1"/>
  <c r="G1063" i="1"/>
  <c r="F1063" i="1"/>
  <c r="E1063" i="1"/>
  <c r="D1063" i="1"/>
  <c r="C1063" i="1"/>
  <c r="M1062" i="1"/>
  <c r="L1062" i="1"/>
  <c r="K1062" i="1"/>
  <c r="J1062" i="1"/>
  <c r="I1062" i="1"/>
  <c r="H1062" i="1"/>
  <c r="G1062" i="1"/>
  <c r="F1062" i="1"/>
  <c r="E1062" i="1"/>
  <c r="D1062" i="1"/>
  <c r="C1062" i="1"/>
  <c r="M1061" i="1"/>
  <c r="L1061" i="1"/>
  <c r="K1061" i="1"/>
  <c r="J1061" i="1"/>
  <c r="I1061" i="1"/>
  <c r="H1061" i="1"/>
  <c r="G1061" i="1"/>
  <c r="F1061" i="1"/>
  <c r="E1061" i="1"/>
  <c r="D1061" i="1"/>
  <c r="C1061" i="1"/>
  <c r="M1060" i="1"/>
  <c r="L1060" i="1"/>
  <c r="K1060" i="1"/>
  <c r="J1060" i="1"/>
  <c r="I1060" i="1"/>
  <c r="H1060" i="1"/>
  <c r="G1060" i="1"/>
  <c r="F1060" i="1"/>
  <c r="E1060" i="1"/>
  <c r="D1060" i="1"/>
  <c r="C1060" i="1"/>
  <c r="M1059" i="1"/>
  <c r="L1059" i="1"/>
  <c r="K1059" i="1"/>
  <c r="J1059" i="1"/>
  <c r="I1059" i="1"/>
  <c r="H1059" i="1"/>
  <c r="G1059" i="1"/>
  <c r="F1059" i="1"/>
  <c r="E1059" i="1"/>
  <c r="D1059" i="1"/>
  <c r="C1059" i="1"/>
  <c r="M1058" i="1"/>
  <c r="L1058" i="1"/>
  <c r="K1058" i="1"/>
  <c r="J1058" i="1"/>
  <c r="I1058" i="1"/>
  <c r="H1058" i="1"/>
  <c r="G1058" i="1"/>
  <c r="F1058" i="1"/>
  <c r="E1058" i="1"/>
  <c r="D1058" i="1"/>
  <c r="C1058" i="1"/>
  <c r="M1057" i="1"/>
  <c r="L1057" i="1"/>
  <c r="K1057" i="1"/>
  <c r="J1057" i="1"/>
  <c r="I1057" i="1"/>
  <c r="H1057" i="1"/>
  <c r="G1057" i="1"/>
  <c r="F1057" i="1"/>
  <c r="E1057" i="1"/>
  <c r="D1057" i="1"/>
  <c r="C1057" i="1"/>
  <c r="M1056" i="1"/>
  <c r="L1056" i="1"/>
  <c r="K1056" i="1"/>
  <c r="J1056" i="1"/>
  <c r="I1056" i="1"/>
  <c r="H1056" i="1"/>
  <c r="G1056" i="1"/>
  <c r="F1056" i="1"/>
  <c r="E1056" i="1"/>
  <c r="D1056" i="1"/>
  <c r="C1056" i="1"/>
  <c r="M1055" i="1"/>
  <c r="L1055" i="1"/>
  <c r="K1055" i="1"/>
  <c r="J1055" i="1"/>
  <c r="I1055" i="1"/>
  <c r="H1055" i="1"/>
  <c r="G1055" i="1"/>
  <c r="F1055" i="1"/>
  <c r="E1055" i="1"/>
  <c r="D1055" i="1"/>
  <c r="C1055" i="1"/>
  <c r="M1054" i="1"/>
  <c r="L1054" i="1"/>
  <c r="K1054" i="1"/>
  <c r="J1054" i="1"/>
  <c r="I1054" i="1"/>
  <c r="H1054" i="1"/>
  <c r="G1054" i="1"/>
  <c r="F1054" i="1"/>
  <c r="E1054" i="1"/>
  <c r="D1054" i="1"/>
  <c r="C1054" i="1"/>
  <c r="M1053" i="1"/>
  <c r="L1053" i="1"/>
  <c r="K1053" i="1"/>
  <c r="J1053" i="1"/>
  <c r="I1053" i="1"/>
  <c r="H1053" i="1"/>
  <c r="G1053" i="1"/>
  <c r="F1053" i="1"/>
  <c r="E1053" i="1"/>
  <c r="D1053" i="1"/>
  <c r="C1053" i="1"/>
  <c r="M1052" i="1"/>
  <c r="L1052" i="1"/>
  <c r="K1052" i="1"/>
  <c r="J1052" i="1"/>
  <c r="I1052" i="1"/>
  <c r="H1052" i="1"/>
  <c r="G1052" i="1"/>
  <c r="F1052" i="1"/>
  <c r="E1052" i="1"/>
  <c r="D1052" i="1"/>
  <c r="C1052" i="1"/>
  <c r="M1051" i="1"/>
  <c r="L1051" i="1"/>
  <c r="K1051" i="1"/>
  <c r="J1051" i="1"/>
  <c r="I1051" i="1"/>
  <c r="H1051" i="1"/>
  <c r="G1051" i="1"/>
  <c r="F1051" i="1"/>
  <c r="E1051" i="1"/>
  <c r="D1051" i="1"/>
  <c r="C1051" i="1"/>
  <c r="M1050" i="1"/>
  <c r="L1050" i="1"/>
  <c r="K1050" i="1"/>
  <c r="J1050" i="1"/>
  <c r="I1050" i="1"/>
  <c r="H1050" i="1"/>
  <c r="G1050" i="1"/>
  <c r="F1050" i="1"/>
  <c r="E1050" i="1"/>
  <c r="D1050" i="1"/>
  <c r="C1050" i="1"/>
  <c r="M1049" i="1"/>
  <c r="L1049" i="1"/>
  <c r="K1049" i="1"/>
  <c r="J1049" i="1"/>
  <c r="I1049" i="1"/>
  <c r="H1049" i="1"/>
  <c r="G1049" i="1"/>
  <c r="F1049" i="1"/>
  <c r="E1049" i="1"/>
  <c r="D1049" i="1"/>
  <c r="C1049" i="1"/>
  <c r="M1048" i="1"/>
  <c r="L1048" i="1"/>
  <c r="K1048" i="1"/>
  <c r="J1048" i="1"/>
  <c r="I1048" i="1"/>
  <c r="H1048" i="1"/>
  <c r="G1048" i="1"/>
  <c r="F1048" i="1"/>
  <c r="E1048" i="1"/>
  <c r="D1048" i="1"/>
  <c r="C1048" i="1"/>
  <c r="M1047" i="1"/>
  <c r="L1047" i="1"/>
  <c r="K1047" i="1"/>
  <c r="J1047" i="1"/>
  <c r="I1047" i="1"/>
  <c r="H1047" i="1"/>
  <c r="G1047" i="1"/>
  <c r="F1047" i="1"/>
  <c r="E1047" i="1"/>
  <c r="D1047" i="1"/>
  <c r="C1047" i="1"/>
  <c r="M1046" i="1"/>
  <c r="L1046" i="1"/>
  <c r="K1046" i="1"/>
  <c r="J1046" i="1"/>
  <c r="I1046" i="1"/>
  <c r="H1046" i="1"/>
  <c r="G1046" i="1"/>
  <c r="F1046" i="1"/>
  <c r="E1046" i="1"/>
  <c r="D1046" i="1"/>
  <c r="C1046" i="1"/>
  <c r="M1045" i="1"/>
  <c r="L1045" i="1"/>
  <c r="K1045" i="1"/>
  <c r="J1045" i="1"/>
  <c r="I1045" i="1"/>
  <c r="H1045" i="1"/>
  <c r="G1045" i="1"/>
  <c r="F1045" i="1"/>
  <c r="E1045" i="1"/>
  <c r="D1045" i="1"/>
  <c r="C1045" i="1"/>
  <c r="M1044" i="1"/>
  <c r="L1044" i="1"/>
  <c r="K1044" i="1"/>
  <c r="J1044" i="1"/>
  <c r="I1044" i="1"/>
  <c r="H1044" i="1"/>
  <c r="G1044" i="1"/>
  <c r="F1044" i="1"/>
  <c r="E1044" i="1"/>
  <c r="D1044" i="1"/>
  <c r="C1044" i="1"/>
  <c r="M1043" i="1"/>
  <c r="L1043" i="1"/>
  <c r="K1043" i="1"/>
  <c r="J1043" i="1"/>
  <c r="I1043" i="1"/>
  <c r="H1043" i="1"/>
  <c r="G1043" i="1"/>
  <c r="F1043" i="1"/>
  <c r="E1043" i="1"/>
  <c r="D1043" i="1"/>
  <c r="C1043" i="1"/>
  <c r="M1042" i="1"/>
  <c r="L1042" i="1"/>
  <c r="K1042" i="1"/>
  <c r="J1042" i="1"/>
  <c r="I1042" i="1"/>
  <c r="H1042" i="1"/>
  <c r="G1042" i="1"/>
  <c r="F1042" i="1"/>
  <c r="E1042" i="1"/>
  <c r="D1042" i="1"/>
  <c r="C1042" i="1"/>
  <c r="M1041" i="1"/>
  <c r="L1041" i="1"/>
  <c r="K1041" i="1"/>
  <c r="J1041" i="1"/>
  <c r="I1041" i="1"/>
  <c r="H1041" i="1"/>
  <c r="G1041" i="1"/>
  <c r="F1041" i="1"/>
  <c r="E1041" i="1"/>
  <c r="D1041" i="1"/>
  <c r="C1041" i="1"/>
  <c r="M1040" i="1"/>
  <c r="L1040" i="1"/>
  <c r="K1040" i="1"/>
  <c r="J1040" i="1"/>
  <c r="I1040" i="1"/>
  <c r="H1040" i="1"/>
  <c r="G1040" i="1"/>
  <c r="F1040" i="1"/>
  <c r="E1040" i="1"/>
  <c r="D1040" i="1"/>
  <c r="C1040" i="1"/>
  <c r="M1039" i="1"/>
  <c r="L1039" i="1"/>
  <c r="K1039" i="1"/>
  <c r="J1039" i="1"/>
  <c r="I1039" i="1"/>
  <c r="H1039" i="1"/>
  <c r="G1039" i="1"/>
  <c r="F1039" i="1"/>
  <c r="E1039" i="1"/>
  <c r="D1039" i="1"/>
  <c r="C1039" i="1"/>
  <c r="M1038" i="1"/>
  <c r="L1038" i="1"/>
  <c r="K1038" i="1"/>
  <c r="J1038" i="1"/>
  <c r="I1038" i="1"/>
  <c r="H1038" i="1"/>
  <c r="G1038" i="1"/>
  <c r="F1038" i="1"/>
  <c r="E1038" i="1"/>
  <c r="D1038" i="1"/>
  <c r="C1038" i="1"/>
  <c r="M1037" i="1"/>
  <c r="L1037" i="1"/>
  <c r="K1037" i="1"/>
  <c r="J1037" i="1"/>
  <c r="I1037" i="1"/>
  <c r="H1037" i="1"/>
  <c r="G1037" i="1"/>
  <c r="F1037" i="1"/>
  <c r="E1037" i="1"/>
  <c r="D1037" i="1"/>
  <c r="C1037" i="1"/>
  <c r="M1036" i="1"/>
  <c r="L1036" i="1"/>
  <c r="K1036" i="1"/>
  <c r="J1036" i="1"/>
  <c r="I1036" i="1"/>
  <c r="H1036" i="1"/>
  <c r="G1036" i="1"/>
  <c r="F1036" i="1"/>
  <c r="E1036" i="1"/>
  <c r="D1036" i="1"/>
  <c r="C1036" i="1"/>
  <c r="M1035" i="1"/>
  <c r="L1035" i="1"/>
  <c r="K1035" i="1"/>
  <c r="J1035" i="1"/>
  <c r="I1035" i="1"/>
  <c r="H1035" i="1"/>
  <c r="G1035" i="1"/>
  <c r="F1035" i="1"/>
  <c r="E1035" i="1"/>
  <c r="D1035" i="1"/>
  <c r="C1035" i="1"/>
  <c r="M1034" i="1"/>
  <c r="L1034" i="1"/>
  <c r="K1034" i="1"/>
  <c r="J1034" i="1"/>
  <c r="I1034" i="1"/>
  <c r="H1034" i="1"/>
  <c r="G1034" i="1"/>
  <c r="F1034" i="1"/>
  <c r="E1034" i="1"/>
  <c r="D1034" i="1"/>
  <c r="C1034" i="1"/>
  <c r="M1033" i="1"/>
  <c r="L1033" i="1"/>
  <c r="K1033" i="1"/>
  <c r="J1033" i="1"/>
  <c r="I1033" i="1"/>
  <c r="H1033" i="1"/>
  <c r="G1033" i="1"/>
  <c r="F1033" i="1"/>
  <c r="E1033" i="1"/>
  <c r="D1033" i="1"/>
  <c r="C1033" i="1"/>
  <c r="M1032" i="1"/>
  <c r="L1032" i="1"/>
  <c r="K1032" i="1"/>
  <c r="J1032" i="1"/>
  <c r="I1032" i="1"/>
  <c r="H1032" i="1"/>
  <c r="G1032" i="1"/>
  <c r="F1032" i="1"/>
  <c r="E1032" i="1"/>
  <c r="D1032" i="1"/>
  <c r="C1032" i="1"/>
  <c r="M1031" i="1"/>
  <c r="L1031" i="1"/>
  <c r="K1031" i="1"/>
  <c r="J1031" i="1"/>
  <c r="I1031" i="1"/>
  <c r="H1031" i="1"/>
  <c r="G1031" i="1"/>
  <c r="F1031" i="1"/>
  <c r="E1031" i="1"/>
  <c r="D1031" i="1"/>
  <c r="C1031" i="1"/>
  <c r="M1030" i="1"/>
  <c r="L1030" i="1"/>
  <c r="K1030" i="1"/>
  <c r="J1030" i="1"/>
  <c r="I1030" i="1"/>
  <c r="H1030" i="1"/>
  <c r="G1030" i="1"/>
  <c r="F1030" i="1"/>
  <c r="E1030" i="1"/>
  <c r="D1030" i="1"/>
  <c r="C1030" i="1"/>
  <c r="M1029" i="1"/>
  <c r="L1029" i="1"/>
  <c r="K1029" i="1"/>
  <c r="J1029" i="1"/>
  <c r="I1029" i="1"/>
  <c r="H1029" i="1"/>
  <c r="G1029" i="1"/>
  <c r="F1029" i="1"/>
  <c r="E1029" i="1"/>
  <c r="D1029" i="1"/>
  <c r="C1029" i="1"/>
  <c r="M1028" i="1"/>
  <c r="L1028" i="1"/>
  <c r="K1028" i="1"/>
  <c r="J1028" i="1"/>
  <c r="I1028" i="1"/>
  <c r="H1028" i="1"/>
  <c r="G1028" i="1"/>
  <c r="F1028" i="1"/>
  <c r="E1028" i="1"/>
  <c r="D1028" i="1"/>
  <c r="C1028" i="1"/>
  <c r="M1027" i="1"/>
  <c r="L1027" i="1"/>
  <c r="K1027" i="1"/>
  <c r="J1027" i="1"/>
  <c r="I1027" i="1"/>
  <c r="H1027" i="1"/>
  <c r="G1027" i="1"/>
  <c r="F1027" i="1"/>
  <c r="E1027" i="1"/>
  <c r="D1027" i="1"/>
  <c r="C1027" i="1"/>
  <c r="M1026" i="1"/>
  <c r="L1026" i="1"/>
  <c r="K1026" i="1"/>
  <c r="J1026" i="1"/>
  <c r="I1026" i="1"/>
  <c r="H1026" i="1"/>
  <c r="G1026" i="1"/>
  <c r="F1026" i="1"/>
  <c r="E1026" i="1"/>
  <c r="D1026" i="1"/>
  <c r="C1026" i="1"/>
  <c r="M1025" i="1"/>
  <c r="L1025" i="1"/>
  <c r="K1025" i="1"/>
  <c r="J1025" i="1"/>
  <c r="I1025" i="1"/>
  <c r="H1025" i="1"/>
  <c r="G1025" i="1"/>
  <c r="F1025" i="1"/>
  <c r="E1025" i="1"/>
  <c r="D1025" i="1"/>
  <c r="C1025" i="1"/>
  <c r="M1024" i="1"/>
  <c r="L1024" i="1"/>
  <c r="K1024" i="1"/>
  <c r="J1024" i="1"/>
  <c r="I1024" i="1"/>
  <c r="H1024" i="1"/>
  <c r="G1024" i="1"/>
  <c r="F1024" i="1"/>
  <c r="E1024" i="1"/>
  <c r="D1024" i="1"/>
  <c r="C1024" i="1"/>
  <c r="M1023" i="1"/>
  <c r="L1023" i="1"/>
  <c r="K1023" i="1"/>
  <c r="J1023" i="1"/>
  <c r="I1023" i="1"/>
  <c r="H1023" i="1"/>
  <c r="G1023" i="1"/>
  <c r="F1023" i="1"/>
  <c r="E1023" i="1"/>
  <c r="D1023" i="1"/>
  <c r="C1023" i="1"/>
  <c r="M1022" i="1"/>
  <c r="L1022" i="1"/>
  <c r="K1022" i="1"/>
  <c r="J1022" i="1"/>
  <c r="I1022" i="1"/>
  <c r="H1022" i="1"/>
  <c r="G1022" i="1"/>
  <c r="F1022" i="1"/>
  <c r="E1022" i="1"/>
  <c r="D1022" i="1"/>
  <c r="C1022" i="1"/>
  <c r="M1021" i="1"/>
  <c r="L1021" i="1"/>
  <c r="K1021" i="1"/>
  <c r="J1021" i="1"/>
  <c r="I1021" i="1"/>
  <c r="H1021" i="1"/>
  <c r="G1021" i="1"/>
  <c r="F1021" i="1"/>
  <c r="E1021" i="1"/>
  <c r="D1021" i="1"/>
  <c r="C1021" i="1"/>
  <c r="M1020" i="1"/>
  <c r="L1020" i="1"/>
  <c r="K1020" i="1"/>
  <c r="J1020" i="1"/>
  <c r="I1020" i="1"/>
  <c r="H1020" i="1"/>
  <c r="G1020" i="1"/>
  <c r="F1020" i="1"/>
  <c r="E1020" i="1"/>
  <c r="D1020" i="1"/>
  <c r="C1020" i="1"/>
  <c r="M1019" i="1"/>
  <c r="L1019" i="1"/>
  <c r="K1019" i="1"/>
  <c r="J1019" i="1"/>
  <c r="I1019" i="1"/>
  <c r="H1019" i="1"/>
  <c r="G1019" i="1"/>
  <c r="F1019" i="1"/>
  <c r="E1019" i="1"/>
  <c r="D1019" i="1"/>
  <c r="C1019" i="1"/>
  <c r="M1018" i="1"/>
  <c r="L1018" i="1"/>
  <c r="K1018" i="1"/>
  <c r="J1018" i="1"/>
  <c r="I1018" i="1"/>
  <c r="H1018" i="1"/>
  <c r="G1018" i="1"/>
  <c r="F1018" i="1"/>
  <c r="E1018" i="1"/>
  <c r="D1018" i="1"/>
  <c r="C1018" i="1"/>
  <c r="M1017" i="1"/>
  <c r="L1017" i="1"/>
  <c r="K1017" i="1"/>
  <c r="J1017" i="1"/>
  <c r="I1017" i="1"/>
  <c r="H1017" i="1"/>
  <c r="G1017" i="1"/>
  <c r="F1017" i="1"/>
  <c r="E1017" i="1"/>
  <c r="D1017" i="1"/>
  <c r="C1017" i="1"/>
  <c r="M1016" i="1"/>
  <c r="L1016" i="1"/>
  <c r="K1016" i="1"/>
  <c r="J1016" i="1"/>
  <c r="I1016" i="1"/>
  <c r="H1016" i="1"/>
  <c r="G1016" i="1"/>
  <c r="F1016" i="1"/>
  <c r="E1016" i="1"/>
  <c r="D1016" i="1"/>
  <c r="C1016" i="1"/>
  <c r="M1015" i="1"/>
  <c r="L1015" i="1"/>
  <c r="K1015" i="1"/>
  <c r="J1015" i="1"/>
  <c r="I1015" i="1"/>
  <c r="H1015" i="1"/>
  <c r="G1015" i="1"/>
  <c r="F1015" i="1"/>
  <c r="E1015" i="1"/>
  <c r="D1015" i="1"/>
  <c r="C1015" i="1"/>
  <c r="M1014" i="1"/>
  <c r="L1014" i="1"/>
  <c r="K1014" i="1"/>
  <c r="J1014" i="1"/>
  <c r="I1014" i="1"/>
  <c r="H1014" i="1"/>
  <c r="G1014" i="1"/>
  <c r="F1014" i="1"/>
  <c r="E1014" i="1"/>
  <c r="D1014" i="1"/>
  <c r="C1014" i="1"/>
  <c r="M1013" i="1"/>
  <c r="L1013" i="1"/>
  <c r="K1013" i="1"/>
  <c r="J1013" i="1"/>
  <c r="I1013" i="1"/>
  <c r="H1013" i="1"/>
  <c r="G1013" i="1"/>
  <c r="F1013" i="1"/>
  <c r="E1013" i="1"/>
  <c r="D1013" i="1"/>
  <c r="C1013" i="1"/>
  <c r="M1012" i="1"/>
  <c r="L1012" i="1"/>
  <c r="K1012" i="1"/>
  <c r="J1012" i="1"/>
  <c r="I1012" i="1"/>
  <c r="H1012" i="1"/>
  <c r="G1012" i="1"/>
  <c r="F1012" i="1"/>
  <c r="E1012" i="1"/>
  <c r="D1012" i="1"/>
  <c r="C1012" i="1"/>
  <c r="M1011" i="1"/>
  <c r="L1011" i="1"/>
  <c r="K1011" i="1"/>
  <c r="J1011" i="1"/>
  <c r="I1011" i="1"/>
  <c r="H1011" i="1"/>
  <c r="G1011" i="1"/>
  <c r="F1011" i="1"/>
  <c r="E1011" i="1"/>
  <c r="D1011" i="1"/>
  <c r="C1011" i="1"/>
  <c r="M1010" i="1"/>
  <c r="L1010" i="1"/>
  <c r="K1010" i="1"/>
  <c r="J1010" i="1"/>
  <c r="I1010" i="1"/>
  <c r="H1010" i="1"/>
  <c r="G1010" i="1"/>
  <c r="F1010" i="1"/>
  <c r="E1010" i="1"/>
  <c r="D1010" i="1"/>
  <c r="C1010" i="1"/>
  <c r="M1009" i="1"/>
  <c r="L1009" i="1"/>
  <c r="K1009" i="1"/>
  <c r="J1009" i="1"/>
  <c r="I1009" i="1"/>
  <c r="H1009" i="1"/>
  <c r="G1009" i="1"/>
  <c r="F1009" i="1"/>
  <c r="E1009" i="1"/>
  <c r="D1009" i="1"/>
  <c r="C1009" i="1"/>
  <c r="M1008" i="1"/>
  <c r="L1008" i="1"/>
  <c r="K1008" i="1"/>
  <c r="J1008" i="1"/>
  <c r="I1008" i="1"/>
  <c r="H1008" i="1"/>
  <c r="G1008" i="1"/>
  <c r="F1008" i="1"/>
  <c r="E1008" i="1"/>
  <c r="D1008" i="1"/>
  <c r="C1008" i="1"/>
  <c r="M1007" i="1"/>
  <c r="L1007" i="1"/>
  <c r="K1007" i="1"/>
  <c r="J1007" i="1"/>
  <c r="I1007" i="1"/>
  <c r="H1007" i="1"/>
  <c r="G1007" i="1"/>
  <c r="F1007" i="1"/>
  <c r="E1007" i="1"/>
  <c r="D1007" i="1"/>
  <c r="C1007" i="1"/>
  <c r="M1006" i="1"/>
  <c r="L1006" i="1"/>
  <c r="K1006" i="1"/>
  <c r="J1006" i="1"/>
  <c r="I1006" i="1"/>
  <c r="H1006" i="1"/>
  <c r="G1006" i="1"/>
  <c r="F1006" i="1"/>
  <c r="E1006" i="1"/>
  <c r="D1006" i="1"/>
  <c r="C1006" i="1"/>
  <c r="M1005" i="1"/>
  <c r="L1005" i="1"/>
  <c r="K1005" i="1"/>
  <c r="J1005" i="1"/>
  <c r="I1005" i="1"/>
  <c r="H1005" i="1"/>
  <c r="G1005" i="1"/>
  <c r="F1005" i="1"/>
  <c r="E1005" i="1"/>
  <c r="D1005" i="1"/>
  <c r="C1005" i="1"/>
  <c r="M1004" i="1"/>
  <c r="L1004" i="1"/>
  <c r="K1004" i="1"/>
  <c r="J1004" i="1"/>
  <c r="I1004" i="1"/>
  <c r="H1004" i="1"/>
  <c r="G1004" i="1"/>
  <c r="F1004" i="1"/>
  <c r="E1004" i="1"/>
  <c r="D1004" i="1"/>
  <c r="C1004" i="1"/>
  <c r="M1003" i="1"/>
  <c r="L1003" i="1"/>
  <c r="K1003" i="1"/>
  <c r="J1003" i="1"/>
  <c r="I1003" i="1"/>
  <c r="H1003" i="1"/>
  <c r="G1003" i="1"/>
  <c r="F1003" i="1"/>
  <c r="E1003" i="1"/>
  <c r="D1003" i="1"/>
  <c r="C1003" i="1"/>
  <c r="M1002" i="1"/>
  <c r="L1002" i="1"/>
  <c r="K1002" i="1"/>
  <c r="J1002" i="1"/>
  <c r="I1002" i="1"/>
  <c r="H1002" i="1"/>
  <c r="G1002" i="1"/>
  <c r="F1002" i="1"/>
  <c r="E1002" i="1"/>
  <c r="D1002" i="1"/>
  <c r="C1002" i="1"/>
  <c r="M1001" i="1"/>
  <c r="L1001" i="1"/>
  <c r="K1001" i="1"/>
  <c r="J1001" i="1"/>
  <c r="I1001" i="1"/>
  <c r="H1001" i="1"/>
  <c r="G1001" i="1"/>
  <c r="F1001" i="1"/>
  <c r="E1001" i="1"/>
  <c r="D1001" i="1"/>
  <c r="C1001" i="1"/>
  <c r="M1000" i="1"/>
  <c r="L1000" i="1"/>
  <c r="K1000" i="1"/>
  <c r="J1000" i="1"/>
  <c r="I1000" i="1"/>
  <c r="H1000" i="1"/>
  <c r="G1000" i="1"/>
  <c r="F1000" i="1"/>
  <c r="E1000" i="1"/>
  <c r="D1000" i="1"/>
  <c r="C1000" i="1"/>
  <c r="M999" i="1"/>
  <c r="L999" i="1"/>
  <c r="K999" i="1"/>
  <c r="J999" i="1"/>
  <c r="I999" i="1"/>
  <c r="H999" i="1"/>
  <c r="G999" i="1"/>
  <c r="F999" i="1"/>
  <c r="E999" i="1"/>
  <c r="D999" i="1"/>
  <c r="C999" i="1"/>
  <c r="M998" i="1"/>
  <c r="L998" i="1"/>
  <c r="K998" i="1"/>
  <c r="J998" i="1"/>
  <c r="I998" i="1"/>
  <c r="H998" i="1"/>
  <c r="G998" i="1"/>
  <c r="F998" i="1"/>
  <c r="E998" i="1"/>
  <c r="D998" i="1"/>
  <c r="C998" i="1"/>
  <c r="M997" i="1"/>
  <c r="L997" i="1"/>
  <c r="K997" i="1"/>
  <c r="J997" i="1"/>
  <c r="I997" i="1"/>
  <c r="H997" i="1"/>
  <c r="G997" i="1"/>
  <c r="F997" i="1"/>
  <c r="E997" i="1"/>
  <c r="D997" i="1"/>
  <c r="C997" i="1"/>
  <c r="M996" i="1"/>
  <c r="L996" i="1"/>
  <c r="K996" i="1"/>
  <c r="J996" i="1"/>
  <c r="I996" i="1"/>
  <c r="H996" i="1"/>
  <c r="G996" i="1"/>
  <c r="F996" i="1"/>
  <c r="E996" i="1"/>
  <c r="D996" i="1"/>
  <c r="C996" i="1"/>
  <c r="M995" i="1"/>
  <c r="L995" i="1"/>
  <c r="K995" i="1"/>
  <c r="J995" i="1"/>
  <c r="I995" i="1"/>
  <c r="H995" i="1"/>
  <c r="G995" i="1"/>
  <c r="F995" i="1"/>
  <c r="E995" i="1"/>
  <c r="D995" i="1"/>
  <c r="C995" i="1"/>
  <c r="M994" i="1"/>
  <c r="L994" i="1"/>
  <c r="K994" i="1"/>
  <c r="J994" i="1"/>
  <c r="I994" i="1"/>
  <c r="H994" i="1"/>
  <c r="G994" i="1"/>
  <c r="F994" i="1"/>
  <c r="E994" i="1"/>
  <c r="D994" i="1"/>
  <c r="C994" i="1"/>
  <c r="M993" i="1"/>
  <c r="L993" i="1"/>
  <c r="K993" i="1"/>
  <c r="J993" i="1"/>
  <c r="I993" i="1"/>
  <c r="H993" i="1"/>
  <c r="G993" i="1"/>
  <c r="F993" i="1"/>
  <c r="E993" i="1"/>
  <c r="D993" i="1"/>
  <c r="C993" i="1"/>
  <c r="M992" i="1"/>
  <c r="L992" i="1"/>
  <c r="K992" i="1"/>
  <c r="J992" i="1"/>
  <c r="I992" i="1"/>
  <c r="H992" i="1"/>
  <c r="G992" i="1"/>
  <c r="F992" i="1"/>
  <c r="E992" i="1"/>
  <c r="D992" i="1"/>
  <c r="C992" i="1"/>
  <c r="M991" i="1"/>
  <c r="L991" i="1"/>
  <c r="K991" i="1"/>
  <c r="J991" i="1"/>
  <c r="I991" i="1"/>
  <c r="H991" i="1"/>
  <c r="G991" i="1"/>
  <c r="F991" i="1"/>
  <c r="E991" i="1"/>
  <c r="D991" i="1"/>
  <c r="C991" i="1"/>
  <c r="M990" i="1"/>
  <c r="L990" i="1"/>
  <c r="K990" i="1"/>
  <c r="J990" i="1"/>
  <c r="I990" i="1"/>
  <c r="H990" i="1"/>
  <c r="G990" i="1"/>
  <c r="F990" i="1"/>
  <c r="E990" i="1"/>
  <c r="D990" i="1"/>
  <c r="C990" i="1"/>
  <c r="M989" i="1"/>
  <c r="L989" i="1"/>
  <c r="K989" i="1"/>
  <c r="J989" i="1"/>
  <c r="I989" i="1"/>
  <c r="H989" i="1"/>
  <c r="G989" i="1"/>
  <c r="F989" i="1"/>
  <c r="E989" i="1"/>
  <c r="D989" i="1"/>
  <c r="C989" i="1"/>
  <c r="M988" i="1"/>
  <c r="L988" i="1"/>
  <c r="K988" i="1"/>
  <c r="J988" i="1"/>
  <c r="I988" i="1"/>
  <c r="H988" i="1"/>
  <c r="G988" i="1"/>
  <c r="F988" i="1"/>
  <c r="E988" i="1"/>
  <c r="D988" i="1"/>
  <c r="C988" i="1"/>
  <c r="M987" i="1"/>
  <c r="L987" i="1"/>
  <c r="K987" i="1"/>
  <c r="J987" i="1"/>
  <c r="I987" i="1"/>
  <c r="H987" i="1"/>
  <c r="G987" i="1"/>
  <c r="F987" i="1"/>
  <c r="E987" i="1"/>
  <c r="D987" i="1"/>
  <c r="C987" i="1"/>
  <c r="M986" i="1"/>
  <c r="L986" i="1"/>
  <c r="K986" i="1"/>
  <c r="J986" i="1"/>
  <c r="I986" i="1"/>
  <c r="H986" i="1"/>
  <c r="G986" i="1"/>
  <c r="F986" i="1"/>
  <c r="E986" i="1"/>
  <c r="D986" i="1"/>
  <c r="C986" i="1"/>
  <c r="M985" i="1"/>
  <c r="L985" i="1"/>
  <c r="K985" i="1"/>
  <c r="J985" i="1"/>
  <c r="I985" i="1"/>
  <c r="H985" i="1"/>
  <c r="G985" i="1"/>
  <c r="F985" i="1"/>
  <c r="E985" i="1"/>
  <c r="D985" i="1"/>
  <c r="C985" i="1"/>
  <c r="M984" i="1"/>
  <c r="L984" i="1"/>
  <c r="K984" i="1"/>
  <c r="J984" i="1"/>
  <c r="I984" i="1"/>
  <c r="H984" i="1"/>
  <c r="G984" i="1"/>
  <c r="F984" i="1"/>
  <c r="E984" i="1"/>
  <c r="D984" i="1"/>
  <c r="C984" i="1"/>
  <c r="M983" i="1"/>
  <c r="L983" i="1"/>
  <c r="K983" i="1"/>
  <c r="J983" i="1"/>
  <c r="I983" i="1"/>
  <c r="H983" i="1"/>
  <c r="G983" i="1"/>
  <c r="F983" i="1"/>
  <c r="E983" i="1"/>
  <c r="D983" i="1"/>
  <c r="C983" i="1"/>
  <c r="M982" i="1"/>
  <c r="L982" i="1"/>
  <c r="K982" i="1"/>
  <c r="J982" i="1"/>
  <c r="I982" i="1"/>
  <c r="H982" i="1"/>
  <c r="G982" i="1"/>
  <c r="F982" i="1"/>
  <c r="E982" i="1"/>
  <c r="D982" i="1"/>
  <c r="C982" i="1"/>
  <c r="M981" i="1"/>
  <c r="L981" i="1"/>
  <c r="K981" i="1"/>
  <c r="J981" i="1"/>
  <c r="I981" i="1"/>
  <c r="H981" i="1"/>
  <c r="G981" i="1"/>
  <c r="F981" i="1"/>
  <c r="E981" i="1"/>
  <c r="D981" i="1"/>
  <c r="C981" i="1"/>
  <c r="M980" i="1"/>
  <c r="L980" i="1"/>
  <c r="K980" i="1"/>
  <c r="J980" i="1"/>
  <c r="I980" i="1"/>
  <c r="H980" i="1"/>
  <c r="G980" i="1"/>
  <c r="F980" i="1"/>
  <c r="E980" i="1"/>
  <c r="D980" i="1"/>
  <c r="C980" i="1"/>
  <c r="M979" i="1"/>
  <c r="L979" i="1"/>
  <c r="K979" i="1"/>
  <c r="J979" i="1"/>
  <c r="I979" i="1"/>
  <c r="H979" i="1"/>
  <c r="G979" i="1"/>
  <c r="F979" i="1"/>
  <c r="E979" i="1"/>
  <c r="D979" i="1"/>
  <c r="C979" i="1"/>
  <c r="M978" i="1"/>
  <c r="L978" i="1"/>
  <c r="K978" i="1"/>
  <c r="J978" i="1"/>
  <c r="I978" i="1"/>
  <c r="H978" i="1"/>
  <c r="G978" i="1"/>
  <c r="F978" i="1"/>
  <c r="E978" i="1"/>
  <c r="D978" i="1"/>
  <c r="C978" i="1"/>
  <c r="M977" i="1"/>
  <c r="L977" i="1"/>
  <c r="K977" i="1"/>
  <c r="J977" i="1"/>
  <c r="I977" i="1"/>
  <c r="H977" i="1"/>
  <c r="G977" i="1"/>
  <c r="F977" i="1"/>
  <c r="E977" i="1"/>
  <c r="D977" i="1"/>
  <c r="C977" i="1"/>
  <c r="M976" i="1"/>
  <c r="L976" i="1"/>
  <c r="K976" i="1"/>
  <c r="J976" i="1"/>
  <c r="I976" i="1"/>
  <c r="H976" i="1"/>
  <c r="G976" i="1"/>
  <c r="F976" i="1"/>
  <c r="E976" i="1"/>
  <c r="D976" i="1"/>
  <c r="C976" i="1"/>
  <c r="M975" i="1"/>
  <c r="L975" i="1"/>
  <c r="K975" i="1"/>
  <c r="J975" i="1"/>
  <c r="I975" i="1"/>
  <c r="H975" i="1"/>
  <c r="G975" i="1"/>
  <c r="F975" i="1"/>
  <c r="E975" i="1"/>
  <c r="D975" i="1"/>
  <c r="C975" i="1"/>
  <c r="M974" i="1"/>
  <c r="L974" i="1"/>
  <c r="K974" i="1"/>
  <c r="J974" i="1"/>
  <c r="I974" i="1"/>
  <c r="H974" i="1"/>
  <c r="G974" i="1"/>
  <c r="F974" i="1"/>
  <c r="E974" i="1"/>
  <c r="D974" i="1"/>
  <c r="C974" i="1"/>
  <c r="M973" i="1"/>
  <c r="L973" i="1"/>
  <c r="K973" i="1"/>
  <c r="J973" i="1"/>
  <c r="I973" i="1"/>
  <c r="H973" i="1"/>
  <c r="G973" i="1"/>
  <c r="F973" i="1"/>
  <c r="E973" i="1"/>
  <c r="D973" i="1"/>
  <c r="C973" i="1"/>
  <c r="M972" i="1"/>
  <c r="L972" i="1"/>
  <c r="K972" i="1"/>
  <c r="J972" i="1"/>
  <c r="I972" i="1"/>
  <c r="H972" i="1"/>
  <c r="G972" i="1"/>
  <c r="F972" i="1"/>
  <c r="E972" i="1"/>
  <c r="D972" i="1"/>
  <c r="C972" i="1"/>
  <c r="M971" i="1"/>
  <c r="L971" i="1"/>
  <c r="K971" i="1"/>
  <c r="J971" i="1"/>
  <c r="I971" i="1"/>
  <c r="H971" i="1"/>
  <c r="G971" i="1"/>
  <c r="F971" i="1"/>
  <c r="E971" i="1"/>
  <c r="D971" i="1"/>
  <c r="C971" i="1"/>
  <c r="M970" i="1"/>
  <c r="L970" i="1"/>
  <c r="K970" i="1"/>
  <c r="J970" i="1"/>
  <c r="I970" i="1"/>
  <c r="H970" i="1"/>
  <c r="G970" i="1"/>
  <c r="F970" i="1"/>
  <c r="E970" i="1"/>
  <c r="D970" i="1"/>
  <c r="C970" i="1"/>
  <c r="M969" i="1"/>
  <c r="L969" i="1"/>
  <c r="K969" i="1"/>
  <c r="J969" i="1"/>
  <c r="I969" i="1"/>
  <c r="H969" i="1"/>
  <c r="G969" i="1"/>
  <c r="F969" i="1"/>
  <c r="E969" i="1"/>
  <c r="D969" i="1"/>
  <c r="C969" i="1"/>
  <c r="M968" i="1"/>
  <c r="L968" i="1"/>
  <c r="K968" i="1"/>
  <c r="J968" i="1"/>
  <c r="I968" i="1"/>
  <c r="H968" i="1"/>
  <c r="G968" i="1"/>
  <c r="F968" i="1"/>
  <c r="E968" i="1"/>
  <c r="D968" i="1"/>
  <c r="C968" i="1"/>
  <c r="M967" i="1"/>
  <c r="L967" i="1"/>
  <c r="K967" i="1"/>
  <c r="J967" i="1"/>
  <c r="I967" i="1"/>
  <c r="H967" i="1"/>
  <c r="G967" i="1"/>
  <c r="F967" i="1"/>
  <c r="E967" i="1"/>
  <c r="D967" i="1"/>
  <c r="C967" i="1"/>
  <c r="M966" i="1"/>
  <c r="L966" i="1"/>
  <c r="K966" i="1"/>
  <c r="J966" i="1"/>
  <c r="I966" i="1"/>
  <c r="H966" i="1"/>
  <c r="G966" i="1"/>
  <c r="F966" i="1"/>
  <c r="E966" i="1"/>
  <c r="D966" i="1"/>
  <c r="C966" i="1"/>
  <c r="M965" i="1"/>
  <c r="L965" i="1"/>
  <c r="K965" i="1"/>
  <c r="J965" i="1"/>
  <c r="I965" i="1"/>
  <c r="H965" i="1"/>
  <c r="G965" i="1"/>
  <c r="F965" i="1"/>
  <c r="E965" i="1"/>
  <c r="D965" i="1"/>
  <c r="C965" i="1"/>
  <c r="M964" i="1"/>
  <c r="L964" i="1"/>
  <c r="K964" i="1"/>
  <c r="J964" i="1"/>
  <c r="I964" i="1"/>
  <c r="H964" i="1"/>
  <c r="G964" i="1"/>
  <c r="F964" i="1"/>
  <c r="E964" i="1"/>
  <c r="D964" i="1"/>
  <c r="C964" i="1"/>
  <c r="M963" i="1"/>
  <c r="L963" i="1"/>
  <c r="K963" i="1"/>
  <c r="J963" i="1"/>
  <c r="I963" i="1"/>
  <c r="H963" i="1"/>
  <c r="G963" i="1"/>
  <c r="F963" i="1"/>
  <c r="E963" i="1"/>
  <c r="D963" i="1"/>
  <c r="C963" i="1"/>
  <c r="M962" i="1"/>
  <c r="L962" i="1"/>
  <c r="K962" i="1"/>
  <c r="J962" i="1"/>
  <c r="I962" i="1"/>
  <c r="H962" i="1"/>
  <c r="G962" i="1"/>
  <c r="F962" i="1"/>
  <c r="E962" i="1"/>
  <c r="D962" i="1"/>
  <c r="C962" i="1"/>
  <c r="M961" i="1"/>
  <c r="L961" i="1"/>
  <c r="K961" i="1"/>
  <c r="J961" i="1"/>
  <c r="I961" i="1"/>
  <c r="H961" i="1"/>
  <c r="G961" i="1"/>
  <c r="F961" i="1"/>
  <c r="E961" i="1"/>
  <c r="D961" i="1"/>
  <c r="C961" i="1"/>
  <c r="M960" i="1"/>
  <c r="L960" i="1"/>
  <c r="K960" i="1"/>
  <c r="J960" i="1"/>
  <c r="I960" i="1"/>
  <c r="H960" i="1"/>
  <c r="G960" i="1"/>
  <c r="F960" i="1"/>
  <c r="E960" i="1"/>
  <c r="D960" i="1"/>
  <c r="C960" i="1"/>
  <c r="M959" i="1"/>
  <c r="L959" i="1"/>
  <c r="K959" i="1"/>
  <c r="J959" i="1"/>
  <c r="I959" i="1"/>
  <c r="H959" i="1"/>
  <c r="G959" i="1"/>
  <c r="F959" i="1"/>
  <c r="E959" i="1"/>
  <c r="D959" i="1"/>
  <c r="C959" i="1"/>
  <c r="M958" i="1"/>
  <c r="L958" i="1"/>
  <c r="K958" i="1"/>
  <c r="J958" i="1"/>
  <c r="I958" i="1"/>
  <c r="H958" i="1"/>
  <c r="G958" i="1"/>
  <c r="F958" i="1"/>
  <c r="E958" i="1"/>
  <c r="D958" i="1"/>
  <c r="C958" i="1"/>
  <c r="M957" i="1"/>
  <c r="L957" i="1"/>
  <c r="K957" i="1"/>
  <c r="J957" i="1"/>
  <c r="I957" i="1"/>
  <c r="H957" i="1"/>
  <c r="G957" i="1"/>
  <c r="F957" i="1"/>
  <c r="E957" i="1"/>
  <c r="D957" i="1"/>
  <c r="C957" i="1"/>
  <c r="M956" i="1"/>
  <c r="L956" i="1"/>
  <c r="K956" i="1"/>
  <c r="J956" i="1"/>
  <c r="I956" i="1"/>
  <c r="H956" i="1"/>
  <c r="G956" i="1"/>
  <c r="F956" i="1"/>
  <c r="E956" i="1"/>
  <c r="D956" i="1"/>
  <c r="C956" i="1"/>
  <c r="M955" i="1"/>
  <c r="L955" i="1"/>
  <c r="K955" i="1"/>
  <c r="J955" i="1"/>
  <c r="I955" i="1"/>
  <c r="H955" i="1"/>
  <c r="G955" i="1"/>
  <c r="F955" i="1"/>
  <c r="E955" i="1"/>
  <c r="D955" i="1"/>
  <c r="C955" i="1"/>
  <c r="M954" i="1"/>
  <c r="L954" i="1"/>
  <c r="K954" i="1"/>
  <c r="J954" i="1"/>
  <c r="I954" i="1"/>
  <c r="H954" i="1"/>
  <c r="G954" i="1"/>
  <c r="F954" i="1"/>
  <c r="E954" i="1"/>
  <c r="D954" i="1"/>
  <c r="C954" i="1"/>
  <c r="M953" i="1"/>
  <c r="L953" i="1"/>
  <c r="K953" i="1"/>
  <c r="J953" i="1"/>
  <c r="I953" i="1"/>
  <c r="H953" i="1"/>
  <c r="G953" i="1"/>
  <c r="F953" i="1"/>
  <c r="E953" i="1"/>
  <c r="D953" i="1"/>
  <c r="C953" i="1"/>
  <c r="M952" i="1"/>
  <c r="L952" i="1"/>
  <c r="K952" i="1"/>
  <c r="J952" i="1"/>
  <c r="I952" i="1"/>
  <c r="H952" i="1"/>
  <c r="G952" i="1"/>
  <c r="F952" i="1"/>
  <c r="E952" i="1"/>
  <c r="D952" i="1"/>
  <c r="C952" i="1"/>
  <c r="M951" i="1"/>
  <c r="L951" i="1"/>
  <c r="K951" i="1"/>
  <c r="J951" i="1"/>
  <c r="I951" i="1"/>
  <c r="H951" i="1"/>
  <c r="G951" i="1"/>
  <c r="F951" i="1"/>
  <c r="E951" i="1"/>
  <c r="D951" i="1"/>
  <c r="C951" i="1"/>
  <c r="M950" i="1"/>
  <c r="L950" i="1"/>
  <c r="K950" i="1"/>
  <c r="J950" i="1"/>
  <c r="I950" i="1"/>
  <c r="H950" i="1"/>
  <c r="G950" i="1"/>
  <c r="F950" i="1"/>
  <c r="E950" i="1"/>
  <c r="D950" i="1"/>
  <c r="C950" i="1"/>
  <c r="M949" i="1"/>
  <c r="L949" i="1"/>
  <c r="K949" i="1"/>
  <c r="J949" i="1"/>
  <c r="I949" i="1"/>
  <c r="H949" i="1"/>
  <c r="G949" i="1"/>
  <c r="F949" i="1"/>
  <c r="E949" i="1"/>
  <c r="D949" i="1"/>
  <c r="C949" i="1"/>
  <c r="M948" i="1"/>
  <c r="L948" i="1"/>
  <c r="K948" i="1"/>
  <c r="J948" i="1"/>
  <c r="I948" i="1"/>
  <c r="H948" i="1"/>
  <c r="G948" i="1"/>
  <c r="F948" i="1"/>
  <c r="E948" i="1"/>
  <c r="D948" i="1"/>
  <c r="C948" i="1"/>
  <c r="M947" i="1"/>
  <c r="L947" i="1"/>
  <c r="K947" i="1"/>
  <c r="J947" i="1"/>
  <c r="I947" i="1"/>
  <c r="H947" i="1"/>
  <c r="G947" i="1"/>
  <c r="F947" i="1"/>
  <c r="E947" i="1"/>
  <c r="D947" i="1"/>
  <c r="C947" i="1"/>
  <c r="M946" i="1"/>
  <c r="L946" i="1"/>
  <c r="K946" i="1"/>
  <c r="J946" i="1"/>
  <c r="I946" i="1"/>
  <c r="H946" i="1"/>
  <c r="G946" i="1"/>
  <c r="F946" i="1"/>
  <c r="E946" i="1"/>
  <c r="D946" i="1"/>
  <c r="C946" i="1"/>
  <c r="M945" i="1"/>
  <c r="L945" i="1"/>
  <c r="K945" i="1"/>
  <c r="J945" i="1"/>
  <c r="I945" i="1"/>
  <c r="H945" i="1"/>
  <c r="G945" i="1"/>
  <c r="F945" i="1"/>
  <c r="E945" i="1"/>
  <c r="D945" i="1"/>
  <c r="C945" i="1"/>
  <c r="M944" i="1"/>
  <c r="L944" i="1"/>
  <c r="K944" i="1"/>
  <c r="J944" i="1"/>
  <c r="I944" i="1"/>
  <c r="H944" i="1"/>
  <c r="G944" i="1"/>
  <c r="F944" i="1"/>
  <c r="E944" i="1"/>
  <c r="D944" i="1"/>
  <c r="C944" i="1"/>
  <c r="M943" i="1"/>
  <c r="L943" i="1"/>
  <c r="K943" i="1"/>
  <c r="J943" i="1"/>
  <c r="I943" i="1"/>
  <c r="H943" i="1"/>
  <c r="G943" i="1"/>
  <c r="F943" i="1"/>
  <c r="E943" i="1"/>
  <c r="D943" i="1"/>
  <c r="C943" i="1"/>
  <c r="M942" i="1"/>
  <c r="L942" i="1"/>
  <c r="K942" i="1"/>
  <c r="J942" i="1"/>
  <c r="I942" i="1"/>
  <c r="H942" i="1"/>
  <c r="G942" i="1"/>
  <c r="F942" i="1"/>
  <c r="E942" i="1"/>
  <c r="D942" i="1"/>
  <c r="C942" i="1"/>
  <c r="M941" i="1"/>
  <c r="L941" i="1"/>
  <c r="K941" i="1"/>
  <c r="J941" i="1"/>
  <c r="I941" i="1"/>
  <c r="H941" i="1"/>
  <c r="G941" i="1"/>
  <c r="F941" i="1"/>
  <c r="E941" i="1"/>
  <c r="D941" i="1"/>
  <c r="C941" i="1"/>
  <c r="M940" i="1"/>
  <c r="L940" i="1"/>
  <c r="K940" i="1"/>
  <c r="J940" i="1"/>
  <c r="I940" i="1"/>
  <c r="H940" i="1"/>
  <c r="G940" i="1"/>
  <c r="F940" i="1"/>
  <c r="E940" i="1"/>
  <c r="D940" i="1"/>
  <c r="C940" i="1"/>
  <c r="M939" i="1"/>
  <c r="L939" i="1"/>
  <c r="K939" i="1"/>
  <c r="J939" i="1"/>
  <c r="I939" i="1"/>
  <c r="H939" i="1"/>
  <c r="G939" i="1"/>
  <c r="F939" i="1"/>
  <c r="E939" i="1"/>
  <c r="D939" i="1"/>
  <c r="C939" i="1"/>
  <c r="M938" i="1"/>
  <c r="L938" i="1"/>
  <c r="K938" i="1"/>
  <c r="J938" i="1"/>
  <c r="I938" i="1"/>
  <c r="H938" i="1"/>
  <c r="G938" i="1"/>
  <c r="F938" i="1"/>
  <c r="E938" i="1"/>
  <c r="D938" i="1"/>
  <c r="C938" i="1"/>
  <c r="M937" i="1"/>
  <c r="L937" i="1"/>
  <c r="K937" i="1"/>
  <c r="J937" i="1"/>
  <c r="I937" i="1"/>
  <c r="H937" i="1"/>
  <c r="G937" i="1"/>
  <c r="F937" i="1"/>
  <c r="E937" i="1"/>
  <c r="D937" i="1"/>
  <c r="C937" i="1"/>
  <c r="M936" i="1"/>
  <c r="L936" i="1"/>
  <c r="K936" i="1"/>
  <c r="J936" i="1"/>
  <c r="I936" i="1"/>
  <c r="H936" i="1"/>
  <c r="G936" i="1"/>
  <c r="F936" i="1"/>
  <c r="E936" i="1"/>
  <c r="D936" i="1"/>
  <c r="C936" i="1"/>
  <c r="M935" i="1"/>
  <c r="L935" i="1"/>
  <c r="K935" i="1"/>
  <c r="J935" i="1"/>
  <c r="I935" i="1"/>
  <c r="H935" i="1"/>
  <c r="G935" i="1"/>
  <c r="F935" i="1"/>
  <c r="E935" i="1"/>
  <c r="D935" i="1"/>
  <c r="C935" i="1"/>
  <c r="M934" i="1"/>
  <c r="L934" i="1"/>
  <c r="K934" i="1"/>
  <c r="J934" i="1"/>
  <c r="I934" i="1"/>
  <c r="H934" i="1"/>
  <c r="G934" i="1"/>
  <c r="F934" i="1"/>
  <c r="E934" i="1"/>
  <c r="D934" i="1"/>
  <c r="C934" i="1"/>
  <c r="M933" i="1"/>
  <c r="L933" i="1"/>
  <c r="K933" i="1"/>
  <c r="J933" i="1"/>
  <c r="I933" i="1"/>
  <c r="H933" i="1"/>
  <c r="G933" i="1"/>
  <c r="F933" i="1"/>
  <c r="E933" i="1"/>
  <c r="D933" i="1"/>
  <c r="C933" i="1"/>
  <c r="M932" i="1"/>
  <c r="L932" i="1"/>
  <c r="K932" i="1"/>
  <c r="J932" i="1"/>
  <c r="I932" i="1"/>
  <c r="H932" i="1"/>
  <c r="G932" i="1"/>
  <c r="F932" i="1"/>
  <c r="E932" i="1"/>
  <c r="D932" i="1"/>
  <c r="C932" i="1"/>
  <c r="M931" i="1"/>
  <c r="L931" i="1"/>
  <c r="K931" i="1"/>
  <c r="J931" i="1"/>
  <c r="I931" i="1"/>
  <c r="H931" i="1"/>
  <c r="G931" i="1"/>
  <c r="F931" i="1"/>
  <c r="E931" i="1"/>
  <c r="D931" i="1"/>
  <c r="C931" i="1"/>
  <c r="M930" i="1"/>
  <c r="L930" i="1"/>
  <c r="K930" i="1"/>
  <c r="J930" i="1"/>
  <c r="I930" i="1"/>
  <c r="H930" i="1"/>
  <c r="G930" i="1"/>
  <c r="F930" i="1"/>
  <c r="E930" i="1"/>
  <c r="D930" i="1"/>
  <c r="C930" i="1"/>
  <c r="M929" i="1"/>
  <c r="L929" i="1"/>
  <c r="K929" i="1"/>
  <c r="J929" i="1"/>
  <c r="I929" i="1"/>
  <c r="H929" i="1"/>
  <c r="G929" i="1"/>
  <c r="F929" i="1"/>
  <c r="E929" i="1"/>
  <c r="D929" i="1"/>
  <c r="C929" i="1"/>
  <c r="M928" i="1"/>
  <c r="L928" i="1"/>
  <c r="K928" i="1"/>
  <c r="J928" i="1"/>
  <c r="I928" i="1"/>
  <c r="H928" i="1"/>
  <c r="G928" i="1"/>
  <c r="F928" i="1"/>
  <c r="E928" i="1"/>
  <c r="D928" i="1"/>
  <c r="C928" i="1"/>
  <c r="M927" i="1"/>
  <c r="L927" i="1"/>
  <c r="K927" i="1"/>
  <c r="J927" i="1"/>
  <c r="I927" i="1"/>
  <c r="H927" i="1"/>
  <c r="G927" i="1"/>
  <c r="F927" i="1"/>
  <c r="E927" i="1"/>
  <c r="D927" i="1"/>
  <c r="C927" i="1"/>
  <c r="M926" i="1"/>
  <c r="L926" i="1"/>
  <c r="K926" i="1"/>
  <c r="J926" i="1"/>
  <c r="I926" i="1"/>
  <c r="H926" i="1"/>
  <c r="G926" i="1"/>
  <c r="F926" i="1"/>
  <c r="E926" i="1"/>
  <c r="D926" i="1"/>
  <c r="C926" i="1"/>
  <c r="M925" i="1"/>
  <c r="L925" i="1"/>
  <c r="K925" i="1"/>
  <c r="J925" i="1"/>
  <c r="I925" i="1"/>
  <c r="H925" i="1"/>
  <c r="G925" i="1"/>
  <c r="F925" i="1"/>
  <c r="E925" i="1"/>
  <c r="D925" i="1"/>
  <c r="C925" i="1"/>
  <c r="M924" i="1"/>
  <c r="L924" i="1"/>
  <c r="K924" i="1"/>
  <c r="J924" i="1"/>
  <c r="I924" i="1"/>
  <c r="H924" i="1"/>
  <c r="G924" i="1"/>
  <c r="F924" i="1"/>
  <c r="E924" i="1"/>
  <c r="D924" i="1"/>
  <c r="C924" i="1"/>
  <c r="M923" i="1"/>
  <c r="L923" i="1"/>
  <c r="K923" i="1"/>
  <c r="J923" i="1"/>
  <c r="I923" i="1"/>
  <c r="H923" i="1"/>
  <c r="G923" i="1"/>
  <c r="F923" i="1"/>
  <c r="E923" i="1"/>
  <c r="D923" i="1"/>
  <c r="C923" i="1"/>
  <c r="M922" i="1"/>
  <c r="L922" i="1"/>
  <c r="K922" i="1"/>
  <c r="J922" i="1"/>
  <c r="I922" i="1"/>
  <c r="H922" i="1"/>
  <c r="G922" i="1"/>
  <c r="F922" i="1"/>
  <c r="E922" i="1"/>
  <c r="D922" i="1"/>
  <c r="C922" i="1"/>
  <c r="M921" i="1"/>
  <c r="L921" i="1"/>
  <c r="K921" i="1"/>
  <c r="J921" i="1"/>
  <c r="I921" i="1"/>
  <c r="H921" i="1"/>
  <c r="G921" i="1"/>
  <c r="F921" i="1"/>
  <c r="E921" i="1"/>
  <c r="D921" i="1"/>
  <c r="C921" i="1"/>
  <c r="M920" i="1"/>
  <c r="L920" i="1"/>
  <c r="K920" i="1"/>
  <c r="J920" i="1"/>
  <c r="I920" i="1"/>
  <c r="H920" i="1"/>
  <c r="G920" i="1"/>
  <c r="F920" i="1"/>
  <c r="E920" i="1"/>
  <c r="D920" i="1"/>
  <c r="C920" i="1"/>
  <c r="M919" i="1"/>
  <c r="L919" i="1"/>
  <c r="K919" i="1"/>
  <c r="J919" i="1"/>
  <c r="I919" i="1"/>
  <c r="H919" i="1"/>
  <c r="G919" i="1"/>
  <c r="F919" i="1"/>
  <c r="E919" i="1"/>
  <c r="D919" i="1"/>
  <c r="C919" i="1"/>
  <c r="M918" i="1"/>
  <c r="L918" i="1"/>
  <c r="K918" i="1"/>
  <c r="J918" i="1"/>
  <c r="I918" i="1"/>
  <c r="H918" i="1"/>
  <c r="G918" i="1"/>
  <c r="F918" i="1"/>
  <c r="E918" i="1"/>
  <c r="D918" i="1"/>
  <c r="C918" i="1"/>
  <c r="M917" i="1"/>
  <c r="L917" i="1"/>
  <c r="K917" i="1"/>
  <c r="J917" i="1"/>
  <c r="I917" i="1"/>
  <c r="H917" i="1"/>
  <c r="G917" i="1"/>
  <c r="F917" i="1"/>
  <c r="E917" i="1"/>
  <c r="D917" i="1"/>
  <c r="C917" i="1"/>
  <c r="M916" i="1"/>
  <c r="L916" i="1"/>
  <c r="K916" i="1"/>
  <c r="J916" i="1"/>
  <c r="I916" i="1"/>
  <c r="H916" i="1"/>
  <c r="G916" i="1"/>
  <c r="F916" i="1"/>
  <c r="E916" i="1"/>
  <c r="D916" i="1"/>
  <c r="C916" i="1"/>
  <c r="M915" i="1"/>
  <c r="L915" i="1"/>
  <c r="K915" i="1"/>
  <c r="J915" i="1"/>
  <c r="I915" i="1"/>
  <c r="H915" i="1"/>
  <c r="G915" i="1"/>
  <c r="F915" i="1"/>
  <c r="E915" i="1"/>
  <c r="D915" i="1"/>
  <c r="C915" i="1"/>
  <c r="M914" i="1"/>
  <c r="L914" i="1"/>
  <c r="K914" i="1"/>
  <c r="J914" i="1"/>
  <c r="I914" i="1"/>
  <c r="H914" i="1"/>
  <c r="G914" i="1"/>
  <c r="F914" i="1"/>
  <c r="E914" i="1"/>
  <c r="D914" i="1"/>
  <c r="C914" i="1"/>
  <c r="M913" i="1"/>
  <c r="L913" i="1"/>
  <c r="K913" i="1"/>
  <c r="J913" i="1"/>
  <c r="I913" i="1"/>
  <c r="H913" i="1"/>
  <c r="G913" i="1"/>
  <c r="F913" i="1"/>
  <c r="E913" i="1"/>
  <c r="D913" i="1"/>
  <c r="C913" i="1"/>
  <c r="M912" i="1"/>
  <c r="L912" i="1"/>
  <c r="K912" i="1"/>
  <c r="J912" i="1"/>
  <c r="I912" i="1"/>
  <c r="H912" i="1"/>
  <c r="G912" i="1"/>
  <c r="F912" i="1"/>
  <c r="E912" i="1"/>
  <c r="D912" i="1"/>
  <c r="C912" i="1"/>
  <c r="M911" i="1"/>
  <c r="L911" i="1"/>
  <c r="K911" i="1"/>
  <c r="J911" i="1"/>
  <c r="I911" i="1"/>
  <c r="H911" i="1"/>
  <c r="G911" i="1"/>
  <c r="F911" i="1"/>
  <c r="E911" i="1"/>
  <c r="D911" i="1"/>
  <c r="C911" i="1"/>
  <c r="M910" i="1"/>
  <c r="L910" i="1"/>
  <c r="K910" i="1"/>
  <c r="J910" i="1"/>
  <c r="I910" i="1"/>
  <c r="H910" i="1"/>
  <c r="G910" i="1"/>
  <c r="F910" i="1"/>
  <c r="E910" i="1"/>
  <c r="D910" i="1"/>
  <c r="C910" i="1"/>
  <c r="M909" i="1"/>
  <c r="L909" i="1"/>
  <c r="K909" i="1"/>
  <c r="J909" i="1"/>
  <c r="I909" i="1"/>
  <c r="H909" i="1"/>
  <c r="G909" i="1"/>
  <c r="F909" i="1"/>
  <c r="E909" i="1"/>
  <c r="D909" i="1"/>
  <c r="C909" i="1"/>
  <c r="M908" i="1"/>
  <c r="L908" i="1"/>
  <c r="K908" i="1"/>
  <c r="J908" i="1"/>
  <c r="I908" i="1"/>
  <c r="H908" i="1"/>
  <c r="G908" i="1"/>
  <c r="F908" i="1"/>
  <c r="E908" i="1"/>
  <c r="D908" i="1"/>
  <c r="C908" i="1"/>
  <c r="M907" i="1"/>
  <c r="L907" i="1"/>
  <c r="K907" i="1"/>
  <c r="J907" i="1"/>
  <c r="I907" i="1"/>
  <c r="H907" i="1"/>
  <c r="G907" i="1"/>
  <c r="F907" i="1"/>
  <c r="E907" i="1"/>
  <c r="D907" i="1"/>
  <c r="C907" i="1"/>
  <c r="M906" i="1"/>
  <c r="L906" i="1"/>
  <c r="K906" i="1"/>
  <c r="J906" i="1"/>
  <c r="I906" i="1"/>
  <c r="H906" i="1"/>
  <c r="G906" i="1"/>
  <c r="F906" i="1"/>
  <c r="E906" i="1"/>
  <c r="D906" i="1"/>
  <c r="C906" i="1"/>
  <c r="M905" i="1"/>
  <c r="L905" i="1"/>
  <c r="K905" i="1"/>
  <c r="J905" i="1"/>
  <c r="I905" i="1"/>
  <c r="H905" i="1"/>
  <c r="G905" i="1"/>
  <c r="F905" i="1"/>
  <c r="E905" i="1"/>
  <c r="D905" i="1"/>
  <c r="C905" i="1"/>
  <c r="M904" i="1"/>
  <c r="L904" i="1"/>
  <c r="K904" i="1"/>
  <c r="J904" i="1"/>
  <c r="I904" i="1"/>
  <c r="H904" i="1"/>
  <c r="G904" i="1"/>
  <c r="F904" i="1"/>
  <c r="E904" i="1"/>
  <c r="D904" i="1"/>
  <c r="C904" i="1"/>
  <c r="M903" i="1"/>
  <c r="L903" i="1"/>
  <c r="K903" i="1"/>
  <c r="J903" i="1"/>
  <c r="I903" i="1"/>
  <c r="H903" i="1"/>
  <c r="G903" i="1"/>
  <c r="F903" i="1"/>
  <c r="E903" i="1"/>
  <c r="D903" i="1"/>
  <c r="C903" i="1"/>
  <c r="M902" i="1"/>
  <c r="L902" i="1"/>
  <c r="K902" i="1"/>
  <c r="J902" i="1"/>
  <c r="I902" i="1"/>
  <c r="H902" i="1"/>
  <c r="G902" i="1"/>
  <c r="F902" i="1"/>
  <c r="E902" i="1"/>
  <c r="D902" i="1"/>
  <c r="C902" i="1"/>
  <c r="M901" i="1"/>
  <c r="L901" i="1"/>
  <c r="K901" i="1"/>
  <c r="J901" i="1"/>
  <c r="I901" i="1"/>
  <c r="H901" i="1"/>
  <c r="G901" i="1"/>
  <c r="F901" i="1"/>
  <c r="E901" i="1"/>
  <c r="D901" i="1"/>
  <c r="C901" i="1"/>
  <c r="M900" i="1"/>
  <c r="L900" i="1"/>
  <c r="K900" i="1"/>
  <c r="J900" i="1"/>
  <c r="I900" i="1"/>
  <c r="H900" i="1"/>
  <c r="G900" i="1"/>
  <c r="F900" i="1"/>
  <c r="E900" i="1"/>
  <c r="D900" i="1"/>
  <c r="C900" i="1"/>
  <c r="M899" i="1"/>
  <c r="L899" i="1"/>
  <c r="K899" i="1"/>
  <c r="J899" i="1"/>
  <c r="I899" i="1"/>
  <c r="H899" i="1"/>
  <c r="G899" i="1"/>
  <c r="F899" i="1"/>
  <c r="E899" i="1"/>
  <c r="D899" i="1"/>
  <c r="C899" i="1"/>
  <c r="M898" i="1"/>
  <c r="L898" i="1"/>
  <c r="K898" i="1"/>
  <c r="J898" i="1"/>
  <c r="I898" i="1"/>
  <c r="H898" i="1"/>
  <c r="G898" i="1"/>
  <c r="F898" i="1"/>
  <c r="E898" i="1"/>
  <c r="D898" i="1"/>
  <c r="C898" i="1"/>
  <c r="M897" i="1"/>
  <c r="L897" i="1"/>
  <c r="K897" i="1"/>
  <c r="J897" i="1"/>
  <c r="I897" i="1"/>
  <c r="H897" i="1"/>
  <c r="G897" i="1"/>
  <c r="F897" i="1"/>
  <c r="E897" i="1"/>
  <c r="D897" i="1"/>
  <c r="C897" i="1"/>
  <c r="M896" i="1"/>
  <c r="L896" i="1"/>
  <c r="K896" i="1"/>
  <c r="J896" i="1"/>
  <c r="I896" i="1"/>
  <c r="H896" i="1"/>
  <c r="G896" i="1"/>
  <c r="F896" i="1"/>
  <c r="E896" i="1"/>
  <c r="D896" i="1"/>
  <c r="C896" i="1"/>
  <c r="M895" i="1"/>
  <c r="L895" i="1"/>
  <c r="K895" i="1"/>
  <c r="J895" i="1"/>
  <c r="I895" i="1"/>
  <c r="H895" i="1"/>
  <c r="G895" i="1"/>
  <c r="F895" i="1"/>
  <c r="E895" i="1"/>
  <c r="D895" i="1"/>
  <c r="C895" i="1"/>
  <c r="M894" i="1"/>
  <c r="L894" i="1"/>
  <c r="K894" i="1"/>
  <c r="J894" i="1"/>
  <c r="I894" i="1"/>
  <c r="H894" i="1"/>
  <c r="G894" i="1"/>
  <c r="F894" i="1"/>
  <c r="E894" i="1"/>
  <c r="D894" i="1"/>
  <c r="C894" i="1"/>
  <c r="M893" i="1"/>
  <c r="L893" i="1"/>
  <c r="K893" i="1"/>
  <c r="J893" i="1"/>
  <c r="I893" i="1"/>
  <c r="H893" i="1"/>
  <c r="G893" i="1"/>
  <c r="F893" i="1"/>
  <c r="E893" i="1"/>
  <c r="D893" i="1"/>
  <c r="C893" i="1"/>
  <c r="M892" i="1"/>
  <c r="L892" i="1"/>
  <c r="K892" i="1"/>
  <c r="J892" i="1"/>
  <c r="I892" i="1"/>
  <c r="H892" i="1"/>
  <c r="G892" i="1"/>
  <c r="F892" i="1"/>
  <c r="E892" i="1"/>
  <c r="D892" i="1"/>
  <c r="C892" i="1"/>
  <c r="M891" i="1"/>
  <c r="L891" i="1"/>
  <c r="K891" i="1"/>
  <c r="J891" i="1"/>
  <c r="I891" i="1"/>
  <c r="H891" i="1"/>
  <c r="G891" i="1"/>
  <c r="F891" i="1"/>
  <c r="E891" i="1"/>
  <c r="D891" i="1"/>
  <c r="C891" i="1"/>
  <c r="M890" i="1"/>
  <c r="L890" i="1"/>
  <c r="K890" i="1"/>
  <c r="J890" i="1"/>
  <c r="I890" i="1"/>
  <c r="H890" i="1"/>
  <c r="G890" i="1"/>
  <c r="F890" i="1"/>
  <c r="E890" i="1"/>
  <c r="D890" i="1"/>
  <c r="C890" i="1"/>
  <c r="M889" i="1"/>
  <c r="L889" i="1"/>
  <c r="K889" i="1"/>
  <c r="J889" i="1"/>
  <c r="I889" i="1"/>
  <c r="H889" i="1"/>
  <c r="G889" i="1"/>
  <c r="F889" i="1"/>
  <c r="E889" i="1"/>
  <c r="D889" i="1"/>
  <c r="C889" i="1"/>
  <c r="M888" i="1"/>
  <c r="L888" i="1"/>
  <c r="K888" i="1"/>
  <c r="J888" i="1"/>
  <c r="I888" i="1"/>
  <c r="H888" i="1"/>
  <c r="G888" i="1"/>
  <c r="F888" i="1"/>
  <c r="E888" i="1"/>
  <c r="D888" i="1"/>
  <c r="C888" i="1"/>
  <c r="M887" i="1"/>
  <c r="L887" i="1"/>
  <c r="K887" i="1"/>
  <c r="J887" i="1"/>
  <c r="I887" i="1"/>
  <c r="H887" i="1"/>
  <c r="G887" i="1"/>
  <c r="F887" i="1"/>
  <c r="E887" i="1"/>
  <c r="D887" i="1"/>
  <c r="C887" i="1"/>
  <c r="M886" i="1"/>
  <c r="L886" i="1"/>
  <c r="K886" i="1"/>
  <c r="J886" i="1"/>
  <c r="I886" i="1"/>
  <c r="H886" i="1"/>
  <c r="G886" i="1"/>
  <c r="F886" i="1"/>
  <c r="E886" i="1"/>
  <c r="D886" i="1"/>
  <c r="C886" i="1"/>
  <c r="M885" i="1"/>
  <c r="L885" i="1"/>
  <c r="K885" i="1"/>
  <c r="J885" i="1"/>
  <c r="I885" i="1"/>
  <c r="H885" i="1"/>
  <c r="G885" i="1"/>
  <c r="F885" i="1"/>
  <c r="E885" i="1"/>
  <c r="D885" i="1"/>
  <c r="C885" i="1"/>
  <c r="M884" i="1"/>
  <c r="L884" i="1"/>
  <c r="K884" i="1"/>
  <c r="J884" i="1"/>
  <c r="I884" i="1"/>
  <c r="H884" i="1"/>
  <c r="G884" i="1"/>
  <c r="F884" i="1"/>
  <c r="E884" i="1"/>
  <c r="D884" i="1"/>
  <c r="C884" i="1"/>
  <c r="M883" i="1"/>
  <c r="L883" i="1"/>
  <c r="K883" i="1"/>
  <c r="J883" i="1"/>
  <c r="I883" i="1"/>
  <c r="H883" i="1"/>
  <c r="G883" i="1"/>
  <c r="F883" i="1"/>
  <c r="E883" i="1"/>
  <c r="D883" i="1"/>
  <c r="C883" i="1"/>
  <c r="M882" i="1"/>
  <c r="L882" i="1"/>
  <c r="K882" i="1"/>
  <c r="J882" i="1"/>
  <c r="I882" i="1"/>
  <c r="H882" i="1"/>
  <c r="G882" i="1"/>
  <c r="F882" i="1"/>
  <c r="E882" i="1"/>
  <c r="D882" i="1"/>
  <c r="C882" i="1"/>
  <c r="M881" i="1"/>
  <c r="L881" i="1"/>
  <c r="K881" i="1"/>
  <c r="J881" i="1"/>
  <c r="I881" i="1"/>
  <c r="H881" i="1"/>
  <c r="G881" i="1"/>
  <c r="F881" i="1"/>
  <c r="E881" i="1"/>
  <c r="D881" i="1"/>
  <c r="C881" i="1"/>
  <c r="M880" i="1"/>
  <c r="L880" i="1"/>
  <c r="K880" i="1"/>
  <c r="J880" i="1"/>
  <c r="I880" i="1"/>
  <c r="H880" i="1"/>
  <c r="G880" i="1"/>
  <c r="F880" i="1"/>
  <c r="E880" i="1"/>
  <c r="D880" i="1"/>
  <c r="C880" i="1"/>
  <c r="M879" i="1"/>
  <c r="L879" i="1"/>
  <c r="K879" i="1"/>
  <c r="J879" i="1"/>
  <c r="I879" i="1"/>
  <c r="H879" i="1"/>
  <c r="G879" i="1"/>
  <c r="F879" i="1"/>
  <c r="E879" i="1"/>
  <c r="D879" i="1"/>
  <c r="C879" i="1"/>
  <c r="M878" i="1"/>
  <c r="L878" i="1"/>
  <c r="K878" i="1"/>
  <c r="J878" i="1"/>
  <c r="I878" i="1"/>
  <c r="H878" i="1"/>
  <c r="G878" i="1"/>
  <c r="F878" i="1"/>
  <c r="E878" i="1"/>
  <c r="D878" i="1"/>
  <c r="C878" i="1"/>
  <c r="M877" i="1"/>
  <c r="L877" i="1"/>
  <c r="K877" i="1"/>
  <c r="J877" i="1"/>
  <c r="I877" i="1"/>
  <c r="H877" i="1"/>
  <c r="G877" i="1"/>
  <c r="F877" i="1"/>
  <c r="E877" i="1"/>
  <c r="D877" i="1"/>
  <c r="C877" i="1"/>
  <c r="M876" i="1"/>
  <c r="L876" i="1"/>
  <c r="K876" i="1"/>
  <c r="J876" i="1"/>
  <c r="I876" i="1"/>
  <c r="H876" i="1"/>
  <c r="G876" i="1"/>
  <c r="F876" i="1"/>
  <c r="E876" i="1"/>
  <c r="D876" i="1"/>
  <c r="C876" i="1"/>
  <c r="M875" i="1"/>
  <c r="L875" i="1"/>
  <c r="K875" i="1"/>
  <c r="J875" i="1"/>
  <c r="I875" i="1"/>
  <c r="H875" i="1"/>
  <c r="G875" i="1"/>
  <c r="F875" i="1"/>
  <c r="E875" i="1"/>
  <c r="D875" i="1"/>
  <c r="C875" i="1"/>
  <c r="M874" i="1"/>
  <c r="L874" i="1"/>
  <c r="K874" i="1"/>
  <c r="J874" i="1"/>
  <c r="I874" i="1"/>
  <c r="H874" i="1"/>
  <c r="G874" i="1"/>
  <c r="F874" i="1"/>
  <c r="E874" i="1"/>
  <c r="D874" i="1"/>
  <c r="C874" i="1"/>
  <c r="M873" i="1"/>
  <c r="L873" i="1"/>
  <c r="K873" i="1"/>
  <c r="J873" i="1"/>
  <c r="I873" i="1"/>
  <c r="H873" i="1"/>
  <c r="G873" i="1"/>
  <c r="F873" i="1"/>
  <c r="E873" i="1"/>
  <c r="D873" i="1"/>
  <c r="C873" i="1"/>
  <c r="M872" i="1"/>
  <c r="L872" i="1"/>
  <c r="K872" i="1"/>
  <c r="J872" i="1"/>
  <c r="I872" i="1"/>
  <c r="H872" i="1"/>
  <c r="G872" i="1"/>
  <c r="F872" i="1"/>
  <c r="E872" i="1"/>
  <c r="D872" i="1"/>
  <c r="C872" i="1"/>
  <c r="M871" i="1"/>
  <c r="L871" i="1"/>
  <c r="K871" i="1"/>
  <c r="J871" i="1"/>
  <c r="I871" i="1"/>
  <c r="H871" i="1"/>
  <c r="G871" i="1"/>
  <c r="F871" i="1"/>
  <c r="E871" i="1"/>
  <c r="D871" i="1"/>
  <c r="C871" i="1"/>
  <c r="M870" i="1"/>
  <c r="L870" i="1"/>
  <c r="K870" i="1"/>
  <c r="J870" i="1"/>
  <c r="I870" i="1"/>
  <c r="H870" i="1"/>
  <c r="G870" i="1"/>
  <c r="F870" i="1"/>
  <c r="E870" i="1"/>
  <c r="D870" i="1"/>
  <c r="C870" i="1"/>
  <c r="M869" i="1"/>
  <c r="L869" i="1"/>
  <c r="K869" i="1"/>
  <c r="J869" i="1"/>
  <c r="I869" i="1"/>
  <c r="H869" i="1"/>
  <c r="G869" i="1"/>
  <c r="F869" i="1"/>
  <c r="E869" i="1"/>
  <c r="D869" i="1"/>
  <c r="C869" i="1"/>
  <c r="M868" i="1"/>
  <c r="L868" i="1"/>
  <c r="K868" i="1"/>
  <c r="J868" i="1"/>
  <c r="I868" i="1"/>
  <c r="H868" i="1"/>
  <c r="G868" i="1"/>
  <c r="F868" i="1"/>
  <c r="E868" i="1"/>
  <c r="D868" i="1"/>
  <c r="C868" i="1"/>
  <c r="M867" i="1"/>
  <c r="L867" i="1"/>
  <c r="K867" i="1"/>
  <c r="J867" i="1"/>
  <c r="I867" i="1"/>
  <c r="H867" i="1"/>
  <c r="G867" i="1"/>
  <c r="F867" i="1"/>
  <c r="E867" i="1"/>
  <c r="D867" i="1"/>
  <c r="C867" i="1"/>
  <c r="M866" i="1"/>
  <c r="L866" i="1"/>
  <c r="K866" i="1"/>
  <c r="J866" i="1"/>
  <c r="I866" i="1"/>
  <c r="H866" i="1"/>
  <c r="G866" i="1"/>
  <c r="F866" i="1"/>
  <c r="E866" i="1"/>
  <c r="D866" i="1"/>
  <c r="C866" i="1"/>
  <c r="M865" i="1"/>
  <c r="L865" i="1"/>
  <c r="K865" i="1"/>
  <c r="J865" i="1"/>
  <c r="I865" i="1"/>
  <c r="H865" i="1"/>
  <c r="G865" i="1"/>
  <c r="F865" i="1"/>
  <c r="E865" i="1"/>
  <c r="D865" i="1"/>
  <c r="C865" i="1"/>
  <c r="M864" i="1"/>
  <c r="L864" i="1"/>
  <c r="K864" i="1"/>
  <c r="J864" i="1"/>
  <c r="I864" i="1"/>
  <c r="H864" i="1"/>
  <c r="G864" i="1"/>
  <c r="F864" i="1"/>
  <c r="E864" i="1"/>
  <c r="D864" i="1"/>
  <c r="C864" i="1"/>
  <c r="M863" i="1"/>
  <c r="L863" i="1"/>
  <c r="K863" i="1"/>
  <c r="J863" i="1"/>
  <c r="I863" i="1"/>
  <c r="H863" i="1"/>
  <c r="G863" i="1"/>
  <c r="F863" i="1"/>
  <c r="E863" i="1"/>
  <c r="D863" i="1"/>
  <c r="C863" i="1"/>
  <c r="M862" i="1"/>
  <c r="L862" i="1"/>
  <c r="K862" i="1"/>
  <c r="J862" i="1"/>
  <c r="I862" i="1"/>
  <c r="H862" i="1"/>
  <c r="G862" i="1"/>
  <c r="F862" i="1"/>
  <c r="E862" i="1"/>
  <c r="D862" i="1"/>
  <c r="C862" i="1"/>
  <c r="M861" i="1"/>
  <c r="L861" i="1"/>
  <c r="K861" i="1"/>
  <c r="J861" i="1"/>
  <c r="I861" i="1"/>
  <c r="H861" i="1"/>
  <c r="G861" i="1"/>
  <c r="F861" i="1"/>
  <c r="E861" i="1"/>
  <c r="D861" i="1"/>
  <c r="C861" i="1"/>
  <c r="M860" i="1"/>
  <c r="L860" i="1"/>
  <c r="K860" i="1"/>
  <c r="J860" i="1"/>
  <c r="I860" i="1"/>
  <c r="H860" i="1"/>
  <c r="G860" i="1"/>
  <c r="F860" i="1"/>
  <c r="E860" i="1"/>
  <c r="D860" i="1"/>
  <c r="C860" i="1"/>
  <c r="M859" i="1"/>
  <c r="L859" i="1"/>
  <c r="K859" i="1"/>
  <c r="J859" i="1"/>
  <c r="I859" i="1"/>
  <c r="H859" i="1"/>
  <c r="G859" i="1"/>
  <c r="F859" i="1"/>
  <c r="E859" i="1"/>
  <c r="D859" i="1"/>
  <c r="C859" i="1"/>
  <c r="M858" i="1"/>
  <c r="L858" i="1"/>
  <c r="K858" i="1"/>
  <c r="J858" i="1"/>
  <c r="I858" i="1"/>
  <c r="H858" i="1"/>
  <c r="G858" i="1"/>
  <c r="F858" i="1"/>
  <c r="E858" i="1"/>
  <c r="D858" i="1"/>
  <c r="C858" i="1"/>
  <c r="M857" i="1"/>
  <c r="L857" i="1"/>
  <c r="K857" i="1"/>
  <c r="J857" i="1"/>
  <c r="I857" i="1"/>
  <c r="H857" i="1"/>
  <c r="G857" i="1"/>
  <c r="F857" i="1"/>
  <c r="E857" i="1"/>
  <c r="D857" i="1"/>
  <c r="C857" i="1"/>
  <c r="M856" i="1"/>
  <c r="L856" i="1"/>
  <c r="K856" i="1"/>
  <c r="J856" i="1"/>
  <c r="I856" i="1"/>
  <c r="H856" i="1"/>
  <c r="G856" i="1"/>
  <c r="F856" i="1"/>
  <c r="E856" i="1"/>
  <c r="D856" i="1"/>
  <c r="C856" i="1"/>
  <c r="M855" i="1"/>
  <c r="L855" i="1"/>
  <c r="K855" i="1"/>
  <c r="J855" i="1"/>
  <c r="I855" i="1"/>
  <c r="H855" i="1"/>
  <c r="G855" i="1"/>
  <c r="F855" i="1"/>
  <c r="E855" i="1"/>
  <c r="D855" i="1"/>
  <c r="C855" i="1"/>
  <c r="M854" i="1"/>
  <c r="L854" i="1"/>
  <c r="K854" i="1"/>
  <c r="J854" i="1"/>
  <c r="I854" i="1"/>
  <c r="H854" i="1"/>
  <c r="G854" i="1"/>
  <c r="F854" i="1"/>
  <c r="E854" i="1"/>
  <c r="D854" i="1"/>
  <c r="C854" i="1"/>
  <c r="M853" i="1"/>
  <c r="L853" i="1"/>
  <c r="K853" i="1"/>
  <c r="J853" i="1"/>
  <c r="I853" i="1"/>
  <c r="H853" i="1"/>
  <c r="G853" i="1"/>
  <c r="F853" i="1"/>
  <c r="E853" i="1"/>
  <c r="D853" i="1"/>
  <c r="C853" i="1"/>
  <c r="M852" i="1"/>
  <c r="L852" i="1"/>
  <c r="K852" i="1"/>
  <c r="J852" i="1"/>
  <c r="I852" i="1"/>
  <c r="H852" i="1"/>
  <c r="G852" i="1"/>
  <c r="F852" i="1"/>
  <c r="E852" i="1"/>
  <c r="D852" i="1"/>
  <c r="C852" i="1"/>
  <c r="M851" i="1"/>
  <c r="L851" i="1"/>
  <c r="K851" i="1"/>
  <c r="J851" i="1"/>
  <c r="I851" i="1"/>
  <c r="H851" i="1"/>
  <c r="G851" i="1"/>
  <c r="F851" i="1"/>
  <c r="E851" i="1"/>
  <c r="D851" i="1"/>
  <c r="C851" i="1"/>
  <c r="M850" i="1"/>
  <c r="L850" i="1"/>
  <c r="K850" i="1"/>
  <c r="J850" i="1"/>
  <c r="I850" i="1"/>
  <c r="H850" i="1"/>
  <c r="G850" i="1"/>
  <c r="F850" i="1"/>
  <c r="E850" i="1"/>
  <c r="D850" i="1"/>
  <c r="C850" i="1"/>
  <c r="M849" i="1"/>
  <c r="L849" i="1"/>
  <c r="K849" i="1"/>
  <c r="J849" i="1"/>
  <c r="I849" i="1"/>
  <c r="H849" i="1"/>
  <c r="G849" i="1"/>
  <c r="F849" i="1"/>
  <c r="E849" i="1"/>
  <c r="D849" i="1"/>
  <c r="C849" i="1"/>
  <c r="M848" i="1"/>
  <c r="L848" i="1"/>
  <c r="K848" i="1"/>
  <c r="J848" i="1"/>
  <c r="I848" i="1"/>
  <c r="H848" i="1"/>
  <c r="G848" i="1"/>
  <c r="F848" i="1"/>
  <c r="E848" i="1"/>
  <c r="D848" i="1"/>
  <c r="C848" i="1"/>
  <c r="M847" i="1"/>
  <c r="L847" i="1"/>
  <c r="K847" i="1"/>
  <c r="J847" i="1"/>
  <c r="I847" i="1"/>
  <c r="H847" i="1"/>
  <c r="G847" i="1"/>
  <c r="F847" i="1"/>
  <c r="E847" i="1"/>
  <c r="D847" i="1"/>
  <c r="C847" i="1"/>
  <c r="M846" i="1"/>
  <c r="L846" i="1"/>
  <c r="K846" i="1"/>
  <c r="J846" i="1"/>
  <c r="I846" i="1"/>
  <c r="H846" i="1"/>
  <c r="G846" i="1"/>
  <c r="F846" i="1"/>
  <c r="E846" i="1"/>
  <c r="D846" i="1"/>
  <c r="C846" i="1"/>
  <c r="M845" i="1"/>
  <c r="L845" i="1"/>
  <c r="K845" i="1"/>
  <c r="J845" i="1"/>
  <c r="I845" i="1"/>
  <c r="H845" i="1"/>
  <c r="G845" i="1"/>
  <c r="F845" i="1"/>
  <c r="E845" i="1"/>
  <c r="D845" i="1"/>
  <c r="C845" i="1"/>
  <c r="M844" i="1"/>
  <c r="L844" i="1"/>
  <c r="K844" i="1"/>
  <c r="J844" i="1"/>
  <c r="I844" i="1"/>
  <c r="H844" i="1"/>
  <c r="G844" i="1"/>
  <c r="F844" i="1"/>
  <c r="E844" i="1"/>
  <c r="D844" i="1"/>
  <c r="C844" i="1"/>
  <c r="M843" i="1"/>
  <c r="L843" i="1"/>
  <c r="K843" i="1"/>
  <c r="J843" i="1"/>
  <c r="I843" i="1"/>
  <c r="H843" i="1"/>
  <c r="G843" i="1"/>
  <c r="F843" i="1"/>
  <c r="E843" i="1"/>
  <c r="D843" i="1"/>
  <c r="C843" i="1"/>
  <c r="M842" i="1"/>
  <c r="L842" i="1"/>
  <c r="K842" i="1"/>
  <c r="J842" i="1"/>
  <c r="I842" i="1"/>
  <c r="H842" i="1"/>
  <c r="G842" i="1"/>
  <c r="F842" i="1"/>
  <c r="E842" i="1"/>
  <c r="D842" i="1"/>
  <c r="C842" i="1"/>
  <c r="M841" i="1"/>
  <c r="L841" i="1"/>
  <c r="K841" i="1"/>
  <c r="J841" i="1"/>
  <c r="I841" i="1"/>
  <c r="H841" i="1"/>
  <c r="G841" i="1"/>
  <c r="F841" i="1"/>
  <c r="E841" i="1"/>
  <c r="D841" i="1"/>
  <c r="C841" i="1"/>
  <c r="M840" i="1"/>
  <c r="L840" i="1"/>
  <c r="K840" i="1"/>
  <c r="J840" i="1"/>
  <c r="I840" i="1"/>
  <c r="H840" i="1"/>
  <c r="G840" i="1"/>
  <c r="F840" i="1"/>
  <c r="E840" i="1"/>
  <c r="D840" i="1"/>
  <c r="C840" i="1"/>
  <c r="M839" i="1"/>
  <c r="L839" i="1"/>
  <c r="K839" i="1"/>
  <c r="J839" i="1"/>
  <c r="I839" i="1"/>
  <c r="H839" i="1"/>
  <c r="G839" i="1"/>
  <c r="F839" i="1"/>
  <c r="E839" i="1"/>
  <c r="D839" i="1"/>
  <c r="C839" i="1"/>
  <c r="M838" i="1"/>
  <c r="L838" i="1"/>
  <c r="K838" i="1"/>
  <c r="J838" i="1"/>
  <c r="I838" i="1"/>
  <c r="H838" i="1"/>
  <c r="G838" i="1"/>
  <c r="F838" i="1"/>
  <c r="E838" i="1"/>
  <c r="D838" i="1"/>
  <c r="C838" i="1"/>
  <c r="M837" i="1"/>
  <c r="L837" i="1"/>
  <c r="K837" i="1"/>
  <c r="J837" i="1"/>
  <c r="I837" i="1"/>
  <c r="H837" i="1"/>
  <c r="G837" i="1"/>
  <c r="F837" i="1"/>
  <c r="E837" i="1"/>
  <c r="D837" i="1"/>
  <c r="C837" i="1"/>
  <c r="M836" i="1"/>
  <c r="L836" i="1"/>
  <c r="K836" i="1"/>
  <c r="J836" i="1"/>
  <c r="I836" i="1"/>
  <c r="H836" i="1"/>
  <c r="G836" i="1"/>
  <c r="F836" i="1"/>
  <c r="E836" i="1"/>
  <c r="D836" i="1"/>
  <c r="C836" i="1"/>
  <c r="M835" i="1"/>
  <c r="L835" i="1"/>
  <c r="K835" i="1"/>
  <c r="J835" i="1"/>
  <c r="I835" i="1"/>
  <c r="H835" i="1"/>
  <c r="G835" i="1"/>
  <c r="F835" i="1"/>
  <c r="E835" i="1"/>
  <c r="D835" i="1"/>
  <c r="C835" i="1"/>
  <c r="M834" i="1"/>
  <c r="L834" i="1"/>
  <c r="K834" i="1"/>
  <c r="J834" i="1"/>
  <c r="I834" i="1"/>
  <c r="H834" i="1"/>
  <c r="G834" i="1"/>
  <c r="F834" i="1"/>
  <c r="E834" i="1"/>
  <c r="D834" i="1"/>
  <c r="C834" i="1"/>
  <c r="M833" i="1"/>
  <c r="L833" i="1"/>
  <c r="K833" i="1"/>
  <c r="J833" i="1"/>
  <c r="I833" i="1"/>
  <c r="H833" i="1"/>
  <c r="G833" i="1"/>
  <c r="F833" i="1"/>
  <c r="E833" i="1"/>
  <c r="D833" i="1"/>
  <c r="C833" i="1"/>
  <c r="M832" i="1"/>
  <c r="L832" i="1"/>
  <c r="K832" i="1"/>
  <c r="J832" i="1"/>
  <c r="I832" i="1"/>
  <c r="H832" i="1"/>
  <c r="G832" i="1"/>
  <c r="F832" i="1"/>
  <c r="E832" i="1"/>
  <c r="D832" i="1"/>
  <c r="C832" i="1"/>
  <c r="M831" i="1"/>
  <c r="L831" i="1"/>
  <c r="K831" i="1"/>
  <c r="J831" i="1"/>
  <c r="I831" i="1"/>
  <c r="H831" i="1"/>
  <c r="G831" i="1"/>
  <c r="F831" i="1"/>
  <c r="E831" i="1"/>
  <c r="D831" i="1"/>
  <c r="C831" i="1"/>
  <c r="M830" i="1"/>
  <c r="L830" i="1"/>
  <c r="K830" i="1"/>
  <c r="J830" i="1"/>
  <c r="I830" i="1"/>
  <c r="H830" i="1"/>
  <c r="G830" i="1"/>
  <c r="F830" i="1"/>
  <c r="E830" i="1"/>
  <c r="D830" i="1"/>
  <c r="C830" i="1"/>
  <c r="M829" i="1"/>
  <c r="L829" i="1"/>
  <c r="K829" i="1"/>
  <c r="J829" i="1"/>
  <c r="I829" i="1"/>
  <c r="H829" i="1"/>
  <c r="G829" i="1"/>
  <c r="F829" i="1"/>
  <c r="E829" i="1"/>
  <c r="D829" i="1"/>
  <c r="C829" i="1"/>
  <c r="M828" i="1"/>
  <c r="L828" i="1"/>
  <c r="K828" i="1"/>
  <c r="J828" i="1"/>
  <c r="I828" i="1"/>
  <c r="H828" i="1"/>
  <c r="G828" i="1"/>
  <c r="F828" i="1"/>
  <c r="E828" i="1"/>
  <c r="D828" i="1"/>
  <c r="C828" i="1"/>
  <c r="M827" i="1"/>
  <c r="L827" i="1"/>
  <c r="K827" i="1"/>
  <c r="J827" i="1"/>
  <c r="I827" i="1"/>
  <c r="H827" i="1"/>
  <c r="G827" i="1"/>
  <c r="F827" i="1"/>
  <c r="E827" i="1"/>
  <c r="D827" i="1"/>
  <c r="C827" i="1"/>
  <c r="M826" i="1"/>
  <c r="L826" i="1"/>
  <c r="K826" i="1"/>
  <c r="J826" i="1"/>
  <c r="I826" i="1"/>
  <c r="H826" i="1"/>
  <c r="G826" i="1"/>
  <c r="F826" i="1"/>
  <c r="E826" i="1"/>
  <c r="D826" i="1"/>
  <c r="C826" i="1"/>
  <c r="M825" i="1"/>
  <c r="L825" i="1"/>
  <c r="K825" i="1"/>
  <c r="J825" i="1"/>
  <c r="I825" i="1"/>
  <c r="H825" i="1"/>
  <c r="G825" i="1"/>
  <c r="F825" i="1"/>
  <c r="E825" i="1"/>
  <c r="D825" i="1"/>
  <c r="C825" i="1"/>
  <c r="M824" i="1"/>
  <c r="L824" i="1"/>
  <c r="K824" i="1"/>
  <c r="J824" i="1"/>
  <c r="I824" i="1"/>
  <c r="H824" i="1"/>
  <c r="G824" i="1"/>
  <c r="F824" i="1"/>
  <c r="E824" i="1"/>
  <c r="D824" i="1"/>
  <c r="C824" i="1"/>
  <c r="M823" i="1"/>
  <c r="L823" i="1"/>
  <c r="K823" i="1"/>
  <c r="J823" i="1"/>
  <c r="I823" i="1"/>
  <c r="H823" i="1"/>
  <c r="G823" i="1"/>
  <c r="F823" i="1"/>
  <c r="E823" i="1"/>
  <c r="D823" i="1"/>
  <c r="C823" i="1"/>
  <c r="M822" i="1"/>
  <c r="L822" i="1"/>
  <c r="K822" i="1"/>
  <c r="J822" i="1"/>
  <c r="I822" i="1"/>
  <c r="H822" i="1"/>
  <c r="G822" i="1"/>
  <c r="F822" i="1"/>
  <c r="E822" i="1"/>
  <c r="D822" i="1"/>
  <c r="C822" i="1"/>
  <c r="M821" i="1"/>
  <c r="L821" i="1"/>
  <c r="K821" i="1"/>
  <c r="J821" i="1"/>
  <c r="I821" i="1"/>
  <c r="H821" i="1"/>
  <c r="G821" i="1"/>
  <c r="F821" i="1"/>
  <c r="E821" i="1"/>
  <c r="D821" i="1"/>
  <c r="C821" i="1"/>
  <c r="M820" i="1"/>
  <c r="L820" i="1"/>
  <c r="K820" i="1"/>
  <c r="J820" i="1"/>
  <c r="I820" i="1"/>
  <c r="H820" i="1"/>
  <c r="G820" i="1"/>
  <c r="F820" i="1"/>
  <c r="E820" i="1"/>
  <c r="D820" i="1"/>
  <c r="C820" i="1"/>
  <c r="M819" i="1"/>
  <c r="L819" i="1"/>
  <c r="K819" i="1"/>
  <c r="J819" i="1"/>
  <c r="I819" i="1"/>
  <c r="H819" i="1"/>
  <c r="G819" i="1"/>
  <c r="F819" i="1"/>
  <c r="E819" i="1"/>
  <c r="D819" i="1"/>
  <c r="C819" i="1"/>
  <c r="M818" i="1"/>
  <c r="L818" i="1"/>
  <c r="K818" i="1"/>
  <c r="J818" i="1"/>
  <c r="I818" i="1"/>
  <c r="H818" i="1"/>
  <c r="G818" i="1"/>
  <c r="F818" i="1"/>
  <c r="E818" i="1"/>
  <c r="D818" i="1"/>
  <c r="C818" i="1"/>
  <c r="M817" i="1"/>
  <c r="L817" i="1"/>
  <c r="K817" i="1"/>
  <c r="J817" i="1"/>
  <c r="I817" i="1"/>
  <c r="H817" i="1"/>
  <c r="G817" i="1"/>
  <c r="F817" i="1"/>
  <c r="E817" i="1"/>
  <c r="D817" i="1"/>
  <c r="C817" i="1"/>
  <c r="M816" i="1"/>
  <c r="L816" i="1"/>
  <c r="K816" i="1"/>
  <c r="J816" i="1"/>
  <c r="I816" i="1"/>
  <c r="H816" i="1"/>
  <c r="G816" i="1"/>
  <c r="F816" i="1"/>
  <c r="E816" i="1"/>
  <c r="D816" i="1"/>
  <c r="C816" i="1"/>
  <c r="M815" i="1"/>
  <c r="L815" i="1"/>
  <c r="K815" i="1"/>
  <c r="J815" i="1"/>
  <c r="I815" i="1"/>
  <c r="H815" i="1"/>
  <c r="G815" i="1"/>
  <c r="F815" i="1"/>
  <c r="E815" i="1"/>
  <c r="D815" i="1"/>
  <c r="C815" i="1"/>
  <c r="M814" i="1"/>
  <c r="L814" i="1"/>
  <c r="K814" i="1"/>
  <c r="J814" i="1"/>
  <c r="I814" i="1"/>
  <c r="H814" i="1"/>
  <c r="G814" i="1"/>
  <c r="F814" i="1"/>
  <c r="E814" i="1"/>
  <c r="D814" i="1"/>
  <c r="C814" i="1"/>
  <c r="M813" i="1"/>
  <c r="L813" i="1"/>
  <c r="K813" i="1"/>
  <c r="J813" i="1"/>
  <c r="I813" i="1"/>
  <c r="H813" i="1"/>
  <c r="G813" i="1"/>
  <c r="F813" i="1"/>
  <c r="E813" i="1"/>
  <c r="D813" i="1"/>
  <c r="C813" i="1"/>
  <c r="M812" i="1"/>
  <c r="L812" i="1"/>
  <c r="K812" i="1"/>
  <c r="J812" i="1"/>
  <c r="I812" i="1"/>
  <c r="H812" i="1"/>
  <c r="G812" i="1"/>
  <c r="F812" i="1"/>
  <c r="E812" i="1"/>
  <c r="D812" i="1"/>
  <c r="C812" i="1"/>
  <c r="M811" i="1"/>
  <c r="L811" i="1"/>
  <c r="K811" i="1"/>
  <c r="J811" i="1"/>
  <c r="I811" i="1"/>
  <c r="H811" i="1"/>
  <c r="G811" i="1"/>
  <c r="F811" i="1"/>
  <c r="E811" i="1"/>
  <c r="D811" i="1"/>
  <c r="C811" i="1"/>
  <c r="M810" i="1"/>
  <c r="L810" i="1"/>
  <c r="K810" i="1"/>
  <c r="J810" i="1"/>
  <c r="I810" i="1"/>
  <c r="H810" i="1"/>
  <c r="G810" i="1"/>
  <c r="F810" i="1"/>
  <c r="E810" i="1"/>
  <c r="D810" i="1"/>
  <c r="C810" i="1"/>
  <c r="M809" i="1"/>
  <c r="L809" i="1"/>
  <c r="K809" i="1"/>
  <c r="J809" i="1"/>
  <c r="I809" i="1"/>
  <c r="H809" i="1"/>
  <c r="G809" i="1"/>
  <c r="F809" i="1"/>
  <c r="E809" i="1"/>
  <c r="D809" i="1"/>
  <c r="C809" i="1"/>
  <c r="M808" i="1"/>
  <c r="L808" i="1"/>
  <c r="K808" i="1"/>
  <c r="J808" i="1"/>
  <c r="I808" i="1"/>
  <c r="H808" i="1"/>
  <c r="G808" i="1"/>
  <c r="F808" i="1"/>
  <c r="E808" i="1"/>
  <c r="D808" i="1"/>
  <c r="C808" i="1"/>
  <c r="M807" i="1"/>
  <c r="L807" i="1"/>
  <c r="K807" i="1"/>
  <c r="J807" i="1"/>
  <c r="I807" i="1"/>
  <c r="H807" i="1"/>
  <c r="G807" i="1"/>
  <c r="F807" i="1"/>
  <c r="E807" i="1"/>
  <c r="D807" i="1"/>
  <c r="C807" i="1"/>
  <c r="M806" i="1"/>
  <c r="L806" i="1"/>
  <c r="K806" i="1"/>
  <c r="J806" i="1"/>
  <c r="I806" i="1"/>
  <c r="H806" i="1"/>
  <c r="G806" i="1"/>
  <c r="F806" i="1"/>
  <c r="E806" i="1"/>
  <c r="D806" i="1"/>
  <c r="C806" i="1"/>
  <c r="M805" i="1"/>
  <c r="L805" i="1"/>
  <c r="K805" i="1"/>
  <c r="J805" i="1"/>
  <c r="I805" i="1"/>
  <c r="H805" i="1"/>
  <c r="G805" i="1"/>
  <c r="F805" i="1"/>
  <c r="E805" i="1"/>
  <c r="D805" i="1"/>
  <c r="C805" i="1"/>
  <c r="M804" i="1"/>
  <c r="L804" i="1"/>
  <c r="K804" i="1"/>
  <c r="J804" i="1"/>
  <c r="I804" i="1"/>
  <c r="H804" i="1"/>
  <c r="G804" i="1"/>
  <c r="F804" i="1"/>
  <c r="E804" i="1"/>
  <c r="D804" i="1"/>
  <c r="C804" i="1"/>
  <c r="M803" i="1"/>
  <c r="L803" i="1"/>
  <c r="K803" i="1"/>
  <c r="J803" i="1"/>
  <c r="I803" i="1"/>
  <c r="H803" i="1"/>
  <c r="G803" i="1"/>
  <c r="F803" i="1"/>
  <c r="E803" i="1"/>
  <c r="D803" i="1"/>
  <c r="C803" i="1"/>
  <c r="M802" i="1"/>
  <c r="L802" i="1"/>
  <c r="K802" i="1"/>
  <c r="J802" i="1"/>
  <c r="I802" i="1"/>
  <c r="H802" i="1"/>
  <c r="G802" i="1"/>
  <c r="F802" i="1"/>
  <c r="E802" i="1"/>
  <c r="D802" i="1"/>
  <c r="C802" i="1"/>
  <c r="M801" i="1"/>
  <c r="L801" i="1"/>
  <c r="K801" i="1"/>
  <c r="J801" i="1"/>
  <c r="I801" i="1"/>
  <c r="H801" i="1"/>
  <c r="G801" i="1"/>
  <c r="F801" i="1"/>
  <c r="E801" i="1"/>
  <c r="D801" i="1"/>
  <c r="C801" i="1"/>
  <c r="M800" i="1"/>
  <c r="L800" i="1"/>
  <c r="K800" i="1"/>
  <c r="J800" i="1"/>
  <c r="I800" i="1"/>
  <c r="H800" i="1"/>
  <c r="G800" i="1"/>
  <c r="F800" i="1"/>
  <c r="E800" i="1"/>
  <c r="D800" i="1"/>
  <c r="C800" i="1"/>
  <c r="M799" i="1"/>
  <c r="L799" i="1"/>
  <c r="K799" i="1"/>
  <c r="J799" i="1"/>
  <c r="I799" i="1"/>
  <c r="H799" i="1"/>
  <c r="G799" i="1"/>
  <c r="F799" i="1"/>
  <c r="E799" i="1"/>
  <c r="D799" i="1"/>
  <c r="C799" i="1"/>
  <c r="M798" i="1"/>
  <c r="L798" i="1"/>
  <c r="K798" i="1"/>
  <c r="J798" i="1"/>
  <c r="I798" i="1"/>
  <c r="H798" i="1"/>
  <c r="G798" i="1"/>
  <c r="F798" i="1"/>
  <c r="E798" i="1"/>
  <c r="D798" i="1"/>
  <c r="C798" i="1"/>
  <c r="M797" i="1"/>
  <c r="L797" i="1"/>
  <c r="K797" i="1"/>
  <c r="J797" i="1"/>
  <c r="I797" i="1"/>
  <c r="H797" i="1"/>
  <c r="G797" i="1"/>
  <c r="F797" i="1"/>
  <c r="E797" i="1"/>
  <c r="D797" i="1"/>
  <c r="C797" i="1"/>
  <c r="M796" i="1"/>
  <c r="L796" i="1"/>
  <c r="K796" i="1"/>
  <c r="J796" i="1"/>
  <c r="I796" i="1"/>
  <c r="H796" i="1"/>
  <c r="G796" i="1"/>
  <c r="F796" i="1"/>
  <c r="E796" i="1"/>
  <c r="D796" i="1"/>
  <c r="C796" i="1"/>
  <c r="M795" i="1"/>
  <c r="L795" i="1"/>
  <c r="K795" i="1"/>
  <c r="J795" i="1"/>
  <c r="I795" i="1"/>
  <c r="H795" i="1"/>
  <c r="G795" i="1"/>
  <c r="F795" i="1"/>
  <c r="E795" i="1"/>
  <c r="D795" i="1"/>
  <c r="C795" i="1"/>
  <c r="M794" i="1"/>
  <c r="L794" i="1"/>
  <c r="K794" i="1"/>
  <c r="J794" i="1"/>
  <c r="I794" i="1"/>
  <c r="H794" i="1"/>
  <c r="G794" i="1"/>
  <c r="F794" i="1"/>
  <c r="E794" i="1"/>
  <c r="D794" i="1"/>
  <c r="C794" i="1"/>
  <c r="M793" i="1"/>
  <c r="L793" i="1"/>
  <c r="K793" i="1"/>
  <c r="J793" i="1"/>
  <c r="I793" i="1"/>
  <c r="H793" i="1"/>
  <c r="G793" i="1"/>
  <c r="F793" i="1"/>
  <c r="E793" i="1"/>
  <c r="D793" i="1"/>
  <c r="C793" i="1"/>
  <c r="M792" i="1"/>
  <c r="L792" i="1"/>
  <c r="K792" i="1"/>
  <c r="J792" i="1"/>
  <c r="I792" i="1"/>
  <c r="H792" i="1"/>
  <c r="G792" i="1"/>
  <c r="F792" i="1"/>
  <c r="E792" i="1"/>
  <c r="D792" i="1"/>
  <c r="C792" i="1"/>
  <c r="M791" i="1"/>
  <c r="L791" i="1"/>
  <c r="K791" i="1"/>
  <c r="J791" i="1"/>
  <c r="I791" i="1"/>
  <c r="H791" i="1"/>
  <c r="G791" i="1"/>
  <c r="F791" i="1"/>
  <c r="E791" i="1"/>
  <c r="D791" i="1"/>
  <c r="C791" i="1"/>
  <c r="M790" i="1"/>
  <c r="L790" i="1"/>
  <c r="K790" i="1"/>
  <c r="J790" i="1"/>
  <c r="I790" i="1"/>
  <c r="H790" i="1"/>
  <c r="G790" i="1"/>
  <c r="F790" i="1"/>
  <c r="E790" i="1"/>
  <c r="D790" i="1"/>
  <c r="C790" i="1"/>
  <c r="M789" i="1"/>
  <c r="L789" i="1"/>
  <c r="K789" i="1"/>
  <c r="J789" i="1"/>
  <c r="I789" i="1"/>
  <c r="H789" i="1"/>
  <c r="G789" i="1"/>
  <c r="F789" i="1"/>
  <c r="E789" i="1"/>
  <c r="D789" i="1"/>
  <c r="C789" i="1"/>
  <c r="M788" i="1"/>
  <c r="L788" i="1"/>
  <c r="K788" i="1"/>
  <c r="J788" i="1"/>
  <c r="I788" i="1"/>
  <c r="H788" i="1"/>
  <c r="G788" i="1"/>
  <c r="F788" i="1"/>
  <c r="E788" i="1"/>
  <c r="D788" i="1"/>
  <c r="C788" i="1"/>
  <c r="M787" i="1"/>
  <c r="L787" i="1"/>
  <c r="K787" i="1"/>
  <c r="J787" i="1"/>
  <c r="I787" i="1"/>
  <c r="H787" i="1"/>
  <c r="G787" i="1"/>
  <c r="F787" i="1"/>
  <c r="E787" i="1"/>
  <c r="D787" i="1"/>
  <c r="C787" i="1"/>
  <c r="M786" i="1"/>
  <c r="L786" i="1"/>
  <c r="K786" i="1"/>
  <c r="J786" i="1"/>
  <c r="I786" i="1"/>
  <c r="H786" i="1"/>
  <c r="G786" i="1"/>
  <c r="F786" i="1"/>
  <c r="E786" i="1"/>
  <c r="D786" i="1"/>
  <c r="C786" i="1"/>
  <c r="M785" i="1"/>
  <c r="L785" i="1"/>
  <c r="K785" i="1"/>
  <c r="J785" i="1"/>
  <c r="I785" i="1"/>
  <c r="H785" i="1"/>
  <c r="G785" i="1"/>
  <c r="F785" i="1"/>
  <c r="E785" i="1"/>
  <c r="D785" i="1"/>
  <c r="C785" i="1"/>
  <c r="M784" i="1"/>
  <c r="L784" i="1"/>
  <c r="K784" i="1"/>
  <c r="J784" i="1"/>
  <c r="I784" i="1"/>
  <c r="H784" i="1"/>
  <c r="G784" i="1"/>
  <c r="F784" i="1"/>
  <c r="E784" i="1"/>
  <c r="D784" i="1"/>
  <c r="C784" i="1"/>
  <c r="M783" i="1"/>
  <c r="L783" i="1"/>
  <c r="K783" i="1"/>
  <c r="J783" i="1"/>
  <c r="I783" i="1"/>
  <c r="H783" i="1"/>
  <c r="G783" i="1"/>
  <c r="F783" i="1"/>
  <c r="E783" i="1"/>
  <c r="D783" i="1"/>
  <c r="C783" i="1"/>
  <c r="M782" i="1"/>
  <c r="L782" i="1"/>
  <c r="K782" i="1"/>
  <c r="J782" i="1"/>
  <c r="I782" i="1"/>
  <c r="H782" i="1"/>
  <c r="G782" i="1"/>
  <c r="F782" i="1"/>
  <c r="E782" i="1"/>
  <c r="D782" i="1"/>
  <c r="C782" i="1"/>
  <c r="M781" i="1"/>
  <c r="L781" i="1"/>
  <c r="K781" i="1"/>
  <c r="J781" i="1"/>
  <c r="I781" i="1"/>
  <c r="H781" i="1"/>
  <c r="G781" i="1"/>
  <c r="F781" i="1"/>
  <c r="E781" i="1"/>
  <c r="D781" i="1"/>
  <c r="C781" i="1"/>
  <c r="M780" i="1"/>
  <c r="L780" i="1"/>
  <c r="K780" i="1"/>
  <c r="J780" i="1"/>
  <c r="I780" i="1"/>
  <c r="H780" i="1"/>
  <c r="G780" i="1"/>
  <c r="F780" i="1"/>
  <c r="E780" i="1"/>
  <c r="D780" i="1"/>
  <c r="C780" i="1"/>
  <c r="M779" i="1"/>
  <c r="L779" i="1"/>
  <c r="K779" i="1"/>
  <c r="J779" i="1"/>
  <c r="I779" i="1"/>
  <c r="H779" i="1"/>
  <c r="G779" i="1"/>
  <c r="F779" i="1"/>
  <c r="E779" i="1"/>
  <c r="D779" i="1"/>
  <c r="C779" i="1"/>
  <c r="M778" i="1"/>
  <c r="L778" i="1"/>
  <c r="K778" i="1"/>
  <c r="J778" i="1"/>
  <c r="I778" i="1"/>
  <c r="H778" i="1"/>
  <c r="G778" i="1"/>
  <c r="F778" i="1"/>
  <c r="E778" i="1"/>
  <c r="D778" i="1"/>
  <c r="C778" i="1"/>
  <c r="M777" i="1"/>
  <c r="L777" i="1"/>
  <c r="K777" i="1"/>
  <c r="J777" i="1"/>
  <c r="I777" i="1"/>
  <c r="H777" i="1"/>
  <c r="G777" i="1"/>
  <c r="F777" i="1"/>
  <c r="E777" i="1"/>
  <c r="D777" i="1"/>
  <c r="C777" i="1"/>
  <c r="M776" i="1"/>
  <c r="L776" i="1"/>
  <c r="K776" i="1"/>
  <c r="J776" i="1"/>
  <c r="I776" i="1"/>
  <c r="H776" i="1"/>
  <c r="G776" i="1"/>
  <c r="F776" i="1"/>
  <c r="E776" i="1"/>
  <c r="D776" i="1"/>
  <c r="C776" i="1"/>
  <c r="M775" i="1"/>
  <c r="L775" i="1"/>
  <c r="K775" i="1"/>
  <c r="J775" i="1"/>
  <c r="I775" i="1"/>
  <c r="H775" i="1"/>
  <c r="G775" i="1"/>
  <c r="F775" i="1"/>
  <c r="E775" i="1"/>
  <c r="D775" i="1"/>
  <c r="C775" i="1"/>
  <c r="M774" i="1"/>
  <c r="L774" i="1"/>
  <c r="K774" i="1"/>
  <c r="J774" i="1"/>
  <c r="I774" i="1"/>
  <c r="H774" i="1"/>
  <c r="G774" i="1"/>
  <c r="F774" i="1"/>
  <c r="E774" i="1"/>
  <c r="D774" i="1"/>
  <c r="C774" i="1"/>
  <c r="M773" i="1"/>
  <c r="L773" i="1"/>
  <c r="K773" i="1"/>
  <c r="J773" i="1"/>
  <c r="I773" i="1"/>
  <c r="H773" i="1"/>
  <c r="G773" i="1"/>
  <c r="F773" i="1"/>
  <c r="E773" i="1"/>
  <c r="D773" i="1"/>
  <c r="C773" i="1"/>
  <c r="M772" i="1"/>
  <c r="L772" i="1"/>
  <c r="K772" i="1"/>
  <c r="J772" i="1"/>
  <c r="I772" i="1"/>
  <c r="H772" i="1"/>
  <c r="G772" i="1"/>
  <c r="F772" i="1"/>
  <c r="E772" i="1"/>
  <c r="D772" i="1"/>
  <c r="C772" i="1"/>
  <c r="M771" i="1"/>
  <c r="L771" i="1"/>
  <c r="K771" i="1"/>
  <c r="J771" i="1"/>
  <c r="I771" i="1"/>
  <c r="H771" i="1"/>
  <c r="G771" i="1"/>
  <c r="F771" i="1"/>
  <c r="E771" i="1"/>
  <c r="D771" i="1"/>
  <c r="C771" i="1"/>
  <c r="M770" i="1"/>
  <c r="L770" i="1"/>
  <c r="K770" i="1"/>
  <c r="J770" i="1"/>
  <c r="I770" i="1"/>
  <c r="H770" i="1"/>
  <c r="G770" i="1"/>
  <c r="F770" i="1"/>
  <c r="E770" i="1"/>
  <c r="D770" i="1"/>
  <c r="C770" i="1"/>
  <c r="M769" i="1"/>
  <c r="L769" i="1"/>
  <c r="K769" i="1"/>
  <c r="J769" i="1"/>
  <c r="I769" i="1"/>
  <c r="H769" i="1"/>
  <c r="G769" i="1"/>
  <c r="F769" i="1"/>
  <c r="E769" i="1"/>
  <c r="D769" i="1"/>
  <c r="C769" i="1"/>
  <c r="M768" i="1"/>
  <c r="L768" i="1"/>
  <c r="K768" i="1"/>
  <c r="J768" i="1"/>
  <c r="I768" i="1"/>
  <c r="H768" i="1"/>
  <c r="G768" i="1"/>
  <c r="F768" i="1"/>
  <c r="E768" i="1"/>
  <c r="D768" i="1"/>
  <c r="C768" i="1"/>
  <c r="M767" i="1"/>
  <c r="L767" i="1"/>
  <c r="K767" i="1"/>
  <c r="J767" i="1"/>
  <c r="I767" i="1"/>
  <c r="H767" i="1"/>
  <c r="G767" i="1"/>
  <c r="F767" i="1"/>
  <c r="E767" i="1"/>
  <c r="D767" i="1"/>
  <c r="C767" i="1"/>
  <c r="M766" i="1"/>
  <c r="L766" i="1"/>
  <c r="K766" i="1"/>
  <c r="J766" i="1"/>
  <c r="I766" i="1"/>
  <c r="H766" i="1"/>
  <c r="G766" i="1"/>
  <c r="F766" i="1"/>
  <c r="E766" i="1"/>
  <c r="D766" i="1"/>
  <c r="C766" i="1"/>
  <c r="M765" i="1"/>
  <c r="L765" i="1"/>
  <c r="K765" i="1"/>
  <c r="J765" i="1"/>
  <c r="I765" i="1"/>
  <c r="H765" i="1"/>
  <c r="G765" i="1"/>
  <c r="F765" i="1"/>
  <c r="E765" i="1"/>
  <c r="D765" i="1"/>
  <c r="C765" i="1"/>
  <c r="M764" i="1"/>
  <c r="L764" i="1"/>
  <c r="K764" i="1"/>
  <c r="J764" i="1"/>
  <c r="I764" i="1"/>
  <c r="H764" i="1"/>
  <c r="G764" i="1"/>
  <c r="F764" i="1"/>
  <c r="E764" i="1"/>
  <c r="D764" i="1"/>
  <c r="C764" i="1"/>
  <c r="M763" i="1"/>
  <c r="L763" i="1"/>
  <c r="K763" i="1"/>
  <c r="J763" i="1"/>
  <c r="I763" i="1"/>
  <c r="H763" i="1"/>
  <c r="G763" i="1"/>
  <c r="F763" i="1"/>
  <c r="E763" i="1"/>
  <c r="D763" i="1"/>
  <c r="C763" i="1"/>
  <c r="M762" i="1"/>
  <c r="L762" i="1"/>
  <c r="K762" i="1"/>
  <c r="J762" i="1"/>
  <c r="I762" i="1"/>
  <c r="H762" i="1"/>
  <c r="G762" i="1"/>
  <c r="F762" i="1"/>
  <c r="E762" i="1"/>
  <c r="D762" i="1"/>
  <c r="C762" i="1"/>
  <c r="M761" i="1"/>
  <c r="L761" i="1"/>
  <c r="K761" i="1"/>
  <c r="J761" i="1"/>
  <c r="I761" i="1"/>
  <c r="H761" i="1"/>
  <c r="G761" i="1"/>
  <c r="F761" i="1"/>
  <c r="E761" i="1"/>
  <c r="D761" i="1"/>
  <c r="C761" i="1"/>
  <c r="M760" i="1"/>
  <c r="L760" i="1"/>
  <c r="K760" i="1"/>
  <c r="J760" i="1"/>
  <c r="I760" i="1"/>
  <c r="H760" i="1"/>
  <c r="G760" i="1"/>
  <c r="F760" i="1"/>
  <c r="E760" i="1"/>
  <c r="D760" i="1"/>
  <c r="C760" i="1"/>
  <c r="M759" i="1"/>
  <c r="L759" i="1"/>
  <c r="K759" i="1"/>
  <c r="J759" i="1"/>
  <c r="I759" i="1"/>
  <c r="H759" i="1"/>
  <c r="G759" i="1"/>
  <c r="F759" i="1"/>
  <c r="E759" i="1"/>
  <c r="D759" i="1"/>
  <c r="C759" i="1"/>
  <c r="M758" i="1"/>
  <c r="L758" i="1"/>
  <c r="K758" i="1"/>
  <c r="J758" i="1"/>
  <c r="I758" i="1"/>
  <c r="H758" i="1"/>
  <c r="G758" i="1"/>
  <c r="F758" i="1"/>
  <c r="E758" i="1"/>
  <c r="D758" i="1"/>
  <c r="C758" i="1"/>
  <c r="M757" i="1"/>
  <c r="L757" i="1"/>
  <c r="K757" i="1"/>
  <c r="J757" i="1"/>
  <c r="I757" i="1"/>
  <c r="H757" i="1"/>
  <c r="G757" i="1"/>
  <c r="F757" i="1"/>
  <c r="E757" i="1"/>
  <c r="D757" i="1"/>
  <c r="C757" i="1"/>
  <c r="M756" i="1"/>
  <c r="L756" i="1"/>
  <c r="K756" i="1"/>
  <c r="J756" i="1"/>
  <c r="I756" i="1"/>
  <c r="H756" i="1"/>
  <c r="G756" i="1"/>
  <c r="F756" i="1"/>
  <c r="E756" i="1"/>
  <c r="D756" i="1"/>
  <c r="C756" i="1"/>
  <c r="M755" i="1"/>
  <c r="L755" i="1"/>
  <c r="K755" i="1"/>
  <c r="J755" i="1"/>
  <c r="I755" i="1"/>
  <c r="H755" i="1"/>
  <c r="G755" i="1"/>
  <c r="F755" i="1"/>
  <c r="E755" i="1"/>
  <c r="D755" i="1"/>
  <c r="C755" i="1"/>
  <c r="M754" i="1"/>
  <c r="L754" i="1"/>
  <c r="K754" i="1"/>
  <c r="J754" i="1"/>
  <c r="I754" i="1"/>
  <c r="H754" i="1"/>
  <c r="G754" i="1"/>
  <c r="F754" i="1"/>
  <c r="E754" i="1"/>
  <c r="D754" i="1"/>
  <c r="C754" i="1"/>
  <c r="M753" i="1"/>
  <c r="L753" i="1"/>
  <c r="K753" i="1"/>
  <c r="J753" i="1"/>
  <c r="I753" i="1"/>
  <c r="H753" i="1"/>
  <c r="G753" i="1"/>
  <c r="F753" i="1"/>
  <c r="E753" i="1"/>
  <c r="D753" i="1"/>
  <c r="C753" i="1"/>
  <c r="M752" i="1"/>
  <c r="L752" i="1"/>
  <c r="K752" i="1"/>
  <c r="J752" i="1"/>
  <c r="I752" i="1"/>
  <c r="H752" i="1"/>
  <c r="G752" i="1"/>
  <c r="F752" i="1"/>
  <c r="E752" i="1"/>
  <c r="D752" i="1"/>
  <c r="C752" i="1"/>
  <c r="M751" i="1"/>
  <c r="L751" i="1"/>
  <c r="K751" i="1"/>
  <c r="J751" i="1"/>
  <c r="I751" i="1"/>
  <c r="H751" i="1"/>
  <c r="G751" i="1"/>
  <c r="F751" i="1"/>
  <c r="E751" i="1"/>
  <c r="D751" i="1"/>
  <c r="C751" i="1"/>
  <c r="M750" i="1"/>
  <c r="L750" i="1"/>
  <c r="K750" i="1"/>
  <c r="J750" i="1"/>
  <c r="I750" i="1"/>
  <c r="H750" i="1"/>
  <c r="G750" i="1"/>
  <c r="F750" i="1"/>
  <c r="E750" i="1"/>
  <c r="D750" i="1"/>
  <c r="C750" i="1"/>
  <c r="M749" i="1"/>
  <c r="L749" i="1"/>
  <c r="K749" i="1"/>
  <c r="J749" i="1"/>
  <c r="I749" i="1"/>
  <c r="H749" i="1"/>
  <c r="G749" i="1"/>
  <c r="F749" i="1"/>
  <c r="E749" i="1"/>
  <c r="D749" i="1"/>
  <c r="C749" i="1"/>
  <c r="M748" i="1"/>
  <c r="L748" i="1"/>
  <c r="K748" i="1"/>
  <c r="J748" i="1"/>
  <c r="I748" i="1"/>
  <c r="H748" i="1"/>
  <c r="G748" i="1"/>
  <c r="F748" i="1"/>
  <c r="E748" i="1"/>
  <c r="D748" i="1"/>
  <c r="C748" i="1"/>
  <c r="M747" i="1"/>
  <c r="L747" i="1"/>
  <c r="K747" i="1"/>
  <c r="J747" i="1"/>
  <c r="I747" i="1"/>
  <c r="H747" i="1"/>
  <c r="G747" i="1"/>
  <c r="F747" i="1"/>
  <c r="E747" i="1"/>
  <c r="D747" i="1"/>
  <c r="C747" i="1"/>
  <c r="M746" i="1"/>
  <c r="L746" i="1"/>
  <c r="K746" i="1"/>
  <c r="J746" i="1"/>
  <c r="I746" i="1"/>
  <c r="H746" i="1"/>
  <c r="G746" i="1"/>
  <c r="F746" i="1"/>
  <c r="E746" i="1"/>
  <c r="D746" i="1"/>
  <c r="C746" i="1"/>
  <c r="M745" i="1"/>
  <c r="L745" i="1"/>
  <c r="K745" i="1"/>
  <c r="J745" i="1"/>
  <c r="I745" i="1"/>
  <c r="H745" i="1"/>
  <c r="G745" i="1"/>
  <c r="F745" i="1"/>
  <c r="E745" i="1"/>
  <c r="D745" i="1"/>
  <c r="C745" i="1"/>
  <c r="M744" i="1"/>
  <c r="L744" i="1"/>
  <c r="K744" i="1"/>
  <c r="J744" i="1"/>
  <c r="I744" i="1"/>
  <c r="H744" i="1"/>
  <c r="G744" i="1"/>
  <c r="F744" i="1"/>
  <c r="E744" i="1"/>
  <c r="D744" i="1"/>
  <c r="C744" i="1"/>
  <c r="M743" i="1"/>
  <c r="L743" i="1"/>
  <c r="K743" i="1"/>
  <c r="J743" i="1"/>
  <c r="I743" i="1"/>
  <c r="H743" i="1"/>
  <c r="G743" i="1"/>
  <c r="F743" i="1"/>
  <c r="E743" i="1"/>
  <c r="D743" i="1"/>
  <c r="C743" i="1"/>
  <c r="M742" i="1"/>
  <c r="L742" i="1"/>
  <c r="K742" i="1"/>
  <c r="J742" i="1"/>
  <c r="I742" i="1"/>
  <c r="H742" i="1"/>
  <c r="G742" i="1"/>
  <c r="F742" i="1"/>
  <c r="E742" i="1"/>
  <c r="D742" i="1"/>
  <c r="C742" i="1"/>
  <c r="M741" i="1"/>
  <c r="L741" i="1"/>
  <c r="K741" i="1"/>
  <c r="J741" i="1"/>
  <c r="I741" i="1"/>
  <c r="H741" i="1"/>
  <c r="G741" i="1"/>
  <c r="F741" i="1"/>
  <c r="E741" i="1"/>
  <c r="D741" i="1"/>
  <c r="C741" i="1"/>
  <c r="M740" i="1"/>
  <c r="L740" i="1"/>
  <c r="K740" i="1"/>
  <c r="J740" i="1"/>
  <c r="I740" i="1"/>
  <c r="H740" i="1"/>
  <c r="G740" i="1"/>
  <c r="F740" i="1"/>
  <c r="E740" i="1"/>
  <c r="D740" i="1"/>
  <c r="C740" i="1"/>
  <c r="M739" i="1"/>
  <c r="L739" i="1"/>
  <c r="K739" i="1"/>
  <c r="J739" i="1"/>
  <c r="I739" i="1"/>
  <c r="H739" i="1"/>
  <c r="G739" i="1"/>
  <c r="F739" i="1"/>
  <c r="E739" i="1"/>
  <c r="D739" i="1"/>
  <c r="C739" i="1"/>
  <c r="M738" i="1"/>
  <c r="L738" i="1"/>
  <c r="K738" i="1"/>
  <c r="J738" i="1"/>
  <c r="I738" i="1"/>
  <c r="H738" i="1"/>
  <c r="G738" i="1"/>
  <c r="F738" i="1"/>
  <c r="E738" i="1"/>
  <c r="D738" i="1"/>
  <c r="C738" i="1"/>
  <c r="M737" i="1"/>
  <c r="L737" i="1"/>
  <c r="K737" i="1"/>
  <c r="J737" i="1"/>
  <c r="I737" i="1"/>
  <c r="H737" i="1"/>
  <c r="G737" i="1"/>
  <c r="F737" i="1"/>
  <c r="E737" i="1"/>
  <c r="D737" i="1"/>
  <c r="C737" i="1"/>
  <c r="M736" i="1"/>
  <c r="L736" i="1"/>
  <c r="K736" i="1"/>
  <c r="J736" i="1"/>
  <c r="I736" i="1"/>
  <c r="H736" i="1"/>
  <c r="G736" i="1"/>
  <c r="F736" i="1"/>
  <c r="E736" i="1"/>
  <c r="D736" i="1"/>
  <c r="C736" i="1"/>
  <c r="M735" i="1"/>
  <c r="L735" i="1"/>
  <c r="K735" i="1"/>
  <c r="J735" i="1"/>
  <c r="I735" i="1"/>
  <c r="H735" i="1"/>
  <c r="G735" i="1"/>
  <c r="F735" i="1"/>
  <c r="E735" i="1"/>
  <c r="D735" i="1"/>
  <c r="C735" i="1"/>
  <c r="M734" i="1"/>
  <c r="L734" i="1"/>
  <c r="K734" i="1"/>
  <c r="J734" i="1"/>
  <c r="I734" i="1"/>
  <c r="H734" i="1"/>
  <c r="G734" i="1"/>
  <c r="F734" i="1"/>
  <c r="E734" i="1"/>
  <c r="D734" i="1"/>
  <c r="C734" i="1"/>
  <c r="M733" i="1"/>
  <c r="L733" i="1"/>
  <c r="K733" i="1"/>
  <c r="J733" i="1"/>
  <c r="I733" i="1"/>
  <c r="H733" i="1"/>
  <c r="G733" i="1"/>
  <c r="F733" i="1"/>
  <c r="E733" i="1"/>
  <c r="D733" i="1"/>
  <c r="C733" i="1"/>
  <c r="M732" i="1"/>
  <c r="L732" i="1"/>
  <c r="K732" i="1"/>
  <c r="J732" i="1"/>
  <c r="I732" i="1"/>
  <c r="H732" i="1"/>
  <c r="G732" i="1"/>
  <c r="F732" i="1"/>
  <c r="E732" i="1"/>
  <c r="D732" i="1"/>
  <c r="C732" i="1"/>
  <c r="M731" i="1"/>
  <c r="L731" i="1"/>
  <c r="K731" i="1"/>
  <c r="J731" i="1"/>
  <c r="I731" i="1"/>
  <c r="H731" i="1"/>
  <c r="G731" i="1"/>
  <c r="F731" i="1"/>
  <c r="E731" i="1"/>
  <c r="D731" i="1"/>
  <c r="C731" i="1"/>
  <c r="M730" i="1"/>
  <c r="L730" i="1"/>
  <c r="K730" i="1"/>
  <c r="J730" i="1"/>
  <c r="I730" i="1"/>
  <c r="H730" i="1"/>
  <c r="G730" i="1"/>
  <c r="F730" i="1"/>
  <c r="E730" i="1"/>
  <c r="D730" i="1"/>
  <c r="C730" i="1"/>
  <c r="M729" i="1"/>
  <c r="L729" i="1"/>
  <c r="K729" i="1"/>
  <c r="J729" i="1"/>
  <c r="I729" i="1"/>
  <c r="H729" i="1"/>
  <c r="G729" i="1"/>
  <c r="F729" i="1"/>
  <c r="E729" i="1"/>
  <c r="D729" i="1"/>
  <c r="C729" i="1"/>
  <c r="M728" i="1"/>
  <c r="L728" i="1"/>
  <c r="K728" i="1"/>
  <c r="J728" i="1"/>
  <c r="I728" i="1"/>
  <c r="H728" i="1"/>
  <c r="G728" i="1"/>
  <c r="F728" i="1"/>
  <c r="E728" i="1"/>
  <c r="D728" i="1"/>
  <c r="C728" i="1"/>
  <c r="M727" i="1"/>
  <c r="L727" i="1"/>
  <c r="K727" i="1"/>
  <c r="J727" i="1"/>
  <c r="I727" i="1"/>
  <c r="H727" i="1"/>
  <c r="G727" i="1"/>
  <c r="F727" i="1"/>
  <c r="E727" i="1"/>
  <c r="D727" i="1"/>
  <c r="C727" i="1"/>
  <c r="M726" i="1"/>
  <c r="L726" i="1"/>
  <c r="K726" i="1"/>
  <c r="J726" i="1"/>
  <c r="I726" i="1"/>
  <c r="H726" i="1"/>
  <c r="G726" i="1"/>
  <c r="F726" i="1"/>
  <c r="E726" i="1"/>
  <c r="D726" i="1"/>
  <c r="C726" i="1"/>
  <c r="M725" i="1"/>
  <c r="L725" i="1"/>
  <c r="K725" i="1"/>
  <c r="J725" i="1"/>
  <c r="I725" i="1"/>
  <c r="H725" i="1"/>
  <c r="G725" i="1"/>
  <c r="F725" i="1"/>
  <c r="E725" i="1"/>
  <c r="D725" i="1"/>
  <c r="C725" i="1"/>
  <c r="M724" i="1"/>
  <c r="L724" i="1"/>
  <c r="K724" i="1"/>
  <c r="J724" i="1"/>
  <c r="I724" i="1"/>
  <c r="H724" i="1"/>
  <c r="G724" i="1"/>
  <c r="F724" i="1"/>
  <c r="E724" i="1"/>
  <c r="D724" i="1"/>
  <c r="C724" i="1"/>
  <c r="M723" i="1"/>
  <c r="L723" i="1"/>
  <c r="K723" i="1"/>
  <c r="J723" i="1"/>
  <c r="I723" i="1"/>
  <c r="H723" i="1"/>
  <c r="G723" i="1"/>
  <c r="F723" i="1"/>
  <c r="E723" i="1"/>
  <c r="D723" i="1"/>
  <c r="C723" i="1"/>
  <c r="M722" i="1"/>
  <c r="L722" i="1"/>
  <c r="K722" i="1"/>
  <c r="J722" i="1"/>
  <c r="I722" i="1"/>
  <c r="H722" i="1"/>
  <c r="G722" i="1"/>
  <c r="F722" i="1"/>
  <c r="E722" i="1"/>
  <c r="D722" i="1"/>
  <c r="C722" i="1"/>
  <c r="M721" i="1"/>
  <c r="L721" i="1"/>
  <c r="K721" i="1"/>
  <c r="J721" i="1"/>
  <c r="I721" i="1"/>
  <c r="H721" i="1"/>
  <c r="G721" i="1"/>
  <c r="F721" i="1"/>
  <c r="E721" i="1"/>
  <c r="D721" i="1"/>
  <c r="C721" i="1"/>
  <c r="M720" i="1"/>
  <c r="L720" i="1"/>
  <c r="K720" i="1"/>
  <c r="J720" i="1"/>
  <c r="I720" i="1"/>
  <c r="H720" i="1"/>
  <c r="G720" i="1"/>
  <c r="F720" i="1"/>
  <c r="E720" i="1"/>
  <c r="D720" i="1"/>
  <c r="C720" i="1"/>
  <c r="M719" i="1"/>
  <c r="L719" i="1"/>
  <c r="K719" i="1"/>
  <c r="J719" i="1"/>
  <c r="I719" i="1"/>
  <c r="H719" i="1"/>
  <c r="G719" i="1"/>
  <c r="F719" i="1"/>
  <c r="E719" i="1"/>
  <c r="D719" i="1"/>
  <c r="C719" i="1"/>
  <c r="M718" i="1"/>
  <c r="L718" i="1"/>
  <c r="K718" i="1"/>
  <c r="J718" i="1"/>
  <c r="I718" i="1"/>
  <c r="H718" i="1"/>
  <c r="G718" i="1"/>
  <c r="F718" i="1"/>
  <c r="E718" i="1"/>
  <c r="D718" i="1"/>
  <c r="C718" i="1"/>
  <c r="M717" i="1"/>
  <c r="L717" i="1"/>
  <c r="K717" i="1"/>
  <c r="J717" i="1"/>
  <c r="I717" i="1"/>
  <c r="H717" i="1"/>
  <c r="G717" i="1"/>
  <c r="F717" i="1"/>
  <c r="E717" i="1"/>
  <c r="D717" i="1"/>
  <c r="C717" i="1"/>
  <c r="M716" i="1"/>
  <c r="L716" i="1"/>
  <c r="K716" i="1"/>
  <c r="J716" i="1"/>
  <c r="I716" i="1"/>
  <c r="H716" i="1"/>
  <c r="G716" i="1"/>
  <c r="F716" i="1"/>
  <c r="E716" i="1"/>
  <c r="D716" i="1"/>
  <c r="C716" i="1"/>
  <c r="M715" i="1"/>
  <c r="L715" i="1"/>
  <c r="K715" i="1"/>
  <c r="J715" i="1"/>
  <c r="I715" i="1"/>
  <c r="H715" i="1"/>
  <c r="G715" i="1"/>
  <c r="F715" i="1"/>
  <c r="E715" i="1"/>
  <c r="D715" i="1"/>
  <c r="C715" i="1"/>
  <c r="M714" i="1"/>
  <c r="L714" i="1"/>
  <c r="K714" i="1"/>
  <c r="J714" i="1"/>
  <c r="I714" i="1"/>
  <c r="H714" i="1"/>
  <c r="G714" i="1"/>
  <c r="F714" i="1"/>
  <c r="E714" i="1"/>
  <c r="D714" i="1"/>
  <c r="C714" i="1"/>
  <c r="M713" i="1"/>
  <c r="L713" i="1"/>
  <c r="K713" i="1"/>
  <c r="J713" i="1"/>
  <c r="I713" i="1"/>
  <c r="H713" i="1"/>
  <c r="G713" i="1"/>
  <c r="F713" i="1"/>
  <c r="E713" i="1"/>
  <c r="D713" i="1"/>
  <c r="C713" i="1"/>
  <c r="M712" i="1"/>
  <c r="L712" i="1"/>
  <c r="K712" i="1"/>
  <c r="J712" i="1"/>
  <c r="I712" i="1"/>
  <c r="H712" i="1"/>
  <c r="G712" i="1"/>
  <c r="F712" i="1"/>
  <c r="E712" i="1"/>
  <c r="D712" i="1"/>
  <c r="C712" i="1"/>
  <c r="M711" i="1"/>
  <c r="L711" i="1"/>
  <c r="K711" i="1"/>
  <c r="J711" i="1"/>
  <c r="I711" i="1"/>
  <c r="H711" i="1"/>
  <c r="G711" i="1"/>
  <c r="F711" i="1"/>
  <c r="E711" i="1"/>
  <c r="D711" i="1"/>
  <c r="C711" i="1"/>
  <c r="M710" i="1"/>
  <c r="L710" i="1"/>
  <c r="K710" i="1"/>
  <c r="J710" i="1"/>
  <c r="I710" i="1"/>
  <c r="H710" i="1"/>
  <c r="G710" i="1"/>
  <c r="F710" i="1"/>
  <c r="E710" i="1"/>
  <c r="D710" i="1"/>
  <c r="C710" i="1"/>
  <c r="M709" i="1"/>
  <c r="L709" i="1"/>
  <c r="K709" i="1"/>
  <c r="J709" i="1"/>
  <c r="I709" i="1"/>
  <c r="H709" i="1"/>
  <c r="G709" i="1"/>
  <c r="F709" i="1"/>
  <c r="E709" i="1"/>
  <c r="D709" i="1"/>
  <c r="C709" i="1"/>
  <c r="M708" i="1"/>
  <c r="L708" i="1"/>
  <c r="K708" i="1"/>
  <c r="J708" i="1"/>
  <c r="I708" i="1"/>
  <c r="H708" i="1"/>
  <c r="G708" i="1"/>
  <c r="F708" i="1"/>
  <c r="E708" i="1"/>
  <c r="D708" i="1"/>
  <c r="C708" i="1"/>
  <c r="M707" i="1"/>
  <c r="L707" i="1"/>
  <c r="K707" i="1"/>
  <c r="J707" i="1"/>
  <c r="I707" i="1"/>
  <c r="H707" i="1"/>
  <c r="G707" i="1"/>
  <c r="F707" i="1"/>
  <c r="E707" i="1"/>
  <c r="D707" i="1"/>
  <c r="C707" i="1"/>
  <c r="M706" i="1"/>
  <c r="L706" i="1"/>
  <c r="K706" i="1"/>
  <c r="J706" i="1"/>
  <c r="I706" i="1"/>
  <c r="H706" i="1"/>
  <c r="G706" i="1"/>
  <c r="F706" i="1"/>
  <c r="E706" i="1"/>
  <c r="D706" i="1"/>
  <c r="C706" i="1"/>
  <c r="M705" i="1"/>
  <c r="L705" i="1"/>
  <c r="K705" i="1"/>
  <c r="J705" i="1"/>
  <c r="I705" i="1"/>
  <c r="H705" i="1"/>
  <c r="G705" i="1"/>
  <c r="F705" i="1"/>
  <c r="E705" i="1"/>
  <c r="D705" i="1"/>
  <c r="C705" i="1"/>
  <c r="M704" i="1"/>
  <c r="L704" i="1"/>
  <c r="K704" i="1"/>
  <c r="J704" i="1"/>
  <c r="I704" i="1"/>
  <c r="H704" i="1"/>
  <c r="G704" i="1"/>
  <c r="F704" i="1"/>
  <c r="E704" i="1"/>
  <c r="D704" i="1"/>
  <c r="C704" i="1"/>
  <c r="M703" i="1"/>
  <c r="L703" i="1"/>
  <c r="K703" i="1"/>
  <c r="J703" i="1"/>
  <c r="I703" i="1"/>
  <c r="H703" i="1"/>
  <c r="G703" i="1"/>
  <c r="F703" i="1"/>
  <c r="E703" i="1"/>
  <c r="D703" i="1"/>
  <c r="C703" i="1"/>
  <c r="M702" i="1"/>
  <c r="L702" i="1"/>
  <c r="K702" i="1"/>
  <c r="J702" i="1"/>
  <c r="I702" i="1"/>
  <c r="H702" i="1"/>
  <c r="G702" i="1"/>
  <c r="F702" i="1"/>
  <c r="E702" i="1"/>
  <c r="D702" i="1"/>
  <c r="C702" i="1"/>
  <c r="M701" i="1"/>
  <c r="L701" i="1"/>
  <c r="K701" i="1"/>
  <c r="J701" i="1"/>
  <c r="I701" i="1"/>
  <c r="H701" i="1"/>
  <c r="G701" i="1"/>
  <c r="F701" i="1"/>
  <c r="E701" i="1"/>
  <c r="D701" i="1"/>
  <c r="C701" i="1"/>
  <c r="M700" i="1"/>
  <c r="L700" i="1"/>
  <c r="K700" i="1"/>
  <c r="J700" i="1"/>
  <c r="I700" i="1"/>
  <c r="H700" i="1"/>
  <c r="G700" i="1"/>
  <c r="F700" i="1"/>
  <c r="E700" i="1"/>
  <c r="D700" i="1"/>
  <c r="C700" i="1"/>
  <c r="M699" i="1"/>
  <c r="L699" i="1"/>
  <c r="K699" i="1"/>
  <c r="J699" i="1"/>
  <c r="I699" i="1"/>
  <c r="H699" i="1"/>
  <c r="G699" i="1"/>
  <c r="F699" i="1"/>
  <c r="E699" i="1"/>
  <c r="D699" i="1"/>
  <c r="C699" i="1"/>
  <c r="M698" i="1"/>
  <c r="L698" i="1"/>
  <c r="K698" i="1"/>
  <c r="J698" i="1"/>
  <c r="I698" i="1"/>
  <c r="H698" i="1"/>
  <c r="G698" i="1"/>
  <c r="F698" i="1"/>
  <c r="E698" i="1"/>
  <c r="D698" i="1"/>
  <c r="C698" i="1"/>
  <c r="M697" i="1"/>
  <c r="L697" i="1"/>
  <c r="K697" i="1"/>
  <c r="J697" i="1"/>
  <c r="I697" i="1"/>
  <c r="H697" i="1"/>
  <c r="G697" i="1"/>
  <c r="F697" i="1"/>
  <c r="E697" i="1"/>
  <c r="D697" i="1"/>
  <c r="C697" i="1"/>
  <c r="M696" i="1"/>
  <c r="L696" i="1"/>
  <c r="K696" i="1"/>
  <c r="J696" i="1"/>
  <c r="I696" i="1"/>
  <c r="H696" i="1"/>
  <c r="G696" i="1"/>
  <c r="F696" i="1"/>
  <c r="E696" i="1"/>
  <c r="D696" i="1"/>
  <c r="C696" i="1"/>
  <c r="M695" i="1"/>
  <c r="L695" i="1"/>
  <c r="K695" i="1"/>
  <c r="J695" i="1"/>
  <c r="I695" i="1"/>
  <c r="H695" i="1"/>
  <c r="G695" i="1"/>
  <c r="F695" i="1"/>
  <c r="E695" i="1"/>
  <c r="D695" i="1"/>
  <c r="C695" i="1"/>
  <c r="M694" i="1"/>
  <c r="L694" i="1"/>
  <c r="K694" i="1"/>
  <c r="J694" i="1"/>
  <c r="I694" i="1"/>
  <c r="H694" i="1"/>
  <c r="G694" i="1"/>
  <c r="F694" i="1"/>
  <c r="E694" i="1"/>
  <c r="D694" i="1"/>
  <c r="C694" i="1"/>
  <c r="M693" i="1"/>
  <c r="L693" i="1"/>
  <c r="K693" i="1"/>
  <c r="J693" i="1"/>
  <c r="I693" i="1"/>
  <c r="H693" i="1"/>
  <c r="G693" i="1"/>
  <c r="F693" i="1"/>
  <c r="E693" i="1"/>
  <c r="D693" i="1"/>
  <c r="C693" i="1"/>
  <c r="M692" i="1"/>
  <c r="L692" i="1"/>
  <c r="K692" i="1"/>
  <c r="J692" i="1"/>
  <c r="I692" i="1"/>
  <c r="H692" i="1"/>
  <c r="G692" i="1"/>
  <c r="F692" i="1"/>
  <c r="E692" i="1"/>
  <c r="D692" i="1"/>
  <c r="C692" i="1"/>
  <c r="M691" i="1"/>
  <c r="L691" i="1"/>
  <c r="K691" i="1"/>
  <c r="J691" i="1"/>
  <c r="I691" i="1"/>
  <c r="H691" i="1"/>
  <c r="G691" i="1"/>
  <c r="F691" i="1"/>
  <c r="E691" i="1"/>
  <c r="D691" i="1"/>
  <c r="C691" i="1"/>
  <c r="M690" i="1"/>
  <c r="L690" i="1"/>
  <c r="K690" i="1"/>
  <c r="J690" i="1"/>
  <c r="I690" i="1"/>
  <c r="H690" i="1"/>
  <c r="G690" i="1"/>
  <c r="F690" i="1"/>
  <c r="E690" i="1"/>
  <c r="D690" i="1"/>
  <c r="C690" i="1"/>
  <c r="M689" i="1"/>
  <c r="L689" i="1"/>
  <c r="K689" i="1"/>
  <c r="J689" i="1"/>
  <c r="I689" i="1"/>
  <c r="H689" i="1"/>
  <c r="G689" i="1"/>
  <c r="F689" i="1"/>
  <c r="E689" i="1"/>
  <c r="D689" i="1"/>
  <c r="C689" i="1"/>
  <c r="M688" i="1"/>
  <c r="L688" i="1"/>
  <c r="K688" i="1"/>
  <c r="J688" i="1"/>
  <c r="I688" i="1"/>
  <c r="H688" i="1"/>
  <c r="G688" i="1"/>
  <c r="F688" i="1"/>
  <c r="E688" i="1"/>
  <c r="D688" i="1"/>
  <c r="C688" i="1"/>
  <c r="M687" i="1"/>
  <c r="L687" i="1"/>
  <c r="K687" i="1"/>
  <c r="J687" i="1"/>
  <c r="I687" i="1"/>
  <c r="H687" i="1"/>
  <c r="G687" i="1"/>
  <c r="F687" i="1"/>
  <c r="E687" i="1"/>
  <c r="D687" i="1"/>
  <c r="C687" i="1"/>
  <c r="M686" i="1"/>
  <c r="L686" i="1"/>
  <c r="K686" i="1"/>
  <c r="J686" i="1"/>
  <c r="I686" i="1"/>
  <c r="H686" i="1"/>
  <c r="G686" i="1"/>
  <c r="F686" i="1"/>
  <c r="E686" i="1"/>
  <c r="D686" i="1"/>
  <c r="C686" i="1"/>
  <c r="M685" i="1"/>
  <c r="L685" i="1"/>
  <c r="K685" i="1"/>
  <c r="J685" i="1"/>
  <c r="I685" i="1"/>
  <c r="H685" i="1"/>
  <c r="G685" i="1"/>
  <c r="F685" i="1"/>
  <c r="E685" i="1"/>
  <c r="D685" i="1"/>
  <c r="C685" i="1"/>
  <c r="M684" i="1"/>
  <c r="L684" i="1"/>
  <c r="K684" i="1"/>
  <c r="J684" i="1"/>
  <c r="I684" i="1"/>
  <c r="H684" i="1"/>
  <c r="G684" i="1"/>
  <c r="F684" i="1"/>
  <c r="E684" i="1"/>
  <c r="D684" i="1"/>
  <c r="C684" i="1"/>
  <c r="M683" i="1"/>
  <c r="L683" i="1"/>
  <c r="K683" i="1"/>
  <c r="J683" i="1"/>
  <c r="I683" i="1"/>
  <c r="H683" i="1"/>
  <c r="G683" i="1"/>
  <c r="F683" i="1"/>
  <c r="E683" i="1"/>
  <c r="D683" i="1"/>
  <c r="C683" i="1"/>
  <c r="M682" i="1"/>
  <c r="L682" i="1"/>
  <c r="K682" i="1"/>
  <c r="J682" i="1"/>
  <c r="I682" i="1"/>
  <c r="H682" i="1"/>
  <c r="G682" i="1"/>
  <c r="F682" i="1"/>
  <c r="E682" i="1"/>
  <c r="D682" i="1"/>
  <c r="C682" i="1"/>
  <c r="M681" i="1"/>
  <c r="L681" i="1"/>
  <c r="K681" i="1"/>
  <c r="J681" i="1"/>
  <c r="I681" i="1"/>
  <c r="H681" i="1"/>
  <c r="G681" i="1"/>
  <c r="F681" i="1"/>
  <c r="E681" i="1"/>
  <c r="D681" i="1"/>
  <c r="C681" i="1"/>
  <c r="M680" i="1"/>
  <c r="L680" i="1"/>
  <c r="K680" i="1"/>
  <c r="J680" i="1"/>
  <c r="I680" i="1"/>
  <c r="H680" i="1"/>
  <c r="G680" i="1"/>
  <c r="F680" i="1"/>
  <c r="E680" i="1"/>
  <c r="D680" i="1"/>
  <c r="C680" i="1"/>
  <c r="M679" i="1"/>
  <c r="L679" i="1"/>
  <c r="K679" i="1"/>
  <c r="J679" i="1"/>
  <c r="I679" i="1"/>
  <c r="H679" i="1"/>
  <c r="G679" i="1"/>
  <c r="F679" i="1"/>
  <c r="E679" i="1"/>
  <c r="D679" i="1"/>
  <c r="C679" i="1"/>
  <c r="M678" i="1"/>
  <c r="L678" i="1"/>
  <c r="K678" i="1"/>
  <c r="J678" i="1"/>
  <c r="I678" i="1"/>
  <c r="H678" i="1"/>
  <c r="G678" i="1"/>
  <c r="F678" i="1"/>
  <c r="E678" i="1"/>
  <c r="D678" i="1"/>
  <c r="C678" i="1"/>
  <c r="M677" i="1"/>
  <c r="L677" i="1"/>
  <c r="K677" i="1"/>
  <c r="J677" i="1"/>
  <c r="I677" i="1"/>
  <c r="H677" i="1"/>
  <c r="G677" i="1"/>
  <c r="F677" i="1"/>
  <c r="E677" i="1"/>
  <c r="D677" i="1"/>
  <c r="C677" i="1"/>
  <c r="M676" i="1"/>
  <c r="L676" i="1"/>
  <c r="K676" i="1"/>
  <c r="J676" i="1"/>
  <c r="I676" i="1"/>
  <c r="H676" i="1"/>
  <c r="G676" i="1"/>
  <c r="F676" i="1"/>
  <c r="E676" i="1"/>
  <c r="D676" i="1"/>
  <c r="C676" i="1"/>
  <c r="M675" i="1"/>
  <c r="L675" i="1"/>
  <c r="K675" i="1"/>
  <c r="J675" i="1"/>
  <c r="I675" i="1"/>
  <c r="H675" i="1"/>
  <c r="G675" i="1"/>
  <c r="F675" i="1"/>
  <c r="E675" i="1"/>
  <c r="D675" i="1"/>
  <c r="C675" i="1"/>
  <c r="M674" i="1"/>
  <c r="L674" i="1"/>
  <c r="K674" i="1"/>
  <c r="J674" i="1"/>
  <c r="I674" i="1"/>
  <c r="H674" i="1"/>
  <c r="G674" i="1"/>
  <c r="F674" i="1"/>
  <c r="E674" i="1"/>
  <c r="D674" i="1"/>
  <c r="C674" i="1"/>
  <c r="M673" i="1"/>
  <c r="L673" i="1"/>
  <c r="K673" i="1"/>
  <c r="J673" i="1"/>
  <c r="I673" i="1"/>
  <c r="H673" i="1"/>
  <c r="G673" i="1"/>
  <c r="F673" i="1"/>
  <c r="E673" i="1"/>
  <c r="D673" i="1"/>
  <c r="C673" i="1"/>
  <c r="M672" i="1"/>
  <c r="L672" i="1"/>
  <c r="K672" i="1"/>
  <c r="J672" i="1"/>
  <c r="I672" i="1"/>
  <c r="H672" i="1"/>
  <c r="G672" i="1"/>
  <c r="F672" i="1"/>
  <c r="E672" i="1"/>
  <c r="D672" i="1"/>
  <c r="C672" i="1"/>
  <c r="M671" i="1"/>
  <c r="L671" i="1"/>
  <c r="K671" i="1"/>
  <c r="J671" i="1"/>
  <c r="I671" i="1"/>
  <c r="H671" i="1"/>
  <c r="G671" i="1"/>
  <c r="F671" i="1"/>
  <c r="E671" i="1"/>
  <c r="D671" i="1"/>
  <c r="C671" i="1"/>
  <c r="M670" i="1"/>
  <c r="L670" i="1"/>
  <c r="K670" i="1"/>
  <c r="J670" i="1"/>
  <c r="I670" i="1"/>
  <c r="H670" i="1"/>
  <c r="G670" i="1"/>
  <c r="F670" i="1"/>
  <c r="E670" i="1"/>
  <c r="D670" i="1"/>
  <c r="C670" i="1"/>
  <c r="M669" i="1"/>
  <c r="L669" i="1"/>
  <c r="K669" i="1"/>
  <c r="J669" i="1"/>
  <c r="I669" i="1"/>
  <c r="H669" i="1"/>
  <c r="G669" i="1"/>
  <c r="F669" i="1"/>
  <c r="E669" i="1"/>
  <c r="D669" i="1"/>
  <c r="C669" i="1"/>
  <c r="M668" i="1"/>
  <c r="L668" i="1"/>
  <c r="K668" i="1"/>
  <c r="J668" i="1"/>
  <c r="I668" i="1"/>
  <c r="H668" i="1"/>
  <c r="G668" i="1"/>
  <c r="F668" i="1"/>
  <c r="E668" i="1"/>
  <c r="D668" i="1"/>
  <c r="C668" i="1"/>
  <c r="M667" i="1"/>
  <c r="L667" i="1"/>
  <c r="K667" i="1"/>
  <c r="J667" i="1"/>
  <c r="I667" i="1"/>
  <c r="H667" i="1"/>
  <c r="G667" i="1"/>
  <c r="F667" i="1"/>
  <c r="E667" i="1"/>
  <c r="D667" i="1"/>
  <c r="C667" i="1"/>
  <c r="M666" i="1"/>
  <c r="L666" i="1"/>
  <c r="K666" i="1"/>
  <c r="J666" i="1"/>
  <c r="I666" i="1"/>
  <c r="H666" i="1"/>
  <c r="G666" i="1"/>
  <c r="F666" i="1"/>
  <c r="E666" i="1"/>
  <c r="D666" i="1"/>
  <c r="C666" i="1"/>
  <c r="M665" i="1"/>
  <c r="L665" i="1"/>
  <c r="K665" i="1"/>
  <c r="J665" i="1"/>
  <c r="I665" i="1"/>
  <c r="H665" i="1"/>
  <c r="G665" i="1"/>
  <c r="F665" i="1"/>
  <c r="E665" i="1"/>
  <c r="D665" i="1"/>
  <c r="C665" i="1"/>
  <c r="M664" i="1"/>
  <c r="L664" i="1"/>
  <c r="K664" i="1"/>
  <c r="J664" i="1"/>
  <c r="I664" i="1"/>
  <c r="H664" i="1"/>
  <c r="G664" i="1"/>
  <c r="F664" i="1"/>
  <c r="E664" i="1"/>
  <c r="D664" i="1"/>
  <c r="C664" i="1"/>
  <c r="M663" i="1"/>
  <c r="L663" i="1"/>
  <c r="K663" i="1"/>
  <c r="J663" i="1"/>
  <c r="I663" i="1"/>
  <c r="H663" i="1"/>
  <c r="G663" i="1"/>
  <c r="F663" i="1"/>
  <c r="E663" i="1"/>
  <c r="D663" i="1"/>
  <c r="C663" i="1"/>
  <c r="M662" i="1"/>
  <c r="L662" i="1"/>
  <c r="K662" i="1"/>
  <c r="J662" i="1"/>
  <c r="I662" i="1"/>
  <c r="H662" i="1"/>
  <c r="G662" i="1"/>
  <c r="F662" i="1"/>
  <c r="E662" i="1"/>
  <c r="D662" i="1"/>
  <c r="C662" i="1"/>
  <c r="M661" i="1"/>
  <c r="L661" i="1"/>
  <c r="K661" i="1"/>
  <c r="J661" i="1"/>
  <c r="I661" i="1"/>
  <c r="H661" i="1"/>
  <c r="G661" i="1"/>
  <c r="F661" i="1"/>
  <c r="E661" i="1"/>
  <c r="D661" i="1"/>
  <c r="C661" i="1"/>
  <c r="M660" i="1"/>
  <c r="L660" i="1"/>
  <c r="K660" i="1"/>
  <c r="J660" i="1"/>
  <c r="I660" i="1"/>
  <c r="H660" i="1"/>
  <c r="G660" i="1"/>
  <c r="F660" i="1"/>
  <c r="E660" i="1"/>
  <c r="D660" i="1"/>
  <c r="C660" i="1"/>
  <c r="M659" i="1"/>
  <c r="L659" i="1"/>
  <c r="K659" i="1"/>
  <c r="J659" i="1"/>
  <c r="I659" i="1"/>
  <c r="H659" i="1"/>
  <c r="G659" i="1"/>
  <c r="F659" i="1"/>
  <c r="E659" i="1"/>
  <c r="D659" i="1"/>
  <c r="C659" i="1"/>
  <c r="M658" i="1"/>
  <c r="L658" i="1"/>
  <c r="K658" i="1"/>
  <c r="J658" i="1"/>
  <c r="I658" i="1"/>
  <c r="H658" i="1"/>
  <c r="G658" i="1"/>
  <c r="F658" i="1"/>
  <c r="E658" i="1"/>
  <c r="D658" i="1"/>
  <c r="C658" i="1"/>
  <c r="M657" i="1"/>
  <c r="L657" i="1"/>
  <c r="K657" i="1"/>
  <c r="J657" i="1"/>
  <c r="I657" i="1"/>
  <c r="H657" i="1"/>
  <c r="G657" i="1"/>
  <c r="F657" i="1"/>
  <c r="E657" i="1"/>
  <c r="D657" i="1"/>
  <c r="C657" i="1"/>
  <c r="M656" i="1"/>
  <c r="L656" i="1"/>
  <c r="K656" i="1"/>
  <c r="J656" i="1"/>
  <c r="I656" i="1"/>
  <c r="H656" i="1"/>
  <c r="G656" i="1"/>
  <c r="F656" i="1"/>
  <c r="E656" i="1"/>
  <c r="D656" i="1"/>
  <c r="C656" i="1"/>
  <c r="M655" i="1"/>
  <c r="L655" i="1"/>
  <c r="K655" i="1"/>
  <c r="J655" i="1"/>
  <c r="I655" i="1"/>
  <c r="H655" i="1"/>
  <c r="G655" i="1"/>
  <c r="F655" i="1"/>
  <c r="E655" i="1"/>
  <c r="D655" i="1"/>
  <c r="C655" i="1"/>
  <c r="M654" i="1"/>
  <c r="L654" i="1"/>
  <c r="K654" i="1"/>
  <c r="J654" i="1"/>
  <c r="I654" i="1"/>
  <c r="H654" i="1"/>
  <c r="G654" i="1"/>
  <c r="F654" i="1"/>
  <c r="E654" i="1"/>
  <c r="D654" i="1"/>
  <c r="C654" i="1"/>
  <c r="M653" i="1"/>
  <c r="L653" i="1"/>
  <c r="K653" i="1"/>
  <c r="J653" i="1"/>
  <c r="I653" i="1"/>
  <c r="H653" i="1"/>
  <c r="G653" i="1"/>
  <c r="F653" i="1"/>
  <c r="E653" i="1"/>
  <c r="D653" i="1"/>
  <c r="C653" i="1"/>
  <c r="M652" i="1"/>
  <c r="L652" i="1"/>
  <c r="K652" i="1"/>
  <c r="J652" i="1"/>
  <c r="I652" i="1"/>
  <c r="H652" i="1"/>
  <c r="G652" i="1"/>
  <c r="F652" i="1"/>
  <c r="E652" i="1"/>
  <c r="D652" i="1"/>
  <c r="C652" i="1"/>
  <c r="M651" i="1"/>
  <c r="L651" i="1"/>
  <c r="K651" i="1"/>
  <c r="J651" i="1"/>
  <c r="I651" i="1"/>
  <c r="H651" i="1"/>
  <c r="G651" i="1"/>
  <c r="F651" i="1"/>
  <c r="E651" i="1"/>
  <c r="D651" i="1"/>
  <c r="C651" i="1"/>
  <c r="M650" i="1"/>
  <c r="L650" i="1"/>
  <c r="K650" i="1"/>
  <c r="J650" i="1"/>
  <c r="I650" i="1"/>
  <c r="H650" i="1"/>
  <c r="G650" i="1"/>
  <c r="F650" i="1"/>
  <c r="E650" i="1"/>
  <c r="D650" i="1"/>
  <c r="C650" i="1"/>
  <c r="M649" i="1"/>
  <c r="L649" i="1"/>
  <c r="K649" i="1"/>
  <c r="J649" i="1"/>
  <c r="I649" i="1"/>
  <c r="H649" i="1"/>
  <c r="G649" i="1"/>
  <c r="F649" i="1"/>
  <c r="E649" i="1"/>
  <c r="D649" i="1"/>
  <c r="C649" i="1"/>
  <c r="M648" i="1"/>
  <c r="L648" i="1"/>
  <c r="K648" i="1"/>
  <c r="J648" i="1"/>
  <c r="I648" i="1"/>
  <c r="H648" i="1"/>
  <c r="G648" i="1"/>
  <c r="F648" i="1"/>
  <c r="E648" i="1"/>
  <c r="D648" i="1"/>
  <c r="C648" i="1"/>
  <c r="M647" i="1"/>
  <c r="L647" i="1"/>
  <c r="K647" i="1"/>
  <c r="J647" i="1"/>
  <c r="I647" i="1"/>
  <c r="H647" i="1"/>
  <c r="G647" i="1"/>
  <c r="F647" i="1"/>
  <c r="E647" i="1"/>
  <c r="D647" i="1"/>
  <c r="C647" i="1"/>
  <c r="M646" i="1"/>
  <c r="L646" i="1"/>
  <c r="K646" i="1"/>
  <c r="J646" i="1"/>
  <c r="I646" i="1"/>
  <c r="H646" i="1"/>
  <c r="G646" i="1"/>
  <c r="F646" i="1"/>
  <c r="E646" i="1"/>
  <c r="D646" i="1"/>
  <c r="C646" i="1"/>
  <c r="M645" i="1"/>
  <c r="L645" i="1"/>
  <c r="K645" i="1"/>
  <c r="J645" i="1"/>
  <c r="I645" i="1"/>
  <c r="H645" i="1"/>
  <c r="G645" i="1"/>
  <c r="F645" i="1"/>
  <c r="E645" i="1"/>
  <c r="D645" i="1"/>
  <c r="C645" i="1"/>
  <c r="M644" i="1"/>
  <c r="L644" i="1"/>
  <c r="K644" i="1"/>
  <c r="J644" i="1"/>
  <c r="I644" i="1"/>
  <c r="H644" i="1"/>
  <c r="G644" i="1"/>
  <c r="F644" i="1"/>
  <c r="E644" i="1"/>
  <c r="D644" i="1"/>
  <c r="C644" i="1"/>
  <c r="M643" i="1"/>
  <c r="L643" i="1"/>
  <c r="K643" i="1"/>
  <c r="J643" i="1"/>
  <c r="I643" i="1"/>
  <c r="H643" i="1"/>
  <c r="G643" i="1"/>
  <c r="F643" i="1"/>
  <c r="E643" i="1"/>
  <c r="D643" i="1"/>
  <c r="C643" i="1"/>
  <c r="M642" i="1"/>
  <c r="L642" i="1"/>
  <c r="K642" i="1"/>
  <c r="J642" i="1"/>
  <c r="I642" i="1"/>
  <c r="H642" i="1"/>
  <c r="G642" i="1"/>
  <c r="F642" i="1"/>
  <c r="E642" i="1"/>
  <c r="D642" i="1"/>
  <c r="C642" i="1"/>
  <c r="M641" i="1"/>
  <c r="L641" i="1"/>
  <c r="K641" i="1"/>
  <c r="J641" i="1"/>
  <c r="I641" i="1"/>
  <c r="H641" i="1"/>
  <c r="G641" i="1"/>
  <c r="F641" i="1"/>
  <c r="E641" i="1"/>
  <c r="D641" i="1"/>
  <c r="C641" i="1"/>
  <c r="M640" i="1"/>
  <c r="L640" i="1"/>
  <c r="K640" i="1"/>
  <c r="J640" i="1"/>
  <c r="I640" i="1"/>
  <c r="H640" i="1"/>
  <c r="G640" i="1"/>
  <c r="F640" i="1"/>
  <c r="E640" i="1"/>
  <c r="D640" i="1"/>
  <c r="C640" i="1"/>
  <c r="M639" i="1"/>
  <c r="L639" i="1"/>
  <c r="K639" i="1"/>
  <c r="J639" i="1"/>
  <c r="I639" i="1"/>
  <c r="H639" i="1"/>
  <c r="G639" i="1"/>
  <c r="F639" i="1"/>
  <c r="E639" i="1"/>
  <c r="D639" i="1"/>
  <c r="C639" i="1"/>
  <c r="M638" i="1"/>
  <c r="L638" i="1"/>
  <c r="K638" i="1"/>
  <c r="J638" i="1"/>
  <c r="I638" i="1"/>
  <c r="H638" i="1"/>
  <c r="G638" i="1"/>
  <c r="F638" i="1"/>
  <c r="E638" i="1"/>
  <c r="D638" i="1"/>
  <c r="C638" i="1"/>
  <c r="M637" i="1"/>
  <c r="L637" i="1"/>
  <c r="K637" i="1"/>
  <c r="J637" i="1"/>
  <c r="I637" i="1"/>
  <c r="H637" i="1"/>
  <c r="G637" i="1"/>
  <c r="F637" i="1"/>
  <c r="E637" i="1"/>
  <c r="D637" i="1"/>
  <c r="C637" i="1"/>
  <c r="M636" i="1"/>
  <c r="L636" i="1"/>
  <c r="K636" i="1"/>
  <c r="J636" i="1"/>
  <c r="I636" i="1"/>
  <c r="H636" i="1"/>
  <c r="G636" i="1"/>
  <c r="F636" i="1"/>
  <c r="E636" i="1"/>
  <c r="D636" i="1"/>
  <c r="C636" i="1"/>
  <c r="M635" i="1"/>
  <c r="L635" i="1"/>
  <c r="K635" i="1"/>
  <c r="J635" i="1"/>
  <c r="I635" i="1"/>
  <c r="H635" i="1"/>
  <c r="G635" i="1"/>
  <c r="F635" i="1"/>
  <c r="E635" i="1"/>
  <c r="D635" i="1"/>
  <c r="C635" i="1"/>
  <c r="M634" i="1"/>
  <c r="L634" i="1"/>
  <c r="K634" i="1"/>
  <c r="J634" i="1"/>
  <c r="I634" i="1"/>
  <c r="H634" i="1"/>
  <c r="G634" i="1"/>
  <c r="F634" i="1"/>
  <c r="E634" i="1"/>
  <c r="D634" i="1"/>
  <c r="C634" i="1"/>
  <c r="M633" i="1"/>
  <c r="L633" i="1"/>
  <c r="K633" i="1"/>
  <c r="J633" i="1"/>
  <c r="I633" i="1"/>
  <c r="H633" i="1"/>
  <c r="G633" i="1"/>
  <c r="F633" i="1"/>
  <c r="E633" i="1"/>
  <c r="D633" i="1"/>
  <c r="C633" i="1"/>
  <c r="M632" i="1"/>
  <c r="L632" i="1"/>
  <c r="K632" i="1"/>
  <c r="J632" i="1"/>
  <c r="I632" i="1"/>
  <c r="H632" i="1"/>
  <c r="G632" i="1"/>
  <c r="F632" i="1"/>
  <c r="E632" i="1"/>
  <c r="D632" i="1"/>
  <c r="C632" i="1"/>
  <c r="M631" i="1"/>
  <c r="L631" i="1"/>
  <c r="K631" i="1"/>
  <c r="J631" i="1"/>
  <c r="I631" i="1"/>
  <c r="H631" i="1"/>
  <c r="G631" i="1"/>
  <c r="F631" i="1"/>
  <c r="E631" i="1"/>
  <c r="D631" i="1"/>
  <c r="C631" i="1"/>
  <c r="M630" i="1"/>
  <c r="L630" i="1"/>
  <c r="K630" i="1"/>
  <c r="J630" i="1"/>
  <c r="I630" i="1"/>
  <c r="H630" i="1"/>
  <c r="G630" i="1"/>
  <c r="F630" i="1"/>
  <c r="E630" i="1"/>
  <c r="D630" i="1"/>
  <c r="C630" i="1"/>
  <c r="M629" i="1"/>
  <c r="L629" i="1"/>
  <c r="K629" i="1"/>
  <c r="J629" i="1"/>
  <c r="I629" i="1"/>
  <c r="H629" i="1"/>
  <c r="G629" i="1"/>
  <c r="F629" i="1"/>
  <c r="E629" i="1"/>
  <c r="D629" i="1"/>
  <c r="C629" i="1"/>
  <c r="M628" i="1"/>
  <c r="L628" i="1"/>
  <c r="K628" i="1"/>
  <c r="J628" i="1"/>
  <c r="I628" i="1"/>
  <c r="H628" i="1"/>
  <c r="G628" i="1"/>
  <c r="F628" i="1"/>
  <c r="E628" i="1"/>
  <c r="D628" i="1"/>
  <c r="C628" i="1"/>
  <c r="M627" i="1"/>
  <c r="L627" i="1"/>
  <c r="K627" i="1"/>
  <c r="J627" i="1"/>
  <c r="I627" i="1"/>
  <c r="H627" i="1"/>
  <c r="G627" i="1"/>
  <c r="F627" i="1"/>
  <c r="E627" i="1"/>
  <c r="D627" i="1"/>
  <c r="C627" i="1"/>
  <c r="M626" i="1"/>
  <c r="L626" i="1"/>
  <c r="K626" i="1"/>
  <c r="J626" i="1"/>
  <c r="I626" i="1"/>
  <c r="H626" i="1"/>
  <c r="G626" i="1"/>
  <c r="F626" i="1"/>
  <c r="E626" i="1"/>
  <c r="D626" i="1"/>
  <c r="C626" i="1"/>
  <c r="M625" i="1"/>
  <c r="L625" i="1"/>
  <c r="K625" i="1"/>
  <c r="J625" i="1"/>
  <c r="I625" i="1"/>
  <c r="H625" i="1"/>
  <c r="G625" i="1"/>
  <c r="F625" i="1"/>
  <c r="E625" i="1"/>
  <c r="D625" i="1"/>
  <c r="C625" i="1"/>
  <c r="M624" i="1"/>
  <c r="L624" i="1"/>
  <c r="K624" i="1"/>
  <c r="J624" i="1"/>
  <c r="I624" i="1"/>
  <c r="H624" i="1"/>
  <c r="G624" i="1"/>
  <c r="F624" i="1"/>
  <c r="E624" i="1"/>
  <c r="D624" i="1"/>
  <c r="C624" i="1"/>
  <c r="M623" i="1"/>
  <c r="L623" i="1"/>
  <c r="K623" i="1"/>
  <c r="J623" i="1"/>
  <c r="I623" i="1"/>
  <c r="H623" i="1"/>
  <c r="G623" i="1"/>
  <c r="F623" i="1"/>
  <c r="E623" i="1"/>
  <c r="D623" i="1"/>
  <c r="C623" i="1"/>
  <c r="M622" i="1"/>
  <c r="L622" i="1"/>
  <c r="K622" i="1"/>
  <c r="J622" i="1"/>
  <c r="I622" i="1"/>
  <c r="H622" i="1"/>
  <c r="G622" i="1"/>
  <c r="F622" i="1"/>
  <c r="E622" i="1"/>
  <c r="D622" i="1"/>
  <c r="C622" i="1"/>
  <c r="M621" i="1"/>
  <c r="L621" i="1"/>
  <c r="K621" i="1"/>
  <c r="J621" i="1"/>
  <c r="I621" i="1"/>
  <c r="H621" i="1"/>
  <c r="G621" i="1"/>
  <c r="F621" i="1"/>
  <c r="E621" i="1"/>
  <c r="D621" i="1"/>
  <c r="C621" i="1"/>
  <c r="M620" i="1"/>
  <c r="L620" i="1"/>
  <c r="K620" i="1"/>
  <c r="J620" i="1"/>
  <c r="I620" i="1"/>
  <c r="H620" i="1"/>
  <c r="G620" i="1"/>
  <c r="F620" i="1"/>
  <c r="E620" i="1"/>
  <c r="D620" i="1"/>
  <c r="C620" i="1"/>
  <c r="M619" i="1"/>
  <c r="L619" i="1"/>
  <c r="K619" i="1"/>
  <c r="J619" i="1"/>
  <c r="I619" i="1"/>
  <c r="H619" i="1"/>
  <c r="G619" i="1"/>
  <c r="F619" i="1"/>
  <c r="E619" i="1"/>
  <c r="D619" i="1"/>
  <c r="C619" i="1"/>
  <c r="M618" i="1"/>
  <c r="L618" i="1"/>
  <c r="K618" i="1"/>
  <c r="J618" i="1"/>
  <c r="I618" i="1"/>
  <c r="H618" i="1"/>
  <c r="G618" i="1"/>
  <c r="F618" i="1"/>
  <c r="E618" i="1"/>
  <c r="D618" i="1"/>
  <c r="C618" i="1"/>
  <c r="M617" i="1"/>
  <c r="L617" i="1"/>
  <c r="K617" i="1"/>
  <c r="J617" i="1"/>
  <c r="I617" i="1"/>
  <c r="H617" i="1"/>
  <c r="G617" i="1"/>
  <c r="F617" i="1"/>
  <c r="E617" i="1"/>
  <c r="D617" i="1"/>
  <c r="C617" i="1"/>
  <c r="M616" i="1"/>
  <c r="L616" i="1"/>
  <c r="K616" i="1"/>
  <c r="J616" i="1"/>
  <c r="I616" i="1"/>
  <c r="H616" i="1"/>
  <c r="G616" i="1"/>
  <c r="F616" i="1"/>
  <c r="E616" i="1"/>
  <c r="D616" i="1"/>
  <c r="C616" i="1"/>
  <c r="M615" i="1"/>
  <c r="L615" i="1"/>
  <c r="K615" i="1"/>
  <c r="J615" i="1"/>
  <c r="I615" i="1"/>
  <c r="H615" i="1"/>
  <c r="G615" i="1"/>
  <c r="F615" i="1"/>
  <c r="E615" i="1"/>
  <c r="D615" i="1"/>
  <c r="C615" i="1"/>
  <c r="M614" i="1"/>
  <c r="L614" i="1"/>
  <c r="K614" i="1"/>
  <c r="J614" i="1"/>
  <c r="I614" i="1"/>
  <c r="H614" i="1"/>
  <c r="G614" i="1"/>
  <c r="F614" i="1"/>
  <c r="E614" i="1"/>
  <c r="D614" i="1"/>
  <c r="C614" i="1"/>
  <c r="M613" i="1"/>
  <c r="L613" i="1"/>
  <c r="K613" i="1"/>
  <c r="J613" i="1"/>
  <c r="I613" i="1"/>
  <c r="H613" i="1"/>
  <c r="G613" i="1"/>
  <c r="F613" i="1"/>
  <c r="E613" i="1"/>
  <c r="D613" i="1"/>
  <c r="C613" i="1"/>
  <c r="M612" i="1"/>
  <c r="L612" i="1"/>
  <c r="K612" i="1"/>
  <c r="J612" i="1"/>
  <c r="I612" i="1"/>
  <c r="H612" i="1"/>
  <c r="G612" i="1"/>
  <c r="F612" i="1"/>
  <c r="E612" i="1"/>
  <c r="D612" i="1"/>
  <c r="C612" i="1"/>
  <c r="M611" i="1"/>
  <c r="L611" i="1"/>
  <c r="K611" i="1"/>
  <c r="J611" i="1"/>
  <c r="I611" i="1"/>
  <c r="H611" i="1"/>
  <c r="G611" i="1"/>
  <c r="F611" i="1"/>
  <c r="E611" i="1"/>
  <c r="D611" i="1"/>
  <c r="C611" i="1"/>
  <c r="M610" i="1"/>
  <c r="L610" i="1"/>
  <c r="K610" i="1"/>
  <c r="J610" i="1"/>
  <c r="I610" i="1"/>
  <c r="H610" i="1"/>
  <c r="G610" i="1"/>
  <c r="F610" i="1"/>
  <c r="E610" i="1"/>
  <c r="D610" i="1"/>
  <c r="C610" i="1"/>
  <c r="M609" i="1"/>
  <c r="L609" i="1"/>
  <c r="K609" i="1"/>
  <c r="J609" i="1"/>
  <c r="I609" i="1"/>
  <c r="H609" i="1"/>
  <c r="G609" i="1"/>
  <c r="F609" i="1"/>
  <c r="E609" i="1"/>
  <c r="D609" i="1"/>
  <c r="C609" i="1"/>
  <c r="M608" i="1"/>
  <c r="L608" i="1"/>
  <c r="K608" i="1"/>
  <c r="J608" i="1"/>
  <c r="I608" i="1"/>
  <c r="H608" i="1"/>
  <c r="G608" i="1"/>
  <c r="F608" i="1"/>
  <c r="E608" i="1"/>
  <c r="D608" i="1"/>
  <c r="C608" i="1"/>
  <c r="M607" i="1"/>
  <c r="L607" i="1"/>
  <c r="K607" i="1"/>
  <c r="J607" i="1"/>
  <c r="I607" i="1"/>
  <c r="H607" i="1"/>
  <c r="G607" i="1"/>
  <c r="F607" i="1"/>
  <c r="E607" i="1"/>
  <c r="D607" i="1"/>
  <c r="C607" i="1"/>
  <c r="M606" i="1"/>
  <c r="L606" i="1"/>
  <c r="K606" i="1"/>
  <c r="J606" i="1"/>
  <c r="I606" i="1"/>
  <c r="H606" i="1"/>
  <c r="G606" i="1"/>
  <c r="F606" i="1"/>
  <c r="E606" i="1"/>
  <c r="D606" i="1"/>
  <c r="C606" i="1"/>
  <c r="M605" i="1"/>
  <c r="L605" i="1"/>
  <c r="K605" i="1"/>
  <c r="J605" i="1"/>
  <c r="I605" i="1"/>
  <c r="H605" i="1"/>
  <c r="G605" i="1"/>
  <c r="F605" i="1"/>
  <c r="E605" i="1"/>
  <c r="D605" i="1"/>
  <c r="C605" i="1"/>
  <c r="M604" i="1"/>
  <c r="L604" i="1"/>
  <c r="K604" i="1"/>
  <c r="J604" i="1"/>
  <c r="I604" i="1"/>
  <c r="H604" i="1"/>
  <c r="G604" i="1"/>
  <c r="F604" i="1"/>
  <c r="E604" i="1"/>
  <c r="D604" i="1"/>
  <c r="C604" i="1"/>
  <c r="M603" i="1"/>
  <c r="L603" i="1"/>
  <c r="K603" i="1"/>
  <c r="J603" i="1"/>
  <c r="I603" i="1"/>
  <c r="H603" i="1"/>
  <c r="G603" i="1"/>
  <c r="F603" i="1"/>
  <c r="E603" i="1"/>
  <c r="D603" i="1"/>
  <c r="C603" i="1"/>
  <c r="M602" i="1"/>
  <c r="L602" i="1"/>
  <c r="K602" i="1"/>
  <c r="J602" i="1"/>
  <c r="I602" i="1"/>
  <c r="H602" i="1"/>
  <c r="G602" i="1"/>
  <c r="F602" i="1"/>
  <c r="E602" i="1"/>
  <c r="D602" i="1"/>
  <c r="C602" i="1"/>
  <c r="M601" i="1"/>
  <c r="L601" i="1"/>
  <c r="K601" i="1"/>
  <c r="J601" i="1"/>
  <c r="I601" i="1"/>
  <c r="H601" i="1"/>
  <c r="G601" i="1"/>
  <c r="F601" i="1"/>
  <c r="E601" i="1"/>
  <c r="D601" i="1"/>
  <c r="C601" i="1"/>
  <c r="M600" i="1"/>
  <c r="L600" i="1"/>
  <c r="K600" i="1"/>
  <c r="J600" i="1"/>
  <c r="I600" i="1"/>
  <c r="H600" i="1"/>
  <c r="G600" i="1"/>
  <c r="F600" i="1"/>
  <c r="E600" i="1"/>
  <c r="D600" i="1"/>
  <c r="C600" i="1"/>
  <c r="M599" i="1"/>
  <c r="L599" i="1"/>
  <c r="K599" i="1"/>
  <c r="J599" i="1"/>
  <c r="I599" i="1"/>
  <c r="H599" i="1"/>
  <c r="G599" i="1"/>
  <c r="F599" i="1"/>
  <c r="E599" i="1"/>
  <c r="D599" i="1"/>
  <c r="C599" i="1"/>
  <c r="M598" i="1"/>
  <c r="L598" i="1"/>
  <c r="K598" i="1"/>
  <c r="J598" i="1"/>
  <c r="I598" i="1"/>
  <c r="H598" i="1"/>
  <c r="G598" i="1"/>
  <c r="F598" i="1"/>
  <c r="E598" i="1"/>
  <c r="D598" i="1"/>
  <c r="C598" i="1"/>
  <c r="M597" i="1"/>
  <c r="L597" i="1"/>
  <c r="K597" i="1"/>
  <c r="J597" i="1"/>
  <c r="I597" i="1"/>
  <c r="H597" i="1"/>
  <c r="G597" i="1"/>
  <c r="F597" i="1"/>
  <c r="E597" i="1"/>
  <c r="D597" i="1"/>
  <c r="C597" i="1"/>
  <c r="M596" i="1"/>
  <c r="L596" i="1"/>
  <c r="K596" i="1"/>
  <c r="J596" i="1"/>
  <c r="I596" i="1"/>
  <c r="H596" i="1"/>
  <c r="G596" i="1"/>
  <c r="F596" i="1"/>
  <c r="E596" i="1"/>
  <c r="D596" i="1"/>
  <c r="C596" i="1"/>
  <c r="M595" i="1"/>
  <c r="L595" i="1"/>
  <c r="K595" i="1"/>
  <c r="J595" i="1"/>
  <c r="I595" i="1"/>
  <c r="H595" i="1"/>
  <c r="G595" i="1"/>
  <c r="F595" i="1"/>
  <c r="E595" i="1"/>
  <c r="D595" i="1"/>
  <c r="C595" i="1"/>
  <c r="M594" i="1"/>
  <c r="L594" i="1"/>
  <c r="K594" i="1"/>
  <c r="J594" i="1"/>
  <c r="I594" i="1"/>
  <c r="H594" i="1"/>
  <c r="G594" i="1"/>
  <c r="F594" i="1"/>
  <c r="E594" i="1"/>
  <c r="D594" i="1"/>
  <c r="C594" i="1"/>
  <c r="M593" i="1"/>
  <c r="L593" i="1"/>
  <c r="K593" i="1"/>
  <c r="J593" i="1"/>
  <c r="I593" i="1"/>
  <c r="H593" i="1"/>
  <c r="G593" i="1"/>
  <c r="F593" i="1"/>
  <c r="E593" i="1"/>
  <c r="D593" i="1"/>
  <c r="C593" i="1"/>
  <c r="M592" i="1"/>
  <c r="L592" i="1"/>
  <c r="K592" i="1"/>
  <c r="J592" i="1"/>
  <c r="I592" i="1"/>
  <c r="H592" i="1"/>
  <c r="G592" i="1"/>
  <c r="F592" i="1"/>
  <c r="E592" i="1"/>
  <c r="D592" i="1"/>
  <c r="C592" i="1"/>
  <c r="M591" i="1"/>
  <c r="L591" i="1"/>
  <c r="K591" i="1"/>
  <c r="J591" i="1"/>
  <c r="I591" i="1"/>
  <c r="H591" i="1"/>
  <c r="G591" i="1"/>
  <c r="F591" i="1"/>
  <c r="E591" i="1"/>
  <c r="D591" i="1"/>
  <c r="C591" i="1"/>
  <c r="M590" i="1"/>
  <c r="L590" i="1"/>
  <c r="K590" i="1"/>
  <c r="J590" i="1"/>
  <c r="I590" i="1"/>
  <c r="H590" i="1"/>
  <c r="G590" i="1"/>
  <c r="F590" i="1"/>
  <c r="E590" i="1"/>
  <c r="D590" i="1"/>
  <c r="C590" i="1"/>
  <c r="M589" i="1"/>
  <c r="L589" i="1"/>
  <c r="K589" i="1"/>
  <c r="J589" i="1"/>
  <c r="I589" i="1"/>
  <c r="H589" i="1"/>
  <c r="G589" i="1"/>
  <c r="F589" i="1"/>
  <c r="E589" i="1"/>
  <c r="D589" i="1"/>
  <c r="C589" i="1"/>
  <c r="M588" i="1"/>
  <c r="L588" i="1"/>
  <c r="K588" i="1"/>
  <c r="J588" i="1"/>
  <c r="I588" i="1"/>
  <c r="H588" i="1"/>
  <c r="G588" i="1"/>
  <c r="F588" i="1"/>
  <c r="E588" i="1"/>
  <c r="D588" i="1"/>
  <c r="C588" i="1"/>
  <c r="M587" i="1"/>
  <c r="L587" i="1"/>
  <c r="K587" i="1"/>
  <c r="J587" i="1"/>
  <c r="I587" i="1"/>
  <c r="H587" i="1"/>
  <c r="G587" i="1"/>
  <c r="F587" i="1"/>
  <c r="E587" i="1"/>
  <c r="D587" i="1"/>
  <c r="C587" i="1"/>
  <c r="M586" i="1"/>
  <c r="L586" i="1"/>
  <c r="K586" i="1"/>
  <c r="J586" i="1"/>
  <c r="I586" i="1"/>
  <c r="H586" i="1"/>
  <c r="G586" i="1"/>
  <c r="F586" i="1"/>
  <c r="E586" i="1"/>
  <c r="D586" i="1"/>
  <c r="C586" i="1"/>
  <c r="M585" i="1"/>
  <c r="L585" i="1"/>
  <c r="K585" i="1"/>
  <c r="J585" i="1"/>
  <c r="I585" i="1"/>
  <c r="H585" i="1"/>
  <c r="G585" i="1"/>
  <c r="F585" i="1"/>
  <c r="E585" i="1"/>
  <c r="D585" i="1"/>
  <c r="C585" i="1"/>
  <c r="M584" i="1"/>
  <c r="L584" i="1"/>
  <c r="K584" i="1"/>
  <c r="J584" i="1"/>
  <c r="I584" i="1"/>
  <c r="H584" i="1"/>
  <c r="G584" i="1"/>
  <c r="F584" i="1"/>
  <c r="E584" i="1"/>
  <c r="D584" i="1"/>
  <c r="C584" i="1"/>
  <c r="M583" i="1"/>
  <c r="L583" i="1"/>
  <c r="K583" i="1"/>
  <c r="J583" i="1"/>
  <c r="I583" i="1"/>
  <c r="H583" i="1"/>
  <c r="G583" i="1"/>
  <c r="F583" i="1"/>
  <c r="E583" i="1"/>
  <c r="D583" i="1"/>
  <c r="C583" i="1"/>
  <c r="M582" i="1"/>
  <c r="L582" i="1"/>
  <c r="K582" i="1"/>
  <c r="J582" i="1"/>
  <c r="I582" i="1"/>
  <c r="H582" i="1"/>
  <c r="G582" i="1"/>
  <c r="F582" i="1"/>
  <c r="E582" i="1"/>
  <c r="D582" i="1"/>
  <c r="C582" i="1"/>
  <c r="M581" i="1"/>
  <c r="L581" i="1"/>
  <c r="K581" i="1"/>
  <c r="J581" i="1"/>
  <c r="I581" i="1"/>
  <c r="H581" i="1"/>
  <c r="G581" i="1"/>
  <c r="F581" i="1"/>
  <c r="E581" i="1"/>
  <c r="D581" i="1"/>
  <c r="C581" i="1"/>
  <c r="M580" i="1"/>
  <c r="L580" i="1"/>
  <c r="K580" i="1"/>
  <c r="J580" i="1"/>
  <c r="I580" i="1"/>
  <c r="H580" i="1"/>
  <c r="G580" i="1"/>
  <c r="F580" i="1"/>
  <c r="E580" i="1"/>
  <c r="D580" i="1"/>
  <c r="C580" i="1"/>
  <c r="M579" i="1"/>
  <c r="L579" i="1"/>
  <c r="K579" i="1"/>
  <c r="J579" i="1"/>
  <c r="I579" i="1"/>
  <c r="H579" i="1"/>
  <c r="G579" i="1"/>
  <c r="F579" i="1"/>
  <c r="E579" i="1"/>
  <c r="D579" i="1"/>
  <c r="C579" i="1"/>
  <c r="M578" i="1"/>
  <c r="L578" i="1"/>
  <c r="K578" i="1"/>
  <c r="J578" i="1"/>
  <c r="I578" i="1"/>
  <c r="H578" i="1"/>
  <c r="G578" i="1"/>
  <c r="F578" i="1"/>
  <c r="E578" i="1"/>
  <c r="D578" i="1"/>
  <c r="C578" i="1"/>
  <c r="M577" i="1"/>
  <c r="L577" i="1"/>
  <c r="K577" i="1"/>
  <c r="J577" i="1"/>
  <c r="I577" i="1"/>
  <c r="H577" i="1"/>
  <c r="G577" i="1"/>
  <c r="F577" i="1"/>
  <c r="E577" i="1"/>
  <c r="D577" i="1"/>
  <c r="C577" i="1"/>
  <c r="M576" i="1"/>
  <c r="L576" i="1"/>
  <c r="K576" i="1"/>
  <c r="J576" i="1"/>
  <c r="I576" i="1"/>
  <c r="H576" i="1"/>
  <c r="G576" i="1"/>
  <c r="F576" i="1"/>
  <c r="E576" i="1"/>
  <c r="D576" i="1"/>
  <c r="C576" i="1"/>
  <c r="M575" i="1"/>
  <c r="L575" i="1"/>
  <c r="K575" i="1"/>
  <c r="J575" i="1"/>
  <c r="I575" i="1"/>
  <c r="H575" i="1"/>
  <c r="G575" i="1"/>
  <c r="F575" i="1"/>
  <c r="E575" i="1"/>
  <c r="D575" i="1"/>
  <c r="C575" i="1"/>
  <c r="M574" i="1"/>
  <c r="L574" i="1"/>
  <c r="K574" i="1"/>
  <c r="J574" i="1"/>
  <c r="I574" i="1"/>
  <c r="H574" i="1"/>
  <c r="G574" i="1"/>
  <c r="F574" i="1"/>
  <c r="E574" i="1"/>
  <c r="D574" i="1"/>
  <c r="C574" i="1"/>
  <c r="M573" i="1"/>
  <c r="L573" i="1"/>
  <c r="K573" i="1"/>
  <c r="J573" i="1"/>
  <c r="I573" i="1"/>
  <c r="H573" i="1"/>
  <c r="G573" i="1"/>
  <c r="F573" i="1"/>
  <c r="E573" i="1"/>
  <c r="D573" i="1"/>
  <c r="C573" i="1"/>
  <c r="M572" i="1"/>
  <c r="L572" i="1"/>
  <c r="K572" i="1"/>
  <c r="J572" i="1"/>
  <c r="I572" i="1"/>
  <c r="H572" i="1"/>
  <c r="G572" i="1"/>
  <c r="F572" i="1"/>
  <c r="E572" i="1"/>
  <c r="D572" i="1"/>
  <c r="C572" i="1"/>
  <c r="M571" i="1"/>
  <c r="L571" i="1"/>
  <c r="K571" i="1"/>
  <c r="J571" i="1"/>
  <c r="I571" i="1"/>
  <c r="H571" i="1"/>
  <c r="G571" i="1"/>
  <c r="F571" i="1"/>
  <c r="E571" i="1"/>
  <c r="D571" i="1"/>
  <c r="C571" i="1"/>
  <c r="M570" i="1"/>
  <c r="L570" i="1"/>
  <c r="K570" i="1"/>
  <c r="J570" i="1"/>
  <c r="I570" i="1"/>
  <c r="H570" i="1"/>
  <c r="G570" i="1"/>
  <c r="F570" i="1"/>
  <c r="E570" i="1"/>
  <c r="D570" i="1"/>
  <c r="C570" i="1"/>
  <c r="M569" i="1"/>
  <c r="L569" i="1"/>
  <c r="K569" i="1"/>
  <c r="J569" i="1"/>
  <c r="I569" i="1"/>
  <c r="H569" i="1"/>
  <c r="G569" i="1"/>
  <c r="F569" i="1"/>
  <c r="E569" i="1"/>
  <c r="D569" i="1"/>
  <c r="C569" i="1"/>
  <c r="M568" i="1"/>
  <c r="L568" i="1"/>
  <c r="K568" i="1"/>
  <c r="J568" i="1"/>
  <c r="I568" i="1"/>
  <c r="H568" i="1"/>
  <c r="G568" i="1"/>
  <c r="F568" i="1"/>
  <c r="E568" i="1"/>
  <c r="D568" i="1"/>
  <c r="C568" i="1"/>
  <c r="M567" i="1"/>
  <c r="L567" i="1"/>
  <c r="K567" i="1"/>
  <c r="J567" i="1"/>
  <c r="I567" i="1"/>
  <c r="H567" i="1"/>
  <c r="G567" i="1"/>
  <c r="F567" i="1"/>
  <c r="E567" i="1"/>
  <c r="D567" i="1"/>
  <c r="C567" i="1"/>
  <c r="M566" i="1"/>
  <c r="L566" i="1"/>
  <c r="K566" i="1"/>
  <c r="J566" i="1"/>
  <c r="I566" i="1"/>
  <c r="H566" i="1"/>
  <c r="G566" i="1"/>
  <c r="F566" i="1"/>
  <c r="E566" i="1"/>
  <c r="D566" i="1"/>
  <c r="C566" i="1"/>
  <c r="M565" i="1"/>
  <c r="L565" i="1"/>
  <c r="K565" i="1"/>
  <c r="J565" i="1"/>
  <c r="I565" i="1"/>
  <c r="H565" i="1"/>
  <c r="G565" i="1"/>
  <c r="F565" i="1"/>
  <c r="E565" i="1"/>
  <c r="D565" i="1"/>
  <c r="C565" i="1"/>
  <c r="M564" i="1"/>
  <c r="L564" i="1"/>
  <c r="K564" i="1"/>
  <c r="J564" i="1"/>
  <c r="I564" i="1"/>
  <c r="H564" i="1"/>
  <c r="G564" i="1"/>
  <c r="F564" i="1"/>
  <c r="E564" i="1"/>
  <c r="D564" i="1"/>
  <c r="C564" i="1"/>
  <c r="M563" i="1"/>
  <c r="L563" i="1"/>
  <c r="K563" i="1"/>
  <c r="J563" i="1"/>
  <c r="I563" i="1"/>
  <c r="H563" i="1"/>
  <c r="G563" i="1"/>
  <c r="F563" i="1"/>
  <c r="E563" i="1"/>
  <c r="D563" i="1"/>
  <c r="C563" i="1"/>
  <c r="M562" i="1"/>
  <c r="L562" i="1"/>
  <c r="K562" i="1"/>
  <c r="J562" i="1"/>
  <c r="I562" i="1"/>
  <c r="H562" i="1"/>
  <c r="G562" i="1"/>
  <c r="F562" i="1"/>
  <c r="E562" i="1"/>
  <c r="D562" i="1"/>
  <c r="C562" i="1"/>
  <c r="M561" i="1"/>
  <c r="L561" i="1"/>
  <c r="K561" i="1"/>
  <c r="J561" i="1"/>
  <c r="I561" i="1"/>
  <c r="H561" i="1"/>
  <c r="G561" i="1"/>
  <c r="F561" i="1"/>
  <c r="E561" i="1"/>
  <c r="D561" i="1"/>
  <c r="C561" i="1"/>
  <c r="M560" i="1"/>
  <c r="L560" i="1"/>
  <c r="K560" i="1"/>
  <c r="J560" i="1"/>
  <c r="I560" i="1"/>
  <c r="H560" i="1"/>
  <c r="G560" i="1"/>
  <c r="F560" i="1"/>
  <c r="E560" i="1"/>
  <c r="D560" i="1"/>
  <c r="C560" i="1"/>
  <c r="M559" i="1"/>
  <c r="L559" i="1"/>
  <c r="K559" i="1"/>
  <c r="J559" i="1"/>
  <c r="I559" i="1"/>
  <c r="H559" i="1"/>
  <c r="G559" i="1"/>
  <c r="F559" i="1"/>
  <c r="E559" i="1"/>
  <c r="D559" i="1"/>
  <c r="C559" i="1"/>
  <c r="M558" i="1"/>
  <c r="L558" i="1"/>
  <c r="K558" i="1"/>
  <c r="J558" i="1"/>
  <c r="I558" i="1"/>
  <c r="H558" i="1"/>
  <c r="G558" i="1"/>
  <c r="F558" i="1"/>
  <c r="E558" i="1"/>
  <c r="D558" i="1"/>
  <c r="C558" i="1"/>
  <c r="M557" i="1"/>
  <c r="L557" i="1"/>
  <c r="K557" i="1"/>
  <c r="J557" i="1"/>
  <c r="I557" i="1"/>
  <c r="H557" i="1"/>
  <c r="G557" i="1"/>
  <c r="F557" i="1"/>
  <c r="E557" i="1"/>
  <c r="D557" i="1"/>
  <c r="C557" i="1"/>
  <c r="M556" i="1"/>
  <c r="L556" i="1"/>
  <c r="K556" i="1"/>
  <c r="J556" i="1"/>
  <c r="I556" i="1"/>
  <c r="H556" i="1"/>
  <c r="G556" i="1"/>
  <c r="F556" i="1"/>
  <c r="E556" i="1"/>
  <c r="D556" i="1"/>
  <c r="C556" i="1"/>
  <c r="M555" i="1"/>
  <c r="L555" i="1"/>
  <c r="K555" i="1"/>
  <c r="J555" i="1"/>
  <c r="I555" i="1"/>
  <c r="H555" i="1"/>
  <c r="G555" i="1"/>
  <c r="F555" i="1"/>
  <c r="E555" i="1"/>
  <c r="D555" i="1"/>
  <c r="C555" i="1"/>
  <c r="M554" i="1"/>
  <c r="L554" i="1"/>
  <c r="K554" i="1"/>
  <c r="J554" i="1"/>
  <c r="I554" i="1"/>
  <c r="H554" i="1"/>
  <c r="G554" i="1"/>
  <c r="F554" i="1"/>
  <c r="E554" i="1"/>
  <c r="D554" i="1"/>
  <c r="C554" i="1"/>
  <c r="M553" i="1"/>
  <c r="L553" i="1"/>
  <c r="K553" i="1"/>
  <c r="J553" i="1"/>
  <c r="I553" i="1"/>
  <c r="H553" i="1"/>
  <c r="G553" i="1"/>
  <c r="F553" i="1"/>
  <c r="E553" i="1"/>
  <c r="D553" i="1"/>
  <c r="C553" i="1"/>
  <c r="M552" i="1"/>
  <c r="L552" i="1"/>
  <c r="K552" i="1"/>
  <c r="J552" i="1"/>
  <c r="I552" i="1"/>
  <c r="H552" i="1"/>
  <c r="G552" i="1"/>
  <c r="F552" i="1"/>
  <c r="E552" i="1"/>
  <c r="D552" i="1"/>
  <c r="C552" i="1"/>
  <c r="M551" i="1"/>
  <c r="L551" i="1"/>
  <c r="K551" i="1"/>
  <c r="J551" i="1"/>
  <c r="I551" i="1"/>
  <c r="H551" i="1"/>
  <c r="G551" i="1"/>
  <c r="F551" i="1"/>
  <c r="E551" i="1"/>
  <c r="D551" i="1"/>
  <c r="C551" i="1"/>
  <c r="M550" i="1"/>
  <c r="L550" i="1"/>
  <c r="K550" i="1"/>
  <c r="J550" i="1"/>
  <c r="I550" i="1"/>
  <c r="H550" i="1"/>
  <c r="G550" i="1"/>
  <c r="F550" i="1"/>
  <c r="E550" i="1"/>
  <c r="D550" i="1"/>
  <c r="C550" i="1"/>
  <c r="M549" i="1"/>
  <c r="L549" i="1"/>
  <c r="K549" i="1"/>
  <c r="J549" i="1"/>
  <c r="I549" i="1"/>
  <c r="H549" i="1"/>
  <c r="G549" i="1"/>
  <c r="F549" i="1"/>
  <c r="E549" i="1"/>
  <c r="D549" i="1"/>
  <c r="C549" i="1"/>
  <c r="M548" i="1"/>
  <c r="L548" i="1"/>
  <c r="K548" i="1"/>
  <c r="J548" i="1"/>
  <c r="I548" i="1"/>
  <c r="H548" i="1"/>
  <c r="G548" i="1"/>
  <c r="F548" i="1"/>
  <c r="E548" i="1"/>
  <c r="D548" i="1"/>
  <c r="C548" i="1"/>
  <c r="M547" i="1"/>
  <c r="L547" i="1"/>
  <c r="K547" i="1"/>
  <c r="J547" i="1"/>
  <c r="I547" i="1"/>
  <c r="H547" i="1"/>
  <c r="G547" i="1"/>
  <c r="F547" i="1"/>
  <c r="E547" i="1"/>
  <c r="D547" i="1"/>
  <c r="C547" i="1"/>
  <c r="M546" i="1"/>
  <c r="L546" i="1"/>
  <c r="K546" i="1"/>
  <c r="J546" i="1"/>
  <c r="I546" i="1"/>
  <c r="H546" i="1"/>
  <c r="G546" i="1"/>
  <c r="F546" i="1"/>
  <c r="E546" i="1"/>
  <c r="D546" i="1"/>
  <c r="C546" i="1"/>
  <c r="M545" i="1"/>
  <c r="L545" i="1"/>
  <c r="K545" i="1"/>
  <c r="J545" i="1"/>
  <c r="I545" i="1"/>
  <c r="H545" i="1"/>
  <c r="G545" i="1"/>
  <c r="F545" i="1"/>
  <c r="E545" i="1"/>
  <c r="D545" i="1"/>
  <c r="C545" i="1"/>
  <c r="M544" i="1"/>
  <c r="L544" i="1"/>
  <c r="K544" i="1"/>
  <c r="J544" i="1"/>
  <c r="I544" i="1"/>
  <c r="H544" i="1"/>
  <c r="G544" i="1"/>
  <c r="F544" i="1"/>
  <c r="E544" i="1"/>
  <c r="D544" i="1"/>
  <c r="C544" i="1"/>
  <c r="M543" i="1"/>
  <c r="L543" i="1"/>
  <c r="K543" i="1"/>
  <c r="J543" i="1"/>
  <c r="I543" i="1"/>
  <c r="H543" i="1"/>
  <c r="G543" i="1"/>
  <c r="F543" i="1"/>
  <c r="E543" i="1"/>
  <c r="D543" i="1"/>
  <c r="C543" i="1"/>
  <c r="M542" i="1"/>
  <c r="L542" i="1"/>
  <c r="K542" i="1"/>
  <c r="J542" i="1"/>
  <c r="I542" i="1"/>
  <c r="H542" i="1"/>
  <c r="G542" i="1"/>
  <c r="F542" i="1"/>
  <c r="E542" i="1"/>
  <c r="D542" i="1"/>
  <c r="C542" i="1"/>
  <c r="M541" i="1"/>
  <c r="L541" i="1"/>
  <c r="K541" i="1"/>
  <c r="J541" i="1"/>
  <c r="I541" i="1"/>
  <c r="H541" i="1"/>
  <c r="G541" i="1"/>
  <c r="F541" i="1"/>
  <c r="E541" i="1"/>
  <c r="D541" i="1"/>
  <c r="C541" i="1"/>
  <c r="M540" i="1"/>
  <c r="L540" i="1"/>
  <c r="K540" i="1"/>
  <c r="J540" i="1"/>
  <c r="I540" i="1"/>
  <c r="H540" i="1"/>
  <c r="G540" i="1"/>
  <c r="F540" i="1"/>
  <c r="E540" i="1"/>
  <c r="D540" i="1"/>
  <c r="C540" i="1"/>
  <c r="M539" i="1"/>
  <c r="L539" i="1"/>
  <c r="K539" i="1"/>
  <c r="J539" i="1"/>
  <c r="I539" i="1"/>
  <c r="H539" i="1"/>
  <c r="G539" i="1"/>
  <c r="F539" i="1"/>
  <c r="E539" i="1"/>
  <c r="D539" i="1"/>
  <c r="C539" i="1"/>
  <c r="M538" i="1"/>
  <c r="L538" i="1"/>
  <c r="K538" i="1"/>
  <c r="J538" i="1"/>
  <c r="I538" i="1"/>
  <c r="H538" i="1"/>
  <c r="G538" i="1"/>
  <c r="F538" i="1"/>
  <c r="E538" i="1"/>
  <c r="D538" i="1"/>
  <c r="C538" i="1"/>
  <c r="M537" i="1"/>
  <c r="L537" i="1"/>
  <c r="K537" i="1"/>
  <c r="J537" i="1"/>
  <c r="I537" i="1"/>
  <c r="H537" i="1"/>
  <c r="G537" i="1"/>
  <c r="F537" i="1"/>
  <c r="E537" i="1"/>
  <c r="D537" i="1"/>
  <c r="C537" i="1"/>
  <c r="M536" i="1"/>
  <c r="L536" i="1"/>
  <c r="K536" i="1"/>
  <c r="J536" i="1"/>
  <c r="I536" i="1"/>
  <c r="H536" i="1"/>
  <c r="G536" i="1"/>
  <c r="F536" i="1"/>
  <c r="E536" i="1"/>
  <c r="D536" i="1"/>
  <c r="C536" i="1"/>
  <c r="M535" i="1"/>
  <c r="L535" i="1"/>
  <c r="K535" i="1"/>
  <c r="J535" i="1"/>
  <c r="I535" i="1"/>
  <c r="H535" i="1"/>
  <c r="G535" i="1"/>
  <c r="F535" i="1"/>
  <c r="E535" i="1"/>
  <c r="D535" i="1"/>
  <c r="C535" i="1"/>
  <c r="M534" i="1"/>
  <c r="L534" i="1"/>
  <c r="K534" i="1"/>
  <c r="J534" i="1"/>
  <c r="I534" i="1"/>
  <c r="H534" i="1"/>
  <c r="G534" i="1"/>
  <c r="F534" i="1"/>
  <c r="E534" i="1"/>
  <c r="D534" i="1"/>
  <c r="C534" i="1"/>
  <c r="M533" i="1"/>
  <c r="L533" i="1"/>
  <c r="K533" i="1"/>
  <c r="J533" i="1"/>
  <c r="I533" i="1"/>
  <c r="H533" i="1"/>
  <c r="G533" i="1"/>
  <c r="F533" i="1"/>
  <c r="E533" i="1"/>
  <c r="D533" i="1"/>
  <c r="C533" i="1"/>
  <c r="M532" i="1"/>
  <c r="L532" i="1"/>
  <c r="K532" i="1"/>
  <c r="J532" i="1"/>
  <c r="I532" i="1"/>
  <c r="H532" i="1"/>
  <c r="G532" i="1"/>
  <c r="F532" i="1"/>
  <c r="E532" i="1"/>
  <c r="D532" i="1"/>
  <c r="C532" i="1"/>
  <c r="M531" i="1"/>
  <c r="L531" i="1"/>
  <c r="K531" i="1"/>
  <c r="J531" i="1"/>
  <c r="I531" i="1"/>
  <c r="H531" i="1"/>
  <c r="G531" i="1"/>
  <c r="F531" i="1"/>
  <c r="E531" i="1"/>
  <c r="D531" i="1"/>
  <c r="C531" i="1"/>
  <c r="M530" i="1"/>
  <c r="L530" i="1"/>
  <c r="K530" i="1"/>
  <c r="J530" i="1"/>
  <c r="I530" i="1"/>
  <c r="H530" i="1"/>
  <c r="G530" i="1"/>
  <c r="F530" i="1"/>
  <c r="E530" i="1"/>
  <c r="D530" i="1"/>
  <c r="C530" i="1"/>
  <c r="M529" i="1"/>
  <c r="L529" i="1"/>
  <c r="K529" i="1"/>
  <c r="J529" i="1"/>
  <c r="I529" i="1"/>
  <c r="H529" i="1"/>
  <c r="G529" i="1"/>
  <c r="F529" i="1"/>
  <c r="E529" i="1"/>
  <c r="D529" i="1"/>
  <c r="C529" i="1"/>
  <c r="M528" i="1"/>
  <c r="L528" i="1"/>
  <c r="K528" i="1"/>
  <c r="J528" i="1"/>
  <c r="I528" i="1"/>
  <c r="H528" i="1"/>
  <c r="G528" i="1"/>
  <c r="F528" i="1"/>
  <c r="E528" i="1"/>
  <c r="D528" i="1"/>
  <c r="C528" i="1"/>
  <c r="M527" i="1"/>
  <c r="L527" i="1"/>
  <c r="K527" i="1"/>
  <c r="J527" i="1"/>
  <c r="I527" i="1"/>
  <c r="H527" i="1"/>
  <c r="G527" i="1"/>
  <c r="F527" i="1"/>
  <c r="E527" i="1"/>
  <c r="D527" i="1"/>
  <c r="C527" i="1"/>
  <c r="M526" i="1"/>
  <c r="L526" i="1"/>
  <c r="K526" i="1"/>
  <c r="J526" i="1"/>
  <c r="I526" i="1"/>
  <c r="H526" i="1"/>
  <c r="G526" i="1"/>
  <c r="F526" i="1"/>
  <c r="E526" i="1"/>
  <c r="D526" i="1"/>
  <c r="C526" i="1"/>
  <c r="M525" i="1"/>
  <c r="L525" i="1"/>
  <c r="K525" i="1"/>
  <c r="J525" i="1"/>
  <c r="I525" i="1"/>
  <c r="H525" i="1"/>
  <c r="G525" i="1"/>
  <c r="F525" i="1"/>
  <c r="E525" i="1"/>
  <c r="D525" i="1"/>
  <c r="C525" i="1"/>
  <c r="M524" i="1"/>
  <c r="L524" i="1"/>
  <c r="K524" i="1"/>
  <c r="J524" i="1"/>
  <c r="I524" i="1"/>
  <c r="H524" i="1"/>
  <c r="G524" i="1"/>
  <c r="F524" i="1"/>
  <c r="E524" i="1"/>
  <c r="D524" i="1"/>
  <c r="C524" i="1"/>
  <c r="M523" i="1"/>
  <c r="L523" i="1"/>
  <c r="K523" i="1"/>
  <c r="J523" i="1"/>
  <c r="I523" i="1"/>
  <c r="H523" i="1"/>
  <c r="G523" i="1"/>
  <c r="F523" i="1"/>
  <c r="E523" i="1"/>
  <c r="D523" i="1"/>
  <c r="C523" i="1"/>
  <c r="M522" i="1"/>
  <c r="L522" i="1"/>
  <c r="K522" i="1"/>
  <c r="J522" i="1"/>
  <c r="I522" i="1"/>
  <c r="H522" i="1"/>
  <c r="G522" i="1"/>
  <c r="F522" i="1"/>
  <c r="E522" i="1"/>
  <c r="D522" i="1"/>
  <c r="C522" i="1"/>
  <c r="M521" i="1"/>
  <c r="L521" i="1"/>
  <c r="K521" i="1"/>
  <c r="J521" i="1"/>
  <c r="I521" i="1"/>
  <c r="H521" i="1"/>
  <c r="G521" i="1"/>
  <c r="F521" i="1"/>
  <c r="E521" i="1"/>
  <c r="D521" i="1"/>
  <c r="C521" i="1"/>
  <c r="M520" i="1"/>
  <c r="L520" i="1"/>
  <c r="K520" i="1"/>
  <c r="J520" i="1"/>
  <c r="I520" i="1"/>
  <c r="H520" i="1"/>
  <c r="G520" i="1"/>
  <c r="F520" i="1"/>
  <c r="E520" i="1"/>
  <c r="D520" i="1"/>
  <c r="C520" i="1"/>
  <c r="M519" i="1"/>
  <c r="L519" i="1"/>
  <c r="K519" i="1"/>
  <c r="J519" i="1"/>
  <c r="I519" i="1"/>
  <c r="H519" i="1"/>
  <c r="G519" i="1"/>
  <c r="F519" i="1"/>
  <c r="E519" i="1"/>
  <c r="D519" i="1"/>
  <c r="C519" i="1"/>
  <c r="M518" i="1"/>
  <c r="L518" i="1"/>
  <c r="K518" i="1"/>
  <c r="J518" i="1"/>
  <c r="I518" i="1"/>
  <c r="H518" i="1"/>
  <c r="G518" i="1"/>
  <c r="F518" i="1"/>
  <c r="E518" i="1"/>
  <c r="D518" i="1"/>
  <c r="C518" i="1"/>
  <c r="M517" i="1"/>
  <c r="L517" i="1"/>
  <c r="K517" i="1"/>
  <c r="J517" i="1"/>
  <c r="I517" i="1"/>
  <c r="H517" i="1"/>
  <c r="G517" i="1"/>
  <c r="F517" i="1"/>
  <c r="E517" i="1"/>
  <c r="D517" i="1"/>
  <c r="C517" i="1"/>
  <c r="M516" i="1"/>
  <c r="L516" i="1"/>
  <c r="K516" i="1"/>
  <c r="J516" i="1"/>
  <c r="I516" i="1"/>
  <c r="H516" i="1"/>
  <c r="G516" i="1"/>
  <c r="F516" i="1"/>
  <c r="E516" i="1"/>
  <c r="D516" i="1"/>
  <c r="C516" i="1"/>
  <c r="M515" i="1"/>
  <c r="L515" i="1"/>
  <c r="K515" i="1"/>
  <c r="J515" i="1"/>
  <c r="I515" i="1"/>
  <c r="H515" i="1"/>
  <c r="G515" i="1"/>
  <c r="F515" i="1"/>
  <c r="E515" i="1"/>
  <c r="D515" i="1"/>
  <c r="C515" i="1"/>
  <c r="M514" i="1"/>
  <c r="L514" i="1"/>
  <c r="K514" i="1"/>
  <c r="J514" i="1"/>
  <c r="I514" i="1"/>
  <c r="H514" i="1"/>
  <c r="G514" i="1"/>
  <c r="F514" i="1"/>
  <c r="E514" i="1"/>
  <c r="D514" i="1"/>
  <c r="C514" i="1"/>
  <c r="M513" i="1"/>
  <c r="L513" i="1"/>
  <c r="K513" i="1"/>
  <c r="J513" i="1"/>
  <c r="I513" i="1"/>
  <c r="H513" i="1"/>
  <c r="G513" i="1"/>
  <c r="F513" i="1"/>
  <c r="E513" i="1"/>
  <c r="D513" i="1"/>
  <c r="C513" i="1"/>
  <c r="M512" i="1"/>
  <c r="L512" i="1"/>
  <c r="K512" i="1"/>
  <c r="J512" i="1"/>
  <c r="I512" i="1"/>
  <c r="H512" i="1"/>
  <c r="G512" i="1"/>
  <c r="F512" i="1"/>
  <c r="E512" i="1"/>
  <c r="D512" i="1"/>
  <c r="C512" i="1"/>
  <c r="M511" i="1"/>
  <c r="L511" i="1"/>
  <c r="K511" i="1"/>
  <c r="J511" i="1"/>
  <c r="I511" i="1"/>
  <c r="H511" i="1"/>
  <c r="G511" i="1"/>
  <c r="F511" i="1"/>
  <c r="E511" i="1"/>
  <c r="D511" i="1"/>
  <c r="C511" i="1"/>
  <c r="M510" i="1"/>
  <c r="L510" i="1"/>
  <c r="K510" i="1"/>
  <c r="J510" i="1"/>
  <c r="I510" i="1"/>
  <c r="H510" i="1"/>
  <c r="G510" i="1"/>
  <c r="F510" i="1"/>
  <c r="E510" i="1"/>
  <c r="D510" i="1"/>
  <c r="C510" i="1"/>
  <c r="M509" i="1"/>
  <c r="L509" i="1"/>
  <c r="K509" i="1"/>
  <c r="J509" i="1"/>
  <c r="I509" i="1"/>
  <c r="H509" i="1"/>
  <c r="G509" i="1"/>
  <c r="F509" i="1"/>
  <c r="E509" i="1"/>
  <c r="D509" i="1"/>
  <c r="C509" i="1"/>
  <c r="M508" i="1"/>
  <c r="L508" i="1"/>
  <c r="K508" i="1"/>
  <c r="J508" i="1"/>
  <c r="I508" i="1"/>
  <c r="H508" i="1"/>
  <c r="G508" i="1"/>
  <c r="F508" i="1"/>
  <c r="E508" i="1"/>
  <c r="D508" i="1"/>
  <c r="C508" i="1"/>
  <c r="M507" i="1"/>
  <c r="L507" i="1"/>
  <c r="K507" i="1"/>
  <c r="J507" i="1"/>
  <c r="I507" i="1"/>
  <c r="H507" i="1"/>
  <c r="G507" i="1"/>
  <c r="F507" i="1"/>
  <c r="E507" i="1"/>
  <c r="D507" i="1"/>
  <c r="C507" i="1"/>
  <c r="M506" i="1"/>
  <c r="L506" i="1"/>
  <c r="K506" i="1"/>
  <c r="J506" i="1"/>
  <c r="I506" i="1"/>
  <c r="H506" i="1"/>
  <c r="G506" i="1"/>
  <c r="F506" i="1"/>
  <c r="E506" i="1"/>
  <c r="D506" i="1"/>
  <c r="C506" i="1"/>
  <c r="M505" i="1"/>
  <c r="L505" i="1"/>
  <c r="K505" i="1"/>
  <c r="J505" i="1"/>
  <c r="I505" i="1"/>
  <c r="H505" i="1"/>
  <c r="G505" i="1"/>
  <c r="F505" i="1"/>
  <c r="E505" i="1"/>
  <c r="D505" i="1"/>
  <c r="C505" i="1"/>
  <c r="M504" i="1"/>
  <c r="L504" i="1"/>
  <c r="K504" i="1"/>
  <c r="J504" i="1"/>
  <c r="I504" i="1"/>
  <c r="H504" i="1"/>
  <c r="G504" i="1"/>
  <c r="F504" i="1"/>
  <c r="E504" i="1"/>
  <c r="D504" i="1"/>
  <c r="C504" i="1"/>
  <c r="M503" i="1"/>
  <c r="L503" i="1"/>
  <c r="K503" i="1"/>
  <c r="J503" i="1"/>
  <c r="I503" i="1"/>
  <c r="H503" i="1"/>
  <c r="G503" i="1"/>
  <c r="F503" i="1"/>
  <c r="E503" i="1"/>
  <c r="D503" i="1"/>
  <c r="C503" i="1"/>
  <c r="M502" i="1"/>
  <c r="L502" i="1"/>
  <c r="K502" i="1"/>
  <c r="J502" i="1"/>
  <c r="I502" i="1"/>
  <c r="H502" i="1"/>
  <c r="G502" i="1"/>
  <c r="F502" i="1"/>
  <c r="E502" i="1"/>
  <c r="D502" i="1"/>
  <c r="C502" i="1"/>
  <c r="M501" i="1"/>
  <c r="L501" i="1"/>
  <c r="K501" i="1"/>
  <c r="J501" i="1"/>
  <c r="I501" i="1"/>
  <c r="H501" i="1"/>
  <c r="G501" i="1"/>
  <c r="F501" i="1"/>
  <c r="E501" i="1"/>
  <c r="D501" i="1"/>
  <c r="C501" i="1"/>
  <c r="M500" i="1"/>
  <c r="L500" i="1"/>
  <c r="K500" i="1"/>
  <c r="J500" i="1"/>
  <c r="I500" i="1"/>
  <c r="H500" i="1"/>
  <c r="G500" i="1"/>
  <c r="F500" i="1"/>
  <c r="E500" i="1"/>
  <c r="D500" i="1"/>
  <c r="C500" i="1"/>
  <c r="M499" i="1"/>
  <c r="L499" i="1"/>
  <c r="K499" i="1"/>
  <c r="J499" i="1"/>
  <c r="I499" i="1"/>
  <c r="H499" i="1"/>
  <c r="G499" i="1"/>
  <c r="F499" i="1"/>
  <c r="E499" i="1"/>
  <c r="D499" i="1"/>
  <c r="C499" i="1"/>
  <c r="M498" i="1"/>
  <c r="L498" i="1"/>
  <c r="K498" i="1"/>
  <c r="J498" i="1"/>
  <c r="I498" i="1"/>
  <c r="H498" i="1"/>
  <c r="G498" i="1"/>
  <c r="F498" i="1"/>
  <c r="E498" i="1"/>
  <c r="D498" i="1"/>
  <c r="C498" i="1"/>
  <c r="M497" i="1"/>
  <c r="L497" i="1"/>
  <c r="K497" i="1"/>
  <c r="J497" i="1"/>
  <c r="I497" i="1"/>
  <c r="H497" i="1"/>
  <c r="G497" i="1"/>
  <c r="F497" i="1"/>
  <c r="E497" i="1"/>
  <c r="D497" i="1"/>
  <c r="C497" i="1"/>
  <c r="M496" i="1"/>
  <c r="L496" i="1"/>
  <c r="K496" i="1"/>
  <c r="J496" i="1"/>
  <c r="I496" i="1"/>
  <c r="H496" i="1"/>
  <c r="G496" i="1"/>
  <c r="F496" i="1"/>
  <c r="E496" i="1"/>
  <c r="D496" i="1"/>
  <c r="C496" i="1"/>
  <c r="M495" i="1"/>
  <c r="L495" i="1"/>
  <c r="K495" i="1"/>
  <c r="J495" i="1"/>
  <c r="I495" i="1"/>
  <c r="H495" i="1"/>
  <c r="G495" i="1"/>
  <c r="F495" i="1"/>
  <c r="E495" i="1"/>
  <c r="D495" i="1"/>
  <c r="C495" i="1"/>
  <c r="M494" i="1"/>
  <c r="L494" i="1"/>
  <c r="K494" i="1"/>
  <c r="J494" i="1"/>
  <c r="I494" i="1"/>
  <c r="H494" i="1"/>
  <c r="G494" i="1"/>
  <c r="F494" i="1"/>
  <c r="E494" i="1"/>
  <c r="D494" i="1"/>
  <c r="C494" i="1"/>
  <c r="M493" i="1"/>
  <c r="L493" i="1"/>
  <c r="K493" i="1"/>
  <c r="J493" i="1"/>
  <c r="I493" i="1"/>
  <c r="H493" i="1"/>
  <c r="G493" i="1"/>
  <c r="F493" i="1"/>
  <c r="E493" i="1"/>
  <c r="D493" i="1"/>
  <c r="C493" i="1"/>
  <c r="M492" i="1"/>
  <c r="L492" i="1"/>
  <c r="K492" i="1"/>
  <c r="J492" i="1"/>
  <c r="I492" i="1"/>
  <c r="H492" i="1"/>
  <c r="G492" i="1"/>
  <c r="F492" i="1"/>
  <c r="E492" i="1"/>
  <c r="D492" i="1"/>
  <c r="C492" i="1"/>
  <c r="M491" i="1"/>
  <c r="L491" i="1"/>
  <c r="K491" i="1"/>
  <c r="J491" i="1"/>
  <c r="I491" i="1"/>
  <c r="H491" i="1"/>
  <c r="G491" i="1"/>
  <c r="F491" i="1"/>
  <c r="E491" i="1"/>
  <c r="D491" i="1"/>
  <c r="C491" i="1"/>
  <c r="M490" i="1"/>
  <c r="L490" i="1"/>
  <c r="K490" i="1"/>
  <c r="J490" i="1"/>
  <c r="I490" i="1"/>
  <c r="H490" i="1"/>
  <c r="G490" i="1"/>
  <c r="F490" i="1"/>
  <c r="E490" i="1"/>
  <c r="D490" i="1"/>
  <c r="C490" i="1"/>
  <c r="M489" i="1"/>
  <c r="L489" i="1"/>
  <c r="K489" i="1"/>
  <c r="J489" i="1"/>
  <c r="I489" i="1"/>
  <c r="H489" i="1"/>
  <c r="G489" i="1"/>
  <c r="F489" i="1"/>
  <c r="E489" i="1"/>
  <c r="D489" i="1"/>
  <c r="C489" i="1"/>
  <c r="M488" i="1"/>
  <c r="L488" i="1"/>
  <c r="K488" i="1"/>
  <c r="J488" i="1"/>
  <c r="I488" i="1"/>
  <c r="H488" i="1"/>
  <c r="G488" i="1"/>
  <c r="F488" i="1"/>
  <c r="E488" i="1"/>
  <c r="D488" i="1"/>
  <c r="C488" i="1"/>
  <c r="M487" i="1"/>
  <c r="L487" i="1"/>
  <c r="K487" i="1"/>
  <c r="J487" i="1"/>
  <c r="I487" i="1"/>
  <c r="H487" i="1"/>
  <c r="G487" i="1"/>
  <c r="F487" i="1"/>
  <c r="E487" i="1"/>
  <c r="D487" i="1"/>
  <c r="C487" i="1"/>
  <c r="M486" i="1"/>
  <c r="L486" i="1"/>
  <c r="K486" i="1"/>
  <c r="J486" i="1"/>
  <c r="I486" i="1"/>
  <c r="H486" i="1"/>
  <c r="G486" i="1"/>
  <c r="F486" i="1"/>
  <c r="E486" i="1"/>
  <c r="D486" i="1"/>
  <c r="C486" i="1"/>
  <c r="M485" i="1"/>
  <c r="L485" i="1"/>
  <c r="K485" i="1"/>
  <c r="J485" i="1"/>
  <c r="I485" i="1"/>
  <c r="H485" i="1"/>
  <c r="G485" i="1"/>
  <c r="F485" i="1"/>
  <c r="E485" i="1"/>
  <c r="D485" i="1"/>
  <c r="C485" i="1"/>
  <c r="M484" i="1"/>
  <c r="L484" i="1"/>
  <c r="K484" i="1"/>
  <c r="J484" i="1"/>
  <c r="I484" i="1"/>
  <c r="H484" i="1"/>
  <c r="G484" i="1"/>
  <c r="F484" i="1"/>
  <c r="E484" i="1"/>
  <c r="D484" i="1"/>
  <c r="C484" i="1"/>
  <c r="M483" i="1"/>
  <c r="L483" i="1"/>
  <c r="K483" i="1"/>
  <c r="J483" i="1"/>
  <c r="I483" i="1"/>
  <c r="H483" i="1"/>
  <c r="G483" i="1"/>
  <c r="F483" i="1"/>
  <c r="E483" i="1"/>
  <c r="D483" i="1"/>
  <c r="C483" i="1"/>
  <c r="M482" i="1"/>
  <c r="L482" i="1"/>
  <c r="K482" i="1"/>
  <c r="J482" i="1"/>
  <c r="I482" i="1"/>
  <c r="H482" i="1"/>
  <c r="G482" i="1"/>
  <c r="F482" i="1"/>
  <c r="E482" i="1"/>
  <c r="D482" i="1"/>
  <c r="C482" i="1"/>
  <c r="M481" i="1"/>
  <c r="L481" i="1"/>
  <c r="K481" i="1"/>
  <c r="J481" i="1"/>
  <c r="I481" i="1"/>
  <c r="H481" i="1"/>
  <c r="G481" i="1"/>
  <c r="F481" i="1"/>
  <c r="E481" i="1"/>
  <c r="D481" i="1"/>
  <c r="C481" i="1"/>
  <c r="M480" i="1"/>
  <c r="L480" i="1"/>
  <c r="K480" i="1"/>
  <c r="J480" i="1"/>
  <c r="I480" i="1"/>
  <c r="H480" i="1"/>
  <c r="G480" i="1"/>
  <c r="F480" i="1"/>
  <c r="E480" i="1"/>
  <c r="D480" i="1"/>
  <c r="C480" i="1"/>
  <c r="M479" i="1"/>
  <c r="L479" i="1"/>
  <c r="K479" i="1"/>
  <c r="J479" i="1"/>
  <c r="I479" i="1"/>
  <c r="H479" i="1"/>
  <c r="G479" i="1"/>
  <c r="F479" i="1"/>
  <c r="E479" i="1"/>
  <c r="D479" i="1"/>
  <c r="C479" i="1"/>
  <c r="M478" i="1"/>
  <c r="L478" i="1"/>
  <c r="K478" i="1"/>
  <c r="J478" i="1"/>
  <c r="I478" i="1"/>
  <c r="H478" i="1"/>
  <c r="G478" i="1"/>
  <c r="F478" i="1"/>
  <c r="E478" i="1"/>
  <c r="D478" i="1"/>
  <c r="C478" i="1"/>
  <c r="M477" i="1"/>
  <c r="L477" i="1"/>
  <c r="K477" i="1"/>
  <c r="J477" i="1"/>
  <c r="I477" i="1"/>
  <c r="H477" i="1"/>
  <c r="G477" i="1"/>
  <c r="F477" i="1"/>
  <c r="E477" i="1"/>
  <c r="D477" i="1"/>
  <c r="C477" i="1"/>
  <c r="M476" i="1"/>
  <c r="L476" i="1"/>
  <c r="K476" i="1"/>
  <c r="J476" i="1"/>
  <c r="I476" i="1"/>
  <c r="H476" i="1"/>
  <c r="G476" i="1"/>
  <c r="F476" i="1"/>
  <c r="E476" i="1"/>
  <c r="D476" i="1"/>
  <c r="C476" i="1"/>
  <c r="M475" i="1"/>
  <c r="L475" i="1"/>
  <c r="K475" i="1"/>
  <c r="J475" i="1"/>
  <c r="I475" i="1"/>
  <c r="H475" i="1"/>
  <c r="G475" i="1"/>
  <c r="F475" i="1"/>
  <c r="E475" i="1"/>
  <c r="D475" i="1"/>
  <c r="C475" i="1"/>
  <c r="M474" i="1"/>
  <c r="L474" i="1"/>
  <c r="K474" i="1"/>
  <c r="J474" i="1"/>
  <c r="I474" i="1"/>
  <c r="H474" i="1"/>
  <c r="G474" i="1"/>
  <c r="F474" i="1"/>
  <c r="E474" i="1"/>
  <c r="D474" i="1"/>
  <c r="C474" i="1"/>
  <c r="M473" i="1"/>
  <c r="L473" i="1"/>
  <c r="K473" i="1"/>
  <c r="J473" i="1"/>
  <c r="I473" i="1"/>
  <c r="H473" i="1"/>
  <c r="G473" i="1"/>
  <c r="F473" i="1"/>
  <c r="E473" i="1"/>
  <c r="D473" i="1"/>
  <c r="C473" i="1"/>
  <c r="M472" i="1"/>
  <c r="L472" i="1"/>
  <c r="K472" i="1"/>
  <c r="J472" i="1"/>
  <c r="I472" i="1"/>
  <c r="H472" i="1"/>
  <c r="G472" i="1"/>
  <c r="F472" i="1"/>
  <c r="E472" i="1"/>
  <c r="D472" i="1"/>
  <c r="C472" i="1"/>
  <c r="M471" i="1"/>
  <c r="L471" i="1"/>
  <c r="K471" i="1"/>
  <c r="J471" i="1"/>
  <c r="I471" i="1"/>
  <c r="H471" i="1"/>
  <c r="G471" i="1"/>
  <c r="F471" i="1"/>
  <c r="E471" i="1"/>
  <c r="D471" i="1"/>
  <c r="C471" i="1"/>
  <c r="M470" i="1"/>
  <c r="L470" i="1"/>
  <c r="K470" i="1"/>
  <c r="J470" i="1"/>
  <c r="I470" i="1"/>
  <c r="H470" i="1"/>
  <c r="G470" i="1"/>
  <c r="F470" i="1"/>
  <c r="E470" i="1"/>
  <c r="D470" i="1"/>
  <c r="C470" i="1"/>
  <c r="M469" i="1"/>
  <c r="L469" i="1"/>
  <c r="K469" i="1"/>
  <c r="J469" i="1"/>
  <c r="I469" i="1"/>
  <c r="H469" i="1"/>
  <c r="G469" i="1"/>
  <c r="F469" i="1"/>
  <c r="E469" i="1"/>
  <c r="D469" i="1"/>
  <c r="C469" i="1"/>
  <c r="M468" i="1"/>
  <c r="L468" i="1"/>
  <c r="K468" i="1"/>
  <c r="J468" i="1"/>
  <c r="I468" i="1"/>
  <c r="H468" i="1"/>
  <c r="G468" i="1"/>
  <c r="F468" i="1"/>
  <c r="E468" i="1"/>
  <c r="D468" i="1"/>
  <c r="C468" i="1"/>
  <c r="M467" i="1"/>
  <c r="L467" i="1"/>
  <c r="K467" i="1"/>
  <c r="J467" i="1"/>
  <c r="I467" i="1"/>
  <c r="H467" i="1"/>
  <c r="G467" i="1"/>
  <c r="F467" i="1"/>
  <c r="E467" i="1"/>
  <c r="D467" i="1"/>
  <c r="C467" i="1"/>
  <c r="M466" i="1"/>
  <c r="L466" i="1"/>
  <c r="K466" i="1"/>
  <c r="J466" i="1"/>
  <c r="I466" i="1"/>
  <c r="H466" i="1"/>
  <c r="G466" i="1"/>
  <c r="F466" i="1"/>
  <c r="E466" i="1"/>
  <c r="D466" i="1"/>
  <c r="C466" i="1"/>
  <c r="M465" i="1"/>
  <c r="L465" i="1"/>
  <c r="K465" i="1"/>
  <c r="J465" i="1"/>
  <c r="I465" i="1"/>
  <c r="H465" i="1"/>
  <c r="G465" i="1"/>
  <c r="F465" i="1"/>
  <c r="E465" i="1"/>
  <c r="D465" i="1"/>
  <c r="C465" i="1"/>
  <c r="M464" i="1"/>
  <c r="L464" i="1"/>
  <c r="K464" i="1"/>
  <c r="J464" i="1"/>
  <c r="I464" i="1"/>
  <c r="H464" i="1"/>
  <c r="G464" i="1"/>
  <c r="F464" i="1"/>
  <c r="E464" i="1"/>
  <c r="D464" i="1"/>
  <c r="C464" i="1"/>
  <c r="M463" i="1"/>
  <c r="L463" i="1"/>
  <c r="K463" i="1"/>
  <c r="J463" i="1"/>
  <c r="I463" i="1"/>
  <c r="H463" i="1"/>
  <c r="G463" i="1"/>
  <c r="F463" i="1"/>
  <c r="E463" i="1"/>
  <c r="D463" i="1"/>
  <c r="C463" i="1"/>
  <c r="M462" i="1"/>
  <c r="L462" i="1"/>
  <c r="K462" i="1"/>
  <c r="J462" i="1"/>
  <c r="I462" i="1"/>
  <c r="H462" i="1"/>
  <c r="G462" i="1"/>
  <c r="F462" i="1"/>
  <c r="E462" i="1"/>
  <c r="D462" i="1"/>
  <c r="C462" i="1"/>
  <c r="M461" i="1"/>
  <c r="L461" i="1"/>
  <c r="K461" i="1"/>
  <c r="J461" i="1"/>
  <c r="I461" i="1"/>
  <c r="H461" i="1"/>
  <c r="G461" i="1"/>
  <c r="F461" i="1"/>
  <c r="E461" i="1"/>
  <c r="D461" i="1"/>
  <c r="C461" i="1"/>
  <c r="M460" i="1"/>
  <c r="L460" i="1"/>
  <c r="K460" i="1"/>
  <c r="J460" i="1"/>
  <c r="I460" i="1"/>
  <c r="H460" i="1"/>
  <c r="G460" i="1"/>
  <c r="F460" i="1"/>
  <c r="E460" i="1"/>
  <c r="D460" i="1"/>
  <c r="C460" i="1"/>
  <c r="M459" i="1"/>
  <c r="L459" i="1"/>
  <c r="K459" i="1"/>
  <c r="J459" i="1"/>
  <c r="I459" i="1"/>
  <c r="H459" i="1"/>
  <c r="G459" i="1"/>
  <c r="F459" i="1"/>
  <c r="E459" i="1"/>
  <c r="D459" i="1"/>
  <c r="C459" i="1"/>
  <c r="M458" i="1"/>
  <c r="L458" i="1"/>
  <c r="K458" i="1"/>
  <c r="J458" i="1"/>
  <c r="I458" i="1"/>
  <c r="H458" i="1"/>
  <c r="G458" i="1"/>
  <c r="F458" i="1"/>
  <c r="E458" i="1"/>
  <c r="D458" i="1"/>
  <c r="C458" i="1"/>
  <c r="M457" i="1"/>
  <c r="L457" i="1"/>
  <c r="K457" i="1"/>
  <c r="J457" i="1"/>
  <c r="I457" i="1"/>
  <c r="H457" i="1"/>
  <c r="G457" i="1"/>
  <c r="F457" i="1"/>
  <c r="E457" i="1"/>
  <c r="D457" i="1"/>
  <c r="C457" i="1"/>
  <c r="M456" i="1"/>
  <c r="L456" i="1"/>
  <c r="K456" i="1"/>
  <c r="J456" i="1"/>
  <c r="I456" i="1"/>
  <c r="H456" i="1"/>
  <c r="G456" i="1"/>
  <c r="F456" i="1"/>
  <c r="E456" i="1"/>
  <c r="D456" i="1"/>
  <c r="C456" i="1"/>
  <c r="M455" i="1"/>
  <c r="L455" i="1"/>
  <c r="K455" i="1"/>
  <c r="J455" i="1"/>
  <c r="I455" i="1"/>
  <c r="H455" i="1"/>
  <c r="G455" i="1"/>
  <c r="F455" i="1"/>
  <c r="E455" i="1"/>
  <c r="D455" i="1"/>
  <c r="C455" i="1"/>
  <c r="M454" i="1"/>
  <c r="L454" i="1"/>
  <c r="K454" i="1"/>
  <c r="J454" i="1"/>
  <c r="I454" i="1"/>
  <c r="H454" i="1"/>
  <c r="G454" i="1"/>
  <c r="F454" i="1"/>
  <c r="E454" i="1"/>
  <c r="D454" i="1"/>
  <c r="C454" i="1"/>
  <c r="M453" i="1"/>
  <c r="L453" i="1"/>
  <c r="K453" i="1"/>
  <c r="J453" i="1"/>
  <c r="I453" i="1"/>
  <c r="H453" i="1"/>
  <c r="G453" i="1"/>
  <c r="F453" i="1"/>
  <c r="E453" i="1"/>
  <c r="D453" i="1"/>
  <c r="C453" i="1"/>
  <c r="M452" i="1"/>
  <c r="L452" i="1"/>
  <c r="K452" i="1"/>
  <c r="J452" i="1"/>
  <c r="I452" i="1"/>
  <c r="H452" i="1"/>
  <c r="G452" i="1"/>
  <c r="F452" i="1"/>
  <c r="E452" i="1"/>
  <c r="D452" i="1"/>
  <c r="C452" i="1"/>
  <c r="M451" i="1"/>
  <c r="L451" i="1"/>
  <c r="K451" i="1"/>
  <c r="J451" i="1"/>
  <c r="I451" i="1"/>
  <c r="H451" i="1"/>
  <c r="G451" i="1"/>
  <c r="F451" i="1"/>
  <c r="E451" i="1"/>
  <c r="D451" i="1"/>
  <c r="C451" i="1"/>
  <c r="M450" i="1"/>
  <c r="L450" i="1"/>
  <c r="K450" i="1"/>
  <c r="J450" i="1"/>
  <c r="I450" i="1"/>
  <c r="H450" i="1"/>
  <c r="G450" i="1"/>
  <c r="F450" i="1"/>
  <c r="E450" i="1"/>
  <c r="D450" i="1"/>
  <c r="C450" i="1"/>
  <c r="M449" i="1"/>
  <c r="L449" i="1"/>
  <c r="K449" i="1"/>
  <c r="J449" i="1"/>
  <c r="I449" i="1"/>
  <c r="H449" i="1"/>
  <c r="G449" i="1"/>
  <c r="F449" i="1"/>
  <c r="E449" i="1"/>
  <c r="D449" i="1"/>
  <c r="C449" i="1"/>
  <c r="M448" i="1"/>
  <c r="L448" i="1"/>
  <c r="K448" i="1"/>
  <c r="J448" i="1"/>
  <c r="I448" i="1"/>
  <c r="H448" i="1"/>
  <c r="G448" i="1"/>
  <c r="F448" i="1"/>
  <c r="E448" i="1"/>
  <c r="D448" i="1"/>
  <c r="C448" i="1"/>
  <c r="M447" i="1"/>
  <c r="L447" i="1"/>
  <c r="K447" i="1"/>
  <c r="J447" i="1"/>
  <c r="I447" i="1"/>
  <c r="H447" i="1"/>
  <c r="G447" i="1"/>
  <c r="F447" i="1"/>
  <c r="E447" i="1"/>
  <c r="D447" i="1"/>
  <c r="C447" i="1"/>
  <c r="M446" i="1"/>
  <c r="L446" i="1"/>
  <c r="K446" i="1"/>
  <c r="J446" i="1"/>
  <c r="I446" i="1"/>
  <c r="H446" i="1"/>
  <c r="G446" i="1"/>
  <c r="F446" i="1"/>
  <c r="E446" i="1"/>
  <c r="D446" i="1"/>
  <c r="C446" i="1"/>
  <c r="M445" i="1"/>
  <c r="L445" i="1"/>
  <c r="K445" i="1"/>
  <c r="J445" i="1"/>
  <c r="I445" i="1"/>
  <c r="H445" i="1"/>
  <c r="G445" i="1"/>
  <c r="F445" i="1"/>
  <c r="E445" i="1"/>
  <c r="D445" i="1"/>
  <c r="C445" i="1"/>
  <c r="M444" i="1"/>
  <c r="L444" i="1"/>
  <c r="K444" i="1"/>
  <c r="J444" i="1"/>
  <c r="I444" i="1"/>
  <c r="H444" i="1"/>
  <c r="G444" i="1"/>
  <c r="F444" i="1"/>
  <c r="E444" i="1"/>
  <c r="D444" i="1"/>
  <c r="C444" i="1"/>
  <c r="M443" i="1"/>
  <c r="L443" i="1"/>
  <c r="K443" i="1"/>
  <c r="J443" i="1"/>
  <c r="I443" i="1"/>
  <c r="H443" i="1"/>
  <c r="G443" i="1"/>
  <c r="F443" i="1"/>
  <c r="E443" i="1"/>
  <c r="D443" i="1"/>
  <c r="C443" i="1"/>
  <c r="M442" i="1"/>
  <c r="L442" i="1"/>
  <c r="K442" i="1"/>
  <c r="J442" i="1"/>
  <c r="I442" i="1"/>
  <c r="H442" i="1"/>
  <c r="G442" i="1"/>
  <c r="F442" i="1"/>
  <c r="E442" i="1"/>
  <c r="D442" i="1"/>
  <c r="C442" i="1"/>
  <c r="M441" i="1"/>
  <c r="L441" i="1"/>
  <c r="K441" i="1"/>
  <c r="J441" i="1"/>
  <c r="I441" i="1"/>
  <c r="H441" i="1"/>
  <c r="G441" i="1"/>
  <c r="F441" i="1"/>
  <c r="E441" i="1"/>
  <c r="D441" i="1"/>
  <c r="C441" i="1"/>
  <c r="M440" i="1"/>
  <c r="L440" i="1"/>
  <c r="K440" i="1"/>
  <c r="J440" i="1"/>
  <c r="I440" i="1"/>
  <c r="H440" i="1"/>
  <c r="G440" i="1"/>
  <c r="F440" i="1"/>
  <c r="E440" i="1"/>
  <c r="D440" i="1"/>
  <c r="C440" i="1"/>
  <c r="M439" i="1"/>
  <c r="L439" i="1"/>
  <c r="K439" i="1"/>
  <c r="J439" i="1"/>
  <c r="I439" i="1"/>
  <c r="H439" i="1"/>
  <c r="G439" i="1"/>
  <c r="F439" i="1"/>
  <c r="E439" i="1"/>
  <c r="D439" i="1"/>
  <c r="C439" i="1"/>
  <c r="M438" i="1"/>
  <c r="L438" i="1"/>
  <c r="K438" i="1"/>
  <c r="J438" i="1"/>
  <c r="I438" i="1"/>
  <c r="H438" i="1"/>
  <c r="G438" i="1"/>
  <c r="F438" i="1"/>
  <c r="E438" i="1"/>
  <c r="D438" i="1"/>
  <c r="C438" i="1"/>
  <c r="M437" i="1"/>
  <c r="L437" i="1"/>
  <c r="K437" i="1"/>
  <c r="J437" i="1"/>
  <c r="I437" i="1"/>
  <c r="H437" i="1"/>
  <c r="G437" i="1"/>
  <c r="F437" i="1"/>
  <c r="E437" i="1"/>
  <c r="D437" i="1"/>
  <c r="C437" i="1"/>
  <c r="M436" i="1"/>
  <c r="L436" i="1"/>
  <c r="K436" i="1"/>
  <c r="J436" i="1"/>
  <c r="I436" i="1"/>
  <c r="H436" i="1"/>
  <c r="G436" i="1"/>
  <c r="F436" i="1"/>
  <c r="E436" i="1"/>
  <c r="D436" i="1"/>
  <c r="C436" i="1"/>
  <c r="M435" i="1"/>
  <c r="L435" i="1"/>
  <c r="K435" i="1"/>
  <c r="J435" i="1"/>
  <c r="I435" i="1"/>
  <c r="H435" i="1"/>
  <c r="G435" i="1"/>
  <c r="F435" i="1"/>
  <c r="E435" i="1"/>
  <c r="D435" i="1"/>
  <c r="C435" i="1"/>
  <c r="M434" i="1"/>
  <c r="L434" i="1"/>
  <c r="K434" i="1"/>
  <c r="J434" i="1"/>
  <c r="I434" i="1"/>
  <c r="H434" i="1"/>
  <c r="G434" i="1"/>
  <c r="F434" i="1"/>
  <c r="E434" i="1"/>
  <c r="D434" i="1"/>
  <c r="C434" i="1"/>
  <c r="M433" i="1"/>
  <c r="L433" i="1"/>
  <c r="K433" i="1"/>
  <c r="J433" i="1"/>
  <c r="I433" i="1"/>
  <c r="H433" i="1"/>
  <c r="G433" i="1"/>
  <c r="F433" i="1"/>
  <c r="E433" i="1"/>
  <c r="D433" i="1"/>
  <c r="C433" i="1"/>
  <c r="M432" i="1"/>
  <c r="L432" i="1"/>
  <c r="K432" i="1"/>
  <c r="J432" i="1"/>
  <c r="I432" i="1"/>
  <c r="H432" i="1"/>
  <c r="G432" i="1"/>
  <c r="F432" i="1"/>
  <c r="E432" i="1"/>
  <c r="D432" i="1"/>
  <c r="C432" i="1"/>
  <c r="M431" i="1"/>
  <c r="L431" i="1"/>
  <c r="K431" i="1"/>
  <c r="J431" i="1"/>
  <c r="I431" i="1"/>
  <c r="H431" i="1"/>
  <c r="G431" i="1"/>
  <c r="F431" i="1"/>
  <c r="E431" i="1"/>
  <c r="D431" i="1"/>
  <c r="C431" i="1"/>
  <c r="M430" i="1"/>
  <c r="L430" i="1"/>
  <c r="K430" i="1"/>
  <c r="J430" i="1"/>
  <c r="I430" i="1"/>
  <c r="H430" i="1"/>
  <c r="G430" i="1"/>
  <c r="F430" i="1"/>
  <c r="E430" i="1"/>
  <c r="D430" i="1"/>
  <c r="C430" i="1"/>
  <c r="M429" i="1"/>
  <c r="L429" i="1"/>
  <c r="K429" i="1"/>
  <c r="J429" i="1"/>
  <c r="I429" i="1"/>
  <c r="H429" i="1"/>
  <c r="G429" i="1"/>
  <c r="F429" i="1"/>
  <c r="E429" i="1"/>
  <c r="D429" i="1"/>
  <c r="C429" i="1"/>
  <c r="M428" i="1"/>
  <c r="L428" i="1"/>
  <c r="K428" i="1"/>
  <c r="J428" i="1"/>
  <c r="I428" i="1"/>
  <c r="H428" i="1"/>
  <c r="G428" i="1"/>
  <c r="F428" i="1"/>
  <c r="E428" i="1"/>
  <c r="D428" i="1"/>
  <c r="C428" i="1"/>
  <c r="M427" i="1"/>
  <c r="L427" i="1"/>
  <c r="K427" i="1"/>
  <c r="J427" i="1"/>
  <c r="I427" i="1"/>
  <c r="H427" i="1"/>
  <c r="G427" i="1"/>
  <c r="F427" i="1"/>
  <c r="E427" i="1"/>
  <c r="D427" i="1"/>
  <c r="C427" i="1"/>
  <c r="M426" i="1"/>
  <c r="L426" i="1"/>
  <c r="K426" i="1"/>
  <c r="J426" i="1"/>
  <c r="I426" i="1"/>
  <c r="H426" i="1"/>
  <c r="G426" i="1"/>
  <c r="F426" i="1"/>
  <c r="E426" i="1"/>
  <c r="D426" i="1"/>
  <c r="C426" i="1"/>
  <c r="M425" i="1"/>
  <c r="L425" i="1"/>
  <c r="K425" i="1"/>
  <c r="J425" i="1"/>
  <c r="I425" i="1"/>
  <c r="H425" i="1"/>
  <c r="G425" i="1"/>
  <c r="F425" i="1"/>
  <c r="E425" i="1"/>
  <c r="D425" i="1"/>
  <c r="C425" i="1"/>
  <c r="M424" i="1"/>
  <c r="L424" i="1"/>
  <c r="K424" i="1"/>
  <c r="J424" i="1"/>
  <c r="I424" i="1"/>
  <c r="H424" i="1"/>
  <c r="G424" i="1"/>
  <c r="F424" i="1"/>
  <c r="E424" i="1"/>
  <c r="D424" i="1"/>
  <c r="C424" i="1"/>
  <c r="M423" i="1"/>
  <c r="L423" i="1"/>
  <c r="K423" i="1"/>
  <c r="J423" i="1"/>
  <c r="I423" i="1"/>
  <c r="H423" i="1"/>
  <c r="G423" i="1"/>
  <c r="F423" i="1"/>
  <c r="E423" i="1"/>
  <c r="D423" i="1"/>
  <c r="C423" i="1"/>
  <c r="M422" i="1"/>
  <c r="L422" i="1"/>
  <c r="K422" i="1"/>
  <c r="J422" i="1"/>
  <c r="I422" i="1"/>
  <c r="H422" i="1"/>
  <c r="G422" i="1"/>
  <c r="F422" i="1"/>
  <c r="E422" i="1"/>
  <c r="D422" i="1"/>
  <c r="C422" i="1"/>
  <c r="M421" i="1"/>
  <c r="L421" i="1"/>
  <c r="K421" i="1"/>
  <c r="J421" i="1"/>
  <c r="I421" i="1"/>
  <c r="H421" i="1"/>
  <c r="G421" i="1"/>
  <c r="F421" i="1"/>
  <c r="E421" i="1"/>
  <c r="D421" i="1"/>
  <c r="C421" i="1"/>
  <c r="M420" i="1"/>
  <c r="L420" i="1"/>
  <c r="K420" i="1"/>
  <c r="J420" i="1"/>
  <c r="I420" i="1"/>
  <c r="H420" i="1"/>
  <c r="G420" i="1"/>
  <c r="F420" i="1"/>
  <c r="E420" i="1"/>
  <c r="D420" i="1"/>
  <c r="C420" i="1"/>
  <c r="M419" i="1"/>
  <c r="L419" i="1"/>
  <c r="K419" i="1"/>
  <c r="J419" i="1"/>
  <c r="I419" i="1"/>
  <c r="H419" i="1"/>
  <c r="G419" i="1"/>
  <c r="F419" i="1"/>
  <c r="E419" i="1"/>
  <c r="D419" i="1"/>
  <c r="C419" i="1"/>
  <c r="M418" i="1"/>
  <c r="L418" i="1"/>
  <c r="K418" i="1"/>
  <c r="J418" i="1"/>
  <c r="I418" i="1"/>
  <c r="H418" i="1"/>
  <c r="G418" i="1"/>
  <c r="F418" i="1"/>
  <c r="E418" i="1"/>
  <c r="D418" i="1"/>
  <c r="C418" i="1"/>
  <c r="M417" i="1"/>
  <c r="L417" i="1"/>
  <c r="K417" i="1"/>
  <c r="J417" i="1"/>
  <c r="I417" i="1"/>
  <c r="H417" i="1"/>
  <c r="G417" i="1"/>
  <c r="F417" i="1"/>
  <c r="E417" i="1"/>
  <c r="D417" i="1"/>
  <c r="C417" i="1"/>
  <c r="M416" i="1"/>
  <c r="L416" i="1"/>
  <c r="K416" i="1"/>
  <c r="J416" i="1"/>
  <c r="I416" i="1"/>
  <c r="H416" i="1"/>
  <c r="G416" i="1"/>
  <c r="F416" i="1"/>
  <c r="E416" i="1"/>
  <c r="D416" i="1"/>
  <c r="C416" i="1"/>
  <c r="M415" i="1"/>
  <c r="L415" i="1"/>
  <c r="K415" i="1"/>
  <c r="J415" i="1"/>
  <c r="I415" i="1"/>
  <c r="H415" i="1"/>
  <c r="G415" i="1"/>
  <c r="F415" i="1"/>
  <c r="E415" i="1"/>
  <c r="D415" i="1"/>
  <c r="C415" i="1"/>
  <c r="M414" i="1"/>
  <c r="L414" i="1"/>
  <c r="K414" i="1"/>
  <c r="J414" i="1"/>
  <c r="I414" i="1"/>
  <c r="H414" i="1"/>
  <c r="G414" i="1"/>
  <c r="F414" i="1"/>
  <c r="E414" i="1"/>
  <c r="D414" i="1"/>
  <c r="C414" i="1"/>
  <c r="M413" i="1"/>
  <c r="L413" i="1"/>
  <c r="K413" i="1"/>
  <c r="J413" i="1"/>
  <c r="I413" i="1"/>
  <c r="H413" i="1"/>
  <c r="G413" i="1"/>
  <c r="F413" i="1"/>
  <c r="E413" i="1"/>
  <c r="D413" i="1"/>
  <c r="C413" i="1"/>
  <c r="M412" i="1"/>
  <c r="L412" i="1"/>
  <c r="K412" i="1"/>
  <c r="J412" i="1"/>
  <c r="I412" i="1"/>
  <c r="H412" i="1"/>
  <c r="G412" i="1"/>
  <c r="F412" i="1"/>
  <c r="E412" i="1"/>
  <c r="D412" i="1"/>
  <c r="C412" i="1"/>
  <c r="M411" i="1"/>
  <c r="L411" i="1"/>
  <c r="K411" i="1"/>
  <c r="J411" i="1"/>
  <c r="I411" i="1"/>
  <c r="H411" i="1"/>
  <c r="G411" i="1"/>
  <c r="F411" i="1"/>
  <c r="E411" i="1"/>
  <c r="D411" i="1"/>
  <c r="C411" i="1"/>
  <c r="M410" i="1"/>
  <c r="L410" i="1"/>
  <c r="K410" i="1"/>
  <c r="J410" i="1"/>
  <c r="I410" i="1"/>
  <c r="H410" i="1"/>
  <c r="G410" i="1"/>
  <c r="F410" i="1"/>
  <c r="E410" i="1"/>
  <c r="D410" i="1"/>
  <c r="C410" i="1"/>
  <c r="M409" i="1"/>
  <c r="L409" i="1"/>
  <c r="K409" i="1"/>
  <c r="J409" i="1"/>
  <c r="I409" i="1"/>
  <c r="H409" i="1"/>
  <c r="G409" i="1"/>
  <c r="F409" i="1"/>
  <c r="E409" i="1"/>
  <c r="D409" i="1"/>
  <c r="C409" i="1"/>
  <c r="M408" i="1"/>
  <c r="L408" i="1"/>
  <c r="K408" i="1"/>
  <c r="J408" i="1"/>
  <c r="I408" i="1"/>
  <c r="H408" i="1"/>
  <c r="G408" i="1"/>
  <c r="F408" i="1"/>
  <c r="E408" i="1"/>
  <c r="D408" i="1"/>
  <c r="C408" i="1"/>
  <c r="M407" i="1"/>
  <c r="L407" i="1"/>
  <c r="K407" i="1"/>
  <c r="J407" i="1"/>
  <c r="I407" i="1"/>
  <c r="H407" i="1"/>
  <c r="G407" i="1"/>
  <c r="F407" i="1"/>
  <c r="E407" i="1"/>
  <c r="D407" i="1"/>
  <c r="C407" i="1"/>
  <c r="M406" i="1"/>
  <c r="L406" i="1"/>
  <c r="K406" i="1"/>
  <c r="J406" i="1"/>
  <c r="I406" i="1"/>
  <c r="H406" i="1"/>
  <c r="G406" i="1"/>
  <c r="F406" i="1"/>
  <c r="E406" i="1"/>
  <c r="D406" i="1"/>
  <c r="C406" i="1"/>
  <c r="M405" i="1"/>
  <c r="L405" i="1"/>
  <c r="K405" i="1"/>
  <c r="J405" i="1"/>
  <c r="I405" i="1"/>
  <c r="H405" i="1"/>
  <c r="G405" i="1"/>
  <c r="F405" i="1"/>
  <c r="E405" i="1"/>
  <c r="D405" i="1"/>
  <c r="C405" i="1"/>
  <c r="M404" i="1"/>
  <c r="L404" i="1"/>
  <c r="K404" i="1"/>
  <c r="J404" i="1"/>
  <c r="I404" i="1"/>
  <c r="H404" i="1"/>
  <c r="G404" i="1"/>
  <c r="F404" i="1"/>
  <c r="E404" i="1"/>
  <c r="D404" i="1"/>
  <c r="C404" i="1"/>
  <c r="M403" i="1"/>
  <c r="L403" i="1"/>
  <c r="K403" i="1"/>
  <c r="J403" i="1"/>
  <c r="I403" i="1"/>
  <c r="H403" i="1"/>
  <c r="G403" i="1"/>
  <c r="F403" i="1"/>
  <c r="E403" i="1"/>
  <c r="D403" i="1"/>
  <c r="C403" i="1"/>
  <c r="M402" i="1"/>
  <c r="L402" i="1"/>
  <c r="K402" i="1"/>
  <c r="J402" i="1"/>
  <c r="I402" i="1"/>
  <c r="H402" i="1"/>
  <c r="G402" i="1"/>
  <c r="F402" i="1"/>
  <c r="E402" i="1"/>
  <c r="D402" i="1"/>
  <c r="C402" i="1"/>
  <c r="M401" i="1"/>
  <c r="L401" i="1"/>
  <c r="K401" i="1"/>
  <c r="J401" i="1"/>
  <c r="I401" i="1"/>
  <c r="H401" i="1"/>
  <c r="G401" i="1"/>
  <c r="F401" i="1"/>
  <c r="E401" i="1"/>
  <c r="D401" i="1"/>
  <c r="C401" i="1"/>
  <c r="M400" i="1"/>
  <c r="L400" i="1"/>
  <c r="K400" i="1"/>
  <c r="J400" i="1"/>
  <c r="I400" i="1"/>
  <c r="H400" i="1"/>
  <c r="G400" i="1"/>
  <c r="F400" i="1"/>
  <c r="E400" i="1"/>
  <c r="D400" i="1"/>
  <c r="C400" i="1"/>
  <c r="M399" i="1"/>
  <c r="L399" i="1"/>
  <c r="K399" i="1"/>
  <c r="J399" i="1"/>
  <c r="I399" i="1"/>
  <c r="H399" i="1"/>
  <c r="G399" i="1"/>
  <c r="F399" i="1"/>
  <c r="E399" i="1"/>
  <c r="D399" i="1"/>
  <c r="C399" i="1"/>
  <c r="M398" i="1"/>
  <c r="L398" i="1"/>
  <c r="K398" i="1"/>
  <c r="J398" i="1"/>
  <c r="I398" i="1"/>
  <c r="H398" i="1"/>
  <c r="G398" i="1"/>
  <c r="F398" i="1"/>
  <c r="E398" i="1"/>
  <c r="D398" i="1"/>
  <c r="C398" i="1"/>
  <c r="M397" i="1"/>
  <c r="L397" i="1"/>
  <c r="K397" i="1"/>
  <c r="J397" i="1"/>
  <c r="I397" i="1"/>
  <c r="H397" i="1"/>
  <c r="G397" i="1"/>
  <c r="F397" i="1"/>
  <c r="E397" i="1"/>
  <c r="D397" i="1"/>
  <c r="C397" i="1"/>
  <c r="M396" i="1"/>
  <c r="L396" i="1"/>
  <c r="K396" i="1"/>
  <c r="J396" i="1"/>
  <c r="I396" i="1"/>
  <c r="H396" i="1"/>
  <c r="G396" i="1"/>
  <c r="F396" i="1"/>
  <c r="E396" i="1"/>
  <c r="D396" i="1"/>
  <c r="C396" i="1"/>
  <c r="M395" i="1"/>
  <c r="L395" i="1"/>
  <c r="K395" i="1"/>
  <c r="J395" i="1"/>
  <c r="I395" i="1"/>
  <c r="H395" i="1"/>
  <c r="G395" i="1"/>
  <c r="F395" i="1"/>
  <c r="E395" i="1"/>
  <c r="D395" i="1"/>
  <c r="C395" i="1"/>
  <c r="M394" i="1"/>
  <c r="L394" i="1"/>
  <c r="K394" i="1"/>
  <c r="J394" i="1"/>
  <c r="I394" i="1"/>
  <c r="H394" i="1"/>
  <c r="G394" i="1"/>
  <c r="F394" i="1"/>
  <c r="E394" i="1"/>
  <c r="D394" i="1"/>
  <c r="C394" i="1"/>
  <c r="M393" i="1"/>
  <c r="L393" i="1"/>
  <c r="K393" i="1"/>
  <c r="J393" i="1"/>
  <c r="I393" i="1"/>
  <c r="H393" i="1"/>
  <c r="G393" i="1"/>
  <c r="F393" i="1"/>
  <c r="E393" i="1"/>
  <c r="D393" i="1"/>
  <c r="C393" i="1"/>
  <c r="M392" i="1"/>
  <c r="L392" i="1"/>
  <c r="K392" i="1"/>
  <c r="J392" i="1"/>
  <c r="I392" i="1"/>
  <c r="H392" i="1"/>
  <c r="G392" i="1"/>
  <c r="F392" i="1"/>
  <c r="E392" i="1"/>
  <c r="D392" i="1"/>
  <c r="C392" i="1"/>
  <c r="M391" i="1"/>
  <c r="L391" i="1"/>
  <c r="K391" i="1"/>
  <c r="J391" i="1"/>
  <c r="I391" i="1"/>
  <c r="H391" i="1"/>
  <c r="G391" i="1"/>
  <c r="F391" i="1"/>
  <c r="E391" i="1"/>
  <c r="D391" i="1"/>
  <c r="C391" i="1"/>
  <c r="M390" i="1"/>
  <c r="L390" i="1"/>
  <c r="K390" i="1"/>
  <c r="J390" i="1"/>
  <c r="I390" i="1"/>
  <c r="H390" i="1"/>
  <c r="G390" i="1"/>
  <c r="F390" i="1"/>
  <c r="E390" i="1"/>
  <c r="D390" i="1"/>
  <c r="C390" i="1"/>
  <c r="M389" i="1"/>
  <c r="L389" i="1"/>
  <c r="K389" i="1"/>
  <c r="J389" i="1"/>
  <c r="I389" i="1"/>
  <c r="H389" i="1"/>
  <c r="G389" i="1"/>
  <c r="F389" i="1"/>
  <c r="E389" i="1"/>
  <c r="D389" i="1"/>
  <c r="C389" i="1"/>
  <c r="M388" i="1"/>
  <c r="L388" i="1"/>
  <c r="K388" i="1"/>
  <c r="J388" i="1"/>
  <c r="I388" i="1"/>
  <c r="H388" i="1"/>
  <c r="G388" i="1"/>
  <c r="F388" i="1"/>
  <c r="E388" i="1"/>
  <c r="D388" i="1"/>
  <c r="C388" i="1"/>
  <c r="M387" i="1"/>
  <c r="L387" i="1"/>
  <c r="K387" i="1"/>
  <c r="J387" i="1"/>
  <c r="I387" i="1"/>
  <c r="H387" i="1"/>
  <c r="G387" i="1"/>
  <c r="F387" i="1"/>
  <c r="E387" i="1"/>
  <c r="D387" i="1"/>
  <c r="C387" i="1"/>
  <c r="M386" i="1"/>
  <c r="L386" i="1"/>
  <c r="K386" i="1"/>
  <c r="J386" i="1"/>
  <c r="I386" i="1"/>
  <c r="H386" i="1"/>
  <c r="G386" i="1"/>
  <c r="F386" i="1"/>
  <c r="E386" i="1"/>
  <c r="D386" i="1"/>
  <c r="C386" i="1"/>
  <c r="M385" i="1"/>
  <c r="L385" i="1"/>
  <c r="K385" i="1"/>
  <c r="J385" i="1"/>
  <c r="I385" i="1"/>
  <c r="H385" i="1"/>
  <c r="G385" i="1"/>
  <c r="F385" i="1"/>
  <c r="E385" i="1"/>
  <c r="D385" i="1"/>
  <c r="C385" i="1"/>
  <c r="M384" i="1"/>
  <c r="L384" i="1"/>
  <c r="K384" i="1"/>
  <c r="J384" i="1"/>
  <c r="I384" i="1"/>
  <c r="H384" i="1"/>
  <c r="G384" i="1"/>
  <c r="F384" i="1"/>
  <c r="E384" i="1"/>
  <c r="D384" i="1"/>
  <c r="C384" i="1"/>
  <c r="M383" i="1"/>
  <c r="L383" i="1"/>
  <c r="K383" i="1"/>
  <c r="J383" i="1"/>
  <c r="I383" i="1"/>
  <c r="H383" i="1"/>
  <c r="G383" i="1"/>
  <c r="F383" i="1"/>
  <c r="E383" i="1"/>
  <c r="D383" i="1"/>
  <c r="C383" i="1"/>
  <c r="M382" i="1"/>
  <c r="L382" i="1"/>
  <c r="K382" i="1"/>
  <c r="J382" i="1"/>
  <c r="I382" i="1"/>
  <c r="H382" i="1"/>
  <c r="G382" i="1"/>
  <c r="F382" i="1"/>
  <c r="E382" i="1"/>
  <c r="D382" i="1"/>
  <c r="C382" i="1"/>
  <c r="M381" i="1"/>
  <c r="L381" i="1"/>
  <c r="K381" i="1"/>
  <c r="J381" i="1"/>
  <c r="I381" i="1"/>
  <c r="H381" i="1"/>
  <c r="G381" i="1"/>
  <c r="F381" i="1"/>
  <c r="E381" i="1"/>
  <c r="D381" i="1"/>
  <c r="C381" i="1"/>
  <c r="M380" i="1"/>
  <c r="L380" i="1"/>
  <c r="K380" i="1"/>
  <c r="J380" i="1"/>
  <c r="I380" i="1"/>
  <c r="H380" i="1"/>
  <c r="G380" i="1"/>
  <c r="F380" i="1"/>
  <c r="E380" i="1"/>
  <c r="D380" i="1"/>
  <c r="C380" i="1"/>
  <c r="M379" i="1"/>
  <c r="L379" i="1"/>
  <c r="K379" i="1"/>
  <c r="J379" i="1"/>
  <c r="I379" i="1"/>
  <c r="H379" i="1"/>
  <c r="G379" i="1"/>
  <c r="F379" i="1"/>
  <c r="E379" i="1"/>
  <c r="D379" i="1"/>
  <c r="C379" i="1"/>
  <c r="M378" i="1"/>
  <c r="L378" i="1"/>
  <c r="K378" i="1"/>
  <c r="J378" i="1"/>
  <c r="I378" i="1"/>
  <c r="H378" i="1"/>
  <c r="G378" i="1"/>
  <c r="F378" i="1"/>
  <c r="E378" i="1"/>
  <c r="D378" i="1"/>
  <c r="C378" i="1"/>
  <c r="M377" i="1"/>
  <c r="L377" i="1"/>
  <c r="K377" i="1"/>
  <c r="J377" i="1"/>
  <c r="I377" i="1"/>
  <c r="H377" i="1"/>
  <c r="G377" i="1"/>
  <c r="F377" i="1"/>
  <c r="E377" i="1"/>
  <c r="D377" i="1"/>
  <c r="C377" i="1"/>
  <c r="M376" i="1"/>
  <c r="L376" i="1"/>
  <c r="K376" i="1"/>
  <c r="J376" i="1"/>
  <c r="I376" i="1"/>
  <c r="H376" i="1"/>
  <c r="G376" i="1"/>
  <c r="F376" i="1"/>
  <c r="E376" i="1"/>
  <c r="D376" i="1"/>
  <c r="C376" i="1"/>
  <c r="M375" i="1"/>
  <c r="L375" i="1"/>
  <c r="K375" i="1"/>
  <c r="J375" i="1"/>
  <c r="I375" i="1"/>
  <c r="H375" i="1"/>
  <c r="G375" i="1"/>
  <c r="F375" i="1"/>
  <c r="E375" i="1"/>
  <c r="D375" i="1"/>
  <c r="C375" i="1"/>
  <c r="M374" i="1"/>
  <c r="L374" i="1"/>
  <c r="K374" i="1"/>
  <c r="J374" i="1"/>
  <c r="I374" i="1"/>
  <c r="H374" i="1"/>
  <c r="G374" i="1"/>
  <c r="F374" i="1"/>
  <c r="E374" i="1"/>
  <c r="D374" i="1"/>
  <c r="C374" i="1"/>
  <c r="M373" i="1"/>
  <c r="L373" i="1"/>
  <c r="K373" i="1"/>
  <c r="J373" i="1"/>
  <c r="I373" i="1"/>
  <c r="H373" i="1"/>
  <c r="G373" i="1"/>
  <c r="F373" i="1"/>
  <c r="E373" i="1"/>
  <c r="D373" i="1"/>
  <c r="C373" i="1"/>
  <c r="M372" i="1"/>
  <c r="L372" i="1"/>
  <c r="K372" i="1"/>
  <c r="J372" i="1"/>
  <c r="I372" i="1"/>
  <c r="H372" i="1"/>
  <c r="G372" i="1"/>
  <c r="F372" i="1"/>
  <c r="E372" i="1"/>
  <c r="D372" i="1"/>
  <c r="C372" i="1"/>
  <c r="M371" i="1"/>
  <c r="L371" i="1"/>
  <c r="K371" i="1"/>
  <c r="J371" i="1"/>
  <c r="I371" i="1"/>
  <c r="H371" i="1"/>
  <c r="G371" i="1"/>
  <c r="F371" i="1"/>
  <c r="E371" i="1"/>
  <c r="D371" i="1"/>
  <c r="C371" i="1"/>
  <c r="M370" i="1"/>
  <c r="L370" i="1"/>
  <c r="K370" i="1"/>
  <c r="J370" i="1"/>
  <c r="I370" i="1"/>
  <c r="H370" i="1"/>
  <c r="G370" i="1"/>
  <c r="F370" i="1"/>
  <c r="E370" i="1"/>
  <c r="D370" i="1"/>
  <c r="C370" i="1"/>
  <c r="M369" i="1"/>
  <c r="L369" i="1"/>
  <c r="K369" i="1"/>
  <c r="J369" i="1"/>
  <c r="I369" i="1"/>
  <c r="H369" i="1"/>
  <c r="G369" i="1"/>
  <c r="F369" i="1"/>
  <c r="E369" i="1"/>
  <c r="D369" i="1"/>
  <c r="C369" i="1"/>
  <c r="M368" i="1"/>
  <c r="L368" i="1"/>
  <c r="K368" i="1"/>
  <c r="J368" i="1"/>
  <c r="I368" i="1"/>
  <c r="H368" i="1"/>
  <c r="G368" i="1"/>
  <c r="F368" i="1"/>
  <c r="E368" i="1"/>
  <c r="D368" i="1"/>
  <c r="C368" i="1"/>
  <c r="M367" i="1"/>
  <c r="L367" i="1"/>
  <c r="K367" i="1"/>
  <c r="J367" i="1"/>
  <c r="I367" i="1"/>
  <c r="H367" i="1"/>
  <c r="G367" i="1"/>
  <c r="F367" i="1"/>
  <c r="E367" i="1"/>
  <c r="D367" i="1"/>
  <c r="C367" i="1"/>
  <c r="M366" i="1"/>
  <c r="L366" i="1"/>
  <c r="K366" i="1"/>
  <c r="J366" i="1"/>
  <c r="I366" i="1"/>
  <c r="H366" i="1"/>
  <c r="G366" i="1"/>
  <c r="F366" i="1"/>
  <c r="E366" i="1"/>
  <c r="D366" i="1"/>
  <c r="C366" i="1"/>
  <c r="M365" i="1"/>
  <c r="L365" i="1"/>
  <c r="K365" i="1"/>
  <c r="J365" i="1"/>
  <c r="I365" i="1"/>
  <c r="H365" i="1"/>
  <c r="G365" i="1"/>
  <c r="F365" i="1"/>
  <c r="E365" i="1"/>
  <c r="D365" i="1"/>
  <c r="C365" i="1"/>
  <c r="M364" i="1"/>
  <c r="L364" i="1"/>
  <c r="K364" i="1"/>
  <c r="J364" i="1"/>
  <c r="I364" i="1"/>
  <c r="H364" i="1"/>
  <c r="G364" i="1"/>
  <c r="F364" i="1"/>
  <c r="E364" i="1"/>
  <c r="D364" i="1"/>
  <c r="C364" i="1"/>
  <c r="M363" i="1"/>
  <c r="L363" i="1"/>
  <c r="K363" i="1"/>
  <c r="J363" i="1"/>
  <c r="I363" i="1"/>
  <c r="H363" i="1"/>
  <c r="G363" i="1"/>
  <c r="F363" i="1"/>
  <c r="E363" i="1"/>
  <c r="D363" i="1"/>
  <c r="C363" i="1"/>
  <c r="M362" i="1"/>
  <c r="L362" i="1"/>
  <c r="K362" i="1"/>
  <c r="J362" i="1"/>
  <c r="I362" i="1"/>
  <c r="H362" i="1"/>
  <c r="G362" i="1"/>
  <c r="F362" i="1"/>
  <c r="E362" i="1"/>
  <c r="D362" i="1"/>
  <c r="C362" i="1"/>
  <c r="M361" i="1"/>
  <c r="L361" i="1"/>
  <c r="K361" i="1"/>
  <c r="J361" i="1"/>
  <c r="I361" i="1"/>
  <c r="H361" i="1"/>
  <c r="G361" i="1"/>
  <c r="F361" i="1"/>
  <c r="E361" i="1"/>
  <c r="D361" i="1"/>
  <c r="C361" i="1"/>
  <c r="M360" i="1"/>
  <c r="L360" i="1"/>
  <c r="K360" i="1"/>
  <c r="J360" i="1"/>
  <c r="I360" i="1"/>
  <c r="H360" i="1"/>
  <c r="G360" i="1"/>
  <c r="F360" i="1"/>
  <c r="E360" i="1"/>
  <c r="D360" i="1"/>
  <c r="C360" i="1"/>
  <c r="M359" i="1"/>
  <c r="L359" i="1"/>
  <c r="K359" i="1"/>
  <c r="J359" i="1"/>
  <c r="I359" i="1"/>
  <c r="H359" i="1"/>
  <c r="G359" i="1"/>
  <c r="F359" i="1"/>
  <c r="E359" i="1"/>
  <c r="D359" i="1"/>
  <c r="C359" i="1"/>
  <c r="M358" i="1"/>
  <c r="L358" i="1"/>
  <c r="K358" i="1"/>
  <c r="J358" i="1"/>
  <c r="I358" i="1"/>
  <c r="H358" i="1"/>
  <c r="G358" i="1"/>
  <c r="F358" i="1"/>
  <c r="E358" i="1"/>
  <c r="D358" i="1"/>
  <c r="C358" i="1"/>
  <c r="M357" i="1"/>
  <c r="L357" i="1"/>
  <c r="K357" i="1"/>
  <c r="J357" i="1"/>
  <c r="I357" i="1"/>
  <c r="H357" i="1"/>
  <c r="G357" i="1"/>
  <c r="F357" i="1"/>
  <c r="E357" i="1"/>
  <c r="D357" i="1"/>
  <c r="C357" i="1"/>
  <c r="M356" i="1"/>
  <c r="L356" i="1"/>
  <c r="K356" i="1"/>
  <c r="J356" i="1"/>
  <c r="I356" i="1"/>
  <c r="H356" i="1"/>
  <c r="G356" i="1"/>
  <c r="F356" i="1"/>
  <c r="E356" i="1"/>
  <c r="D356" i="1"/>
  <c r="C356" i="1"/>
  <c r="M355" i="1"/>
  <c r="L355" i="1"/>
  <c r="K355" i="1"/>
  <c r="J355" i="1"/>
  <c r="I355" i="1"/>
  <c r="H355" i="1"/>
  <c r="G355" i="1"/>
  <c r="F355" i="1"/>
  <c r="E355" i="1"/>
  <c r="D355" i="1"/>
  <c r="C355" i="1"/>
  <c r="M354" i="1"/>
  <c r="L354" i="1"/>
  <c r="K354" i="1"/>
  <c r="J354" i="1"/>
  <c r="I354" i="1"/>
  <c r="H354" i="1"/>
  <c r="G354" i="1"/>
  <c r="F354" i="1"/>
  <c r="E354" i="1"/>
  <c r="D354" i="1"/>
  <c r="C354" i="1"/>
  <c r="M353" i="1"/>
  <c r="L353" i="1"/>
  <c r="K353" i="1"/>
  <c r="J353" i="1"/>
  <c r="I353" i="1"/>
  <c r="H353" i="1"/>
  <c r="G353" i="1"/>
  <c r="F353" i="1"/>
  <c r="E353" i="1"/>
  <c r="D353" i="1"/>
  <c r="C353" i="1"/>
  <c r="M352" i="1"/>
  <c r="L352" i="1"/>
  <c r="K352" i="1"/>
  <c r="J352" i="1"/>
  <c r="I352" i="1"/>
  <c r="H352" i="1"/>
  <c r="G352" i="1"/>
  <c r="F352" i="1"/>
  <c r="E352" i="1"/>
  <c r="D352" i="1"/>
  <c r="C352" i="1"/>
  <c r="M351" i="1"/>
  <c r="L351" i="1"/>
  <c r="K351" i="1"/>
  <c r="J351" i="1"/>
  <c r="I351" i="1"/>
  <c r="H351" i="1"/>
  <c r="G351" i="1"/>
  <c r="F351" i="1"/>
  <c r="E351" i="1"/>
  <c r="D351" i="1"/>
  <c r="C351" i="1"/>
  <c r="M350" i="1"/>
  <c r="L350" i="1"/>
  <c r="K350" i="1"/>
  <c r="J350" i="1"/>
  <c r="I350" i="1"/>
  <c r="H350" i="1"/>
  <c r="G350" i="1"/>
  <c r="F350" i="1"/>
  <c r="E350" i="1"/>
  <c r="D350" i="1"/>
  <c r="C350" i="1"/>
  <c r="M349" i="1"/>
  <c r="L349" i="1"/>
  <c r="K349" i="1"/>
  <c r="J349" i="1"/>
  <c r="I349" i="1"/>
  <c r="H349" i="1"/>
  <c r="G349" i="1"/>
  <c r="F349" i="1"/>
  <c r="E349" i="1"/>
  <c r="D349" i="1"/>
  <c r="C349" i="1"/>
  <c r="M348" i="1"/>
  <c r="L348" i="1"/>
  <c r="K348" i="1"/>
  <c r="J348" i="1"/>
  <c r="I348" i="1"/>
  <c r="H348" i="1"/>
  <c r="G348" i="1"/>
  <c r="F348" i="1"/>
  <c r="E348" i="1"/>
  <c r="D348" i="1"/>
  <c r="C348" i="1"/>
  <c r="M347" i="1"/>
  <c r="L347" i="1"/>
  <c r="K347" i="1"/>
  <c r="J347" i="1"/>
  <c r="I347" i="1"/>
  <c r="H347" i="1"/>
  <c r="G347" i="1"/>
  <c r="F347" i="1"/>
  <c r="E347" i="1"/>
  <c r="D347" i="1"/>
  <c r="C347" i="1"/>
  <c r="M346" i="1"/>
  <c r="L346" i="1"/>
  <c r="K346" i="1"/>
  <c r="J346" i="1"/>
  <c r="I346" i="1"/>
  <c r="H346" i="1"/>
  <c r="G346" i="1"/>
  <c r="F346" i="1"/>
  <c r="E346" i="1"/>
  <c r="D346" i="1"/>
  <c r="C346" i="1"/>
  <c r="M345" i="1"/>
  <c r="L345" i="1"/>
  <c r="K345" i="1"/>
  <c r="J345" i="1"/>
  <c r="I345" i="1"/>
  <c r="H345" i="1"/>
  <c r="G345" i="1"/>
  <c r="F345" i="1"/>
  <c r="E345" i="1"/>
  <c r="D345" i="1"/>
  <c r="C345" i="1"/>
  <c r="M344" i="1"/>
  <c r="L344" i="1"/>
  <c r="K344" i="1"/>
  <c r="J344" i="1"/>
  <c r="I344" i="1"/>
  <c r="H344" i="1"/>
  <c r="G344" i="1"/>
  <c r="F344" i="1"/>
  <c r="E344" i="1"/>
  <c r="D344" i="1"/>
  <c r="C344" i="1"/>
  <c r="M343" i="1"/>
  <c r="L343" i="1"/>
  <c r="K343" i="1"/>
  <c r="J343" i="1"/>
  <c r="I343" i="1"/>
  <c r="H343" i="1"/>
  <c r="G343" i="1"/>
  <c r="F343" i="1"/>
  <c r="E343" i="1"/>
  <c r="D343" i="1"/>
  <c r="C343" i="1"/>
  <c r="M342" i="1"/>
  <c r="L342" i="1"/>
  <c r="K342" i="1"/>
  <c r="J342" i="1"/>
  <c r="I342" i="1"/>
  <c r="H342" i="1"/>
  <c r="G342" i="1"/>
  <c r="F342" i="1"/>
  <c r="E342" i="1"/>
  <c r="D342" i="1"/>
  <c r="C342" i="1"/>
  <c r="M341" i="1"/>
  <c r="L341" i="1"/>
  <c r="K341" i="1"/>
  <c r="J341" i="1"/>
  <c r="I341" i="1"/>
  <c r="H341" i="1"/>
  <c r="G341" i="1"/>
  <c r="F341" i="1"/>
  <c r="E341" i="1"/>
  <c r="D341" i="1"/>
  <c r="C341" i="1"/>
  <c r="M340" i="1"/>
  <c r="L340" i="1"/>
  <c r="K340" i="1"/>
  <c r="J340" i="1"/>
  <c r="I340" i="1"/>
  <c r="H340" i="1"/>
  <c r="G340" i="1"/>
  <c r="F340" i="1"/>
  <c r="E340" i="1"/>
  <c r="D340" i="1"/>
  <c r="C340" i="1"/>
  <c r="M339" i="1"/>
  <c r="L339" i="1"/>
  <c r="K339" i="1"/>
  <c r="J339" i="1"/>
  <c r="I339" i="1"/>
  <c r="H339" i="1"/>
  <c r="G339" i="1"/>
  <c r="F339" i="1"/>
  <c r="E339" i="1"/>
  <c r="D339" i="1"/>
  <c r="C339" i="1"/>
  <c r="M338" i="1"/>
  <c r="L338" i="1"/>
  <c r="K338" i="1"/>
  <c r="J338" i="1"/>
  <c r="I338" i="1"/>
  <c r="H338" i="1"/>
  <c r="G338" i="1"/>
  <c r="F338" i="1"/>
  <c r="E338" i="1"/>
  <c r="D338" i="1"/>
  <c r="C338" i="1"/>
  <c r="M337" i="1"/>
  <c r="L337" i="1"/>
  <c r="K337" i="1"/>
  <c r="J337" i="1"/>
  <c r="I337" i="1"/>
  <c r="H337" i="1"/>
  <c r="G337" i="1"/>
  <c r="F337" i="1"/>
  <c r="E337" i="1"/>
  <c r="D337" i="1"/>
  <c r="C337" i="1"/>
  <c r="M336" i="1"/>
  <c r="L336" i="1"/>
  <c r="K336" i="1"/>
  <c r="J336" i="1"/>
  <c r="I336" i="1"/>
  <c r="H336" i="1"/>
  <c r="G336" i="1"/>
  <c r="F336" i="1"/>
  <c r="E336" i="1"/>
  <c r="D336" i="1"/>
  <c r="C336" i="1"/>
  <c r="M335" i="1"/>
  <c r="L335" i="1"/>
  <c r="K335" i="1"/>
  <c r="J335" i="1"/>
  <c r="I335" i="1"/>
  <c r="H335" i="1"/>
  <c r="G335" i="1"/>
  <c r="F335" i="1"/>
  <c r="E335" i="1"/>
  <c r="D335" i="1"/>
  <c r="C335" i="1"/>
  <c r="M334" i="1"/>
  <c r="L334" i="1"/>
  <c r="K334" i="1"/>
  <c r="J334" i="1"/>
  <c r="I334" i="1"/>
  <c r="H334" i="1"/>
  <c r="G334" i="1"/>
  <c r="F334" i="1"/>
  <c r="E334" i="1"/>
  <c r="D334" i="1"/>
  <c r="C334" i="1"/>
  <c r="M333" i="1"/>
  <c r="L333" i="1"/>
  <c r="K333" i="1"/>
  <c r="J333" i="1"/>
  <c r="I333" i="1"/>
  <c r="H333" i="1"/>
  <c r="G333" i="1"/>
  <c r="F333" i="1"/>
  <c r="E333" i="1"/>
  <c r="D333" i="1"/>
  <c r="C333" i="1"/>
  <c r="M332" i="1"/>
  <c r="L332" i="1"/>
  <c r="K332" i="1"/>
  <c r="J332" i="1"/>
  <c r="I332" i="1"/>
  <c r="H332" i="1"/>
  <c r="G332" i="1"/>
  <c r="F332" i="1"/>
  <c r="E332" i="1"/>
  <c r="D332" i="1"/>
  <c r="C332" i="1"/>
  <c r="M331" i="1"/>
  <c r="L331" i="1"/>
  <c r="K331" i="1"/>
  <c r="J331" i="1"/>
  <c r="I331" i="1"/>
  <c r="H331" i="1"/>
  <c r="G331" i="1"/>
  <c r="F331" i="1"/>
  <c r="E331" i="1"/>
  <c r="D331" i="1"/>
  <c r="C331" i="1"/>
  <c r="M330" i="1"/>
  <c r="L330" i="1"/>
  <c r="K330" i="1"/>
  <c r="J330" i="1"/>
  <c r="I330" i="1"/>
  <c r="H330" i="1"/>
  <c r="G330" i="1"/>
  <c r="F330" i="1"/>
  <c r="E330" i="1"/>
  <c r="D330" i="1"/>
  <c r="C330" i="1"/>
  <c r="M329" i="1"/>
  <c r="L329" i="1"/>
  <c r="K329" i="1"/>
  <c r="J329" i="1"/>
  <c r="I329" i="1"/>
  <c r="H329" i="1"/>
  <c r="G329" i="1"/>
  <c r="F329" i="1"/>
  <c r="E329" i="1"/>
  <c r="D329" i="1"/>
  <c r="C329" i="1"/>
  <c r="M328" i="1"/>
  <c r="L328" i="1"/>
  <c r="K328" i="1"/>
  <c r="J328" i="1"/>
  <c r="I328" i="1"/>
  <c r="H328" i="1"/>
  <c r="G328" i="1"/>
  <c r="F328" i="1"/>
  <c r="E328" i="1"/>
  <c r="D328" i="1"/>
  <c r="C328" i="1"/>
  <c r="M327" i="1"/>
  <c r="L327" i="1"/>
  <c r="K327" i="1"/>
  <c r="J327" i="1"/>
  <c r="I327" i="1"/>
  <c r="H327" i="1"/>
  <c r="G327" i="1"/>
  <c r="F327" i="1"/>
  <c r="E327" i="1"/>
  <c r="D327" i="1"/>
  <c r="C327" i="1"/>
  <c r="M326" i="1"/>
  <c r="L326" i="1"/>
  <c r="K326" i="1"/>
  <c r="J326" i="1"/>
  <c r="I326" i="1"/>
  <c r="H326" i="1"/>
  <c r="G326" i="1"/>
  <c r="F326" i="1"/>
  <c r="E326" i="1"/>
  <c r="D326" i="1"/>
  <c r="C326" i="1"/>
  <c r="M325" i="1"/>
  <c r="L325" i="1"/>
  <c r="K325" i="1"/>
  <c r="J325" i="1"/>
  <c r="I325" i="1"/>
  <c r="H325" i="1"/>
  <c r="G325" i="1"/>
  <c r="F325" i="1"/>
  <c r="E325" i="1"/>
  <c r="D325" i="1"/>
  <c r="C325" i="1"/>
  <c r="M324" i="1"/>
  <c r="L324" i="1"/>
  <c r="K324" i="1"/>
  <c r="J324" i="1"/>
  <c r="I324" i="1"/>
  <c r="H324" i="1"/>
  <c r="G324" i="1"/>
  <c r="F324" i="1"/>
  <c r="E324" i="1"/>
  <c r="D324" i="1"/>
  <c r="C324" i="1"/>
  <c r="M323" i="1"/>
  <c r="L323" i="1"/>
  <c r="K323" i="1"/>
  <c r="J323" i="1"/>
  <c r="I323" i="1"/>
  <c r="H323" i="1"/>
  <c r="G323" i="1"/>
  <c r="F323" i="1"/>
  <c r="E323" i="1"/>
  <c r="D323" i="1"/>
  <c r="C323" i="1"/>
  <c r="M322" i="1"/>
  <c r="L322" i="1"/>
  <c r="K322" i="1"/>
  <c r="J322" i="1"/>
  <c r="I322" i="1"/>
  <c r="H322" i="1"/>
  <c r="G322" i="1"/>
  <c r="F322" i="1"/>
  <c r="E322" i="1"/>
  <c r="D322" i="1"/>
  <c r="C322" i="1"/>
  <c r="M321" i="1"/>
  <c r="L321" i="1"/>
  <c r="K321" i="1"/>
  <c r="J321" i="1"/>
  <c r="I321" i="1"/>
  <c r="H321" i="1"/>
  <c r="G321" i="1"/>
  <c r="F321" i="1"/>
  <c r="E321" i="1"/>
  <c r="D321" i="1"/>
  <c r="C321" i="1"/>
  <c r="M320" i="1"/>
  <c r="L320" i="1"/>
  <c r="K320" i="1"/>
  <c r="J320" i="1"/>
  <c r="I320" i="1"/>
  <c r="H320" i="1"/>
  <c r="G320" i="1"/>
  <c r="F320" i="1"/>
  <c r="E320" i="1"/>
  <c r="D320" i="1"/>
  <c r="C320" i="1"/>
  <c r="M319" i="1"/>
  <c r="L319" i="1"/>
  <c r="K319" i="1"/>
  <c r="J319" i="1"/>
  <c r="I319" i="1"/>
  <c r="H319" i="1"/>
  <c r="G319" i="1"/>
  <c r="F319" i="1"/>
  <c r="E319" i="1"/>
  <c r="D319" i="1"/>
  <c r="C319" i="1"/>
  <c r="M318" i="1"/>
  <c r="L318" i="1"/>
  <c r="K318" i="1"/>
  <c r="J318" i="1"/>
  <c r="I318" i="1"/>
  <c r="H318" i="1"/>
  <c r="G318" i="1"/>
  <c r="F318" i="1"/>
  <c r="E318" i="1"/>
  <c r="D318" i="1"/>
  <c r="C318" i="1"/>
  <c r="M317" i="1"/>
  <c r="L317" i="1"/>
  <c r="K317" i="1"/>
  <c r="J317" i="1"/>
  <c r="I317" i="1"/>
  <c r="H317" i="1"/>
  <c r="G317" i="1"/>
  <c r="F317" i="1"/>
  <c r="E317" i="1"/>
  <c r="D317" i="1"/>
  <c r="C317" i="1"/>
  <c r="M316" i="1"/>
  <c r="L316" i="1"/>
  <c r="K316" i="1"/>
  <c r="J316" i="1"/>
  <c r="I316" i="1"/>
  <c r="H316" i="1"/>
  <c r="G316" i="1"/>
  <c r="F316" i="1"/>
  <c r="E316" i="1"/>
  <c r="D316" i="1"/>
  <c r="C316" i="1"/>
  <c r="M315" i="1"/>
  <c r="L315" i="1"/>
  <c r="K315" i="1"/>
  <c r="J315" i="1"/>
  <c r="I315" i="1"/>
  <c r="H315" i="1"/>
  <c r="G315" i="1"/>
  <c r="F315" i="1"/>
  <c r="E315" i="1"/>
  <c r="D315" i="1"/>
  <c r="C315" i="1"/>
  <c r="M314" i="1"/>
  <c r="L314" i="1"/>
  <c r="K314" i="1"/>
  <c r="J314" i="1"/>
  <c r="I314" i="1"/>
  <c r="H314" i="1"/>
  <c r="G314" i="1"/>
  <c r="F314" i="1"/>
  <c r="E314" i="1"/>
  <c r="D314" i="1"/>
  <c r="C314" i="1"/>
  <c r="M313" i="1"/>
  <c r="L313" i="1"/>
  <c r="K313" i="1"/>
  <c r="J313" i="1"/>
  <c r="I313" i="1"/>
  <c r="H313" i="1"/>
  <c r="G313" i="1"/>
  <c r="F313" i="1"/>
  <c r="E313" i="1"/>
  <c r="D313" i="1"/>
  <c r="C313" i="1"/>
  <c r="M312" i="1"/>
  <c r="L312" i="1"/>
  <c r="K312" i="1"/>
  <c r="J312" i="1"/>
  <c r="I312" i="1"/>
  <c r="H312" i="1"/>
  <c r="G312" i="1"/>
  <c r="F312" i="1"/>
  <c r="E312" i="1"/>
  <c r="D312" i="1"/>
  <c r="C312" i="1"/>
  <c r="M311" i="1"/>
  <c r="L311" i="1"/>
  <c r="K311" i="1"/>
  <c r="J311" i="1"/>
  <c r="I311" i="1"/>
  <c r="H311" i="1"/>
  <c r="G311" i="1"/>
  <c r="F311" i="1"/>
  <c r="E311" i="1"/>
  <c r="D311" i="1"/>
  <c r="C311" i="1"/>
  <c r="M310" i="1"/>
  <c r="L310" i="1"/>
  <c r="K310" i="1"/>
  <c r="J310" i="1"/>
  <c r="I310" i="1"/>
  <c r="H310" i="1"/>
  <c r="G310" i="1"/>
  <c r="F310" i="1"/>
  <c r="E310" i="1"/>
  <c r="D310" i="1"/>
  <c r="C310" i="1"/>
  <c r="M309" i="1"/>
  <c r="L309" i="1"/>
  <c r="K309" i="1"/>
  <c r="J309" i="1"/>
  <c r="I309" i="1"/>
  <c r="H309" i="1"/>
  <c r="G309" i="1"/>
  <c r="F309" i="1"/>
  <c r="E309" i="1"/>
  <c r="D309" i="1"/>
  <c r="C309" i="1"/>
  <c r="M308" i="1"/>
  <c r="L308" i="1"/>
  <c r="K308" i="1"/>
  <c r="J308" i="1"/>
  <c r="I308" i="1"/>
  <c r="H308" i="1"/>
  <c r="G308" i="1"/>
  <c r="F308" i="1"/>
  <c r="E308" i="1"/>
  <c r="D308" i="1"/>
  <c r="C308" i="1"/>
  <c r="M307" i="1"/>
  <c r="L307" i="1"/>
  <c r="K307" i="1"/>
  <c r="J307" i="1"/>
  <c r="I307" i="1"/>
  <c r="H307" i="1"/>
  <c r="G307" i="1"/>
  <c r="F307" i="1"/>
  <c r="E307" i="1"/>
  <c r="D307" i="1"/>
  <c r="C307" i="1"/>
  <c r="M306" i="1"/>
  <c r="L306" i="1"/>
  <c r="K306" i="1"/>
  <c r="J306" i="1"/>
  <c r="I306" i="1"/>
  <c r="H306" i="1"/>
  <c r="G306" i="1"/>
  <c r="F306" i="1"/>
  <c r="E306" i="1"/>
  <c r="D306" i="1"/>
  <c r="C306" i="1"/>
  <c r="M305" i="1"/>
  <c r="L305" i="1"/>
  <c r="K305" i="1"/>
  <c r="J305" i="1"/>
  <c r="I305" i="1"/>
  <c r="H305" i="1"/>
  <c r="G305" i="1"/>
  <c r="F305" i="1"/>
  <c r="E305" i="1"/>
  <c r="D305" i="1"/>
  <c r="C305" i="1"/>
  <c r="M304" i="1"/>
  <c r="L304" i="1"/>
  <c r="K304" i="1"/>
  <c r="J304" i="1"/>
  <c r="I304" i="1"/>
  <c r="H304" i="1"/>
  <c r="G304" i="1"/>
  <c r="F304" i="1"/>
  <c r="E304" i="1"/>
  <c r="D304" i="1"/>
  <c r="C304" i="1"/>
  <c r="M303" i="1"/>
  <c r="L303" i="1"/>
  <c r="K303" i="1"/>
  <c r="J303" i="1"/>
  <c r="I303" i="1"/>
  <c r="H303" i="1"/>
  <c r="G303" i="1"/>
  <c r="F303" i="1"/>
  <c r="E303" i="1"/>
  <c r="D303" i="1"/>
  <c r="C303" i="1"/>
  <c r="M302" i="1"/>
  <c r="L302" i="1"/>
  <c r="K302" i="1"/>
  <c r="J302" i="1"/>
  <c r="I302" i="1"/>
  <c r="H302" i="1"/>
  <c r="G302" i="1"/>
  <c r="F302" i="1"/>
  <c r="E302" i="1"/>
  <c r="D302" i="1"/>
  <c r="C302" i="1"/>
  <c r="M301" i="1"/>
  <c r="L301" i="1"/>
  <c r="K301" i="1"/>
  <c r="J301" i="1"/>
  <c r="I301" i="1"/>
  <c r="H301" i="1"/>
  <c r="G301" i="1"/>
  <c r="F301" i="1"/>
  <c r="E301" i="1"/>
  <c r="D301" i="1"/>
  <c r="C301" i="1"/>
  <c r="M300" i="1"/>
  <c r="L300" i="1"/>
  <c r="K300" i="1"/>
  <c r="J300" i="1"/>
  <c r="I300" i="1"/>
  <c r="H300" i="1"/>
  <c r="G300" i="1"/>
  <c r="F300" i="1"/>
  <c r="E300" i="1"/>
  <c r="D300" i="1"/>
  <c r="C300" i="1"/>
  <c r="M299" i="1"/>
  <c r="L299" i="1"/>
  <c r="K299" i="1"/>
  <c r="J299" i="1"/>
  <c r="I299" i="1"/>
  <c r="H299" i="1"/>
  <c r="G299" i="1"/>
  <c r="F299" i="1"/>
  <c r="E299" i="1"/>
  <c r="D299" i="1"/>
  <c r="C299" i="1"/>
  <c r="M298" i="1"/>
  <c r="L298" i="1"/>
  <c r="K298" i="1"/>
  <c r="J298" i="1"/>
  <c r="I298" i="1"/>
  <c r="H298" i="1"/>
  <c r="G298" i="1"/>
  <c r="F298" i="1"/>
  <c r="E298" i="1"/>
  <c r="D298" i="1"/>
  <c r="C298" i="1"/>
  <c r="M297" i="1"/>
  <c r="L297" i="1"/>
  <c r="K297" i="1"/>
  <c r="J297" i="1"/>
  <c r="I297" i="1"/>
  <c r="H297" i="1"/>
  <c r="G297" i="1"/>
  <c r="F297" i="1"/>
  <c r="E297" i="1"/>
  <c r="D297" i="1"/>
  <c r="C297" i="1"/>
  <c r="M296" i="1"/>
  <c r="L296" i="1"/>
  <c r="K296" i="1"/>
  <c r="J296" i="1"/>
  <c r="I296" i="1"/>
  <c r="H296" i="1"/>
  <c r="G296" i="1"/>
  <c r="F296" i="1"/>
  <c r="E296" i="1"/>
  <c r="D296" i="1"/>
  <c r="C296" i="1"/>
  <c r="M295" i="1"/>
  <c r="L295" i="1"/>
  <c r="K295" i="1"/>
  <c r="J295" i="1"/>
  <c r="I295" i="1"/>
  <c r="H295" i="1"/>
  <c r="G295" i="1"/>
  <c r="F295" i="1"/>
  <c r="E295" i="1"/>
  <c r="D295" i="1"/>
  <c r="C295" i="1"/>
  <c r="M294" i="1"/>
  <c r="L294" i="1"/>
  <c r="K294" i="1"/>
  <c r="J294" i="1"/>
  <c r="I294" i="1"/>
  <c r="H294" i="1"/>
  <c r="G294" i="1"/>
  <c r="F294" i="1"/>
  <c r="E294" i="1"/>
  <c r="D294" i="1"/>
  <c r="C294" i="1"/>
  <c r="M293" i="1"/>
  <c r="L293" i="1"/>
  <c r="K293" i="1"/>
  <c r="J293" i="1"/>
  <c r="I293" i="1"/>
  <c r="H293" i="1"/>
  <c r="G293" i="1"/>
  <c r="F293" i="1"/>
  <c r="E293" i="1"/>
  <c r="D293" i="1"/>
  <c r="C293" i="1"/>
  <c r="M292" i="1"/>
  <c r="L292" i="1"/>
  <c r="K292" i="1"/>
  <c r="J292" i="1"/>
  <c r="I292" i="1"/>
  <c r="H292" i="1"/>
  <c r="G292" i="1"/>
  <c r="F292" i="1"/>
  <c r="E292" i="1"/>
  <c r="D292" i="1"/>
  <c r="C292" i="1"/>
  <c r="M291" i="1"/>
  <c r="L291" i="1"/>
  <c r="K291" i="1"/>
  <c r="J291" i="1"/>
  <c r="I291" i="1"/>
  <c r="H291" i="1"/>
  <c r="G291" i="1"/>
  <c r="F291" i="1"/>
  <c r="E291" i="1"/>
  <c r="D291" i="1"/>
  <c r="C291" i="1"/>
  <c r="M290" i="1"/>
  <c r="L290" i="1"/>
  <c r="K290" i="1"/>
  <c r="J290" i="1"/>
  <c r="I290" i="1"/>
  <c r="H290" i="1"/>
  <c r="G290" i="1"/>
  <c r="F290" i="1"/>
  <c r="E290" i="1"/>
  <c r="D290" i="1"/>
  <c r="C290" i="1"/>
  <c r="M289" i="1"/>
  <c r="L289" i="1"/>
  <c r="K289" i="1"/>
  <c r="J289" i="1"/>
  <c r="I289" i="1"/>
  <c r="H289" i="1"/>
  <c r="G289" i="1"/>
  <c r="F289" i="1"/>
  <c r="E289" i="1"/>
  <c r="D289" i="1"/>
  <c r="C289" i="1"/>
  <c r="M288" i="1"/>
  <c r="L288" i="1"/>
  <c r="K288" i="1"/>
  <c r="J288" i="1"/>
  <c r="I288" i="1"/>
  <c r="H288" i="1"/>
  <c r="G288" i="1"/>
  <c r="F288" i="1"/>
  <c r="E288" i="1"/>
  <c r="D288" i="1"/>
  <c r="C288" i="1"/>
  <c r="M287" i="1"/>
  <c r="L287" i="1"/>
  <c r="K287" i="1"/>
  <c r="J287" i="1"/>
  <c r="I287" i="1"/>
  <c r="H287" i="1"/>
  <c r="G287" i="1"/>
  <c r="F287" i="1"/>
  <c r="E287" i="1"/>
  <c r="D287" i="1"/>
  <c r="C287" i="1"/>
  <c r="M286" i="1"/>
  <c r="L286" i="1"/>
  <c r="K286" i="1"/>
  <c r="J286" i="1"/>
  <c r="I286" i="1"/>
  <c r="H286" i="1"/>
  <c r="G286" i="1"/>
  <c r="F286" i="1"/>
  <c r="E286" i="1"/>
  <c r="D286" i="1"/>
  <c r="C286" i="1"/>
  <c r="M285" i="1"/>
  <c r="L285" i="1"/>
  <c r="K285" i="1"/>
  <c r="J285" i="1"/>
  <c r="I285" i="1"/>
  <c r="H285" i="1"/>
  <c r="G285" i="1"/>
  <c r="F285" i="1"/>
  <c r="E285" i="1"/>
  <c r="D285" i="1"/>
  <c r="C285" i="1"/>
  <c r="M284" i="1"/>
  <c r="L284" i="1"/>
  <c r="K284" i="1"/>
  <c r="J284" i="1"/>
  <c r="I284" i="1"/>
  <c r="H284" i="1"/>
  <c r="G284" i="1"/>
  <c r="F284" i="1"/>
  <c r="E284" i="1"/>
  <c r="D284" i="1"/>
  <c r="C284" i="1"/>
  <c r="M283" i="1"/>
  <c r="L283" i="1"/>
  <c r="K283" i="1"/>
  <c r="J283" i="1"/>
  <c r="I283" i="1"/>
  <c r="H283" i="1"/>
  <c r="G283" i="1"/>
  <c r="F283" i="1"/>
  <c r="E283" i="1"/>
  <c r="D283" i="1"/>
  <c r="C283" i="1"/>
  <c r="M282" i="1"/>
  <c r="L282" i="1"/>
  <c r="K282" i="1"/>
  <c r="J282" i="1"/>
  <c r="I282" i="1"/>
  <c r="H282" i="1"/>
  <c r="G282" i="1"/>
  <c r="F282" i="1"/>
  <c r="E282" i="1"/>
  <c r="D282" i="1"/>
  <c r="C282" i="1"/>
  <c r="M281" i="1"/>
  <c r="L281" i="1"/>
  <c r="K281" i="1"/>
  <c r="J281" i="1"/>
  <c r="I281" i="1"/>
  <c r="H281" i="1"/>
  <c r="G281" i="1"/>
  <c r="F281" i="1"/>
  <c r="E281" i="1"/>
  <c r="D281" i="1"/>
  <c r="C281" i="1"/>
  <c r="M280" i="1"/>
  <c r="L280" i="1"/>
  <c r="K280" i="1"/>
  <c r="J280" i="1"/>
  <c r="I280" i="1"/>
  <c r="H280" i="1"/>
  <c r="G280" i="1"/>
  <c r="F280" i="1"/>
  <c r="E280" i="1"/>
  <c r="D280" i="1"/>
  <c r="C280" i="1"/>
  <c r="M279" i="1"/>
  <c r="L279" i="1"/>
  <c r="K279" i="1"/>
  <c r="J279" i="1"/>
  <c r="I279" i="1"/>
  <c r="H279" i="1"/>
  <c r="G279" i="1"/>
  <c r="F279" i="1"/>
  <c r="E279" i="1"/>
  <c r="D279" i="1"/>
  <c r="C279" i="1"/>
  <c r="M278" i="1"/>
  <c r="L278" i="1"/>
  <c r="K278" i="1"/>
  <c r="J278" i="1"/>
  <c r="I278" i="1"/>
  <c r="H278" i="1"/>
  <c r="G278" i="1"/>
  <c r="F278" i="1"/>
  <c r="E278" i="1"/>
  <c r="D278" i="1"/>
  <c r="C278" i="1"/>
  <c r="M277" i="1"/>
  <c r="L277" i="1"/>
  <c r="K277" i="1"/>
  <c r="J277" i="1"/>
  <c r="I277" i="1"/>
  <c r="H277" i="1"/>
  <c r="G277" i="1"/>
  <c r="F277" i="1"/>
  <c r="E277" i="1"/>
  <c r="D277" i="1"/>
  <c r="C277" i="1"/>
  <c r="M276" i="1"/>
  <c r="L276" i="1"/>
  <c r="K276" i="1"/>
  <c r="J276" i="1"/>
  <c r="I276" i="1"/>
  <c r="H276" i="1"/>
  <c r="G276" i="1"/>
  <c r="F276" i="1"/>
  <c r="E276" i="1"/>
  <c r="D276" i="1"/>
  <c r="C276" i="1"/>
  <c r="M275" i="1"/>
  <c r="L275" i="1"/>
  <c r="K275" i="1"/>
  <c r="J275" i="1"/>
  <c r="I275" i="1"/>
  <c r="H275" i="1"/>
  <c r="G275" i="1"/>
  <c r="F275" i="1"/>
  <c r="E275" i="1"/>
  <c r="D275" i="1"/>
  <c r="C275" i="1"/>
  <c r="M274" i="1"/>
  <c r="L274" i="1"/>
  <c r="K274" i="1"/>
  <c r="J274" i="1"/>
  <c r="I274" i="1"/>
  <c r="H274" i="1"/>
  <c r="G274" i="1"/>
  <c r="F274" i="1"/>
  <c r="E274" i="1"/>
  <c r="D274" i="1"/>
  <c r="C274" i="1"/>
  <c r="M273" i="1"/>
  <c r="L273" i="1"/>
  <c r="K273" i="1"/>
  <c r="J273" i="1"/>
  <c r="I273" i="1"/>
  <c r="H273" i="1"/>
  <c r="G273" i="1"/>
  <c r="F273" i="1"/>
  <c r="E273" i="1"/>
  <c r="D273" i="1"/>
  <c r="C273" i="1"/>
  <c r="M272" i="1"/>
  <c r="L272" i="1"/>
  <c r="K272" i="1"/>
  <c r="J272" i="1"/>
  <c r="I272" i="1"/>
  <c r="H272" i="1"/>
  <c r="G272" i="1"/>
  <c r="F272" i="1"/>
  <c r="E272" i="1"/>
  <c r="D272" i="1"/>
  <c r="C272" i="1"/>
  <c r="M271" i="1"/>
  <c r="L271" i="1"/>
  <c r="K271" i="1"/>
  <c r="J271" i="1"/>
  <c r="I271" i="1"/>
  <c r="H271" i="1"/>
  <c r="G271" i="1"/>
  <c r="F271" i="1"/>
  <c r="E271" i="1"/>
  <c r="D271" i="1"/>
  <c r="C271" i="1"/>
  <c r="M270" i="1"/>
  <c r="L270" i="1"/>
  <c r="K270" i="1"/>
  <c r="J270" i="1"/>
  <c r="I270" i="1"/>
  <c r="H270" i="1"/>
  <c r="G270" i="1"/>
  <c r="F270" i="1"/>
  <c r="E270" i="1"/>
  <c r="D270" i="1"/>
  <c r="C270" i="1"/>
  <c r="M269" i="1"/>
  <c r="L269" i="1"/>
  <c r="K269" i="1"/>
  <c r="J269" i="1"/>
  <c r="I269" i="1"/>
  <c r="H269" i="1"/>
  <c r="G269" i="1"/>
  <c r="F269" i="1"/>
  <c r="E269" i="1"/>
  <c r="D269" i="1"/>
  <c r="C269" i="1"/>
  <c r="M268" i="1"/>
  <c r="L268" i="1"/>
  <c r="K268" i="1"/>
  <c r="J268" i="1"/>
  <c r="I268" i="1"/>
  <c r="H268" i="1"/>
  <c r="G268" i="1"/>
  <c r="F268" i="1"/>
  <c r="E268" i="1"/>
  <c r="D268" i="1"/>
  <c r="C268" i="1"/>
  <c r="M267" i="1"/>
  <c r="L267" i="1"/>
  <c r="K267" i="1"/>
  <c r="J267" i="1"/>
  <c r="I267" i="1"/>
  <c r="H267" i="1"/>
  <c r="G267" i="1"/>
  <c r="F267" i="1"/>
  <c r="E267" i="1"/>
  <c r="D267" i="1"/>
  <c r="C267" i="1"/>
  <c r="M266" i="1"/>
  <c r="L266" i="1"/>
  <c r="K266" i="1"/>
  <c r="J266" i="1"/>
  <c r="I266" i="1"/>
  <c r="H266" i="1"/>
  <c r="G266" i="1"/>
  <c r="F266" i="1"/>
  <c r="E266" i="1"/>
  <c r="D266" i="1"/>
  <c r="C266" i="1"/>
  <c r="M265" i="1"/>
  <c r="L265" i="1"/>
  <c r="K265" i="1"/>
  <c r="J265" i="1"/>
  <c r="I265" i="1"/>
  <c r="H265" i="1"/>
  <c r="G265" i="1"/>
  <c r="F265" i="1"/>
  <c r="E265" i="1"/>
  <c r="D265" i="1"/>
  <c r="C265" i="1"/>
  <c r="M264" i="1"/>
  <c r="L264" i="1"/>
  <c r="K264" i="1"/>
  <c r="J264" i="1"/>
  <c r="I264" i="1"/>
  <c r="H264" i="1"/>
  <c r="G264" i="1"/>
  <c r="F264" i="1"/>
  <c r="E264" i="1"/>
  <c r="D264" i="1"/>
  <c r="C264" i="1"/>
  <c r="M263" i="1"/>
  <c r="L263" i="1"/>
  <c r="K263" i="1"/>
  <c r="J263" i="1"/>
  <c r="I263" i="1"/>
  <c r="H263" i="1"/>
  <c r="G263" i="1"/>
  <c r="F263" i="1"/>
  <c r="E263" i="1"/>
  <c r="D263" i="1"/>
  <c r="C263" i="1"/>
  <c r="M262" i="1"/>
  <c r="L262" i="1"/>
  <c r="K262" i="1"/>
  <c r="J262" i="1"/>
  <c r="I262" i="1"/>
  <c r="H262" i="1"/>
  <c r="G262" i="1"/>
  <c r="F262" i="1"/>
  <c r="E262" i="1"/>
  <c r="D262" i="1"/>
  <c r="C262" i="1"/>
  <c r="M261" i="1"/>
  <c r="L261" i="1"/>
  <c r="K261" i="1"/>
  <c r="J261" i="1"/>
  <c r="I261" i="1"/>
  <c r="H261" i="1"/>
  <c r="G261" i="1"/>
  <c r="F261" i="1"/>
  <c r="E261" i="1"/>
  <c r="D261" i="1"/>
  <c r="C261" i="1"/>
  <c r="M260" i="1"/>
  <c r="L260" i="1"/>
  <c r="K260" i="1"/>
  <c r="J260" i="1"/>
  <c r="I260" i="1"/>
  <c r="H260" i="1"/>
  <c r="G260" i="1"/>
  <c r="F260" i="1"/>
  <c r="E260" i="1"/>
  <c r="D260" i="1"/>
  <c r="C260" i="1"/>
  <c r="M259" i="1"/>
  <c r="L259" i="1"/>
  <c r="K259" i="1"/>
  <c r="J259" i="1"/>
  <c r="I259" i="1"/>
  <c r="H259" i="1"/>
  <c r="G259" i="1"/>
  <c r="F259" i="1"/>
  <c r="E259" i="1"/>
  <c r="D259" i="1"/>
  <c r="C259" i="1"/>
  <c r="M258" i="1"/>
  <c r="L258" i="1"/>
  <c r="K258" i="1"/>
  <c r="J258" i="1"/>
  <c r="I258" i="1"/>
  <c r="H258" i="1"/>
  <c r="G258" i="1"/>
  <c r="F258" i="1"/>
  <c r="E258" i="1"/>
  <c r="D258" i="1"/>
  <c r="C258" i="1"/>
  <c r="M257" i="1"/>
  <c r="L257" i="1"/>
  <c r="K257" i="1"/>
  <c r="J257" i="1"/>
  <c r="I257" i="1"/>
  <c r="H257" i="1"/>
  <c r="G257" i="1"/>
  <c r="F257" i="1"/>
  <c r="E257" i="1"/>
  <c r="D257" i="1"/>
  <c r="C257" i="1"/>
  <c r="M256" i="1"/>
  <c r="L256" i="1"/>
  <c r="K256" i="1"/>
  <c r="J256" i="1"/>
  <c r="I256" i="1"/>
  <c r="H256" i="1"/>
  <c r="G256" i="1"/>
  <c r="F256" i="1"/>
  <c r="E256" i="1"/>
  <c r="D256" i="1"/>
  <c r="C256" i="1"/>
  <c r="M255" i="1"/>
  <c r="L255" i="1"/>
  <c r="K255" i="1"/>
  <c r="J255" i="1"/>
  <c r="I255" i="1"/>
  <c r="H255" i="1"/>
  <c r="G255" i="1"/>
  <c r="F255" i="1"/>
  <c r="E255" i="1"/>
  <c r="D255" i="1"/>
  <c r="C255" i="1"/>
  <c r="M254" i="1"/>
  <c r="L254" i="1"/>
  <c r="K254" i="1"/>
  <c r="J254" i="1"/>
  <c r="I254" i="1"/>
  <c r="H254" i="1"/>
  <c r="G254" i="1"/>
  <c r="F254" i="1"/>
  <c r="E254" i="1"/>
  <c r="D254" i="1"/>
  <c r="C254" i="1"/>
  <c r="M253" i="1"/>
  <c r="L253" i="1"/>
  <c r="K253" i="1"/>
  <c r="J253" i="1"/>
  <c r="I253" i="1"/>
  <c r="H253" i="1"/>
  <c r="G253" i="1"/>
  <c r="F253" i="1"/>
  <c r="E253" i="1"/>
  <c r="D253" i="1"/>
  <c r="C253" i="1"/>
  <c r="M252" i="1"/>
  <c r="L252" i="1"/>
  <c r="K252" i="1"/>
  <c r="J252" i="1"/>
  <c r="I252" i="1"/>
  <c r="H252" i="1"/>
  <c r="G252" i="1"/>
  <c r="F252" i="1"/>
  <c r="E252" i="1"/>
  <c r="D252" i="1"/>
  <c r="C252" i="1"/>
  <c r="M251" i="1"/>
  <c r="L251" i="1"/>
  <c r="K251" i="1"/>
  <c r="J251" i="1"/>
  <c r="I251" i="1"/>
  <c r="H251" i="1"/>
  <c r="G251" i="1"/>
  <c r="F251" i="1"/>
  <c r="E251" i="1"/>
  <c r="D251" i="1"/>
  <c r="C251" i="1"/>
  <c r="M250" i="1"/>
  <c r="L250" i="1"/>
  <c r="K250" i="1"/>
  <c r="J250" i="1"/>
  <c r="I250" i="1"/>
  <c r="H250" i="1"/>
  <c r="G250" i="1"/>
  <c r="F250" i="1"/>
  <c r="E250" i="1"/>
  <c r="D250" i="1"/>
  <c r="C250" i="1"/>
  <c r="M249" i="1"/>
  <c r="L249" i="1"/>
  <c r="K249" i="1"/>
  <c r="J249" i="1"/>
  <c r="I249" i="1"/>
  <c r="H249" i="1"/>
  <c r="G249" i="1"/>
  <c r="F249" i="1"/>
  <c r="E249" i="1"/>
  <c r="D249" i="1"/>
  <c r="C249" i="1"/>
  <c r="M248" i="1"/>
  <c r="L248" i="1"/>
  <c r="K248" i="1"/>
  <c r="J248" i="1"/>
  <c r="I248" i="1"/>
  <c r="H248" i="1"/>
  <c r="G248" i="1"/>
  <c r="F248" i="1"/>
  <c r="E248" i="1"/>
  <c r="D248" i="1"/>
  <c r="C248" i="1"/>
  <c r="M247" i="1"/>
  <c r="L247" i="1"/>
  <c r="K247" i="1"/>
  <c r="J247" i="1"/>
  <c r="I247" i="1"/>
  <c r="H247" i="1"/>
  <c r="G247" i="1"/>
  <c r="F247" i="1"/>
  <c r="E247" i="1"/>
  <c r="D247" i="1"/>
  <c r="C247" i="1"/>
  <c r="M246" i="1"/>
  <c r="L246" i="1"/>
  <c r="K246" i="1"/>
  <c r="J246" i="1"/>
  <c r="I246" i="1"/>
  <c r="H246" i="1"/>
  <c r="G246" i="1"/>
  <c r="F246" i="1"/>
  <c r="E246" i="1"/>
  <c r="D246" i="1"/>
  <c r="C246" i="1"/>
  <c r="M245" i="1"/>
  <c r="L245" i="1"/>
  <c r="K245" i="1"/>
  <c r="J245" i="1"/>
  <c r="I245" i="1"/>
  <c r="H245" i="1"/>
  <c r="G245" i="1"/>
  <c r="F245" i="1"/>
  <c r="E245" i="1"/>
  <c r="D245" i="1"/>
  <c r="C245" i="1"/>
  <c r="M244" i="1"/>
  <c r="L244" i="1"/>
  <c r="K244" i="1"/>
  <c r="J244" i="1"/>
  <c r="I244" i="1"/>
  <c r="H244" i="1"/>
  <c r="G244" i="1"/>
  <c r="F244" i="1"/>
  <c r="E244" i="1"/>
  <c r="D244" i="1"/>
  <c r="C244" i="1"/>
  <c r="M243" i="1"/>
  <c r="L243" i="1"/>
  <c r="K243" i="1"/>
  <c r="J243" i="1"/>
  <c r="I243" i="1"/>
  <c r="H243" i="1"/>
  <c r="G243" i="1"/>
  <c r="F243" i="1"/>
  <c r="E243" i="1"/>
  <c r="D243" i="1"/>
  <c r="C243" i="1"/>
  <c r="M242" i="1"/>
  <c r="L242" i="1"/>
  <c r="K242" i="1"/>
  <c r="J242" i="1"/>
  <c r="I242" i="1"/>
  <c r="H242" i="1"/>
  <c r="G242" i="1"/>
  <c r="F242" i="1"/>
  <c r="E242" i="1"/>
  <c r="D242" i="1"/>
  <c r="C242" i="1"/>
  <c r="M241" i="1"/>
  <c r="L241" i="1"/>
  <c r="K241" i="1"/>
  <c r="J241" i="1"/>
  <c r="I241" i="1"/>
  <c r="H241" i="1"/>
  <c r="G241" i="1"/>
  <c r="F241" i="1"/>
  <c r="E241" i="1"/>
  <c r="D241" i="1"/>
  <c r="C241" i="1"/>
  <c r="M240" i="1"/>
  <c r="L240" i="1"/>
  <c r="K240" i="1"/>
  <c r="J240" i="1"/>
  <c r="I240" i="1"/>
  <c r="H240" i="1"/>
  <c r="G240" i="1"/>
  <c r="F240" i="1"/>
  <c r="E240" i="1"/>
  <c r="D240" i="1"/>
  <c r="C240" i="1"/>
  <c r="M239" i="1"/>
  <c r="L239" i="1"/>
  <c r="K239" i="1"/>
  <c r="J239" i="1"/>
  <c r="I239" i="1"/>
  <c r="H239" i="1"/>
  <c r="G239" i="1"/>
  <c r="F239" i="1"/>
  <c r="E239" i="1"/>
  <c r="D239" i="1"/>
  <c r="C239" i="1"/>
  <c r="M238" i="1"/>
  <c r="L238" i="1"/>
  <c r="K238" i="1"/>
  <c r="J238" i="1"/>
  <c r="I238" i="1"/>
  <c r="H238" i="1"/>
  <c r="G238" i="1"/>
  <c r="F238" i="1"/>
  <c r="E238" i="1"/>
  <c r="D238" i="1"/>
  <c r="C238" i="1"/>
  <c r="M237" i="1"/>
  <c r="L237" i="1"/>
  <c r="K237" i="1"/>
  <c r="J237" i="1"/>
  <c r="I237" i="1"/>
  <c r="H237" i="1"/>
  <c r="G237" i="1"/>
  <c r="F237" i="1"/>
  <c r="E237" i="1"/>
  <c r="D237" i="1"/>
  <c r="C237" i="1"/>
  <c r="M236" i="1"/>
  <c r="L236" i="1"/>
  <c r="K236" i="1"/>
  <c r="J236" i="1"/>
  <c r="I236" i="1"/>
  <c r="H236" i="1"/>
  <c r="G236" i="1"/>
  <c r="F236" i="1"/>
  <c r="E236" i="1"/>
  <c r="D236" i="1"/>
  <c r="C236" i="1"/>
  <c r="M235" i="1"/>
  <c r="L235" i="1"/>
  <c r="K235" i="1"/>
  <c r="J235" i="1"/>
  <c r="I235" i="1"/>
  <c r="H235" i="1"/>
  <c r="G235" i="1"/>
  <c r="F235" i="1"/>
  <c r="E235" i="1"/>
  <c r="D235" i="1"/>
  <c r="C235" i="1"/>
  <c r="M234" i="1"/>
  <c r="L234" i="1"/>
  <c r="K234" i="1"/>
  <c r="J234" i="1"/>
  <c r="I234" i="1"/>
  <c r="H234" i="1"/>
  <c r="G234" i="1"/>
  <c r="F234" i="1"/>
  <c r="E234" i="1"/>
  <c r="D234" i="1"/>
  <c r="C234" i="1"/>
  <c r="M233" i="1"/>
  <c r="L233" i="1"/>
  <c r="K233" i="1"/>
  <c r="J233" i="1"/>
  <c r="I233" i="1"/>
  <c r="H233" i="1"/>
  <c r="G233" i="1"/>
  <c r="F233" i="1"/>
  <c r="E233" i="1"/>
  <c r="D233" i="1"/>
  <c r="C233" i="1"/>
  <c r="M232" i="1"/>
  <c r="L232" i="1"/>
  <c r="K232" i="1"/>
  <c r="J232" i="1"/>
  <c r="I232" i="1"/>
  <c r="H232" i="1"/>
  <c r="G232" i="1"/>
  <c r="F232" i="1"/>
  <c r="E232" i="1"/>
  <c r="D232" i="1"/>
  <c r="C232" i="1"/>
  <c r="M231" i="1"/>
  <c r="L231" i="1"/>
  <c r="K231" i="1"/>
  <c r="J231" i="1"/>
  <c r="I231" i="1"/>
  <c r="H231" i="1"/>
  <c r="G231" i="1"/>
  <c r="F231" i="1"/>
  <c r="E231" i="1"/>
  <c r="D231" i="1"/>
  <c r="C231" i="1"/>
  <c r="M230" i="1"/>
  <c r="L230" i="1"/>
  <c r="K230" i="1"/>
  <c r="J230" i="1"/>
  <c r="I230" i="1"/>
  <c r="H230" i="1"/>
  <c r="G230" i="1"/>
  <c r="F230" i="1"/>
  <c r="E230" i="1"/>
  <c r="D230" i="1"/>
  <c r="C230" i="1"/>
  <c r="M229" i="1"/>
  <c r="L229" i="1"/>
  <c r="K229" i="1"/>
  <c r="J229" i="1"/>
  <c r="I229" i="1"/>
  <c r="H229" i="1"/>
  <c r="G229" i="1"/>
  <c r="F229" i="1"/>
  <c r="E229" i="1"/>
  <c r="D229" i="1"/>
  <c r="C229" i="1"/>
  <c r="M228" i="1"/>
  <c r="L228" i="1"/>
  <c r="K228" i="1"/>
  <c r="J228" i="1"/>
  <c r="I228" i="1"/>
  <c r="H228" i="1"/>
  <c r="G228" i="1"/>
  <c r="F228" i="1"/>
  <c r="E228" i="1"/>
  <c r="D228" i="1"/>
  <c r="C228" i="1"/>
  <c r="M227" i="1"/>
  <c r="L227" i="1"/>
  <c r="K227" i="1"/>
  <c r="J227" i="1"/>
  <c r="I227" i="1"/>
  <c r="H227" i="1"/>
  <c r="G227" i="1"/>
  <c r="F227" i="1"/>
  <c r="E227" i="1"/>
  <c r="D227" i="1"/>
  <c r="C227" i="1"/>
  <c r="M226" i="1"/>
  <c r="L226" i="1"/>
  <c r="K226" i="1"/>
  <c r="J226" i="1"/>
  <c r="I226" i="1"/>
  <c r="H226" i="1"/>
  <c r="G226" i="1"/>
  <c r="F226" i="1"/>
  <c r="E226" i="1"/>
  <c r="D226" i="1"/>
  <c r="C226" i="1"/>
  <c r="M225" i="1"/>
  <c r="L225" i="1"/>
  <c r="K225" i="1"/>
  <c r="J225" i="1"/>
  <c r="I225" i="1"/>
  <c r="H225" i="1"/>
  <c r="G225" i="1"/>
  <c r="F225" i="1"/>
  <c r="E225" i="1"/>
  <c r="D225" i="1"/>
  <c r="C225" i="1"/>
  <c r="M224" i="1"/>
  <c r="L224" i="1"/>
  <c r="K224" i="1"/>
  <c r="J224" i="1"/>
  <c r="I224" i="1"/>
  <c r="H224" i="1"/>
  <c r="G224" i="1"/>
  <c r="F224" i="1"/>
  <c r="E224" i="1"/>
  <c r="D224" i="1"/>
  <c r="C224" i="1"/>
  <c r="M223" i="1"/>
  <c r="L223" i="1"/>
  <c r="K223" i="1"/>
  <c r="J223" i="1"/>
  <c r="I223" i="1"/>
  <c r="H223" i="1"/>
  <c r="G223" i="1"/>
  <c r="F223" i="1"/>
  <c r="E223" i="1"/>
  <c r="D223" i="1"/>
  <c r="C223" i="1"/>
  <c r="M222" i="1"/>
  <c r="L222" i="1"/>
  <c r="K222" i="1"/>
  <c r="J222" i="1"/>
  <c r="I222" i="1"/>
  <c r="H222" i="1"/>
  <c r="G222" i="1"/>
  <c r="F222" i="1"/>
  <c r="E222" i="1"/>
  <c r="D222" i="1"/>
  <c r="C222" i="1"/>
  <c r="M221" i="1"/>
  <c r="L221" i="1"/>
  <c r="K221" i="1"/>
  <c r="J221" i="1"/>
  <c r="I221" i="1"/>
  <c r="H221" i="1"/>
  <c r="G221" i="1"/>
  <c r="F221" i="1"/>
  <c r="E221" i="1"/>
  <c r="D221" i="1"/>
  <c r="C221" i="1"/>
  <c r="M220" i="1"/>
  <c r="L220" i="1"/>
  <c r="K220" i="1"/>
  <c r="J220" i="1"/>
  <c r="I220" i="1"/>
  <c r="H220" i="1"/>
  <c r="G220" i="1"/>
  <c r="F220" i="1"/>
  <c r="E220" i="1"/>
  <c r="D220" i="1"/>
  <c r="C220" i="1"/>
  <c r="M219" i="1"/>
  <c r="L219" i="1"/>
  <c r="K219" i="1"/>
  <c r="J219" i="1"/>
  <c r="I219" i="1"/>
  <c r="H219" i="1"/>
  <c r="G219" i="1"/>
  <c r="F219" i="1"/>
  <c r="E219" i="1"/>
  <c r="D219" i="1"/>
  <c r="C219" i="1"/>
  <c r="M218" i="1"/>
  <c r="L218" i="1"/>
  <c r="K218" i="1"/>
  <c r="J218" i="1"/>
  <c r="I218" i="1"/>
  <c r="H218" i="1"/>
  <c r="G218" i="1"/>
  <c r="F218" i="1"/>
  <c r="E218" i="1"/>
  <c r="D218" i="1"/>
  <c r="C218" i="1"/>
  <c r="M217" i="1"/>
  <c r="L217" i="1"/>
  <c r="K217" i="1"/>
  <c r="J217" i="1"/>
  <c r="I217" i="1"/>
  <c r="H217" i="1"/>
  <c r="G217" i="1"/>
  <c r="F217" i="1"/>
  <c r="E217" i="1"/>
  <c r="D217" i="1"/>
  <c r="C217" i="1"/>
  <c r="M216" i="1"/>
  <c r="L216" i="1"/>
  <c r="K216" i="1"/>
  <c r="J216" i="1"/>
  <c r="I216" i="1"/>
  <c r="H216" i="1"/>
  <c r="G216" i="1"/>
  <c r="F216" i="1"/>
  <c r="E216" i="1"/>
  <c r="D216" i="1"/>
  <c r="C216" i="1"/>
  <c r="M215" i="1"/>
  <c r="L215" i="1"/>
  <c r="K215" i="1"/>
  <c r="J215" i="1"/>
  <c r="I215" i="1"/>
  <c r="H215" i="1"/>
  <c r="G215" i="1"/>
  <c r="F215" i="1"/>
  <c r="E215" i="1"/>
  <c r="D215" i="1"/>
  <c r="C215" i="1"/>
  <c r="M214" i="1"/>
  <c r="L214" i="1"/>
  <c r="K214" i="1"/>
  <c r="J214" i="1"/>
  <c r="I214" i="1"/>
  <c r="H214" i="1"/>
  <c r="G214" i="1"/>
  <c r="F214" i="1"/>
  <c r="E214" i="1"/>
  <c r="D214" i="1"/>
  <c r="C214" i="1"/>
  <c r="M213" i="1"/>
  <c r="L213" i="1"/>
  <c r="K213" i="1"/>
  <c r="J213" i="1"/>
  <c r="I213" i="1"/>
  <c r="H213" i="1"/>
  <c r="G213" i="1"/>
  <c r="F213" i="1"/>
  <c r="E213" i="1"/>
  <c r="D213" i="1"/>
  <c r="C213" i="1"/>
  <c r="M212" i="1"/>
  <c r="L212" i="1"/>
  <c r="K212" i="1"/>
  <c r="J212" i="1"/>
  <c r="I212" i="1"/>
  <c r="H212" i="1"/>
  <c r="G212" i="1"/>
  <c r="F212" i="1"/>
  <c r="E212" i="1"/>
  <c r="D212" i="1"/>
  <c r="C212" i="1"/>
  <c r="M211" i="1"/>
  <c r="L211" i="1"/>
  <c r="K211" i="1"/>
  <c r="J211" i="1"/>
  <c r="I211" i="1"/>
  <c r="H211" i="1"/>
  <c r="G211" i="1"/>
  <c r="F211" i="1"/>
  <c r="E211" i="1"/>
  <c r="D211" i="1"/>
  <c r="C211" i="1"/>
  <c r="M210" i="1"/>
  <c r="L210" i="1"/>
  <c r="K210" i="1"/>
  <c r="J210" i="1"/>
  <c r="I210" i="1"/>
  <c r="H210" i="1"/>
  <c r="G210" i="1"/>
  <c r="F210" i="1"/>
  <c r="E210" i="1"/>
  <c r="D210" i="1"/>
  <c r="C210" i="1"/>
  <c r="M209" i="1"/>
  <c r="L209" i="1"/>
  <c r="K209" i="1"/>
  <c r="J209" i="1"/>
  <c r="I209" i="1"/>
  <c r="H209" i="1"/>
  <c r="G209" i="1"/>
  <c r="F209" i="1"/>
  <c r="E209" i="1"/>
  <c r="D209" i="1"/>
  <c r="C209" i="1"/>
  <c r="M208" i="1"/>
  <c r="L208" i="1"/>
  <c r="K208" i="1"/>
  <c r="J208" i="1"/>
  <c r="I208" i="1"/>
  <c r="H208" i="1"/>
  <c r="G208" i="1"/>
  <c r="F208" i="1"/>
  <c r="E208" i="1"/>
  <c r="D208" i="1"/>
  <c r="C208" i="1"/>
  <c r="M207" i="1"/>
  <c r="L207" i="1"/>
  <c r="K207" i="1"/>
  <c r="J207" i="1"/>
  <c r="I207" i="1"/>
  <c r="H207" i="1"/>
  <c r="G207" i="1"/>
  <c r="F207" i="1"/>
  <c r="E207" i="1"/>
  <c r="D207" i="1"/>
  <c r="C207" i="1"/>
  <c r="M206" i="1"/>
  <c r="L206" i="1"/>
  <c r="K206" i="1"/>
  <c r="J206" i="1"/>
  <c r="I206" i="1"/>
  <c r="H206" i="1"/>
  <c r="G206" i="1"/>
  <c r="F206" i="1"/>
  <c r="E206" i="1"/>
  <c r="D206" i="1"/>
  <c r="C206" i="1"/>
  <c r="M205" i="1"/>
  <c r="L205" i="1"/>
  <c r="K205" i="1"/>
  <c r="J205" i="1"/>
  <c r="I205" i="1"/>
  <c r="H205" i="1"/>
  <c r="G205" i="1"/>
  <c r="F205" i="1"/>
  <c r="E205" i="1"/>
  <c r="D205" i="1"/>
  <c r="C205" i="1"/>
  <c r="M204" i="1"/>
  <c r="L204" i="1"/>
  <c r="K204" i="1"/>
  <c r="J204" i="1"/>
  <c r="I204" i="1"/>
  <c r="H204" i="1"/>
  <c r="G204" i="1"/>
  <c r="F204" i="1"/>
  <c r="E204" i="1"/>
  <c r="D204" i="1"/>
  <c r="C204" i="1"/>
  <c r="M203" i="1"/>
  <c r="L203" i="1"/>
  <c r="K203" i="1"/>
  <c r="J203" i="1"/>
  <c r="I203" i="1"/>
  <c r="H203" i="1"/>
  <c r="G203" i="1"/>
  <c r="F203" i="1"/>
  <c r="E203" i="1"/>
  <c r="D203" i="1"/>
  <c r="C203" i="1"/>
  <c r="M202" i="1"/>
  <c r="L202" i="1"/>
  <c r="K202" i="1"/>
  <c r="J202" i="1"/>
  <c r="I202" i="1"/>
  <c r="H202" i="1"/>
  <c r="G202" i="1"/>
  <c r="F202" i="1"/>
  <c r="E202" i="1"/>
  <c r="D202" i="1"/>
  <c r="C202" i="1"/>
  <c r="M201" i="1"/>
  <c r="L201" i="1"/>
  <c r="K201" i="1"/>
  <c r="J201" i="1"/>
  <c r="I201" i="1"/>
  <c r="H201" i="1"/>
  <c r="G201" i="1"/>
  <c r="F201" i="1"/>
  <c r="E201" i="1"/>
  <c r="D201" i="1"/>
  <c r="C201" i="1"/>
  <c r="M200" i="1"/>
  <c r="L200" i="1"/>
  <c r="K200" i="1"/>
  <c r="J200" i="1"/>
  <c r="I200" i="1"/>
  <c r="H200" i="1"/>
  <c r="G200" i="1"/>
  <c r="F200" i="1"/>
  <c r="E200" i="1"/>
  <c r="D200" i="1"/>
  <c r="C200" i="1"/>
  <c r="M199" i="1"/>
  <c r="L199" i="1"/>
  <c r="K199" i="1"/>
  <c r="J199" i="1"/>
  <c r="I199" i="1"/>
  <c r="H199" i="1"/>
  <c r="G199" i="1"/>
  <c r="F199" i="1"/>
  <c r="E199" i="1"/>
  <c r="D199" i="1"/>
  <c r="C199" i="1"/>
  <c r="M198" i="1"/>
  <c r="L198" i="1"/>
  <c r="K198" i="1"/>
  <c r="J198" i="1"/>
  <c r="I198" i="1"/>
  <c r="H198" i="1"/>
  <c r="G198" i="1"/>
  <c r="F198" i="1"/>
  <c r="E198" i="1"/>
  <c r="D198" i="1"/>
  <c r="C198" i="1"/>
  <c r="M197" i="1"/>
  <c r="L197" i="1"/>
  <c r="K197" i="1"/>
  <c r="J197" i="1"/>
  <c r="I197" i="1"/>
  <c r="H197" i="1"/>
  <c r="G197" i="1"/>
  <c r="F197" i="1"/>
  <c r="E197" i="1"/>
  <c r="D197" i="1"/>
  <c r="C197" i="1"/>
  <c r="M196" i="1"/>
  <c r="L196" i="1"/>
  <c r="K196" i="1"/>
  <c r="J196" i="1"/>
  <c r="I196" i="1"/>
  <c r="H196" i="1"/>
  <c r="G196" i="1"/>
  <c r="F196" i="1"/>
  <c r="E196" i="1"/>
  <c r="D196" i="1"/>
  <c r="C196" i="1"/>
  <c r="M195" i="1"/>
  <c r="L195" i="1"/>
  <c r="K195" i="1"/>
  <c r="J195" i="1"/>
  <c r="I195" i="1"/>
  <c r="H195" i="1"/>
  <c r="G195" i="1"/>
  <c r="F195" i="1"/>
  <c r="E195" i="1"/>
  <c r="D195" i="1"/>
  <c r="C195" i="1"/>
  <c r="M194" i="1"/>
  <c r="L194" i="1"/>
  <c r="K194" i="1"/>
  <c r="J194" i="1"/>
  <c r="I194" i="1"/>
  <c r="H194" i="1"/>
  <c r="G194" i="1"/>
  <c r="F194" i="1"/>
  <c r="E194" i="1"/>
  <c r="D194" i="1"/>
  <c r="C194" i="1"/>
  <c r="M193" i="1"/>
  <c r="L193" i="1"/>
  <c r="K193" i="1"/>
  <c r="J193" i="1"/>
  <c r="I193" i="1"/>
  <c r="H193" i="1"/>
  <c r="G193" i="1"/>
  <c r="F193" i="1"/>
  <c r="E193" i="1"/>
  <c r="D193" i="1"/>
  <c r="C193" i="1"/>
  <c r="M192" i="1"/>
  <c r="L192" i="1"/>
  <c r="K192" i="1"/>
  <c r="J192" i="1"/>
  <c r="I192" i="1"/>
  <c r="H192" i="1"/>
  <c r="G192" i="1"/>
  <c r="F192" i="1"/>
  <c r="E192" i="1"/>
  <c r="D192" i="1"/>
  <c r="C192" i="1"/>
  <c r="M191" i="1"/>
  <c r="L191" i="1"/>
  <c r="K191" i="1"/>
  <c r="J191" i="1"/>
  <c r="I191" i="1"/>
  <c r="H191" i="1"/>
  <c r="G191" i="1"/>
  <c r="F191" i="1"/>
  <c r="E191" i="1"/>
  <c r="D191" i="1"/>
  <c r="C191" i="1"/>
  <c r="M190" i="1"/>
  <c r="L190" i="1"/>
  <c r="K190" i="1"/>
  <c r="J190" i="1"/>
  <c r="I190" i="1"/>
  <c r="H190" i="1"/>
  <c r="G190" i="1"/>
  <c r="F190" i="1"/>
  <c r="E190" i="1"/>
  <c r="D190" i="1"/>
  <c r="C190" i="1"/>
  <c r="M189" i="1"/>
  <c r="L189" i="1"/>
  <c r="K189" i="1"/>
  <c r="J189" i="1"/>
  <c r="I189" i="1"/>
  <c r="H189" i="1"/>
  <c r="G189" i="1"/>
  <c r="F189" i="1"/>
  <c r="E189" i="1"/>
  <c r="D189" i="1"/>
  <c r="C189" i="1"/>
  <c r="M188" i="1"/>
  <c r="L188" i="1"/>
  <c r="K188" i="1"/>
  <c r="J188" i="1"/>
  <c r="I188" i="1"/>
  <c r="H188" i="1"/>
  <c r="G188" i="1"/>
  <c r="F188" i="1"/>
  <c r="E188" i="1"/>
  <c r="D188" i="1"/>
  <c r="C188" i="1"/>
  <c r="M187" i="1"/>
  <c r="L187" i="1"/>
  <c r="K187" i="1"/>
  <c r="J187" i="1"/>
  <c r="I187" i="1"/>
  <c r="H187" i="1"/>
  <c r="G187" i="1"/>
  <c r="F187" i="1"/>
  <c r="E187" i="1"/>
  <c r="D187" i="1"/>
  <c r="C187" i="1"/>
  <c r="M186" i="1"/>
  <c r="L186" i="1"/>
  <c r="K186" i="1"/>
  <c r="J186" i="1"/>
  <c r="I186" i="1"/>
  <c r="H186" i="1"/>
  <c r="G186" i="1"/>
  <c r="F186" i="1"/>
  <c r="E186" i="1"/>
  <c r="D186" i="1"/>
  <c r="C186" i="1"/>
  <c r="M185" i="1"/>
  <c r="L185" i="1"/>
  <c r="K185" i="1"/>
  <c r="J185" i="1"/>
  <c r="I185" i="1"/>
  <c r="H185" i="1"/>
  <c r="G185" i="1"/>
  <c r="F185" i="1"/>
  <c r="E185" i="1"/>
  <c r="D185" i="1"/>
  <c r="C185" i="1"/>
  <c r="M184" i="1"/>
  <c r="L184" i="1"/>
  <c r="K184" i="1"/>
  <c r="J184" i="1"/>
  <c r="I184" i="1"/>
  <c r="H184" i="1"/>
  <c r="G184" i="1"/>
  <c r="F184" i="1"/>
  <c r="E184" i="1"/>
  <c r="D184" i="1"/>
  <c r="C184" i="1"/>
  <c r="M183" i="1"/>
  <c r="L183" i="1"/>
  <c r="K183" i="1"/>
  <c r="J183" i="1"/>
  <c r="I183" i="1"/>
  <c r="H183" i="1"/>
  <c r="G183" i="1"/>
  <c r="F183" i="1"/>
  <c r="E183" i="1"/>
  <c r="D183" i="1"/>
  <c r="C183" i="1"/>
  <c r="M182" i="1"/>
  <c r="L182" i="1"/>
  <c r="K182" i="1"/>
  <c r="J182" i="1"/>
  <c r="I182" i="1"/>
  <c r="H182" i="1"/>
  <c r="G182" i="1"/>
  <c r="F182" i="1"/>
  <c r="E182" i="1"/>
  <c r="D182" i="1"/>
  <c r="C182" i="1"/>
  <c r="M181" i="1"/>
  <c r="L181" i="1"/>
  <c r="K181" i="1"/>
  <c r="J181" i="1"/>
  <c r="I181" i="1"/>
  <c r="H181" i="1"/>
  <c r="G181" i="1"/>
  <c r="F181" i="1"/>
  <c r="E181" i="1"/>
  <c r="D181" i="1"/>
  <c r="C181" i="1"/>
  <c r="M180" i="1"/>
  <c r="L180" i="1"/>
  <c r="K180" i="1"/>
  <c r="J180" i="1"/>
  <c r="I180" i="1"/>
  <c r="H180" i="1"/>
  <c r="G180" i="1"/>
  <c r="F180" i="1"/>
  <c r="E180" i="1"/>
  <c r="D180" i="1"/>
  <c r="C180" i="1"/>
  <c r="M179" i="1"/>
  <c r="L179" i="1"/>
  <c r="K179" i="1"/>
  <c r="J179" i="1"/>
  <c r="I179" i="1"/>
  <c r="H179" i="1"/>
  <c r="G179" i="1"/>
  <c r="F179" i="1"/>
  <c r="E179" i="1"/>
  <c r="D179" i="1"/>
  <c r="C179" i="1"/>
  <c r="M178" i="1"/>
  <c r="L178" i="1"/>
  <c r="K178" i="1"/>
  <c r="J178" i="1"/>
  <c r="I178" i="1"/>
  <c r="H178" i="1"/>
  <c r="G178" i="1"/>
  <c r="F178" i="1"/>
  <c r="E178" i="1"/>
  <c r="D178" i="1"/>
  <c r="C178" i="1"/>
  <c r="M177" i="1"/>
  <c r="L177" i="1"/>
  <c r="K177" i="1"/>
  <c r="J177" i="1"/>
  <c r="I177" i="1"/>
  <c r="H177" i="1"/>
  <c r="G177" i="1"/>
  <c r="F177" i="1"/>
  <c r="E177" i="1"/>
  <c r="D177" i="1"/>
  <c r="C177" i="1"/>
  <c r="M176" i="1"/>
  <c r="L176" i="1"/>
  <c r="K176" i="1"/>
  <c r="J176" i="1"/>
  <c r="I176" i="1"/>
  <c r="H176" i="1"/>
  <c r="G176" i="1"/>
  <c r="F176" i="1"/>
  <c r="E176" i="1"/>
  <c r="D176" i="1"/>
  <c r="C176" i="1"/>
  <c r="M175" i="1"/>
  <c r="L175" i="1"/>
  <c r="K175" i="1"/>
  <c r="J175" i="1"/>
  <c r="I175" i="1"/>
  <c r="H175" i="1"/>
  <c r="G175" i="1"/>
  <c r="F175" i="1"/>
  <c r="E175" i="1"/>
  <c r="D175" i="1"/>
  <c r="C175" i="1"/>
  <c r="M174" i="1"/>
  <c r="L174" i="1"/>
  <c r="K174" i="1"/>
  <c r="J174" i="1"/>
  <c r="I174" i="1"/>
  <c r="H174" i="1"/>
  <c r="G174" i="1"/>
  <c r="F174" i="1"/>
  <c r="E174" i="1"/>
  <c r="D174" i="1"/>
  <c r="C174" i="1"/>
  <c r="M173" i="1"/>
  <c r="L173" i="1"/>
  <c r="K173" i="1"/>
  <c r="J173" i="1"/>
  <c r="I173" i="1"/>
  <c r="H173" i="1"/>
  <c r="G173" i="1"/>
  <c r="F173" i="1"/>
  <c r="E173" i="1"/>
  <c r="D173" i="1"/>
  <c r="C173" i="1"/>
  <c r="M172" i="1"/>
  <c r="L172" i="1"/>
  <c r="K172" i="1"/>
  <c r="J172" i="1"/>
  <c r="I172" i="1"/>
  <c r="H172" i="1"/>
  <c r="G172" i="1"/>
  <c r="F172" i="1"/>
  <c r="E172" i="1"/>
  <c r="D172" i="1"/>
  <c r="C172" i="1"/>
  <c r="M171" i="1"/>
  <c r="L171" i="1"/>
  <c r="K171" i="1"/>
  <c r="J171" i="1"/>
  <c r="I171" i="1"/>
  <c r="H171" i="1"/>
  <c r="G171" i="1"/>
  <c r="F171" i="1"/>
  <c r="E171" i="1"/>
  <c r="D171" i="1"/>
  <c r="C171" i="1"/>
  <c r="M170" i="1"/>
  <c r="L170" i="1"/>
  <c r="K170" i="1"/>
  <c r="J170" i="1"/>
  <c r="I170" i="1"/>
  <c r="H170" i="1"/>
  <c r="G170" i="1"/>
  <c r="F170" i="1"/>
  <c r="E170" i="1"/>
  <c r="D170" i="1"/>
  <c r="C170" i="1"/>
  <c r="M169" i="1"/>
  <c r="L169" i="1"/>
  <c r="K169" i="1"/>
  <c r="J169" i="1"/>
  <c r="I169" i="1"/>
  <c r="H169" i="1"/>
  <c r="G169" i="1"/>
  <c r="F169" i="1"/>
  <c r="E169" i="1"/>
  <c r="D169" i="1"/>
  <c r="C169" i="1"/>
  <c r="M168" i="1"/>
  <c r="L168" i="1"/>
  <c r="K168" i="1"/>
  <c r="J168" i="1"/>
  <c r="I168" i="1"/>
  <c r="H168" i="1"/>
  <c r="G168" i="1"/>
  <c r="F168" i="1"/>
  <c r="E168" i="1"/>
  <c r="D168" i="1"/>
  <c r="C168" i="1"/>
  <c r="M167" i="1"/>
  <c r="L167" i="1"/>
  <c r="K167" i="1"/>
  <c r="J167" i="1"/>
  <c r="I167" i="1"/>
  <c r="H167" i="1"/>
  <c r="G167" i="1"/>
  <c r="F167" i="1"/>
  <c r="E167" i="1"/>
  <c r="D167" i="1"/>
  <c r="C167" i="1"/>
  <c r="M166" i="1"/>
  <c r="L166" i="1"/>
  <c r="K166" i="1"/>
  <c r="J166" i="1"/>
  <c r="I166" i="1"/>
  <c r="H166" i="1"/>
  <c r="G166" i="1"/>
  <c r="F166" i="1"/>
  <c r="E166" i="1"/>
  <c r="D166" i="1"/>
  <c r="C166" i="1"/>
  <c r="M165" i="1"/>
  <c r="L165" i="1"/>
  <c r="K165" i="1"/>
  <c r="J165" i="1"/>
  <c r="I165" i="1"/>
  <c r="H165" i="1"/>
  <c r="G165" i="1"/>
  <c r="F165" i="1"/>
  <c r="E165" i="1"/>
  <c r="D165" i="1"/>
  <c r="C165" i="1"/>
  <c r="M164" i="1"/>
  <c r="L164" i="1"/>
  <c r="K164" i="1"/>
  <c r="J164" i="1"/>
  <c r="I164" i="1"/>
  <c r="H164" i="1"/>
  <c r="G164" i="1"/>
  <c r="F164" i="1"/>
  <c r="E164" i="1"/>
  <c r="D164" i="1"/>
  <c r="C164" i="1"/>
  <c r="M163" i="1"/>
  <c r="L163" i="1"/>
  <c r="K163" i="1"/>
  <c r="J163" i="1"/>
  <c r="I163" i="1"/>
  <c r="H163" i="1"/>
  <c r="G163" i="1"/>
  <c r="F163" i="1"/>
  <c r="E163" i="1"/>
  <c r="D163" i="1"/>
  <c r="C163" i="1"/>
  <c r="M162" i="1"/>
  <c r="L162" i="1"/>
  <c r="K162" i="1"/>
  <c r="J162" i="1"/>
  <c r="I162" i="1"/>
  <c r="H162" i="1"/>
  <c r="G162" i="1"/>
  <c r="F162" i="1"/>
  <c r="E162" i="1"/>
  <c r="D162" i="1"/>
  <c r="C162" i="1"/>
  <c r="M161" i="1"/>
  <c r="L161" i="1"/>
  <c r="K161" i="1"/>
  <c r="J161" i="1"/>
  <c r="I161" i="1"/>
  <c r="H161" i="1"/>
  <c r="G161" i="1"/>
  <c r="F161" i="1"/>
  <c r="E161" i="1"/>
  <c r="D161" i="1"/>
  <c r="C161" i="1"/>
  <c r="M160" i="1"/>
  <c r="L160" i="1"/>
  <c r="K160" i="1"/>
  <c r="J160" i="1"/>
  <c r="I160" i="1"/>
  <c r="H160" i="1"/>
  <c r="G160" i="1"/>
  <c r="F160" i="1"/>
  <c r="E160" i="1"/>
  <c r="D160" i="1"/>
  <c r="C160" i="1"/>
  <c r="M159" i="1"/>
  <c r="L159" i="1"/>
  <c r="K159" i="1"/>
  <c r="J159" i="1"/>
  <c r="I159" i="1"/>
  <c r="H159" i="1"/>
  <c r="G159" i="1"/>
  <c r="F159" i="1"/>
  <c r="E159" i="1"/>
  <c r="D159" i="1"/>
  <c r="C159" i="1"/>
  <c r="M158" i="1"/>
  <c r="L158" i="1"/>
  <c r="K158" i="1"/>
  <c r="J158" i="1"/>
  <c r="I158" i="1"/>
  <c r="H158" i="1"/>
  <c r="G158" i="1"/>
  <c r="F158" i="1"/>
  <c r="E158" i="1"/>
  <c r="D158" i="1"/>
  <c r="C158" i="1"/>
  <c r="M157" i="1"/>
  <c r="L157" i="1"/>
  <c r="K157" i="1"/>
  <c r="J157" i="1"/>
  <c r="I157" i="1"/>
  <c r="H157" i="1"/>
  <c r="G157" i="1"/>
  <c r="F157" i="1"/>
  <c r="E157" i="1"/>
  <c r="D157" i="1"/>
  <c r="C157" i="1"/>
  <c r="M156" i="1"/>
  <c r="L156" i="1"/>
  <c r="K156" i="1"/>
  <c r="J156" i="1"/>
  <c r="I156" i="1"/>
  <c r="H156" i="1"/>
  <c r="G156" i="1"/>
  <c r="F156" i="1"/>
  <c r="E156" i="1"/>
  <c r="D156" i="1"/>
  <c r="C156" i="1"/>
  <c r="M155" i="1"/>
  <c r="L155" i="1"/>
  <c r="K155" i="1"/>
  <c r="J155" i="1"/>
  <c r="I155" i="1"/>
  <c r="H155" i="1"/>
  <c r="G155" i="1"/>
  <c r="F155" i="1"/>
  <c r="E155" i="1"/>
  <c r="D155" i="1"/>
  <c r="C155" i="1"/>
  <c r="M154" i="1"/>
  <c r="L154" i="1"/>
  <c r="K154" i="1"/>
  <c r="J154" i="1"/>
  <c r="I154" i="1"/>
  <c r="H154" i="1"/>
  <c r="G154" i="1"/>
  <c r="F154" i="1"/>
  <c r="E154" i="1"/>
  <c r="D154" i="1"/>
  <c r="C154" i="1"/>
  <c r="M153" i="1"/>
  <c r="L153" i="1"/>
  <c r="K153" i="1"/>
  <c r="J153" i="1"/>
  <c r="I153" i="1"/>
  <c r="H153" i="1"/>
  <c r="G153" i="1"/>
  <c r="F153" i="1"/>
  <c r="E153" i="1"/>
  <c r="D153" i="1"/>
  <c r="C153" i="1"/>
  <c r="M152" i="1"/>
  <c r="L152" i="1"/>
  <c r="K152" i="1"/>
  <c r="J152" i="1"/>
  <c r="I152" i="1"/>
  <c r="H152" i="1"/>
  <c r="G152" i="1"/>
  <c r="F152" i="1"/>
  <c r="E152" i="1"/>
  <c r="D152" i="1"/>
  <c r="C152" i="1"/>
  <c r="M151" i="1"/>
  <c r="L151" i="1"/>
  <c r="K151" i="1"/>
  <c r="J151" i="1"/>
  <c r="I151" i="1"/>
  <c r="H151" i="1"/>
  <c r="G151" i="1"/>
  <c r="F151" i="1"/>
  <c r="E151" i="1"/>
  <c r="D151" i="1"/>
  <c r="C151" i="1"/>
  <c r="M150" i="1"/>
  <c r="L150" i="1"/>
  <c r="K150" i="1"/>
  <c r="J150" i="1"/>
  <c r="I150" i="1"/>
  <c r="H150" i="1"/>
  <c r="G150" i="1"/>
  <c r="F150" i="1"/>
  <c r="E150" i="1"/>
  <c r="D150" i="1"/>
  <c r="C150" i="1"/>
  <c r="M149" i="1"/>
  <c r="L149" i="1"/>
  <c r="K149" i="1"/>
  <c r="J149" i="1"/>
  <c r="I149" i="1"/>
  <c r="H149" i="1"/>
  <c r="G149" i="1"/>
  <c r="F149" i="1"/>
  <c r="E149" i="1"/>
  <c r="D149" i="1"/>
  <c r="C149" i="1"/>
  <c r="M148" i="1"/>
  <c r="L148" i="1"/>
  <c r="K148" i="1"/>
  <c r="J148" i="1"/>
  <c r="I148" i="1"/>
  <c r="H148" i="1"/>
  <c r="G148" i="1"/>
  <c r="F148" i="1"/>
  <c r="E148" i="1"/>
  <c r="D148" i="1"/>
  <c r="C148" i="1"/>
  <c r="M147" i="1"/>
  <c r="L147" i="1"/>
  <c r="K147" i="1"/>
  <c r="J147" i="1"/>
  <c r="I147" i="1"/>
  <c r="H147" i="1"/>
  <c r="G147" i="1"/>
  <c r="F147" i="1"/>
  <c r="E147" i="1"/>
  <c r="D147" i="1"/>
  <c r="C147" i="1"/>
  <c r="M146" i="1"/>
  <c r="L146" i="1"/>
  <c r="K146" i="1"/>
  <c r="J146" i="1"/>
  <c r="I146" i="1"/>
  <c r="H146" i="1"/>
  <c r="G146" i="1"/>
  <c r="F146" i="1"/>
  <c r="E146" i="1"/>
  <c r="D146" i="1"/>
  <c r="C146" i="1"/>
  <c r="M145" i="1"/>
  <c r="L145" i="1"/>
  <c r="K145" i="1"/>
  <c r="J145" i="1"/>
  <c r="I145" i="1"/>
  <c r="H145" i="1"/>
  <c r="G145" i="1"/>
  <c r="F145" i="1"/>
  <c r="E145" i="1"/>
  <c r="D145" i="1"/>
  <c r="C145" i="1"/>
  <c r="M144" i="1"/>
  <c r="L144" i="1"/>
  <c r="K144" i="1"/>
  <c r="J144" i="1"/>
  <c r="I144" i="1"/>
  <c r="H144" i="1"/>
  <c r="G144" i="1"/>
  <c r="F144" i="1"/>
  <c r="E144" i="1"/>
  <c r="D144" i="1"/>
  <c r="C144" i="1"/>
  <c r="M143" i="1"/>
  <c r="L143" i="1"/>
  <c r="K143" i="1"/>
  <c r="J143" i="1"/>
  <c r="I143" i="1"/>
  <c r="H143" i="1"/>
  <c r="G143" i="1"/>
  <c r="F143" i="1"/>
  <c r="E143" i="1"/>
  <c r="D143" i="1"/>
  <c r="C143" i="1"/>
  <c r="M142" i="1"/>
  <c r="L142" i="1"/>
  <c r="K142" i="1"/>
  <c r="J142" i="1"/>
  <c r="I142" i="1"/>
  <c r="H142" i="1"/>
  <c r="G142" i="1"/>
  <c r="F142" i="1"/>
  <c r="E142" i="1"/>
  <c r="D142" i="1"/>
  <c r="C142" i="1"/>
  <c r="M141" i="1"/>
  <c r="L141" i="1"/>
  <c r="K141" i="1"/>
  <c r="J141" i="1"/>
  <c r="I141" i="1"/>
  <c r="H141" i="1"/>
  <c r="G141" i="1"/>
  <c r="F141" i="1"/>
  <c r="E141" i="1"/>
  <c r="D141" i="1"/>
  <c r="C141" i="1"/>
  <c r="M140" i="1"/>
  <c r="L140" i="1"/>
  <c r="K140" i="1"/>
  <c r="J140" i="1"/>
  <c r="I140" i="1"/>
  <c r="H140" i="1"/>
  <c r="G140" i="1"/>
  <c r="F140" i="1"/>
  <c r="E140" i="1"/>
  <c r="D140" i="1"/>
  <c r="C140" i="1"/>
  <c r="M139" i="1"/>
  <c r="L139" i="1"/>
  <c r="K139" i="1"/>
  <c r="J139" i="1"/>
  <c r="I139" i="1"/>
  <c r="H139" i="1"/>
  <c r="G139" i="1"/>
  <c r="F139" i="1"/>
  <c r="E139" i="1"/>
  <c r="D139" i="1"/>
  <c r="C139" i="1"/>
  <c r="M138" i="1"/>
  <c r="L138" i="1"/>
  <c r="K138" i="1"/>
  <c r="J138" i="1"/>
  <c r="I138" i="1"/>
  <c r="H138" i="1"/>
  <c r="G138" i="1"/>
  <c r="F138" i="1"/>
  <c r="E138" i="1"/>
  <c r="D138" i="1"/>
  <c r="C138" i="1"/>
  <c r="M137" i="1"/>
  <c r="L137" i="1"/>
  <c r="K137" i="1"/>
  <c r="J137" i="1"/>
  <c r="I137" i="1"/>
  <c r="H137" i="1"/>
  <c r="G137" i="1"/>
  <c r="F137" i="1"/>
  <c r="E137" i="1"/>
  <c r="D137" i="1"/>
  <c r="C137" i="1"/>
  <c r="M136" i="1"/>
  <c r="L136" i="1"/>
  <c r="K136" i="1"/>
  <c r="J136" i="1"/>
  <c r="I136" i="1"/>
  <c r="H136" i="1"/>
  <c r="G136" i="1"/>
  <c r="F136" i="1"/>
  <c r="E136" i="1"/>
  <c r="D136" i="1"/>
  <c r="C136" i="1"/>
  <c r="M135" i="1"/>
  <c r="L135" i="1"/>
  <c r="K135" i="1"/>
  <c r="J135" i="1"/>
  <c r="I135" i="1"/>
  <c r="H135" i="1"/>
  <c r="G135" i="1"/>
  <c r="F135" i="1"/>
  <c r="E135" i="1"/>
  <c r="D135" i="1"/>
  <c r="C135" i="1"/>
  <c r="M134" i="1"/>
  <c r="L134" i="1"/>
  <c r="K134" i="1"/>
  <c r="J134" i="1"/>
  <c r="I134" i="1"/>
  <c r="H134" i="1"/>
  <c r="G134" i="1"/>
  <c r="F134" i="1"/>
  <c r="E134" i="1"/>
  <c r="D134" i="1"/>
  <c r="C134" i="1"/>
  <c r="M133" i="1"/>
  <c r="L133" i="1"/>
  <c r="K133" i="1"/>
  <c r="J133" i="1"/>
  <c r="I133" i="1"/>
  <c r="H133" i="1"/>
  <c r="G133" i="1"/>
  <c r="F133" i="1"/>
  <c r="E133" i="1"/>
  <c r="D133" i="1"/>
  <c r="C133" i="1"/>
  <c r="M132" i="1"/>
  <c r="L132" i="1"/>
  <c r="K132" i="1"/>
  <c r="J132" i="1"/>
  <c r="I132" i="1"/>
  <c r="H132" i="1"/>
  <c r="G132" i="1"/>
  <c r="F132" i="1"/>
  <c r="E132" i="1"/>
  <c r="D132" i="1"/>
  <c r="C132" i="1"/>
  <c r="M131" i="1"/>
  <c r="L131" i="1"/>
  <c r="K131" i="1"/>
  <c r="J131" i="1"/>
  <c r="I131" i="1"/>
  <c r="H131" i="1"/>
  <c r="G131" i="1"/>
  <c r="F131" i="1"/>
  <c r="E131" i="1"/>
  <c r="D131" i="1"/>
  <c r="C131" i="1"/>
  <c r="M130" i="1"/>
  <c r="L130" i="1"/>
  <c r="K130" i="1"/>
  <c r="J130" i="1"/>
  <c r="I130" i="1"/>
  <c r="H130" i="1"/>
  <c r="G130" i="1"/>
  <c r="F130" i="1"/>
  <c r="E130" i="1"/>
  <c r="D130" i="1"/>
  <c r="C130" i="1"/>
  <c r="M129" i="1"/>
  <c r="L129" i="1"/>
  <c r="K129" i="1"/>
  <c r="J129" i="1"/>
  <c r="I129" i="1"/>
  <c r="H129" i="1"/>
  <c r="G129" i="1"/>
  <c r="F129" i="1"/>
  <c r="E129" i="1"/>
  <c r="D129" i="1"/>
  <c r="C129" i="1"/>
  <c r="M128" i="1"/>
  <c r="L128" i="1"/>
  <c r="K128" i="1"/>
  <c r="J128" i="1"/>
  <c r="I128" i="1"/>
  <c r="H128" i="1"/>
  <c r="G128" i="1"/>
  <c r="F128" i="1"/>
  <c r="E128" i="1"/>
  <c r="D128" i="1"/>
  <c r="C128" i="1"/>
  <c r="M127" i="1"/>
  <c r="L127" i="1"/>
  <c r="K127" i="1"/>
  <c r="J127" i="1"/>
  <c r="I127" i="1"/>
  <c r="H127" i="1"/>
  <c r="G127" i="1"/>
  <c r="F127" i="1"/>
  <c r="E127" i="1"/>
  <c r="D127" i="1"/>
  <c r="C127" i="1"/>
  <c r="M126" i="1"/>
  <c r="L126" i="1"/>
  <c r="K126" i="1"/>
  <c r="J126" i="1"/>
  <c r="I126" i="1"/>
  <c r="H126" i="1"/>
  <c r="G126" i="1"/>
  <c r="F126" i="1"/>
  <c r="E126" i="1"/>
  <c r="D126" i="1"/>
  <c r="C126" i="1"/>
  <c r="M125" i="1"/>
  <c r="L125" i="1"/>
  <c r="K125" i="1"/>
  <c r="J125" i="1"/>
  <c r="I125" i="1"/>
  <c r="H125" i="1"/>
  <c r="G125" i="1"/>
  <c r="F125" i="1"/>
  <c r="E125" i="1"/>
  <c r="D125" i="1"/>
  <c r="C125" i="1"/>
  <c r="M124" i="1"/>
  <c r="L124" i="1"/>
  <c r="K124" i="1"/>
  <c r="J124" i="1"/>
  <c r="I124" i="1"/>
  <c r="H124" i="1"/>
  <c r="G124" i="1"/>
  <c r="F124" i="1"/>
  <c r="E124" i="1"/>
  <c r="D124" i="1"/>
  <c r="C124" i="1"/>
  <c r="M123" i="1"/>
  <c r="L123" i="1"/>
  <c r="K123" i="1"/>
  <c r="J123" i="1"/>
  <c r="I123" i="1"/>
  <c r="H123" i="1"/>
  <c r="G123" i="1"/>
  <c r="F123" i="1"/>
  <c r="E123" i="1"/>
  <c r="D123" i="1"/>
  <c r="C123" i="1"/>
  <c r="M122" i="1"/>
  <c r="L122" i="1"/>
  <c r="K122" i="1"/>
  <c r="J122" i="1"/>
  <c r="I122" i="1"/>
  <c r="H122" i="1"/>
  <c r="G122" i="1"/>
  <c r="F122" i="1"/>
  <c r="E122" i="1"/>
  <c r="D122" i="1"/>
  <c r="C122" i="1"/>
  <c r="M121" i="1"/>
  <c r="L121" i="1"/>
  <c r="K121" i="1"/>
  <c r="J121" i="1"/>
  <c r="I121" i="1"/>
  <c r="H121" i="1"/>
  <c r="G121" i="1"/>
  <c r="F121" i="1"/>
  <c r="E121" i="1"/>
  <c r="D121" i="1"/>
  <c r="C121" i="1"/>
  <c r="M120" i="1"/>
  <c r="L120" i="1"/>
  <c r="K120" i="1"/>
  <c r="J120" i="1"/>
  <c r="I120" i="1"/>
  <c r="H120" i="1"/>
  <c r="G120" i="1"/>
  <c r="F120" i="1"/>
  <c r="E120" i="1"/>
  <c r="D120" i="1"/>
  <c r="C120" i="1"/>
  <c r="M119" i="1"/>
  <c r="L119" i="1"/>
  <c r="K119" i="1"/>
  <c r="J119" i="1"/>
  <c r="I119" i="1"/>
  <c r="H119" i="1"/>
  <c r="G119" i="1"/>
  <c r="F119" i="1"/>
  <c r="E119" i="1"/>
  <c r="D119" i="1"/>
  <c r="C119" i="1"/>
  <c r="M118" i="1"/>
  <c r="L118" i="1"/>
  <c r="K118" i="1"/>
  <c r="J118" i="1"/>
  <c r="I118" i="1"/>
  <c r="H118" i="1"/>
  <c r="G118" i="1"/>
  <c r="F118" i="1"/>
  <c r="E118" i="1"/>
  <c r="D118" i="1"/>
  <c r="C118" i="1"/>
  <c r="M117" i="1"/>
  <c r="L117" i="1"/>
  <c r="K117" i="1"/>
  <c r="J117" i="1"/>
  <c r="I117" i="1"/>
  <c r="H117" i="1"/>
  <c r="G117" i="1"/>
  <c r="F117" i="1"/>
  <c r="E117" i="1"/>
  <c r="D117" i="1"/>
  <c r="C117" i="1"/>
  <c r="M116" i="1"/>
  <c r="L116" i="1"/>
  <c r="K116" i="1"/>
  <c r="J116" i="1"/>
  <c r="I116" i="1"/>
  <c r="H116" i="1"/>
  <c r="G116" i="1"/>
  <c r="F116" i="1"/>
  <c r="E116" i="1"/>
  <c r="D116" i="1"/>
  <c r="C116" i="1"/>
  <c r="M115" i="1"/>
  <c r="L115" i="1"/>
  <c r="K115" i="1"/>
  <c r="J115" i="1"/>
  <c r="I115" i="1"/>
  <c r="H115" i="1"/>
  <c r="G115" i="1"/>
  <c r="F115" i="1"/>
  <c r="E115" i="1"/>
  <c r="D115" i="1"/>
  <c r="C115" i="1"/>
  <c r="M114" i="1"/>
  <c r="L114" i="1"/>
  <c r="K114" i="1"/>
  <c r="J114" i="1"/>
  <c r="I114" i="1"/>
  <c r="H114" i="1"/>
  <c r="G114" i="1"/>
  <c r="F114" i="1"/>
  <c r="E114" i="1"/>
  <c r="D114" i="1"/>
  <c r="C114" i="1"/>
  <c r="M113" i="1"/>
  <c r="L113" i="1"/>
  <c r="K113" i="1"/>
  <c r="J113" i="1"/>
  <c r="I113" i="1"/>
  <c r="H113" i="1"/>
  <c r="G113" i="1"/>
  <c r="F113" i="1"/>
  <c r="E113" i="1"/>
  <c r="D113" i="1"/>
  <c r="C113" i="1"/>
  <c r="M112" i="1"/>
  <c r="L112" i="1"/>
  <c r="K112" i="1"/>
  <c r="J112" i="1"/>
  <c r="I112" i="1"/>
  <c r="H112" i="1"/>
  <c r="G112" i="1"/>
  <c r="F112" i="1"/>
  <c r="E112" i="1"/>
  <c r="D112" i="1"/>
  <c r="C112" i="1"/>
  <c r="M111" i="1"/>
  <c r="L111" i="1"/>
  <c r="K111" i="1"/>
  <c r="J111" i="1"/>
  <c r="I111" i="1"/>
  <c r="H111" i="1"/>
  <c r="G111" i="1"/>
  <c r="F111" i="1"/>
  <c r="E111" i="1"/>
  <c r="D111" i="1"/>
  <c r="C111" i="1"/>
  <c r="M110" i="1"/>
  <c r="L110" i="1"/>
  <c r="K110" i="1"/>
  <c r="J110" i="1"/>
  <c r="I110" i="1"/>
  <c r="H110" i="1"/>
  <c r="G110" i="1"/>
  <c r="F110" i="1"/>
  <c r="E110" i="1"/>
  <c r="D110" i="1"/>
  <c r="C110" i="1"/>
  <c r="M109" i="1"/>
  <c r="L109" i="1"/>
  <c r="K109" i="1"/>
  <c r="J109" i="1"/>
  <c r="I109" i="1"/>
  <c r="H109" i="1"/>
  <c r="G109" i="1"/>
  <c r="F109" i="1"/>
  <c r="E109" i="1"/>
  <c r="D109" i="1"/>
  <c r="C109" i="1"/>
  <c r="M108" i="1"/>
  <c r="L108" i="1"/>
  <c r="K108" i="1"/>
  <c r="J108" i="1"/>
  <c r="I108" i="1"/>
  <c r="H108" i="1"/>
  <c r="G108" i="1"/>
  <c r="F108" i="1"/>
  <c r="E108" i="1"/>
  <c r="D108" i="1"/>
  <c r="C108" i="1"/>
  <c r="M107" i="1"/>
  <c r="L107" i="1"/>
  <c r="K107" i="1"/>
  <c r="J107" i="1"/>
  <c r="I107" i="1"/>
  <c r="H107" i="1"/>
  <c r="G107" i="1"/>
  <c r="F107" i="1"/>
  <c r="E107" i="1"/>
  <c r="D107" i="1"/>
  <c r="C107" i="1"/>
  <c r="M106" i="1"/>
  <c r="L106" i="1"/>
  <c r="K106" i="1"/>
  <c r="J106" i="1"/>
  <c r="I106" i="1"/>
  <c r="H106" i="1"/>
  <c r="G106" i="1"/>
  <c r="F106" i="1"/>
  <c r="E106" i="1"/>
  <c r="D106" i="1"/>
  <c r="C106" i="1"/>
  <c r="M105" i="1"/>
  <c r="L105" i="1"/>
  <c r="K105" i="1"/>
  <c r="J105" i="1"/>
  <c r="I105" i="1"/>
  <c r="H105" i="1"/>
  <c r="G105" i="1"/>
  <c r="F105" i="1"/>
  <c r="E105" i="1"/>
  <c r="D105" i="1"/>
  <c r="C105" i="1"/>
  <c r="M104" i="1"/>
  <c r="L104" i="1"/>
  <c r="K104" i="1"/>
  <c r="J104" i="1"/>
  <c r="I104" i="1"/>
  <c r="H104" i="1"/>
  <c r="G104" i="1"/>
  <c r="F104" i="1"/>
  <c r="E104" i="1"/>
  <c r="D104" i="1"/>
  <c r="C104" i="1"/>
  <c r="M103" i="1"/>
  <c r="L103" i="1"/>
  <c r="K103" i="1"/>
  <c r="J103" i="1"/>
  <c r="I103" i="1"/>
  <c r="H103" i="1"/>
  <c r="G103" i="1"/>
  <c r="F103" i="1"/>
  <c r="E103" i="1"/>
  <c r="D103" i="1"/>
  <c r="C103" i="1"/>
  <c r="M102" i="1"/>
  <c r="L102" i="1"/>
  <c r="K102" i="1"/>
  <c r="J102" i="1"/>
  <c r="I102" i="1"/>
  <c r="H102" i="1"/>
  <c r="G102" i="1"/>
  <c r="F102" i="1"/>
  <c r="E102" i="1"/>
  <c r="D102" i="1"/>
  <c r="C102" i="1"/>
  <c r="M101" i="1"/>
  <c r="L101" i="1"/>
  <c r="K101" i="1"/>
  <c r="J101" i="1"/>
  <c r="I101" i="1"/>
  <c r="H101" i="1"/>
  <c r="G101" i="1"/>
  <c r="F101" i="1"/>
  <c r="E101" i="1"/>
  <c r="D101" i="1"/>
  <c r="C101" i="1"/>
  <c r="M100" i="1"/>
  <c r="L100" i="1"/>
  <c r="K100" i="1"/>
  <c r="J100" i="1"/>
  <c r="I100" i="1"/>
  <c r="H100" i="1"/>
  <c r="G100" i="1"/>
  <c r="F100" i="1"/>
  <c r="E100" i="1"/>
  <c r="D100" i="1"/>
  <c r="C100" i="1"/>
  <c r="M99" i="1"/>
  <c r="L99" i="1"/>
  <c r="K99" i="1"/>
  <c r="J99" i="1"/>
  <c r="I99" i="1"/>
  <c r="H99" i="1"/>
  <c r="G99" i="1"/>
  <c r="F99" i="1"/>
  <c r="E99" i="1"/>
  <c r="D99" i="1"/>
  <c r="C99" i="1"/>
  <c r="M98" i="1"/>
  <c r="L98" i="1"/>
  <c r="K98" i="1"/>
  <c r="J98" i="1"/>
  <c r="I98" i="1"/>
  <c r="H98" i="1"/>
  <c r="G98" i="1"/>
  <c r="F98" i="1"/>
  <c r="E98" i="1"/>
  <c r="D98" i="1"/>
  <c r="C98" i="1"/>
  <c r="M97" i="1"/>
  <c r="L97" i="1"/>
  <c r="K97" i="1"/>
  <c r="J97" i="1"/>
  <c r="I97" i="1"/>
  <c r="H97" i="1"/>
  <c r="G97" i="1"/>
  <c r="F97" i="1"/>
  <c r="E97" i="1"/>
  <c r="D97" i="1"/>
  <c r="C97" i="1"/>
  <c r="M96" i="1"/>
  <c r="L96" i="1"/>
  <c r="K96" i="1"/>
  <c r="J96" i="1"/>
  <c r="I96" i="1"/>
  <c r="H96" i="1"/>
  <c r="G96" i="1"/>
  <c r="F96" i="1"/>
  <c r="E96" i="1"/>
  <c r="D96" i="1"/>
  <c r="C96" i="1"/>
  <c r="M95" i="1"/>
  <c r="L95" i="1"/>
  <c r="K95" i="1"/>
  <c r="J95" i="1"/>
  <c r="I95" i="1"/>
  <c r="H95" i="1"/>
  <c r="G95" i="1"/>
  <c r="F95" i="1"/>
  <c r="E95" i="1"/>
  <c r="D95" i="1"/>
  <c r="C95" i="1"/>
  <c r="M94" i="1"/>
  <c r="L94" i="1"/>
  <c r="K94" i="1"/>
  <c r="J94" i="1"/>
  <c r="I94" i="1"/>
  <c r="H94" i="1"/>
  <c r="G94" i="1"/>
  <c r="F94" i="1"/>
  <c r="E94" i="1"/>
  <c r="D94" i="1"/>
  <c r="C94" i="1"/>
  <c r="M93" i="1"/>
  <c r="L93" i="1"/>
  <c r="K93" i="1"/>
  <c r="J93" i="1"/>
  <c r="I93" i="1"/>
  <c r="H93" i="1"/>
  <c r="G93" i="1"/>
  <c r="F93" i="1"/>
  <c r="E93" i="1"/>
  <c r="D93" i="1"/>
  <c r="C93" i="1"/>
  <c r="M92" i="1"/>
  <c r="L92" i="1"/>
  <c r="K92" i="1"/>
  <c r="J92" i="1"/>
  <c r="I92" i="1"/>
  <c r="H92" i="1"/>
  <c r="G92" i="1"/>
  <c r="F92" i="1"/>
  <c r="E92" i="1"/>
  <c r="D92" i="1"/>
  <c r="C92" i="1"/>
  <c r="M91" i="1"/>
  <c r="L91" i="1"/>
  <c r="K91" i="1"/>
  <c r="J91" i="1"/>
  <c r="I91" i="1"/>
  <c r="H91" i="1"/>
  <c r="G91" i="1"/>
  <c r="F91" i="1"/>
  <c r="E91" i="1"/>
  <c r="D91" i="1"/>
  <c r="C91" i="1"/>
  <c r="M90" i="1"/>
  <c r="L90" i="1"/>
  <c r="K90" i="1"/>
  <c r="J90" i="1"/>
  <c r="I90" i="1"/>
  <c r="H90" i="1"/>
  <c r="G90" i="1"/>
  <c r="F90" i="1"/>
  <c r="E90" i="1"/>
  <c r="D90" i="1"/>
  <c r="C90" i="1"/>
  <c r="M89" i="1"/>
  <c r="L89" i="1"/>
  <c r="K89" i="1"/>
  <c r="J89" i="1"/>
  <c r="I89" i="1"/>
  <c r="H89" i="1"/>
  <c r="G89" i="1"/>
  <c r="F89" i="1"/>
  <c r="E89" i="1"/>
  <c r="D89" i="1"/>
  <c r="C89" i="1"/>
  <c r="M88" i="1"/>
  <c r="L88" i="1"/>
  <c r="K88" i="1"/>
  <c r="J88" i="1"/>
  <c r="I88" i="1"/>
  <c r="H88" i="1"/>
  <c r="G88" i="1"/>
  <c r="F88" i="1"/>
  <c r="E88" i="1"/>
  <c r="D88" i="1"/>
  <c r="C88" i="1"/>
  <c r="M87" i="1"/>
  <c r="L87" i="1"/>
  <c r="K87" i="1"/>
  <c r="J87" i="1"/>
  <c r="I87" i="1"/>
  <c r="H87" i="1"/>
  <c r="G87" i="1"/>
  <c r="F87" i="1"/>
  <c r="E87" i="1"/>
  <c r="D87" i="1"/>
  <c r="C87" i="1"/>
  <c r="M86" i="1"/>
  <c r="L86" i="1"/>
  <c r="K86" i="1"/>
  <c r="J86" i="1"/>
  <c r="I86" i="1"/>
  <c r="H86" i="1"/>
  <c r="G86" i="1"/>
  <c r="F86" i="1"/>
  <c r="E86" i="1"/>
  <c r="D86" i="1"/>
  <c r="C86" i="1"/>
  <c r="M85" i="1"/>
  <c r="L85" i="1"/>
  <c r="K85" i="1"/>
  <c r="J85" i="1"/>
  <c r="I85" i="1"/>
  <c r="H85" i="1"/>
  <c r="G85" i="1"/>
  <c r="F85" i="1"/>
  <c r="E85" i="1"/>
  <c r="D85" i="1"/>
  <c r="C85" i="1"/>
  <c r="M84" i="1"/>
  <c r="L84" i="1"/>
  <c r="K84" i="1"/>
  <c r="J84" i="1"/>
  <c r="I84" i="1"/>
  <c r="H84" i="1"/>
  <c r="G84" i="1"/>
  <c r="F84" i="1"/>
  <c r="E84" i="1"/>
  <c r="D84" i="1"/>
  <c r="C84" i="1"/>
  <c r="M83" i="1"/>
  <c r="L83" i="1"/>
  <c r="K83" i="1"/>
  <c r="J83" i="1"/>
  <c r="I83" i="1"/>
  <c r="H83" i="1"/>
  <c r="G83" i="1"/>
  <c r="F83" i="1"/>
  <c r="E83" i="1"/>
  <c r="D83" i="1"/>
  <c r="C83" i="1"/>
  <c r="M82" i="1"/>
  <c r="L82" i="1"/>
  <c r="K82" i="1"/>
  <c r="J82" i="1"/>
  <c r="I82" i="1"/>
  <c r="H82" i="1"/>
  <c r="G82" i="1"/>
  <c r="F82" i="1"/>
  <c r="E82" i="1"/>
  <c r="D82" i="1"/>
  <c r="C82" i="1"/>
  <c r="M81" i="1"/>
  <c r="L81" i="1"/>
  <c r="K81" i="1"/>
  <c r="J81" i="1"/>
  <c r="I81" i="1"/>
  <c r="H81" i="1"/>
  <c r="G81" i="1"/>
  <c r="F81" i="1"/>
  <c r="E81" i="1"/>
  <c r="D81" i="1"/>
  <c r="C81" i="1"/>
  <c r="M80" i="1"/>
  <c r="L80" i="1"/>
  <c r="K80" i="1"/>
  <c r="J80" i="1"/>
  <c r="I80" i="1"/>
  <c r="H80" i="1"/>
  <c r="G80" i="1"/>
  <c r="F80" i="1"/>
  <c r="E80" i="1"/>
  <c r="D80" i="1"/>
  <c r="C80" i="1"/>
  <c r="M79" i="1"/>
  <c r="L79" i="1"/>
  <c r="K79" i="1"/>
  <c r="J79" i="1"/>
  <c r="I79" i="1"/>
  <c r="H79" i="1"/>
  <c r="G79" i="1"/>
  <c r="F79" i="1"/>
  <c r="E79" i="1"/>
  <c r="D79" i="1"/>
  <c r="C79" i="1"/>
  <c r="M78" i="1"/>
  <c r="L78" i="1"/>
  <c r="K78" i="1"/>
  <c r="J78" i="1"/>
  <c r="I78" i="1"/>
  <c r="H78" i="1"/>
  <c r="G78" i="1"/>
  <c r="F78" i="1"/>
  <c r="E78" i="1"/>
  <c r="D78" i="1"/>
  <c r="C78" i="1"/>
  <c r="M77" i="1"/>
  <c r="L77" i="1"/>
  <c r="K77" i="1"/>
  <c r="J77" i="1"/>
  <c r="I77" i="1"/>
  <c r="H77" i="1"/>
  <c r="G77" i="1"/>
  <c r="F77" i="1"/>
  <c r="E77" i="1"/>
  <c r="D77" i="1"/>
  <c r="C77" i="1"/>
  <c r="M76" i="1"/>
  <c r="L76" i="1"/>
  <c r="K76" i="1"/>
  <c r="J76" i="1"/>
  <c r="I76" i="1"/>
  <c r="H76" i="1"/>
  <c r="G76" i="1"/>
  <c r="F76" i="1"/>
  <c r="E76" i="1"/>
  <c r="D76" i="1"/>
  <c r="C76" i="1"/>
  <c r="M75" i="1"/>
  <c r="L75" i="1"/>
  <c r="K75" i="1"/>
  <c r="J75" i="1"/>
  <c r="I75" i="1"/>
  <c r="H75" i="1"/>
  <c r="G75" i="1"/>
  <c r="F75" i="1"/>
  <c r="E75" i="1"/>
  <c r="D75" i="1"/>
  <c r="C75" i="1"/>
  <c r="M74" i="1"/>
  <c r="L74" i="1"/>
  <c r="K74" i="1"/>
  <c r="J74" i="1"/>
  <c r="I74" i="1"/>
  <c r="H74" i="1"/>
  <c r="G74" i="1"/>
  <c r="F74" i="1"/>
  <c r="E74" i="1"/>
  <c r="D74" i="1"/>
  <c r="C74" i="1"/>
  <c r="M73" i="1"/>
  <c r="L73" i="1"/>
  <c r="K73" i="1"/>
  <c r="J73" i="1"/>
  <c r="I73" i="1"/>
  <c r="H73" i="1"/>
  <c r="G73" i="1"/>
  <c r="F73" i="1"/>
  <c r="E73" i="1"/>
  <c r="D73" i="1"/>
  <c r="C73" i="1"/>
  <c r="M72" i="1"/>
  <c r="L72" i="1"/>
  <c r="K72" i="1"/>
  <c r="J72" i="1"/>
  <c r="I72" i="1"/>
  <c r="H72" i="1"/>
  <c r="G72" i="1"/>
  <c r="F72" i="1"/>
  <c r="E72" i="1"/>
  <c r="D72" i="1"/>
  <c r="C72" i="1"/>
  <c r="M71" i="1"/>
  <c r="L71" i="1"/>
  <c r="K71" i="1"/>
  <c r="J71" i="1"/>
  <c r="I71" i="1"/>
  <c r="H71" i="1"/>
  <c r="G71" i="1"/>
  <c r="F71" i="1"/>
  <c r="E71" i="1"/>
  <c r="D71" i="1"/>
  <c r="C71" i="1"/>
  <c r="M70" i="1"/>
  <c r="L70" i="1"/>
  <c r="K70" i="1"/>
  <c r="J70" i="1"/>
  <c r="I70" i="1"/>
  <c r="H70" i="1"/>
  <c r="G70" i="1"/>
  <c r="F70" i="1"/>
  <c r="E70" i="1"/>
  <c r="D70" i="1"/>
  <c r="C70" i="1"/>
  <c r="M69" i="1"/>
  <c r="L69" i="1"/>
  <c r="K69" i="1"/>
  <c r="J69" i="1"/>
  <c r="I69" i="1"/>
  <c r="H69" i="1"/>
  <c r="G69" i="1"/>
  <c r="F69" i="1"/>
  <c r="E69" i="1"/>
  <c r="D69" i="1"/>
  <c r="C69" i="1"/>
  <c r="M68" i="1"/>
  <c r="L68" i="1"/>
  <c r="K68" i="1"/>
  <c r="J68" i="1"/>
  <c r="I68" i="1"/>
  <c r="H68" i="1"/>
  <c r="G68" i="1"/>
  <c r="F68" i="1"/>
  <c r="E68" i="1"/>
  <c r="D68" i="1"/>
  <c r="C68" i="1"/>
  <c r="M67" i="1"/>
  <c r="L67" i="1"/>
  <c r="K67" i="1"/>
  <c r="J67" i="1"/>
  <c r="I67" i="1"/>
  <c r="H67" i="1"/>
  <c r="G67" i="1"/>
  <c r="F67" i="1"/>
  <c r="E67" i="1"/>
  <c r="D67" i="1"/>
  <c r="C67" i="1"/>
  <c r="M66" i="1"/>
  <c r="L66" i="1"/>
  <c r="K66" i="1"/>
  <c r="J66" i="1"/>
  <c r="I66" i="1"/>
  <c r="H66" i="1"/>
  <c r="G66" i="1"/>
  <c r="F66" i="1"/>
  <c r="E66" i="1"/>
  <c r="D66" i="1"/>
  <c r="C66" i="1"/>
  <c r="M65" i="1"/>
  <c r="L65" i="1"/>
  <c r="K65" i="1"/>
  <c r="J65" i="1"/>
  <c r="I65" i="1"/>
  <c r="H65" i="1"/>
  <c r="G65" i="1"/>
  <c r="F65" i="1"/>
  <c r="E65" i="1"/>
  <c r="D65" i="1"/>
  <c r="C65" i="1"/>
  <c r="M64" i="1"/>
  <c r="L64" i="1"/>
  <c r="K64" i="1"/>
  <c r="J64" i="1"/>
  <c r="I64" i="1"/>
  <c r="H64" i="1"/>
  <c r="G64" i="1"/>
  <c r="F64" i="1"/>
  <c r="E64" i="1"/>
  <c r="D64" i="1"/>
  <c r="C64" i="1"/>
  <c r="M63" i="1"/>
  <c r="L63" i="1"/>
  <c r="K63" i="1"/>
  <c r="J63" i="1"/>
  <c r="I63" i="1"/>
  <c r="H63" i="1"/>
  <c r="G63" i="1"/>
  <c r="F63" i="1"/>
  <c r="E63" i="1"/>
  <c r="D63" i="1"/>
  <c r="C63" i="1"/>
  <c r="M62" i="1"/>
  <c r="L62" i="1"/>
  <c r="K62" i="1"/>
  <c r="J62" i="1"/>
  <c r="I62" i="1"/>
  <c r="H62" i="1"/>
  <c r="G62" i="1"/>
  <c r="F62" i="1"/>
  <c r="E62" i="1"/>
  <c r="D62" i="1"/>
  <c r="C62" i="1"/>
  <c r="M61" i="1"/>
  <c r="L61" i="1"/>
  <c r="K61" i="1"/>
  <c r="J61" i="1"/>
  <c r="I61" i="1"/>
  <c r="H61" i="1"/>
  <c r="G61" i="1"/>
  <c r="F61" i="1"/>
  <c r="E61" i="1"/>
  <c r="D61" i="1"/>
  <c r="C61" i="1"/>
  <c r="M60" i="1"/>
  <c r="L60" i="1"/>
  <c r="K60" i="1"/>
  <c r="J60" i="1"/>
  <c r="I60" i="1"/>
  <c r="H60" i="1"/>
  <c r="G60" i="1"/>
  <c r="F60" i="1"/>
  <c r="E60" i="1"/>
  <c r="D60" i="1"/>
  <c r="C60" i="1"/>
  <c r="M59" i="1"/>
  <c r="L59" i="1"/>
  <c r="K59" i="1"/>
  <c r="J59" i="1"/>
  <c r="I59" i="1"/>
  <c r="H59" i="1"/>
  <c r="G59" i="1"/>
  <c r="F59" i="1"/>
  <c r="E59" i="1"/>
  <c r="D59" i="1"/>
  <c r="C59" i="1"/>
  <c r="M58" i="1"/>
  <c r="L58" i="1"/>
  <c r="K58" i="1"/>
  <c r="J58" i="1"/>
  <c r="I58" i="1"/>
  <c r="H58" i="1"/>
  <c r="G58" i="1"/>
  <c r="F58" i="1"/>
  <c r="E58" i="1"/>
  <c r="D58" i="1"/>
  <c r="C58" i="1"/>
  <c r="M57" i="1"/>
  <c r="L57" i="1"/>
  <c r="K57" i="1"/>
  <c r="J57" i="1"/>
  <c r="I57" i="1"/>
  <c r="H57" i="1"/>
  <c r="G57" i="1"/>
  <c r="F57" i="1"/>
  <c r="E57" i="1"/>
  <c r="D57" i="1"/>
  <c r="C57" i="1"/>
  <c r="M56" i="1"/>
  <c r="L56" i="1"/>
  <c r="K56" i="1"/>
  <c r="J56" i="1"/>
  <c r="I56" i="1"/>
  <c r="H56" i="1"/>
  <c r="G56" i="1"/>
  <c r="F56" i="1"/>
  <c r="E56" i="1"/>
  <c r="D56" i="1"/>
  <c r="C56" i="1"/>
  <c r="M55" i="1"/>
  <c r="L55" i="1"/>
  <c r="K55" i="1"/>
  <c r="J55" i="1"/>
  <c r="I55" i="1"/>
  <c r="H55" i="1"/>
  <c r="G55" i="1"/>
  <c r="F55" i="1"/>
  <c r="E55" i="1"/>
  <c r="D55" i="1"/>
  <c r="C55" i="1"/>
  <c r="M54" i="1"/>
  <c r="L54" i="1"/>
  <c r="K54" i="1"/>
  <c r="J54" i="1"/>
  <c r="I54" i="1"/>
  <c r="H54" i="1"/>
  <c r="G54" i="1"/>
  <c r="F54" i="1"/>
  <c r="E54" i="1"/>
  <c r="D54" i="1"/>
  <c r="C54" i="1"/>
  <c r="M53" i="1"/>
  <c r="L53" i="1"/>
  <c r="K53" i="1"/>
  <c r="J53" i="1"/>
  <c r="I53" i="1"/>
  <c r="H53" i="1"/>
  <c r="G53" i="1"/>
  <c r="F53" i="1"/>
  <c r="E53" i="1"/>
  <c r="D53" i="1"/>
  <c r="C53" i="1"/>
  <c r="M52" i="1"/>
  <c r="L52" i="1"/>
  <c r="K52" i="1"/>
  <c r="J52" i="1"/>
  <c r="I52" i="1"/>
  <c r="H52" i="1"/>
  <c r="G52" i="1"/>
  <c r="F52" i="1"/>
  <c r="E52" i="1"/>
  <c r="D52" i="1"/>
  <c r="C52" i="1"/>
  <c r="M51" i="1"/>
  <c r="L51" i="1"/>
  <c r="K51" i="1"/>
  <c r="J51" i="1"/>
  <c r="I51" i="1"/>
  <c r="H51" i="1"/>
  <c r="G51" i="1"/>
  <c r="F51" i="1"/>
  <c r="E51" i="1"/>
  <c r="D51" i="1"/>
  <c r="C51" i="1"/>
  <c r="M50" i="1"/>
  <c r="L50" i="1"/>
  <c r="K50" i="1"/>
  <c r="J50" i="1"/>
  <c r="I50" i="1"/>
  <c r="H50" i="1"/>
  <c r="G50" i="1"/>
  <c r="F50" i="1"/>
  <c r="E50" i="1"/>
  <c r="D50" i="1"/>
  <c r="C50" i="1"/>
  <c r="M49" i="1"/>
  <c r="L49" i="1"/>
  <c r="K49" i="1"/>
  <c r="J49" i="1"/>
  <c r="I49" i="1"/>
  <c r="H49" i="1"/>
  <c r="G49" i="1"/>
  <c r="F49" i="1"/>
  <c r="E49" i="1"/>
  <c r="D49" i="1"/>
  <c r="C49" i="1"/>
  <c r="M48" i="1"/>
  <c r="L48" i="1"/>
  <c r="K48" i="1"/>
  <c r="J48" i="1"/>
  <c r="I48" i="1"/>
  <c r="H48" i="1"/>
  <c r="G48" i="1"/>
  <c r="F48" i="1"/>
  <c r="E48" i="1"/>
  <c r="D48" i="1"/>
  <c r="C48" i="1"/>
  <c r="M47" i="1"/>
  <c r="L47" i="1"/>
  <c r="K47" i="1"/>
  <c r="J47" i="1"/>
  <c r="I47" i="1"/>
  <c r="H47" i="1"/>
  <c r="G47" i="1"/>
  <c r="F47" i="1"/>
  <c r="E47" i="1"/>
  <c r="D47" i="1"/>
  <c r="C47" i="1"/>
  <c r="M46" i="1"/>
  <c r="L46" i="1"/>
  <c r="K46" i="1"/>
  <c r="J46" i="1"/>
  <c r="I46" i="1"/>
  <c r="H46" i="1"/>
  <c r="G46" i="1"/>
  <c r="F46" i="1"/>
  <c r="E46" i="1"/>
  <c r="D46" i="1"/>
  <c r="C46" i="1"/>
  <c r="M45" i="1"/>
  <c r="L45" i="1"/>
  <c r="K45" i="1"/>
  <c r="J45" i="1"/>
  <c r="I45" i="1"/>
  <c r="H45" i="1"/>
  <c r="G45" i="1"/>
  <c r="F45" i="1"/>
  <c r="E45" i="1"/>
  <c r="D45" i="1"/>
  <c r="C45" i="1"/>
  <c r="M44" i="1"/>
  <c r="L44" i="1"/>
  <c r="K44" i="1"/>
  <c r="J44" i="1"/>
  <c r="I44" i="1"/>
  <c r="H44" i="1"/>
  <c r="G44" i="1"/>
  <c r="F44" i="1"/>
  <c r="E44" i="1"/>
  <c r="D44" i="1"/>
  <c r="C44" i="1"/>
  <c r="M43" i="1"/>
  <c r="L43" i="1"/>
  <c r="K43" i="1"/>
  <c r="J43" i="1"/>
  <c r="I43" i="1"/>
  <c r="H43" i="1"/>
  <c r="G43" i="1"/>
  <c r="F43" i="1"/>
  <c r="E43" i="1"/>
  <c r="D43" i="1"/>
  <c r="C43" i="1"/>
  <c r="M42" i="1"/>
  <c r="L42" i="1"/>
  <c r="K42" i="1"/>
  <c r="J42" i="1"/>
  <c r="I42" i="1"/>
  <c r="H42" i="1"/>
  <c r="G42" i="1"/>
  <c r="F42" i="1"/>
  <c r="E42" i="1"/>
  <c r="D42" i="1"/>
  <c r="C42" i="1"/>
  <c r="M41" i="1"/>
  <c r="L41" i="1"/>
  <c r="K41" i="1"/>
  <c r="J41" i="1"/>
  <c r="I41" i="1"/>
  <c r="H41" i="1"/>
  <c r="G41" i="1"/>
  <c r="F41" i="1"/>
  <c r="E41" i="1"/>
  <c r="D41" i="1"/>
  <c r="C41" i="1"/>
  <c r="M40" i="1"/>
  <c r="L40" i="1"/>
  <c r="K40" i="1"/>
  <c r="J40" i="1"/>
  <c r="I40" i="1"/>
  <c r="H40" i="1"/>
  <c r="G40" i="1"/>
  <c r="F40" i="1"/>
  <c r="E40" i="1"/>
  <c r="D40" i="1"/>
  <c r="C40" i="1"/>
  <c r="M39" i="1"/>
  <c r="L39" i="1"/>
  <c r="K39" i="1"/>
  <c r="J39" i="1"/>
  <c r="I39" i="1"/>
  <c r="H39" i="1"/>
  <c r="G39" i="1"/>
  <c r="F39" i="1"/>
  <c r="E39" i="1"/>
  <c r="D39" i="1"/>
  <c r="C39" i="1"/>
  <c r="M38" i="1"/>
  <c r="L38" i="1"/>
  <c r="K38" i="1"/>
  <c r="J38" i="1"/>
  <c r="I38" i="1"/>
  <c r="H38" i="1"/>
  <c r="G38" i="1"/>
  <c r="F38" i="1"/>
  <c r="E38" i="1"/>
  <c r="D38" i="1"/>
  <c r="C38" i="1"/>
  <c r="M37" i="1"/>
  <c r="L37" i="1"/>
  <c r="K37" i="1"/>
  <c r="J37" i="1"/>
  <c r="I37" i="1"/>
  <c r="H37" i="1"/>
  <c r="G37" i="1"/>
  <c r="F37" i="1"/>
  <c r="E37" i="1"/>
  <c r="D37" i="1"/>
  <c r="C37" i="1"/>
  <c r="M36" i="1"/>
  <c r="L36" i="1"/>
  <c r="K36" i="1"/>
  <c r="J36" i="1"/>
  <c r="I36" i="1"/>
  <c r="H36" i="1"/>
  <c r="G36" i="1"/>
  <c r="F36" i="1"/>
  <c r="E36" i="1"/>
  <c r="D36" i="1"/>
  <c r="C36" i="1"/>
  <c r="M35" i="1"/>
  <c r="L35" i="1"/>
  <c r="K35" i="1"/>
  <c r="J35" i="1"/>
  <c r="I35" i="1"/>
  <c r="H35" i="1"/>
  <c r="G35" i="1"/>
  <c r="F35" i="1"/>
  <c r="E35" i="1"/>
  <c r="D35" i="1"/>
  <c r="C35" i="1"/>
  <c r="M34" i="1"/>
  <c r="L34" i="1"/>
  <c r="K34" i="1"/>
  <c r="J34" i="1"/>
  <c r="I34" i="1"/>
  <c r="H34" i="1"/>
  <c r="G34" i="1"/>
  <c r="F34" i="1"/>
  <c r="E34" i="1"/>
  <c r="D34" i="1"/>
  <c r="C34" i="1"/>
  <c r="M33" i="1"/>
  <c r="L33" i="1"/>
  <c r="K33" i="1"/>
  <c r="J33" i="1"/>
  <c r="I33" i="1"/>
  <c r="H33" i="1"/>
  <c r="G33" i="1"/>
  <c r="F33" i="1"/>
  <c r="E33" i="1"/>
  <c r="D33" i="1"/>
  <c r="C33" i="1"/>
  <c r="M32" i="1"/>
  <c r="L32" i="1"/>
  <c r="K32" i="1"/>
  <c r="J32" i="1"/>
  <c r="I32" i="1"/>
  <c r="H32" i="1"/>
  <c r="G32" i="1"/>
  <c r="F32" i="1"/>
  <c r="E32" i="1"/>
  <c r="D32" i="1"/>
  <c r="C32" i="1"/>
  <c r="M31" i="1"/>
  <c r="L31" i="1"/>
  <c r="K31" i="1"/>
  <c r="J31" i="1"/>
  <c r="I31" i="1"/>
  <c r="H31" i="1"/>
  <c r="G31" i="1"/>
  <c r="F31" i="1"/>
  <c r="E31" i="1"/>
  <c r="D31" i="1"/>
  <c r="C31" i="1"/>
  <c r="M30" i="1"/>
  <c r="L30" i="1"/>
  <c r="K30" i="1"/>
  <c r="J30" i="1"/>
  <c r="I30" i="1"/>
  <c r="H30" i="1"/>
  <c r="G30" i="1"/>
  <c r="F30" i="1"/>
  <c r="E30" i="1"/>
  <c r="D30" i="1"/>
  <c r="C30" i="1"/>
  <c r="M29" i="1"/>
  <c r="L29" i="1"/>
  <c r="K29" i="1"/>
  <c r="J29" i="1"/>
  <c r="I29" i="1"/>
  <c r="H29" i="1"/>
  <c r="G29" i="1"/>
  <c r="F29" i="1"/>
  <c r="E29" i="1"/>
  <c r="D29" i="1"/>
  <c r="C29" i="1"/>
  <c r="M28" i="1"/>
  <c r="L28" i="1"/>
  <c r="K28" i="1"/>
  <c r="J28" i="1"/>
  <c r="I28" i="1"/>
  <c r="H28" i="1"/>
  <c r="G28" i="1"/>
  <c r="F28" i="1"/>
  <c r="E28" i="1"/>
  <c r="D28" i="1"/>
  <c r="C28" i="1"/>
  <c r="M27" i="1"/>
  <c r="L27" i="1"/>
  <c r="K27" i="1"/>
  <c r="J27" i="1"/>
  <c r="I27" i="1"/>
  <c r="H27" i="1"/>
  <c r="G27" i="1"/>
  <c r="F27" i="1"/>
  <c r="E27" i="1"/>
  <c r="D27" i="1"/>
  <c r="C27" i="1"/>
  <c r="M26" i="1"/>
  <c r="L26" i="1"/>
  <c r="K26" i="1"/>
  <c r="J26" i="1"/>
  <c r="I26" i="1"/>
  <c r="H26" i="1"/>
  <c r="G26" i="1"/>
  <c r="F26" i="1"/>
  <c r="E26" i="1"/>
  <c r="D26" i="1"/>
  <c r="C26" i="1"/>
  <c r="M25" i="1"/>
  <c r="L25" i="1"/>
  <c r="K25" i="1"/>
  <c r="J25" i="1"/>
  <c r="I25" i="1"/>
  <c r="H25" i="1"/>
  <c r="G25" i="1"/>
  <c r="F25" i="1"/>
  <c r="E25" i="1"/>
  <c r="D25" i="1"/>
  <c r="C25" i="1"/>
  <c r="M24" i="1"/>
  <c r="L24" i="1"/>
  <c r="K24" i="1"/>
  <c r="J24" i="1"/>
  <c r="I24" i="1"/>
  <c r="H24" i="1"/>
  <c r="G24" i="1"/>
  <c r="F24" i="1"/>
  <c r="E24" i="1"/>
  <c r="D24" i="1"/>
  <c r="C24" i="1"/>
  <c r="M23" i="1"/>
  <c r="L23" i="1"/>
  <c r="K23" i="1"/>
  <c r="J23" i="1"/>
  <c r="I23" i="1"/>
  <c r="H23" i="1"/>
  <c r="G23" i="1"/>
  <c r="F23" i="1"/>
  <c r="E23" i="1"/>
  <c r="D23" i="1"/>
  <c r="C23" i="1"/>
  <c r="M22" i="1"/>
  <c r="L22" i="1"/>
  <c r="K22" i="1"/>
  <c r="J22" i="1"/>
  <c r="I22" i="1"/>
  <c r="H22" i="1"/>
  <c r="G22" i="1"/>
  <c r="F22" i="1"/>
  <c r="E22" i="1"/>
  <c r="D22" i="1"/>
  <c r="C22" i="1"/>
  <c r="M21" i="1"/>
  <c r="L21" i="1"/>
  <c r="K21" i="1"/>
  <c r="J21" i="1"/>
  <c r="I21" i="1"/>
  <c r="H21" i="1"/>
  <c r="G21" i="1"/>
  <c r="F21" i="1"/>
  <c r="E21" i="1"/>
  <c r="D21" i="1"/>
  <c r="C21" i="1"/>
  <c r="M20" i="1"/>
  <c r="L20" i="1"/>
  <c r="K20" i="1"/>
  <c r="J20" i="1"/>
  <c r="I20" i="1"/>
  <c r="H20" i="1"/>
  <c r="G20" i="1"/>
  <c r="F20" i="1"/>
  <c r="E20" i="1"/>
  <c r="D20" i="1"/>
  <c r="C20" i="1"/>
  <c r="M19" i="1"/>
  <c r="L19" i="1"/>
  <c r="K19" i="1"/>
  <c r="J19" i="1"/>
  <c r="I19" i="1"/>
  <c r="H19" i="1"/>
  <c r="G19" i="1"/>
  <c r="F19" i="1"/>
  <c r="E19" i="1"/>
  <c r="D19" i="1"/>
  <c r="C19" i="1"/>
  <c r="M18" i="1"/>
  <c r="L18" i="1"/>
  <c r="K18" i="1"/>
  <c r="J18" i="1"/>
  <c r="I18" i="1"/>
  <c r="H18" i="1"/>
  <c r="G18" i="1"/>
  <c r="F18" i="1"/>
  <c r="E18" i="1"/>
  <c r="D18" i="1"/>
  <c r="C18" i="1"/>
  <c r="M17" i="1"/>
  <c r="L17" i="1"/>
  <c r="K17" i="1"/>
  <c r="J17" i="1"/>
  <c r="I17" i="1"/>
  <c r="H17" i="1"/>
  <c r="G17" i="1"/>
  <c r="F17" i="1"/>
  <c r="E17" i="1"/>
  <c r="D17" i="1"/>
  <c r="C17" i="1"/>
  <c r="M16" i="1"/>
  <c r="L16" i="1"/>
  <c r="K16" i="1"/>
  <c r="J16" i="1"/>
  <c r="I16" i="1"/>
  <c r="H16" i="1"/>
  <c r="G16" i="1"/>
  <c r="F16" i="1"/>
  <c r="E16" i="1"/>
  <c r="D16" i="1"/>
  <c r="C16" i="1"/>
  <c r="M15" i="1"/>
  <c r="L15" i="1"/>
  <c r="K15" i="1"/>
  <c r="J15" i="1"/>
  <c r="I15" i="1"/>
  <c r="H15" i="1"/>
  <c r="G15" i="1"/>
  <c r="F15" i="1"/>
  <c r="E15" i="1"/>
  <c r="D15" i="1"/>
  <c r="C15" i="1"/>
  <c r="M14" i="1"/>
  <c r="L14" i="1"/>
  <c r="K14" i="1"/>
  <c r="J14" i="1"/>
  <c r="I14" i="1"/>
  <c r="H14" i="1"/>
  <c r="G14" i="1"/>
  <c r="F14" i="1"/>
  <c r="E14" i="1"/>
  <c r="D14" i="1"/>
  <c r="C14" i="1"/>
  <c r="M13" i="1"/>
  <c r="L13" i="1"/>
  <c r="K13" i="1"/>
  <c r="J13" i="1"/>
  <c r="I13" i="1"/>
  <c r="H13" i="1"/>
  <c r="G13" i="1"/>
  <c r="F13" i="1"/>
  <c r="E13" i="1"/>
  <c r="D13" i="1"/>
  <c r="C13" i="1"/>
  <c r="M12" i="1"/>
  <c r="L12" i="1"/>
  <c r="K12" i="1"/>
  <c r="J12" i="1"/>
  <c r="I12" i="1"/>
  <c r="H12" i="1"/>
  <c r="G12" i="1"/>
  <c r="F12" i="1"/>
  <c r="E12" i="1"/>
  <c r="D12" i="1"/>
  <c r="C12" i="1"/>
  <c r="M11" i="1"/>
  <c r="L11" i="1"/>
  <c r="K11" i="1"/>
  <c r="J11" i="1"/>
  <c r="I11" i="1"/>
  <c r="H11" i="1"/>
  <c r="G11" i="1"/>
  <c r="F11" i="1"/>
  <c r="E11" i="1"/>
  <c r="D11" i="1"/>
  <c r="C11" i="1"/>
  <c r="M10" i="1"/>
  <c r="L10" i="1"/>
  <c r="K10" i="1"/>
  <c r="J10" i="1"/>
  <c r="I10" i="1"/>
  <c r="H10" i="1"/>
  <c r="G10" i="1"/>
  <c r="F10" i="1"/>
  <c r="E10" i="1"/>
  <c r="D10" i="1"/>
  <c r="C10" i="1"/>
  <c r="M9" i="1"/>
  <c r="L9" i="1"/>
  <c r="K9" i="1"/>
  <c r="J9" i="1"/>
  <c r="I9" i="1"/>
  <c r="H9" i="1"/>
  <c r="G9" i="1"/>
  <c r="F9" i="1"/>
  <c r="E9" i="1"/>
  <c r="D9" i="1"/>
  <c r="C9" i="1"/>
  <c r="M8" i="1"/>
  <c r="L8" i="1"/>
  <c r="K8" i="1"/>
  <c r="J8" i="1"/>
  <c r="I8" i="1"/>
  <c r="H8" i="1"/>
  <c r="G8" i="1"/>
  <c r="F8" i="1"/>
  <c r="E8" i="1"/>
  <c r="D8" i="1"/>
  <c r="C8" i="1"/>
  <c r="M7" i="1"/>
  <c r="L7" i="1"/>
  <c r="K7" i="1"/>
  <c r="J7" i="1"/>
  <c r="I7" i="1"/>
  <c r="H7" i="1"/>
  <c r="G7" i="1"/>
  <c r="F7" i="1"/>
  <c r="E7" i="1"/>
  <c r="D7" i="1"/>
  <c r="C7" i="1"/>
  <c r="M6" i="1"/>
  <c r="L6" i="1"/>
  <c r="K6" i="1"/>
  <c r="J6" i="1"/>
  <c r="I6" i="1"/>
  <c r="H6" i="1"/>
  <c r="G6" i="1"/>
  <c r="F6" i="1"/>
  <c r="E6" i="1"/>
  <c r="D6" i="1"/>
  <c r="C6" i="1"/>
  <c r="M5" i="1"/>
  <c r="L5" i="1"/>
  <c r="K5" i="1"/>
  <c r="J5" i="1"/>
  <c r="I5" i="1"/>
  <c r="H5" i="1"/>
  <c r="G5" i="1"/>
  <c r="F5" i="1"/>
  <c r="E5" i="1"/>
  <c r="D5" i="1"/>
  <c r="C5" i="1"/>
  <c r="M4" i="1"/>
  <c r="L4" i="1"/>
  <c r="K4" i="1"/>
  <c r="J4" i="1"/>
  <c r="I4" i="1"/>
  <c r="H4" i="1"/>
  <c r="G4" i="1"/>
  <c r="F4" i="1"/>
  <c r="E4" i="1"/>
  <c r="D4" i="1"/>
  <c r="C4" i="1"/>
  <c r="M3" i="1"/>
  <c r="L3" i="1"/>
  <c r="K3" i="1"/>
  <c r="J3" i="1"/>
  <c r="I3" i="1"/>
  <c r="H3" i="1"/>
  <c r="G3" i="1"/>
  <c r="F3" i="1"/>
  <c r="E3" i="1"/>
  <c r="D3" i="1"/>
  <c r="C3" i="1"/>
  <c r="U2" i="1" a="1"/>
  <c r="M2" i="1"/>
  <c r="L2" i="1"/>
  <c r="K2" i="1"/>
  <c r="J2" i="1"/>
  <c r="I2" i="1"/>
  <c r="H2" i="1"/>
  <c r="G2" i="1"/>
  <c r="F2" i="1"/>
  <c r="E2" i="1"/>
  <c r="D2" i="1"/>
  <c r="C2" i="1"/>
  <c r="A2" i="2" l="1"/>
  <c r="A8813" i="2"/>
  <c r="A8814" i="2" s="1"/>
  <c r="A8815" i="2" s="1"/>
  <c r="A8816" i="2" s="1"/>
  <c r="A8817" i="2" s="1"/>
  <c r="A8818" i="2" s="1"/>
  <c r="A8819" i="2" s="1"/>
  <c r="A8820" i="2" s="1"/>
  <c r="A8821" i="2" s="1"/>
  <c r="A8822" i="2" s="1"/>
  <c r="A8823" i="2" s="1"/>
  <c r="A8824" i="2" s="1"/>
  <c r="A8825" i="2" s="1"/>
  <c r="A8826" i="2" s="1"/>
  <c r="A8827" i="2" s="1"/>
  <c r="A8828" i="2" s="1"/>
  <c r="A8829" i="2" s="1"/>
  <c r="A8830" i="2" s="1"/>
  <c r="A8831" i="2" s="1"/>
  <c r="A8832" i="2" s="1"/>
  <c r="A8833" i="2" s="1"/>
  <c r="A8834" i="2" s="1"/>
  <c r="A8835" i="2" s="1"/>
  <c r="A8836" i="2" s="1"/>
  <c r="A8837" i="2" s="1"/>
  <c r="A8838" i="2" s="1"/>
  <c r="A8839" i="2" s="1"/>
  <c r="A8840" i="2" s="1"/>
  <c r="A8841" i="2" s="1"/>
  <c r="A8842" i="2" s="1"/>
  <c r="A8843" i="2" s="1"/>
  <c r="A8844" i="2" s="1"/>
  <c r="A8845" i="2" s="1"/>
  <c r="A8846" i="2" s="1"/>
  <c r="A8847" i="2" s="1"/>
  <c r="A8848" i="2" s="1"/>
  <c r="A8849" i="2" s="1"/>
  <c r="A8850" i="2" s="1"/>
  <c r="A8851" i="2" s="1"/>
  <c r="A8852" i="2" s="1"/>
  <c r="A8853" i="2" s="1"/>
  <c r="A8854" i="2" s="1"/>
  <c r="A8855" i="2" s="1"/>
  <c r="A8856" i="2" s="1"/>
  <c r="A8857" i="2" s="1"/>
  <c r="A8858" i="2" s="1"/>
  <c r="A8859" i="2" s="1"/>
  <c r="A8860" i="2" s="1"/>
  <c r="A8861" i="2" s="1"/>
  <c r="A8862" i="2" s="1"/>
  <c r="A8863" i="2" s="1"/>
  <c r="A8864" i="2" s="1"/>
  <c r="A8865" i="2" s="1"/>
  <c r="A8866" i="2" s="1"/>
  <c r="A8867" i="2" s="1"/>
  <c r="A8868" i="2" s="1"/>
  <c r="A8869" i="2" s="1"/>
  <c r="A8870" i="2" s="1"/>
  <c r="A8871" i="2" s="1"/>
  <c r="A8872" i="2" s="1"/>
  <c r="A8873" i="2" s="1"/>
  <c r="A8874" i="2" s="1"/>
  <c r="A8875" i="2" s="1"/>
  <c r="A8876" i="2" s="1"/>
  <c r="A8877" i="2" s="1"/>
  <c r="A8878" i="2" s="1"/>
  <c r="A8879" i="2" s="1"/>
  <c r="A8880" i="2" s="1"/>
  <c r="A8881" i="2" s="1"/>
  <c r="A8882" i="2" s="1"/>
  <c r="A8883" i="2" s="1"/>
  <c r="A8884" i="2" s="1"/>
  <c r="A8885" i="2" s="1"/>
  <c r="A8886" i="2" s="1"/>
  <c r="A8887" i="2" s="1"/>
  <c r="A8888" i="2" s="1"/>
  <c r="A8889" i="2" s="1"/>
  <c r="A8890" i="2" s="1"/>
  <c r="A8891" i="2" s="1"/>
  <c r="A8892" i="2" s="1"/>
  <c r="A8893" i="2" s="1"/>
  <c r="A8894" i="2" s="1"/>
  <c r="A8895" i="2" s="1"/>
  <c r="A8896" i="2" s="1"/>
  <c r="A8897" i="2" s="1"/>
  <c r="A8898" i="2" s="1"/>
  <c r="A8899" i="2" s="1"/>
  <c r="A8900" i="2" s="1"/>
  <c r="A8901" i="2" s="1"/>
  <c r="A8902" i="2" s="1"/>
  <c r="A8903" i="2" s="1"/>
  <c r="A8904" i="2" s="1"/>
  <c r="A8905" i="2" s="1"/>
  <c r="A8906" i="2" s="1"/>
  <c r="A8907" i="2" s="1"/>
  <c r="A8908" i="2" s="1"/>
  <c r="A8909" i="2" s="1"/>
  <c r="A8910" i="2" s="1"/>
  <c r="A8911" i="2" s="1"/>
  <c r="A8912" i="2" s="1"/>
  <c r="A8913" i="2" s="1"/>
  <c r="A8914" i="2" s="1"/>
  <c r="A8915" i="2" s="1"/>
  <c r="A8916" i="2" s="1"/>
  <c r="A8917" i="2" s="1"/>
  <c r="A8918" i="2" s="1"/>
  <c r="A8919" i="2" s="1"/>
  <c r="A8920" i="2" s="1"/>
  <c r="A8921" i="2" s="1"/>
  <c r="A8922" i="2" s="1"/>
  <c r="A8923" i="2" s="1"/>
  <c r="A8924" i="2" s="1"/>
  <c r="A8925" i="2" s="1"/>
  <c r="A8926" i="2" s="1"/>
  <c r="A8927" i="2" s="1"/>
  <c r="A8928" i="2" s="1"/>
  <c r="A8929" i="2" s="1"/>
  <c r="A8930" i="2" s="1"/>
  <c r="A8931" i="2" s="1"/>
  <c r="A8932" i="2" s="1"/>
  <c r="A8933" i="2" s="1"/>
  <c r="A8934" i="2" s="1"/>
  <c r="A8935" i="2" s="1"/>
  <c r="A8936" i="2" s="1"/>
  <c r="A8937" i="2" s="1"/>
  <c r="A8938" i="2" s="1"/>
  <c r="A8939" i="2" s="1"/>
  <c r="A8940" i="2" s="1"/>
  <c r="A8941" i="2" s="1"/>
  <c r="A8942" i="2" s="1"/>
  <c r="A8943" i="2" s="1"/>
  <c r="A8944" i="2" s="1"/>
  <c r="A8945" i="2" s="1"/>
  <c r="A8946" i="2" s="1"/>
  <c r="A8947" i="2" s="1"/>
  <c r="A8948" i="2" s="1"/>
  <c r="A8949" i="2" s="1"/>
  <c r="A8950" i="2" s="1"/>
  <c r="A8951" i="2" s="1"/>
  <c r="A8952" i="2" s="1"/>
  <c r="A8953" i="2" s="1"/>
  <c r="A8954" i="2" s="1"/>
  <c r="A8955" i="2" s="1"/>
  <c r="A8956" i="2" s="1"/>
  <c r="A8957" i="2" s="1"/>
  <c r="A8958" i="2" s="1"/>
  <c r="A8959" i="2" s="1"/>
  <c r="A8960" i="2" s="1"/>
  <c r="A8961" i="2" s="1"/>
  <c r="A8962" i="2" s="1"/>
  <c r="A8963" i="2" s="1"/>
  <c r="A8964" i="2" s="1"/>
  <c r="A8965" i="2" s="1"/>
  <c r="A8966" i="2" s="1"/>
  <c r="A8967" i="2" s="1"/>
  <c r="A8968" i="2" s="1"/>
  <c r="A8969" i="2" s="1"/>
  <c r="A8970" i="2" s="1"/>
  <c r="A8971" i="2" s="1"/>
  <c r="A8972" i="2" s="1"/>
  <c r="A8973" i="2" s="1"/>
  <c r="A8974" i="2" s="1"/>
  <c r="A8975" i="2" s="1"/>
  <c r="A8976" i="2" s="1"/>
  <c r="A8977" i="2" s="1"/>
  <c r="A8978" i="2" s="1"/>
  <c r="A8979" i="2" s="1"/>
  <c r="A8980" i="2" s="1"/>
  <c r="A8981" i="2" s="1"/>
  <c r="A8982" i="2" s="1"/>
  <c r="A8983" i="2" s="1"/>
  <c r="A8984" i="2" s="1"/>
  <c r="A8985" i="2" s="1"/>
  <c r="A8986" i="2" s="1"/>
  <c r="A8987" i="2" s="1"/>
  <c r="A8988" i="2" s="1"/>
  <c r="A8989" i="2" s="1"/>
  <c r="A8990" i="2" s="1"/>
  <c r="A8991" i="2" s="1"/>
  <c r="A8992" i="2" s="1"/>
  <c r="A8993" i="2" s="1"/>
  <c r="A8994" i="2" s="1"/>
  <c r="A8995" i="2" s="1"/>
  <c r="A8996" i="2" s="1"/>
  <c r="A8997" i="2" s="1"/>
  <c r="A8998" i="2" s="1"/>
  <c r="A8999" i="2" s="1"/>
  <c r="A9000" i="2" s="1"/>
  <c r="A9001" i="2" s="1"/>
  <c r="A9002" i="2" s="1"/>
  <c r="A9003" i="2" s="1"/>
  <c r="A9004" i="2" s="1"/>
  <c r="A9005" i="2" s="1"/>
  <c r="A9006" i="2" s="1"/>
  <c r="A9007" i="2" s="1"/>
  <c r="A9008" i="2" s="1"/>
  <c r="A9009" i="2" s="1"/>
  <c r="A9010" i="2" s="1"/>
  <c r="A9011" i="2" s="1"/>
  <c r="A9012" i="2" s="1"/>
  <c r="A9013" i="2" s="1"/>
  <c r="A9014" i="2" s="1"/>
  <c r="A9015" i="2" s="1"/>
  <c r="A9016" i="2" s="1"/>
  <c r="A9017" i="2" s="1"/>
  <c r="A9018" i="2" s="1"/>
  <c r="A9019" i="2" s="1"/>
  <c r="A9020" i="2" s="1"/>
  <c r="A9021" i="2" s="1"/>
  <c r="A9022" i="2" s="1"/>
  <c r="A9023" i="2" s="1"/>
  <c r="A9024" i="2" s="1"/>
  <c r="A9025" i="2" s="1"/>
  <c r="A9026" i="2" s="1"/>
  <c r="A9027" i="2" s="1"/>
  <c r="A9028" i="2" s="1"/>
  <c r="A9029" i="2" s="1"/>
  <c r="A9030" i="2" s="1"/>
  <c r="A9031" i="2" s="1"/>
  <c r="A9032" i="2" s="1"/>
  <c r="A9033" i="2" s="1"/>
  <c r="A9034" i="2" s="1"/>
  <c r="A9035" i="2" s="1"/>
  <c r="A9036" i="2" s="1"/>
  <c r="A9037" i="2" s="1"/>
  <c r="A9038" i="2" s="1"/>
  <c r="A9039" i="2" s="1"/>
  <c r="A9040" i="2" s="1"/>
  <c r="A9041" i="2" s="1"/>
  <c r="A9042" i="2" s="1"/>
  <c r="A9043" i="2" s="1"/>
  <c r="A9044" i="2" s="1"/>
  <c r="A9045" i="2" s="1"/>
  <c r="A9046" i="2" s="1"/>
  <c r="A9047" i="2" s="1"/>
  <c r="A9048" i="2" s="1"/>
  <c r="A9049" i="2" s="1"/>
  <c r="A9050" i="2" s="1"/>
  <c r="A9051" i="2" s="1"/>
  <c r="A9052" i="2" s="1"/>
  <c r="A9053" i="2" s="1"/>
  <c r="A9054" i="2" s="1"/>
  <c r="A9055" i="2" s="1"/>
  <c r="A9056" i="2" s="1"/>
  <c r="A9057" i="2" s="1"/>
  <c r="A9058" i="2" s="1"/>
  <c r="A9059" i="2" s="1"/>
  <c r="A9060" i="2" s="1"/>
  <c r="A9061" i="2" s="1"/>
  <c r="A9062" i="2" s="1"/>
  <c r="A9063" i="2" s="1"/>
  <c r="A9064" i="2" s="1"/>
  <c r="A9065" i="2" s="1"/>
  <c r="A9066" i="2" s="1"/>
  <c r="A9067" i="2" s="1"/>
  <c r="A9068" i="2" s="1"/>
  <c r="A9069" i="2" s="1"/>
  <c r="A9070" i="2" s="1"/>
  <c r="A9071" i="2" s="1"/>
  <c r="A9072" i="2" s="1"/>
  <c r="A9073" i="2" s="1"/>
  <c r="A9074" i="2" s="1"/>
  <c r="A9075" i="2" s="1"/>
  <c r="A9076" i="2" s="1"/>
  <c r="A9077" i="2" s="1"/>
  <c r="A9078" i="2" s="1"/>
  <c r="A9079" i="2" s="1"/>
  <c r="A9080" i="2" s="1"/>
  <c r="A9081" i="2" s="1"/>
  <c r="A9082" i="2" s="1"/>
  <c r="A9083" i="2" s="1"/>
  <c r="A9084" i="2" s="1"/>
  <c r="A9085" i="2" s="1"/>
  <c r="A9086" i="2" s="1"/>
  <c r="A9087" i="2" s="1"/>
  <c r="A9088" i="2" s="1"/>
  <c r="A9089" i="2" s="1"/>
  <c r="A9090" i="2" s="1"/>
  <c r="A9091" i="2" s="1"/>
  <c r="A9092" i="2" s="1"/>
  <c r="A9093" i="2" s="1"/>
  <c r="A9094" i="2" s="1"/>
  <c r="A9095" i="2" s="1"/>
  <c r="A9096" i="2" s="1"/>
  <c r="A9097" i="2" s="1"/>
  <c r="A9098" i="2" s="1"/>
  <c r="A9099" i="2" s="1"/>
  <c r="A9100" i="2" s="1"/>
  <c r="A9101" i="2" s="1"/>
  <c r="A9102" i="2" s="1"/>
  <c r="A9103" i="2" s="1"/>
  <c r="A9104" i="2" s="1"/>
  <c r="A9105" i="2" s="1"/>
  <c r="A9106" i="2" s="1"/>
  <c r="A9107" i="2" s="1"/>
  <c r="A9108" i="2" s="1"/>
  <c r="A9109" i="2" s="1"/>
  <c r="A9110" i="2" s="1"/>
  <c r="A9111" i="2" s="1"/>
  <c r="A9112" i="2" s="1"/>
  <c r="A9113" i="2" s="1"/>
  <c r="A9114" i="2" s="1"/>
  <c r="A9115" i="2" s="1"/>
  <c r="A9116" i="2" s="1"/>
  <c r="A9117" i="2" s="1"/>
  <c r="A9118" i="2" s="1"/>
  <c r="A9119" i="2" s="1"/>
  <c r="A9120" i="2" s="1"/>
  <c r="A9121" i="2" s="1"/>
  <c r="A9122" i="2" s="1"/>
  <c r="A9123" i="2" s="1"/>
  <c r="A9124" i="2" s="1"/>
  <c r="A9125" i="2" s="1"/>
  <c r="A9126" i="2" s="1"/>
  <c r="A9127" i="2" s="1"/>
  <c r="A9128" i="2" s="1"/>
  <c r="A9129" i="2" s="1"/>
  <c r="A9130" i="2" s="1"/>
  <c r="A9131" i="2" s="1"/>
  <c r="A9132" i="2" s="1"/>
  <c r="A9133" i="2" s="1"/>
  <c r="A9134" i="2" s="1"/>
  <c r="A9135" i="2" s="1"/>
  <c r="A9136" i="2" s="1"/>
  <c r="A9137" i="2" s="1"/>
  <c r="A9138" i="2" s="1"/>
  <c r="A9139" i="2" s="1"/>
  <c r="A9140" i="2" s="1"/>
  <c r="A9141" i="2" s="1"/>
  <c r="A9142" i="2" s="1"/>
  <c r="A9143" i="2" s="1"/>
  <c r="A9144" i="2" s="1"/>
  <c r="A9145" i="2" s="1"/>
  <c r="A9146" i="2" s="1"/>
  <c r="A9147" i="2" s="1"/>
  <c r="A9148" i="2" s="1"/>
  <c r="A9149" i="2" s="1"/>
  <c r="A9150" i="2" s="1"/>
  <c r="A9151" i="2" s="1"/>
  <c r="A9152" i="2" s="1"/>
  <c r="A9153" i="2" s="1"/>
  <c r="A9154" i="2" s="1"/>
  <c r="A9155" i="2" s="1"/>
  <c r="A9156" i="2" s="1"/>
  <c r="A9157" i="2" s="1"/>
  <c r="A9158" i="2" s="1"/>
  <c r="A9159" i="2" s="1"/>
  <c r="A9160" i="2" s="1"/>
  <c r="A9161" i="2" s="1"/>
  <c r="A9162" i="2" s="1"/>
  <c r="A9163" i="2" s="1"/>
  <c r="A9164" i="2" s="1"/>
  <c r="A9165" i="2" s="1"/>
  <c r="A9166" i="2" s="1"/>
  <c r="A9167" i="2" s="1"/>
  <c r="A9168" i="2" s="1"/>
  <c r="A9169" i="2" s="1"/>
  <c r="A9170" i="2" s="1"/>
  <c r="A9171" i="2" s="1"/>
  <c r="A9172" i="2" s="1"/>
  <c r="A9173" i="2" s="1"/>
  <c r="A9174" i="2" s="1"/>
  <c r="A9175" i="2" s="1"/>
  <c r="A9176" i="2" s="1"/>
  <c r="A9177" i="2" s="1"/>
  <c r="A9178" i="2" s="1"/>
  <c r="A9179" i="2" s="1"/>
  <c r="A9180" i="2" s="1"/>
  <c r="A9181" i="2" s="1"/>
  <c r="A9182" i="2" s="1"/>
  <c r="A9183" i="2" s="1"/>
  <c r="A9184" i="2" s="1"/>
  <c r="A9185" i="2" s="1"/>
  <c r="A9186" i="2" s="1"/>
  <c r="A9187" i="2" s="1"/>
  <c r="A9188" i="2" s="1"/>
  <c r="A9189" i="2" s="1"/>
  <c r="A9190" i="2" s="1"/>
  <c r="A9191" i="2" s="1"/>
  <c r="A9192" i="2" s="1"/>
  <c r="A9193" i="2" s="1"/>
  <c r="A9194" i="2" s="1"/>
  <c r="A9195" i="2" s="1"/>
  <c r="A9196" i="2" s="1"/>
  <c r="A9197" i="2" s="1"/>
  <c r="A9198" i="2" s="1"/>
  <c r="A9199" i="2" s="1"/>
  <c r="A9200" i="2" s="1"/>
  <c r="A9201" i="2" s="1"/>
  <c r="A9202" i="2" s="1"/>
  <c r="A9203" i="2" s="1"/>
  <c r="A9204" i="2" s="1"/>
  <c r="A9205" i="2" s="1"/>
  <c r="A9206" i="2" s="1"/>
  <c r="A9207" i="2" s="1"/>
  <c r="A9208" i="2" s="1"/>
  <c r="A9209" i="2" s="1"/>
  <c r="A9210" i="2" s="1"/>
  <c r="A9211" i="2" s="1"/>
  <c r="A9212" i="2" s="1"/>
  <c r="A9213" i="2" s="1"/>
  <c r="A9214" i="2" s="1"/>
  <c r="A9215" i="2" s="1"/>
  <c r="A9216" i="2" s="1"/>
  <c r="A9217" i="2" s="1"/>
  <c r="A9218" i="2" s="1"/>
  <c r="A9219" i="2" s="1"/>
  <c r="A9220" i="2" s="1"/>
  <c r="A9221" i="2" s="1"/>
  <c r="A9222" i="2" s="1"/>
  <c r="A9223" i="2" s="1"/>
  <c r="A9224" i="2" s="1"/>
  <c r="A9225" i="2" s="1"/>
  <c r="A9226" i="2" s="1"/>
  <c r="A9227" i="2" s="1"/>
  <c r="A9228" i="2" s="1"/>
  <c r="A9229" i="2" s="1"/>
  <c r="A9230" i="2" s="1"/>
  <c r="A9231" i="2" s="1"/>
  <c r="A9232" i="2" s="1"/>
  <c r="A9233" i="2" s="1"/>
  <c r="A9234" i="2" s="1"/>
  <c r="A9235" i="2" s="1"/>
  <c r="A9236" i="2" s="1"/>
  <c r="A9237" i="2" s="1"/>
  <c r="A9238" i="2" s="1"/>
  <c r="A9239" i="2" s="1"/>
  <c r="A9240" i="2" s="1"/>
  <c r="A9241" i="2" s="1"/>
  <c r="A9242" i="2" s="1"/>
  <c r="A9243" i="2" s="1"/>
  <c r="A9244" i="2" s="1"/>
  <c r="A9245" i="2" s="1"/>
  <c r="A9246" i="2" s="1"/>
  <c r="A9247" i="2" s="1"/>
  <c r="A9248" i="2" s="1"/>
  <c r="A9249" i="2" s="1"/>
  <c r="A9250" i="2" s="1"/>
  <c r="A9251" i="2" s="1"/>
  <c r="A9252" i="2" s="1"/>
  <c r="A9253" i="2" s="1"/>
  <c r="A9254" i="2" s="1"/>
  <c r="A9255" i="2" s="1"/>
  <c r="A9256" i="2" s="1"/>
  <c r="A9257" i="2" s="1"/>
  <c r="A9258" i="2" s="1"/>
  <c r="A9259" i="2" s="1"/>
  <c r="A9260" i="2" s="1"/>
  <c r="A9261" i="2" s="1"/>
  <c r="A9262" i="2" s="1"/>
  <c r="A9263" i="2" s="1"/>
  <c r="A9264" i="2" s="1"/>
  <c r="A9265" i="2" s="1"/>
  <c r="A9266" i="2" s="1"/>
  <c r="A9267" i="2" s="1"/>
  <c r="A9268" i="2" s="1"/>
  <c r="A9269" i="2" s="1"/>
  <c r="A9270" i="2" s="1"/>
  <c r="A9271" i="2" s="1"/>
  <c r="A9272" i="2" s="1"/>
  <c r="A9273" i="2" s="1"/>
  <c r="A9274" i="2" s="1"/>
  <c r="A9275" i="2" s="1"/>
  <c r="A9276" i="2" s="1"/>
  <c r="A9277" i="2" s="1"/>
  <c r="A9278" i="2" s="1"/>
  <c r="A9279" i="2" s="1"/>
  <c r="A9280" i="2" s="1"/>
  <c r="A9281" i="2" s="1"/>
  <c r="A9282" i="2" s="1"/>
  <c r="A9283" i="2" s="1"/>
  <c r="A9284" i="2" s="1"/>
  <c r="A9285" i="2" s="1"/>
  <c r="A9286" i="2" s="1"/>
  <c r="A9287" i="2" s="1"/>
  <c r="A9288" i="2" s="1"/>
  <c r="A9289" i="2" s="1"/>
  <c r="A9290" i="2" s="1"/>
  <c r="A9291" i="2" s="1"/>
  <c r="A9292" i="2" s="1"/>
  <c r="A9293" i="2" s="1"/>
  <c r="A9294" i="2" s="1"/>
  <c r="A9295" i="2" s="1"/>
  <c r="A9296" i="2" s="1"/>
  <c r="A9297" i="2" s="1"/>
  <c r="A9298" i="2" s="1"/>
  <c r="A9299" i="2" s="1"/>
  <c r="A9300" i="2" s="1"/>
  <c r="A9301" i="2" s="1"/>
  <c r="A9302" i="2" s="1"/>
  <c r="A9303" i="2" s="1"/>
  <c r="A9304" i="2" s="1"/>
  <c r="A9305" i="2" s="1"/>
  <c r="A9306" i="2" s="1"/>
  <c r="A9307" i="2" s="1"/>
  <c r="A9308" i="2" s="1"/>
  <c r="A9309" i="2" s="1"/>
  <c r="A9" i="3"/>
  <c r="A1265" i="3"/>
  <c r="A111" i="3"/>
  <c r="A1472" i="3"/>
  <c r="A225" i="3"/>
  <c r="A1712" i="3"/>
  <c r="A1079" i="3"/>
  <c r="A375" i="3"/>
  <c r="A2140" i="3"/>
  <c r="A536" i="3"/>
  <c r="A3355" i="3"/>
  <c r="A727" i="3"/>
  <c r="A921" i="3"/>
  <c r="U3635" i="1"/>
  <c r="U3616" i="1"/>
  <c r="U3508" i="1"/>
  <c r="U3421" i="1"/>
  <c r="U3318" i="1"/>
  <c r="U3228" i="1"/>
  <c r="U3147" i="1"/>
  <c r="U3056" i="1"/>
  <c r="U2958" i="1"/>
  <c r="U2890" i="1"/>
  <c r="U2811" i="1"/>
  <c r="U2721" i="1"/>
  <c r="U2660" i="1"/>
  <c r="U2569" i="1"/>
  <c r="U2482" i="1"/>
  <c r="U2420" i="1"/>
  <c r="U2331" i="1"/>
  <c r="U2249" i="1"/>
  <c r="U2178" i="1"/>
  <c r="U2091" i="1"/>
  <c r="U2009" i="1"/>
  <c r="U1940" i="1"/>
  <c r="U1858" i="1"/>
  <c r="U1771" i="1"/>
  <c r="U1701" i="1"/>
  <c r="U1619" i="1"/>
  <c r="U1532" i="1"/>
  <c r="U1469" i="1"/>
  <c r="U1394" i="1"/>
  <c r="U1317" i="1"/>
  <c r="U1261" i="1"/>
  <c r="U1189" i="1"/>
  <c r="U1129" i="1"/>
  <c r="U1076" i="1"/>
  <c r="U1011" i="1"/>
  <c r="U950" i="1"/>
  <c r="U900" i="1"/>
  <c r="U847" i="1"/>
  <c r="U789" i="1"/>
  <c r="U744" i="1"/>
  <c r="U691" i="1"/>
  <c r="U647" i="1"/>
  <c r="U619" i="1"/>
  <c r="U584" i="1"/>
  <c r="U553" i="1"/>
  <c r="U531" i="1"/>
  <c r="U501" i="1"/>
  <c r="U470" i="1"/>
  <c r="U447" i="1"/>
  <c r="U416" i="1"/>
  <c r="U387" i="1"/>
  <c r="U364" i="1"/>
  <c r="U333" i="1"/>
  <c r="U303" i="1"/>
  <c r="U279" i="1"/>
  <c r="U249" i="1"/>
  <c r="U220" i="1"/>
  <c r="U196" i="1"/>
  <c r="U166" i="1"/>
  <c r="U136" i="1"/>
  <c r="U112" i="1"/>
  <c r="U83" i="1"/>
  <c r="U53" i="1"/>
  <c r="U29" i="1"/>
  <c r="U2" i="1"/>
  <c r="U3581" i="1"/>
  <c r="U3292" i="1"/>
  <c r="U3118" i="1"/>
  <c r="U3017" i="1"/>
  <c r="U2867" i="1"/>
  <c r="U2694" i="1"/>
  <c r="U2456" i="1"/>
  <c r="U2305" i="1"/>
  <c r="U2148" i="1"/>
  <c r="U3611" i="1"/>
  <c r="U3494" i="1"/>
  <c r="U3396" i="1"/>
  <c r="U3315" i="1"/>
  <c r="U3224" i="1"/>
  <c r="U3123" i="1"/>
  <c r="U3044" i="1"/>
  <c r="U2957" i="1"/>
  <c r="U2870" i="1"/>
  <c r="U2806" i="1"/>
  <c r="U2720" i="1"/>
  <c r="U2630" i="1"/>
  <c r="U2566" i="1"/>
  <c r="U2480" i="1"/>
  <c r="U2397" i="1"/>
  <c r="U2329" i="1"/>
  <c r="U2241" i="1"/>
  <c r="U2160" i="1"/>
  <c r="U2090" i="1"/>
  <c r="U2008" i="1"/>
  <c r="U1921" i="1"/>
  <c r="U1851" i="1"/>
  <c r="U1770" i="1"/>
  <c r="U1683" i="1"/>
  <c r="U1618" i="1"/>
  <c r="U1531" i="1"/>
  <c r="U1445" i="1"/>
  <c r="U1392" i="1"/>
  <c r="U1316" i="1"/>
  <c r="U1244" i="1"/>
  <c r="U1188" i="1"/>
  <c r="U1122" i="1"/>
  <c r="U1061" i="1"/>
  <c r="U1010" i="1"/>
  <c r="U948" i="1"/>
  <c r="U887" i="1"/>
  <c r="U841" i="1"/>
  <c r="U788" i="1"/>
  <c r="U729" i="1"/>
  <c r="U689" i="1"/>
  <c r="U644" i="1"/>
  <c r="U609" i="1"/>
  <c r="U583" i="1"/>
  <c r="U552" i="1"/>
  <c r="U523" i="1"/>
  <c r="U499" i="1"/>
  <c r="U469" i="1"/>
  <c r="U439" i="1"/>
  <c r="U415" i="1"/>
  <c r="U385" i="1"/>
  <c r="U356" i="1"/>
  <c r="U332" i="1"/>
  <c r="U302" i="1"/>
  <c r="U272" i="1"/>
  <c r="U248" i="1"/>
  <c r="U219" i="1"/>
  <c r="U188" i="1"/>
  <c r="U165" i="1"/>
  <c r="U135" i="1"/>
  <c r="U104" i="1"/>
  <c r="U81" i="1"/>
  <c r="U51" i="1"/>
  <c r="U21" i="1"/>
  <c r="U3382" i="1"/>
  <c r="U3585" i="1"/>
  <c r="U3493" i="1"/>
  <c r="U3394" i="1"/>
  <c r="U3293" i="1"/>
  <c r="U3214" i="1"/>
  <c r="U3120" i="1"/>
  <c r="U3021" i="1"/>
  <c r="U2955" i="1"/>
  <c r="U2868" i="1"/>
  <c r="U2777" i="1"/>
  <c r="U2716" i="1"/>
  <c r="U2629" i="1"/>
  <c r="U2548" i="1"/>
  <c r="U2478" i="1"/>
  <c r="U2387" i="1"/>
  <c r="U2309" i="1"/>
  <c r="U2240" i="1"/>
  <c r="U2158" i="1"/>
  <c r="U2067" i="1"/>
  <c r="U1997" i="1"/>
  <c r="U1920" i="1"/>
  <c r="U1829" i="1"/>
  <c r="U1769" i="1"/>
  <c r="U1677" i="1"/>
  <c r="U1590" i="1"/>
  <c r="U1529" i="1"/>
  <c r="U1444" i="1"/>
  <c r="U1372" i="1"/>
  <c r="U1312" i="1"/>
  <c r="U1235" i="1"/>
  <c r="U1172" i="1"/>
  <c r="U1121" i="1"/>
  <c r="U1060" i="1"/>
  <c r="U993" i="1"/>
  <c r="U941" i="1"/>
  <c r="U885" i="1"/>
  <c r="U828" i="1"/>
  <c r="U787" i="1"/>
  <c r="U728" i="1"/>
  <c r="U671" i="1"/>
  <c r="U643" i="1"/>
  <c r="U608" i="1"/>
  <c r="U575" i="1"/>
  <c r="U551" i="1"/>
  <c r="U521" i="1"/>
  <c r="U492" i="1"/>
  <c r="U468" i="1"/>
  <c r="U438" i="1"/>
  <c r="U407" i="1"/>
  <c r="U384" i="1"/>
  <c r="U355" i="1"/>
  <c r="U324" i="1"/>
  <c r="U301" i="1"/>
  <c r="U270" i="1"/>
  <c r="U240" i="1"/>
  <c r="U217" i="1"/>
  <c r="U187" i="1"/>
  <c r="U157" i="1"/>
  <c r="U133" i="1"/>
  <c r="U103" i="1"/>
  <c r="U73" i="1"/>
  <c r="U49" i="1"/>
  <c r="U20" i="1"/>
  <c r="U3465" i="1"/>
  <c r="U3188" i="1"/>
  <c r="U2928" i="1"/>
  <c r="U2776" i="1"/>
  <c r="U2538" i="1"/>
  <c r="U2386" i="1"/>
  <c r="U2217" i="1"/>
  <c r="U2066" i="1"/>
  <c r="U1915" i="1"/>
  <c r="U1826" i="1"/>
  <c r="U1739" i="1"/>
  <c r="U3568" i="1"/>
  <c r="U3462" i="1"/>
  <c r="U3361" i="1"/>
  <c r="U3286" i="1"/>
  <c r="U3187" i="1"/>
  <c r="U3086" i="1"/>
  <c r="U3013" i="1"/>
  <c r="U2926" i="1"/>
  <c r="U2844" i="1"/>
  <c r="U2774" i="1"/>
  <c r="U2688" i="1"/>
  <c r="U2605" i="1"/>
  <c r="U2537" i="1"/>
  <c r="U2454" i="1"/>
  <c r="U2368" i="1"/>
  <c r="U2297" i="1"/>
  <c r="U2214" i="1"/>
  <c r="U2128" i="1"/>
  <c r="U2064" i="1"/>
  <c r="U1977" i="1"/>
  <c r="U1885" i="1"/>
  <c r="U1825" i="1"/>
  <c r="U1738" i="1"/>
  <c r="U1656" i="1"/>
  <c r="U1587" i="1"/>
  <c r="U1496" i="1"/>
  <c r="U1426" i="1"/>
  <c r="U1364" i="1"/>
  <c r="U1293" i="1"/>
  <c r="U1217" i="1"/>
  <c r="U1163" i="1"/>
  <c r="U1102" i="1"/>
  <c r="U1037" i="1"/>
  <c r="U989" i="1"/>
  <c r="U924" i="1"/>
  <c r="U865" i="1"/>
  <c r="U824" i="1"/>
  <c r="U767" i="1"/>
  <c r="U713" i="1"/>
  <c r="U668" i="1"/>
  <c r="U632" i="1"/>
  <c r="U597" i="1"/>
  <c r="U572" i="1"/>
  <c r="U542" i="1"/>
  <c r="U512" i="1"/>
  <c r="U488" i="1"/>
  <c r="U459" i="1"/>
  <c r="U429" i="1"/>
  <c r="U405" i="1"/>
  <c r="U375" i="1"/>
  <c r="U345" i="1"/>
  <c r="U321" i="1"/>
  <c r="U292" i="1"/>
  <c r="U261" i="1"/>
  <c r="U238" i="1"/>
  <c r="U208" i="1"/>
  <c r="U177" i="1"/>
  <c r="U155" i="1"/>
  <c r="U124" i="1"/>
  <c r="U94" i="1"/>
  <c r="U71" i="1"/>
  <c r="U40" i="1"/>
  <c r="U11" i="1"/>
  <c r="U3544" i="1"/>
  <c r="U3460" i="1"/>
  <c r="U3357" i="1"/>
  <c r="U3254" i="1"/>
  <c r="U3184" i="1"/>
  <c r="U3085" i="1"/>
  <c r="U2994" i="1"/>
  <c r="U2923" i="1"/>
  <c r="U2834" i="1"/>
  <c r="U2756" i="1"/>
  <c r="U2685" i="1"/>
  <c r="U2603" i="1"/>
  <c r="U2514" i="1"/>
  <c r="U2443" i="1"/>
  <c r="U2365" i="1"/>
  <c r="U2274" i="1"/>
  <c r="U2213" i="1"/>
  <c r="U2123" i="1"/>
  <c r="U2036" i="1"/>
  <c r="U1976" i="1"/>
  <c r="U1884" i="1"/>
  <c r="U1802" i="1"/>
  <c r="U1733" i="1"/>
  <c r="U1646" i="1"/>
  <c r="U1564" i="1"/>
  <c r="U1494" i="1"/>
  <c r="U1421" i="1"/>
  <c r="U1345" i="1"/>
  <c r="U1284" i="1"/>
  <c r="U1213" i="1"/>
  <c r="U1148" i="1"/>
  <c r="U1101" i="1"/>
  <c r="U1035" i="1"/>
  <c r="U969" i="1"/>
  <c r="U921" i="1"/>
  <c r="U864" i="1"/>
  <c r="U811" i="1"/>
  <c r="U765" i="1"/>
  <c r="U707" i="1"/>
  <c r="U659" i="1"/>
  <c r="U631" i="1"/>
  <c r="U596" i="1"/>
  <c r="U565" i="1"/>
  <c r="U541" i="1"/>
  <c r="U511" i="1"/>
  <c r="U480" i="1"/>
  <c r="U457" i="1"/>
  <c r="U428" i="1"/>
  <c r="U397" i="1"/>
  <c r="U374" i="1"/>
  <c r="U343" i="1"/>
  <c r="U313" i="1"/>
  <c r="U291" i="1"/>
  <c r="U260" i="1"/>
  <c r="U230" i="1"/>
  <c r="U206" i="1"/>
  <c r="U176" i="1"/>
  <c r="U147" i="1"/>
  <c r="U123" i="1"/>
  <c r="U93" i="1"/>
  <c r="U63" i="1"/>
  <c r="U39" i="1"/>
  <c r="U9" i="1"/>
  <c r="U692" i="1"/>
  <c r="U2899" i="1"/>
  <c r="U607" i="1"/>
  <c r="U2625" i="1"/>
  <c r="U228" i="1"/>
  <c r="U825" i="1"/>
  <c r="U1979" i="1"/>
  <c r="U3618" i="1"/>
  <c r="U311" i="1"/>
  <c r="U992" i="1"/>
  <c r="U2332" i="1"/>
  <c r="U92" i="1"/>
  <c r="U167" i="1"/>
  <c r="U239" i="1"/>
  <c r="U312" i="1"/>
  <c r="U395" i="1"/>
  <c r="U460" i="1"/>
  <c r="U533" i="1"/>
  <c r="U620" i="1"/>
  <c r="U727" i="1"/>
  <c r="U863" i="1"/>
  <c r="U1017" i="1"/>
  <c r="U1171" i="1"/>
  <c r="U1344" i="1"/>
  <c r="U1552" i="1"/>
  <c r="U1794" i="1"/>
  <c r="U2034" i="1"/>
  <c r="U2360" i="1"/>
  <c r="U2661" i="1"/>
  <c r="U2981" i="1"/>
  <c r="U3329" i="1"/>
  <c r="U72" i="1"/>
  <c r="U520" i="1"/>
  <c r="U1476" i="1"/>
  <c r="U84" i="1"/>
  <c r="U532" i="1"/>
  <c r="U1147" i="1"/>
  <c r="U2902" i="1"/>
  <c r="U30" i="1"/>
  <c r="U175" i="1"/>
  <c r="U251" i="1"/>
  <c r="U323" i="1"/>
  <c r="U396" i="1"/>
  <c r="U478" i="1"/>
  <c r="U543" i="1"/>
  <c r="U621" i="1"/>
  <c r="U749" i="1"/>
  <c r="U884" i="1"/>
  <c r="U1034" i="1"/>
  <c r="U1193" i="1"/>
  <c r="U1366" i="1"/>
  <c r="U1563" i="1"/>
  <c r="U1796" i="1"/>
  <c r="U2102" i="1"/>
  <c r="U2422" i="1"/>
  <c r="U2662" i="1"/>
  <c r="U2982" i="1"/>
  <c r="U3355" i="1"/>
  <c r="U293" i="1"/>
  <c r="U966" i="1"/>
  <c r="U2273" i="1"/>
  <c r="U376" i="1"/>
  <c r="U1506" i="1"/>
  <c r="U19" i="1"/>
  <c r="U102" i="1"/>
  <c r="U31" i="1"/>
  <c r="U113" i="1"/>
  <c r="U185" i="1"/>
  <c r="U259" i="1"/>
  <c r="U334" i="1"/>
  <c r="U406" i="1"/>
  <c r="U479" i="1"/>
  <c r="U561" i="1"/>
  <c r="U633" i="1"/>
  <c r="U751" i="1"/>
  <c r="U903" i="1"/>
  <c r="U1052" i="1"/>
  <c r="U1212" i="1"/>
  <c r="U1395" i="1"/>
  <c r="U1588" i="1"/>
  <c r="U1862" i="1"/>
  <c r="U2122" i="1"/>
  <c r="U2424" i="1"/>
  <c r="U2744" i="1"/>
  <c r="U3058" i="1"/>
  <c r="U3424" i="1"/>
  <c r="U366" i="1"/>
  <c r="U1145" i="1"/>
  <c r="U2593" i="1"/>
  <c r="U8" i="1"/>
  <c r="U449" i="1"/>
  <c r="U1714" i="1"/>
  <c r="U41" i="1"/>
  <c r="U197" i="1"/>
  <c r="U269" i="1"/>
  <c r="U342" i="1"/>
  <c r="U419" i="1"/>
  <c r="U489" i="1"/>
  <c r="U563" i="1"/>
  <c r="U655" i="1"/>
  <c r="U768" i="1"/>
  <c r="U908" i="1"/>
  <c r="U1078" i="1"/>
  <c r="U1234" i="1"/>
  <c r="U1414" i="1"/>
  <c r="U1622" i="1"/>
  <c r="U1883" i="1"/>
  <c r="U2185" i="1"/>
  <c r="U2509" i="1"/>
  <c r="U2749" i="1"/>
  <c r="U3078" i="1"/>
  <c r="U3425" i="1"/>
  <c r="U145" i="1"/>
  <c r="U595" i="1"/>
  <c r="U1712" i="1"/>
  <c r="U229" i="1"/>
  <c r="U705" i="1"/>
  <c r="U1341" i="1"/>
  <c r="U3252" i="1"/>
  <c r="U115" i="1"/>
  <c r="U60" i="1"/>
  <c r="U126" i="1"/>
  <c r="U199" i="1"/>
  <c r="U281" i="1"/>
  <c r="U352" i="1"/>
  <c r="U425" i="1"/>
  <c r="U502" i="1"/>
  <c r="U574" i="1"/>
  <c r="U657" i="1"/>
  <c r="U803" i="1"/>
  <c r="U925" i="1"/>
  <c r="U1080" i="1"/>
  <c r="U1262" i="1"/>
  <c r="U1442" i="1"/>
  <c r="U1643" i="1"/>
  <c r="U1942" i="1"/>
  <c r="U2186" i="1"/>
  <c r="U2512" i="1"/>
  <c r="U2812" i="1"/>
  <c r="U3152" i="1"/>
  <c r="U3533" i="1"/>
  <c r="U448" i="1"/>
  <c r="U1294" i="1"/>
  <c r="U3251" i="1"/>
  <c r="U156" i="1"/>
  <c r="U849" i="1"/>
  <c r="U2032" i="1"/>
  <c r="U62" i="1"/>
  <c r="U144" i="1"/>
  <c r="U209" i="1"/>
  <c r="U283" i="1"/>
  <c r="U365" i="1"/>
  <c r="U437" i="1"/>
  <c r="U510" i="1"/>
  <c r="U585" i="1"/>
  <c r="U669" i="1"/>
  <c r="U804" i="1"/>
  <c r="U965" i="1"/>
  <c r="U1104" i="1"/>
  <c r="U1267" i="1"/>
  <c r="U1474" i="1"/>
  <c r="U1675" i="1"/>
  <c r="U1953" i="1"/>
  <c r="U2272" i="1"/>
  <c r="U2574" i="1"/>
  <c r="U2832" i="1"/>
  <c r="U3158" i="1"/>
  <c r="U3536" i="1"/>
  <c r="A15" i="3"/>
  <c r="A137" i="3"/>
  <c r="A239" i="3"/>
  <c r="A384" i="3"/>
  <c r="A583" i="3"/>
  <c r="A736" i="3"/>
  <c r="A927" i="3"/>
  <c r="A1129" i="3"/>
  <c r="A1287" i="3"/>
  <c r="A1473" i="3"/>
  <c r="A1805" i="3"/>
  <c r="A2187" i="3"/>
  <c r="A3373" i="3"/>
  <c r="A24" i="3"/>
  <c r="A143" i="3"/>
  <c r="A265" i="3"/>
  <c r="A393" i="3"/>
  <c r="A584" i="3"/>
  <c r="A791" i="3"/>
  <c r="A944" i="3"/>
  <c r="A1135" i="3"/>
  <c r="A1329" i="3"/>
  <c r="A1495" i="3"/>
  <c r="A1808" i="3"/>
  <c r="A2372" i="3"/>
  <c r="A3524" i="3"/>
  <c r="A55" i="3"/>
  <c r="A152" i="3"/>
  <c r="A271" i="3"/>
  <c r="A448" i="3"/>
  <c r="A601" i="3"/>
  <c r="A792" i="3"/>
  <c r="A991" i="3"/>
  <c r="A1152" i="3"/>
  <c r="A1335" i="3"/>
  <c r="A1538" i="3"/>
  <c r="A1852" i="3"/>
  <c r="A2379" i="3"/>
  <c r="A4019" i="3"/>
  <c r="A56" i="3"/>
  <c r="A183" i="3"/>
  <c r="A280" i="3"/>
  <c r="A449" i="3"/>
  <c r="A648" i="3"/>
  <c r="A809" i="3"/>
  <c r="A992" i="3"/>
  <c r="A1199" i="3"/>
  <c r="A1352" i="3"/>
  <c r="A1548" i="3"/>
  <c r="A1936" i="3"/>
  <c r="A2459" i="3"/>
  <c r="A4251" i="3"/>
  <c r="A65" i="3"/>
  <c r="A184" i="3"/>
  <c r="A311" i="3"/>
  <c r="A471" i="3"/>
  <c r="A649" i="3"/>
  <c r="A856" i="3"/>
  <c r="A1009" i="3"/>
  <c r="A1200" i="3"/>
  <c r="A1399" i="3"/>
  <c r="A1581" i="3"/>
  <c r="A1965" i="3"/>
  <c r="A2820" i="3"/>
  <c r="A4483" i="3"/>
  <c r="A96" i="3"/>
  <c r="A193" i="3"/>
  <c r="A312" i="3"/>
  <c r="A513" i="3"/>
  <c r="A671" i="3"/>
  <c r="A857" i="3"/>
  <c r="A1056" i="3"/>
  <c r="A1217" i="3"/>
  <c r="A1408" i="3"/>
  <c r="A1676" i="3"/>
  <c r="A1989" i="3"/>
  <c r="A2843" i="3"/>
  <c r="A97" i="3"/>
  <c r="A224" i="3"/>
  <c r="A328" i="3"/>
  <c r="A519" i="3"/>
  <c r="A713" i="3"/>
  <c r="A879" i="3"/>
  <c r="A1065" i="3"/>
  <c r="A1264" i="3"/>
  <c r="A1417" i="3"/>
  <c r="A1677" i="3"/>
  <c r="A2139" i="3"/>
  <c r="A2989" i="3"/>
  <c r="U12" i="1"/>
  <c r="U54" i="1"/>
  <c r="U95" i="1"/>
  <c r="U137" i="1"/>
  <c r="U179" i="1"/>
  <c r="U231" i="1"/>
  <c r="U273" i="1"/>
  <c r="U315" i="1"/>
  <c r="U357" i="1"/>
  <c r="U398" i="1"/>
  <c r="U440" i="1"/>
  <c r="U483" i="1"/>
  <c r="U524" i="1"/>
  <c r="U566" i="1"/>
  <c r="U611" i="1"/>
  <c r="U660" i="1"/>
  <c r="U732" i="1"/>
  <c r="U812" i="1"/>
  <c r="U872" i="1"/>
  <c r="U952" i="1"/>
  <c r="U1038" i="1"/>
  <c r="U1131" i="1"/>
  <c r="U1218" i="1"/>
  <c r="U1323" i="1"/>
  <c r="U1427" i="1"/>
  <c r="U1533" i="1"/>
  <c r="U1659" i="1"/>
  <c r="U1773" i="1"/>
  <c r="U1897" i="1"/>
  <c r="U2012" i="1"/>
  <c r="U2130" i="1"/>
  <c r="U2253" i="1"/>
  <c r="U2369" i="1"/>
  <c r="U2492" i="1"/>
  <c r="U2606" i="1"/>
  <c r="U2722" i="1"/>
  <c r="U2845" i="1"/>
  <c r="U2964" i="1"/>
  <c r="U3096" i="1"/>
  <c r="U3229" i="1"/>
  <c r="U3397" i="1"/>
  <c r="U3545" i="1"/>
  <c r="U3" i="1"/>
  <c r="U65" i="1"/>
  <c r="U108" i="1"/>
  <c r="U169" i="1"/>
  <c r="U222" i="1"/>
  <c r="U275" i="1"/>
  <c r="U337" i="1"/>
  <c r="U379" i="1"/>
  <c r="U452" i="1"/>
  <c r="U515" i="1"/>
  <c r="U577" i="1"/>
  <c r="U637" i="1"/>
  <c r="U695" i="1"/>
  <c r="U813" i="1"/>
  <c r="U933" i="1"/>
  <c r="U1065" i="1"/>
  <c r="U1220" i="1"/>
  <c r="U1405" i="1"/>
  <c r="U1602" i="1"/>
  <c r="U1774" i="1"/>
  <c r="U1956" i="1"/>
  <c r="U2163" i="1"/>
  <c r="U2402" i="1"/>
  <c r="U2610" i="1"/>
  <c r="U2848" i="1"/>
  <c r="U3168" i="1"/>
  <c r="U3644" i="1"/>
  <c r="U3632" i="1"/>
  <c r="U3620" i="1"/>
  <c r="U3608" i="1"/>
  <c r="U3595" i="1"/>
  <c r="U3584" i="1"/>
  <c r="U3571" i="1"/>
  <c r="U3558" i="1"/>
  <c r="U3547" i="1"/>
  <c r="U3534" i="1"/>
  <c r="U3522" i="1"/>
  <c r="U3510" i="1"/>
  <c r="U3498" i="1"/>
  <c r="U3485" i="1"/>
  <c r="U3474" i="1"/>
  <c r="U3461" i="1"/>
  <c r="U3449" i="1"/>
  <c r="U3652" i="1"/>
  <c r="U3636" i="1"/>
  <c r="U3622" i="1"/>
  <c r="U3609" i="1"/>
  <c r="U3594" i="1"/>
  <c r="U3580" i="1"/>
  <c r="U3566" i="1"/>
  <c r="U3553" i="1"/>
  <c r="U3539" i="1"/>
  <c r="U3525" i="1"/>
  <c r="U3512" i="1"/>
  <c r="U3497" i="1"/>
  <c r="U3483" i="1"/>
  <c r="U3469" i="1"/>
  <c r="U3456" i="1"/>
  <c r="U3442" i="1"/>
  <c r="U3429" i="1"/>
  <c r="U3417" i="1"/>
  <c r="U3405" i="1"/>
  <c r="U3393" i="1"/>
  <c r="U3380" i="1"/>
  <c r="U3369" i="1"/>
  <c r="U3356" i="1"/>
  <c r="U3344" i="1"/>
  <c r="U3332" i="1"/>
  <c r="U3320" i="1"/>
  <c r="U3307" i="1"/>
  <c r="U3296" i="1"/>
  <c r="U3283" i="1"/>
  <c r="U3270" i="1"/>
  <c r="U3259" i="1"/>
  <c r="U3246" i="1"/>
  <c r="U3234" i="1"/>
  <c r="U3222" i="1"/>
  <c r="U3210" i="1"/>
  <c r="U3197" i="1"/>
  <c r="U3186" i="1"/>
  <c r="U3173" i="1"/>
  <c r="U3161" i="1"/>
  <c r="U3149" i="1"/>
  <c r="U3137" i="1"/>
  <c r="U3124" i="1"/>
  <c r="U3113" i="1"/>
  <c r="U3100" i="1"/>
  <c r="U3088" i="1"/>
  <c r="U3076" i="1"/>
  <c r="U3064" i="1"/>
  <c r="U3051" i="1"/>
  <c r="U3040" i="1"/>
  <c r="U3027" i="1"/>
  <c r="U3014" i="1"/>
  <c r="U3649" i="1"/>
  <c r="U3634" i="1"/>
  <c r="U3617" i="1"/>
  <c r="U3602" i="1"/>
  <c r="U3586" i="1"/>
  <c r="U3570" i="1"/>
  <c r="U3554" i="1"/>
  <c r="U3538" i="1"/>
  <c r="U3521" i="1"/>
  <c r="U3506" i="1"/>
  <c r="U3490" i="1"/>
  <c r="U3475" i="1"/>
  <c r="U3458" i="1"/>
  <c r="U3443" i="1"/>
  <c r="U3428" i="1"/>
  <c r="U3414" i="1"/>
  <c r="U3401" i="1"/>
  <c r="U3387" i="1"/>
  <c r="U3373" i="1"/>
  <c r="U3360" i="1"/>
  <c r="U3346" i="1"/>
  <c r="U3330" i="1"/>
  <c r="U3316" i="1"/>
  <c r="U3302" i="1"/>
  <c r="U3289" i="1"/>
  <c r="U3275" i="1"/>
  <c r="U3261" i="1"/>
  <c r="U3248" i="1"/>
  <c r="U3233" i="1"/>
  <c r="U3219" i="1"/>
  <c r="U3205" i="1"/>
  <c r="U3192" i="1"/>
  <c r="U3178" i="1"/>
  <c r="U3164" i="1"/>
  <c r="U3150" i="1"/>
  <c r="U3136" i="1"/>
  <c r="U3122" i="1"/>
  <c r="U3108" i="1"/>
  <c r="U3094" i="1"/>
  <c r="U3081" i="1"/>
  <c r="U3067" i="1"/>
  <c r="U3053" i="1"/>
  <c r="U3037" i="1"/>
  <c r="U3024" i="1"/>
  <c r="U3010" i="1"/>
  <c r="U2998" i="1"/>
  <c r="U2986" i="1"/>
  <c r="U2973" i="1"/>
  <c r="U2962" i="1"/>
  <c r="U2949" i="1"/>
  <c r="U2937" i="1"/>
  <c r="U2925" i="1"/>
  <c r="U2913" i="1"/>
  <c r="U2900" i="1"/>
  <c r="U2889" i="1"/>
  <c r="U2876" i="1"/>
  <c r="U2864" i="1"/>
  <c r="U2852" i="1"/>
  <c r="U2840" i="1"/>
  <c r="U2827" i="1"/>
  <c r="U2816" i="1"/>
  <c r="U2803" i="1"/>
  <c r="U2790" i="1"/>
  <c r="U2779" i="1"/>
  <c r="U2766" i="1"/>
  <c r="U2754" i="1"/>
  <c r="U2742" i="1"/>
  <c r="U2730" i="1"/>
  <c r="U2717" i="1"/>
  <c r="U2706" i="1"/>
  <c r="U2693" i="1"/>
  <c r="U2681" i="1"/>
  <c r="U2669" i="1"/>
  <c r="U2657" i="1"/>
  <c r="U2644" i="1"/>
  <c r="U2633" i="1"/>
  <c r="U2620" i="1"/>
  <c r="U2608" i="1"/>
  <c r="U2596" i="1"/>
  <c r="U2584" i="1"/>
  <c r="U2571" i="1"/>
  <c r="U2560" i="1"/>
  <c r="U2547" i="1"/>
  <c r="U2534" i="1"/>
  <c r="U2523" i="1"/>
  <c r="U2510" i="1"/>
  <c r="U2498" i="1"/>
  <c r="U2486" i="1"/>
  <c r="U2474" i="1"/>
  <c r="U2461" i="1"/>
  <c r="U2450" i="1"/>
  <c r="U2437" i="1"/>
  <c r="U2425" i="1"/>
  <c r="U2413" i="1"/>
  <c r="U2401" i="1"/>
  <c r="U2388" i="1"/>
  <c r="U2377" i="1"/>
  <c r="U2364" i="1"/>
  <c r="U2352" i="1"/>
  <c r="U2340" i="1"/>
  <c r="U2328" i="1"/>
  <c r="U2315" i="1"/>
  <c r="U2304" i="1"/>
  <c r="U2291" i="1"/>
  <c r="U2278" i="1"/>
  <c r="U2267" i="1"/>
  <c r="U2254" i="1"/>
  <c r="U2242" i="1"/>
  <c r="U2230" i="1"/>
  <c r="U2218" i="1"/>
  <c r="U2205" i="1"/>
  <c r="U2194" i="1"/>
  <c r="U2181" i="1"/>
  <c r="U2169" i="1"/>
  <c r="U2157" i="1"/>
  <c r="U2145" i="1"/>
  <c r="U2132" i="1"/>
  <c r="U2121" i="1"/>
  <c r="U2108" i="1"/>
  <c r="U2096" i="1"/>
  <c r="U2084" i="1"/>
  <c r="U2072" i="1"/>
  <c r="U2059" i="1"/>
  <c r="U2048" i="1"/>
  <c r="U2035" i="1"/>
  <c r="U2022" i="1"/>
  <c r="U2011" i="1"/>
  <c r="U1998" i="1"/>
  <c r="U1986" i="1"/>
  <c r="U1974" i="1"/>
  <c r="U1962" i="1"/>
  <c r="U1949" i="1"/>
  <c r="U1938" i="1"/>
  <c r="U1925" i="1"/>
  <c r="U1913" i="1"/>
  <c r="U1901" i="1"/>
  <c r="U1889" i="1"/>
  <c r="U1876" i="1"/>
  <c r="U1865" i="1"/>
  <c r="U1852" i="1"/>
  <c r="U1840" i="1"/>
  <c r="U1828" i="1"/>
  <c r="U1816" i="1"/>
  <c r="U1803" i="1"/>
  <c r="U1792" i="1"/>
  <c r="U1779" i="1"/>
  <c r="U1766" i="1"/>
  <c r="U1755" i="1"/>
  <c r="U1742" i="1"/>
  <c r="U1730" i="1"/>
  <c r="U1718" i="1"/>
  <c r="U1706" i="1"/>
  <c r="U1693" i="1"/>
  <c r="U1682" i="1"/>
  <c r="U1669" i="1"/>
  <c r="U1657" i="1"/>
  <c r="U1645" i="1"/>
  <c r="U1633" i="1"/>
  <c r="U1620" i="1"/>
  <c r="U1609" i="1"/>
  <c r="U1596" i="1"/>
  <c r="U1584" i="1"/>
  <c r="U1572" i="1"/>
  <c r="U1560" i="1"/>
  <c r="U1547" i="1"/>
  <c r="U1536" i="1"/>
  <c r="U1523" i="1"/>
  <c r="U1510" i="1"/>
  <c r="U1499" i="1"/>
  <c r="U1486" i="1"/>
  <c r="U3653" i="1"/>
  <c r="U3630" i="1"/>
  <c r="U3613" i="1"/>
  <c r="U3597" i="1"/>
  <c r="U3577" i="1"/>
  <c r="U3561" i="1"/>
  <c r="U3542" i="1"/>
  <c r="U3524" i="1"/>
  <c r="U3504" i="1"/>
  <c r="U3488" i="1"/>
  <c r="U3467" i="1"/>
  <c r="U3451" i="1"/>
  <c r="U3434" i="1"/>
  <c r="U3419" i="1"/>
  <c r="U3402" i="1"/>
  <c r="U3385" i="1"/>
  <c r="U3370" i="1"/>
  <c r="U3353" i="1"/>
  <c r="U3338" i="1"/>
  <c r="U3323" i="1"/>
  <c r="U3306" i="1"/>
  <c r="U3291" i="1"/>
  <c r="U3274" i="1"/>
  <c r="U3257" i="1"/>
  <c r="U3242" i="1"/>
  <c r="U3227" i="1"/>
  <c r="U3211" i="1"/>
  <c r="U3195" i="1"/>
  <c r="U3179" i="1"/>
  <c r="U3163" i="1"/>
  <c r="U3146" i="1"/>
  <c r="U3131" i="1"/>
  <c r="U3115" i="1"/>
  <c r="U3099" i="1"/>
  <c r="U3083" i="1"/>
  <c r="U3068" i="1"/>
  <c r="U3050" i="1"/>
  <c r="U3035" i="1"/>
  <c r="U3019" i="1"/>
  <c r="U3004" i="1"/>
  <c r="U2990" i="1"/>
  <c r="U2977" i="1"/>
  <c r="U2963" i="1"/>
  <c r="U2948" i="1"/>
  <c r="U2934" i="1"/>
  <c r="U2921" i="1"/>
  <c r="U2907" i="1"/>
  <c r="U2893" i="1"/>
  <c r="U2880" i="1"/>
  <c r="U2866" i="1"/>
  <c r="U2850" i="1"/>
  <c r="U2836" i="1"/>
  <c r="U2822" i="1"/>
  <c r="U2809" i="1"/>
  <c r="U2795" i="1"/>
  <c r="U2781" i="1"/>
  <c r="U2768" i="1"/>
  <c r="U2753" i="1"/>
  <c r="U2739" i="1"/>
  <c r="U2725" i="1"/>
  <c r="U2712" i="1"/>
  <c r="U2698" i="1"/>
  <c r="U2684" i="1"/>
  <c r="U2670" i="1"/>
  <c r="U2656" i="1"/>
  <c r="U2642" i="1"/>
  <c r="U2628" i="1"/>
  <c r="U2614" i="1"/>
  <c r="U2601" i="1"/>
  <c r="U2587" i="1"/>
  <c r="U2573" i="1"/>
  <c r="U2557" i="1"/>
  <c r="U2544" i="1"/>
  <c r="U2530" i="1"/>
  <c r="U2516" i="1"/>
  <c r="U2502" i="1"/>
  <c r="U2489" i="1"/>
  <c r="U2475" i="1"/>
  <c r="U2460" i="1"/>
  <c r="U2446" i="1"/>
  <c r="U2433" i="1"/>
  <c r="U2419" i="1"/>
  <c r="U2405" i="1"/>
  <c r="U2392" i="1"/>
  <c r="U2378" i="1"/>
  <c r="U2363" i="1"/>
  <c r="U2349" i="1"/>
  <c r="U2336" i="1"/>
  <c r="U2322" i="1"/>
  <c r="U2308" i="1"/>
  <c r="U2294" i="1"/>
  <c r="U2281" i="1"/>
  <c r="U2265" i="1"/>
  <c r="U2251" i="1"/>
  <c r="U2237" i="1"/>
  <c r="U2224" i="1"/>
  <c r="U2210" i="1"/>
  <c r="U2196" i="1"/>
  <c r="U2182" i="1"/>
  <c r="U2168" i="1"/>
  <c r="U2154" i="1"/>
  <c r="U2140" i="1"/>
  <c r="U2126" i="1"/>
  <c r="U2113" i="1"/>
  <c r="U2099" i="1"/>
  <c r="U2085" i="1"/>
  <c r="U2070" i="1"/>
  <c r="U2057" i="1"/>
  <c r="U2043" i="1"/>
  <c r="U2029" i="1"/>
  <c r="U2016" i="1"/>
  <c r="U2002" i="1"/>
  <c r="U1988" i="1"/>
  <c r="U1972" i="1"/>
  <c r="U1958" i="1"/>
  <c r="U1945" i="1"/>
  <c r="U1931" i="1"/>
  <c r="U1917" i="1"/>
  <c r="U1904" i="1"/>
  <c r="U1890" i="1"/>
  <c r="U1875" i="1"/>
  <c r="U1861" i="1"/>
  <c r="U1848" i="1"/>
  <c r="U1834" i="1"/>
  <c r="U1820" i="1"/>
  <c r="U1806" i="1"/>
  <c r="U1793" i="1"/>
  <c r="U1778" i="1"/>
  <c r="U1764" i="1"/>
  <c r="U1750" i="1"/>
  <c r="U1737" i="1"/>
  <c r="U1723" i="1"/>
  <c r="U1709" i="1"/>
  <c r="U1696" i="1"/>
  <c r="U1680" i="1"/>
  <c r="U1666" i="1"/>
  <c r="U1652" i="1"/>
  <c r="U1638" i="1"/>
  <c r="U1625" i="1"/>
  <c r="U1611" i="1"/>
  <c r="U1597" i="1"/>
  <c r="U1582" i="1"/>
  <c r="U1569" i="1"/>
  <c r="U1555" i="1"/>
  <c r="U1541" i="1"/>
  <c r="U1528" i="1"/>
  <c r="U1514" i="1"/>
  <c r="U1500" i="1"/>
  <c r="U1485" i="1"/>
  <c r="U1473" i="1"/>
  <c r="U1460" i="1"/>
  <c r="U1449" i="1"/>
  <c r="U1436" i="1"/>
  <c r="U1424" i="1"/>
  <c r="U1412" i="1"/>
  <c r="U1400" i="1"/>
  <c r="U1387" i="1"/>
  <c r="U1376" i="1"/>
  <c r="U1363" i="1"/>
  <c r="U1350" i="1"/>
  <c r="U1339" i="1"/>
  <c r="U1326" i="1"/>
  <c r="U1314" i="1"/>
  <c r="U1302" i="1"/>
  <c r="U1290" i="1"/>
  <c r="U1277" i="1"/>
  <c r="U1266" i="1"/>
  <c r="U1253" i="1"/>
  <c r="U1241" i="1"/>
  <c r="U1229" i="1"/>
  <c r="U3648" i="1"/>
  <c r="U3629" i="1"/>
  <c r="U3612" i="1"/>
  <c r="U3593" i="1"/>
  <c r="U3576" i="1"/>
  <c r="U3557" i="1"/>
  <c r="U3540" i="1"/>
  <c r="U3520" i="1"/>
  <c r="U3502" i="1"/>
  <c r="U3484" i="1"/>
  <c r="U3466" i="1"/>
  <c r="U3448" i="1"/>
  <c r="U3433" i="1"/>
  <c r="U3416" i="1"/>
  <c r="U3398" i="1"/>
  <c r="U3384" i="1"/>
  <c r="U3366" i="1"/>
  <c r="U3352" i="1"/>
  <c r="U3337" i="1"/>
  <c r="U3321" i="1"/>
  <c r="U3305" i="1"/>
  <c r="U3288" i="1"/>
  <c r="U3273" i="1"/>
  <c r="U3256" i="1"/>
  <c r="U3241" i="1"/>
  <c r="U3225" i="1"/>
  <c r="U3209" i="1"/>
  <c r="U3193" i="1"/>
  <c r="U3177" i="1"/>
  <c r="U3160" i="1"/>
  <c r="U3145" i="1"/>
  <c r="U3129" i="1"/>
  <c r="U3114" i="1"/>
  <c r="U3097" i="1"/>
  <c r="U3082" i="1"/>
  <c r="U3065" i="1"/>
  <c r="U3049" i="1"/>
  <c r="U3033" i="1"/>
  <c r="U3018" i="1"/>
  <c r="U3003" i="1"/>
  <c r="U2989" i="1"/>
  <c r="U2976" i="1"/>
  <c r="U2960" i="1"/>
  <c r="U2946" i="1"/>
  <c r="U2932" i="1"/>
  <c r="U2918" i="1"/>
  <c r="U2905" i="1"/>
  <c r="U2891" i="1"/>
  <c r="U2877" i="1"/>
  <c r="U2862" i="1"/>
  <c r="U2849" i="1"/>
  <c r="U2835" i="1"/>
  <c r="U2821" i="1"/>
  <c r="U2808" i="1"/>
  <c r="U2794" i="1"/>
  <c r="U2780" i="1"/>
  <c r="U2765" i="1"/>
  <c r="U2752" i="1"/>
  <c r="U2738" i="1"/>
  <c r="U2724" i="1"/>
  <c r="U2710" i="1"/>
  <c r="U2697" i="1"/>
  <c r="U2683" i="1"/>
  <c r="U2667" i="1"/>
  <c r="U2653" i="1"/>
  <c r="U2640" i="1"/>
  <c r="U2626" i="1"/>
  <c r="U2612" i="1"/>
  <c r="U2598" i="1"/>
  <c r="U2585" i="1"/>
  <c r="U2570" i="1"/>
  <c r="U2556" i="1"/>
  <c r="U2542" i="1"/>
  <c r="U2529" i="1"/>
  <c r="U2515" i="1"/>
  <c r="U2501" i="1"/>
  <c r="U2488" i="1"/>
  <c r="U2473" i="1"/>
  <c r="U2459" i="1"/>
  <c r="U2445" i="1"/>
  <c r="U2432" i="1"/>
  <c r="U2418" i="1"/>
  <c r="U2404" i="1"/>
  <c r="U2390" i="1"/>
  <c r="U2374" i="1"/>
  <c r="U2361" i="1"/>
  <c r="U2347" i="1"/>
  <c r="U2333" i="1"/>
  <c r="U2320" i="1"/>
  <c r="U2306" i="1"/>
  <c r="U2292" i="1"/>
  <c r="U2277" i="1"/>
  <c r="U2264" i="1"/>
  <c r="U2250" i="1"/>
  <c r="U2236" i="1"/>
  <c r="U2222" i="1"/>
  <c r="U2209" i="1"/>
  <c r="U2195" i="1"/>
  <c r="U2180" i="1"/>
  <c r="U2166" i="1"/>
  <c r="U2153" i="1"/>
  <c r="U2139" i="1"/>
  <c r="U2125" i="1"/>
  <c r="U2112" i="1"/>
  <c r="U2098" i="1"/>
  <c r="U2082" i="1"/>
  <c r="U2068" i="1"/>
  <c r="U2054" i="1"/>
  <c r="U2041" i="1"/>
  <c r="U2027" i="1"/>
  <c r="U2013" i="1"/>
  <c r="U2000" i="1"/>
  <c r="U1985" i="1"/>
  <c r="U1971" i="1"/>
  <c r="U1957" i="1"/>
  <c r="U1944" i="1"/>
  <c r="U1930" i="1"/>
  <c r="U1916" i="1"/>
  <c r="U1902" i="1"/>
  <c r="U1888" i="1"/>
  <c r="U1874" i="1"/>
  <c r="U1860" i="1"/>
  <c r="U1846" i="1"/>
  <c r="U1833" i="1"/>
  <c r="U1819" i="1"/>
  <c r="U1805" i="1"/>
  <c r="U1789" i="1"/>
  <c r="U1776" i="1"/>
  <c r="U1762" i="1"/>
  <c r="U1748" i="1"/>
  <c r="U1734" i="1"/>
  <c r="U1721" i="1"/>
  <c r="U1707" i="1"/>
  <c r="U1692" i="1"/>
  <c r="U1678" i="1"/>
  <c r="U1665" i="1"/>
  <c r="U1651" i="1"/>
  <c r="U1637" i="1"/>
  <c r="U1624" i="1"/>
  <c r="U1610" i="1"/>
  <c r="U1595" i="1"/>
  <c r="U1581" i="1"/>
  <c r="U1568" i="1"/>
  <c r="U1554" i="1"/>
  <c r="U1540" i="1"/>
  <c r="U1526" i="1"/>
  <c r="U1513" i="1"/>
  <c r="U1497" i="1"/>
  <c r="U1483" i="1"/>
  <c r="U1472" i="1"/>
  <c r="U1459" i="1"/>
  <c r="U1446" i="1"/>
  <c r="U1435" i="1"/>
  <c r="U1422" i="1"/>
  <c r="U1410" i="1"/>
  <c r="U1398" i="1"/>
  <c r="U1386" i="1"/>
  <c r="U1373" i="1"/>
  <c r="U1362" i="1"/>
  <c r="U1349" i="1"/>
  <c r="U1337" i="1"/>
  <c r="U1325" i="1"/>
  <c r="U1313" i="1"/>
  <c r="U1300" i="1"/>
  <c r="U1289" i="1"/>
  <c r="U1276" i="1"/>
  <c r="U1264" i="1"/>
  <c r="U1252" i="1"/>
  <c r="U1240" i="1"/>
  <c r="U1227" i="1"/>
  <c r="U1216" i="1"/>
  <c r="U1203" i="1"/>
  <c r="U1190" i="1"/>
  <c r="U1179" i="1"/>
  <c r="U1166" i="1"/>
  <c r="U1154" i="1"/>
  <c r="U1142" i="1"/>
  <c r="U1130" i="1"/>
  <c r="U1117" i="1"/>
  <c r="U1106" i="1"/>
  <c r="U1093" i="1"/>
  <c r="U1081" i="1"/>
  <c r="U1069" i="1"/>
  <c r="U1057" i="1"/>
  <c r="U1044" i="1"/>
  <c r="U1033" i="1"/>
  <c r="U1020" i="1"/>
  <c r="U1008" i="1"/>
  <c r="U996" i="1"/>
  <c r="U984" i="1"/>
  <c r="U971" i="1"/>
  <c r="U960" i="1"/>
  <c r="U947" i="1"/>
  <c r="U934" i="1"/>
  <c r="U923" i="1"/>
  <c r="U912" i="1"/>
  <c r="U901" i="1"/>
  <c r="U891" i="1"/>
  <c r="U880" i="1"/>
  <c r="U869" i="1"/>
  <c r="U859" i="1"/>
  <c r="U848" i="1"/>
  <c r="U837" i="1"/>
  <c r="U827" i="1"/>
  <c r="U816" i="1"/>
  <c r="U805" i="1"/>
  <c r="U795" i="1"/>
  <c r="U784" i="1"/>
  <c r="U773" i="1"/>
  <c r="U763" i="1"/>
  <c r="U752" i="1"/>
  <c r="U741" i="1"/>
  <c r="U731" i="1"/>
  <c r="U720" i="1"/>
  <c r="U709" i="1"/>
  <c r="U699" i="1"/>
  <c r="U688" i="1"/>
  <c r="U677" i="1"/>
  <c r="U667" i="1"/>
  <c r="U656" i="1"/>
  <c r="U645" i="1"/>
  <c r="U635" i="1"/>
  <c r="U624" i="1"/>
  <c r="U613" i="1"/>
  <c r="U603" i="1"/>
  <c r="U592" i="1"/>
  <c r="U582" i="1"/>
  <c r="U573" i="1"/>
  <c r="U564" i="1"/>
  <c r="U555" i="1"/>
  <c r="U545" i="1"/>
  <c r="U536" i="1"/>
  <c r="U527" i="1"/>
  <c r="U518" i="1"/>
  <c r="U509" i="1"/>
  <c r="U500" i="1"/>
  <c r="U491" i="1"/>
  <c r="U481" i="1"/>
  <c r="U472" i="1"/>
  <c r="U463" i="1"/>
  <c r="U454" i="1"/>
  <c r="U445" i="1"/>
  <c r="U436" i="1"/>
  <c r="U427" i="1"/>
  <c r="U417" i="1"/>
  <c r="U408" i="1"/>
  <c r="U399" i="1"/>
  <c r="U390" i="1"/>
  <c r="U381" i="1"/>
  <c r="U372" i="1"/>
  <c r="U363" i="1"/>
  <c r="U353" i="1"/>
  <c r="U344" i="1"/>
  <c r="U335" i="1"/>
  <c r="U326" i="1"/>
  <c r="U317" i="1"/>
  <c r="U308" i="1"/>
  <c r="U299" i="1"/>
  <c r="U289" i="1"/>
  <c r="U280" i="1"/>
  <c r="U271" i="1"/>
  <c r="U262" i="1"/>
  <c r="U253" i="1"/>
  <c r="U244" i="1"/>
  <c r="U235" i="1"/>
  <c r="U225" i="1"/>
  <c r="U216" i="1"/>
  <c r="U207" i="1"/>
  <c r="U198" i="1"/>
  <c r="U189" i="1"/>
  <c r="U180" i="1"/>
  <c r="U171" i="1"/>
  <c r="U161" i="1"/>
  <c r="U152" i="1"/>
  <c r="U143" i="1"/>
  <c r="U134" i="1"/>
  <c r="U125" i="1"/>
  <c r="U116" i="1"/>
  <c r="U107" i="1"/>
  <c r="U97" i="1"/>
  <c r="U88" i="1"/>
  <c r="U79" i="1"/>
  <c r="U70" i="1"/>
  <c r="U61" i="1"/>
  <c r="U52" i="1"/>
  <c r="U43" i="1"/>
  <c r="U33" i="1"/>
  <c r="U24" i="1"/>
  <c r="U15" i="1"/>
  <c r="U6" i="1"/>
  <c r="U3654" i="1"/>
  <c r="U3626" i="1"/>
  <c r="U3603" i="1"/>
  <c r="U3579" i="1"/>
  <c r="U3552" i="1"/>
  <c r="U3530" i="1"/>
  <c r="U3507" i="1"/>
  <c r="U3480" i="1"/>
  <c r="U3457" i="1"/>
  <c r="U3435" i="1"/>
  <c r="U3411" i="1"/>
  <c r="U3392" i="1"/>
  <c r="U3371" i="1"/>
  <c r="U3348" i="1"/>
  <c r="U3328" i="1"/>
  <c r="U3309" i="1"/>
  <c r="U3284" i="1"/>
  <c r="U3265" i="1"/>
  <c r="U3243" i="1"/>
  <c r="U3220" i="1"/>
  <c r="U3201" i="1"/>
  <c r="U3181" i="1"/>
  <c r="U3156" i="1"/>
  <c r="U3138" i="1"/>
  <c r="U3117" i="1"/>
  <c r="U3092" i="1"/>
  <c r="U3073" i="1"/>
  <c r="U3054" i="1"/>
  <c r="U3030" i="1"/>
  <c r="U3009" i="1"/>
  <c r="U2992" i="1"/>
  <c r="U2971" i="1"/>
  <c r="U2954" i="1"/>
  <c r="U2936" i="1"/>
  <c r="U2916" i="1"/>
  <c r="U2898" i="1"/>
  <c r="U2881" i="1"/>
  <c r="U2859" i="1"/>
  <c r="U2843" i="1"/>
  <c r="U2825" i="1"/>
  <c r="U2804" i="1"/>
  <c r="U2786" i="1"/>
  <c r="U2770" i="1"/>
  <c r="U2748" i="1"/>
  <c r="U2731" i="1"/>
  <c r="U2713" i="1"/>
  <c r="U2692" i="1"/>
  <c r="U2675" i="1"/>
  <c r="U2658" i="1"/>
  <c r="U2637" i="1"/>
  <c r="U2619" i="1"/>
  <c r="U2602" i="1"/>
  <c r="U2580" i="1"/>
  <c r="U2564" i="1"/>
  <c r="U2546" i="1"/>
  <c r="U2525" i="1"/>
  <c r="U2507" i="1"/>
  <c r="U2491" i="1"/>
  <c r="U2469" i="1"/>
  <c r="U2452" i="1"/>
  <c r="U2434" i="1"/>
  <c r="U2414" i="1"/>
  <c r="U2396" i="1"/>
  <c r="U2379" i="1"/>
  <c r="U2358" i="1"/>
  <c r="U2341" i="1"/>
  <c r="U2323" i="1"/>
  <c r="U2301" i="1"/>
  <c r="U2285" i="1"/>
  <c r="U2268" i="1"/>
  <c r="U2246" i="1"/>
  <c r="U2228" i="1"/>
  <c r="U2212" i="1"/>
  <c r="U2190" i="1"/>
  <c r="U2173" i="1"/>
  <c r="U2155" i="1"/>
  <c r="U2136" i="1"/>
  <c r="U2117" i="1"/>
  <c r="U2100" i="1"/>
  <c r="U2080" i="1"/>
  <c r="U2062" i="1"/>
  <c r="U2044" i="1"/>
  <c r="U2025" i="1"/>
  <c r="U2006" i="1"/>
  <c r="U1989" i="1"/>
  <c r="U1968" i="1"/>
  <c r="U1952" i="1"/>
  <c r="U1933" i="1"/>
  <c r="U1912" i="1"/>
  <c r="U1894" i="1"/>
  <c r="U1878" i="1"/>
  <c r="U1857" i="1"/>
  <c r="U1838" i="1"/>
  <c r="U1821" i="1"/>
  <c r="U1801" i="1"/>
  <c r="U1784" i="1"/>
  <c r="U1765" i="1"/>
  <c r="U1746" i="1"/>
  <c r="U1728" i="1"/>
  <c r="U1710" i="1"/>
  <c r="U1689" i="1"/>
  <c r="U1673" i="1"/>
  <c r="U1654" i="1"/>
  <c r="U1634" i="1"/>
  <c r="U1616" i="1"/>
  <c r="U1600" i="1"/>
  <c r="U1578" i="1"/>
  <c r="U1561" i="1"/>
  <c r="U1542" i="1"/>
  <c r="U1522" i="1"/>
  <c r="U1505" i="1"/>
  <c r="U1488" i="1"/>
  <c r="U1468" i="1"/>
  <c r="U1453" i="1"/>
  <c r="U1437" i="1"/>
  <c r="U1419" i="1"/>
  <c r="U1404" i="1"/>
  <c r="U1389" i="1"/>
  <c r="U1371" i="1"/>
  <c r="U1355" i="1"/>
  <c r="U1340" i="1"/>
  <c r="U1322" i="1"/>
  <c r="U1307" i="1"/>
  <c r="U1291" i="1"/>
  <c r="U1273" i="1"/>
  <c r="U1258" i="1"/>
  <c r="U1243" i="1"/>
  <c r="U1225" i="1"/>
  <c r="U1211" i="1"/>
  <c r="U1197" i="1"/>
  <c r="U1184" i="1"/>
  <c r="U1170" i="1"/>
  <c r="U1156" i="1"/>
  <c r="U1140" i="1"/>
  <c r="U1126" i="1"/>
  <c r="U1113" i="1"/>
  <c r="U1099" i="1"/>
  <c r="U1085" i="1"/>
  <c r="U1072" i="1"/>
  <c r="U1058" i="1"/>
  <c r="U1043" i="1"/>
  <c r="U1029" i="1"/>
  <c r="U1016" i="1"/>
  <c r="U1002" i="1"/>
  <c r="U988" i="1"/>
  <c r="U974" i="1"/>
  <c r="U961" i="1"/>
  <c r="U946" i="1"/>
  <c r="U932" i="1"/>
  <c r="U919" i="1"/>
  <c r="U907" i="1"/>
  <c r="U895" i="1"/>
  <c r="U883" i="1"/>
  <c r="U871" i="1"/>
  <c r="U857" i="1"/>
  <c r="U845" i="1"/>
  <c r="U833" i="1"/>
  <c r="U821" i="1"/>
  <c r="U809" i="1"/>
  <c r="U797" i="1"/>
  <c r="U785" i="1"/>
  <c r="U772" i="1"/>
  <c r="U760" i="1"/>
  <c r="U748" i="1"/>
  <c r="U736" i="1"/>
  <c r="U724" i="1"/>
  <c r="U712" i="1"/>
  <c r="U700" i="1"/>
  <c r="U687" i="1"/>
  <c r="U675" i="1"/>
  <c r="U3645" i="1"/>
  <c r="U3625" i="1"/>
  <c r="U3600" i="1"/>
  <c r="U3574" i="1"/>
  <c r="U3549" i="1"/>
  <c r="U3529" i="1"/>
  <c r="U3501" i="1"/>
  <c r="U3478" i="1"/>
  <c r="U3453" i="1"/>
  <c r="U3430" i="1"/>
  <c r="U3410" i="1"/>
  <c r="U3389" i="1"/>
  <c r="U3365" i="1"/>
  <c r="U3347" i="1"/>
  <c r="U3325" i="1"/>
  <c r="U3301" i="1"/>
  <c r="U3282" i="1"/>
  <c r="U3264" i="1"/>
  <c r="U3238" i="1"/>
  <c r="U3218" i="1"/>
  <c r="U3200" i="1"/>
  <c r="U3174" i="1"/>
  <c r="U3155" i="1"/>
  <c r="U3133" i="1"/>
  <c r="U3110" i="1"/>
  <c r="U3091" i="1"/>
  <c r="U3072" i="1"/>
  <c r="U3046" i="1"/>
  <c r="U3028" i="1"/>
  <c r="U3008" i="1"/>
  <c r="U2987" i="1"/>
  <c r="U2969" i="1"/>
  <c r="U2953" i="1"/>
  <c r="U2931" i="1"/>
  <c r="U2914" i="1"/>
  <c r="U2896" i="1"/>
  <c r="U2875" i="1"/>
  <c r="U2858" i="1"/>
  <c r="U2841" i="1"/>
  <c r="U2820" i="1"/>
  <c r="U2802" i="1"/>
  <c r="U2785" i="1"/>
  <c r="U2763" i="1"/>
  <c r="U2747" i="1"/>
  <c r="U2729" i="1"/>
  <c r="U2708" i="1"/>
  <c r="U2690" i="1"/>
  <c r="U2674" i="1"/>
  <c r="U2652" i="1"/>
  <c r="U2635" i="1"/>
  <c r="U2617" i="1"/>
  <c r="U2597" i="1"/>
  <c r="U2579" i="1"/>
  <c r="U2562" i="1"/>
  <c r="U2541" i="1"/>
  <c r="U2524" i="1"/>
  <c r="U2506" i="1"/>
  <c r="U2484" i="1"/>
  <c r="U2468" i="1"/>
  <c r="U2451" i="1"/>
  <c r="U2429" i="1"/>
  <c r="U2411" i="1"/>
  <c r="U2395" i="1"/>
  <c r="U2373" i="1"/>
  <c r="U2356" i="1"/>
  <c r="U2338" i="1"/>
  <c r="U2318" i="1"/>
  <c r="U2300" i="1"/>
  <c r="U2283" i="1"/>
  <c r="U2262" i="1"/>
  <c r="U2245" i="1"/>
  <c r="U2227" i="1"/>
  <c r="U2208" i="1"/>
  <c r="U2189" i="1"/>
  <c r="U2172" i="1"/>
  <c r="U2150" i="1"/>
  <c r="U2134" i="1"/>
  <c r="U2116" i="1"/>
  <c r="U2094" i="1"/>
  <c r="U2077" i="1"/>
  <c r="U2061" i="1"/>
  <c r="U2040" i="1"/>
  <c r="U2021" i="1"/>
  <c r="U2004" i="1"/>
  <c r="U1984" i="1"/>
  <c r="U1966" i="1"/>
  <c r="U1948" i="1"/>
  <c r="U1929" i="1"/>
  <c r="U1910" i="1"/>
  <c r="U1893" i="1"/>
  <c r="U1872" i="1"/>
  <c r="U1856" i="1"/>
  <c r="U1837" i="1"/>
  <c r="U1817" i="1"/>
  <c r="U1798" i="1"/>
  <c r="U1782" i="1"/>
  <c r="U1761" i="1"/>
  <c r="U1744" i="1"/>
  <c r="U1725" i="1"/>
  <c r="U1705" i="1"/>
  <c r="U1688" i="1"/>
  <c r="U1670" i="1"/>
  <c r="U1650" i="1"/>
  <c r="U1632" i="1"/>
  <c r="U1614" i="1"/>
  <c r="U1593" i="1"/>
  <c r="U1577" i="1"/>
  <c r="U1558" i="1"/>
  <c r="U1538" i="1"/>
  <c r="U1520" i="1"/>
  <c r="U1504" i="1"/>
  <c r="U1482" i="1"/>
  <c r="U1467" i="1"/>
  <c r="U1451" i="1"/>
  <c r="U1433" i="1"/>
  <c r="U1418" i="1"/>
  <c r="U1403" i="1"/>
  <c r="U1385" i="1"/>
  <c r="U1369" i="1"/>
  <c r="U1354" i="1"/>
  <c r="U1336" i="1"/>
  <c r="U1321" i="1"/>
  <c r="U1305" i="1"/>
  <c r="U1286" i="1"/>
  <c r="U1272" i="1"/>
  <c r="U1257" i="1"/>
  <c r="U1238" i="1"/>
  <c r="U1222" i="1"/>
  <c r="U1209" i="1"/>
  <c r="U1195" i="1"/>
  <c r="U1181" i="1"/>
  <c r="U1168" i="1"/>
  <c r="U1153" i="1"/>
  <c r="U1139" i="1"/>
  <c r="U1125" i="1"/>
  <c r="U1112" i="1"/>
  <c r="U1098" i="1"/>
  <c r="U1084" i="1"/>
  <c r="U1070" i="1"/>
  <c r="U1056" i="1"/>
  <c r="U1042" i="1"/>
  <c r="U1028" i="1"/>
  <c r="U1014" i="1"/>
  <c r="U1001" i="1"/>
  <c r="U987" i="1"/>
  <c r="U973" i="1"/>
  <c r="U957" i="1"/>
  <c r="U944" i="1"/>
  <c r="U930" i="1"/>
  <c r="U917" i="1"/>
  <c r="U905" i="1"/>
  <c r="U893" i="1"/>
  <c r="U881" i="1"/>
  <c r="U868" i="1"/>
  <c r="U856" i="1"/>
  <c r="U844" i="1"/>
  <c r="U832" i="1"/>
  <c r="U820" i="1"/>
  <c r="U808" i="1"/>
  <c r="U796" i="1"/>
  <c r="U783" i="1"/>
  <c r="U771" i="1"/>
  <c r="U759" i="1"/>
  <c r="U747" i="1"/>
  <c r="U735" i="1"/>
  <c r="U723" i="1"/>
  <c r="U711" i="1"/>
  <c r="U697" i="1"/>
  <c r="U685" i="1"/>
  <c r="U673" i="1"/>
  <c r="U3643" i="1"/>
  <c r="U3621" i="1"/>
  <c r="U3598" i="1"/>
  <c r="U3572" i="1"/>
  <c r="U3548" i="1"/>
  <c r="U3526" i="1"/>
  <c r="U3499" i="1"/>
  <c r="U3476" i="1"/>
  <c r="U3452" i="1"/>
  <c r="U3426" i="1"/>
  <c r="U3408" i="1"/>
  <c r="U3388" i="1"/>
  <c r="U3364" i="1"/>
  <c r="U3342" i="1"/>
  <c r="U3324" i="1"/>
  <c r="U3300" i="1"/>
  <c r="U3280" i="1"/>
  <c r="U3260" i="1"/>
  <c r="U3237" i="1"/>
  <c r="U3216" i="1"/>
  <c r="U3196" i="1"/>
  <c r="U3172" i="1"/>
  <c r="U3154" i="1"/>
  <c r="U3132" i="1"/>
  <c r="U3109" i="1"/>
  <c r="U3090" i="1"/>
  <c r="U3069" i="1"/>
  <c r="U3045" i="1"/>
  <c r="U3026" i="1"/>
  <c r="U3005" i="1"/>
  <c r="U2985" i="1"/>
  <c r="U2968" i="1"/>
  <c r="U2950" i="1"/>
  <c r="U2930" i="1"/>
  <c r="U2912" i="1"/>
  <c r="U2894" i="1"/>
  <c r="U2873" i="1"/>
  <c r="U2857" i="1"/>
  <c r="U2838" i="1"/>
  <c r="U2818" i="1"/>
  <c r="U2800" i="1"/>
  <c r="U2784" i="1"/>
  <c r="U2762" i="1"/>
  <c r="U2745" i="1"/>
  <c r="U2726" i="1"/>
  <c r="U2707" i="1"/>
  <c r="U2689" i="1"/>
  <c r="U2672" i="1"/>
  <c r="U2651" i="1"/>
  <c r="U2634" i="1"/>
  <c r="U2616" i="1"/>
  <c r="U2594" i="1"/>
  <c r="U2578" i="1"/>
  <c r="U2561" i="1"/>
  <c r="U2539" i="1"/>
  <c r="U2521" i="1"/>
  <c r="U2505" i="1"/>
  <c r="U2483" i="1"/>
  <c r="U2466" i="1"/>
  <c r="U2448" i="1"/>
  <c r="U2428" i="1"/>
  <c r="U2410" i="1"/>
  <c r="U2393" i="1"/>
  <c r="U2372" i="1"/>
  <c r="U2355" i="1"/>
  <c r="U2337" i="1"/>
  <c r="U2317" i="1"/>
  <c r="U2299" i="1"/>
  <c r="U2282" i="1"/>
  <c r="U2260" i="1"/>
  <c r="U2244" i="1"/>
  <c r="U2226" i="1"/>
  <c r="U2204" i="1"/>
  <c r="U2187" i="1"/>
  <c r="U2171" i="1"/>
  <c r="U2149" i="1"/>
  <c r="U2131" i="1"/>
  <c r="U2114" i="1"/>
  <c r="U2093" i="1"/>
  <c r="U2076" i="1"/>
  <c r="U2058" i="1"/>
  <c r="U2038" i="1"/>
  <c r="U2020" i="1"/>
  <c r="U2003" i="1"/>
  <c r="U1981" i="1"/>
  <c r="U1965" i="1"/>
  <c r="U1947" i="1"/>
  <c r="U1926" i="1"/>
  <c r="U1908" i="1"/>
  <c r="U1892" i="1"/>
  <c r="U1870" i="1"/>
  <c r="U1853" i="1"/>
  <c r="U1835" i="1"/>
  <c r="U1814" i="1"/>
  <c r="U1797" i="1"/>
  <c r="U1780" i="1"/>
  <c r="U1760" i="1"/>
  <c r="U1741" i="1"/>
  <c r="U1724" i="1"/>
  <c r="U1702" i="1"/>
  <c r="U1686" i="1"/>
  <c r="U1668" i="1"/>
  <c r="U1648" i="1"/>
  <c r="U1629" i="1"/>
  <c r="U1613" i="1"/>
  <c r="U1592" i="1"/>
  <c r="U1574" i="1"/>
  <c r="U1556" i="1"/>
  <c r="U1537" i="1"/>
  <c r="U1518" i="1"/>
  <c r="U1501" i="1"/>
  <c r="U1481" i="1"/>
  <c r="U1465" i="1"/>
  <c r="U1450" i="1"/>
  <c r="U1432" i="1"/>
  <c r="U1417" i="1"/>
  <c r="U1401" i="1"/>
  <c r="U1382" i="1"/>
  <c r="U1368" i="1"/>
  <c r="U1353" i="1"/>
  <c r="U1334" i="1"/>
  <c r="U1318" i="1"/>
  <c r="U1304" i="1"/>
  <c r="U1285" i="1"/>
  <c r="U1270" i="1"/>
  <c r="U1254" i="1"/>
  <c r="U1236" i="1"/>
  <c r="U1221" i="1"/>
  <c r="U1208" i="1"/>
  <c r="U1194" i="1"/>
  <c r="U1180" i="1"/>
  <c r="U1165" i="1"/>
  <c r="U1152" i="1"/>
  <c r="U1138" i="1"/>
  <c r="U1124" i="1"/>
  <c r="U1110" i="1"/>
  <c r="U1097" i="1"/>
  <c r="U1083" i="1"/>
  <c r="U1067" i="1"/>
  <c r="U1053" i="1"/>
  <c r="U1040" i="1"/>
  <c r="U1026" i="1"/>
  <c r="U1012" i="1"/>
  <c r="U998" i="1"/>
  <c r="U985" i="1"/>
  <c r="U970" i="1"/>
  <c r="U956" i="1"/>
  <c r="U942" i="1"/>
  <c r="U929" i="1"/>
  <c r="U916" i="1"/>
  <c r="U904" i="1"/>
  <c r="U892" i="1"/>
  <c r="U879" i="1"/>
  <c r="U867" i="1"/>
  <c r="U855" i="1"/>
  <c r="U843" i="1"/>
  <c r="U831" i="1"/>
  <c r="U819" i="1"/>
  <c r="U807" i="1"/>
  <c r="U793" i="1"/>
  <c r="U781" i="1"/>
  <c r="U769" i="1"/>
  <c r="U757" i="1"/>
  <c r="U745" i="1"/>
  <c r="U733" i="1"/>
  <c r="U721" i="1"/>
  <c r="U708" i="1"/>
  <c r="U696" i="1"/>
  <c r="U684" i="1"/>
  <c r="U672" i="1"/>
  <c r="U44" i="1"/>
  <c r="U85" i="1"/>
  <c r="U127" i="1"/>
  <c r="U168" i="1"/>
  <c r="U211" i="1"/>
  <c r="U252" i="1"/>
  <c r="U294" i="1"/>
  <c r="U336" i="1"/>
  <c r="U377" i="1"/>
  <c r="U409" i="1"/>
  <c r="U451" i="1"/>
  <c r="U493" i="1"/>
  <c r="U534" i="1"/>
  <c r="U587" i="1"/>
  <c r="U623" i="1"/>
  <c r="U676" i="1"/>
  <c r="U753" i="1"/>
  <c r="U829" i="1"/>
  <c r="U909" i="1"/>
  <c r="U994" i="1"/>
  <c r="U1088" i="1"/>
  <c r="U1174" i="1"/>
  <c r="U1268" i="1"/>
  <c r="U1377" i="1"/>
  <c r="U1477" i="1"/>
  <c r="U1601" i="1"/>
  <c r="U1715" i="1"/>
  <c r="U1830" i="1"/>
  <c r="U1954" i="1"/>
  <c r="U2073" i="1"/>
  <c r="U2192" i="1"/>
  <c r="U2310" i="1"/>
  <c r="U2427" i="1"/>
  <c r="U2550" i="1"/>
  <c r="U2665" i="1"/>
  <c r="U2788" i="1"/>
  <c r="U2904" i="1"/>
  <c r="U2995" i="1"/>
  <c r="U3126" i="1"/>
  <c r="U3266" i="1"/>
  <c r="U3362" i="1"/>
  <c r="U3513" i="1"/>
  <c r="U13" i="1"/>
  <c r="U45" i="1"/>
  <c r="U76" i="1"/>
  <c r="U118" i="1"/>
  <c r="U149" i="1"/>
  <c r="U191" i="1"/>
  <c r="U232" i="1"/>
  <c r="U264" i="1"/>
  <c r="U305" i="1"/>
  <c r="U348" i="1"/>
  <c r="U389" i="1"/>
  <c r="U431" i="1"/>
  <c r="U462" i="1"/>
  <c r="U494" i="1"/>
  <c r="U535" i="1"/>
  <c r="U567" i="1"/>
  <c r="U612" i="1"/>
  <c r="U661" i="1"/>
  <c r="U716" i="1"/>
  <c r="U776" i="1"/>
  <c r="U835" i="1"/>
  <c r="U889" i="1"/>
  <c r="U953" i="1"/>
  <c r="U1021" i="1"/>
  <c r="U1089" i="1"/>
  <c r="U1133" i="1"/>
  <c r="U1200" i="1"/>
  <c r="U1275" i="1"/>
  <c r="U1348" i="1"/>
  <c r="U1428" i="1"/>
  <c r="U1478" i="1"/>
  <c r="U1570" i="1"/>
  <c r="U1660" i="1"/>
  <c r="U1752" i="1"/>
  <c r="U1842" i="1"/>
  <c r="U1924" i="1"/>
  <c r="U2017" i="1"/>
  <c r="U2105" i="1"/>
  <c r="U2198" i="1"/>
  <c r="U2256" i="1"/>
  <c r="U2345" i="1"/>
  <c r="U2436" i="1"/>
  <c r="U2493" i="1"/>
  <c r="U2582" i="1"/>
  <c r="U2666" i="1"/>
  <c r="U2758" i="1"/>
  <c r="U2882" i="1"/>
  <c r="U2966" i="1"/>
  <c r="U3060" i="1"/>
  <c r="U3202" i="1"/>
  <c r="U3298" i="1"/>
  <c r="U3403" i="1"/>
  <c r="U3515" i="1"/>
  <c r="U4" i="1"/>
  <c r="U14" i="1"/>
  <c r="U25" i="1"/>
  <c r="U36" i="1"/>
  <c r="U46" i="1"/>
  <c r="U56" i="1"/>
  <c r="U67" i="1"/>
  <c r="U77" i="1"/>
  <c r="U87" i="1"/>
  <c r="U99" i="1"/>
  <c r="U109" i="1"/>
  <c r="U119" i="1"/>
  <c r="U129" i="1"/>
  <c r="U140" i="1"/>
  <c r="U150" i="1"/>
  <c r="U160" i="1"/>
  <c r="U172" i="1"/>
  <c r="U182" i="1"/>
  <c r="U192" i="1"/>
  <c r="U203" i="1"/>
  <c r="U213" i="1"/>
  <c r="U223" i="1"/>
  <c r="U233" i="1"/>
  <c r="U245" i="1"/>
  <c r="U255" i="1"/>
  <c r="U265" i="1"/>
  <c r="U276" i="1"/>
  <c r="U286" i="1"/>
  <c r="U296" i="1"/>
  <c r="U307" i="1"/>
  <c r="U318" i="1"/>
  <c r="U328" i="1"/>
  <c r="U339" i="1"/>
  <c r="U349" i="1"/>
  <c r="U359" i="1"/>
  <c r="U369" i="1"/>
  <c r="U380" i="1"/>
  <c r="U391" i="1"/>
  <c r="U401" i="1"/>
  <c r="U412" i="1"/>
  <c r="U422" i="1"/>
  <c r="U432" i="1"/>
  <c r="U443" i="1"/>
  <c r="U453" i="1"/>
  <c r="U464" i="1"/>
  <c r="U475" i="1"/>
  <c r="U485" i="1"/>
  <c r="U495" i="1"/>
  <c r="U505" i="1"/>
  <c r="U516" i="1"/>
  <c r="U526" i="1"/>
  <c r="U537" i="1"/>
  <c r="U548" i="1"/>
  <c r="U558" i="1"/>
  <c r="U568" i="1"/>
  <c r="U579" i="1"/>
  <c r="U589" i="1"/>
  <c r="U601" i="1"/>
  <c r="U615" i="1"/>
  <c r="U627" i="1"/>
  <c r="U639" i="1"/>
  <c r="U651" i="1"/>
  <c r="U663" i="1"/>
  <c r="U680" i="1"/>
  <c r="U701" i="1"/>
  <c r="U717" i="1"/>
  <c r="U739" i="1"/>
  <c r="U756" i="1"/>
  <c r="U777" i="1"/>
  <c r="U799" i="1"/>
  <c r="U815" i="1"/>
  <c r="U836" i="1"/>
  <c r="U853" i="1"/>
  <c r="U875" i="1"/>
  <c r="U896" i="1"/>
  <c r="U913" i="1"/>
  <c r="U937" i="1"/>
  <c r="U955" i="1"/>
  <c r="U979" i="1"/>
  <c r="U1003" i="1"/>
  <c r="U1024" i="1"/>
  <c r="U1048" i="1"/>
  <c r="U1066" i="1"/>
  <c r="U1090" i="1"/>
  <c r="U1115" i="1"/>
  <c r="U1134" i="1"/>
  <c r="U1158" i="1"/>
  <c r="U1177" i="1"/>
  <c r="U1202" i="1"/>
  <c r="U1226" i="1"/>
  <c r="U1249" i="1"/>
  <c r="U1280" i="1"/>
  <c r="U1299" i="1"/>
  <c r="U1330" i="1"/>
  <c r="U1357" i="1"/>
  <c r="U1380" i="1"/>
  <c r="U1408" i="1"/>
  <c r="U1430" i="1"/>
  <c r="U1458" i="1"/>
  <c r="U1490" i="1"/>
  <c r="U1515" i="1"/>
  <c r="U1546" i="1"/>
  <c r="U1573" i="1"/>
  <c r="U1604" i="1"/>
  <c r="U1636" i="1"/>
  <c r="U1661" i="1"/>
  <c r="U1697" i="1"/>
  <c r="U1720" i="1"/>
  <c r="U1753" i="1"/>
  <c r="U1785" i="1"/>
  <c r="U1811" i="1"/>
  <c r="U1843" i="1"/>
  <c r="U1869" i="1"/>
  <c r="U1899" i="1"/>
  <c r="U1934" i="1"/>
  <c r="U1961" i="1"/>
  <c r="U1993" i="1"/>
  <c r="U2018" i="1"/>
  <c r="U2050" i="1"/>
  <c r="U2081" i="1"/>
  <c r="U2107" i="1"/>
  <c r="U2141" i="1"/>
  <c r="U2164" i="1"/>
  <c r="U2200" i="1"/>
  <c r="U2232" i="1"/>
  <c r="U2258" i="1"/>
  <c r="U2288" i="1"/>
  <c r="U2314" i="1"/>
  <c r="U2346" i="1"/>
  <c r="U2381" i="1"/>
  <c r="U2406" i="1"/>
  <c r="U2438" i="1"/>
  <c r="U2465" i="1"/>
  <c r="U2496" i="1"/>
  <c r="U2528" i="1"/>
  <c r="U2553" i="1"/>
  <c r="U2588" i="1"/>
  <c r="U2611" i="1"/>
  <c r="U2646" i="1"/>
  <c r="U2676" i="1"/>
  <c r="U2702" i="1"/>
  <c r="U2734" i="1"/>
  <c r="U2761" i="1"/>
  <c r="U2793" i="1"/>
  <c r="U2826" i="1"/>
  <c r="U2853" i="1"/>
  <c r="U2884" i="1"/>
  <c r="U2909" i="1"/>
  <c r="U2941" i="1"/>
  <c r="U2972" i="1"/>
  <c r="U3000" i="1"/>
  <c r="U3036" i="1"/>
  <c r="U3062" i="1"/>
  <c r="U3104" i="1"/>
  <c r="U3140" i="1"/>
  <c r="U3169" i="1"/>
  <c r="U3204" i="1"/>
  <c r="U3236" i="1"/>
  <c r="U3269" i="1"/>
  <c r="U3310" i="1"/>
  <c r="U3339" i="1"/>
  <c r="U3376" i="1"/>
  <c r="U3406" i="1"/>
  <c r="U3440" i="1"/>
  <c r="U3481" i="1"/>
  <c r="U3516" i="1"/>
  <c r="U3562" i="1"/>
  <c r="U3590" i="1"/>
  <c r="U3638" i="1"/>
  <c r="U32" i="1"/>
  <c r="U75" i="1"/>
  <c r="U117" i="1"/>
  <c r="U158" i="1"/>
  <c r="U200" i="1"/>
  <c r="U241" i="1"/>
  <c r="U284" i="1"/>
  <c r="U325" i="1"/>
  <c r="U367" i="1"/>
  <c r="U420" i="1"/>
  <c r="U461" i="1"/>
  <c r="U503" i="1"/>
  <c r="U544" i="1"/>
  <c r="U576" i="1"/>
  <c r="U636" i="1"/>
  <c r="U693" i="1"/>
  <c r="U775" i="1"/>
  <c r="U851" i="1"/>
  <c r="U928" i="1"/>
  <c r="U1019" i="1"/>
  <c r="U1107" i="1"/>
  <c r="U1198" i="1"/>
  <c r="U1296" i="1"/>
  <c r="U1396" i="1"/>
  <c r="U1508" i="1"/>
  <c r="U1627" i="1"/>
  <c r="U1747" i="1"/>
  <c r="U1866" i="1"/>
  <c r="U1980" i="1"/>
  <c r="U2104" i="1"/>
  <c r="U2219" i="1"/>
  <c r="U2342" i="1"/>
  <c r="U2457" i="1"/>
  <c r="U2576" i="1"/>
  <c r="U2699" i="1"/>
  <c r="U2813" i="1"/>
  <c r="U2939" i="1"/>
  <c r="U3059" i="1"/>
  <c r="U3190" i="1"/>
  <c r="U3333" i="1"/>
  <c r="U3470" i="1"/>
  <c r="U3627" i="1"/>
  <c r="U23" i="1"/>
  <c r="U55" i="1"/>
  <c r="U86" i="1"/>
  <c r="U128" i="1"/>
  <c r="U159" i="1"/>
  <c r="U201" i="1"/>
  <c r="U243" i="1"/>
  <c r="U285" i="1"/>
  <c r="U316" i="1"/>
  <c r="U358" i="1"/>
  <c r="U400" i="1"/>
  <c r="U421" i="1"/>
  <c r="U473" i="1"/>
  <c r="U504" i="1"/>
  <c r="U547" i="1"/>
  <c r="U588" i="1"/>
  <c r="U625" i="1"/>
  <c r="U679" i="1"/>
  <c r="U737" i="1"/>
  <c r="U792" i="1"/>
  <c r="U852" i="1"/>
  <c r="U911" i="1"/>
  <c r="U978" i="1"/>
  <c r="U1046" i="1"/>
  <c r="U1108" i="1"/>
  <c r="U1176" i="1"/>
  <c r="U1248" i="1"/>
  <c r="U1298" i="1"/>
  <c r="U1378" i="1"/>
  <c r="U1456" i="1"/>
  <c r="U1545" i="1"/>
  <c r="U1628" i="1"/>
  <c r="U1716" i="1"/>
  <c r="U1810" i="1"/>
  <c r="U1898" i="1"/>
  <c r="U1990" i="1"/>
  <c r="U2049" i="1"/>
  <c r="U2137" i="1"/>
  <c r="U2221" i="1"/>
  <c r="U2286" i="1"/>
  <c r="U2370" i="1"/>
  <c r="U2464" i="1"/>
  <c r="U2552" i="1"/>
  <c r="U2643" i="1"/>
  <c r="U2733" i="1"/>
  <c r="U2817" i="1"/>
  <c r="U2908" i="1"/>
  <c r="U2996" i="1"/>
  <c r="U3101" i="1"/>
  <c r="U3232" i="1"/>
  <c r="U3334" i="1"/>
  <c r="U3556" i="1"/>
  <c r="U5" i="1"/>
  <c r="U16" i="1"/>
  <c r="U27" i="1"/>
  <c r="U37" i="1"/>
  <c r="U47" i="1"/>
  <c r="U57" i="1"/>
  <c r="U68" i="1"/>
  <c r="U78" i="1"/>
  <c r="U89" i="1"/>
  <c r="U100" i="1"/>
  <c r="U110" i="1"/>
  <c r="U120" i="1"/>
  <c r="U131" i="1"/>
  <c r="U141" i="1"/>
  <c r="U151" i="1"/>
  <c r="U163" i="1"/>
  <c r="U173" i="1"/>
  <c r="U183" i="1"/>
  <c r="U193" i="1"/>
  <c r="U204" i="1"/>
  <c r="U214" i="1"/>
  <c r="U224" i="1"/>
  <c r="U236" i="1"/>
  <c r="U246" i="1"/>
  <c r="U256" i="1"/>
  <c r="U267" i="1"/>
  <c r="U277" i="1"/>
  <c r="U287" i="1"/>
  <c r="U297" i="1"/>
  <c r="U309" i="1"/>
  <c r="U319" i="1"/>
  <c r="U329" i="1"/>
  <c r="U340" i="1"/>
  <c r="U350" i="1"/>
  <c r="U360" i="1"/>
  <c r="U371" i="1"/>
  <c r="U382" i="1"/>
  <c r="U392" i="1"/>
  <c r="U403" i="1"/>
  <c r="U413" i="1"/>
  <c r="U423" i="1"/>
  <c r="U433" i="1"/>
  <c r="U444" i="1"/>
  <c r="U455" i="1"/>
  <c r="U465" i="1"/>
  <c r="U476" i="1"/>
  <c r="U486" i="1"/>
  <c r="U496" i="1"/>
  <c r="U507" i="1"/>
  <c r="U517" i="1"/>
  <c r="U528" i="1"/>
  <c r="U539" i="1"/>
  <c r="U549" i="1"/>
  <c r="U559" i="1"/>
  <c r="U569" i="1"/>
  <c r="U580" i="1"/>
  <c r="U591" i="1"/>
  <c r="U604" i="1"/>
  <c r="U616" i="1"/>
  <c r="U628" i="1"/>
  <c r="U640" i="1"/>
  <c r="U652" i="1"/>
  <c r="U664" i="1"/>
  <c r="U681" i="1"/>
  <c r="U703" i="1"/>
  <c r="U719" i="1"/>
  <c r="U740" i="1"/>
  <c r="U761" i="1"/>
  <c r="U779" i="1"/>
  <c r="U800" i="1"/>
  <c r="U817" i="1"/>
  <c r="U839" i="1"/>
  <c r="U860" i="1"/>
  <c r="U876" i="1"/>
  <c r="U897" i="1"/>
  <c r="U915" i="1"/>
  <c r="U938" i="1"/>
  <c r="U962" i="1"/>
  <c r="U980" i="1"/>
  <c r="U1005" i="1"/>
  <c r="U1025" i="1"/>
  <c r="U1049" i="1"/>
  <c r="U1074" i="1"/>
  <c r="U1092" i="1"/>
  <c r="U1116" i="1"/>
  <c r="U1136" i="1"/>
  <c r="U1161" i="1"/>
  <c r="U1185" i="1"/>
  <c r="U1204" i="1"/>
  <c r="U1230" i="1"/>
  <c r="U1250" i="1"/>
  <c r="U1281" i="1"/>
  <c r="U1308" i="1"/>
  <c r="U1331" i="1"/>
  <c r="U1358" i="1"/>
  <c r="U1381" i="1"/>
  <c r="U1409" i="1"/>
  <c r="U1440" i="1"/>
  <c r="U1462" i="1"/>
  <c r="U1491" i="1"/>
  <c r="U1517" i="1"/>
  <c r="U1549" i="1"/>
  <c r="U1579" i="1"/>
  <c r="U1605" i="1"/>
  <c r="U1641" i="1"/>
  <c r="U1664" i="1"/>
  <c r="U1698" i="1"/>
  <c r="U1729" i="1"/>
  <c r="U1756" i="1"/>
  <c r="U1787" i="1"/>
  <c r="U1812" i="1"/>
  <c r="U1844" i="1"/>
  <c r="U1880" i="1"/>
  <c r="U1906" i="1"/>
  <c r="U1936" i="1"/>
  <c r="U1963" i="1"/>
  <c r="U1994" i="1"/>
  <c r="U2026" i="1"/>
  <c r="U2052" i="1"/>
  <c r="U2086" i="1"/>
  <c r="U2109" i="1"/>
  <c r="U2144" i="1"/>
  <c r="U2176" i="1"/>
  <c r="U2201" i="1"/>
  <c r="U2233" i="1"/>
  <c r="U2259" i="1"/>
  <c r="U2290" i="1"/>
  <c r="U2324" i="1"/>
  <c r="U2350" i="1"/>
  <c r="U2382" i="1"/>
  <c r="U2409" i="1"/>
  <c r="U2441" i="1"/>
  <c r="U2470" i="1"/>
  <c r="U2497" i="1"/>
  <c r="U2532" i="1"/>
  <c r="U2555" i="1"/>
  <c r="U2589" i="1"/>
  <c r="U2621" i="1"/>
  <c r="U2648" i="1"/>
  <c r="U2678" i="1"/>
  <c r="U2704" i="1"/>
  <c r="U2736" i="1"/>
  <c r="U2771" i="1"/>
  <c r="U2797" i="1"/>
  <c r="U2829" i="1"/>
  <c r="U2854" i="1"/>
  <c r="U2885" i="1"/>
  <c r="U2917" i="1"/>
  <c r="U2944" i="1"/>
  <c r="U2978" i="1"/>
  <c r="U3001" i="1"/>
  <c r="U3041" i="1"/>
  <c r="U3074" i="1"/>
  <c r="U3105" i="1"/>
  <c r="U3141" i="1"/>
  <c r="U3170" i="1"/>
  <c r="U3206" i="1"/>
  <c r="U3245" i="1"/>
  <c r="U3277" i="1"/>
  <c r="U3312" i="1"/>
  <c r="U3341" i="1"/>
  <c r="U3378" i="1"/>
  <c r="U3412" i="1"/>
  <c r="U3444" i="1"/>
  <c r="U3489" i="1"/>
  <c r="U3517" i="1"/>
  <c r="U3563" i="1"/>
  <c r="U3604" i="1"/>
  <c r="U3640" i="1"/>
  <c r="U22" i="1"/>
  <c r="U64" i="1"/>
  <c r="U105" i="1"/>
  <c r="U148" i="1"/>
  <c r="U190" i="1"/>
  <c r="U221" i="1"/>
  <c r="U263" i="1"/>
  <c r="U304" i="1"/>
  <c r="U347" i="1"/>
  <c r="U388" i="1"/>
  <c r="U430" i="1"/>
  <c r="U471" i="1"/>
  <c r="U513" i="1"/>
  <c r="U556" i="1"/>
  <c r="U599" i="1"/>
  <c r="U648" i="1"/>
  <c r="U715" i="1"/>
  <c r="U791" i="1"/>
  <c r="U888" i="1"/>
  <c r="U976" i="1"/>
  <c r="U1062" i="1"/>
  <c r="U1149" i="1"/>
  <c r="U1245" i="1"/>
  <c r="U1346" i="1"/>
  <c r="U1454" i="1"/>
  <c r="U1565" i="1"/>
  <c r="U1684" i="1"/>
  <c r="U1808" i="1"/>
  <c r="U1922" i="1"/>
  <c r="U2045" i="1"/>
  <c r="U2162" i="1"/>
  <c r="U2276" i="1"/>
  <c r="U2400" i="1"/>
  <c r="U2518" i="1"/>
  <c r="U2638" i="1"/>
  <c r="U2757" i="1"/>
  <c r="U2872" i="1"/>
  <c r="U3022" i="1"/>
  <c r="U3165" i="1"/>
  <c r="U3297" i="1"/>
  <c r="U3437" i="1"/>
  <c r="U3588" i="1"/>
  <c r="U35" i="1"/>
  <c r="U96" i="1"/>
  <c r="U139" i="1"/>
  <c r="U181" i="1"/>
  <c r="U212" i="1"/>
  <c r="U254" i="1"/>
  <c r="U295" i="1"/>
  <c r="U327" i="1"/>
  <c r="U368" i="1"/>
  <c r="U411" i="1"/>
  <c r="U441" i="1"/>
  <c r="U484" i="1"/>
  <c r="U525" i="1"/>
  <c r="U557" i="1"/>
  <c r="U600" i="1"/>
  <c r="U649" i="1"/>
  <c r="U755" i="1"/>
  <c r="U873" i="1"/>
  <c r="U997" i="1"/>
  <c r="U1157" i="1"/>
  <c r="U1328" i="1"/>
  <c r="U1509" i="1"/>
  <c r="U1691" i="1"/>
  <c r="U1867" i="1"/>
  <c r="U2075" i="1"/>
  <c r="U2313" i="1"/>
  <c r="U2520" i="1"/>
  <c r="U2701" i="1"/>
  <c r="U2789" i="1"/>
  <c r="U2940" i="1"/>
  <c r="U3032" i="1"/>
  <c r="U3128" i="1"/>
  <c r="U3268" i="1"/>
  <c r="U3374" i="1"/>
  <c r="U3438" i="1"/>
  <c r="U3472" i="1"/>
  <c r="U3589" i="1"/>
  <c r="U7" i="1"/>
  <c r="U17" i="1"/>
  <c r="U28" i="1"/>
  <c r="U38" i="1"/>
  <c r="U48" i="1"/>
  <c r="U59" i="1"/>
  <c r="U69" i="1"/>
  <c r="U80" i="1"/>
  <c r="U91" i="1"/>
  <c r="U101" i="1"/>
  <c r="U111" i="1"/>
  <c r="U121" i="1"/>
  <c r="U132" i="1"/>
  <c r="U142" i="1"/>
  <c r="U153" i="1"/>
  <c r="U164" i="1"/>
  <c r="U174" i="1"/>
  <c r="U184" i="1"/>
  <c r="U195" i="1"/>
  <c r="U205" i="1"/>
  <c r="U215" i="1"/>
  <c r="U227" i="1"/>
  <c r="U237" i="1"/>
  <c r="U247" i="1"/>
  <c r="U257" i="1"/>
  <c r="U268" i="1"/>
  <c r="U278" i="1"/>
  <c r="U288" i="1"/>
  <c r="U300" i="1"/>
  <c r="U310" i="1"/>
  <c r="U320" i="1"/>
  <c r="U331" i="1"/>
  <c r="U341" i="1"/>
  <c r="U351" i="1"/>
  <c r="U361" i="1"/>
  <c r="U373" i="1"/>
  <c r="U383" i="1"/>
  <c r="U393" i="1"/>
  <c r="U404" i="1"/>
  <c r="U414" i="1"/>
  <c r="U424" i="1"/>
  <c r="U435" i="1"/>
  <c r="U446" i="1"/>
  <c r="U456" i="1"/>
  <c r="U467" i="1"/>
  <c r="U477" i="1"/>
  <c r="U487" i="1"/>
  <c r="U497" i="1"/>
  <c r="U508" i="1"/>
  <c r="U519" i="1"/>
  <c r="U529" i="1"/>
  <c r="U540" i="1"/>
  <c r="U550" i="1"/>
  <c r="U560" i="1"/>
  <c r="U571" i="1"/>
  <c r="U581" i="1"/>
  <c r="U593" i="1"/>
  <c r="U605" i="1"/>
  <c r="U617" i="1"/>
  <c r="U629" i="1"/>
  <c r="U641" i="1"/>
  <c r="U653" i="1"/>
  <c r="U665" i="1"/>
  <c r="U683" i="1"/>
  <c r="U704" i="1"/>
  <c r="U725" i="1"/>
  <c r="U743" i="1"/>
  <c r="U764" i="1"/>
  <c r="U780" i="1"/>
  <c r="U801" i="1"/>
  <c r="U823" i="1"/>
  <c r="U840" i="1"/>
  <c r="U861" i="1"/>
  <c r="U877" i="1"/>
  <c r="U899" i="1"/>
  <c r="U920" i="1"/>
  <c r="U939" i="1"/>
  <c r="U964" i="1"/>
  <c r="U982" i="1"/>
  <c r="U1006" i="1"/>
  <c r="U1030" i="1"/>
  <c r="U1051" i="1"/>
  <c r="U1075" i="1"/>
  <c r="U1094" i="1"/>
  <c r="U1120" i="1"/>
  <c r="U1144" i="1"/>
  <c r="U1162" i="1"/>
  <c r="U1186" i="1"/>
  <c r="U1206" i="1"/>
  <c r="U1232" i="1"/>
  <c r="U1259" i="1"/>
  <c r="U1282" i="1"/>
  <c r="U1309" i="1"/>
  <c r="U1332" i="1"/>
  <c r="U1360" i="1"/>
  <c r="U1390" i="1"/>
  <c r="U1413" i="1"/>
  <c r="U1441" i="1"/>
  <c r="U1464" i="1"/>
  <c r="U1492" i="1"/>
  <c r="U1524" i="1"/>
  <c r="U1550" i="1"/>
  <c r="U1586" i="1"/>
  <c r="U1606" i="1"/>
  <c r="U1642" i="1"/>
  <c r="U1674" i="1"/>
  <c r="U1700" i="1"/>
  <c r="U1732" i="1"/>
  <c r="U1757" i="1"/>
  <c r="U1788" i="1"/>
  <c r="U1824" i="1"/>
  <c r="U1849" i="1"/>
  <c r="U1881" i="1"/>
  <c r="U1907" i="1"/>
  <c r="U1939" i="1"/>
  <c r="U1970" i="1"/>
  <c r="U1995" i="1"/>
  <c r="U2030" i="1"/>
  <c r="U2053" i="1"/>
  <c r="U2089" i="1"/>
  <c r="U2118" i="1"/>
  <c r="U2146" i="1"/>
  <c r="U2177" i="1"/>
  <c r="U2203" i="1"/>
  <c r="U2235" i="1"/>
  <c r="U2269" i="1"/>
  <c r="U2296" i="1"/>
  <c r="U2326" i="1"/>
  <c r="U2354" i="1"/>
  <c r="U2384" i="1"/>
  <c r="U2416" i="1"/>
  <c r="U2442" i="1"/>
  <c r="U2477" i="1"/>
  <c r="U2500" i="1"/>
  <c r="U2533" i="1"/>
  <c r="U2565" i="1"/>
  <c r="U2592" i="1"/>
  <c r="U2624" i="1"/>
  <c r="U2649" i="1"/>
  <c r="U2680" i="1"/>
  <c r="U2715" i="1"/>
  <c r="U2740" i="1"/>
  <c r="U2772" i="1"/>
  <c r="U2798" i="1"/>
  <c r="U2830" i="1"/>
  <c r="U2861" i="1"/>
  <c r="U2886" i="1"/>
  <c r="U2922" i="1"/>
  <c r="U2945" i="1"/>
  <c r="U2980" i="1"/>
  <c r="U3012" i="1"/>
  <c r="U3042" i="1"/>
  <c r="U3077" i="1"/>
  <c r="U3106" i="1"/>
  <c r="U3142" i="1"/>
  <c r="U3182" i="1"/>
  <c r="U3213" i="1"/>
  <c r="U3250" i="1"/>
  <c r="U3278" i="1"/>
  <c r="U3314" i="1"/>
  <c r="U3350" i="1"/>
  <c r="U3379" i="1"/>
  <c r="U3420" i="1"/>
  <c r="U3446" i="1"/>
  <c r="U3492" i="1"/>
  <c r="U3531" i="1"/>
  <c r="U3565" i="1"/>
  <c r="U3606" i="1"/>
  <c r="U3641" i="1"/>
  <c r="A31" i="3"/>
  <c r="A72" i="3"/>
  <c r="A113" i="3"/>
  <c r="A159" i="3"/>
  <c r="A200" i="3"/>
  <c r="A241" i="3"/>
  <c r="A287" i="3"/>
  <c r="A343" i="3"/>
  <c r="A408" i="3"/>
  <c r="A473" i="3"/>
  <c r="A543" i="3"/>
  <c r="A608" i="3"/>
  <c r="A681" i="3"/>
  <c r="A751" i="3"/>
  <c r="A816" i="3"/>
  <c r="A881" i="3"/>
  <c r="A951" i="3"/>
  <c r="A1024" i="3"/>
  <c r="A1089" i="3"/>
  <c r="A1159" i="3"/>
  <c r="A1224" i="3"/>
  <c r="A1289" i="3"/>
  <c r="A1367" i="3"/>
  <c r="A1432" i="3"/>
  <c r="A1497" i="3"/>
  <c r="A1596" i="3"/>
  <c r="A1725" i="3"/>
  <c r="A1872" i="3"/>
  <c r="A2029" i="3"/>
  <c r="A2205" i="3"/>
  <c r="A2500" i="3"/>
  <c r="A3035" i="3"/>
  <c r="A3629" i="3"/>
  <c r="A4885" i="3"/>
  <c r="A32" i="3"/>
  <c r="A73" i="3"/>
  <c r="A119" i="3"/>
  <c r="A160" i="3"/>
  <c r="A201" i="3"/>
  <c r="A247" i="3"/>
  <c r="A288" i="3"/>
  <c r="A344" i="3"/>
  <c r="A409" i="3"/>
  <c r="A479" i="3"/>
  <c r="A544" i="3"/>
  <c r="A617" i="3"/>
  <c r="A687" i="3"/>
  <c r="A752" i="3"/>
  <c r="A817" i="3"/>
  <c r="A887" i="3"/>
  <c r="A960" i="3"/>
  <c r="A1025" i="3"/>
  <c r="A1095" i="3"/>
  <c r="A1160" i="3"/>
  <c r="A1225" i="3"/>
  <c r="A1303" i="3"/>
  <c r="A1368" i="3"/>
  <c r="A1433" i="3"/>
  <c r="A1503" i="3"/>
  <c r="A1597" i="3"/>
  <c r="A1744" i="3"/>
  <c r="A1884" i="3"/>
  <c r="A2035" i="3"/>
  <c r="A2221" i="3"/>
  <c r="A2523" i="3"/>
  <c r="A3117" i="3"/>
  <c r="A3652" i="3"/>
  <c r="A5073" i="3"/>
  <c r="A33" i="3"/>
  <c r="A79" i="3"/>
  <c r="A120" i="3"/>
  <c r="A161" i="3"/>
  <c r="A207" i="3"/>
  <c r="A248" i="3"/>
  <c r="A289" i="3"/>
  <c r="A345" i="3"/>
  <c r="A415" i="3"/>
  <c r="A480" i="3"/>
  <c r="A553" i="3"/>
  <c r="A623" i="3"/>
  <c r="A688" i="3"/>
  <c r="A753" i="3"/>
  <c r="A823" i="3"/>
  <c r="A896" i="3"/>
  <c r="A961" i="3"/>
  <c r="A1031" i="3"/>
  <c r="A1096" i="3"/>
  <c r="A1161" i="3"/>
  <c r="A1239" i="3"/>
  <c r="A1304" i="3"/>
  <c r="A1369" i="3"/>
  <c r="A1439" i="3"/>
  <c r="A1504" i="3"/>
  <c r="A1616" i="3"/>
  <c r="A1756" i="3"/>
  <c r="A1885" i="3"/>
  <c r="A2036" i="3"/>
  <c r="A2228" i="3"/>
  <c r="A2605" i="3"/>
  <c r="A3140" i="3"/>
  <c r="A3675" i="3"/>
  <c r="A6343" i="3"/>
  <c r="A4702" i="3"/>
  <c r="A4188" i="3"/>
  <c r="A3780" i="3"/>
  <c r="A3611" i="3"/>
  <c r="A3437" i="3"/>
  <c r="A3268" i="3"/>
  <c r="A3099" i="3"/>
  <c r="A2925" i="3"/>
  <c r="A2756" i="3"/>
  <c r="A2587" i="3"/>
  <c r="A2436" i="3"/>
  <c r="A2349" i="3"/>
  <c r="A2267" i="3"/>
  <c r="A2181" i="3"/>
  <c r="A2123" i="3"/>
  <c r="A2075" i="3"/>
  <c r="A2012" i="3"/>
  <c r="A1952" i="3"/>
  <c r="A1916" i="3"/>
  <c r="A1869" i="3"/>
  <c r="A1824" i="3"/>
  <c r="A1788" i="3"/>
  <c r="A1741" i="3"/>
  <c r="A1696" i="3"/>
  <c r="A1660" i="3"/>
  <c r="A1613" i="3"/>
  <c r="A1568" i="3"/>
  <c r="A1535" i="3"/>
  <c r="A1512" i="3"/>
  <c r="A1489" i="3"/>
  <c r="A1471" i="3"/>
  <c r="A1448" i="3"/>
  <c r="A1425" i="3"/>
  <c r="A1407" i="3"/>
  <c r="A1384" i="3"/>
  <c r="A1361" i="3"/>
  <c r="A1343" i="3"/>
  <c r="A1320" i="3"/>
  <c r="A1297" i="3"/>
  <c r="A1279" i="3"/>
  <c r="A1256" i="3"/>
  <c r="A1233" i="3"/>
  <c r="A1215" i="3"/>
  <c r="A1192" i="3"/>
  <c r="A1169" i="3"/>
  <c r="A1151" i="3"/>
  <c r="A1128" i="3"/>
  <c r="A1105" i="3"/>
  <c r="A1087" i="3"/>
  <c r="A1064" i="3"/>
  <c r="A1041" i="3"/>
  <c r="A1023" i="3"/>
  <c r="A1000" i="3"/>
  <c r="A977" i="3"/>
  <c r="A959" i="3"/>
  <c r="A936" i="3"/>
  <c r="A913" i="3"/>
  <c r="A895" i="3"/>
  <c r="A872" i="3"/>
  <c r="A849" i="3"/>
  <c r="A831" i="3"/>
  <c r="A808" i="3"/>
  <c r="A785" i="3"/>
  <c r="A767" i="3"/>
  <c r="A744" i="3"/>
  <c r="A721" i="3"/>
  <c r="A703" i="3"/>
  <c r="A680" i="3"/>
  <c r="A657" i="3"/>
  <c r="A639" i="3"/>
  <c r="A616" i="3"/>
  <c r="A593" i="3"/>
  <c r="A575" i="3"/>
  <c r="A552" i="3"/>
  <c r="A529" i="3"/>
  <c r="A511" i="3"/>
  <c r="A488" i="3"/>
  <c r="A465" i="3"/>
  <c r="A447" i="3"/>
  <c r="A424" i="3"/>
  <c r="A401" i="3"/>
  <c r="A383" i="3"/>
  <c r="A360" i="3"/>
  <c r="A337" i="3"/>
  <c r="A319" i="3"/>
  <c r="A4616" i="3"/>
  <c r="A4140" i="3"/>
  <c r="A3757" i="3"/>
  <c r="A3588" i="3"/>
  <c r="A3419" i="3"/>
  <c r="A3245" i="3"/>
  <c r="A3076" i="3"/>
  <c r="A2907" i="3"/>
  <c r="A2733" i="3"/>
  <c r="A2564" i="3"/>
  <c r="A2420" i="3"/>
  <c r="A2333" i="3"/>
  <c r="A2251" i="3"/>
  <c r="A2180" i="3"/>
  <c r="A2117" i="3"/>
  <c r="A2059" i="3"/>
  <c r="A2011" i="3"/>
  <c r="A1949" i="3"/>
  <c r="A1904" i="3"/>
  <c r="A1868" i="3"/>
  <c r="A1821" i="3"/>
  <c r="A1776" i="3"/>
  <c r="A1740" i="3"/>
  <c r="A1693" i="3"/>
  <c r="A1648" i="3"/>
  <c r="A1612" i="3"/>
  <c r="A1565" i="3"/>
  <c r="A1529" i="3"/>
  <c r="A1511" i="3"/>
  <c r="A1488" i="3"/>
  <c r="A1465" i="3"/>
  <c r="A1447" i="3"/>
  <c r="A1424" i="3"/>
  <c r="A1401" i="3"/>
  <c r="A1383" i="3"/>
  <c r="A1360" i="3"/>
  <c r="A1337" i="3"/>
  <c r="A1319" i="3"/>
  <c r="A1296" i="3"/>
  <c r="A1273" i="3"/>
  <c r="A1255" i="3"/>
  <c r="A1232" i="3"/>
  <c r="A1209" i="3"/>
  <c r="A1191" i="3"/>
  <c r="A1168" i="3"/>
  <c r="A1145" i="3"/>
  <c r="A1127" i="3"/>
  <c r="A1104" i="3"/>
  <c r="A1081" i="3"/>
  <c r="A1063" i="3"/>
  <c r="A1040" i="3"/>
  <c r="A1017" i="3"/>
  <c r="A999" i="3"/>
  <c r="A976" i="3"/>
  <c r="A953" i="3"/>
  <c r="A935" i="3"/>
  <c r="A912" i="3"/>
  <c r="A889" i="3"/>
  <c r="A871" i="3"/>
  <c r="A848" i="3"/>
  <c r="A825" i="3"/>
  <c r="A807" i="3"/>
  <c r="A784" i="3"/>
  <c r="A761" i="3"/>
  <c r="A743" i="3"/>
  <c r="A720" i="3"/>
  <c r="A697" i="3"/>
  <c r="A679" i="3"/>
  <c r="A656" i="3"/>
  <c r="A633" i="3"/>
  <c r="A615" i="3"/>
  <c r="A592" i="3"/>
  <c r="A569" i="3"/>
  <c r="A551" i="3"/>
  <c r="A528" i="3"/>
  <c r="A505" i="3"/>
  <c r="A487" i="3"/>
  <c r="A464" i="3"/>
  <c r="A441" i="3"/>
  <c r="A423" i="3"/>
  <c r="A400" i="3"/>
  <c r="A377" i="3"/>
  <c r="A359" i="3"/>
  <c r="A336" i="3"/>
  <c r="A313" i="3"/>
  <c r="A6247" i="3"/>
  <c r="A4533" i="3"/>
  <c r="A4082" i="3"/>
  <c r="A3739" i="3"/>
  <c r="A3565" i="3"/>
  <c r="A3396" i="3"/>
  <c r="A3227" i="3"/>
  <c r="A3053" i="3"/>
  <c r="A2884" i="3"/>
  <c r="A2715" i="3"/>
  <c r="A2541" i="3"/>
  <c r="A2413" i="3"/>
  <c r="A2331" i="3"/>
  <c r="A2244" i="3"/>
  <c r="A2164" i="3"/>
  <c r="A2116" i="3"/>
  <c r="A2053" i="3"/>
  <c r="A1995" i="3"/>
  <c r="A1948" i="3"/>
  <c r="A1901" i="3"/>
  <c r="A1856" i="3"/>
  <c r="A1820" i="3"/>
  <c r="A1773" i="3"/>
  <c r="A1728" i="3"/>
  <c r="A1692" i="3"/>
  <c r="A1645" i="3"/>
  <c r="A1600" i="3"/>
  <c r="A1564" i="3"/>
  <c r="A1528" i="3"/>
  <c r="A1505" i="3"/>
  <c r="A1487" i="3"/>
  <c r="A1464" i="3"/>
  <c r="A1441" i="3"/>
  <c r="A1423" i="3"/>
  <c r="A1400" i="3"/>
  <c r="A1377" i="3"/>
  <c r="A1359" i="3"/>
  <c r="A1336" i="3"/>
  <c r="A1313" i="3"/>
  <c r="A1295" i="3"/>
  <c r="A1272" i="3"/>
  <c r="A1249" i="3"/>
  <c r="A1231" i="3"/>
  <c r="A1208" i="3"/>
  <c r="A1185" i="3"/>
  <c r="A1167" i="3"/>
  <c r="A1144" i="3"/>
  <c r="A1121" i="3"/>
  <c r="A1103" i="3"/>
  <c r="A1080" i="3"/>
  <c r="A1057" i="3"/>
  <c r="A1039" i="3"/>
  <c r="A1016" i="3"/>
  <c r="A993" i="3"/>
  <c r="A975" i="3"/>
  <c r="A952" i="3"/>
  <c r="A929" i="3"/>
  <c r="A911" i="3"/>
  <c r="A888" i="3"/>
  <c r="A865" i="3"/>
  <c r="A847" i="3"/>
  <c r="A824" i="3"/>
  <c r="A801" i="3"/>
  <c r="A783" i="3"/>
  <c r="A760" i="3"/>
  <c r="A737" i="3"/>
  <c r="A719" i="3"/>
  <c r="A696" i="3"/>
  <c r="A673" i="3"/>
  <c r="A655" i="3"/>
  <c r="A632" i="3"/>
  <c r="A609" i="3"/>
  <c r="A591" i="3"/>
  <c r="A568" i="3"/>
  <c r="A545" i="3"/>
  <c r="A527" i="3"/>
  <c r="A504" i="3"/>
  <c r="A481" i="3"/>
  <c r="A463" i="3"/>
  <c r="A440" i="3"/>
  <c r="A417" i="3"/>
  <c r="A399" i="3"/>
  <c r="A376" i="3"/>
  <c r="A353" i="3"/>
  <c r="A335" i="3"/>
  <c r="A4420" i="3"/>
  <c r="A3803" i="3"/>
  <c r="A3501" i="3"/>
  <c r="A3204" i="3"/>
  <c r="A2971" i="3"/>
  <c r="A2669" i="3"/>
  <c r="A2443" i="3"/>
  <c r="A2292" i="3"/>
  <c r="A2163" i="3"/>
  <c r="A2077" i="3"/>
  <c r="A1988" i="3"/>
  <c r="A1917" i="3"/>
  <c r="A1840" i="3"/>
  <c r="A1772" i="3"/>
  <c r="A1709" i="3"/>
  <c r="A1632" i="3"/>
  <c r="A1580" i="3"/>
  <c r="A1520" i="3"/>
  <c r="A1481" i="3"/>
  <c r="A1455" i="3"/>
  <c r="A1416" i="3"/>
  <c r="A1385" i="3"/>
  <c r="A1351" i="3"/>
  <c r="A1312" i="3"/>
  <c r="A1281" i="3"/>
  <c r="A1247" i="3"/>
  <c r="A1216" i="3"/>
  <c r="A1177" i="3"/>
  <c r="A1143" i="3"/>
  <c r="A1112" i="3"/>
  <c r="A1073" i="3"/>
  <c r="A1047" i="3"/>
  <c r="A1008" i="3"/>
  <c r="A969" i="3"/>
  <c r="A943" i="3"/>
  <c r="A904" i="3"/>
  <c r="A873" i="3"/>
  <c r="A839" i="3"/>
  <c r="A800" i="3"/>
  <c r="A769" i="3"/>
  <c r="A735" i="3"/>
  <c r="A704" i="3"/>
  <c r="A665" i="3"/>
  <c r="A631" i="3"/>
  <c r="A600" i="3"/>
  <c r="A561" i="3"/>
  <c r="A535" i="3"/>
  <c r="A496" i="3"/>
  <c r="A457" i="3"/>
  <c r="A431" i="3"/>
  <c r="A392" i="3"/>
  <c r="A361" i="3"/>
  <c r="A327" i="3"/>
  <c r="A297" i="3"/>
  <c r="A279" i="3"/>
  <c r="A256" i="3"/>
  <c r="A233" i="3"/>
  <c r="A215" i="3"/>
  <c r="A192" i="3"/>
  <c r="A169" i="3"/>
  <c r="A151" i="3"/>
  <c r="A128" i="3"/>
  <c r="A105" i="3"/>
  <c r="A87" i="3"/>
  <c r="A64" i="3"/>
  <c r="A41" i="3"/>
  <c r="A23" i="3"/>
  <c r="A2" i="3"/>
  <c r="A4362" i="3"/>
  <c r="A3716" i="3"/>
  <c r="A3483" i="3"/>
  <c r="A3181" i="3"/>
  <c r="A2948" i="3"/>
  <c r="A2651" i="3"/>
  <c r="A2397" i="3"/>
  <c r="A2285" i="3"/>
  <c r="A2157" i="3"/>
  <c r="A2076" i="3"/>
  <c r="A1972" i="3"/>
  <c r="A1900" i="3"/>
  <c r="A1837" i="3"/>
  <c r="A1760" i="3"/>
  <c r="A1708" i="3"/>
  <c r="A1629" i="3"/>
  <c r="A1552" i="3"/>
  <c r="A1519" i="3"/>
  <c r="A1480" i="3"/>
  <c r="A1449" i="3"/>
  <c r="A1415" i="3"/>
  <c r="A1376" i="3"/>
  <c r="A1345" i="3"/>
  <c r="A1311" i="3"/>
  <c r="A1280" i="3"/>
  <c r="A1241" i="3"/>
  <c r="A1207" i="3"/>
  <c r="A1176" i="3"/>
  <c r="A1137" i="3"/>
  <c r="A1111" i="3"/>
  <c r="A1072" i="3"/>
  <c r="A1033" i="3"/>
  <c r="A1007" i="3"/>
  <c r="A968" i="3"/>
  <c r="A937" i="3"/>
  <c r="A903" i="3"/>
  <c r="A864" i="3"/>
  <c r="A833" i="3"/>
  <c r="A799" i="3"/>
  <c r="A768" i="3"/>
  <c r="A729" i="3"/>
  <c r="A695" i="3"/>
  <c r="A664" i="3"/>
  <c r="A625" i="3"/>
  <c r="A599" i="3"/>
  <c r="A560" i="3"/>
  <c r="A521" i="3"/>
  <c r="A495" i="3"/>
  <c r="A456" i="3"/>
  <c r="A425" i="3"/>
  <c r="A391" i="3"/>
  <c r="A352" i="3"/>
  <c r="A321" i="3"/>
  <c r="A296" i="3"/>
  <c r="A273" i="3"/>
  <c r="A255" i="3"/>
  <c r="A232" i="3"/>
  <c r="A209" i="3"/>
  <c r="A191" i="3"/>
  <c r="A168" i="3"/>
  <c r="A145" i="3"/>
  <c r="A127" i="3"/>
  <c r="A104" i="3"/>
  <c r="A81" i="3"/>
  <c r="A63" i="3"/>
  <c r="A40" i="3"/>
  <c r="A17" i="3"/>
  <c r="A5651" i="3"/>
  <c r="A4314" i="3"/>
  <c r="A3693" i="3"/>
  <c r="A3460" i="3"/>
  <c r="A3163" i="3"/>
  <c r="A2861" i="3"/>
  <c r="A2628" i="3"/>
  <c r="A2395" i="3"/>
  <c r="A2269" i="3"/>
  <c r="A2141" i="3"/>
  <c r="A2052" i="3"/>
  <c r="A1971" i="3"/>
  <c r="A1888" i="3"/>
  <c r="A1836" i="3"/>
  <c r="A1757" i="3"/>
  <c r="A1680" i="3"/>
  <c r="A1628" i="3"/>
  <c r="A1549" i="3"/>
  <c r="A1513" i="3"/>
  <c r="A1479" i="3"/>
  <c r="A1440" i="3"/>
  <c r="A1409" i="3"/>
  <c r="A1375" i="3"/>
  <c r="A1344" i="3"/>
  <c r="A1305" i="3"/>
  <c r="A1271" i="3"/>
  <c r="A1240" i="3"/>
  <c r="A1201" i="3"/>
  <c r="A1175" i="3"/>
  <c r="A1136" i="3"/>
  <c r="A1097" i="3"/>
  <c r="A1071" i="3"/>
  <c r="A1032" i="3"/>
  <c r="A1001" i="3"/>
  <c r="A967" i="3"/>
  <c r="A928" i="3"/>
  <c r="A897" i="3"/>
  <c r="A863" i="3"/>
  <c r="A832" i="3"/>
  <c r="A793" i="3"/>
  <c r="A759" i="3"/>
  <c r="A728" i="3"/>
  <c r="A689" i="3"/>
  <c r="A663" i="3"/>
  <c r="A624" i="3"/>
  <c r="A585" i="3"/>
  <c r="A559" i="3"/>
  <c r="A520" i="3"/>
  <c r="A489" i="3"/>
  <c r="A455" i="3"/>
  <c r="A416" i="3"/>
  <c r="A385" i="3"/>
  <c r="A351" i="3"/>
  <c r="A320" i="3"/>
  <c r="A295" i="3"/>
  <c r="A272" i="3"/>
  <c r="A249" i="3"/>
  <c r="A231" i="3"/>
  <c r="A208" i="3"/>
  <c r="A185" i="3"/>
  <c r="A167" i="3"/>
  <c r="A144" i="3"/>
  <c r="A121" i="3"/>
  <c r="A103" i="3"/>
  <c r="A80" i="3"/>
  <c r="A57" i="3"/>
  <c r="A39" i="3"/>
  <c r="A16" i="3"/>
  <c r="A4777" i="3"/>
  <c r="A3908" i="3"/>
  <c r="A3547" i="3"/>
  <c r="A3309" i="3"/>
  <c r="A3012" i="3"/>
  <c r="A2779" i="3"/>
  <c r="A2477" i="3"/>
  <c r="A2315" i="3"/>
  <c r="A2203" i="3"/>
  <c r="A2099" i="3"/>
  <c r="A2013" i="3"/>
  <c r="A1932" i="3"/>
  <c r="A1853" i="3"/>
  <c r="A1792" i="3"/>
  <c r="A1724" i="3"/>
  <c r="A1661" i="3"/>
  <c r="A1584" i="3"/>
  <c r="A1527" i="3"/>
  <c r="A1496" i="3"/>
  <c r="A1457" i="3"/>
  <c r="A1431" i="3"/>
  <c r="A1392" i="3"/>
  <c r="A1353" i="3"/>
  <c r="A1327" i="3"/>
  <c r="A1288" i="3"/>
  <c r="A1257" i="3"/>
  <c r="A1223" i="3"/>
  <c r="A1184" i="3"/>
  <c r="A1153" i="3"/>
  <c r="A1119" i="3"/>
  <c r="A1088" i="3"/>
  <c r="A1049" i="3"/>
  <c r="A1015" i="3"/>
  <c r="A984" i="3"/>
  <c r="A945" i="3"/>
  <c r="A919" i="3"/>
  <c r="A880" i="3"/>
  <c r="A841" i="3"/>
  <c r="A815" i="3"/>
  <c r="A776" i="3"/>
  <c r="A745" i="3"/>
  <c r="A711" i="3"/>
  <c r="A672" i="3"/>
  <c r="A641" i="3"/>
  <c r="A607" i="3"/>
  <c r="A576" i="3"/>
  <c r="A537" i="3"/>
  <c r="A503" i="3"/>
  <c r="A472" i="3"/>
  <c r="A433" i="3"/>
  <c r="A407" i="3"/>
  <c r="A368" i="3"/>
  <c r="A329" i="3"/>
  <c r="A304" i="3"/>
  <c r="A281" i="3"/>
  <c r="A263" i="3"/>
  <c r="A240" i="3"/>
  <c r="A217" i="3"/>
  <c r="A199" i="3"/>
  <c r="A176" i="3"/>
  <c r="A153" i="3"/>
  <c r="A135" i="3"/>
  <c r="A112" i="3"/>
  <c r="A89" i="3"/>
  <c r="A71" i="3"/>
  <c r="A48" i="3"/>
  <c r="A25" i="3"/>
  <c r="A7" i="3"/>
  <c r="A47" i="3"/>
  <c r="A88" i="3"/>
  <c r="A129" i="3"/>
  <c r="A175" i="3"/>
  <c r="A216" i="3"/>
  <c r="A257" i="3"/>
  <c r="A303" i="3"/>
  <c r="A367" i="3"/>
  <c r="A432" i="3"/>
  <c r="A497" i="3"/>
  <c r="A567" i="3"/>
  <c r="A640" i="3"/>
  <c r="A705" i="3"/>
  <c r="A775" i="3"/>
  <c r="A840" i="3"/>
  <c r="A905" i="3"/>
  <c r="A983" i="3"/>
  <c r="A1048" i="3"/>
  <c r="A1113" i="3"/>
  <c r="A1183" i="3"/>
  <c r="A1248" i="3"/>
  <c r="A1321" i="3"/>
  <c r="A1391" i="3"/>
  <c r="A1456" i="3"/>
  <c r="A1521" i="3"/>
  <c r="A1644" i="3"/>
  <c r="A1789" i="3"/>
  <c r="A1920" i="3"/>
  <c r="A2093" i="3"/>
  <c r="A2308" i="3"/>
  <c r="A2692" i="3"/>
  <c r="A3291" i="3"/>
  <c r="A3850" i="3"/>
  <c r="A8" i="3"/>
  <c r="A49" i="3"/>
  <c r="A95" i="3"/>
  <c r="A136" i="3"/>
  <c r="A177" i="3"/>
  <c r="A223" i="3"/>
  <c r="A264" i="3"/>
  <c r="A305" i="3"/>
  <c r="A369" i="3"/>
  <c r="A439" i="3"/>
  <c r="A512" i="3"/>
  <c r="A577" i="3"/>
  <c r="A647" i="3"/>
  <c r="A712" i="3"/>
  <c r="A777" i="3"/>
  <c r="A855" i="3"/>
  <c r="A920" i="3"/>
  <c r="A985" i="3"/>
  <c r="A1055" i="3"/>
  <c r="A1120" i="3"/>
  <c r="A1193" i="3"/>
  <c r="A1263" i="3"/>
  <c r="A1328" i="3"/>
  <c r="A1393" i="3"/>
  <c r="A1463" i="3"/>
  <c r="A1536" i="3"/>
  <c r="A1664" i="3"/>
  <c r="A1804" i="3"/>
  <c r="A1933" i="3"/>
  <c r="A2100" i="3"/>
  <c r="A2356" i="3"/>
  <c r="A2797" i="3"/>
  <c r="A3332" i="3"/>
  <c r="A3971" i="3"/>
  <c r="U3647" i="1"/>
  <c r="U3639" i="1"/>
  <c r="U3631" i="1"/>
  <c r="U3623" i="1"/>
  <c r="U3615" i="1"/>
  <c r="U3607" i="1"/>
  <c r="U3599" i="1"/>
  <c r="U3591" i="1"/>
  <c r="U3583" i="1"/>
  <c r="U3575" i="1"/>
  <c r="U3567" i="1"/>
  <c r="U3559" i="1"/>
  <c r="U3551" i="1"/>
  <c r="U3543" i="1"/>
  <c r="U3535" i="1"/>
  <c r="U3527" i="1"/>
  <c r="U3519" i="1"/>
  <c r="U3511" i="1"/>
  <c r="U3503" i="1"/>
  <c r="U3495" i="1"/>
  <c r="U3487" i="1"/>
  <c r="U3479" i="1"/>
  <c r="U3471" i="1"/>
  <c r="U3463" i="1"/>
  <c r="U3455" i="1"/>
  <c r="U3447" i="1"/>
  <c r="U3439" i="1"/>
  <c r="U3431" i="1"/>
  <c r="U3423" i="1"/>
  <c r="U3415" i="1"/>
  <c r="U3407" i="1"/>
  <c r="U3399" i="1"/>
  <c r="U3391" i="1"/>
  <c r="U3383" i="1"/>
  <c r="U3375" i="1"/>
  <c r="U3367" i="1"/>
  <c r="U3359" i="1"/>
  <c r="U3351" i="1"/>
  <c r="U3343" i="1"/>
  <c r="U3335" i="1"/>
  <c r="U3327" i="1"/>
  <c r="U3319" i="1"/>
  <c r="U3311" i="1"/>
  <c r="U3303" i="1"/>
  <c r="U3295" i="1"/>
  <c r="U3287" i="1"/>
  <c r="U3279" i="1"/>
  <c r="U3271" i="1"/>
  <c r="U3263" i="1"/>
  <c r="U3255" i="1"/>
  <c r="U3247" i="1"/>
  <c r="U3239" i="1"/>
  <c r="U3231" i="1"/>
  <c r="U3223" i="1"/>
  <c r="U3215" i="1"/>
  <c r="U3207" i="1"/>
  <c r="U3199" i="1"/>
  <c r="U3191" i="1"/>
  <c r="U3183" i="1"/>
  <c r="U3175" i="1"/>
  <c r="U3167" i="1"/>
  <c r="U3159" i="1"/>
  <c r="U3151" i="1"/>
  <c r="U3143" i="1"/>
  <c r="U3135" i="1"/>
  <c r="U3127" i="1"/>
  <c r="U3119" i="1"/>
  <c r="U3111" i="1"/>
  <c r="U3103" i="1"/>
  <c r="U3095" i="1"/>
  <c r="U3087" i="1"/>
  <c r="U3079" i="1"/>
  <c r="U3071" i="1"/>
  <c r="U3063" i="1"/>
  <c r="U3055" i="1"/>
  <c r="U3047" i="1"/>
  <c r="U3039" i="1"/>
  <c r="U3031" i="1"/>
  <c r="U3023" i="1"/>
  <c r="U3015" i="1"/>
  <c r="U3007" i="1"/>
  <c r="U2999" i="1"/>
  <c r="U2991" i="1"/>
  <c r="U2983" i="1"/>
  <c r="U2975" i="1"/>
  <c r="U2967" i="1"/>
  <c r="U2959" i="1"/>
  <c r="U2951" i="1"/>
  <c r="U2943" i="1"/>
  <c r="U2935" i="1"/>
  <c r="U2927" i="1"/>
  <c r="U2919" i="1"/>
  <c r="U2911" i="1"/>
  <c r="U2903" i="1"/>
  <c r="U2895" i="1"/>
  <c r="U2887" i="1"/>
  <c r="U2879" i="1"/>
  <c r="U2871" i="1"/>
  <c r="U2863" i="1"/>
  <c r="U2855" i="1"/>
  <c r="U2847" i="1"/>
  <c r="U2839" i="1"/>
  <c r="U2831" i="1"/>
  <c r="U2823" i="1"/>
  <c r="U2815" i="1"/>
  <c r="U2807" i="1"/>
  <c r="U2799" i="1"/>
  <c r="U2791" i="1"/>
  <c r="U2783" i="1"/>
  <c r="U2775" i="1"/>
  <c r="U2767" i="1"/>
  <c r="U2759" i="1"/>
  <c r="U2751" i="1"/>
  <c r="U2743" i="1"/>
  <c r="U2735" i="1"/>
  <c r="U2727" i="1"/>
  <c r="U2719" i="1"/>
  <c r="U2711" i="1"/>
  <c r="U2703" i="1"/>
  <c r="U2695" i="1"/>
  <c r="U2687" i="1"/>
  <c r="U2679" i="1"/>
  <c r="U2671" i="1"/>
  <c r="U2663" i="1"/>
  <c r="U2655" i="1"/>
  <c r="U2647" i="1"/>
  <c r="U2639" i="1"/>
  <c r="U2631" i="1"/>
  <c r="U2623" i="1"/>
  <c r="U2615" i="1"/>
  <c r="U2607" i="1"/>
  <c r="U2599" i="1"/>
  <c r="U2591" i="1"/>
  <c r="U2583" i="1"/>
  <c r="U2575" i="1"/>
  <c r="U2567" i="1"/>
  <c r="U2559" i="1"/>
  <c r="U2551" i="1"/>
  <c r="U2543" i="1"/>
  <c r="U2535" i="1"/>
  <c r="U2527" i="1"/>
  <c r="U2519" i="1"/>
  <c r="U2511" i="1"/>
  <c r="U2503" i="1"/>
  <c r="U2495" i="1"/>
  <c r="U2487" i="1"/>
  <c r="U2479" i="1"/>
  <c r="U2471" i="1"/>
  <c r="U2463" i="1"/>
  <c r="U2455" i="1"/>
  <c r="U2447" i="1"/>
  <c r="U2439" i="1"/>
  <c r="U2431" i="1"/>
  <c r="U2423" i="1"/>
  <c r="U2415" i="1"/>
  <c r="U2407" i="1"/>
  <c r="U2399" i="1"/>
  <c r="U2391" i="1"/>
  <c r="U2383" i="1"/>
  <c r="U2375" i="1"/>
  <c r="U2367" i="1"/>
  <c r="U2359" i="1"/>
  <c r="U2351" i="1"/>
  <c r="U2343" i="1"/>
  <c r="U2335" i="1"/>
  <c r="U2327" i="1"/>
  <c r="U2319" i="1"/>
  <c r="U2311" i="1"/>
  <c r="U2303" i="1"/>
  <c r="U2295" i="1"/>
  <c r="U2287" i="1"/>
  <c r="U2279" i="1"/>
  <c r="U2271" i="1"/>
  <c r="U2263" i="1"/>
  <c r="U2255" i="1"/>
  <c r="U2247" i="1"/>
  <c r="U2239" i="1"/>
  <c r="U2231" i="1"/>
  <c r="U2223" i="1"/>
  <c r="U2215" i="1"/>
  <c r="U2207" i="1"/>
  <c r="U2199" i="1"/>
  <c r="U2191" i="1"/>
  <c r="U2183" i="1"/>
  <c r="U2175" i="1"/>
  <c r="U2167" i="1"/>
  <c r="U2159" i="1"/>
  <c r="U2151" i="1"/>
  <c r="U2143" i="1"/>
  <c r="U2135" i="1"/>
  <c r="U2127" i="1"/>
  <c r="U2119" i="1"/>
  <c r="U2111" i="1"/>
  <c r="U2103" i="1"/>
  <c r="U2095" i="1"/>
  <c r="U2087" i="1"/>
  <c r="U2079" i="1"/>
  <c r="U2071" i="1"/>
  <c r="U2063" i="1"/>
  <c r="U2055" i="1"/>
  <c r="U2047" i="1"/>
  <c r="U2039" i="1"/>
  <c r="U2031" i="1"/>
  <c r="U2023" i="1"/>
  <c r="U2015" i="1"/>
  <c r="U2007" i="1"/>
  <c r="U1999" i="1"/>
  <c r="U1991" i="1"/>
  <c r="U1983" i="1"/>
  <c r="U1975" i="1"/>
  <c r="U1967" i="1"/>
  <c r="U1959" i="1"/>
  <c r="U1951" i="1"/>
  <c r="U1943" i="1"/>
  <c r="U1935" i="1"/>
  <c r="U1927" i="1"/>
  <c r="U1919" i="1"/>
  <c r="U1911" i="1"/>
  <c r="U1903" i="1"/>
  <c r="U1895" i="1"/>
  <c r="U1887" i="1"/>
  <c r="U1879" i="1"/>
  <c r="U1871" i="1"/>
  <c r="U1863" i="1"/>
  <c r="U1855" i="1"/>
  <c r="U1847" i="1"/>
  <c r="U1839" i="1"/>
  <c r="U1831" i="1"/>
  <c r="U1823" i="1"/>
  <c r="U1815" i="1"/>
  <c r="U1807" i="1"/>
  <c r="U1799" i="1"/>
  <c r="U1791" i="1"/>
  <c r="U1783" i="1"/>
  <c r="U1775" i="1"/>
  <c r="U1767" i="1"/>
  <c r="U1759" i="1"/>
  <c r="U1751" i="1"/>
  <c r="U1743" i="1"/>
  <c r="U1735" i="1"/>
  <c r="U1727" i="1"/>
  <c r="U1719" i="1"/>
  <c r="U1711" i="1"/>
  <c r="U1703" i="1"/>
  <c r="U1695" i="1"/>
  <c r="U1687" i="1"/>
  <c r="U1679" i="1"/>
  <c r="U1671" i="1"/>
  <c r="U1663" i="1"/>
  <c r="U1655" i="1"/>
  <c r="U1647" i="1"/>
  <c r="U1639" i="1"/>
  <c r="U1631" i="1"/>
  <c r="U1623" i="1"/>
  <c r="U1615" i="1"/>
  <c r="U1607" i="1"/>
  <c r="U1599" i="1"/>
  <c r="U1591" i="1"/>
  <c r="U1583" i="1"/>
  <c r="U1575" i="1"/>
  <c r="U1567" i="1"/>
  <c r="U1559" i="1"/>
  <c r="U1551" i="1"/>
  <c r="U1543" i="1"/>
  <c r="U1535" i="1"/>
  <c r="U1527" i="1"/>
  <c r="U1519" i="1"/>
  <c r="U1511" i="1"/>
  <c r="U1503" i="1"/>
  <c r="U1495" i="1"/>
  <c r="U1487" i="1"/>
  <c r="U1479" i="1"/>
  <c r="U1471" i="1"/>
  <c r="U1463" i="1"/>
  <c r="U1455" i="1"/>
  <c r="U1447" i="1"/>
  <c r="U1439" i="1"/>
  <c r="U1431" i="1"/>
  <c r="U1423" i="1"/>
  <c r="U1415" i="1"/>
  <c r="U1407" i="1"/>
  <c r="U1399" i="1"/>
  <c r="U1391" i="1"/>
  <c r="U1383" i="1"/>
  <c r="U1375" i="1"/>
  <c r="U1367" i="1"/>
  <c r="U1359" i="1"/>
  <c r="U1351" i="1"/>
  <c r="U1343" i="1"/>
  <c r="U1335" i="1"/>
  <c r="U1327" i="1"/>
  <c r="U1319" i="1"/>
  <c r="U1311" i="1"/>
  <c r="U1303" i="1"/>
  <c r="U1295" i="1"/>
  <c r="U1287" i="1"/>
  <c r="U1279" i="1"/>
  <c r="U1271" i="1"/>
  <c r="U1263" i="1"/>
  <c r="U1255" i="1"/>
  <c r="U1247" i="1"/>
  <c r="U1239" i="1"/>
  <c r="U1231" i="1"/>
  <c r="U1223" i="1"/>
  <c r="U1215" i="1"/>
  <c r="U1207" i="1"/>
  <c r="U1199" i="1"/>
  <c r="U1191" i="1"/>
  <c r="U1183" i="1"/>
  <c r="U1175" i="1"/>
  <c r="U1167" i="1"/>
  <c r="U1159" i="1"/>
  <c r="U1151" i="1"/>
  <c r="U1143" i="1"/>
  <c r="U1135" i="1"/>
  <c r="U1127" i="1"/>
  <c r="U1119" i="1"/>
  <c r="U1111" i="1"/>
  <c r="U1103" i="1"/>
  <c r="U1095" i="1"/>
  <c r="U1087" i="1"/>
  <c r="U1079" i="1"/>
  <c r="U1071" i="1"/>
  <c r="U1063" i="1"/>
  <c r="U1055" i="1"/>
  <c r="U1047" i="1"/>
  <c r="U1039" i="1"/>
  <c r="U1031" i="1"/>
  <c r="U1023" i="1"/>
  <c r="U1015" i="1"/>
  <c r="U1007" i="1"/>
  <c r="U999" i="1"/>
  <c r="U991" i="1"/>
  <c r="U983" i="1"/>
  <c r="U975" i="1"/>
  <c r="U967" i="1"/>
  <c r="U959" i="1"/>
  <c r="U951" i="1"/>
  <c r="U943" i="1"/>
  <c r="U935" i="1"/>
  <c r="U927" i="1"/>
  <c r="U10" i="1"/>
  <c r="U18" i="1"/>
  <c r="U26" i="1"/>
  <c r="U34" i="1"/>
  <c r="U42" i="1"/>
  <c r="U50" i="1"/>
  <c r="U58" i="1"/>
  <c r="U66" i="1"/>
  <c r="U74" i="1"/>
  <c r="U82" i="1"/>
  <c r="U90" i="1"/>
  <c r="U98" i="1"/>
  <c r="U106" i="1"/>
  <c r="U114" i="1"/>
  <c r="U122" i="1"/>
  <c r="U130" i="1"/>
  <c r="U138" i="1"/>
  <c r="U146" i="1"/>
  <c r="U154" i="1"/>
  <c r="U162" i="1"/>
  <c r="U170" i="1"/>
  <c r="U178" i="1"/>
  <c r="U186" i="1"/>
  <c r="U194" i="1"/>
  <c r="U202" i="1"/>
  <c r="U210" i="1"/>
  <c r="U218" i="1"/>
  <c r="U226" i="1"/>
  <c r="U234" i="1"/>
  <c r="U242" i="1"/>
  <c r="U250" i="1"/>
  <c r="U258" i="1"/>
  <c r="U266" i="1"/>
  <c r="U274" i="1"/>
  <c r="U282" i="1"/>
  <c r="U290" i="1"/>
  <c r="U298" i="1"/>
  <c r="U306" i="1"/>
  <c r="U314" i="1"/>
  <c r="U322" i="1"/>
  <c r="U330" i="1"/>
  <c r="U338" i="1"/>
  <c r="U346" i="1"/>
  <c r="U354" i="1"/>
  <c r="U362" i="1"/>
  <c r="U370" i="1"/>
  <c r="U378" i="1"/>
  <c r="U386" i="1"/>
  <c r="U394" i="1"/>
  <c r="U402" i="1"/>
  <c r="U410" i="1"/>
  <c r="U418" i="1"/>
  <c r="U426" i="1"/>
  <c r="U434" i="1"/>
  <c r="U442" i="1"/>
  <c r="U450" i="1"/>
  <c r="U458" i="1"/>
  <c r="U466" i="1"/>
  <c r="U474" i="1"/>
  <c r="U482" i="1"/>
  <c r="U490" i="1"/>
  <c r="U498" i="1"/>
  <c r="U506" i="1"/>
  <c r="U514" i="1"/>
  <c r="U522" i="1"/>
  <c r="U530" i="1"/>
  <c r="U538" i="1"/>
  <c r="U546" i="1"/>
  <c r="U554" i="1"/>
  <c r="U562" i="1"/>
  <c r="U570" i="1"/>
  <c r="U578" i="1"/>
  <c r="U586" i="1"/>
  <c r="U594" i="1"/>
  <c r="U602" i="1"/>
  <c r="U610" i="1"/>
  <c r="U618" i="1"/>
  <c r="U626" i="1"/>
  <c r="U634" i="1"/>
  <c r="U642" i="1"/>
  <c r="U650" i="1"/>
  <c r="U658" i="1"/>
  <c r="U666" i="1"/>
  <c r="U674" i="1"/>
  <c r="U682" i="1"/>
  <c r="U690" i="1"/>
  <c r="U698" i="1"/>
  <c r="U706" i="1"/>
  <c r="U714" i="1"/>
  <c r="U722" i="1"/>
  <c r="U730" i="1"/>
  <c r="U738" i="1"/>
  <c r="U746" i="1"/>
  <c r="U754" i="1"/>
  <c r="U762" i="1"/>
  <c r="U770" i="1"/>
  <c r="U778" i="1"/>
  <c r="U786" i="1"/>
  <c r="U794" i="1"/>
  <c r="U802" i="1"/>
  <c r="U810" i="1"/>
  <c r="U818" i="1"/>
  <c r="U826" i="1"/>
  <c r="U834" i="1"/>
  <c r="U842" i="1"/>
  <c r="U850" i="1"/>
  <c r="U858" i="1"/>
  <c r="U866" i="1"/>
  <c r="U874" i="1"/>
  <c r="U882" i="1"/>
  <c r="U890" i="1"/>
  <c r="U898" i="1"/>
  <c r="U906" i="1"/>
  <c r="U914" i="1"/>
  <c r="U922" i="1"/>
  <c r="U931" i="1"/>
  <c r="U940" i="1"/>
  <c r="U949" i="1"/>
  <c r="U958" i="1"/>
  <c r="U968" i="1"/>
  <c r="U977" i="1"/>
  <c r="U986" i="1"/>
  <c r="U995" i="1"/>
  <c r="U1004" i="1"/>
  <c r="U1013" i="1"/>
  <c r="U1022" i="1"/>
  <c r="U1032" i="1"/>
  <c r="U1041" i="1"/>
  <c r="U1050" i="1"/>
  <c r="U1059" i="1"/>
  <c r="U1068" i="1"/>
  <c r="U1077" i="1"/>
  <c r="U1086" i="1"/>
  <c r="U1096" i="1"/>
  <c r="U1105" i="1"/>
  <c r="U1114" i="1"/>
  <c r="U1123" i="1"/>
  <c r="U1132" i="1"/>
  <c r="U1141" i="1"/>
  <c r="U1150" i="1"/>
  <c r="U1160" i="1"/>
  <c r="U1169" i="1"/>
  <c r="U1178" i="1"/>
  <c r="U1187" i="1"/>
  <c r="U1196" i="1"/>
  <c r="U1205" i="1"/>
  <c r="U1214" i="1"/>
  <c r="U1224" i="1"/>
  <c r="U1233" i="1"/>
  <c r="U1242" i="1"/>
  <c r="U1251" i="1"/>
  <c r="U1260" i="1"/>
  <c r="U1269" i="1"/>
  <c r="U1278" i="1"/>
  <c r="U1288" i="1"/>
  <c r="U1297" i="1"/>
  <c r="U1306" i="1"/>
  <c r="U1315" i="1"/>
  <c r="U1324" i="1"/>
  <c r="U1333" i="1"/>
  <c r="U1342" i="1"/>
  <c r="U1352" i="1"/>
  <c r="U1361" i="1"/>
  <c r="U1370" i="1"/>
  <c r="U1379" i="1"/>
  <c r="U1388" i="1"/>
  <c r="U1397" i="1"/>
  <c r="U1406" i="1"/>
  <c r="U1416" i="1"/>
  <c r="U1425" i="1"/>
  <c r="U1434" i="1"/>
  <c r="U1443" i="1"/>
  <c r="U1452" i="1"/>
  <c r="U1461" i="1"/>
  <c r="U1470" i="1"/>
  <c r="U1480" i="1"/>
  <c r="U1489" i="1"/>
  <c r="U1498" i="1"/>
  <c r="U1507" i="1"/>
  <c r="U1516" i="1"/>
  <c r="U1525" i="1"/>
  <c r="U1534" i="1"/>
  <c r="U1544" i="1"/>
  <c r="U1553" i="1"/>
  <c r="U1562" i="1"/>
  <c r="U1571" i="1"/>
  <c r="U1580" i="1"/>
  <c r="U1589" i="1"/>
  <c r="U1598" i="1"/>
  <c r="U1608" i="1"/>
  <c r="U1617" i="1"/>
  <c r="U1626" i="1"/>
  <c r="U1635" i="1"/>
  <c r="U1644" i="1"/>
  <c r="U1653" i="1"/>
  <c r="U1662" i="1"/>
  <c r="U1672" i="1"/>
  <c r="U1681" i="1"/>
  <c r="U1690" i="1"/>
  <c r="U1699" i="1"/>
  <c r="U1708" i="1"/>
  <c r="U1717" i="1"/>
  <c r="U1726" i="1"/>
  <c r="U1736" i="1"/>
  <c r="U1745" i="1"/>
  <c r="U1754" i="1"/>
  <c r="U1763" i="1"/>
  <c r="U1772" i="1"/>
  <c r="U1781" i="1"/>
  <c r="U1790" i="1"/>
  <c r="U1800" i="1"/>
  <c r="U1809" i="1"/>
  <c r="U1818" i="1"/>
  <c r="U1827" i="1"/>
  <c r="U1836" i="1"/>
  <c r="U1845" i="1"/>
  <c r="U1854" i="1"/>
  <c r="U1864" i="1"/>
  <c r="U1873" i="1"/>
  <c r="U1882" i="1"/>
  <c r="U1891" i="1"/>
  <c r="U1900" i="1"/>
  <c r="U1909" i="1"/>
  <c r="U1918" i="1"/>
  <c r="U1928" i="1"/>
  <c r="U1937" i="1"/>
  <c r="U1946" i="1"/>
  <c r="U1955" i="1"/>
  <c r="U1964" i="1"/>
  <c r="U1973" i="1"/>
  <c r="U1982" i="1"/>
  <c r="U1992" i="1"/>
  <c r="U2001" i="1"/>
  <c r="U2010" i="1"/>
  <c r="U2019" i="1"/>
  <c r="U2028" i="1"/>
  <c r="U2037" i="1"/>
  <c r="U2046" i="1"/>
  <c r="U2056" i="1"/>
  <c r="U2065" i="1"/>
  <c r="U2074" i="1"/>
  <c r="U2083" i="1"/>
  <c r="U2092" i="1"/>
  <c r="U2101" i="1"/>
  <c r="U2110" i="1"/>
  <c r="U2120" i="1"/>
  <c r="U2129" i="1"/>
  <c r="U2138" i="1"/>
  <c r="U2147" i="1"/>
  <c r="U2156" i="1"/>
  <c r="U2165" i="1"/>
  <c r="U2174" i="1"/>
  <c r="U2184" i="1"/>
  <c r="U2193" i="1"/>
  <c r="U2202" i="1"/>
  <c r="U2211" i="1"/>
  <c r="U2220" i="1"/>
  <c r="U2229" i="1"/>
  <c r="U2238" i="1"/>
  <c r="U2248" i="1"/>
  <c r="U2257" i="1"/>
  <c r="U2266" i="1"/>
  <c r="U2275" i="1"/>
  <c r="U2284" i="1"/>
  <c r="U2293" i="1"/>
  <c r="U2302" i="1"/>
  <c r="U2312" i="1"/>
  <c r="U2321" i="1"/>
  <c r="U2330" i="1"/>
  <c r="U2339" i="1"/>
  <c r="U2348" i="1"/>
  <c r="U2357" i="1"/>
  <c r="U2366" i="1"/>
  <c r="U2376" i="1"/>
  <c r="U2385" i="1"/>
  <c r="U2394" i="1"/>
  <c r="U2403" i="1"/>
  <c r="U2412" i="1"/>
  <c r="U2421" i="1"/>
  <c r="U2430" i="1"/>
  <c r="U2440" i="1"/>
  <c r="U2449" i="1"/>
  <c r="U2458" i="1"/>
  <c r="U2467" i="1"/>
  <c r="U2476" i="1"/>
  <c r="U2485" i="1"/>
  <c r="U2494" i="1"/>
  <c r="U2504" i="1"/>
  <c r="U2513" i="1"/>
  <c r="U2522" i="1"/>
  <c r="U2531" i="1"/>
  <c r="U2540" i="1"/>
  <c r="U2549" i="1"/>
  <c r="U2558" i="1"/>
  <c r="U2568" i="1"/>
  <c r="U2577" i="1"/>
  <c r="U2586" i="1"/>
  <c r="U2595" i="1"/>
  <c r="U2604" i="1"/>
  <c r="U2613" i="1"/>
  <c r="U2622" i="1"/>
  <c r="U2632" i="1"/>
  <c r="U2641" i="1"/>
  <c r="U2650" i="1"/>
  <c r="U2659" i="1"/>
  <c r="U2668" i="1"/>
  <c r="U2677" i="1"/>
  <c r="U2686" i="1"/>
  <c r="U2696" i="1"/>
  <c r="U2705" i="1"/>
  <c r="U2714" i="1"/>
  <c r="U2723" i="1"/>
  <c r="U2732" i="1"/>
  <c r="U2741" i="1"/>
  <c r="U2750" i="1"/>
  <c r="U2760" i="1"/>
  <c r="U2769" i="1"/>
  <c r="U2778" i="1"/>
  <c r="U2787" i="1"/>
  <c r="U2796" i="1"/>
  <c r="U2805" i="1"/>
  <c r="U2814" i="1"/>
  <c r="U2824" i="1"/>
  <c r="U2833" i="1"/>
  <c r="U2842" i="1"/>
  <c r="U2851" i="1"/>
  <c r="U2860" i="1"/>
  <c r="U2869" i="1"/>
  <c r="U2878" i="1"/>
  <c r="U2888" i="1"/>
  <c r="U2897" i="1"/>
  <c r="U2906" i="1"/>
  <c r="U2915" i="1"/>
  <c r="U2924" i="1"/>
  <c r="U2933" i="1"/>
  <c r="U2942" i="1"/>
  <c r="U2952" i="1"/>
  <c r="U2961" i="1"/>
  <c r="U2970" i="1"/>
  <c r="U2979" i="1"/>
  <c r="U2988" i="1"/>
  <c r="U2997" i="1"/>
  <c r="U3006" i="1"/>
  <c r="U3016" i="1"/>
  <c r="U3025" i="1"/>
  <c r="U3034" i="1"/>
  <c r="U3043" i="1"/>
  <c r="U3052" i="1"/>
  <c r="U3061" i="1"/>
  <c r="U3070" i="1"/>
  <c r="U3080" i="1"/>
  <c r="U3089" i="1"/>
  <c r="U3098" i="1"/>
  <c r="U3107" i="1"/>
  <c r="U3116" i="1"/>
  <c r="U3125" i="1"/>
  <c r="U3134" i="1"/>
  <c r="U3144" i="1"/>
  <c r="U3153" i="1"/>
  <c r="U3162" i="1"/>
  <c r="U3171" i="1"/>
  <c r="U3180" i="1"/>
  <c r="U3189" i="1"/>
  <c r="U3198" i="1"/>
  <c r="U3208" i="1"/>
  <c r="U3217" i="1"/>
  <c r="U3226" i="1"/>
  <c r="U3235" i="1"/>
  <c r="U3244" i="1"/>
  <c r="U3253" i="1"/>
  <c r="U3262" i="1"/>
  <c r="U3272" i="1"/>
  <c r="U3281" i="1"/>
  <c r="U3290" i="1"/>
  <c r="U3299" i="1"/>
  <c r="U3308" i="1"/>
  <c r="U3317" i="1"/>
  <c r="U3326" i="1"/>
  <c r="U3336" i="1"/>
  <c r="U3345" i="1"/>
  <c r="U3354" i="1"/>
  <c r="U3363" i="1"/>
  <c r="U3372" i="1"/>
  <c r="U3381" i="1"/>
  <c r="U3390" i="1"/>
  <c r="U3400" i="1"/>
  <c r="U3409" i="1"/>
  <c r="U3418" i="1"/>
  <c r="U3427" i="1"/>
  <c r="U3436" i="1"/>
  <c r="U3445" i="1"/>
  <c r="U3454" i="1"/>
  <c r="U3464" i="1"/>
  <c r="U3473" i="1"/>
  <c r="U3482" i="1"/>
  <c r="U3491" i="1"/>
  <c r="U3500" i="1"/>
  <c r="U3509" i="1"/>
  <c r="U3518" i="1"/>
  <c r="U3528" i="1"/>
  <c r="U3537" i="1"/>
  <c r="U3546" i="1"/>
  <c r="U3555" i="1"/>
  <c r="U3564" i="1"/>
  <c r="U3573" i="1"/>
  <c r="U3582" i="1"/>
  <c r="U3592" i="1"/>
  <c r="U3601" i="1"/>
  <c r="U3610" i="1"/>
  <c r="U3619" i="1"/>
  <c r="U3628" i="1"/>
  <c r="U3637" i="1"/>
  <c r="U3646" i="1"/>
  <c r="U3650" i="1"/>
  <c r="U590" i="1"/>
  <c r="U598" i="1"/>
  <c r="U606" i="1"/>
  <c r="U614" i="1"/>
  <c r="U622" i="1"/>
  <c r="U630" i="1"/>
  <c r="U638" i="1"/>
  <c r="U646" i="1"/>
  <c r="U654" i="1"/>
  <c r="U662" i="1"/>
  <c r="U670" i="1"/>
  <c r="U678" i="1"/>
  <c r="U686" i="1"/>
  <c r="U694" i="1"/>
  <c r="U702" i="1"/>
  <c r="U710" i="1"/>
  <c r="U718" i="1"/>
  <c r="U726" i="1"/>
  <c r="U734" i="1"/>
  <c r="U742" i="1"/>
  <c r="U750" i="1"/>
  <c r="U758" i="1"/>
  <c r="U766" i="1"/>
  <c r="U774" i="1"/>
  <c r="U782" i="1"/>
  <c r="U790" i="1"/>
  <c r="U798" i="1"/>
  <c r="U806" i="1"/>
  <c r="U814" i="1"/>
  <c r="U822" i="1"/>
  <c r="U830" i="1"/>
  <c r="U838" i="1"/>
  <c r="U846" i="1"/>
  <c r="U854" i="1"/>
  <c r="U862" i="1"/>
  <c r="U870" i="1"/>
  <c r="U878" i="1"/>
  <c r="U886" i="1"/>
  <c r="U894" i="1"/>
  <c r="U902" i="1"/>
  <c r="U910" i="1"/>
  <c r="U918" i="1"/>
  <c r="U926" i="1"/>
  <c r="U936" i="1"/>
  <c r="U945" i="1"/>
  <c r="U954" i="1"/>
  <c r="U963" i="1"/>
  <c r="U972" i="1"/>
  <c r="U981" i="1"/>
  <c r="U990" i="1"/>
  <c r="U1000" i="1"/>
  <c r="U1009" i="1"/>
  <c r="U1018" i="1"/>
  <c r="U1027" i="1"/>
  <c r="U1036" i="1"/>
  <c r="U1045" i="1"/>
  <c r="U1054" i="1"/>
  <c r="U1064" i="1"/>
  <c r="U1073" i="1"/>
  <c r="U1082" i="1"/>
  <c r="U1091" i="1"/>
  <c r="U1100" i="1"/>
  <c r="U1109" i="1"/>
  <c r="U1118" i="1"/>
  <c r="U1128" i="1"/>
  <c r="U1137" i="1"/>
  <c r="U1146" i="1"/>
  <c r="U1155" i="1"/>
  <c r="U1164" i="1"/>
  <c r="U1173" i="1"/>
  <c r="U1182" i="1"/>
  <c r="U1192" i="1"/>
  <c r="U1201" i="1"/>
  <c r="U1210" i="1"/>
  <c r="U1219" i="1"/>
  <c r="U1228" i="1"/>
  <c r="U1237" i="1"/>
  <c r="U1246" i="1"/>
  <c r="U1256" i="1"/>
  <c r="U1265" i="1"/>
  <c r="U1274" i="1"/>
  <c r="U1283" i="1"/>
  <c r="U1292" i="1"/>
  <c r="U1301" i="1"/>
  <c r="U1310" i="1"/>
  <c r="U1320" i="1"/>
  <c r="U1329" i="1"/>
  <c r="U1338" i="1"/>
  <c r="U1347" i="1"/>
  <c r="U1356" i="1"/>
  <c r="U1365" i="1"/>
  <c r="U1374" i="1"/>
  <c r="U1384" i="1"/>
  <c r="U1393" i="1"/>
  <c r="U1402" i="1"/>
  <c r="U1411" i="1"/>
  <c r="U1420" i="1"/>
  <c r="U1429" i="1"/>
  <c r="U1438" i="1"/>
  <c r="U1448" i="1"/>
  <c r="U1457" i="1"/>
  <c r="U1466" i="1"/>
  <c r="U1475" i="1"/>
  <c r="U1484" i="1"/>
  <c r="U1493" i="1"/>
  <c r="U1502" i="1"/>
  <c r="U1512" i="1"/>
  <c r="U1521" i="1"/>
  <c r="U1530" i="1"/>
  <c r="U1539" i="1"/>
  <c r="U1548" i="1"/>
  <c r="U1557" i="1"/>
  <c r="U1566" i="1"/>
  <c r="U1576" i="1"/>
  <c r="U1585" i="1"/>
  <c r="U1594" i="1"/>
  <c r="U1603" i="1"/>
  <c r="U1612" i="1"/>
  <c r="U1621" i="1"/>
  <c r="U1630" i="1"/>
  <c r="U1640" i="1"/>
  <c r="U1649" i="1"/>
  <c r="U1658" i="1"/>
  <c r="U1667" i="1"/>
  <c r="U1676" i="1"/>
  <c r="U1685" i="1"/>
  <c r="U1694" i="1"/>
  <c r="U1704" i="1"/>
  <c r="U1713" i="1"/>
  <c r="U1722" i="1"/>
  <c r="U1731" i="1"/>
  <c r="U1740" i="1"/>
  <c r="U1749" i="1"/>
  <c r="U1758" i="1"/>
  <c r="U1768" i="1"/>
  <c r="U1777" i="1"/>
  <c r="U1786" i="1"/>
  <c r="U1795" i="1"/>
  <c r="U1804" i="1"/>
  <c r="U1813" i="1"/>
  <c r="U1822" i="1"/>
  <c r="U1832" i="1"/>
  <c r="U1841" i="1"/>
  <c r="U1850" i="1"/>
  <c r="U1859" i="1"/>
  <c r="U1868" i="1"/>
  <c r="U1877" i="1"/>
  <c r="U1886" i="1"/>
  <c r="U1896" i="1"/>
  <c r="U1905" i="1"/>
  <c r="U1914" i="1"/>
  <c r="U1923" i="1"/>
  <c r="U1932" i="1"/>
  <c r="U1941" i="1"/>
  <c r="U1950" i="1"/>
  <c r="U1960" i="1"/>
  <c r="U1969" i="1"/>
  <c r="U1978" i="1"/>
  <c r="U1987" i="1"/>
  <c r="U1996" i="1"/>
  <c r="U2005" i="1"/>
  <c r="U2014" i="1"/>
  <c r="U2024" i="1"/>
  <c r="U2033" i="1"/>
  <c r="U2042" i="1"/>
  <c r="U2051" i="1"/>
  <c r="U2060" i="1"/>
  <c r="U2069" i="1"/>
  <c r="U2078" i="1"/>
  <c r="U2088" i="1"/>
  <c r="U2097" i="1"/>
  <c r="U2106" i="1"/>
  <c r="U2115" i="1"/>
  <c r="U2124" i="1"/>
  <c r="U2133" i="1"/>
  <c r="U2142" i="1"/>
  <c r="U2152" i="1"/>
  <c r="U2161" i="1"/>
  <c r="U2170" i="1"/>
  <c r="U2179" i="1"/>
  <c r="U2188" i="1"/>
  <c r="U2197" i="1"/>
  <c r="U2206" i="1"/>
  <c r="U2216" i="1"/>
  <c r="U2225" i="1"/>
  <c r="U2234" i="1"/>
  <c r="U2243" i="1"/>
  <c r="U2252" i="1"/>
  <c r="U2261" i="1"/>
  <c r="U2270" i="1"/>
  <c r="U2280" i="1"/>
  <c r="U2289" i="1"/>
  <c r="U2298" i="1"/>
  <c r="U2307" i="1"/>
  <c r="U2316" i="1"/>
  <c r="U2325" i="1"/>
  <c r="U2334" i="1"/>
  <c r="U2344" i="1"/>
  <c r="U2353" i="1"/>
  <c r="U2362" i="1"/>
  <c r="U2371" i="1"/>
  <c r="U2380" i="1"/>
  <c r="U2389" i="1"/>
  <c r="U2398" i="1"/>
  <c r="U2408" i="1"/>
  <c r="U2417" i="1"/>
  <c r="U2426" i="1"/>
  <c r="U2435" i="1"/>
  <c r="U2444" i="1"/>
  <c r="U2453" i="1"/>
  <c r="U2462" i="1"/>
  <c r="U2472" i="1"/>
  <c r="U2481" i="1"/>
  <c r="U2490" i="1"/>
  <c r="U2499" i="1"/>
  <c r="U2508" i="1"/>
  <c r="U2517" i="1"/>
  <c r="U2526" i="1"/>
  <c r="U2536" i="1"/>
  <c r="U2545" i="1"/>
  <c r="U2554" i="1"/>
  <c r="U2563" i="1"/>
  <c r="U2572" i="1"/>
  <c r="U2581" i="1"/>
  <c r="U2590" i="1"/>
  <c r="U2600" i="1"/>
  <c r="U2609" i="1"/>
  <c r="U2618" i="1"/>
  <c r="U2627" i="1"/>
  <c r="U2636" i="1"/>
  <c r="U2645" i="1"/>
  <c r="U2654" i="1"/>
  <c r="U2664" i="1"/>
  <c r="U2673" i="1"/>
  <c r="U2682" i="1"/>
  <c r="U2691" i="1"/>
  <c r="U2700" i="1"/>
  <c r="U2709" i="1"/>
  <c r="U2718" i="1"/>
  <c r="U2728" i="1"/>
  <c r="U2737" i="1"/>
  <c r="U2746" i="1"/>
  <c r="U2755" i="1"/>
  <c r="U2764" i="1"/>
  <c r="U2773" i="1"/>
  <c r="U2782" i="1"/>
  <c r="U2792" i="1"/>
  <c r="U2801" i="1"/>
  <c r="U2810" i="1"/>
  <c r="U2819" i="1"/>
  <c r="U2828" i="1"/>
  <c r="U2837" i="1"/>
  <c r="U2846" i="1"/>
  <c r="U2856" i="1"/>
  <c r="U2865" i="1"/>
  <c r="U2874" i="1"/>
  <c r="U2883" i="1"/>
  <c r="U2892" i="1"/>
  <c r="U2901" i="1"/>
  <c r="U2910" i="1"/>
  <c r="U2920" i="1"/>
  <c r="U2929" i="1"/>
  <c r="U2938" i="1"/>
  <c r="U2947" i="1"/>
  <c r="U2956" i="1"/>
  <c r="U2965" i="1"/>
  <c r="U2974" i="1"/>
  <c r="U2984" i="1"/>
  <c r="U2993" i="1"/>
  <c r="U3002" i="1"/>
  <c r="U3011" i="1"/>
  <c r="U3020" i="1"/>
  <c r="U3029" i="1"/>
  <c r="U3038" i="1"/>
  <c r="U3048" i="1"/>
  <c r="U3057" i="1"/>
  <c r="U3066" i="1"/>
  <c r="U3075" i="1"/>
  <c r="U3084" i="1"/>
  <c r="U3093" i="1"/>
  <c r="U3102" i="1"/>
  <c r="U3112" i="1"/>
  <c r="U3121" i="1"/>
  <c r="U3130" i="1"/>
  <c r="U3139" i="1"/>
  <c r="U3148" i="1"/>
  <c r="U3157" i="1"/>
  <c r="U3166" i="1"/>
  <c r="U3176" i="1"/>
  <c r="U3185" i="1"/>
  <c r="U3194" i="1"/>
  <c r="U3203" i="1"/>
  <c r="U3212" i="1"/>
  <c r="U3221" i="1"/>
  <c r="U3230" i="1"/>
  <c r="U3240" i="1"/>
  <c r="U3249" i="1"/>
  <c r="U3258" i="1"/>
  <c r="U3267" i="1"/>
  <c r="U3276" i="1"/>
  <c r="U3285" i="1"/>
  <c r="U3294" i="1"/>
  <c r="U3304" i="1"/>
  <c r="U3313" i="1"/>
  <c r="U3322" i="1"/>
  <c r="U3331" i="1"/>
  <c r="U3340" i="1"/>
  <c r="U3349" i="1"/>
  <c r="U3358" i="1"/>
  <c r="U3368" i="1"/>
  <c r="U3377" i="1"/>
  <c r="U3386" i="1"/>
  <c r="U3395" i="1"/>
  <c r="U3404" i="1"/>
  <c r="U3413" i="1"/>
  <c r="U3422" i="1"/>
  <c r="U3432" i="1"/>
  <c r="U3441" i="1"/>
  <c r="U3450" i="1"/>
  <c r="U3459" i="1"/>
  <c r="U3468" i="1"/>
  <c r="U3477" i="1"/>
  <c r="U3486" i="1"/>
  <c r="U3496" i="1"/>
  <c r="U3505" i="1"/>
  <c r="U3514" i="1"/>
  <c r="U3523" i="1"/>
  <c r="U3532" i="1"/>
  <c r="U3541" i="1"/>
  <c r="U3550" i="1"/>
  <c r="U3560" i="1"/>
  <c r="U3569" i="1"/>
  <c r="U3578" i="1"/>
  <c r="U3587" i="1"/>
  <c r="U3596" i="1"/>
  <c r="U3605" i="1"/>
  <c r="U3614" i="1"/>
  <c r="U3624" i="1"/>
  <c r="U3633" i="1"/>
  <c r="U3642" i="1"/>
  <c r="U3651" i="1"/>
  <c r="A2204" i="3"/>
  <c r="A2227" i="3"/>
  <c r="A2245" i="3"/>
  <c r="A2268" i="3"/>
  <c r="A2291" i="3"/>
  <c r="A2309" i="3"/>
  <c r="A2332" i="3"/>
  <c r="A2355" i="3"/>
  <c r="A2373" i="3"/>
  <c r="A2396" i="3"/>
  <c r="A2419" i="3"/>
  <c r="A2437" i="3"/>
  <c r="A2460" i="3"/>
  <c r="A2483" i="3"/>
  <c r="A2501" i="3"/>
  <c r="A2524" i="3"/>
  <c r="A2547" i="3"/>
  <c r="A2565" i="3"/>
  <c r="A2588" i="3"/>
  <c r="A2611" i="3"/>
  <c r="A2629" i="3"/>
  <c r="A2652" i="3"/>
  <c r="A2675" i="3"/>
  <c r="A2693" i="3"/>
  <c r="A2716" i="3"/>
  <c r="A2739" i="3"/>
  <c r="A2757" i="3"/>
  <c r="A2780" i="3"/>
  <c r="A2803" i="3"/>
  <c r="A2821" i="3"/>
  <c r="A2844" i="3"/>
  <c r="A2867" i="3"/>
  <c r="A2885" i="3"/>
  <c r="A2908" i="3"/>
  <c r="A2931" i="3"/>
  <c r="A2949" i="3"/>
  <c r="A2972" i="3"/>
  <c r="A2995" i="3"/>
  <c r="A3013" i="3"/>
  <c r="A3036" i="3"/>
  <c r="A3059" i="3"/>
  <c r="A3077" i="3"/>
  <c r="A3100" i="3"/>
  <c r="A3123" i="3"/>
  <c r="A3141" i="3"/>
  <c r="A3164" i="3"/>
  <c r="A3187" i="3"/>
  <c r="A3205" i="3"/>
  <c r="A3228" i="3"/>
  <c r="A3251" i="3"/>
  <c r="A3269" i="3"/>
  <c r="A3292" i="3"/>
  <c r="A3315" i="3"/>
  <c r="A3333" i="3"/>
  <c r="A3356" i="3"/>
  <c r="A3379" i="3"/>
  <c r="A3397" i="3"/>
  <c r="A3420" i="3"/>
  <c r="A3443" i="3"/>
  <c r="A3461" i="3"/>
  <c r="A3484" i="3"/>
  <c r="A3507" i="3"/>
  <c r="A3525" i="3"/>
  <c r="A3548" i="3"/>
  <c r="A3571" i="3"/>
  <c r="A3589" i="3"/>
  <c r="A3612" i="3"/>
  <c r="A3635" i="3"/>
  <c r="A3653" i="3"/>
  <c r="A3676" i="3"/>
  <c r="A3699" i="3"/>
  <c r="A3717" i="3"/>
  <c r="A3740" i="3"/>
  <c r="A3763" i="3"/>
  <c r="A3781" i="3"/>
  <c r="A3804" i="3"/>
  <c r="A3866" i="3"/>
  <c r="A3914" i="3"/>
  <c r="A3972" i="3"/>
  <c r="A4035" i="3"/>
  <c r="A4083" i="3"/>
  <c r="A4146" i="3"/>
  <c r="A4204" i="3"/>
  <c r="A4252" i="3"/>
  <c r="A4315" i="3"/>
  <c r="A4378" i="3"/>
  <c r="A4426" i="3"/>
  <c r="A4484" i="3"/>
  <c r="A4553" i="3"/>
  <c r="A4617" i="3"/>
  <c r="A4711" i="3"/>
  <c r="A4805" i="3"/>
  <c r="A4897" i="3"/>
  <c r="A5077" i="3"/>
  <c r="A5371" i="3"/>
  <c r="A5679" i="3"/>
  <c r="A6256" i="3"/>
  <c r="A2461" i="3"/>
  <c r="A2484" i="3"/>
  <c r="A2507" i="3"/>
  <c r="A2525" i="3"/>
  <c r="A2548" i="3"/>
  <c r="A2571" i="3"/>
  <c r="A2589" i="3"/>
  <c r="A2612" i="3"/>
  <c r="A2635" i="3"/>
  <c r="A2653" i="3"/>
  <c r="A2676" i="3"/>
  <c r="A2699" i="3"/>
  <c r="A2717" i="3"/>
  <c r="A2740" i="3"/>
  <c r="A2763" i="3"/>
  <c r="A2781" i="3"/>
  <c r="A2804" i="3"/>
  <c r="A2827" i="3"/>
  <c r="A2845" i="3"/>
  <c r="A2868" i="3"/>
  <c r="A2891" i="3"/>
  <c r="A2909" i="3"/>
  <c r="A2932" i="3"/>
  <c r="A2955" i="3"/>
  <c r="A2973" i="3"/>
  <c r="A2996" i="3"/>
  <c r="A3019" i="3"/>
  <c r="A3037" i="3"/>
  <c r="A3060" i="3"/>
  <c r="A3083" i="3"/>
  <c r="A3101" i="3"/>
  <c r="A3124" i="3"/>
  <c r="A3147" i="3"/>
  <c r="A3165" i="3"/>
  <c r="A3188" i="3"/>
  <c r="A3211" i="3"/>
  <c r="A3229" i="3"/>
  <c r="A3252" i="3"/>
  <c r="A3275" i="3"/>
  <c r="A3293" i="3"/>
  <c r="A3316" i="3"/>
  <c r="A3339" i="3"/>
  <c r="A3357" i="3"/>
  <c r="A3380" i="3"/>
  <c r="A3403" i="3"/>
  <c r="A3421" i="3"/>
  <c r="A3444" i="3"/>
  <c r="A3467" i="3"/>
  <c r="A3485" i="3"/>
  <c r="A3508" i="3"/>
  <c r="A3531" i="3"/>
  <c r="A3549" i="3"/>
  <c r="A3572" i="3"/>
  <c r="A3595" i="3"/>
  <c r="A3613" i="3"/>
  <c r="A3636" i="3"/>
  <c r="A3659" i="3"/>
  <c r="A3677" i="3"/>
  <c r="A3700" i="3"/>
  <c r="A3723" i="3"/>
  <c r="A3741" i="3"/>
  <c r="A3764" i="3"/>
  <c r="A3787" i="3"/>
  <c r="A3805" i="3"/>
  <c r="A3867" i="3"/>
  <c r="A3930" i="3"/>
  <c r="A3978" i="3"/>
  <c r="A4036" i="3"/>
  <c r="A4099" i="3"/>
  <c r="A4147" i="3"/>
  <c r="A4210" i="3"/>
  <c r="A4268" i="3"/>
  <c r="A4316" i="3"/>
  <c r="A4379" i="3"/>
  <c r="A4442" i="3"/>
  <c r="A4490" i="3"/>
  <c r="A4554" i="3"/>
  <c r="A4639" i="3"/>
  <c r="A4712" i="3"/>
  <c r="A4814" i="3"/>
  <c r="A4945" i="3"/>
  <c r="A5089" i="3"/>
  <c r="A5382" i="3"/>
  <c r="A5782" i="3"/>
  <c r="A8803" i="3"/>
  <c r="A8795" i="3"/>
  <c r="A8787" i="3"/>
  <c r="A8779" i="3"/>
  <c r="A8771" i="3"/>
  <c r="A8763" i="3"/>
  <c r="A8755" i="3"/>
  <c r="A8747" i="3"/>
  <c r="A8739" i="3"/>
  <c r="A8731" i="3"/>
  <c r="A8723" i="3"/>
  <c r="A8715" i="3"/>
  <c r="A8707" i="3"/>
  <c r="A8699" i="3"/>
  <c r="A8691" i="3"/>
  <c r="A8683" i="3"/>
  <c r="A8675" i="3"/>
  <c r="A8667" i="3"/>
  <c r="A8659" i="3"/>
  <c r="A8651" i="3"/>
  <c r="A8643" i="3"/>
  <c r="A8635" i="3"/>
  <c r="A8627" i="3"/>
  <c r="A8619" i="3"/>
  <c r="A8611" i="3"/>
  <c r="A8603" i="3"/>
  <c r="A8595" i="3"/>
  <c r="A8587" i="3"/>
  <c r="A8579" i="3"/>
  <c r="A8571" i="3"/>
  <c r="A8563" i="3"/>
  <c r="A8555" i="3"/>
  <c r="A8547" i="3"/>
  <c r="A8539" i="3"/>
  <c r="A8531" i="3"/>
  <c r="A8523" i="3"/>
  <c r="A8515" i="3"/>
  <c r="A8507" i="3"/>
  <c r="A8499" i="3"/>
  <c r="A8491" i="3"/>
  <c r="A8483" i="3"/>
  <c r="A8475" i="3"/>
  <c r="A8467" i="3"/>
  <c r="A8459" i="3"/>
  <c r="A8451" i="3"/>
  <c r="A8443" i="3"/>
  <c r="A8435" i="3"/>
  <c r="A8427" i="3"/>
  <c r="A8419" i="3"/>
  <c r="A8411" i="3"/>
  <c r="A8403" i="3"/>
  <c r="A8395" i="3"/>
  <c r="A8387" i="3"/>
  <c r="A8379" i="3"/>
  <c r="A8371" i="3"/>
  <c r="A8363" i="3"/>
  <c r="A8355" i="3"/>
  <c r="A8347" i="3"/>
  <c r="A8339" i="3"/>
  <c r="A8331" i="3"/>
  <c r="A8323" i="3"/>
  <c r="A8802" i="3"/>
  <c r="A8794" i="3"/>
  <c r="A8786" i="3"/>
  <c r="A8778" i="3"/>
  <c r="A8770" i="3"/>
  <c r="A8762" i="3"/>
  <c r="A8754" i="3"/>
  <c r="A8746" i="3"/>
  <c r="A8738" i="3"/>
  <c r="A8730" i="3"/>
  <c r="A8722" i="3"/>
  <c r="A8714" i="3"/>
  <c r="A8706" i="3"/>
  <c r="A8698" i="3"/>
  <c r="A8690" i="3"/>
  <c r="A8682" i="3"/>
  <c r="A8674" i="3"/>
  <c r="A8666" i="3"/>
  <c r="A8658" i="3"/>
  <c r="A8650" i="3"/>
  <c r="A8642" i="3"/>
  <c r="A8634" i="3"/>
  <c r="A8626" i="3"/>
  <c r="A8618" i="3"/>
  <c r="A8610" i="3"/>
  <c r="A8602" i="3"/>
  <c r="A8594" i="3"/>
  <c r="A8586" i="3"/>
  <c r="A8578" i="3"/>
  <c r="A8570" i="3"/>
  <c r="A8562" i="3"/>
  <c r="A8554" i="3"/>
  <c r="A8546" i="3"/>
  <c r="A8538" i="3"/>
  <c r="A8530" i="3"/>
  <c r="A8522" i="3"/>
  <c r="A8514" i="3"/>
  <c r="A8506" i="3"/>
  <c r="A8498" i="3"/>
  <c r="A8490" i="3"/>
  <c r="A8482" i="3"/>
  <c r="A8474" i="3"/>
  <c r="A8466" i="3"/>
  <c r="A8458" i="3"/>
  <c r="A8450" i="3"/>
  <c r="A8442" i="3"/>
  <c r="A8434" i="3"/>
  <c r="A8426" i="3"/>
  <c r="A8418" i="3"/>
  <c r="A8410" i="3"/>
  <c r="A8402" i="3"/>
  <c r="A8394" i="3"/>
  <c r="A8386" i="3"/>
  <c r="A8378" i="3"/>
  <c r="A8370" i="3"/>
  <c r="A8362" i="3"/>
  <c r="A8354" i="3"/>
  <c r="A8346" i="3"/>
  <c r="A8338" i="3"/>
  <c r="A8330" i="3"/>
  <c r="A8322" i="3"/>
  <c r="A8314" i="3"/>
  <c r="A8306" i="3"/>
  <c r="A8298" i="3"/>
  <c r="A8290" i="3"/>
  <c r="A8282" i="3"/>
  <c r="A8274" i="3"/>
  <c r="A8266" i="3"/>
  <c r="A8258" i="3"/>
  <c r="A8250" i="3"/>
  <c r="A8242" i="3"/>
  <c r="A8234" i="3"/>
  <c r="A8226" i="3"/>
  <c r="A8218" i="3"/>
  <c r="A8210" i="3"/>
  <c r="A8202" i="3"/>
  <c r="A8194" i="3"/>
  <c r="A8186" i="3"/>
  <c r="A8178" i="3"/>
  <c r="A8170" i="3"/>
  <c r="A8162" i="3"/>
  <c r="A8154" i="3"/>
  <c r="A8146" i="3"/>
  <c r="A8138" i="3"/>
  <c r="A8130" i="3"/>
  <c r="A8807" i="3"/>
  <c r="A8806" i="3"/>
  <c r="A8799" i="3"/>
  <c r="A8789" i="3"/>
  <c r="A8777" i="3"/>
  <c r="A8767" i="3"/>
  <c r="A8757" i="3"/>
  <c r="A8745" i="3"/>
  <c r="A8735" i="3"/>
  <c r="A8725" i="3"/>
  <c r="A8713" i="3"/>
  <c r="A8703" i="3"/>
  <c r="A8693" i="3"/>
  <c r="A8681" i="3"/>
  <c r="A8671" i="3"/>
  <c r="A8661" i="3"/>
  <c r="A8649" i="3"/>
  <c r="A8639" i="3"/>
  <c r="A8629" i="3"/>
  <c r="A8617" i="3"/>
  <c r="A8607" i="3"/>
  <c r="A8597" i="3"/>
  <c r="A8585" i="3"/>
  <c r="A8575" i="3"/>
  <c r="A8565" i="3"/>
  <c r="A8553" i="3"/>
  <c r="A8543" i="3"/>
  <c r="A8533" i="3"/>
  <c r="A8521" i="3"/>
  <c r="A8511" i="3"/>
  <c r="A8501" i="3"/>
  <c r="A8489" i="3"/>
  <c r="A8479" i="3"/>
  <c r="A8469" i="3"/>
  <c r="A8457" i="3"/>
  <c r="A8447" i="3"/>
  <c r="A8437" i="3"/>
  <c r="A8425" i="3"/>
  <c r="A8415" i="3"/>
  <c r="A8405" i="3"/>
  <c r="A8393" i="3"/>
  <c r="A8383" i="3"/>
  <c r="A8373" i="3"/>
  <c r="A8361" i="3"/>
  <c r="A8351" i="3"/>
  <c r="A8341" i="3"/>
  <c r="A8329" i="3"/>
  <c r="A8319" i="3"/>
  <c r="A8310" i="3"/>
  <c r="A8301" i="3"/>
  <c r="A8292" i="3"/>
  <c r="A8283" i="3"/>
  <c r="A8273" i="3"/>
  <c r="A8264" i="3"/>
  <c r="A8255" i="3"/>
  <c r="A8246" i="3"/>
  <c r="A8237" i="3"/>
  <c r="A8228" i="3"/>
  <c r="A8219" i="3"/>
  <c r="A8209" i="3"/>
  <c r="A8200" i="3"/>
  <c r="A8191" i="3"/>
  <c r="A8182" i="3"/>
  <c r="A8173" i="3"/>
  <c r="A8164" i="3"/>
  <c r="A8155" i="3"/>
  <c r="A8145" i="3"/>
  <c r="A8136" i="3"/>
  <c r="A8127" i="3"/>
  <c r="A8119" i="3"/>
  <c r="A8111" i="3"/>
  <c r="A8103" i="3"/>
  <c r="A8095" i="3"/>
  <c r="A8087" i="3"/>
  <c r="A8079" i="3"/>
  <c r="A8071" i="3"/>
  <c r="A8063" i="3"/>
  <c r="A8055" i="3"/>
  <c r="A8047" i="3"/>
  <c r="A8039" i="3"/>
  <c r="A8031" i="3"/>
  <c r="A8023" i="3"/>
  <c r="A8015" i="3"/>
  <c r="A8007" i="3"/>
  <c r="A7999" i="3"/>
  <c r="A7991" i="3"/>
  <c r="A7983" i="3"/>
  <c r="A8798" i="3"/>
  <c r="A8788" i="3"/>
  <c r="A8776" i="3"/>
  <c r="A8766" i="3"/>
  <c r="A8756" i="3"/>
  <c r="A8744" i="3"/>
  <c r="A8734" i="3"/>
  <c r="A8724" i="3"/>
  <c r="A8712" i="3"/>
  <c r="A8702" i="3"/>
  <c r="A8692" i="3"/>
  <c r="A8680" i="3"/>
  <c r="A8670" i="3"/>
  <c r="A8660" i="3"/>
  <c r="A8648" i="3"/>
  <c r="A8638" i="3"/>
  <c r="A8628" i="3"/>
  <c r="A8616" i="3"/>
  <c r="A8606" i="3"/>
  <c r="A8596" i="3"/>
  <c r="A8584" i="3"/>
  <c r="A8574" i="3"/>
  <c r="A8564" i="3"/>
  <c r="A8552" i="3"/>
  <c r="A8542" i="3"/>
  <c r="A8532" i="3"/>
  <c r="A8520" i="3"/>
  <c r="A8510" i="3"/>
  <c r="A8500" i="3"/>
  <c r="A8488" i="3"/>
  <c r="A8478" i="3"/>
  <c r="A8468" i="3"/>
  <c r="A8456" i="3"/>
  <c r="A8446" i="3"/>
  <c r="A8436" i="3"/>
  <c r="A8424" i="3"/>
  <c r="A8414" i="3"/>
  <c r="A8404" i="3"/>
  <c r="A8392" i="3"/>
  <c r="A8382" i="3"/>
  <c r="A8372" i="3"/>
  <c r="A8360" i="3"/>
  <c r="A8350" i="3"/>
  <c r="A8340" i="3"/>
  <c r="A8328" i="3"/>
  <c r="A8318" i="3"/>
  <c r="A8309" i="3"/>
  <c r="A8300" i="3"/>
  <c r="A8291" i="3"/>
  <c r="A8281" i="3"/>
  <c r="A8272" i="3"/>
  <c r="A8263" i="3"/>
  <c r="A8254" i="3"/>
  <c r="A8245" i="3"/>
  <c r="A8236" i="3"/>
  <c r="A8227" i="3"/>
  <c r="A8217" i="3"/>
  <c r="A8208" i="3"/>
  <c r="A8199" i="3"/>
  <c r="A8190" i="3"/>
  <c r="A8181" i="3"/>
  <c r="A8172" i="3"/>
  <c r="A8163" i="3"/>
  <c r="A8153" i="3"/>
  <c r="A8144" i="3"/>
  <c r="A8135" i="3"/>
  <c r="A8126" i="3"/>
  <c r="A8118" i="3"/>
  <c r="A8110" i="3"/>
  <c r="A8102" i="3"/>
  <c r="A8094" i="3"/>
  <c r="A8086" i="3"/>
  <c r="A8078" i="3"/>
  <c r="A8070" i="3"/>
  <c r="A8062" i="3"/>
  <c r="A8054" i="3"/>
  <c r="A8046" i="3"/>
  <c r="A8038" i="3"/>
  <c r="A8030" i="3"/>
  <c r="A8022" i="3"/>
  <c r="A8014" i="3"/>
  <c r="A8006" i="3"/>
  <c r="A7998" i="3"/>
  <c r="A7990" i="3"/>
  <c r="A7982" i="3"/>
  <c r="A7974" i="3"/>
  <c r="A8797" i="3"/>
  <c r="A8783" i="3"/>
  <c r="A8769" i="3"/>
  <c r="A8753" i="3"/>
  <c r="A8741" i="3"/>
  <c r="A8727" i="3"/>
  <c r="A8711" i="3"/>
  <c r="A8697" i="3"/>
  <c r="A8685" i="3"/>
  <c r="A8669" i="3"/>
  <c r="A8655" i="3"/>
  <c r="A8641" i="3"/>
  <c r="A8625" i="3"/>
  <c r="A8613" i="3"/>
  <c r="A8599" i="3"/>
  <c r="A8583" i="3"/>
  <c r="A8569" i="3"/>
  <c r="A8557" i="3"/>
  <c r="A8541" i="3"/>
  <c r="A8527" i="3"/>
  <c r="A8513" i="3"/>
  <c r="A8497" i="3"/>
  <c r="A8485" i="3"/>
  <c r="A8471" i="3"/>
  <c r="A8455" i="3"/>
  <c r="A8441" i="3"/>
  <c r="A8429" i="3"/>
  <c r="A8413" i="3"/>
  <c r="A8399" i="3"/>
  <c r="A8385" i="3"/>
  <c r="A8369" i="3"/>
  <c r="A8357" i="3"/>
  <c r="A8343" i="3"/>
  <c r="A8327" i="3"/>
  <c r="A8315" i="3"/>
  <c r="A8303" i="3"/>
  <c r="A8289" i="3"/>
  <c r="A8278" i="3"/>
  <c r="A8267" i="3"/>
  <c r="A8253" i="3"/>
  <c r="A8241" i="3"/>
  <c r="A8230" i="3"/>
  <c r="A8216" i="3"/>
  <c r="A8205" i="3"/>
  <c r="A8193" i="3"/>
  <c r="A8180" i="3"/>
  <c r="A8168" i="3"/>
  <c r="A8157" i="3"/>
  <c r="A8143" i="3"/>
  <c r="A8132" i="3"/>
  <c r="A8121" i="3"/>
  <c r="A8109" i="3"/>
  <c r="A8099" i="3"/>
  <c r="A8089" i="3"/>
  <c r="A8077" i="3"/>
  <c r="A8067" i="3"/>
  <c r="A8057" i="3"/>
  <c r="A8045" i="3"/>
  <c r="A8035" i="3"/>
  <c r="A8025" i="3"/>
  <c r="A8013" i="3"/>
  <c r="A8003" i="3"/>
  <c r="A7993" i="3"/>
  <c r="A7981" i="3"/>
  <c r="A7972" i="3"/>
  <c r="A7964" i="3"/>
  <c r="A7956" i="3"/>
  <c r="A7948" i="3"/>
  <c r="A7940" i="3"/>
  <c r="A7932" i="3"/>
  <c r="A7924" i="3"/>
  <c r="A7916" i="3"/>
  <c r="A7908" i="3"/>
  <c r="A7900" i="3"/>
  <c r="A7892" i="3"/>
  <c r="A7884" i="3"/>
  <c r="A7876" i="3"/>
  <c r="A7868" i="3"/>
  <c r="A7860" i="3"/>
  <c r="A7852" i="3"/>
  <c r="A7844" i="3"/>
  <c r="A7836" i="3"/>
  <c r="A7828" i="3"/>
  <c r="A7820" i="3"/>
  <c r="A7812" i="3"/>
  <c r="A7804" i="3"/>
  <c r="A7796" i="3"/>
  <c r="A7788" i="3"/>
  <c r="A7780" i="3"/>
  <c r="A7772" i="3"/>
  <c r="A7764" i="3"/>
  <c r="A7756" i="3"/>
  <c r="A7748" i="3"/>
  <c r="A7740" i="3"/>
  <c r="A7732" i="3"/>
  <c r="A7724" i="3"/>
  <c r="A7716" i="3"/>
  <c r="A7708" i="3"/>
  <c r="A7700" i="3"/>
  <c r="A8796" i="3"/>
  <c r="A8782" i="3"/>
  <c r="A8768" i="3"/>
  <c r="A8752" i="3"/>
  <c r="A8740" i="3"/>
  <c r="A8726" i="3"/>
  <c r="A8710" i="3"/>
  <c r="A8696" i="3"/>
  <c r="A8684" i="3"/>
  <c r="A8668" i="3"/>
  <c r="A8654" i="3"/>
  <c r="A8640" i="3"/>
  <c r="A8624" i="3"/>
  <c r="A8612" i="3"/>
  <c r="A8598" i="3"/>
  <c r="A8582" i="3"/>
  <c r="A8568" i="3"/>
  <c r="A8556" i="3"/>
  <c r="A8540" i="3"/>
  <c r="A8526" i="3"/>
  <c r="A8512" i="3"/>
  <c r="A8496" i="3"/>
  <c r="A8484" i="3"/>
  <c r="A8470" i="3"/>
  <c r="A8454" i="3"/>
  <c r="A8440" i="3"/>
  <c r="A8428" i="3"/>
  <c r="A8412" i="3"/>
  <c r="A8398" i="3"/>
  <c r="A8384" i="3"/>
  <c r="A8368" i="3"/>
  <c r="A8356" i="3"/>
  <c r="A8342" i="3"/>
  <c r="A8326" i="3"/>
  <c r="A8313" i="3"/>
  <c r="A8302" i="3"/>
  <c r="A8288" i="3"/>
  <c r="A8277" i="3"/>
  <c r="A8265" i="3"/>
  <c r="A8252" i="3"/>
  <c r="A8240" i="3"/>
  <c r="A8229" i="3"/>
  <c r="A8215" i="3"/>
  <c r="A8204" i="3"/>
  <c r="A8192" i="3"/>
  <c r="A8179" i="3"/>
  <c r="A8167" i="3"/>
  <c r="A8156" i="3"/>
  <c r="A8142" i="3"/>
  <c r="A8131" i="3"/>
  <c r="A8120" i="3"/>
  <c r="A8108" i="3"/>
  <c r="A8098" i="3"/>
  <c r="A8088" i="3"/>
  <c r="A8076" i="3"/>
  <c r="A8066" i="3"/>
  <c r="A8056" i="3"/>
  <c r="A8044" i="3"/>
  <c r="A8034" i="3"/>
  <c r="A8024" i="3"/>
  <c r="A8012" i="3"/>
  <c r="A8809" i="3"/>
  <c r="A8793" i="3"/>
  <c r="A8781" i="3"/>
  <c r="A8765" i="3"/>
  <c r="A8751" i="3"/>
  <c r="A8737" i="3"/>
  <c r="A8721" i="3"/>
  <c r="A8709" i="3"/>
  <c r="A8695" i="3"/>
  <c r="A8679" i="3"/>
  <c r="A8665" i="3"/>
  <c r="A8653" i="3"/>
  <c r="A8637" i="3"/>
  <c r="A8623" i="3"/>
  <c r="A8609" i="3"/>
  <c r="A8593" i="3"/>
  <c r="A8581" i="3"/>
  <c r="A8567" i="3"/>
  <c r="A8551" i="3"/>
  <c r="A8537" i="3"/>
  <c r="A8525" i="3"/>
  <c r="A8509" i="3"/>
  <c r="A8495" i="3"/>
  <c r="A8481" i="3"/>
  <c r="A8465" i="3"/>
  <c r="A8453" i="3"/>
  <c r="A8439" i="3"/>
  <c r="A8423" i="3"/>
  <c r="A8409" i="3"/>
  <c r="A8397" i="3"/>
  <c r="A8381" i="3"/>
  <c r="A8367" i="3"/>
  <c r="A8353" i="3"/>
  <c r="A8337" i="3"/>
  <c r="A8325" i="3"/>
  <c r="A8312" i="3"/>
  <c r="A8299" i="3"/>
  <c r="A8287" i="3"/>
  <c r="A8276" i="3"/>
  <c r="A8262" i="3"/>
  <c r="A8251" i="3"/>
  <c r="A8239" i="3"/>
  <c r="A8225" i="3"/>
  <c r="A8214" i="3"/>
  <c r="A8203" i="3"/>
  <c r="A8189" i="3"/>
  <c r="A8177" i="3"/>
  <c r="A8166" i="3"/>
  <c r="A8152" i="3"/>
  <c r="A8141" i="3"/>
  <c r="A8129" i="3"/>
  <c r="A8117" i="3"/>
  <c r="A8107" i="3"/>
  <c r="A8097" i="3"/>
  <c r="A8085" i="3"/>
  <c r="A8075" i="3"/>
  <c r="A8065" i="3"/>
  <c r="A8053" i="3"/>
  <c r="A8043" i="3"/>
  <c r="A8033" i="3"/>
  <c r="A8021" i="3"/>
  <c r="A8011" i="3"/>
  <c r="A8001" i="3"/>
  <c r="A7989" i="3"/>
  <c r="A7979" i="3"/>
  <c r="A7970" i="3"/>
  <c r="A7962" i="3"/>
  <c r="A7954" i="3"/>
  <c r="A7946" i="3"/>
  <c r="A7938" i="3"/>
  <c r="A7930" i="3"/>
  <c r="A7922" i="3"/>
  <c r="A7914" i="3"/>
  <c r="A7906" i="3"/>
  <c r="A7898" i="3"/>
  <c r="A7890" i="3"/>
  <c r="A7882" i="3"/>
  <c r="A7874" i="3"/>
  <c r="A7866" i="3"/>
  <c r="A7858" i="3"/>
  <c r="A7850" i="3"/>
  <c r="A7842" i="3"/>
  <c r="A7834" i="3"/>
  <c r="A7826" i="3"/>
  <c r="A7818" i="3"/>
  <c r="A8808" i="3"/>
  <c r="A8801" i="3"/>
  <c r="A8785" i="3"/>
  <c r="A8773" i="3"/>
  <c r="A8759" i="3"/>
  <c r="A8743" i="3"/>
  <c r="A8729" i="3"/>
  <c r="A8717" i="3"/>
  <c r="A8701" i="3"/>
  <c r="A8687" i="3"/>
  <c r="A8673" i="3"/>
  <c r="A8657" i="3"/>
  <c r="A8645" i="3"/>
  <c r="A8631" i="3"/>
  <c r="A8615" i="3"/>
  <c r="A8601" i="3"/>
  <c r="A8589" i="3"/>
  <c r="A8573" i="3"/>
  <c r="A8559" i="3"/>
  <c r="A8545" i="3"/>
  <c r="A8529" i="3"/>
  <c r="A8517" i="3"/>
  <c r="A8503" i="3"/>
  <c r="A8487" i="3"/>
  <c r="A8473" i="3"/>
  <c r="A8461" i="3"/>
  <c r="A8445" i="3"/>
  <c r="A8431" i="3"/>
  <c r="A8417" i="3"/>
  <c r="A8401" i="3"/>
  <c r="A8389" i="3"/>
  <c r="A8375" i="3"/>
  <c r="A8359" i="3"/>
  <c r="A8345" i="3"/>
  <c r="A8333" i="3"/>
  <c r="A8317" i="3"/>
  <c r="A8305" i="3"/>
  <c r="A8294" i="3"/>
  <c r="A8280" i="3"/>
  <c r="A8269" i="3"/>
  <c r="A8257" i="3"/>
  <c r="A8244" i="3"/>
  <c r="A8232" i="3"/>
  <c r="A8221" i="3"/>
  <c r="A8207" i="3"/>
  <c r="A8196" i="3"/>
  <c r="A8784" i="3"/>
  <c r="A8758" i="3"/>
  <c r="A8728" i="3"/>
  <c r="A8700" i="3"/>
  <c r="A8672" i="3"/>
  <c r="A8644" i="3"/>
  <c r="A8614" i="3"/>
  <c r="A8588" i="3"/>
  <c r="A8558" i="3"/>
  <c r="A8528" i="3"/>
  <c r="A8502" i="3"/>
  <c r="A8472" i="3"/>
  <c r="A8444" i="3"/>
  <c r="A8416" i="3"/>
  <c r="A8388" i="3"/>
  <c r="A8358" i="3"/>
  <c r="A8332" i="3"/>
  <c r="A8304" i="3"/>
  <c r="A8279" i="3"/>
  <c r="A8256" i="3"/>
  <c r="A8231" i="3"/>
  <c r="A8206" i="3"/>
  <c r="A8184" i="3"/>
  <c r="A8161" i="3"/>
  <c r="A8147" i="3"/>
  <c r="A8124" i="3"/>
  <c r="A8106" i="3"/>
  <c r="A8091" i="3"/>
  <c r="A8073" i="3"/>
  <c r="A8058" i="3"/>
  <c r="A8040" i="3"/>
  <c r="A8020" i="3"/>
  <c r="A8005" i="3"/>
  <c r="A7992" i="3"/>
  <c r="A7977" i="3"/>
  <c r="A7966" i="3"/>
  <c r="A7955" i="3"/>
  <c r="A7944" i="3"/>
  <c r="A7934" i="3"/>
  <c r="A7923" i="3"/>
  <c r="A7912" i="3"/>
  <c r="A7902" i="3"/>
  <c r="A7891" i="3"/>
  <c r="A7880" i="3"/>
  <c r="A7870" i="3"/>
  <c r="A7859" i="3"/>
  <c r="A7848" i="3"/>
  <c r="A7838" i="3"/>
  <c r="A7827" i="3"/>
  <c r="A7816" i="3"/>
  <c r="A7807" i="3"/>
  <c r="A7798" i="3"/>
  <c r="A7789" i="3"/>
  <c r="A7779" i="3"/>
  <c r="A7770" i="3"/>
  <c r="A7761" i="3"/>
  <c r="A7752" i="3"/>
  <c r="A7743" i="3"/>
  <c r="A7734" i="3"/>
  <c r="A7725" i="3"/>
  <c r="A7715" i="3"/>
  <c r="A7706" i="3"/>
  <c r="A7697" i="3"/>
  <c r="A7689" i="3"/>
  <c r="A7681" i="3"/>
  <c r="A7673" i="3"/>
  <c r="A7665" i="3"/>
  <c r="A7657" i="3"/>
  <c r="A7649" i="3"/>
  <c r="A7641" i="3"/>
  <c r="A7633" i="3"/>
  <c r="A7625" i="3"/>
  <c r="A7617" i="3"/>
  <c r="A7609" i="3"/>
  <c r="A7601" i="3"/>
  <c r="A7593" i="3"/>
  <c r="A7585" i="3"/>
  <c r="A7577" i="3"/>
  <c r="A7569" i="3"/>
  <c r="A7561" i="3"/>
  <c r="A7553" i="3"/>
  <c r="A7545" i="3"/>
  <c r="A7537" i="3"/>
  <c r="A7529" i="3"/>
  <c r="A7521" i="3"/>
  <c r="A7513" i="3"/>
  <c r="A7505" i="3"/>
  <c r="A7497" i="3"/>
  <c r="A7489" i="3"/>
  <c r="A7481" i="3"/>
  <c r="A7473" i="3"/>
  <c r="A7465" i="3"/>
  <c r="A7457" i="3"/>
  <c r="A7449" i="3"/>
  <c r="A7441" i="3"/>
  <c r="A7433" i="3"/>
  <c r="A7425" i="3"/>
  <c r="A7417" i="3"/>
  <c r="A7409" i="3"/>
  <c r="A7401" i="3"/>
  <c r="A7393" i="3"/>
  <c r="A7385" i="3"/>
  <c r="A7377" i="3"/>
  <c r="A7369" i="3"/>
  <c r="A7361" i="3"/>
  <c r="A7353" i="3"/>
  <c r="A7345" i="3"/>
  <c r="A7337" i="3"/>
  <c r="A7329" i="3"/>
  <c r="A7321" i="3"/>
  <c r="A7313" i="3"/>
  <c r="A7305" i="3"/>
  <c r="A7297" i="3"/>
  <c r="A7289" i="3"/>
  <c r="A7281" i="3"/>
  <c r="A7273" i="3"/>
  <c r="A7265" i="3"/>
  <c r="A7257" i="3"/>
  <c r="A7249" i="3"/>
  <c r="A7241" i="3"/>
  <c r="A7233" i="3"/>
  <c r="A7225" i="3"/>
  <c r="A7217" i="3"/>
  <c r="A7209" i="3"/>
  <c r="A7201" i="3"/>
  <c r="A7193" i="3"/>
  <c r="A7185" i="3"/>
  <c r="A7177" i="3"/>
  <c r="A7169" i="3"/>
  <c r="A7161" i="3"/>
  <c r="A7153" i="3"/>
  <c r="A7145" i="3"/>
  <c r="A8780" i="3"/>
  <c r="A8750" i="3"/>
  <c r="A8720" i="3"/>
  <c r="A8694" i="3"/>
  <c r="A8664" i="3"/>
  <c r="A8636" i="3"/>
  <c r="A8608" i="3"/>
  <c r="A8580" i="3"/>
  <c r="A8550" i="3"/>
  <c r="A8524" i="3"/>
  <c r="A8494" i="3"/>
  <c r="A8464" i="3"/>
  <c r="A8438" i="3"/>
  <c r="A8408" i="3"/>
  <c r="A8380" i="3"/>
  <c r="A8352" i="3"/>
  <c r="A8324" i="3"/>
  <c r="A8297" i="3"/>
  <c r="A8275" i="3"/>
  <c r="A8249" i="3"/>
  <c r="A8224" i="3"/>
  <c r="A8201" i="3"/>
  <c r="A8183" i="3"/>
  <c r="A8160" i="3"/>
  <c r="A8140" i="3"/>
  <c r="A8123" i="3"/>
  <c r="A8105" i="3"/>
  <c r="A8090" i="3"/>
  <c r="A8072" i="3"/>
  <c r="A8052" i="3"/>
  <c r="A8037" i="3"/>
  <c r="A8019" i="3"/>
  <c r="A8004" i="3"/>
  <c r="A7988" i="3"/>
  <c r="A7976" i="3"/>
  <c r="A7965" i="3"/>
  <c r="A7953" i="3"/>
  <c r="A7943" i="3"/>
  <c r="A7933" i="3"/>
  <c r="A7921" i="3"/>
  <c r="A7911" i="3"/>
  <c r="A7901" i="3"/>
  <c r="A7889" i="3"/>
  <c r="A7879" i="3"/>
  <c r="A7869" i="3"/>
  <c r="A7857" i="3"/>
  <c r="A7847" i="3"/>
  <c r="A7837" i="3"/>
  <c r="A7825" i="3"/>
  <c r="A7815" i="3"/>
  <c r="A7806" i="3"/>
  <c r="A7797" i="3"/>
  <c r="A7787" i="3"/>
  <c r="A7778" i="3"/>
  <c r="A7769" i="3"/>
  <c r="A7760" i="3"/>
  <c r="A7751" i="3"/>
  <c r="A7742" i="3"/>
  <c r="A7733" i="3"/>
  <c r="A7723" i="3"/>
  <c r="A7714" i="3"/>
  <c r="A7705" i="3"/>
  <c r="A7696" i="3"/>
  <c r="A7688" i="3"/>
  <c r="A7680" i="3"/>
  <c r="A7672" i="3"/>
  <c r="A7664" i="3"/>
  <c r="A7656" i="3"/>
  <c r="A7648" i="3"/>
  <c r="A7640" i="3"/>
  <c r="A7632" i="3"/>
  <c r="A7624" i="3"/>
  <c r="A7616" i="3"/>
  <c r="A7608" i="3"/>
  <c r="A7600" i="3"/>
  <c r="A7592" i="3"/>
  <c r="A7584" i="3"/>
  <c r="A7576" i="3"/>
  <c r="A7568" i="3"/>
  <c r="A7560" i="3"/>
  <c r="A7552" i="3"/>
  <c r="A7544" i="3"/>
  <c r="A7536" i="3"/>
  <c r="A7528" i="3"/>
  <c r="A7520" i="3"/>
  <c r="A7512" i="3"/>
  <c r="A7504" i="3"/>
  <c r="A7496" i="3"/>
  <c r="A7488" i="3"/>
  <c r="A7480" i="3"/>
  <c r="A7472" i="3"/>
  <c r="A7464" i="3"/>
  <c r="A7456" i="3"/>
  <c r="A7448" i="3"/>
  <c r="A7440" i="3"/>
  <c r="A7432" i="3"/>
  <c r="A7424" i="3"/>
  <c r="A7416" i="3"/>
  <c r="A7408" i="3"/>
  <c r="A7400" i="3"/>
  <c r="A7392" i="3"/>
  <c r="A7384" i="3"/>
  <c r="A7376" i="3"/>
  <c r="A7368" i="3"/>
  <c r="A7360" i="3"/>
  <c r="A7352" i="3"/>
  <c r="A7344" i="3"/>
  <c r="A7336" i="3"/>
  <c r="A7328" i="3"/>
  <c r="A7320" i="3"/>
  <c r="A7312" i="3"/>
  <c r="A7304" i="3"/>
  <c r="A7296" i="3"/>
  <c r="A7288" i="3"/>
  <c r="A7280" i="3"/>
  <c r="A7272" i="3"/>
  <c r="A7264" i="3"/>
  <c r="A7256" i="3"/>
  <c r="A7248" i="3"/>
  <c r="A7240" i="3"/>
  <c r="A7232" i="3"/>
  <c r="A7224" i="3"/>
  <c r="A7216" i="3"/>
  <c r="A7208" i="3"/>
  <c r="A7200" i="3"/>
  <c r="A7192" i="3"/>
  <c r="A7184" i="3"/>
  <c r="A7176" i="3"/>
  <c r="A7168" i="3"/>
  <c r="A7160" i="3"/>
  <c r="A7152" i="3"/>
  <c r="A7144" i="3"/>
  <c r="A8805" i="3"/>
  <c r="A8775" i="3"/>
  <c r="A8749" i="3"/>
  <c r="A8719" i="3"/>
  <c r="A8689" i="3"/>
  <c r="A8663" i="3"/>
  <c r="A8633" i="3"/>
  <c r="A8605" i="3"/>
  <c r="A8577" i="3"/>
  <c r="A8549" i="3"/>
  <c r="A8519" i="3"/>
  <c r="A8493" i="3"/>
  <c r="A8463" i="3"/>
  <c r="A8433" i="3"/>
  <c r="A8407" i="3"/>
  <c r="A8377" i="3"/>
  <c r="A8349" i="3"/>
  <c r="A8321" i="3"/>
  <c r="A8296" i="3"/>
  <c r="A8271" i="3"/>
  <c r="A8248" i="3"/>
  <c r="A8223" i="3"/>
  <c r="A8198" i="3"/>
  <c r="A8176" i="3"/>
  <c r="A8159" i="3"/>
  <c r="A8139" i="3"/>
  <c r="A8122" i="3"/>
  <c r="A8104" i="3"/>
  <c r="A8084" i="3"/>
  <c r="A8069" i="3"/>
  <c r="A8051" i="3"/>
  <c r="A8036" i="3"/>
  <c r="A8018" i="3"/>
  <c r="A8002" i="3"/>
  <c r="A7987" i="3"/>
  <c r="A7975" i="3"/>
  <c r="A7963" i="3"/>
  <c r="A7952" i="3"/>
  <c r="A7942" i="3"/>
  <c r="A7931" i="3"/>
  <c r="A7920" i="3"/>
  <c r="A7910" i="3"/>
  <c r="A7899" i="3"/>
  <c r="A7888" i="3"/>
  <c r="A7878" i="3"/>
  <c r="A7867" i="3"/>
  <c r="A7856" i="3"/>
  <c r="A7846" i="3"/>
  <c r="A7835" i="3"/>
  <c r="A7824" i="3"/>
  <c r="A7814" i="3"/>
  <c r="A7805" i="3"/>
  <c r="A7795" i="3"/>
  <c r="A7786" i="3"/>
  <c r="A7777" i="3"/>
  <c r="A7768" i="3"/>
  <c r="A7759" i="3"/>
  <c r="A7750" i="3"/>
  <c r="A7741" i="3"/>
  <c r="A7731" i="3"/>
  <c r="A7722" i="3"/>
  <c r="A7713" i="3"/>
  <c r="A7704" i="3"/>
  <c r="A7695" i="3"/>
  <c r="A7687" i="3"/>
  <c r="A7679" i="3"/>
  <c r="A7671" i="3"/>
  <c r="A7663" i="3"/>
  <c r="A7655" i="3"/>
  <c r="A7647" i="3"/>
  <c r="A7639" i="3"/>
  <c r="A7631" i="3"/>
  <c r="A7623" i="3"/>
  <c r="A7615" i="3"/>
  <c r="A7607" i="3"/>
  <c r="A7599" i="3"/>
  <c r="A7591" i="3"/>
  <c r="A7583" i="3"/>
  <c r="A7575" i="3"/>
  <c r="A7567" i="3"/>
  <c r="A7559" i="3"/>
  <c r="A7551" i="3"/>
  <c r="A7543" i="3"/>
  <c r="A7535" i="3"/>
  <c r="A7527" i="3"/>
  <c r="A7519" i="3"/>
  <c r="A7511" i="3"/>
  <c r="A7503" i="3"/>
  <c r="A7495" i="3"/>
  <c r="A7487" i="3"/>
  <c r="A7479" i="3"/>
  <c r="A7471" i="3"/>
  <c r="A7463" i="3"/>
  <c r="A7455" i="3"/>
  <c r="A7447" i="3"/>
  <c r="A7439" i="3"/>
  <c r="A7431" i="3"/>
  <c r="A7423" i="3"/>
  <c r="A7415" i="3"/>
  <c r="A8804" i="3"/>
  <c r="A8774" i="3"/>
  <c r="A8748" i="3"/>
  <c r="A8718" i="3"/>
  <c r="A8688" i="3"/>
  <c r="A8662" i="3"/>
  <c r="A8632" i="3"/>
  <c r="A8604" i="3"/>
  <c r="A8576" i="3"/>
  <c r="A8548" i="3"/>
  <c r="A8518" i="3"/>
  <c r="A8492" i="3"/>
  <c r="A8462" i="3"/>
  <c r="A8432" i="3"/>
  <c r="A8406" i="3"/>
  <c r="A8376" i="3"/>
  <c r="A8348" i="3"/>
  <c r="A8320" i="3"/>
  <c r="A8295" i="3"/>
  <c r="A8270" i="3"/>
  <c r="A8247" i="3"/>
  <c r="A8222" i="3"/>
  <c r="A8197" i="3"/>
  <c r="A8175" i="3"/>
  <c r="A8158" i="3"/>
  <c r="A8137" i="3"/>
  <c r="A8116" i="3"/>
  <c r="A8101" i="3"/>
  <c r="A8083" i="3"/>
  <c r="A8068" i="3"/>
  <c r="A8050" i="3"/>
  <c r="A8032" i="3"/>
  <c r="A8017" i="3"/>
  <c r="A8000" i="3"/>
  <c r="A7986" i="3"/>
  <c r="A7973" i="3"/>
  <c r="A8800" i="3"/>
  <c r="A8772" i="3"/>
  <c r="A8742" i="3"/>
  <c r="A8716" i="3"/>
  <c r="A8686" i="3"/>
  <c r="A8656" i="3"/>
  <c r="A8630" i="3"/>
  <c r="A8600" i="3"/>
  <c r="A8572" i="3"/>
  <c r="A8544" i="3"/>
  <c r="A8516" i="3"/>
  <c r="A8486" i="3"/>
  <c r="A8460" i="3"/>
  <c r="A8430" i="3"/>
  <c r="A8400" i="3"/>
  <c r="A8374" i="3"/>
  <c r="A8344" i="3"/>
  <c r="A8316" i="3"/>
  <c r="A8293" i="3"/>
  <c r="A8268" i="3"/>
  <c r="A8243" i="3"/>
  <c r="A8220" i="3"/>
  <c r="A8195" i="3"/>
  <c r="A8174" i="3"/>
  <c r="A8151" i="3"/>
  <c r="A8134" i="3"/>
  <c r="A8115" i="3"/>
  <c r="A8100" i="3"/>
  <c r="A8082" i="3"/>
  <c r="A8064" i="3"/>
  <c r="A8049" i="3"/>
  <c r="A8029" i="3"/>
  <c r="A8016" i="3"/>
  <c r="A7997" i="3"/>
  <c r="A7985" i="3"/>
  <c r="A7971" i="3"/>
  <c r="A7960" i="3"/>
  <c r="A7950" i="3"/>
  <c r="A7939" i="3"/>
  <c r="A7928" i="3"/>
  <c r="A7918" i="3"/>
  <c r="A7907" i="3"/>
  <c r="A7896" i="3"/>
  <c r="A7886" i="3"/>
  <c r="A7875" i="3"/>
  <c r="A7864" i="3"/>
  <c r="A7854" i="3"/>
  <c r="A7843" i="3"/>
  <c r="A7832" i="3"/>
  <c r="A7822" i="3"/>
  <c r="A7811" i="3"/>
  <c r="A7802" i="3"/>
  <c r="A7793" i="3"/>
  <c r="A7784" i="3"/>
  <c r="A7775" i="3"/>
  <c r="A7766" i="3"/>
  <c r="A7757" i="3"/>
  <c r="A7747" i="3"/>
  <c r="A7738" i="3"/>
  <c r="A7729" i="3"/>
  <c r="A7720" i="3"/>
  <c r="A7711" i="3"/>
  <c r="A7702" i="3"/>
  <c r="A7693" i="3"/>
  <c r="A7685" i="3"/>
  <c r="A7677" i="3"/>
  <c r="A7669" i="3"/>
  <c r="A7661" i="3"/>
  <c r="A7653" i="3"/>
  <c r="A7645" i="3"/>
  <c r="A7637" i="3"/>
  <c r="A7629" i="3"/>
  <c r="A7621" i="3"/>
  <c r="A7613" i="3"/>
  <c r="A7605" i="3"/>
  <c r="A7597" i="3"/>
  <c r="A7589" i="3"/>
  <c r="A7581" i="3"/>
  <c r="A7573" i="3"/>
  <c r="A7565" i="3"/>
  <c r="A7557" i="3"/>
  <c r="A7549" i="3"/>
  <c r="A7541" i="3"/>
  <c r="A7533" i="3"/>
  <c r="A7525" i="3"/>
  <c r="A8736" i="3"/>
  <c r="A8676" i="3"/>
  <c r="A8591" i="3"/>
  <c r="A8508" i="3"/>
  <c r="A8448" i="3"/>
  <c r="A8365" i="3"/>
  <c r="A8286" i="3"/>
  <c r="A8233" i="3"/>
  <c r="A8169" i="3"/>
  <c r="A8114" i="3"/>
  <c r="A8074" i="3"/>
  <c r="A8027" i="3"/>
  <c r="A7984" i="3"/>
  <c r="A7958" i="3"/>
  <c r="A7936" i="3"/>
  <c r="A7915" i="3"/>
  <c r="A7894" i="3"/>
  <c r="A7872" i="3"/>
  <c r="A7851" i="3"/>
  <c r="A7830" i="3"/>
  <c r="A7809" i="3"/>
  <c r="A7791" i="3"/>
  <c r="A7773" i="3"/>
  <c r="A7754" i="3"/>
  <c r="A7736" i="3"/>
  <c r="A7718" i="3"/>
  <c r="A7699" i="3"/>
  <c r="A7683" i="3"/>
  <c r="A7667" i="3"/>
  <c r="A7651" i="3"/>
  <c r="A7635" i="3"/>
  <c r="A7619" i="3"/>
  <c r="A7603" i="3"/>
  <c r="A7587" i="3"/>
  <c r="A7571" i="3"/>
  <c r="A7555" i="3"/>
  <c r="A7539" i="3"/>
  <c r="A7523" i="3"/>
  <c r="A7509" i="3"/>
  <c r="A7498" i="3"/>
  <c r="A7484" i="3"/>
  <c r="A7470" i="3"/>
  <c r="A7459" i="3"/>
  <c r="A7445" i="3"/>
  <c r="A7434" i="3"/>
  <c r="A7420" i="3"/>
  <c r="A7407" i="3"/>
  <c r="A7397" i="3"/>
  <c r="A7387" i="3"/>
  <c r="A7375" i="3"/>
  <c r="A7365" i="3"/>
  <c r="A7355" i="3"/>
  <c r="A7343" i="3"/>
  <c r="A7333" i="3"/>
  <c r="A7323" i="3"/>
  <c r="A7311" i="3"/>
  <c r="A7301" i="3"/>
  <c r="A7291" i="3"/>
  <c r="A7279" i="3"/>
  <c r="A7269" i="3"/>
  <c r="A7259" i="3"/>
  <c r="A7247" i="3"/>
  <c r="A7237" i="3"/>
  <c r="A7227" i="3"/>
  <c r="A7215" i="3"/>
  <c r="A7205" i="3"/>
  <c r="A7195" i="3"/>
  <c r="A7183" i="3"/>
  <c r="A7173" i="3"/>
  <c r="A7163" i="3"/>
  <c r="A7151" i="3"/>
  <c r="A7141" i="3"/>
  <c r="A7133" i="3"/>
  <c r="A7125" i="3"/>
  <c r="A7117" i="3"/>
  <c r="A7109" i="3"/>
  <c r="A7101" i="3"/>
  <c r="A7093" i="3"/>
  <c r="A7085" i="3"/>
  <c r="A7077" i="3"/>
  <c r="A7069" i="3"/>
  <c r="A7061" i="3"/>
  <c r="A7053" i="3"/>
  <c r="A7045" i="3"/>
  <c r="A7037" i="3"/>
  <c r="A7029" i="3"/>
  <c r="A7021" i="3"/>
  <c r="A7013" i="3"/>
  <c r="A7005" i="3"/>
  <c r="A6997" i="3"/>
  <c r="A6989" i="3"/>
  <c r="A6981" i="3"/>
  <c r="A6973" i="3"/>
  <c r="A6965" i="3"/>
  <c r="A6957" i="3"/>
  <c r="A6949" i="3"/>
  <c r="A6941" i="3"/>
  <c r="A6933" i="3"/>
  <c r="A6925" i="3"/>
  <c r="A6917" i="3"/>
  <c r="A6909" i="3"/>
  <c r="A6901" i="3"/>
  <c r="A6893" i="3"/>
  <c r="A6885" i="3"/>
  <c r="A6877" i="3"/>
  <c r="A6869" i="3"/>
  <c r="A6861" i="3"/>
  <c r="A6853" i="3"/>
  <c r="A6845" i="3"/>
  <c r="A6837" i="3"/>
  <c r="A6829" i="3"/>
  <c r="A6821" i="3"/>
  <c r="A6813" i="3"/>
  <c r="A8733" i="3"/>
  <c r="A8652" i="3"/>
  <c r="A8590" i="3"/>
  <c r="A8505" i="3"/>
  <c r="A8422" i="3"/>
  <c r="A8364" i="3"/>
  <c r="A8285" i="3"/>
  <c r="A8213" i="3"/>
  <c r="A8165" i="3"/>
  <c r="A8113" i="3"/>
  <c r="A8061" i="3"/>
  <c r="A8026" i="3"/>
  <c r="A7980" i="3"/>
  <c r="A7957" i="3"/>
  <c r="A7935" i="3"/>
  <c r="A7913" i="3"/>
  <c r="A7893" i="3"/>
  <c r="A7871" i="3"/>
  <c r="A7849" i="3"/>
  <c r="A7829" i="3"/>
  <c r="A7808" i="3"/>
  <c r="A7790" i="3"/>
  <c r="A7771" i="3"/>
  <c r="A7753" i="3"/>
  <c r="A7735" i="3"/>
  <c r="A7717" i="3"/>
  <c r="A7698" i="3"/>
  <c r="A7682" i="3"/>
  <c r="A7666" i="3"/>
  <c r="A7650" i="3"/>
  <c r="A7634" i="3"/>
  <c r="A7618" i="3"/>
  <c r="A7602" i="3"/>
  <c r="A7586" i="3"/>
  <c r="A7570" i="3"/>
  <c r="A7554" i="3"/>
  <c r="A7538" i="3"/>
  <c r="A7522" i="3"/>
  <c r="A7508" i="3"/>
  <c r="A7494" i="3"/>
  <c r="A7483" i="3"/>
  <c r="A7469" i="3"/>
  <c r="A7458" i="3"/>
  <c r="A7444" i="3"/>
  <c r="A7430" i="3"/>
  <c r="A7419" i="3"/>
  <c r="A7406" i="3"/>
  <c r="A7396" i="3"/>
  <c r="A7386" i="3"/>
  <c r="A7374" i="3"/>
  <c r="A7364" i="3"/>
  <c r="A7354" i="3"/>
  <c r="A7342" i="3"/>
  <c r="A7332" i="3"/>
  <c r="A7322" i="3"/>
  <c r="A7310" i="3"/>
  <c r="A7300" i="3"/>
  <c r="A7290" i="3"/>
  <c r="A7278" i="3"/>
  <c r="A7268" i="3"/>
  <c r="A7258" i="3"/>
  <c r="A7246" i="3"/>
  <c r="A7236" i="3"/>
  <c r="A7226" i="3"/>
  <c r="A7214" i="3"/>
  <c r="A7204" i="3"/>
  <c r="A7194" i="3"/>
  <c r="A7182" i="3"/>
  <c r="A7172" i="3"/>
  <c r="A7162" i="3"/>
  <c r="A7150" i="3"/>
  <c r="A7140" i="3"/>
  <c r="A7132" i="3"/>
  <c r="A7124" i="3"/>
  <c r="A7116" i="3"/>
  <c r="A7108" i="3"/>
  <c r="A7100" i="3"/>
  <c r="A7092" i="3"/>
  <c r="A7084" i="3"/>
  <c r="A7076" i="3"/>
  <c r="A7068" i="3"/>
  <c r="A7060" i="3"/>
  <c r="A7052" i="3"/>
  <c r="A7044" i="3"/>
  <c r="A7036" i="3"/>
  <c r="A7028" i="3"/>
  <c r="A7020" i="3"/>
  <c r="A7012" i="3"/>
  <c r="A7004" i="3"/>
  <c r="A6996" i="3"/>
  <c r="A6988" i="3"/>
  <c r="A6980" i="3"/>
  <c r="A6972" i="3"/>
  <c r="A6964" i="3"/>
  <c r="A6956" i="3"/>
  <c r="A6948" i="3"/>
  <c r="A6940" i="3"/>
  <c r="A6932" i="3"/>
  <c r="A6924" i="3"/>
  <c r="A6916" i="3"/>
  <c r="A6908" i="3"/>
  <c r="A6900" i="3"/>
  <c r="A6892" i="3"/>
  <c r="A6884" i="3"/>
  <c r="A6876" i="3"/>
  <c r="A6868" i="3"/>
  <c r="A6860" i="3"/>
  <c r="A6852" i="3"/>
  <c r="A6844" i="3"/>
  <c r="A8792" i="3"/>
  <c r="A8732" i="3"/>
  <c r="A8647" i="3"/>
  <c r="A8566" i="3"/>
  <c r="A8504" i="3"/>
  <c r="A8421" i="3"/>
  <c r="A8336" i="3"/>
  <c r="A8284" i="3"/>
  <c r="A8212" i="3"/>
  <c r="A8150" i="3"/>
  <c r="A8112" i="3"/>
  <c r="A8060" i="3"/>
  <c r="A8010" i="3"/>
  <c r="A7978" i="3"/>
  <c r="A7951" i="3"/>
  <c r="A7929" i="3"/>
  <c r="A7909" i="3"/>
  <c r="A7887" i="3"/>
  <c r="A7865" i="3"/>
  <c r="A7845" i="3"/>
  <c r="A7823" i="3"/>
  <c r="A7803" i="3"/>
  <c r="A7785" i="3"/>
  <c r="A7767" i="3"/>
  <c r="A7749" i="3"/>
  <c r="A7730" i="3"/>
  <c r="A7712" i="3"/>
  <c r="A7694" i="3"/>
  <c r="A7678" i="3"/>
  <c r="A7662" i="3"/>
  <c r="A7646" i="3"/>
  <c r="A7630" i="3"/>
  <c r="A7614" i="3"/>
  <c r="A7598" i="3"/>
  <c r="A7582" i="3"/>
  <c r="A7566" i="3"/>
  <c r="A7550" i="3"/>
  <c r="A7534" i="3"/>
  <c r="A7518" i="3"/>
  <c r="A7507" i="3"/>
  <c r="A7493" i="3"/>
  <c r="A7482" i="3"/>
  <c r="A7468" i="3"/>
  <c r="A7454" i="3"/>
  <c r="A7443" i="3"/>
  <c r="A7429" i="3"/>
  <c r="A7418" i="3"/>
  <c r="A7405" i="3"/>
  <c r="A7395" i="3"/>
  <c r="A7383" i="3"/>
  <c r="A7373" i="3"/>
  <c r="A7363" i="3"/>
  <c r="A7351" i="3"/>
  <c r="A7341" i="3"/>
  <c r="A7331" i="3"/>
  <c r="A7319" i="3"/>
  <c r="A7309" i="3"/>
  <c r="A7299" i="3"/>
  <c r="A7287" i="3"/>
  <c r="A7277" i="3"/>
  <c r="A7267" i="3"/>
  <c r="A7255" i="3"/>
  <c r="A7245" i="3"/>
  <c r="A7235" i="3"/>
  <c r="A7223" i="3"/>
  <c r="A7213" i="3"/>
  <c r="A7203" i="3"/>
  <c r="A7191" i="3"/>
  <c r="A7181" i="3"/>
  <c r="A7171" i="3"/>
  <c r="A7159" i="3"/>
  <c r="A7149" i="3"/>
  <c r="A7139" i="3"/>
  <c r="A7131" i="3"/>
  <c r="A7123" i="3"/>
  <c r="A7115" i="3"/>
  <c r="A7107" i="3"/>
  <c r="A7099" i="3"/>
  <c r="A7091" i="3"/>
  <c r="A7083" i="3"/>
  <c r="A7075" i="3"/>
  <c r="A7067" i="3"/>
  <c r="A7059" i="3"/>
  <c r="A7051" i="3"/>
  <c r="A7043" i="3"/>
  <c r="A7035" i="3"/>
  <c r="A7027" i="3"/>
  <c r="A7019" i="3"/>
  <c r="A7011" i="3"/>
  <c r="A7003" i="3"/>
  <c r="A6995" i="3"/>
  <c r="A6987" i="3"/>
  <c r="A6979" i="3"/>
  <c r="A6971" i="3"/>
  <c r="A6963" i="3"/>
  <c r="A6955" i="3"/>
  <c r="A6947" i="3"/>
  <c r="A6939" i="3"/>
  <c r="A6931" i="3"/>
  <c r="A6923" i="3"/>
  <c r="A6915" i="3"/>
  <c r="A6907" i="3"/>
  <c r="A6899" i="3"/>
  <c r="A6891" i="3"/>
  <c r="A6883" i="3"/>
  <c r="A6875" i="3"/>
  <c r="A6867" i="3"/>
  <c r="A6859" i="3"/>
  <c r="A6851" i="3"/>
  <c r="A6843" i="3"/>
  <c r="A6835" i="3"/>
  <c r="A6827" i="3"/>
  <c r="A6819" i="3"/>
  <c r="A6811" i="3"/>
  <c r="A6803" i="3"/>
  <c r="A6795" i="3"/>
  <c r="A6787" i="3"/>
  <c r="A6779" i="3"/>
  <c r="A8791" i="3"/>
  <c r="A8708" i="3"/>
  <c r="A8646" i="3"/>
  <c r="A8561" i="3"/>
  <c r="A8480" i="3"/>
  <c r="A8420" i="3"/>
  <c r="A8335" i="3"/>
  <c r="A8261" i="3"/>
  <c r="A8211" i="3"/>
  <c r="A8149" i="3"/>
  <c r="A8096" i="3"/>
  <c r="A8059" i="3"/>
  <c r="A8009" i="3"/>
  <c r="A7969" i="3"/>
  <c r="A7949" i="3"/>
  <c r="A7927" i="3"/>
  <c r="A7905" i="3"/>
  <c r="A7885" i="3"/>
  <c r="A7863" i="3"/>
  <c r="A7841" i="3"/>
  <c r="A7821" i="3"/>
  <c r="A7801" i="3"/>
  <c r="A7783" i="3"/>
  <c r="A7765" i="3"/>
  <c r="A7746" i="3"/>
  <c r="A7728" i="3"/>
  <c r="A7710" i="3"/>
  <c r="A7692" i="3"/>
  <c r="A7676" i="3"/>
  <c r="A7660" i="3"/>
  <c r="A7644" i="3"/>
  <c r="A7628" i="3"/>
  <c r="A7612" i="3"/>
  <c r="A7596" i="3"/>
  <c r="A7580" i="3"/>
  <c r="A7564" i="3"/>
  <c r="A7548" i="3"/>
  <c r="A7532" i="3"/>
  <c r="A7517" i="3"/>
  <c r="A7506" i="3"/>
  <c r="A7492" i="3"/>
  <c r="A7478" i="3"/>
  <c r="A7467" i="3"/>
  <c r="A7453" i="3"/>
  <c r="A7442" i="3"/>
  <c r="A7428" i="3"/>
  <c r="A7414" i="3"/>
  <c r="A7404" i="3"/>
  <c r="A7394" i="3"/>
  <c r="A7382" i="3"/>
  <c r="A7372" i="3"/>
  <c r="A7362" i="3"/>
  <c r="A7350" i="3"/>
  <c r="A7340" i="3"/>
  <c r="A7330" i="3"/>
  <c r="A7318" i="3"/>
  <c r="A7308" i="3"/>
  <c r="A7298" i="3"/>
  <c r="A7286" i="3"/>
  <c r="A7276" i="3"/>
  <c r="A7266" i="3"/>
  <c r="A7254" i="3"/>
  <c r="A7244" i="3"/>
  <c r="A7234" i="3"/>
  <c r="A7222" i="3"/>
  <c r="A7212" i="3"/>
  <c r="A7202" i="3"/>
  <c r="A7190" i="3"/>
  <c r="A7180" i="3"/>
  <c r="A7170" i="3"/>
  <c r="A7158" i="3"/>
  <c r="A7148" i="3"/>
  <c r="A7138" i="3"/>
  <c r="A7130" i="3"/>
  <c r="A7122" i="3"/>
  <c r="A7114" i="3"/>
  <c r="A7106" i="3"/>
  <c r="A7098" i="3"/>
  <c r="A7090" i="3"/>
  <c r="A7082" i="3"/>
  <c r="A7074" i="3"/>
  <c r="A7066" i="3"/>
  <c r="A7058" i="3"/>
  <c r="A7050" i="3"/>
  <c r="A7042" i="3"/>
  <c r="A8790" i="3"/>
  <c r="A8705" i="3"/>
  <c r="A8622" i="3"/>
  <c r="A8560" i="3"/>
  <c r="A8477" i="3"/>
  <c r="A8396" i="3"/>
  <c r="A8334" i="3"/>
  <c r="A8260" i="3"/>
  <c r="A8188" i="3"/>
  <c r="A8148" i="3"/>
  <c r="A8093" i="3"/>
  <c r="A8048" i="3"/>
  <c r="A8008" i="3"/>
  <c r="A7968" i="3"/>
  <c r="A7947" i="3"/>
  <c r="A7926" i="3"/>
  <c r="A7904" i="3"/>
  <c r="A7883" i="3"/>
  <c r="A7862" i="3"/>
  <c r="A7840" i="3"/>
  <c r="A7819" i="3"/>
  <c r="A7800" i="3"/>
  <c r="A7782" i="3"/>
  <c r="A7763" i="3"/>
  <c r="A7745" i="3"/>
  <c r="A7727" i="3"/>
  <c r="A7709" i="3"/>
  <c r="A7691" i="3"/>
  <c r="A7675" i="3"/>
  <c r="A7659" i="3"/>
  <c r="A7643" i="3"/>
  <c r="A7627" i="3"/>
  <c r="A7611" i="3"/>
  <c r="A7595" i="3"/>
  <c r="A7579" i="3"/>
  <c r="A7563" i="3"/>
  <c r="A7547" i="3"/>
  <c r="A7531" i="3"/>
  <c r="A7516" i="3"/>
  <c r="A7502" i="3"/>
  <c r="A7491" i="3"/>
  <c r="A7477" i="3"/>
  <c r="A7466" i="3"/>
  <c r="A7452" i="3"/>
  <c r="A7438" i="3"/>
  <c r="A7427" i="3"/>
  <c r="A7413" i="3"/>
  <c r="A7403" i="3"/>
  <c r="A7391" i="3"/>
  <c r="A7381" i="3"/>
  <c r="A7371" i="3"/>
  <c r="A7359" i="3"/>
  <c r="A7349" i="3"/>
  <c r="A7339" i="3"/>
  <c r="A7327" i="3"/>
  <c r="A7317" i="3"/>
  <c r="A7307" i="3"/>
  <c r="A7295" i="3"/>
  <c r="A7285" i="3"/>
  <c r="A7275" i="3"/>
  <c r="A7263" i="3"/>
  <c r="A7253" i="3"/>
  <c r="A7243" i="3"/>
  <c r="A7231" i="3"/>
  <c r="A7221" i="3"/>
  <c r="A7211" i="3"/>
  <c r="A7199" i="3"/>
  <c r="A7189" i="3"/>
  <c r="A7179" i="3"/>
  <c r="A7167" i="3"/>
  <c r="A7157" i="3"/>
  <c r="A7147" i="3"/>
  <c r="A7137" i="3"/>
  <c r="A7129" i="3"/>
  <c r="A7121" i="3"/>
  <c r="A7113" i="3"/>
  <c r="A7105" i="3"/>
  <c r="A7097" i="3"/>
  <c r="A7089" i="3"/>
  <c r="A7081" i="3"/>
  <c r="A7073" i="3"/>
  <c r="A7065" i="3"/>
  <c r="A7057" i="3"/>
  <c r="A7049" i="3"/>
  <c r="A7041" i="3"/>
  <c r="A7033" i="3"/>
  <c r="A7025" i="3"/>
  <c r="A7017" i="3"/>
  <c r="A7009" i="3"/>
  <c r="A7001" i="3"/>
  <c r="A6993" i="3"/>
  <c r="A6985" i="3"/>
  <c r="A6977" i="3"/>
  <c r="A6969" i="3"/>
  <c r="A6961" i="3"/>
  <c r="A6953" i="3"/>
  <c r="A6945" i="3"/>
  <c r="A6937" i="3"/>
  <c r="A6929" i="3"/>
  <c r="A6921" i="3"/>
  <c r="A6913" i="3"/>
  <c r="A6905" i="3"/>
  <c r="A6897" i="3"/>
  <c r="A6889" i="3"/>
  <c r="A6881" i="3"/>
  <c r="A6873" i="3"/>
  <c r="A6865" i="3"/>
  <c r="A6857" i="3"/>
  <c r="A6849" i="3"/>
  <c r="A6841" i="3"/>
  <c r="A6833" i="3"/>
  <c r="A6825" i="3"/>
  <c r="A6817" i="3"/>
  <c r="A6809" i="3"/>
  <c r="A6801" i="3"/>
  <c r="A6793" i="3"/>
  <c r="A6785" i="3"/>
  <c r="A6777" i="3"/>
  <c r="A8621" i="3"/>
  <c r="A8449" i="3"/>
  <c r="A8238" i="3"/>
  <c r="A8092" i="3"/>
  <c r="A7994" i="3"/>
  <c r="A7919" i="3"/>
  <c r="A7861" i="3"/>
  <c r="A7810" i="3"/>
  <c r="A7758" i="3"/>
  <c r="A7707" i="3"/>
  <c r="A7668" i="3"/>
  <c r="A7622" i="3"/>
  <c r="A7578" i="3"/>
  <c r="A7540" i="3"/>
  <c r="A7500" i="3"/>
  <c r="A7462" i="3"/>
  <c r="A7435" i="3"/>
  <c r="A7399" i="3"/>
  <c r="A7370" i="3"/>
  <c r="A7346" i="3"/>
  <c r="A7315" i="3"/>
  <c r="A7284" i="3"/>
  <c r="A7260" i="3"/>
  <c r="A7229" i="3"/>
  <c r="A7198" i="3"/>
  <c r="A7174" i="3"/>
  <c r="A7143" i="3"/>
  <c r="A7120" i="3"/>
  <c r="A7102" i="3"/>
  <c r="A7079" i="3"/>
  <c r="A7056" i="3"/>
  <c r="A7038" i="3"/>
  <c r="A7022" i="3"/>
  <c r="A7006" i="3"/>
  <c r="A6990" i="3"/>
  <c r="A6974" i="3"/>
  <c r="A6958" i="3"/>
  <c r="A6942" i="3"/>
  <c r="A6926" i="3"/>
  <c r="A6910" i="3"/>
  <c r="A6894" i="3"/>
  <c r="A6878" i="3"/>
  <c r="A6862" i="3"/>
  <c r="A6846" i="3"/>
  <c r="A6831" i="3"/>
  <c r="A6818" i="3"/>
  <c r="A6806" i="3"/>
  <c r="A6796" i="3"/>
  <c r="A6784" i="3"/>
  <c r="A6774" i="3"/>
  <c r="A6766" i="3"/>
  <c r="A6758" i="3"/>
  <c r="A6750" i="3"/>
  <c r="A6742" i="3"/>
  <c r="A6734" i="3"/>
  <c r="A6726" i="3"/>
  <c r="A6718" i="3"/>
  <c r="A6710" i="3"/>
  <c r="A6702" i="3"/>
  <c r="A6694" i="3"/>
  <c r="A6686" i="3"/>
  <c r="A6678" i="3"/>
  <c r="A6670" i="3"/>
  <c r="A6662" i="3"/>
  <c r="A6654" i="3"/>
  <c r="A6646" i="3"/>
  <c r="A6638" i="3"/>
  <c r="A6630" i="3"/>
  <c r="A6622" i="3"/>
  <c r="A6614" i="3"/>
  <c r="A6606" i="3"/>
  <c r="A6598" i="3"/>
  <c r="A6590" i="3"/>
  <c r="A6582" i="3"/>
  <c r="A6574" i="3"/>
  <c r="A6566" i="3"/>
  <c r="A6558" i="3"/>
  <c r="A6550" i="3"/>
  <c r="A6542" i="3"/>
  <c r="A6534" i="3"/>
  <c r="A6526" i="3"/>
  <c r="A6518" i="3"/>
  <c r="A6510" i="3"/>
  <c r="A6502" i="3"/>
  <c r="A6494" i="3"/>
  <c r="A6486" i="3"/>
  <c r="A6478" i="3"/>
  <c r="A6470" i="3"/>
  <c r="A6462" i="3"/>
  <c r="A6454" i="3"/>
  <c r="A6446" i="3"/>
  <c r="A6438" i="3"/>
  <c r="A6430" i="3"/>
  <c r="A6422" i="3"/>
  <c r="A6414" i="3"/>
  <c r="A6406" i="3"/>
  <c r="A6398" i="3"/>
  <c r="A6390" i="3"/>
  <c r="A6382" i="3"/>
  <c r="A6374" i="3"/>
  <c r="A6366" i="3"/>
  <c r="A6358" i="3"/>
  <c r="A6350" i="3"/>
  <c r="A6342" i="3"/>
  <c r="A6334" i="3"/>
  <c r="A6326" i="3"/>
  <c r="A6318" i="3"/>
  <c r="A6310" i="3"/>
  <c r="A6302" i="3"/>
  <c r="A6294" i="3"/>
  <c r="A6286" i="3"/>
  <c r="A6278" i="3"/>
  <c r="A6270" i="3"/>
  <c r="A6262" i="3"/>
  <c r="A6254" i="3"/>
  <c r="A6246" i="3"/>
  <c r="A6238" i="3"/>
  <c r="A6230" i="3"/>
  <c r="A6222" i="3"/>
  <c r="A6214" i="3"/>
  <c r="A6206" i="3"/>
  <c r="A6198" i="3"/>
  <c r="A6190" i="3"/>
  <c r="A6182" i="3"/>
  <c r="A6174" i="3"/>
  <c r="A6166" i="3"/>
  <c r="A6158" i="3"/>
  <c r="A8620" i="3"/>
  <c r="A8391" i="3"/>
  <c r="A8235" i="3"/>
  <c r="A8081" i="3"/>
  <c r="A7967" i="3"/>
  <c r="A7917" i="3"/>
  <c r="A7855" i="3"/>
  <c r="A7799" i="3"/>
  <c r="A7755" i="3"/>
  <c r="A7703" i="3"/>
  <c r="A7658" i="3"/>
  <c r="A7620" i="3"/>
  <c r="A7574" i="3"/>
  <c r="A7530" i="3"/>
  <c r="A7499" i="3"/>
  <c r="A7461" i="3"/>
  <c r="A7426" i="3"/>
  <c r="A7398" i="3"/>
  <c r="A7367" i="3"/>
  <c r="A7338" i="3"/>
  <c r="A7314" i="3"/>
  <c r="A7283" i="3"/>
  <c r="A7252" i="3"/>
  <c r="A7228" i="3"/>
  <c r="A7197" i="3"/>
  <c r="A7166" i="3"/>
  <c r="A7142" i="3"/>
  <c r="A7119" i="3"/>
  <c r="A7096" i="3"/>
  <c r="A7078" i="3"/>
  <c r="A7055" i="3"/>
  <c r="A7034" i="3"/>
  <c r="A7018" i="3"/>
  <c r="A7002" i="3"/>
  <c r="A6986" i="3"/>
  <c r="A6970" i="3"/>
  <c r="A6954" i="3"/>
  <c r="A6938" i="3"/>
  <c r="A6922" i="3"/>
  <c r="A6906" i="3"/>
  <c r="A6890" i="3"/>
  <c r="A6874" i="3"/>
  <c r="A6858" i="3"/>
  <c r="A6842" i="3"/>
  <c r="A6830" i="3"/>
  <c r="A6816" i="3"/>
  <c r="A6805" i="3"/>
  <c r="A6794" i="3"/>
  <c r="A6783" i="3"/>
  <c r="A6773" i="3"/>
  <c r="A6765" i="3"/>
  <c r="A6757" i="3"/>
  <c r="A6749" i="3"/>
  <c r="A6741" i="3"/>
  <c r="A6733" i="3"/>
  <c r="A6725" i="3"/>
  <c r="A6717" i="3"/>
  <c r="A6709" i="3"/>
  <c r="A6701" i="3"/>
  <c r="A6693" i="3"/>
  <c r="A6685" i="3"/>
  <c r="A6677" i="3"/>
  <c r="A6669" i="3"/>
  <c r="A6661" i="3"/>
  <c r="A6653" i="3"/>
  <c r="A6645" i="3"/>
  <c r="A6637" i="3"/>
  <c r="A6629" i="3"/>
  <c r="A6621" i="3"/>
  <c r="A6613" i="3"/>
  <c r="A6605" i="3"/>
  <c r="A6597" i="3"/>
  <c r="A6589" i="3"/>
  <c r="A6581" i="3"/>
  <c r="A6573" i="3"/>
  <c r="A6565" i="3"/>
  <c r="A6557" i="3"/>
  <c r="A6549" i="3"/>
  <c r="A6541" i="3"/>
  <c r="A6533" i="3"/>
  <c r="A6525" i="3"/>
  <c r="A6517" i="3"/>
  <c r="A6509" i="3"/>
  <c r="A6501" i="3"/>
  <c r="A6493" i="3"/>
  <c r="A6485" i="3"/>
  <c r="A6477" i="3"/>
  <c r="A6469" i="3"/>
  <c r="A6461" i="3"/>
  <c r="A6453" i="3"/>
  <c r="A6445" i="3"/>
  <c r="A6437" i="3"/>
  <c r="A6429" i="3"/>
  <c r="A6421" i="3"/>
  <c r="A6413" i="3"/>
  <c r="A6405" i="3"/>
  <c r="A6397" i="3"/>
  <c r="A6389" i="3"/>
  <c r="A6381" i="3"/>
  <c r="A6373" i="3"/>
  <c r="A6365" i="3"/>
  <c r="A6357" i="3"/>
  <c r="A6349" i="3"/>
  <c r="A6341" i="3"/>
  <c r="A6333" i="3"/>
  <c r="A6325" i="3"/>
  <c r="A6317" i="3"/>
  <c r="A6309" i="3"/>
  <c r="A6301" i="3"/>
  <c r="A6293" i="3"/>
  <c r="A6285" i="3"/>
  <c r="A6277" i="3"/>
  <c r="A6269" i="3"/>
  <c r="A6261" i="3"/>
  <c r="A6253" i="3"/>
  <c r="A8764" i="3"/>
  <c r="A8592" i="3"/>
  <c r="A8390" i="3"/>
  <c r="A8187" i="3"/>
  <c r="A8080" i="3"/>
  <c r="A7961" i="3"/>
  <c r="A7903" i="3"/>
  <c r="A7853" i="3"/>
  <c r="A7794" i="3"/>
  <c r="A7744" i="3"/>
  <c r="A7701" i="3"/>
  <c r="A7654" i="3"/>
  <c r="A7610" i="3"/>
  <c r="A7572" i="3"/>
  <c r="A7526" i="3"/>
  <c r="A7490" i="3"/>
  <c r="A7460" i="3"/>
  <c r="A7422" i="3"/>
  <c r="A7390" i="3"/>
  <c r="A7366" i="3"/>
  <c r="A7335" i="3"/>
  <c r="A7306" i="3"/>
  <c r="A7282" i="3"/>
  <c r="A7251" i="3"/>
  <c r="A7220" i="3"/>
  <c r="A7196" i="3"/>
  <c r="A7165" i="3"/>
  <c r="A7136" i="3"/>
  <c r="A7118" i="3"/>
  <c r="A7095" i="3"/>
  <c r="A7072" i="3"/>
  <c r="A7054" i="3"/>
  <c r="A7032" i="3"/>
  <c r="A7016" i="3"/>
  <c r="A7000" i="3"/>
  <c r="A6984" i="3"/>
  <c r="A6968" i="3"/>
  <c r="A6952" i="3"/>
  <c r="A6936" i="3"/>
  <c r="A6920" i="3"/>
  <c r="A6904" i="3"/>
  <c r="A6888" i="3"/>
  <c r="A6872" i="3"/>
  <c r="A6856" i="3"/>
  <c r="A6840" i="3"/>
  <c r="A6828" i="3"/>
  <c r="A6815" i="3"/>
  <c r="A6804" i="3"/>
  <c r="A6792" i="3"/>
  <c r="A6782" i="3"/>
  <c r="A6772" i="3"/>
  <c r="A6764" i="3"/>
  <c r="A6756" i="3"/>
  <c r="A6748" i="3"/>
  <c r="A6740" i="3"/>
  <c r="A6732" i="3"/>
  <c r="A6724" i="3"/>
  <c r="A6716" i="3"/>
  <c r="A6708" i="3"/>
  <c r="A6700" i="3"/>
  <c r="A6692" i="3"/>
  <c r="A6684" i="3"/>
  <c r="A6676" i="3"/>
  <c r="A6668" i="3"/>
  <c r="A6660" i="3"/>
  <c r="A6652" i="3"/>
  <c r="A6644" i="3"/>
  <c r="A6636" i="3"/>
  <c r="A6628" i="3"/>
  <c r="A6620" i="3"/>
  <c r="A6612" i="3"/>
  <c r="A6604" i="3"/>
  <c r="A6596" i="3"/>
  <c r="A6588" i="3"/>
  <c r="A6580" i="3"/>
  <c r="A6572" i="3"/>
  <c r="A6564" i="3"/>
  <c r="A6556" i="3"/>
  <c r="A6548" i="3"/>
  <c r="A6540" i="3"/>
  <c r="A6532" i="3"/>
  <c r="A6524" i="3"/>
  <c r="A6516" i="3"/>
  <c r="A6508" i="3"/>
  <c r="A6500" i="3"/>
  <c r="A6492" i="3"/>
  <c r="A6484" i="3"/>
  <c r="A6476" i="3"/>
  <c r="A6468" i="3"/>
  <c r="A6460" i="3"/>
  <c r="A6452" i="3"/>
  <c r="A6444" i="3"/>
  <c r="A6436" i="3"/>
  <c r="A6428" i="3"/>
  <c r="A6420" i="3"/>
  <c r="A6412" i="3"/>
  <c r="A6404" i="3"/>
  <c r="A6396" i="3"/>
  <c r="A6388" i="3"/>
  <c r="A6380" i="3"/>
  <c r="A6372" i="3"/>
  <c r="A6364" i="3"/>
  <c r="A6356" i="3"/>
  <c r="A6348" i="3"/>
  <c r="A6340" i="3"/>
  <c r="A6332" i="3"/>
  <c r="A6324" i="3"/>
  <c r="A6316" i="3"/>
  <c r="A6308" i="3"/>
  <c r="A6300" i="3"/>
  <c r="A6292" i="3"/>
  <c r="A6284" i="3"/>
  <c r="A6276" i="3"/>
  <c r="A6268" i="3"/>
  <c r="A6260" i="3"/>
  <c r="A6252" i="3"/>
  <c r="A6244" i="3"/>
  <c r="A6236" i="3"/>
  <c r="A6228" i="3"/>
  <c r="A6220" i="3"/>
  <c r="A6212" i="3"/>
  <c r="A6204" i="3"/>
  <c r="A6196" i="3"/>
  <c r="A6188" i="3"/>
  <c r="A6180" i="3"/>
  <c r="A6172" i="3"/>
  <c r="A6164" i="3"/>
  <c r="A6156" i="3"/>
  <c r="A8761" i="3"/>
  <c r="A8536" i="3"/>
  <c r="A8366" i="3"/>
  <c r="A8185" i="3"/>
  <c r="A8042" i="3"/>
  <c r="A7959" i="3"/>
  <c r="A7897" i="3"/>
  <c r="A7839" i="3"/>
  <c r="A7792" i="3"/>
  <c r="A7739" i="3"/>
  <c r="A7690" i="3"/>
  <c r="A7652" i="3"/>
  <c r="A7606" i="3"/>
  <c r="A7562" i="3"/>
  <c r="A7524" i="3"/>
  <c r="A7486" i="3"/>
  <c r="A7451" i="3"/>
  <c r="A7421" i="3"/>
  <c r="A7389" i="3"/>
  <c r="A7358" i="3"/>
  <c r="A7334" i="3"/>
  <c r="A7303" i="3"/>
  <c r="A7274" i="3"/>
  <c r="A7250" i="3"/>
  <c r="A7219" i="3"/>
  <c r="A7188" i="3"/>
  <c r="A7164" i="3"/>
  <c r="A7135" i="3"/>
  <c r="A7112" i="3"/>
  <c r="A7094" i="3"/>
  <c r="A7071" i="3"/>
  <c r="A7048" i="3"/>
  <c r="A7031" i="3"/>
  <c r="A7015" i="3"/>
  <c r="A6999" i="3"/>
  <c r="A6983" i="3"/>
  <c r="A6967" i="3"/>
  <c r="A6951" i="3"/>
  <c r="A6935" i="3"/>
  <c r="A6919" i="3"/>
  <c r="A6903" i="3"/>
  <c r="A6887" i="3"/>
  <c r="A6871" i="3"/>
  <c r="A6855" i="3"/>
  <c r="A6839" i="3"/>
  <c r="A6826" i="3"/>
  <c r="A6814" i="3"/>
  <c r="A6802" i="3"/>
  <c r="A6791" i="3"/>
  <c r="A6781" i="3"/>
  <c r="A6771" i="3"/>
  <c r="A6763" i="3"/>
  <c r="A6755" i="3"/>
  <c r="A6747" i="3"/>
  <c r="A6739" i="3"/>
  <c r="A6731" i="3"/>
  <c r="A6723" i="3"/>
  <c r="A6715" i="3"/>
  <c r="A6707" i="3"/>
  <c r="A6699" i="3"/>
  <c r="A6691" i="3"/>
  <c r="A6683" i="3"/>
  <c r="A6675" i="3"/>
  <c r="A6667" i="3"/>
  <c r="A6659" i="3"/>
  <c r="A6651" i="3"/>
  <c r="A6643" i="3"/>
  <c r="A6635" i="3"/>
  <c r="A6627" i="3"/>
  <c r="A6619" i="3"/>
  <c r="A6611" i="3"/>
  <c r="A6603" i="3"/>
  <c r="A6595" i="3"/>
  <c r="A6587" i="3"/>
  <c r="A6579" i="3"/>
  <c r="A6571" i="3"/>
  <c r="A6563" i="3"/>
  <c r="A6555" i="3"/>
  <c r="A6547" i="3"/>
  <c r="A6539" i="3"/>
  <c r="A6531" i="3"/>
  <c r="A6523" i="3"/>
  <c r="A6515" i="3"/>
  <c r="A6507" i="3"/>
  <c r="A6499" i="3"/>
  <c r="A6491" i="3"/>
  <c r="A6483" i="3"/>
  <c r="A6475" i="3"/>
  <c r="A6467" i="3"/>
  <c r="A6459" i="3"/>
  <c r="A6451" i="3"/>
  <c r="A6443" i="3"/>
  <c r="A6435" i="3"/>
  <c r="A6427" i="3"/>
  <c r="A6419" i="3"/>
  <c r="A6411" i="3"/>
  <c r="A6403" i="3"/>
  <c r="A6395" i="3"/>
  <c r="A6387" i="3"/>
  <c r="A6379" i="3"/>
  <c r="A6371" i="3"/>
  <c r="A6363" i="3"/>
  <c r="A6355" i="3"/>
  <c r="A6347" i="3"/>
  <c r="A6339" i="3"/>
  <c r="A6331" i="3"/>
  <c r="A6323" i="3"/>
  <c r="A6315" i="3"/>
  <c r="A6307" i="3"/>
  <c r="A6299" i="3"/>
  <c r="A6291" i="3"/>
  <c r="A6283" i="3"/>
  <c r="A6275" i="3"/>
  <c r="A6267" i="3"/>
  <c r="A6259" i="3"/>
  <c r="A6251" i="3"/>
  <c r="A6243" i="3"/>
  <c r="A6235" i="3"/>
  <c r="A6227" i="3"/>
  <c r="A6219" i="3"/>
  <c r="A6211" i="3"/>
  <c r="A6203" i="3"/>
  <c r="A6195" i="3"/>
  <c r="A6187" i="3"/>
  <c r="A6179" i="3"/>
  <c r="A6171" i="3"/>
  <c r="A6163" i="3"/>
  <c r="A6155" i="3"/>
  <c r="A8678" i="3"/>
  <c r="A8476" i="3"/>
  <c r="A8307" i="3"/>
  <c r="A8128" i="3"/>
  <c r="A7996" i="3"/>
  <c r="A7937" i="3"/>
  <c r="A7877" i="3"/>
  <c r="A7817" i="3"/>
  <c r="A7774" i="3"/>
  <c r="A7721" i="3"/>
  <c r="A7674" i="3"/>
  <c r="A7636" i="3"/>
  <c r="A7590" i="3"/>
  <c r="A7546" i="3"/>
  <c r="A7510" i="3"/>
  <c r="A7475" i="3"/>
  <c r="A7437" i="3"/>
  <c r="A7410" i="3"/>
  <c r="A7379" i="3"/>
  <c r="A7348" i="3"/>
  <c r="A7324" i="3"/>
  <c r="A7293" i="3"/>
  <c r="A7262" i="3"/>
  <c r="A7238" i="3"/>
  <c r="A7207" i="3"/>
  <c r="A7178" i="3"/>
  <c r="A7154" i="3"/>
  <c r="A7127" i="3"/>
  <c r="A7104" i="3"/>
  <c r="A7086" i="3"/>
  <c r="A7063" i="3"/>
  <c r="A7040" i="3"/>
  <c r="A7024" i="3"/>
  <c r="A7008" i="3"/>
  <c r="A6992" i="3"/>
  <c r="A6976" i="3"/>
  <c r="A6960" i="3"/>
  <c r="A6944" i="3"/>
  <c r="A6928" i="3"/>
  <c r="A6912" i="3"/>
  <c r="A6896" i="3"/>
  <c r="A6880" i="3"/>
  <c r="A6864" i="3"/>
  <c r="A6848" i="3"/>
  <c r="A6834" i="3"/>
  <c r="A6822" i="3"/>
  <c r="A6808" i="3"/>
  <c r="A6798" i="3"/>
  <c r="A6788" i="3"/>
  <c r="A6776" i="3"/>
  <c r="A6768" i="3"/>
  <c r="A6760" i="3"/>
  <c r="A6752" i="3"/>
  <c r="A6744" i="3"/>
  <c r="A6736" i="3"/>
  <c r="A6728" i="3"/>
  <c r="A6720" i="3"/>
  <c r="A6712" i="3"/>
  <c r="A6704" i="3"/>
  <c r="A6696" i="3"/>
  <c r="A6688" i="3"/>
  <c r="A6680" i="3"/>
  <c r="A6672" i="3"/>
  <c r="A6664" i="3"/>
  <c r="A6656" i="3"/>
  <c r="A6648" i="3"/>
  <c r="A6640" i="3"/>
  <c r="A6632" i="3"/>
  <c r="A6624" i="3"/>
  <c r="A6616" i="3"/>
  <c r="A6608" i="3"/>
  <c r="A6600" i="3"/>
  <c r="A6592" i="3"/>
  <c r="A6584" i="3"/>
  <c r="A6576" i="3"/>
  <c r="A6568" i="3"/>
  <c r="A6560" i="3"/>
  <c r="A6552" i="3"/>
  <c r="A6544" i="3"/>
  <c r="A6536" i="3"/>
  <c r="A6528" i="3"/>
  <c r="A6520" i="3"/>
  <c r="A6512" i="3"/>
  <c r="A6504" i="3"/>
  <c r="A6496" i="3"/>
  <c r="A8311" i="3"/>
  <c r="A7995" i="3"/>
  <c r="A7831" i="3"/>
  <c r="A7686" i="3"/>
  <c r="A7588" i="3"/>
  <c r="A7476" i="3"/>
  <c r="A7388" i="3"/>
  <c r="A7316" i="3"/>
  <c r="A7239" i="3"/>
  <c r="A7156" i="3"/>
  <c r="A7103" i="3"/>
  <c r="A7046" i="3"/>
  <c r="A6998" i="3"/>
  <c r="A6959" i="3"/>
  <c r="A6914" i="3"/>
  <c r="A6870" i="3"/>
  <c r="A6832" i="3"/>
  <c r="A6799" i="3"/>
  <c r="A6770" i="3"/>
  <c r="A6751" i="3"/>
  <c r="A6729" i="3"/>
  <c r="A6706" i="3"/>
  <c r="A6687" i="3"/>
  <c r="A6665" i="3"/>
  <c r="A6642" i="3"/>
  <c r="A6623" i="3"/>
  <c r="A6601" i="3"/>
  <c r="A6578" i="3"/>
  <c r="A6559" i="3"/>
  <c r="A6537" i="3"/>
  <c r="A6514" i="3"/>
  <c r="A6495" i="3"/>
  <c r="A6479" i="3"/>
  <c r="A6463" i="3"/>
  <c r="A6447" i="3"/>
  <c r="A6431" i="3"/>
  <c r="A6415" i="3"/>
  <c r="A6399" i="3"/>
  <c r="A6383" i="3"/>
  <c r="A6367" i="3"/>
  <c r="A6351" i="3"/>
  <c r="A6335" i="3"/>
  <c r="A6319" i="3"/>
  <c r="A6303" i="3"/>
  <c r="A6287" i="3"/>
  <c r="A6271" i="3"/>
  <c r="A6255" i="3"/>
  <c r="A6240" i="3"/>
  <c r="A6226" i="3"/>
  <c r="A6215" i="3"/>
  <c r="A6201" i="3"/>
  <c r="A6189" i="3"/>
  <c r="A6176" i="3"/>
  <c r="A6162" i="3"/>
  <c r="A6151" i="3"/>
  <c r="A6143" i="3"/>
  <c r="A6135" i="3"/>
  <c r="A6127" i="3"/>
  <c r="A6119" i="3"/>
  <c r="A6111" i="3"/>
  <c r="A6103" i="3"/>
  <c r="A6095" i="3"/>
  <c r="A6087" i="3"/>
  <c r="A6079" i="3"/>
  <c r="A6071" i="3"/>
  <c r="A6063" i="3"/>
  <c r="A6055" i="3"/>
  <c r="A6047" i="3"/>
  <c r="A6039" i="3"/>
  <c r="A6031" i="3"/>
  <c r="A6023" i="3"/>
  <c r="A6015" i="3"/>
  <c r="A6007" i="3"/>
  <c r="A5999" i="3"/>
  <c r="A5991" i="3"/>
  <c r="A5983" i="3"/>
  <c r="A5975" i="3"/>
  <c r="A5967" i="3"/>
  <c r="A5959" i="3"/>
  <c r="A5951" i="3"/>
  <c r="A5943" i="3"/>
  <c r="A5935" i="3"/>
  <c r="A5927" i="3"/>
  <c r="A5919" i="3"/>
  <c r="A5911" i="3"/>
  <c r="A5903" i="3"/>
  <c r="A5895" i="3"/>
  <c r="A5887" i="3"/>
  <c r="A5879" i="3"/>
  <c r="A5871" i="3"/>
  <c r="A5863" i="3"/>
  <c r="A5855" i="3"/>
  <c r="A5847" i="3"/>
  <c r="A5839" i="3"/>
  <c r="A8308" i="3"/>
  <c r="A7945" i="3"/>
  <c r="A7813" i="3"/>
  <c r="A7684" i="3"/>
  <c r="A7558" i="3"/>
  <c r="A7474" i="3"/>
  <c r="A7380" i="3"/>
  <c r="A7302" i="3"/>
  <c r="A7230" i="3"/>
  <c r="A7155" i="3"/>
  <c r="A7088" i="3"/>
  <c r="A7039" i="3"/>
  <c r="A6994" i="3"/>
  <c r="A6950" i="3"/>
  <c r="A6911" i="3"/>
  <c r="A6866" i="3"/>
  <c r="A6824" i="3"/>
  <c r="A6797" i="3"/>
  <c r="A6769" i="3"/>
  <c r="A6746" i="3"/>
  <c r="A6727" i="3"/>
  <c r="A6705" i="3"/>
  <c r="A6682" i="3"/>
  <c r="A6663" i="3"/>
  <c r="A6641" i="3"/>
  <c r="A6618" i="3"/>
  <c r="A6599" i="3"/>
  <c r="A6577" i="3"/>
  <c r="A6554" i="3"/>
  <c r="A6535" i="3"/>
  <c r="A6513" i="3"/>
  <c r="A6490" i="3"/>
  <c r="A6474" i="3"/>
  <c r="A6458" i="3"/>
  <c r="A6442" i="3"/>
  <c r="A6426" i="3"/>
  <c r="A6410" i="3"/>
  <c r="A6394" i="3"/>
  <c r="A6378" i="3"/>
  <c r="A6362" i="3"/>
  <c r="A6346" i="3"/>
  <c r="A6330" i="3"/>
  <c r="A6314" i="3"/>
  <c r="A6298" i="3"/>
  <c r="A6282" i="3"/>
  <c r="A6266" i="3"/>
  <c r="A6250" i="3"/>
  <c r="A6239" i="3"/>
  <c r="A6225" i="3"/>
  <c r="A6213" i="3"/>
  <c r="A6200" i="3"/>
  <c r="A6186" i="3"/>
  <c r="A6175" i="3"/>
  <c r="A6161" i="3"/>
  <c r="A6150" i="3"/>
  <c r="A6142" i="3"/>
  <c r="A6134" i="3"/>
  <c r="A6126" i="3"/>
  <c r="A6118" i="3"/>
  <c r="A6110" i="3"/>
  <c r="A6102" i="3"/>
  <c r="A6094" i="3"/>
  <c r="A6086" i="3"/>
  <c r="A6078" i="3"/>
  <c r="A6070" i="3"/>
  <c r="A6062" i="3"/>
  <c r="A6054" i="3"/>
  <c r="A6046" i="3"/>
  <c r="A6038" i="3"/>
  <c r="A6030" i="3"/>
  <c r="A6022" i="3"/>
  <c r="A6014" i="3"/>
  <c r="A6006" i="3"/>
  <c r="A5998" i="3"/>
  <c r="A5990" i="3"/>
  <c r="A5982" i="3"/>
  <c r="A5974" i="3"/>
  <c r="A5966" i="3"/>
  <c r="A5958" i="3"/>
  <c r="A5950" i="3"/>
  <c r="A5942" i="3"/>
  <c r="A5934" i="3"/>
  <c r="A5926" i="3"/>
  <c r="A5918" i="3"/>
  <c r="A5910" i="3"/>
  <c r="A5902" i="3"/>
  <c r="A5894" i="3"/>
  <c r="A5886" i="3"/>
  <c r="A5878" i="3"/>
  <c r="A5870" i="3"/>
  <c r="A5862" i="3"/>
  <c r="A5854" i="3"/>
  <c r="A5846" i="3"/>
  <c r="A5838" i="3"/>
  <c r="A5830" i="3"/>
  <c r="A8760" i="3"/>
  <c r="A8259" i="3"/>
  <c r="A7941" i="3"/>
  <c r="A7781" i="3"/>
  <c r="A7670" i="3"/>
  <c r="A7556" i="3"/>
  <c r="A7450" i="3"/>
  <c r="A7378" i="3"/>
  <c r="A7294" i="3"/>
  <c r="A7218" i="3"/>
  <c r="A7146" i="3"/>
  <c r="A7087" i="3"/>
  <c r="A7030" i="3"/>
  <c r="A6991" i="3"/>
  <c r="A6946" i="3"/>
  <c r="A6902" i="3"/>
  <c r="A6863" i="3"/>
  <c r="A6823" i="3"/>
  <c r="A6790" i="3"/>
  <c r="A6767" i="3"/>
  <c r="A6745" i="3"/>
  <c r="A6722" i="3"/>
  <c r="A6703" i="3"/>
  <c r="A6681" i="3"/>
  <c r="A6658" i="3"/>
  <c r="A6639" i="3"/>
  <c r="A6617" i="3"/>
  <c r="A6594" i="3"/>
  <c r="A6575" i="3"/>
  <c r="A6553" i="3"/>
  <c r="A6530" i="3"/>
  <c r="A6511" i="3"/>
  <c r="A6489" i="3"/>
  <c r="A6473" i="3"/>
  <c r="A6457" i="3"/>
  <c r="A6441" i="3"/>
  <c r="A6425" i="3"/>
  <c r="A6409" i="3"/>
  <c r="A6393" i="3"/>
  <c r="A6377" i="3"/>
  <c r="A6361" i="3"/>
  <c r="A6345" i="3"/>
  <c r="A6329" i="3"/>
  <c r="A6313" i="3"/>
  <c r="A6297" i="3"/>
  <c r="A6281" i="3"/>
  <c r="A6265" i="3"/>
  <c r="A6249" i="3"/>
  <c r="A6237" i="3"/>
  <c r="A6224" i="3"/>
  <c r="A6210" i="3"/>
  <c r="A6199" i="3"/>
  <c r="A6185" i="3"/>
  <c r="A6173" i="3"/>
  <c r="A6160" i="3"/>
  <c r="A6149" i="3"/>
  <c r="A6141" i="3"/>
  <c r="A6133" i="3"/>
  <c r="A6125" i="3"/>
  <c r="A6117" i="3"/>
  <c r="A6109" i="3"/>
  <c r="A6101" i="3"/>
  <c r="A6093" i="3"/>
  <c r="A6085" i="3"/>
  <c r="A6077" i="3"/>
  <c r="A6069" i="3"/>
  <c r="A6061" i="3"/>
  <c r="A6053" i="3"/>
  <c r="A6045" i="3"/>
  <c r="A6037" i="3"/>
  <c r="A6029" i="3"/>
  <c r="A6021" i="3"/>
  <c r="A6013" i="3"/>
  <c r="A6005" i="3"/>
  <c r="A5997" i="3"/>
  <c r="A5989" i="3"/>
  <c r="A5981" i="3"/>
  <c r="A5973" i="3"/>
  <c r="A5965" i="3"/>
  <c r="A5957" i="3"/>
  <c r="A5949" i="3"/>
  <c r="A5941" i="3"/>
  <c r="A5933" i="3"/>
  <c r="A5925" i="3"/>
  <c r="A5917" i="3"/>
  <c r="A5909" i="3"/>
  <c r="A5901" i="3"/>
  <c r="A5893" i="3"/>
  <c r="A5885" i="3"/>
  <c r="A5877" i="3"/>
  <c r="A5869" i="3"/>
  <c r="A5861" i="3"/>
  <c r="A5853" i="3"/>
  <c r="A5845" i="3"/>
  <c r="A5837" i="3"/>
  <c r="A5829" i="3"/>
  <c r="A5821" i="3"/>
  <c r="A5813" i="3"/>
  <c r="A5805" i="3"/>
  <c r="A5797" i="3"/>
  <c r="A5789" i="3"/>
  <c r="A5781" i="3"/>
  <c r="A5773" i="3"/>
  <c r="A5765" i="3"/>
  <c r="A5757" i="3"/>
  <c r="A5749" i="3"/>
  <c r="A5741" i="3"/>
  <c r="A5733" i="3"/>
  <c r="A5725" i="3"/>
  <c r="A5717" i="3"/>
  <c r="A5709" i="3"/>
  <c r="A5701" i="3"/>
  <c r="A5693" i="3"/>
  <c r="A5685" i="3"/>
  <c r="A5677" i="3"/>
  <c r="A5669" i="3"/>
  <c r="A5661" i="3"/>
  <c r="A5653" i="3"/>
  <c r="A5645" i="3"/>
  <c r="A5637" i="3"/>
  <c r="A5629" i="3"/>
  <c r="A5621" i="3"/>
  <c r="A5613" i="3"/>
  <c r="A5605" i="3"/>
  <c r="A5597" i="3"/>
  <c r="A5589" i="3"/>
  <c r="A5581" i="3"/>
  <c r="A5573" i="3"/>
  <c r="A5565" i="3"/>
  <c r="A5557" i="3"/>
  <c r="A5549" i="3"/>
  <c r="A5541" i="3"/>
  <c r="A5533" i="3"/>
  <c r="A5525" i="3"/>
  <c r="A5517" i="3"/>
  <c r="A5509" i="3"/>
  <c r="A5501" i="3"/>
  <c r="A5493" i="3"/>
  <c r="A5485" i="3"/>
  <c r="A5477" i="3"/>
  <c r="A5469" i="3"/>
  <c r="A5461" i="3"/>
  <c r="A5453" i="3"/>
  <c r="A5445" i="3"/>
  <c r="A5437" i="3"/>
  <c r="A5429" i="3"/>
  <c r="A5421" i="3"/>
  <c r="A5413" i="3"/>
  <c r="A5405" i="3"/>
  <c r="A5397" i="3"/>
  <c r="A5389" i="3"/>
  <c r="A5381" i="3"/>
  <c r="A5373" i="3"/>
  <c r="A5365" i="3"/>
  <c r="A5357" i="3"/>
  <c r="A5349" i="3"/>
  <c r="A5341" i="3"/>
  <c r="A5333" i="3"/>
  <c r="A5325" i="3"/>
  <c r="A5317" i="3"/>
  <c r="A5309" i="3"/>
  <c r="A5301" i="3"/>
  <c r="A5293" i="3"/>
  <c r="A5285" i="3"/>
  <c r="A5277" i="3"/>
  <c r="A5269" i="3"/>
  <c r="A5261" i="3"/>
  <c r="A5253" i="3"/>
  <c r="A5245" i="3"/>
  <c r="A5237" i="3"/>
  <c r="A8704" i="3"/>
  <c r="A8171" i="3"/>
  <c r="A7925" i="3"/>
  <c r="A7776" i="3"/>
  <c r="A7642" i="3"/>
  <c r="A7542" i="3"/>
  <c r="A7446" i="3"/>
  <c r="A7357" i="3"/>
  <c r="A7292" i="3"/>
  <c r="A7210" i="3"/>
  <c r="A7134" i="3"/>
  <c r="A7080" i="3"/>
  <c r="A7026" i="3"/>
  <c r="A6982" i="3"/>
  <c r="A6943" i="3"/>
  <c r="A6898" i="3"/>
  <c r="A6854" i="3"/>
  <c r="A6820" i="3"/>
  <c r="A6789" i="3"/>
  <c r="A6762" i="3"/>
  <c r="A6743" i="3"/>
  <c r="A6721" i="3"/>
  <c r="A6698" i="3"/>
  <c r="A6679" i="3"/>
  <c r="A6657" i="3"/>
  <c r="A6634" i="3"/>
  <c r="A6615" i="3"/>
  <c r="A6593" i="3"/>
  <c r="A6570" i="3"/>
  <c r="A6551" i="3"/>
  <c r="A6529" i="3"/>
  <c r="A6506" i="3"/>
  <c r="A6488" i="3"/>
  <c r="A6472" i="3"/>
  <c r="A6456" i="3"/>
  <c r="A6440" i="3"/>
  <c r="A6424" i="3"/>
  <c r="A6408" i="3"/>
  <c r="A6392" i="3"/>
  <c r="A6376" i="3"/>
  <c r="A6360" i="3"/>
  <c r="A6344" i="3"/>
  <c r="A6328" i="3"/>
  <c r="A6312" i="3"/>
  <c r="A6296" i="3"/>
  <c r="A6280" i="3"/>
  <c r="A6264" i="3"/>
  <c r="A6248" i="3"/>
  <c r="A6234" i="3"/>
  <c r="A6223" i="3"/>
  <c r="A6209" i="3"/>
  <c r="A6197" i="3"/>
  <c r="A6184" i="3"/>
  <c r="A6170" i="3"/>
  <c r="A6159" i="3"/>
  <c r="A6148" i="3"/>
  <c r="A6140" i="3"/>
  <c r="A6132" i="3"/>
  <c r="A6124" i="3"/>
  <c r="A6116" i="3"/>
  <c r="A6108" i="3"/>
  <c r="A6100" i="3"/>
  <c r="A6092" i="3"/>
  <c r="A6084" i="3"/>
  <c r="A6076" i="3"/>
  <c r="A6068" i="3"/>
  <c r="A6060" i="3"/>
  <c r="A6052" i="3"/>
  <c r="A6044" i="3"/>
  <c r="A6036" i="3"/>
  <c r="A6028" i="3"/>
  <c r="A6020" i="3"/>
  <c r="A6012" i="3"/>
  <c r="A6004" i="3"/>
  <c r="A5996" i="3"/>
  <c r="A5988" i="3"/>
  <c r="A5980" i="3"/>
  <c r="A5972" i="3"/>
  <c r="A5964" i="3"/>
  <c r="A5956" i="3"/>
  <c r="A5948" i="3"/>
  <c r="A5940" i="3"/>
  <c r="A5932" i="3"/>
  <c r="A5924" i="3"/>
  <c r="A5916" i="3"/>
  <c r="A5908" i="3"/>
  <c r="A5900" i="3"/>
  <c r="A5892" i="3"/>
  <c r="A5884" i="3"/>
  <c r="A5876" i="3"/>
  <c r="A5868" i="3"/>
  <c r="A5860" i="3"/>
  <c r="A5852" i="3"/>
  <c r="A5844" i="3"/>
  <c r="A5836" i="3"/>
  <c r="A5828" i="3"/>
  <c r="A5820" i="3"/>
  <c r="A5812" i="3"/>
  <c r="A5804" i="3"/>
  <c r="A5796" i="3"/>
  <c r="A5788" i="3"/>
  <c r="A5780" i="3"/>
  <c r="A5772" i="3"/>
  <c r="A5764" i="3"/>
  <c r="A5756" i="3"/>
  <c r="A5748" i="3"/>
  <c r="A5740" i="3"/>
  <c r="A5732" i="3"/>
  <c r="A5724" i="3"/>
  <c r="A5716" i="3"/>
  <c r="A5708" i="3"/>
  <c r="A5700" i="3"/>
  <c r="A5692" i="3"/>
  <c r="A5684" i="3"/>
  <c r="A5676" i="3"/>
  <c r="A5668" i="3"/>
  <c r="A5660" i="3"/>
  <c r="A5652" i="3"/>
  <c r="A5644" i="3"/>
  <c r="A5636" i="3"/>
  <c r="A5628" i="3"/>
  <c r="A5620" i="3"/>
  <c r="A5612" i="3"/>
  <c r="A5604" i="3"/>
  <c r="A5596" i="3"/>
  <c r="A5588" i="3"/>
  <c r="A5580" i="3"/>
  <c r="A5572" i="3"/>
  <c r="A5564" i="3"/>
  <c r="A5556" i="3"/>
  <c r="A5548" i="3"/>
  <c r="A5540" i="3"/>
  <c r="A5532" i="3"/>
  <c r="A5524" i="3"/>
  <c r="A5516" i="3"/>
  <c r="A5508" i="3"/>
  <c r="A5500" i="3"/>
  <c r="A5492" i="3"/>
  <c r="A5484" i="3"/>
  <c r="A5476" i="3"/>
  <c r="A5468" i="3"/>
  <c r="A5460" i="3"/>
  <c r="A5452" i="3"/>
  <c r="A5444" i="3"/>
  <c r="A5436" i="3"/>
  <c r="A5428" i="3"/>
  <c r="A5420" i="3"/>
  <c r="A5412" i="3"/>
  <c r="A5404" i="3"/>
  <c r="A5396" i="3"/>
  <c r="A5388" i="3"/>
  <c r="A5380" i="3"/>
  <c r="A5372" i="3"/>
  <c r="A5364" i="3"/>
  <c r="A5356" i="3"/>
  <c r="A5348" i="3"/>
  <c r="A5340" i="3"/>
  <c r="A5332" i="3"/>
  <c r="A5324" i="3"/>
  <c r="A5316" i="3"/>
  <c r="A5308" i="3"/>
  <c r="A5300" i="3"/>
  <c r="A5292" i="3"/>
  <c r="A5284" i="3"/>
  <c r="A5276" i="3"/>
  <c r="A5268" i="3"/>
  <c r="A5260" i="3"/>
  <c r="A5252" i="3"/>
  <c r="A5244" i="3"/>
  <c r="A5236" i="3"/>
  <c r="A8534" i="3"/>
  <c r="A8041" i="3"/>
  <c r="A7873" i="3"/>
  <c r="A7726" i="3"/>
  <c r="A7604" i="3"/>
  <c r="A7501" i="3"/>
  <c r="A7411" i="3"/>
  <c r="A7326" i="3"/>
  <c r="A7261" i="3"/>
  <c r="A7186" i="3"/>
  <c r="A7111" i="3"/>
  <c r="A7062" i="3"/>
  <c r="A7010" i="3"/>
  <c r="A6966" i="3"/>
  <c r="A6927" i="3"/>
  <c r="A6882" i="3"/>
  <c r="A6838" i="3"/>
  <c r="A6807" i="3"/>
  <c r="A6778" i="3"/>
  <c r="A6754" i="3"/>
  <c r="A6735" i="3"/>
  <c r="A6713" i="3"/>
  <c r="A6690" i="3"/>
  <c r="A6671" i="3"/>
  <c r="A6649" i="3"/>
  <c r="A6626" i="3"/>
  <c r="A6607" i="3"/>
  <c r="A6585" i="3"/>
  <c r="A6562" i="3"/>
  <c r="A6543" i="3"/>
  <c r="A6521" i="3"/>
  <c r="A6498" i="3"/>
  <c r="A6481" i="3"/>
  <c r="A6465" i="3"/>
  <c r="A6449" i="3"/>
  <c r="A6433" i="3"/>
  <c r="A6417" i="3"/>
  <c r="A6401" i="3"/>
  <c r="A6385" i="3"/>
  <c r="A6369" i="3"/>
  <c r="A6353" i="3"/>
  <c r="A6337" i="3"/>
  <c r="A6321" i="3"/>
  <c r="A6305" i="3"/>
  <c r="A6289" i="3"/>
  <c r="A6273" i="3"/>
  <c r="A6257" i="3"/>
  <c r="A6242" i="3"/>
  <c r="A6231" i="3"/>
  <c r="A6217" i="3"/>
  <c r="A6205" i="3"/>
  <c r="A6192" i="3"/>
  <c r="A6178" i="3"/>
  <c r="A6167" i="3"/>
  <c r="A6153" i="3"/>
  <c r="A6145" i="3"/>
  <c r="A6137" i="3"/>
  <c r="A6129" i="3"/>
  <c r="A6121" i="3"/>
  <c r="A6113" i="3"/>
  <c r="A6105" i="3"/>
  <c r="A6097" i="3"/>
  <c r="A6089" i="3"/>
  <c r="A6081" i="3"/>
  <c r="A6073" i="3"/>
  <c r="A6065" i="3"/>
  <c r="A6057" i="3"/>
  <c r="A6049" i="3"/>
  <c r="A6041" i="3"/>
  <c r="A6033" i="3"/>
  <c r="A6025" i="3"/>
  <c r="A6017" i="3"/>
  <c r="A6009" i="3"/>
  <c r="A6001" i="3"/>
  <c r="A5993" i="3"/>
  <c r="A5985" i="3"/>
  <c r="A5977" i="3"/>
  <c r="A5969" i="3"/>
  <c r="A5961" i="3"/>
  <c r="A5953" i="3"/>
  <c r="A5945" i="3"/>
  <c r="A5937" i="3"/>
  <c r="A5929" i="3"/>
  <c r="A5921" i="3"/>
  <c r="A5913" i="3"/>
  <c r="A5905" i="3"/>
  <c r="A5897" i="3"/>
  <c r="A5889" i="3"/>
  <c r="A5881" i="3"/>
  <c r="A5873" i="3"/>
  <c r="A5865" i="3"/>
  <c r="A5857" i="3"/>
  <c r="A5849" i="3"/>
  <c r="A5841" i="3"/>
  <c r="A5833" i="3"/>
  <c r="A5825" i="3"/>
  <c r="A5817" i="3"/>
  <c r="A5809" i="3"/>
  <c r="A5801" i="3"/>
  <c r="A5793" i="3"/>
  <c r="A5785" i="3"/>
  <c r="A5777" i="3"/>
  <c r="A5769" i="3"/>
  <c r="A5761" i="3"/>
  <c r="A5753" i="3"/>
  <c r="A5745" i="3"/>
  <c r="A5737" i="3"/>
  <c r="A5729" i="3"/>
  <c r="A5721" i="3"/>
  <c r="A5713" i="3"/>
  <c r="A5705" i="3"/>
  <c r="A5697" i="3"/>
  <c r="A5689" i="3"/>
  <c r="A5681" i="3"/>
  <c r="A5673" i="3"/>
  <c r="A5665" i="3"/>
  <c r="A5657" i="3"/>
  <c r="A5649" i="3"/>
  <c r="A5641" i="3"/>
  <c r="A5633" i="3"/>
  <c r="A5625" i="3"/>
  <c r="A5617" i="3"/>
  <c r="A5609" i="3"/>
  <c r="A5601" i="3"/>
  <c r="A5593" i="3"/>
  <c r="A5585" i="3"/>
  <c r="A5577" i="3"/>
  <c r="A5569" i="3"/>
  <c r="A5561" i="3"/>
  <c r="A5553" i="3"/>
  <c r="A5545" i="3"/>
  <c r="A5537" i="3"/>
  <c r="A5529" i="3"/>
  <c r="A5521" i="3"/>
  <c r="A5513" i="3"/>
  <c r="A5505" i="3"/>
  <c r="A5497" i="3"/>
  <c r="A5489" i="3"/>
  <c r="A5481" i="3"/>
  <c r="A5473" i="3"/>
  <c r="A5465" i="3"/>
  <c r="A5457" i="3"/>
  <c r="A5449" i="3"/>
  <c r="A5441" i="3"/>
  <c r="A5433" i="3"/>
  <c r="A5425" i="3"/>
  <c r="A5417" i="3"/>
  <c r="A5409" i="3"/>
  <c r="A5401" i="3"/>
  <c r="A5393" i="3"/>
  <c r="A5385" i="3"/>
  <c r="A5377" i="3"/>
  <c r="A5369" i="3"/>
  <c r="A5361" i="3"/>
  <c r="A5353" i="3"/>
  <c r="A5345" i="3"/>
  <c r="A5337" i="3"/>
  <c r="A5329" i="3"/>
  <c r="A5321" i="3"/>
  <c r="A5313" i="3"/>
  <c r="A5305" i="3"/>
  <c r="A5297" i="3"/>
  <c r="A5289" i="3"/>
  <c r="A5281" i="3"/>
  <c r="A5273" i="3"/>
  <c r="A5265" i="3"/>
  <c r="A5257" i="3"/>
  <c r="A5249" i="3"/>
  <c r="A5241" i="3"/>
  <c r="A5233" i="3"/>
  <c r="A7895" i="3"/>
  <c r="A7594" i="3"/>
  <c r="A7347" i="3"/>
  <c r="A7128" i="3"/>
  <c r="A7007" i="3"/>
  <c r="A6886" i="3"/>
  <c r="A6786" i="3"/>
  <c r="A6730" i="3"/>
  <c r="A6673" i="3"/>
  <c r="A6610" i="3"/>
  <c r="A6561" i="3"/>
  <c r="A6503" i="3"/>
  <c r="A6455" i="3"/>
  <c r="A6416" i="3"/>
  <c r="A6370" i="3"/>
  <c r="A6327" i="3"/>
  <c r="A6288" i="3"/>
  <c r="A6245" i="3"/>
  <c r="A6208" i="3"/>
  <c r="A6177" i="3"/>
  <c r="A6146" i="3"/>
  <c r="A6123" i="3"/>
  <c r="A6104" i="3"/>
  <c r="A6082" i="3"/>
  <c r="A6059" i="3"/>
  <c r="A6040" i="3"/>
  <c r="A6018" i="3"/>
  <c r="A5995" i="3"/>
  <c r="A5976" i="3"/>
  <c r="A5954" i="3"/>
  <c r="A5931" i="3"/>
  <c r="A5912" i="3"/>
  <c r="A5890" i="3"/>
  <c r="A5867" i="3"/>
  <c r="A5848" i="3"/>
  <c r="A5827" i="3"/>
  <c r="A5815" i="3"/>
  <c r="A5802" i="3"/>
  <c r="A5790" i="3"/>
  <c r="A5776" i="3"/>
  <c r="A5763" i="3"/>
  <c r="A5751" i="3"/>
  <c r="A5738" i="3"/>
  <c r="A5726" i="3"/>
  <c r="A5712" i="3"/>
  <c r="A5699" i="3"/>
  <c r="A5687" i="3"/>
  <c r="A5674" i="3"/>
  <c r="A5662" i="3"/>
  <c r="A5648" i="3"/>
  <c r="A5635" i="3"/>
  <c r="A5623" i="3"/>
  <c r="A5610" i="3"/>
  <c r="A5598" i="3"/>
  <c r="A5584" i="3"/>
  <c r="A5571" i="3"/>
  <c r="A5559" i="3"/>
  <c r="A5546" i="3"/>
  <c r="A5534" i="3"/>
  <c r="A5520" i="3"/>
  <c r="A5507" i="3"/>
  <c r="A5495" i="3"/>
  <c r="A5482" i="3"/>
  <c r="A5470" i="3"/>
  <c r="A5456" i="3"/>
  <c r="A5443" i="3"/>
  <c r="A5431" i="3"/>
  <c r="A5418" i="3"/>
  <c r="A5406" i="3"/>
  <c r="A5392" i="3"/>
  <c r="A5379" i="3"/>
  <c r="A5367" i="3"/>
  <c r="A5354" i="3"/>
  <c r="A5342" i="3"/>
  <c r="A5328" i="3"/>
  <c r="A5315" i="3"/>
  <c r="A5303" i="3"/>
  <c r="A5290" i="3"/>
  <c r="A5278" i="3"/>
  <c r="A5264" i="3"/>
  <c r="A5251" i="3"/>
  <c r="A5239" i="3"/>
  <c r="A5228" i="3"/>
  <c r="A5220" i="3"/>
  <c r="A5212" i="3"/>
  <c r="A5204" i="3"/>
  <c r="A5196" i="3"/>
  <c r="A5188" i="3"/>
  <c r="A5180" i="3"/>
  <c r="A5172" i="3"/>
  <c r="A5164" i="3"/>
  <c r="A5156" i="3"/>
  <c r="A5148" i="3"/>
  <c r="A5140" i="3"/>
  <c r="A5132" i="3"/>
  <c r="A5124" i="3"/>
  <c r="A5116" i="3"/>
  <c r="A5108" i="3"/>
  <c r="A5100" i="3"/>
  <c r="A5092" i="3"/>
  <c r="A5084" i="3"/>
  <c r="A5076" i="3"/>
  <c r="A5068" i="3"/>
  <c r="A5060" i="3"/>
  <c r="A5052" i="3"/>
  <c r="A5044" i="3"/>
  <c r="A5036" i="3"/>
  <c r="A5028" i="3"/>
  <c r="A5020" i="3"/>
  <c r="A5012" i="3"/>
  <c r="A5004" i="3"/>
  <c r="A4996" i="3"/>
  <c r="A4988" i="3"/>
  <c r="A4980" i="3"/>
  <c r="A4972" i="3"/>
  <c r="A4964" i="3"/>
  <c r="A4956" i="3"/>
  <c r="A4948" i="3"/>
  <c r="A4940" i="3"/>
  <c r="A4932" i="3"/>
  <c r="A4924" i="3"/>
  <c r="A4916" i="3"/>
  <c r="A4908" i="3"/>
  <c r="A4900" i="3"/>
  <c r="A4892" i="3"/>
  <c r="A4884" i="3"/>
  <c r="A4876" i="3"/>
  <c r="A4868" i="3"/>
  <c r="A4860" i="3"/>
  <c r="A4852" i="3"/>
  <c r="A4844" i="3"/>
  <c r="A4836" i="3"/>
  <c r="A4828" i="3"/>
  <c r="A4820" i="3"/>
  <c r="A4812" i="3"/>
  <c r="A4804" i="3"/>
  <c r="A4796" i="3"/>
  <c r="A4788" i="3"/>
  <c r="A4780" i="3"/>
  <c r="A4772" i="3"/>
  <c r="A4764" i="3"/>
  <c r="A4756" i="3"/>
  <c r="A4748" i="3"/>
  <c r="A4740" i="3"/>
  <c r="A4732" i="3"/>
  <c r="A4724" i="3"/>
  <c r="A4716" i="3"/>
  <c r="A4708" i="3"/>
  <c r="A4700" i="3"/>
  <c r="A4692" i="3"/>
  <c r="A4684" i="3"/>
  <c r="A4676" i="3"/>
  <c r="A4668" i="3"/>
  <c r="A4660" i="3"/>
  <c r="A4652" i="3"/>
  <c r="A4644" i="3"/>
  <c r="A4636" i="3"/>
  <c r="A4628" i="3"/>
  <c r="A4620" i="3"/>
  <c r="A4612" i="3"/>
  <c r="A4604" i="3"/>
  <c r="A4596" i="3"/>
  <c r="A4588" i="3"/>
  <c r="A4580" i="3"/>
  <c r="A4572" i="3"/>
  <c r="A4564" i="3"/>
  <c r="A4556" i="3"/>
  <c r="A4548" i="3"/>
  <c r="A4540" i="3"/>
  <c r="A4532" i="3"/>
  <c r="A7881" i="3"/>
  <c r="A7515" i="3"/>
  <c r="A7325" i="3"/>
  <c r="A7126" i="3"/>
  <c r="A6978" i="3"/>
  <c r="A6879" i="3"/>
  <c r="A6780" i="3"/>
  <c r="A6719" i="3"/>
  <c r="A6666" i="3"/>
  <c r="A6609" i="3"/>
  <c r="A6546" i="3"/>
  <c r="A6497" i="3"/>
  <c r="A6450" i="3"/>
  <c r="A6407" i="3"/>
  <c r="A6368" i="3"/>
  <c r="A6322" i="3"/>
  <c r="A6279" i="3"/>
  <c r="A6241" i="3"/>
  <c r="A6207" i="3"/>
  <c r="A6169" i="3"/>
  <c r="A6144" i="3"/>
  <c r="A6122" i="3"/>
  <c r="A6099" i="3"/>
  <c r="A6080" i="3"/>
  <c r="A6058" i="3"/>
  <c r="A6035" i="3"/>
  <c r="A6016" i="3"/>
  <c r="A5994" i="3"/>
  <c r="A5971" i="3"/>
  <c r="A5952" i="3"/>
  <c r="A5930" i="3"/>
  <c r="A5907" i="3"/>
  <c r="A5888" i="3"/>
  <c r="A5866" i="3"/>
  <c r="A5843" i="3"/>
  <c r="A5826" i="3"/>
  <c r="A5814" i="3"/>
  <c r="A5800" i="3"/>
  <c r="A5787" i="3"/>
  <c r="A5775" i="3"/>
  <c r="A5762" i="3"/>
  <c r="A5750" i="3"/>
  <c r="A5736" i="3"/>
  <c r="A5723" i="3"/>
  <c r="A5711" i="3"/>
  <c r="A5698" i="3"/>
  <c r="A5686" i="3"/>
  <c r="A5672" i="3"/>
  <c r="A5659" i="3"/>
  <c r="A5647" i="3"/>
  <c r="A5634" i="3"/>
  <c r="A5622" i="3"/>
  <c r="A5608" i="3"/>
  <c r="A5595" i="3"/>
  <c r="A5583" i="3"/>
  <c r="A5570" i="3"/>
  <c r="A5558" i="3"/>
  <c r="A5544" i="3"/>
  <c r="A5531" i="3"/>
  <c r="A5519" i="3"/>
  <c r="A5506" i="3"/>
  <c r="A5494" i="3"/>
  <c r="A5480" i="3"/>
  <c r="A5467" i="3"/>
  <c r="A5455" i="3"/>
  <c r="A5442" i="3"/>
  <c r="A5430" i="3"/>
  <c r="A5416" i="3"/>
  <c r="A5403" i="3"/>
  <c r="A5391" i="3"/>
  <c r="A5378" i="3"/>
  <c r="A5366" i="3"/>
  <c r="A5352" i="3"/>
  <c r="A5339" i="3"/>
  <c r="A5327" i="3"/>
  <c r="A5314" i="3"/>
  <c r="A5302" i="3"/>
  <c r="A5288" i="3"/>
  <c r="A5275" i="3"/>
  <c r="A5263" i="3"/>
  <c r="A5250" i="3"/>
  <c r="A5238" i="3"/>
  <c r="A5227" i="3"/>
  <c r="A5219" i="3"/>
  <c r="A5211" i="3"/>
  <c r="A5203" i="3"/>
  <c r="A5195" i="3"/>
  <c r="A5187" i="3"/>
  <c r="A5179" i="3"/>
  <c r="A5171" i="3"/>
  <c r="A5163" i="3"/>
  <c r="A5155" i="3"/>
  <c r="A5147" i="3"/>
  <c r="A5139" i="3"/>
  <c r="A5131" i="3"/>
  <c r="A5123" i="3"/>
  <c r="A5115" i="3"/>
  <c r="A5107" i="3"/>
  <c r="A5099" i="3"/>
  <c r="A5091" i="3"/>
  <c r="A5083" i="3"/>
  <c r="A5075" i="3"/>
  <c r="A5067" i="3"/>
  <c r="A5059" i="3"/>
  <c r="A5051" i="3"/>
  <c r="A5043" i="3"/>
  <c r="A5035" i="3"/>
  <c r="A5027" i="3"/>
  <c r="A5019" i="3"/>
  <c r="A5011" i="3"/>
  <c r="A5003" i="3"/>
  <c r="A4995" i="3"/>
  <c r="A4987" i="3"/>
  <c r="A4979" i="3"/>
  <c r="A4971" i="3"/>
  <c r="A4963" i="3"/>
  <c r="A4955" i="3"/>
  <c r="A4947" i="3"/>
  <c r="A4939" i="3"/>
  <c r="A4931" i="3"/>
  <c r="A4923" i="3"/>
  <c r="A4915" i="3"/>
  <c r="A4907" i="3"/>
  <c r="A4899" i="3"/>
  <c r="A4891" i="3"/>
  <c r="A4883" i="3"/>
  <c r="A4875" i="3"/>
  <c r="A4867" i="3"/>
  <c r="A4859" i="3"/>
  <c r="A4851" i="3"/>
  <c r="A4843" i="3"/>
  <c r="A4835" i="3"/>
  <c r="A4827" i="3"/>
  <c r="A4819" i="3"/>
  <c r="A4811" i="3"/>
  <c r="A4803" i="3"/>
  <c r="A4795" i="3"/>
  <c r="A4787" i="3"/>
  <c r="A4779" i="3"/>
  <c r="A4771" i="3"/>
  <c r="A4763" i="3"/>
  <c r="A4755" i="3"/>
  <c r="A4747" i="3"/>
  <c r="A4739" i="3"/>
  <c r="A4731" i="3"/>
  <c r="A4723" i="3"/>
  <c r="A4715" i="3"/>
  <c r="A4707" i="3"/>
  <c r="A4699" i="3"/>
  <c r="A4691" i="3"/>
  <c r="A4683" i="3"/>
  <c r="A4675" i="3"/>
  <c r="A4667" i="3"/>
  <c r="A4659" i="3"/>
  <c r="A4651" i="3"/>
  <c r="A4643" i="3"/>
  <c r="A4635" i="3"/>
  <c r="A4627" i="3"/>
  <c r="A4619" i="3"/>
  <c r="A4611" i="3"/>
  <c r="A4603" i="3"/>
  <c r="A4595" i="3"/>
  <c r="A4587" i="3"/>
  <c r="A4579" i="3"/>
  <c r="A4571" i="3"/>
  <c r="A4563" i="3"/>
  <c r="A4555" i="3"/>
  <c r="A4547" i="3"/>
  <c r="A4539" i="3"/>
  <c r="A4531" i="3"/>
  <c r="A8677" i="3"/>
  <c r="A7833" i="3"/>
  <c r="A7514" i="3"/>
  <c r="A7271" i="3"/>
  <c r="A7110" i="3"/>
  <c r="A6975" i="3"/>
  <c r="A6850" i="3"/>
  <c r="A6775" i="3"/>
  <c r="A6714" i="3"/>
  <c r="A6655" i="3"/>
  <c r="A6602" i="3"/>
  <c r="A6545" i="3"/>
  <c r="A6487" i="3"/>
  <c r="A6448" i="3"/>
  <c r="A6402" i="3"/>
  <c r="A6359" i="3"/>
  <c r="A6320" i="3"/>
  <c r="A6274" i="3"/>
  <c r="A6233" i="3"/>
  <c r="A6202" i="3"/>
  <c r="A6168" i="3"/>
  <c r="A6139" i="3"/>
  <c r="A6120" i="3"/>
  <c r="A6098" i="3"/>
  <c r="A6075" i="3"/>
  <c r="A6056" i="3"/>
  <c r="A6034" i="3"/>
  <c r="A6011" i="3"/>
  <c r="A5992" i="3"/>
  <c r="A5970" i="3"/>
  <c r="A5947" i="3"/>
  <c r="A5928" i="3"/>
  <c r="A5906" i="3"/>
  <c r="A5883" i="3"/>
  <c r="A5864" i="3"/>
  <c r="A5842" i="3"/>
  <c r="A5824" i="3"/>
  <c r="A5811" i="3"/>
  <c r="A5799" i="3"/>
  <c r="A5786" i="3"/>
  <c r="A5774" i="3"/>
  <c r="A5760" i="3"/>
  <c r="A5747" i="3"/>
  <c r="A5735" i="3"/>
  <c r="A5722" i="3"/>
  <c r="A5710" i="3"/>
  <c r="A5696" i="3"/>
  <c r="A5683" i="3"/>
  <c r="A5671" i="3"/>
  <c r="A5658" i="3"/>
  <c r="A5646" i="3"/>
  <c r="A5632" i="3"/>
  <c r="A5619" i="3"/>
  <c r="A5607" i="3"/>
  <c r="A5594" i="3"/>
  <c r="A5582" i="3"/>
  <c r="A5568" i="3"/>
  <c r="A5555" i="3"/>
  <c r="A5543" i="3"/>
  <c r="A5530" i="3"/>
  <c r="A5518" i="3"/>
  <c r="A5504" i="3"/>
  <c r="A5491" i="3"/>
  <c r="A5479" i="3"/>
  <c r="A5466" i="3"/>
  <c r="A5454" i="3"/>
  <c r="A5440" i="3"/>
  <c r="A5427" i="3"/>
  <c r="A5415" i="3"/>
  <c r="A5402" i="3"/>
  <c r="A5390" i="3"/>
  <c r="A5376" i="3"/>
  <c r="A5363" i="3"/>
  <c r="A5351" i="3"/>
  <c r="A5338" i="3"/>
  <c r="A5326" i="3"/>
  <c r="A5312" i="3"/>
  <c r="A5299" i="3"/>
  <c r="A5287" i="3"/>
  <c r="A5274" i="3"/>
  <c r="A5262" i="3"/>
  <c r="A5248" i="3"/>
  <c r="A5235" i="3"/>
  <c r="A5226" i="3"/>
  <c r="A5218" i="3"/>
  <c r="A5210" i="3"/>
  <c r="A5202" i="3"/>
  <c r="A5194" i="3"/>
  <c r="A5186" i="3"/>
  <c r="A5178" i="3"/>
  <c r="A5170" i="3"/>
  <c r="A5162" i="3"/>
  <c r="A5154" i="3"/>
  <c r="A5146" i="3"/>
  <c r="A5138" i="3"/>
  <c r="A5130" i="3"/>
  <c r="A5122" i="3"/>
  <c r="A5114" i="3"/>
  <c r="A5106" i="3"/>
  <c r="A5098" i="3"/>
  <c r="A5090" i="3"/>
  <c r="A5082" i="3"/>
  <c r="A5074" i="3"/>
  <c r="A5066" i="3"/>
  <c r="A5058" i="3"/>
  <c r="A5050" i="3"/>
  <c r="A5042" i="3"/>
  <c r="A5034" i="3"/>
  <c r="A5026" i="3"/>
  <c r="A5018" i="3"/>
  <c r="A5010" i="3"/>
  <c r="A5002" i="3"/>
  <c r="A4994" i="3"/>
  <c r="A4986" i="3"/>
  <c r="A4978" i="3"/>
  <c r="A4970" i="3"/>
  <c r="A4962" i="3"/>
  <c r="A4954" i="3"/>
  <c r="A4946" i="3"/>
  <c r="A4938" i="3"/>
  <c r="A4930" i="3"/>
  <c r="A4922" i="3"/>
  <c r="A4914" i="3"/>
  <c r="A4906" i="3"/>
  <c r="A4898" i="3"/>
  <c r="A4890" i="3"/>
  <c r="A4882" i="3"/>
  <c r="A4874" i="3"/>
  <c r="A4866" i="3"/>
  <c r="A4858" i="3"/>
  <c r="A4850" i="3"/>
  <c r="A4842" i="3"/>
  <c r="A4834" i="3"/>
  <c r="A4826" i="3"/>
  <c r="A4818" i="3"/>
  <c r="A4810" i="3"/>
  <c r="A4802" i="3"/>
  <c r="A4794" i="3"/>
  <c r="A4786" i="3"/>
  <c r="A4778" i="3"/>
  <c r="A4770" i="3"/>
  <c r="A4762" i="3"/>
  <c r="A4754" i="3"/>
  <c r="A4746" i="3"/>
  <c r="A4738" i="3"/>
  <c r="A4730" i="3"/>
  <c r="A4722" i="3"/>
  <c r="A4714" i="3"/>
  <c r="A4706" i="3"/>
  <c r="A4698" i="3"/>
  <c r="A4690" i="3"/>
  <c r="A4682" i="3"/>
  <c r="A4674" i="3"/>
  <c r="A4666" i="3"/>
  <c r="A4658" i="3"/>
  <c r="A8535" i="3"/>
  <c r="A7762" i="3"/>
  <c r="A7485" i="3"/>
  <c r="A7270" i="3"/>
  <c r="A7070" i="3"/>
  <c r="A6962" i="3"/>
  <c r="A6847" i="3"/>
  <c r="A6761" i="3"/>
  <c r="A6711" i="3"/>
  <c r="A6650" i="3"/>
  <c r="A6591" i="3"/>
  <c r="A6538" i="3"/>
  <c r="A6482" i="3"/>
  <c r="A6439" i="3"/>
  <c r="A6400" i="3"/>
  <c r="A6354" i="3"/>
  <c r="A6311" i="3"/>
  <c r="A6272" i="3"/>
  <c r="A6232" i="3"/>
  <c r="A6194" i="3"/>
  <c r="A6165" i="3"/>
  <c r="A6138" i="3"/>
  <c r="A6115" i="3"/>
  <c r="A6096" i="3"/>
  <c r="A6074" i="3"/>
  <c r="A6051" i="3"/>
  <c r="A6032" i="3"/>
  <c r="A6010" i="3"/>
  <c r="A5987" i="3"/>
  <c r="A5968" i="3"/>
  <c r="A5946" i="3"/>
  <c r="A5923" i="3"/>
  <c r="A5904" i="3"/>
  <c r="A5882" i="3"/>
  <c r="A5859" i="3"/>
  <c r="A5840" i="3"/>
  <c r="A5823" i="3"/>
  <c r="A5810" i="3"/>
  <c r="A5798" i="3"/>
  <c r="A5784" i="3"/>
  <c r="A5771" i="3"/>
  <c r="A5759" i="3"/>
  <c r="A5746" i="3"/>
  <c r="A5734" i="3"/>
  <c r="A5720" i="3"/>
  <c r="A5707" i="3"/>
  <c r="A5695" i="3"/>
  <c r="A5682" i="3"/>
  <c r="A5670" i="3"/>
  <c r="A5656" i="3"/>
  <c r="A5643" i="3"/>
  <c r="A5631" i="3"/>
  <c r="A5618" i="3"/>
  <c r="A5606" i="3"/>
  <c r="A5592" i="3"/>
  <c r="A5579" i="3"/>
  <c r="A5567" i="3"/>
  <c r="A5554" i="3"/>
  <c r="A5542" i="3"/>
  <c r="A5528" i="3"/>
  <c r="A5515" i="3"/>
  <c r="A5503" i="3"/>
  <c r="A5490" i="3"/>
  <c r="A5478" i="3"/>
  <c r="A5464" i="3"/>
  <c r="A5451" i="3"/>
  <c r="A5439" i="3"/>
  <c r="A5426" i="3"/>
  <c r="A5414" i="3"/>
  <c r="A5400" i="3"/>
  <c r="A5387" i="3"/>
  <c r="A5375" i="3"/>
  <c r="A5362" i="3"/>
  <c r="A5350" i="3"/>
  <c r="A5336" i="3"/>
  <c r="A5323" i="3"/>
  <c r="A5311" i="3"/>
  <c r="A5298" i="3"/>
  <c r="A5286" i="3"/>
  <c r="A5272" i="3"/>
  <c r="A5259" i="3"/>
  <c r="A5247" i="3"/>
  <c r="A5234" i="3"/>
  <c r="A5225" i="3"/>
  <c r="A5217" i="3"/>
  <c r="A5209" i="3"/>
  <c r="A5201" i="3"/>
  <c r="A5193" i="3"/>
  <c r="A5185" i="3"/>
  <c r="A5177" i="3"/>
  <c r="A5169" i="3"/>
  <c r="A5161" i="3"/>
  <c r="A5153" i="3"/>
  <c r="A5145" i="3"/>
  <c r="A5137" i="3"/>
  <c r="A5129" i="3"/>
  <c r="A5121" i="3"/>
  <c r="A5113" i="3"/>
  <c r="A5105" i="3"/>
  <c r="A8452" i="3"/>
  <c r="A7737" i="3"/>
  <c r="A7436" i="3"/>
  <c r="A7242" i="3"/>
  <c r="A7064" i="3"/>
  <c r="A6934" i="3"/>
  <c r="A6836" i="3"/>
  <c r="A6759" i="3"/>
  <c r="A6697" i="3"/>
  <c r="A6647" i="3"/>
  <c r="A6586" i="3"/>
  <c r="A6527" i="3"/>
  <c r="A6480" i="3"/>
  <c r="A6434" i="3"/>
  <c r="A6391" i="3"/>
  <c r="A6352" i="3"/>
  <c r="A6306" i="3"/>
  <c r="A6263" i="3"/>
  <c r="A6229" i="3"/>
  <c r="A6193" i="3"/>
  <c r="A6157" i="3"/>
  <c r="A6136" i="3"/>
  <c r="A6114" i="3"/>
  <c r="A6091" i="3"/>
  <c r="A6072" i="3"/>
  <c r="A6050" i="3"/>
  <c r="A6027" i="3"/>
  <c r="A6008" i="3"/>
  <c r="A5986" i="3"/>
  <c r="A5963" i="3"/>
  <c r="A5944" i="3"/>
  <c r="A5922" i="3"/>
  <c r="A5899" i="3"/>
  <c r="A5880" i="3"/>
  <c r="A5858" i="3"/>
  <c r="A5835" i="3"/>
  <c r="A5822" i="3"/>
  <c r="A5808" i="3"/>
  <c r="A5795" i="3"/>
  <c r="A5783" i="3"/>
  <c r="A5770" i="3"/>
  <c r="A5758" i="3"/>
  <c r="A5744" i="3"/>
  <c r="A5731" i="3"/>
  <c r="A5719" i="3"/>
  <c r="A5706" i="3"/>
  <c r="A5694" i="3"/>
  <c r="A5680" i="3"/>
  <c r="A5667" i="3"/>
  <c r="A5655" i="3"/>
  <c r="A5642" i="3"/>
  <c r="A5630" i="3"/>
  <c r="A5616" i="3"/>
  <c r="A5603" i="3"/>
  <c r="A5591" i="3"/>
  <c r="A5578" i="3"/>
  <c r="A5566" i="3"/>
  <c r="A5552" i="3"/>
  <c r="A5539" i="3"/>
  <c r="A5527" i="3"/>
  <c r="A5514" i="3"/>
  <c r="A5502" i="3"/>
  <c r="A5488" i="3"/>
  <c r="A5475" i="3"/>
  <c r="A5463" i="3"/>
  <c r="A5450" i="3"/>
  <c r="A5438" i="3"/>
  <c r="A5424" i="3"/>
  <c r="A5411" i="3"/>
  <c r="A5399" i="3"/>
  <c r="A5386" i="3"/>
  <c r="A5374" i="3"/>
  <c r="A5360" i="3"/>
  <c r="A5347" i="3"/>
  <c r="A5335" i="3"/>
  <c r="A5322" i="3"/>
  <c r="A5310" i="3"/>
  <c r="A5296" i="3"/>
  <c r="A5283" i="3"/>
  <c r="A5271" i="3"/>
  <c r="A5258" i="3"/>
  <c r="A5246" i="3"/>
  <c r="A5232" i="3"/>
  <c r="A5224" i="3"/>
  <c r="A5216" i="3"/>
  <c r="A5208" i="3"/>
  <c r="A5200" i="3"/>
  <c r="A5192" i="3"/>
  <c r="A5184" i="3"/>
  <c r="A5176" i="3"/>
  <c r="A5168" i="3"/>
  <c r="A5160" i="3"/>
  <c r="A5152" i="3"/>
  <c r="A5144" i="3"/>
  <c r="A5136" i="3"/>
  <c r="A5128" i="3"/>
  <c r="A5120" i="3"/>
  <c r="A5112" i="3"/>
  <c r="A5104" i="3"/>
  <c r="A5096" i="3"/>
  <c r="A5088" i="3"/>
  <c r="A5080" i="3"/>
  <c r="A5072" i="3"/>
  <c r="A5064" i="3"/>
  <c r="A5056" i="3"/>
  <c r="A5048" i="3"/>
  <c r="A5040" i="3"/>
  <c r="A5032" i="3"/>
  <c r="A5024" i="3"/>
  <c r="A5016" i="3"/>
  <c r="A5008" i="3"/>
  <c r="A5000" i="3"/>
  <c r="A4992" i="3"/>
  <c r="A4984" i="3"/>
  <c r="A4976" i="3"/>
  <c r="A4968" i="3"/>
  <c r="A4960" i="3"/>
  <c r="A4952" i="3"/>
  <c r="A4944" i="3"/>
  <c r="A4936" i="3"/>
  <c r="A4928" i="3"/>
  <c r="A4920" i="3"/>
  <c r="A4912" i="3"/>
  <c r="A4904" i="3"/>
  <c r="A4896" i="3"/>
  <c r="A4888" i="3"/>
  <c r="A4880" i="3"/>
  <c r="A4872" i="3"/>
  <c r="A4864" i="3"/>
  <c r="A7412" i="3"/>
  <c r="A7014" i="3"/>
  <c r="A6738" i="3"/>
  <c r="A6583" i="3"/>
  <c r="A6464" i="3"/>
  <c r="A6338" i="3"/>
  <c r="A6221" i="3"/>
  <c r="A6147" i="3"/>
  <c r="A6088" i="3"/>
  <c r="A6026" i="3"/>
  <c r="A5978" i="3"/>
  <c r="A5915" i="3"/>
  <c r="A5856" i="3"/>
  <c r="A5816" i="3"/>
  <c r="A5779" i="3"/>
  <c r="A5743" i="3"/>
  <c r="A5714" i="3"/>
  <c r="A5678" i="3"/>
  <c r="A5640" i="3"/>
  <c r="A5611" i="3"/>
  <c r="A5575" i="3"/>
  <c r="A5538" i="3"/>
  <c r="A5510" i="3"/>
  <c r="A5472" i="3"/>
  <c r="A5435" i="3"/>
  <c r="A5407" i="3"/>
  <c r="A5370" i="3"/>
  <c r="A5334" i="3"/>
  <c r="A5304" i="3"/>
  <c r="A5267" i="3"/>
  <c r="A5231" i="3"/>
  <c r="A5213" i="3"/>
  <c r="A5190" i="3"/>
  <c r="A5167" i="3"/>
  <c r="A5149" i="3"/>
  <c r="A5126" i="3"/>
  <c r="A5103" i="3"/>
  <c r="A5087" i="3"/>
  <c r="A5071" i="3"/>
  <c r="A5055" i="3"/>
  <c r="A5039" i="3"/>
  <c r="A5023" i="3"/>
  <c r="A5007" i="3"/>
  <c r="A4991" i="3"/>
  <c r="A4975" i="3"/>
  <c r="A4959" i="3"/>
  <c r="A4943" i="3"/>
  <c r="A4927" i="3"/>
  <c r="A4911" i="3"/>
  <c r="A4895" i="3"/>
  <c r="A4879" i="3"/>
  <c r="A4863" i="3"/>
  <c r="A4849" i="3"/>
  <c r="A4838" i="3"/>
  <c r="A4824" i="3"/>
  <c r="A4813" i="3"/>
  <c r="A4799" i="3"/>
  <c r="A4785" i="3"/>
  <c r="A4774" i="3"/>
  <c r="A4760" i="3"/>
  <c r="A4749" i="3"/>
  <c r="A4735" i="3"/>
  <c r="A4721" i="3"/>
  <c r="A4710" i="3"/>
  <c r="A4696" i="3"/>
  <c r="A4685" i="3"/>
  <c r="A4671" i="3"/>
  <c r="A4657" i="3"/>
  <c r="A4647" i="3"/>
  <c r="A4637" i="3"/>
  <c r="A4625" i="3"/>
  <c r="A4615" i="3"/>
  <c r="A4605" i="3"/>
  <c r="A4593" i="3"/>
  <c r="A4583" i="3"/>
  <c r="A4573" i="3"/>
  <c r="A4561" i="3"/>
  <c r="A4551" i="3"/>
  <c r="A4541" i="3"/>
  <c r="A4529" i="3"/>
  <c r="A4521" i="3"/>
  <c r="A4513" i="3"/>
  <c r="A4505" i="3"/>
  <c r="A4497" i="3"/>
  <c r="A4489" i="3"/>
  <c r="A4481" i="3"/>
  <c r="A4473" i="3"/>
  <c r="A4465" i="3"/>
  <c r="A4457" i="3"/>
  <c r="A4449" i="3"/>
  <c r="A4441" i="3"/>
  <c r="A4433" i="3"/>
  <c r="A4425" i="3"/>
  <c r="A4417" i="3"/>
  <c r="A4409" i="3"/>
  <c r="A4401" i="3"/>
  <c r="A4393" i="3"/>
  <c r="A4385" i="3"/>
  <c r="A4377" i="3"/>
  <c r="A4369" i="3"/>
  <c r="A4361" i="3"/>
  <c r="A4353" i="3"/>
  <c r="A4345" i="3"/>
  <c r="A4337" i="3"/>
  <c r="A4329" i="3"/>
  <c r="A4321" i="3"/>
  <c r="A4313" i="3"/>
  <c r="A4305" i="3"/>
  <c r="A4297" i="3"/>
  <c r="A4289" i="3"/>
  <c r="A4281" i="3"/>
  <c r="A4273" i="3"/>
  <c r="A4265" i="3"/>
  <c r="A4257" i="3"/>
  <c r="A4249" i="3"/>
  <c r="A4241" i="3"/>
  <c r="A4233" i="3"/>
  <c r="A4225" i="3"/>
  <c r="A4217" i="3"/>
  <c r="A4209" i="3"/>
  <c r="A4201" i="3"/>
  <c r="A4193" i="3"/>
  <c r="A4185" i="3"/>
  <c r="A4177" i="3"/>
  <c r="A4169" i="3"/>
  <c r="A4161" i="3"/>
  <c r="A4153" i="3"/>
  <c r="A4145" i="3"/>
  <c r="A4137" i="3"/>
  <c r="A4129" i="3"/>
  <c r="A4121" i="3"/>
  <c r="A4113" i="3"/>
  <c r="A4105" i="3"/>
  <c r="A4097" i="3"/>
  <c r="A4089" i="3"/>
  <c r="A4081" i="3"/>
  <c r="A4073" i="3"/>
  <c r="A4065" i="3"/>
  <c r="A4057" i="3"/>
  <c r="A4049" i="3"/>
  <c r="A4041" i="3"/>
  <c r="A4033" i="3"/>
  <c r="A4025" i="3"/>
  <c r="A4017" i="3"/>
  <c r="A4009" i="3"/>
  <c r="A4001" i="3"/>
  <c r="A3993" i="3"/>
  <c r="A3985" i="3"/>
  <c r="A3977" i="3"/>
  <c r="A3969" i="3"/>
  <c r="A3961" i="3"/>
  <c r="A3953" i="3"/>
  <c r="A3945" i="3"/>
  <c r="A3937" i="3"/>
  <c r="A3929" i="3"/>
  <c r="A3921" i="3"/>
  <c r="A3913" i="3"/>
  <c r="A3905" i="3"/>
  <c r="A3897" i="3"/>
  <c r="A3889" i="3"/>
  <c r="A3881" i="3"/>
  <c r="A3873" i="3"/>
  <c r="A3865" i="3"/>
  <c r="A3857" i="3"/>
  <c r="A3849" i="3"/>
  <c r="A3841" i="3"/>
  <c r="A3833" i="3"/>
  <c r="A3825" i="3"/>
  <c r="A3817" i="3"/>
  <c r="A3809" i="3"/>
  <c r="A7402" i="3"/>
  <c r="A6930" i="3"/>
  <c r="A6737" i="3"/>
  <c r="A6569" i="3"/>
  <c r="A6432" i="3"/>
  <c r="A6336" i="3"/>
  <c r="A6218" i="3"/>
  <c r="A6131" i="3"/>
  <c r="A6083" i="3"/>
  <c r="A6024" i="3"/>
  <c r="A5962" i="3"/>
  <c r="A5914" i="3"/>
  <c r="A5851" i="3"/>
  <c r="A5807" i="3"/>
  <c r="A5778" i="3"/>
  <c r="A5742" i="3"/>
  <c r="A5704" i="3"/>
  <c r="A5675" i="3"/>
  <c r="A5639" i="3"/>
  <c r="A5602" i="3"/>
  <c r="A5574" i="3"/>
  <c r="A5536" i="3"/>
  <c r="A5499" i="3"/>
  <c r="A5471" i="3"/>
  <c r="A5434" i="3"/>
  <c r="A5398" i="3"/>
  <c r="A5368" i="3"/>
  <c r="A5331" i="3"/>
  <c r="A5295" i="3"/>
  <c r="A5266" i="3"/>
  <c r="A5230" i="3"/>
  <c r="A5207" i="3"/>
  <c r="A5189" i="3"/>
  <c r="A5166" i="3"/>
  <c r="A5143" i="3"/>
  <c r="A5125" i="3"/>
  <c r="A5102" i="3"/>
  <c r="A5086" i="3"/>
  <c r="A5070" i="3"/>
  <c r="A5054" i="3"/>
  <c r="A5038" i="3"/>
  <c r="A5022" i="3"/>
  <c r="A5006" i="3"/>
  <c r="A4990" i="3"/>
  <c r="A4974" i="3"/>
  <c r="A4958" i="3"/>
  <c r="A4942" i="3"/>
  <c r="A4926" i="3"/>
  <c r="A4910" i="3"/>
  <c r="A4894" i="3"/>
  <c r="A4878" i="3"/>
  <c r="A4862" i="3"/>
  <c r="A4848" i="3"/>
  <c r="A4837" i="3"/>
  <c r="A4823" i="3"/>
  <c r="A4809" i="3"/>
  <c r="A4798" i="3"/>
  <c r="A4784" i="3"/>
  <c r="A4773" i="3"/>
  <c r="A4759" i="3"/>
  <c r="A4745" i="3"/>
  <c r="A4734" i="3"/>
  <c r="A4720" i="3"/>
  <c r="A4709" i="3"/>
  <c r="A4695" i="3"/>
  <c r="A4681" i="3"/>
  <c r="A4670" i="3"/>
  <c r="A4656" i="3"/>
  <c r="A4646" i="3"/>
  <c r="A4634" i="3"/>
  <c r="A4624" i="3"/>
  <c r="A4614" i="3"/>
  <c r="A4602" i="3"/>
  <c r="A4592" i="3"/>
  <c r="A4582" i="3"/>
  <c r="A4570" i="3"/>
  <c r="A4560" i="3"/>
  <c r="A4550" i="3"/>
  <c r="A4538" i="3"/>
  <c r="A4528" i="3"/>
  <c r="A4520" i="3"/>
  <c r="A4512" i="3"/>
  <c r="A4504" i="3"/>
  <c r="A4496" i="3"/>
  <c r="A4488" i="3"/>
  <c r="A4480" i="3"/>
  <c r="A4472" i="3"/>
  <c r="A4464" i="3"/>
  <c r="A4456" i="3"/>
  <c r="A4448" i="3"/>
  <c r="A4440" i="3"/>
  <c r="A4432" i="3"/>
  <c r="A4424" i="3"/>
  <c r="A4416" i="3"/>
  <c r="A4408" i="3"/>
  <c r="A4400" i="3"/>
  <c r="A4392" i="3"/>
  <c r="A4384" i="3"/>
  <c r="A4376" i="3"/>
  <c r="A4368" i="3"/>
  <c r="A4360" i="3"/>
  <c r="A4352" i="3"/>
  <c r="A4344" i="3"/>
  <c r="A4336" i="3"/>
  <c r="A4328" i="3"/>
  <c r="A4320" i="3"/>
  <c r="A4312" i="3"/>
  <c r="A4304" i="3"/>
  <c r="A4296" i="3"/>
  <c r="A4288" i="3"/>
  <c r="A4280" i="3"/>
  <c r="A4272" i="3"/>
  <c r="A4264" i="3"/>
  <c r="A4256" i="3"/>
  <c r="A4248" i="3"/>
  <c r="A4240" i="3"/>
  <c r="A4232" i="3"/>
  <c r="A4224" i="3"/>
  <c r="A4216" i="3"/>
  <c r="A4208" i="3"/>
  <c r="A4200" i="3"/>
  <c r="A4192" i="3"/>
  <c r="A4184" i="3"/>
  <c r="A4176" i="3"/>
  <c r="A4168" i="3"/>
  <c r="A4160" i="3"/>
  <c r="A4152" i="3"/>
  <c r="A4144" i="3"/>
  <c r="A4136" i="3"/>
  <c r="A4128" i="3"/>
  <c r="A4120" i="3"/>
  <c r="A4112" i="3"/>
  <c r="A4104" i="3"/>
  <c r="A4096" i="3"/>
  <c r="A4088" i="3"/>
  <c r="A4080" i="3"/>
  <c r="A4072" i="3"/>
  <c r="A4064" i="3"/>
  <c r="A4056" i="3"/>
  <c r="A4048" i="3"/>
  <c r="A4040" i="3"/>
  <c r="A4032" i="3"/>
  <c r="A4024" i="3"/>
  <c r="A4016" i="3"/>
  <c r="A4008" i="3"/>
  <c r="A4000" i="3"/>
  <c r="A3992" i="3"/>
  <c r="A3984" i="3"/>
  <c r="A3976" i="3"/>
  <c r="A3968" i="3"/>
  <c r="A3960" i="3"/>
  <c r="A3952" i="3"/>
  <c r="A3944" i="3"/>
  <c r="A3936" i="3"/>
  <c r="A3928" i="3"/>
  <c r="A3920" i="3"/>
  <c r="A3912" i="3"/>
  <c r="A3904" i="3"/>
  <c r="A3896" i="3"/>
  <c r="A3888" i="3"/>
  <c r="A3880" i="3"/>
  <c r="A3872" i="3"/>
  <c r="A3864" i="3"/>
  <c r="A3856" i="3"/>
  <c r="A3848" i="3"/>
  <c r="A3840" i="3"/>
  <c r="A3832" i="3"/>
  <c r="A3824" i="3"/>
  <c r="A3816" i="3"/>
  <c r="A3808" i="3"/>
  <c r="A8133" i="3"/>
  <c r="A7356" i="3"/>
  <c r="A6918" i="3"/>
  <c r="A6695" i="3"/>
  <c r="A6567" i="3"/>
  <c r="A6423" i="3"/>
  <c r="A6304" i="3"/>
  <c r="A6216" i="3"/>
  <c r="A6130" i="3"/>
  <c r="A6067" i="3"/>
  <c r="A6019" i="3"/>
  <c r="A5960" i="3"/>
  <c r="A5898" i="3"/>
  <c r="A5850" i="3"/>
  <c r="A5806" i="3"/>
  <c r="A5768" i="3"/>
  <c r="A5739" i="3"/>
  <c r="A5703" i="3"/>
  <c r="A5666" i="3"/>
  <c r="A5638" i="3"/>
  <c r="A5600" i="3"/>
  <c r="A5563" i="3"/>
  <c r="A5535" i="3"/>
  <c r="A5498" i="3"/>
  <c r="A5462" i="3"/>
  <c r="A5432" i="3"/>
  <c r="A5395" i="3"/>
  <c r="A5359" i="3"/>
  <c r="A5330" i="3"/>
  <c r="A5294" i="3"/>
  <c r="A5256" i="3"/>
  <c r="A5229" i="3"/>
  <c r="A5206" i="3"/>
  <c r="A5183" i="3"/>
  <c r="A5165" i="3"/>
  <c r="A5142" i="3"/>
  <c r="A5119" i="3"/>
  <c r="A5101" i="3"/>
  <c r="A5085" i="3"/>
  <c r="A5069" i="3"/>
  <c r="A5053" i="3"/>
  <c r="A5037" i="3"/>
  <c r="A5021" i="3"/>
  <c r="A5005" i="3"/>
  <c r="A4989" i="3"/>
  <c r="A4973" i="3"/>
  <c r="A4957" i="3"/>
  <c r="A4941" i="3"/>
  <c r="A4925" i="3"/>
  <c r="A4909" i="3"/>
  <c r="A4893" i="3"/>
  <c r="A4877" i="3"/>
  <c r="A4861" i="3"/>
  <c r="A4847" i="3"/>
  <c r="A4833" i="3"/>
  <c r="A4822" i="3"/>
  <c r="A4808" i="3"/>
  <c r="A4797" i="3"/>
  <c r="A4783" i="3"/>
  <c r="A4769" i="3"/>
  <c r="A4758" i="3"/>
  <c r="A4744" i="3"/>
  <c r="A4733" i="3"/>
  <c r="A4719" i="3"/>
  <c r="A4705" i="3"/>
  <c r="A4694" i="3"/>
  <c r="A4680" i="3"/>
  <c r="A4669" i="3"/>
  <c r="A4655" i="3"/>
  <c r="A4645" i="3"/>
  <c r="A4633" i="3"/>
  <c r="A4623" i="3"/>
  <c r="A4613" i="3"/>
  <c r="A4601" i="3"/>
  <c r="A4591" i="3"/>
  <c r="A4581" i="3"/>
  <c r="A4569" i="3"/>
  <c r="A4559" i="3"/>
  <c r="A4549" i="3"/>
  <c r="A4537" i="3"/>
  <c r="A4527" i="3"/>
  <c r="A4519" i="3"/>
  <c r="A4511" i="3"/>
  <c r="A4503" i="3"/>
  <c r="A4495" i="3"/>
  <c r="A4487" i="3"/>
  <c r="A4479" i="3"/>
  <c r="A4471" i="3"/>
  <c r="A4463" i="3"/>
  <c r="A4455" i="3"/>
  <c r="A4447" i="3"/>
  <c r="A4439" i="3"/>
  <c r="A4431" i="3"/>
  <c r="A4423" i="3"/>
  <c r="A4415" i="3"/>
  <c r="A4407" i="3"/>
  <c r="A4399" i="3"/>
  <c r="A4391" i="3"/>
  <c r="A4383" i="3"/>
  <c r="A4375" i="3"/>
  <c r="A4367" i="3"/>
  <c r="A4359" i="3"/>
  <c r="A4351" i="3"/>
  <c r="A4343" i="3"/>
  <c r="A4335" i="3"/>
  <c r="A4327" i="3"/>
  <c r="A4319" i="3"/>
  <c r="A4311" i="3"/>
  <c r="A4303" i="3"/>
  <c r="A4295" i="3"/>
  <c r="A4287" i="3"/>
  <c r="A4279" i="3"/>
  <c r="A4271" i="3"/>
  <c r="A4263" i="3"/>
  <c r="A4255" i="3"/>
  <c r="A4247" i="3"/>
  <c r="A4239" i="3"/>
  <c r="A4231" i="3"/>
  <c r="A4223" i="3"/>
  <c r="A4215" i="3"/>
  <c r="A4207" i="3"/>
  <c r="A4199" i="3"/>
  <c r="A4191" i="3"/>
  <c r="A4183" i="3"/>
  <c r="A4175" i="3"/>
  <c r="A4167" i="3"/>
  <c r="A4159" i="3"/>
  <c r="A4151" i="3"/>
  <c r="A4143" i="3"/>
  <c r="A4135" i="3"/>
  <c r="A4127" i="3"/>
  <c r="A4119" i="3"/>
  <c r="A4111" i="3"/>
  <c r="A4103" i="3"/>
  <c r="A4095" i="3"/>
  <c r="A4087" i="3"/>
  <c r="A4079" i="3"/>
  <c r="A4071" i="3"/>
  <c r="A4063" i="3"/>
  <c r="A4055" i="3"/>
  <c r="A4047" i="3"/>
  <c r="A4039" i="3"/>
  <c r="A4031" i="3"/>
  <c r="A4023" i="3"/>
  <c r="A4015" i="3"/>
  <c r="A4007" i="3"/>
  <c r="A3999" i="3"/>
  <c r="A3991" i="3"/>
  <c r="A3983" i="3"/>
  <c r="A3975" i="3"/>
  <c r="A3967" i="3"/>
  <c r="A3959" i="3"/>
  <c r="A3951" i="3"/>
  <c r="A3943" i="3"/>
  <c r="A3935" i="3"/>
  <c r="A3927" i="3"/>
  <c r="A3919" i="3"/>
  <c r="A3911" i="3"/>
  <c r="A3903" i="3"/>
  <c r="A3895" i="3"/>
  <c r="A3887" i="3"/>
  <c r="A3879" i="3"/>
  <c r="A3871" i="3"/>
  <c r="A3863" i="3"/>
  <c r="A3855" i="3"/>
  <c r="A3847" i="3"/>
  <c r="A3839" i="3"/>
  <c r="A3831" i="3"/>
  <c r="A3823" i="3"/>
  <c r="A3815" i="3"/>
  <c r="A3807" i="3"/>
  <c r="A8125" i="3"/>
  <c r="A7206" i="3"/>
  <c r="A6895" i="3"/>
  <c r="A6689" i="3"/>
  <c r="A6522" i="3"/>
  <c r="A6418" i="3"/>
  <c r="A6295" i="3"/>
  <c r="A6191" i="3"/>
  <c r="A6128" i="3"/>
  <c r="A6066" i="3"/>
  <c r="A6003" i="3"/>
  <c r="A5955" i="3"/>
  <c r="A5896" i="3"/>
  <c r="A5834" i="3"/>
  <c r="A5803" i="3"/>
  <c r="A5767" i="3"/>
  <c r="A5730" i="3"/>
  <c r="A5702" i="3"/>
  <c r="A5664" i="3"/>
  <c r="A5627" i="3"/>
  <c r="A5599" i="3"/>
  <c r="A5562" i="3"/>
  <c r="A5526" i="3"/>
  <c r="A5496" i="3"/>
  <c r="A5459" i="3"/>
  <c r="A5423" i="3"/>
  <c r="A5394" i="3"/>
  <c r="A5358" i="3"/>
  <c r="A5320" i="3"/>
  <c r="A5291" i="3"/>
  <c r="A5255" i="3"/>
  <c r="A5223" i="3"/>
  <c r="A5205" i="3"/>
  <c r="A5182" i="3"/>
  <c r="A5159" i="3"/>
  <c r="A5141" i="3"/>
  <c r="A5118" i="3"/>
  <c r="A5097" i="3"/>
  <c r="A5081" i="3"/>
  <c r="A5065" i="3"/>
  <c r="A5049" i="3"/>
  <c r="A5033" i="3"/>
  <c r="A5017" i="3"/>
  <c r="A5001" i="3"/>
  <c r="A4985" i="3"/>
  <c r="A4969" i="3"/>
  <c r="A4953" i="3"/>
  <c r="A4937" i="3"/>
  <c r="A4921" i="3"/>
  <c r="A4905" i="3"/>
  <c r="A4889" i="3"/>
  <c r="A4873" i="3"/>
  <c r="A4857" i="3"/>
  <c r="A4846" i="3"/>
  <c r="A4832" i="3"/>
  <c r="A4821" i="3"/>
  <c r="A4807" i="3"/>
  <c r="A4793" i="3"/>
  <c r="A4782" i="3"/>
  <c r="A4768" i="3"/>
  <c r="A4757" i="3"/>
  <c r="A4743" i="3"/>
  <c r="A4729" i="3"/>
  <c r="A4718" i="3"/>
  <c r="A4704" i="3"/>
  <c r="A4693" i="3"/>
  <c r="A4679" i="3"/>
  <c r="A4665" i="3"/>
  <c r="A4654" i="3"/>
  <c r="A4642" i="3"/>
  <c r="A4632" i="3"/>
  <c r="A4622" i="3"/>
  <c r="A4610" i="3"/>
  <c r="A4600" i="3"/>
  <c r="A4590" i="3"/>
  <c r="A4578" i="3"/>
  <c r="A4568" i="3"/>
  <c r="A4558" i="3"/>
  <c r="A4546" i="3"/>
  <c r="A4536" i="3"/>
  <c r="A4526" i="3"/>
  <c r="A4518" i="3"/>
  <c r="A4510" i="3"/>
  <c r="A4502" i="3"/>
  <c r="A4494" i="3"/>
  <c r="A4486" i="3"/>
  <c r="A4478" i="3"/>
  <c r="A4470" i="3"/>
  <c r="A4462" i="3"/>
  <c r="A4454" i="3"/>
  <c r="A4446" i="3"/>
  <c r="A4438" i="3"/>
  <c r="A4430" i="3"/>
  <c r="A4422" i="3"/>
  <c r="A4414" i="3"/>
  <c r="A4406" i="3"/>
  <c r="A4398" i="3"/>
  <c r="A4390" i="3"/>
  <c r="A4382" i="3"/>
  <c r="A4374" i="3"/>
  <c r="A4366" i="3"/>
  <c r="A4358" i="3"/>
  <c r="A4350" i="3"/>
  <c r="A4342" i="3"/>
  <c r="A4334" i="3"/>
  <c r="A4326" i="3"/>
  <c r="A4318" i="3"/>
  <c r="A4310" i="3"/>
  <c r="A4302" i="3"/>
  <c r="A4294" i="3"/>
  <c r="A4286" i="3"/>
  <c r="A4278" i="3"/>
  <c r="A4270" i="3"/>
  <c r="A4262" i="3"/>
  <c r="A4254" i="3"/>
  <c r="A4246" i="3"/>
  <c r="A4238" i="3"/>
  <c r="A4230" i="3"/>
  <c r="A4222" i="3"/>
  <c r="A4214" i="3"/>
  <c r="A4206" i="3"/>
  <c r="A4198" i="3"/>
  <c r="A4190" i="3"/>
  <c r="A4182" i="3"/>
  <c r="A4174" i="3"/>
  <c r="A4166" i="3"/>
  <c r="A4158" i="3"/>
  <c r="A4150" i="3"/>
  <c r="A4142" i="3"/>
  <c r="A4134" i="3"/>
  <c r="A4126" i="3"/>
  <c r="A4118" i="3"/>
  <c r="A4110" i="3"/>
  <c r="A4102" i="3"/>
  <c r="A4094" i="3"/>
  <c r="A4086" i="3"/>
  <c r="A4078" i="3"/>
  <c r="A4070" i="3"/>
  <c r="A4062" i="3"/>
  <c r="A4054" i="3"/>
  <c r="A4046" i="3"/>
  <c r="A4038" i="3"/>
  <c r="A4030" i="3"/>
  <c r="A4022" i="3"/>
  <c r="A4014" i="3"/>
  <c r="A4006" i="3"/>
  <c r="A3998" i="3"/>
  <c r="A3990" i="3"/>
  <c r="A3982" i="3"/>
  <c r="A3974" i="3"/>
  <c r="A3966" i="3"/>
  <c r="A3958" i="3"/>
  <c r="A3950" i="3"/>
  <c r="A3942" i="3"/>
  <c r="A3934" i="3"/>
  <c r="A3926" i="3"/>
  <c r="A3918" i="3"/>
  <c r="A3910" i="3"/>
  <c r="A3902" i="3"/>
  <c r="A3894" i="3"/>
  <c r="A3886" i="3"/>
  <c r="A3878" i="3"/>
  <c r="A3870" i="3"/>
  <c r="A3862" i="3"/>
  <c r="A3854" i="3"/>
  <c r="A3846" i="3"/>
  <c r="A3838" i="3"/>
  <c r="A3830" i="3"/>
  <c r="A3822" i="3"/>
  <c r="A3814" i="3"/>
  <c r="A3806" i="3"/>
  <c r="A8028" i="3"/>
  <c r="A7187" i="3"/>
  <c r="A6812" i="3"/>
  <c r="A6674" i="3"/>
  <c r="A6519" i="3"/>
  <c r="A6386" i="3"/>
  <c r="A6290" i="3"/>
  <c r="A6183" i="3"/>
  <c r="A6112" i="3"/>
  <c r="A6064" i="3"/>
  <c r="A6002" i="3"/>
  <c r="A5939" i="3"/>
  <c r="A5891" i="3"/>
  <c r="A5832" i="3"/>
  <c r="A5794" i="3"/>
  <c r="A5766" i="3"/>
  <c r="A5728" i="3"/>
  <c r="A5691" i="3"/>
  <c r="A5663" i="3"/>
  <c r="A5626" i="3"/>
  <c r="A5590" i="3"/>
  <c r="A5560" i="3"/>
  <c r="A5523" i="3"/>
  <c r="A5487" i="3"/>
  <c r="A5458" i="3"/>
  <c r="A5422" i="3"/>
  <c r="A5384" i="3"/>
  <c r="A5355" i="3"/>
  <c r="A5319" i="3"/>
  <c r="A5282" i="3"/>
  <c r="A5254" i="3"/>
  <c r="A5222" i="3"/>
  <c r="A5199" i="3"/>
  <c r="A5181" i="3"/>
  <c r="A5158" i="3"/>
  <c r="A5135" i="3"/>
  <c r="A5117" i="3"/>
  <c r="A5095" i="3"/>
  <c r="A5079" i="3"/>
  <c r="A5063" i="3"/>
  <c r="A5047" i="3"/>
  <c r="A5031" i="3"/>
  <c r="A5015" i="3"/>
  <c r="A4999" i="3"/>
  <c r="A4983" i="3"/>
  <c r="A4967" i="3"/>
  <c r="A4951" i="3"/>
  <c r="A4935" i="3"/>
  <c r="A4919" i="3"/>
  <c r="A4903" i="3"/>
  <c r="A4887" i="3"/>
  <c r="A4871" i="3"/>
  <c r="A4856" i="3"/>
  <c r="A4845" i="3"/>
  <c r="A4831" i="3"/>
  <c r="A4817" i="3"/>
  <c r="A4806" i="3"/>
  <c r="A4792" i="3"/>
  <c r="A4781" i="3"/>
  <c r="A4767" i="3"/>
  <c r="A4753" i="3"/>
  <c r="A4742" i="3"/>
  <c r="A4728" i="3"/>
  <c r="A4717" i="3"/>
  <c r="A4703" i="3"/>
  <c r="A4689" i="3"/>
  <c r="A4678" i="3"/>
  <c r="A4664" i="3"/>
  <c r="A4653" i="3"/>
  <c r="A4641" i="3"/>
  <c r="A4631" i="3"/>
  <c r="A4621" i="3"/>
  <c r="A4609" i="3"/>
  <c r="A4599" i="3"/>
  <c r="A4589" i="3"/>
  <c r="A4577" i="3"/>
  <c r="A4567" i="3"/>
  <c r="A4557" i="3"/>
  <c r="A4545" i="3"/>
  <c r="A4535" i="3"/>
  <c r="A4525" i="3"/>
  <c r="A4517" i="3"/>
  <c r="A4509" i="3"/>
  <c r="A4501" i="3"/>
  <c r="A4493" i="3"/>
  <c r="A4485" i="3"/>
  <c r="A4477" i="3"/>
  <c r="A4469" i="3"/>
  <c r="A4461" i="3"/>
  <c r="A4453" i="3"/>
  <c r="A4445" i="3"/>
  <c r="A4437" i="3"/>
  <c r="A4429" i="3"/>
  <c r="A4421" i="3"/>
  <c r="A4413" i="3"/>
  <c r="A4405" i="3"/>
  <c r="A4397" i="3"/>
  <c r="A4389" i="3"/>
  <c r="A4381" i="3"/>
  <c r="A4373" i="3"/>
  <c r="A4365" i="3"/>
  <c r="A4357" i="3"/>
  <c r="A4349" i="3"/>
  <c r="A4341" i="3"/>
  <c r="A4333" i="3"/>
  <c r="A4325" i="3"/>
  <c r="A4317" i="3"/>
  <c r="A4309" i="3"/>
  <c r="A4301" i="3"/>
  <c r="A4293" i="3"/>
  <c r="A4285" i="3"/>
  <c r="A4277" i="3"/>
  <c r="A4269" i="3"/>
  <c r="A4261" i="3"/>
  <c r="A4253" i="3"/>
  <c r="A4245" i="3"/>
  <c r="A4237" i="3"/>
  <c r="A4229" i="3"/>
  <c r="A4221" i="3"/>
  <c r="A4213" i="3"/>
  <c r="A4205" i="3"/>
  <c r="A4197" i="3"/>
  <c r="A4189" i="3"/>
  <c r="A4181" i="3"/>
  <c r="A4173" i="3"/>
  <c r="A4165" i="3"/>
  <c r="A4157" i="3"/>
  <c r="A4149" i="3"/>
  <c r="A4141" i="3"/>
  <c r="A4133" i="3"/>
  <c r="A4125" i="3"/>
  <c r="A4117" i="3"/>
  <c r="A4109" i="3"/>
  <c r="A4101" i="3"/>
  <c r="A4093" i="3"/>
  <c r="A4085" i="3"/>
  <c r="A4077" i="3"/>
  <c r="A4069" i="3"/>
  <c r="A4061" i="3"/>
  <c r="A4053" i="3"/>
  <c r="A4045" i="3"/>
  <c r="A4037" i="3"/>
  <c r="A4029" i="3"/>
  <c r="A4021" i="3"/>
  <c r="A4013" i="3"/>
  <c r="A4005" i="3"/>
  <c r="A3997" i="3"/>
  <c r="A3989" i="3"/>
  <c r="A3981" i="3"/>
  <c r="A3973" i="3"/>
  <c r="A3965" i="3"/>
  <c r="A3957" i="3"/>
  <c r="A3949" i="3"/>
  <c r="A3941" i="3"/>
  <c r="A3933" i="3"/>
  <c r="A3925" i="3"/>
  <c r="A3917" i="3"/>
  <c r="A3909" i="3"/>
  <c r="A3901" i="3"/>
  <c r="A3893" i="3"/>
  <c r="A3885" i="3"/>
  <c r="A3877" i="3"/>
  <c r="A3869" i="3"/>
  <c r="A3861" i="3"/>
  <c r="A3853" i="3"/>
  <c r="A3845" i="3"/>
  <c r="A3837" i="3"/>
  <c r="A3829" i="3"/>
  <c r="A3821" i="3"/>
  <c r="A3813" i="3"/>
  <c r="A7719" i="3"/>
  <c r="A7175" i="3"/>
  <c r="A6810" i="3"/>
  <c r="A6633" i="3"/>
  <c r="A6505" i="3"/>
  <c r="A6384" i="3"/>
  <c r="A6258" i="3"/>
  <c r="A6181" i="3"/>
  <c r="A6107" i="3"/>
  <c r="A6048" i="3"/>
  <c r="A6000" i="3"/>
  <c r="A5938" i="3"/>
  <c r="A5875" i="3"/>
  <c r="A5831" i="3"/>
  <c r="A5792" i="3"/>
  <c r="A5755" i="3"/>
  <c r="A5727" i="3"/>
  <c r="A5690" i="3"/>
  <c r="A5654" i="3"/>
  <c r="A5624" i="3"/>
  <c r="A5587" i="3"/>
  <c r="A5551" i="3"/>
  <c r="A5522" i="3"/>
  <c r="A5486" i="3"/>
  <c r="A5448" i="3"/>
  <c r="A5419" i="3"/>
  <c r="A5383" i="3"/>
  <c r="A5346" i="3"/>
  <c r="A5318" i="3"/>
  <c r="A5280" i="3"/>
  <c r="A5243" i="3"/>
  <c r="A5221" i="3"/>
  <c r="A5198" i="3"/>
  <c r="A5175" i="3"/>
  <c r="A5157" i="3"/>
  <c r="A5134" i="3"/>
  <c r="A5111" i="3"/>
  <c r="A5094" i="3"/>
  <c r="A5078" i="3"/>
  <c r="A5062" i="3"/>
  <c r="A5046" i="3"/>
  <c r="A5030" i="3"/>
  <c r="A5014" i="3"/>
  <c r="A4998" i="3"/>
  <c r="A4982" i="3"/>
  <c r="A4966" i="3"/>
  <c r="A4950" i="3"/>
  <c r="A4934" i="3"/>
  <c r="A4918" i="3"/>
  <c r="A4902" i="3"/>
  <c r="A4886" i="3"/>
  <c r="A6631" i="3"/>
  <c r="A6154" i="3"/>
  <c r="A5936" i="3"/>
  <c r="A5754" i="3"/>
  <c r="A5615" i="3"/>
  <c r="A5483" i="3"/>
  <c r="A5344" i="3"/>
  <c r="A5215" i="3"/>
  <c r="A5133" i="3"/>
  <c r="A5061" i="3"/>
  <c r="A4997" i="3"/>
  <c r="A4933" i="3"/>
  <c r="A4870" i="3"/>
  <c r="A4839" i="3"/>
  <c r="A4801" i="3"/>
  <c r="A4766" i="3"/>
  <c r="A4736" i="3"/>
  <c r="A4701" i="3"/>
  <c r="A4663" i="3"/>
  <c r="A4638" i="3"/>
  <c r="A4607" i="3"/>
  <c r="A4576" i="3"/>
  <c r="A4552" i="3"/>
  <c r="A4523" i="3"/>
  <c r="A4500" i="3"/>
  <c r="A4482" i="3"/>
  <c r="A4459" i="3"/>
  <c r="A4436" i="3"/>
  <c r="A4418" i="3"/>
  <c r="A4395" i="3"/>
  <c r="A4372" i="3"/>
  <c r="A4354" i="3"/>
  <c r="A4331" i="3"/>
  <c r="A4308" i="3"/>
  <c r="A4290" i="3"/>
  <c r="A4267" i="3"/>
  <c r="A4244" i="3"/>
  <c r="A4226" i="3"/>
  <c r="A4203" i="3"/>
  <c r="A4180" i="3"/>
  <c r="A4162" i="3"/>
  <c r="A4139" i="3"/>
  <c r="A4116" i="3"/>
  <c r="A4098" i="3"/>
  <c r="A4075" i="3"/>
  <c r="A4052" i="3"/>
  <c r="A4034" i="3"/>
  <c r="A4011" i="3"/>
  <c r="A3988" i="3"/>
  <c r="A3970" i="3"/>
  <c r="A3947" i="3"/>
  <c r="A3924" i="3"/>
  <c r="A3906" i="3"/>
  <c r="A3883" i="3"/>
  <c r="A3860" i="3"/>
  <c r="A3842" i="3"/>
  <c r="A3819" i="3"/>
  <c r="A3802" i="3"/>
  <c r="A3794" i="3"/>
  <c r="A3786" i="3"/>
  <c r="A3778" i="3"/>
  <c r="A3770" i="3"/>
  <c r="A3762" i="3"/>
  <c r="A3754" i="3"/>
  <c r="A3746" i="3"/>
  <c r="A3738" i="3"/>
  <c r="A3730" i="3"/>
  <c r="A3722" i="3"/>
  <c r="A3714" i="3"/>
  <c r="A3706" i="3"/>
  <c r="A3698" i="3"/>
  <c r="A3690" i="3"/>
  <c r="A3682" i="3"/>
  <c r="A3674" i="3"/>
  <c r="A3666" i="3"/>
  <c r="A3658" i="3"/>
  <c r="A3650" i="3"/>
  <c r="A3642" i="3"/>
  <c r="A3634" i="3"/>
  <c r="A3626" i="3"/>
  <c r="A3618" i="3"/>
  <c r="A3610" i="3"/>
  <c r="A3602" i="3"/>
  <c r="A3594" i="3"/>
  <c r="A3586" i="3"/>
  <c r="A3578" i="3"/>
  <c r="A3570" i="3"/>
  <c r="A3562" i="3"/>
  <c r="A3554" i="3"/>
  <c r="A3546" i="3"/>
  <c r="A3538" i="3"/>
  <c r="A3530" i="3"/>
  <c r="A3522" i="3"/>
  <c r="A3514" i="3"/>
  <c r="A3506" i="3"/>
  <c r="A3498" i="3"/>
  <c r="A3490" i="3"/>
  <c r="A3482" i="3"/>
  <c r="A3474" i="3"/>
  <c r="A3466" i="3"/>
  <c r="A3458" i="3"/>
  <c r="A3450" i="3"/>
  <c r="A3442" i="3"/>
  <c r="A3434" i="3"/>
  <c r="A3426" i="3"/>
  <c r="A3418" i="3"/>
  <c r="A3410" i="3"/>
  <c r="A3402" i="3"/>
  <c r="A3394" i="3"/>
  <c r="A3386" i="3"/>
  <c r="A3378" i="3"/>
  <c r="A3370" i="3"/>
  <c r="A3362" i="3"/>
  <c r="A3354" i="3"/>
  <c r="A3346" i="3"/>
  <c r="A3338" i="3"/>
  <c r="A3330" i="3"/>
  <c r="A3322" i="3"/>
  <c r="A3314" i="3"/>
  <c r="A3306" i="3"/>
  <c r="A3298" i="3"/>
  <c r="A3290" i="3"/>
  <c r="A3282" i="3"/>
  <c r="A3274" i="3"/>
  <c r="A3266" i="3"/>
  <c r="A3258" i="3"/>
  <c r="A3250" i="3"/>
  <c r="A3242" i="3"/>
  <c r="A3234" i="3"/>
  <c r="A3226" i="3"/>
  <c r="A3218" i="3"/>
  <c r="A3210" i="3"/>
  <c r="A3202" i="3"/>
  <c r="A3194" i="3"/>
  <c r="A3186" i="3"/>
  <c r="A3178" i="3"/>
  <c r="A3170" i="3"/>
  <c r="A3162" i="3"/>
  <c r="A3154" i="3"/>
  <c r="A3146" i="3"/>
  <c r="A3138" i="3"/>
  <c r="A3130" i="3"/>
  <c r="A3122" i="3"/>
  <c r="A3114" i="3"/>
  <c r="A3106" i="3"/>
  <c r="A3098" i="3"/>
  <c r="A3090" i="3"/>
  <c r="A3082" i="3"/>
  <c r="A3074" i="3"/>
  <c r="A3066" i="3"/>
  <c r="A3058" i="3"/>
  <c r="A3050" i="3"/>
  <c r="A3042" i="3"/>
  <c r="A3034" i="3"/>
  <c r="A3026" i="3"/>
  <c r="A3018" i="3"/>
  <c r="A3010" i="3"/>
  <c r="A3002" i="3"/>
  <c r="A2994" i="3"/>
  <c r="A2986" i="3"/>
  <c r="A2978" i="3"/>
  <c r="A2970" i="3"/>
  <c r="A2962" i="3"/>
  <c r="A2954" i="3"/>
  <c r="A2946" i="3"/>
  <c r="A2938" i="3"/>
  <c r="A2930" i="3"/>
  <c r="A2922" i="3"/>
  <c r="A2914" i="3"/>
  <c r="A2906" i="3"/>
  <c r="A2898" i="3"/>
  <c r="A2890" i="3"/>
  <c r="A2882" i="3"/>
  <c r="A2874" i="3"/>
  <c r="A2866" i="3"/>
  <c r="A2858" i="3"/>
  <c r="A2850" i="3"/>
  <c r="A2842" i="3"/>
  <c r="A2834" i="3"/>
  <c r="A2826" i="3"/>
  <c r="A2818" i="3"/>
  <c r="A2810" i="3"/>
  <c r="A2802" i="3"/>
  <c r="A2794" i="3"/>
  <c r="A2786" i="3"/>
  <c r="A2778" i="3"/>
  <c r="A2770" i="3"/>
  <c r="A2762" i="3"/>
  <c r="A2754" i="3"/>
  <c r="A2746" i="3"/>
  <c r="A2738" i="3"/>
  <c r="A2730" i="3"/>
  <c r="A2722" i="3"/>
  <c r="A2714" i="3"/>
  <c r="A2706" i="3"/>
  <c r="A2698" i="3"/>
  <c r="A2690" i="3"/>
  <c r="A2682" i="3"/>
  <c r="A2674" i="3"/>
  <c r="A2666" i="3"/>
  <c r="A2658" i="3"/>
  <c r="A2650" i="3"/>
  <c r="A2642" i="3"/>
  <c r="A2634" i="3"/>
  <c r="A2626" i="3"/>
  <c r="A2618" i="3"/>
  <c r="A2610" i="3"/>
  <c r="A2602" i="3"/>
  <c r="A2594" i="3"/>
  <c r="A2586" i="3"/>
  <c r="A2578" i="3"/>
  <c r="A2570" i="3"/>
  <c r="A2562" i="3"/>
  <c r="A2554" i="3"/>
  <c r="A2546" i="3"/>
  <c r="A2538" i="3"/>
  <c r="A2530" i="3"/>
  <c r="A2522" i="3"/>
  <c r="A2514" i="3"/>
  <c r="A2506" i="3"/>
  <c r="A2498" i="3"/>
  <c r="A2490" i="3"/>
  <c r="A2482" i="3"/>
  <c r="A2474" i="3"/>
  <c r="A2466" i="3"/>
  <c r="A2458" i="3"/>
  <c r="A2450" i="3"/>
  <c r="A2442" i="3"/>
  <c r="A2434" i="3"/>
  <c r="A2426" i="3"/>
  <c r="A2418" i="3"/>
  <c r="A2410" i="3"/>
  <c r="A2402" i="3"/>
  <c r="A2394" i="3"/>
  <c r="A2386" i="3"/>
  <c r="A2378" i="3"/>
  <c r="A2370" i="3"/>
  <c r="A2362" i="3"/>
  <c r="A2354" i="3"/>
  <c r="A2346" i="3"/>
  <c r="A2338" i="3"/>
  <c r="A2330" i="3"/>
  <c r="A2322" i="3"/>
  <c r="A2314" i="3"/>
  <c r="A2306" i="3"/>
  <c r="A2298" i="3"/>
  <c r="A2290" i="3"/>
  <c r="A2282" i="3"/>
  <c r="A2274" i="3"/>
  <c r="A2266" i="3"/>
  <c r="A2258" i="3"/>
  <c r="A2250" i="3"/>
  <c r="A2242" i="3"/>
  <c r="A2234" i="3"/>
  <c r="A2226" i="3"/>
  <c r="A2218" i="3"/>
  <c r="A2210" i="3"/>
  <c r="A2202" i="3"/>
  <c r="A2194" i="3"/>
  <c r="A2186" i="3"/>
  <c r="A2178" i="3"/>
  <c r="A2170" i="3"/>
  <c r="A2162" i="3"/>
  <c r="A2154" i="3"/>
  <c r="A2146" i="3"/>
  <c r="A2138" i="3"/>
  <c r="A2130" i="3"/>
  <c r="A2122" i="3"/>
  <c r="A2114" i="3"/>
  <c r="A2106" i="3"/>
  <c r="A2098" i="3"/>
  <c r="A2090" i="3"/>
  <c r="A2082" i="3"/>
  <c r="A2074" i="3"/>
  <c r="A2066" i="3"/>
  <c r="A2058" i="3"/>
  <c r="A2050" i="3"/>
  <c r="A2042" i="3"/>
  <c r="A2034" i="3"/>
  <c r="A2026" i="3"/>
  <c r="A2018" i="3"/>
  <c r="A2010" i="3"/>
  <c r="A2002" i="3"/>
  <c r="A1994" i="3"/>
  <c r="A1986" i="3"/>
  <c r="A1978" i="3"/>
  <c r="A1970" i="3"/>
  <c r="A1962" i="3"/>
  <c r="A1954" i="3"/>
  <c r="A1946" i="3"/>
  <c r="A1938" i="3"/>
  <c r="A1930" i="3"/>
  <c r="A1922" i="3"/>
  <c r="A1914" i="3"/>
  <c r="A1906" i="3"/>
  <c r="A1898" i="3"/>
  <c r="A1890" i="3"/>
  <c r="A1882" i="3"/>
  <c r="A1874" i="3"/>
  <c r="A1866" i="3"/>
  <c r="A1858" i="3"/>
  <c r="A1850" i="3"/>
  <c r="A1842" i="3"/>
  <c r="A1834" i="3"/>
  <c r="A1826" i="3"/>
  <c r="A1818" i="3"/>
  <c r="A1810" i="3"/>
  <c r="A1802" i="3"/>
  <c r="A1794" i="3"/>
  <c r="A1786" i="3"/>
  <c r="A1778" i="3"/>
  <c r="A1770" i="3"/>
  <c r="A1762" i="3"/>
  <c r="A1754" i="3"/>
  <c r="A1746" i="3"/>
  <c r="A1738" i="3"/>
  <c r="A1730" i="3"/>
  <c r="A1722" i="3"/>
  <c r="A1714" i="3"/>
  <c r="A1706" i="3"/>
  <c r="A1698" i="3"/>
  <c r="A1690" i="3"/>
  <c r="A1682" i="3"/>
  <c r="A1674" i="3"/>
  <c r="A1666" i="3"/>
  <c r="A1658" i="3"/>
  <c r="A1650" i="3"/>
  <c r="A1642" i="3"/>
  <c r="A1634" i="3"/>
  <c r="A1626" i="3"/>
  <c r="A1618" i="3"/>
  <c r="A1610" i="3"/>
  <c r="A1602" i="3"/>
  <c r="A1594" i="3"/>
  <c r="A1586" i="3"/>
  <c r="A1578" i="3"/>
  <c r="A1570" i="3"/>
  <c r="A1562" i="3"/>
  <c r="A1554" i="3"/>
  <c r="A1546" i="3"/>
  <c r="A6625" i="3"/>
  <c r="A6152" i="3"/>
  <c r="A5920" i="3"/>
  <c r="A5752" i="3"/>
  <c r="A5614" i="3"/>
  <c r="A5474" i="3"/>
  <c r="A5343" i="3"/>
  <c r="A5214" i="3"/>
  <c r="A5127" i="3"/>
  <c r="A5057" i="3"/>
  <c r="A4993" i="3"/>
  <c r="A4929" i="3"/>
  <c r="A4869" i="3"/>
  <c r="A4830" i="3"/>
  <c r="A4800" i="3"/>
  <c r="A4765" i="3"/>
  <c r="A4727" i="3"/>
  <c r="A4697" i="3"/>
  <c r="A4662" i="3"/>
  <c r="A4630" i="3"/>
  <c r="A4606" i="3"/>
  <c r="A4575" i="3"/>
  <c r="A4544" i="3"/>
  <c r="A4522" i="3"/>
  <c r="A4499" i="3"/>
  <c r="A4476" i="3"/>
  <c r="A4458" i="3"/>
  <c r="A4435" i="3"/>
  <c r="A4412" i="3"/>
  <c r="A4394" i="3"/>
  <c r="A4371" i="3"/>
  <c r="A4348" i="3"/>
  <c r="A4330" i="3"/>
  <c r="A4307" i="3"/>
  <c r="A4284" i="3"/>
  <c r="A4266" i="3"/>
  <c r="A4243" i="3"/>
  <c r="A4220" i="3"/>
  <c r="A4202" i="3"/>
  <c r="A4179" i="3"/>
  <c r="A4156" i="3"/>
  <c r="A4138" i="3"/>
  <c r="A4115" i="3"/>
  <c r="A4092" i="3"/>
  <c r="A4074" i="3"/>
  <c r="A4051" i="3"/>
  <c r="A4028" i="3"/>
  <c r="A4010" i="3"/>
  <c r="A3987" i="3"/>
  <c r="A3964" i="3"/>
  <c r="A3946" i="3"/>
  <c r="A3923" i="3"/>
  <c r="A3900" i="3"/>
  <c r="A3882" i="3"/>
  <c r="A3859" i="3"/>
  <c r="A3836" i="3"/>
  <c r="A3818" i="3"/>
  <c r="A3801" i="3"/>
  <c r="A3793" i="3"/>
  <c r="A3785" i="3"/>
  <c r="A3777" i="3"/>
  <c r="A3769" i="3"/>
  <c r="A3761" i="3"/>
  <c r="A3753" i="3"/>
  <c r="A3745" i="3"/>
  <c r="A3737" i="3"/>
  <c r="A3729" i="3"/>
  <c r="A3721" i="3"/>
  <c r="A3713" i="3"/>
  <c r="A3705" i="3"/>
  <c r="A3697" i="3"/>
  <c r="A3689" i="3"/>
  <c r="A3681" i="3"/>
  <c r="A3673" i="3"/>
  <c r="A3665" i="3"/>
  <c r="A3657" i="3"/>
  <c r="A3649" i="3"/>
  <c r="A3641" i="3"/>
  <c r="A3633" i="3"/>
  <c r="A3625" i="3"/>
  <c r="A3617" i="3"/>
  <c r="A3609" i="3"/>
  <c r="A3601" i="3"/>
  <c r="A3593" i="3"/>
  <c r="A3585" i="3"/>
  <c r="A3577" i="3"/>
  <c r="A3569" i="3"/>
  <c r="A3561" i="3"/>
  <c r="A3553" i="3"/>
  <c r="A3545" i="3"/>
  <c r="A3537" i="3"/>
  <c r="A3529" i="3"/>
  <c r="A3521" i="3"/>
  <c r="A3513" i="3"/>
  <c r="A3505" i="3"/>
  <c r="A3497" i="3"/>
  <c r="A3489" i="3"/>
  <c r="A3481" i="3"/>
  <c r="A3473" i="3"/>
  <c r="A3465" i="3"/>
  <c r="A3457" i="3"/>
  <c r="A3449" i="3"/>
  <c r="A3441" i="3"/>
  <c r="A3433" i="3"/>
  <c r="A3425" i="3"/>
  <c r="A3417" i="3"/>
  <c r="A3409" i="3"/>
  <c r="A3401" i="3"/>
  <c r="A3393" i="3"/>
  <c r="A3385" i="3"/>
  <c r="A3377" i="3"/>
  <c r="A3369" i="3"/>
  <c r="A3361" i="3"/>
  <c r="A3353" i="3"/>
  <c r="A3345" i="3"/>
  <c r="A3337" i="3"/>
  <c r="A3329" i="3"/>
  <c r="A3321" i="3"/>
  <c r="A3313" i="3"/>
  <c r="A3305" i="3"/>
  <c r="A3297" i="3"/>
  <c r="A3289" i="3"/>
  <c r="A3281" i="3"/>
  <c r="A3273" i="3"/>
  <c r="A3265" i="3"/>
  <c r="A3257" i="3"/>
  <c r="A3249" i="3"/>
  <c r="A3241" i="3"/>
  <c r="A3233" i="3"/>
  <c r="A3225" i="3"/>
  <c r="A3217" i="3"/>
  <c r="A3209" i="3"/>
  <c r="A3201" i="3"/>
  <c r="A3193" i="3"/>
  <c r="A3185" i="3"/>
  <c r="A3177" i="3"/>
  <c r="A3169" i="3"/>
  <c r="A3161" i="3"/>
  <c r="A3153" i="3"/>
  <c r="A3145" i="3"/>
  <c r="A3137" i="3"/>
  <c r="A3129" i="3"/>
  <c r="A3121" i="3"/>
  <c r="A3113" i="3"/>
  <c r="A3105" i="3"/>
  <c r="A3097" i="3"/>
  <c r="A3089" i="3"/>
  <c r="A3081" i="3"/>
  <c r="A3073" i="3"/>
  <c r="A3065" i="3"/>
  <c r="A3057" i="3"/>
  <c r="A3049" i="3"/>
  <c r="A3041" i="3"/>
  <c r="A3033" i="3"/>
  <c r="A3025" i="3"/>
  <c r="A3017" i="3"/>
  <c r="A3009" i="3"/>
  <c r="A3001" i="3"/>
  <c r="A2993" i="3"/>
  <c r="A2985" i="3"/>
  <c r="A2977" i="3"/>
  <c r="A2969" i="3"/>
  <c r="A2961" i="3"/>
  <c r="A2953" i="3"/>
  <c r="A2945" i="3"/>
  <c r="A2937" i="3"/>
  <c r="A2929" i="3"/>
  <c r="A2921" i="3"/>
  <c r="A2913" i="3"/>
  <c r="A2905" i="3"/>
  <c r="A2897" i="3"/>
  <c r="A2889" i="3"/>
  <c r="A2881" i="3"/>
  <c r="A2873" i="3"/>
  <c r="A2865" i="3"/>
  <c r="A2857" i="3"/>
  <c r="A2849" i="3"/>
  <c r="A2841" i="3"/>
  <c r="A2833" i="3"/>
  <c r="A2825" i="3"/>
  <c r="A2817" i="3"/>
  <c r="A2809" i="3"/>
  <c r="A2801" i="3"/>
  <c r="A2793" i="3"/>
  <c r="A2785" i="3"/>
  <c r="A2777" i="3"/>
  <c r="A2769" i="3"/>
  <c r="A2761" i="3"/>
  <c r="A2753" i="3"/>
  <c r="A2745" i="3"/>
  <c r="A2737" i="3"/>
  <c r="A2729" i="3"/>
  <c r="A2721" i="3"/>
  <c r="A2713" i="3"/>
  <c r="A2705" i="3"/>
  <c r="A2697" i="3"/>
  <c r="A2689" i="3"/>
  <c r="A2681" i="3"/>
  <c r="A2673" i="3"/>
  <c r="A2665" i="3"/>
  <c r="A2657" i="3"/>
  <c r="A2649" i="3"/>
  <c r="A2641" i="3"/>
  <c r="A2633" i="3"/>
  <c r="A2625" i="3"/>
  <c r="A2617" i="3"/>
  <c r="A2609" i="3"/>
  <c r="A2601" i="3"/>
  <c r="A2593" i="3"/>
  <c r="A2585" i="3"/>
  <c r="A2577" i="3"/>
  <c r="A2569" i="3"/>
  <c r="A2561" i="3"/>
  <c r="A2553" i="3"/>
  <c r="A2545" i="3"/>
  <c r="A2537" i="3"/>
  <c r="A2529" i="3"/>
  <c r="A2521" i="3"/>
  <c r="A2513" i="3"/>
  <c r="A2505" i="3"/>
  <c r="A2497" i="3"/>
  <c r="A2489" i="3"/>
  <c r="A2481" i="3"/>
  <c r="A2473" i="3"/>
  <c r="A2465" i="3"/>
  <c r="A2457" i="3"/>
  <c r="A2449" i="3"/>
  <c r="A2441" i="3"/>
  <c r="A2433" i="3"/>
  <c r="A2425" i="3"/>
  <c r="A2417" i="3"/>
  <c r="A2409" i="3"/>
  <c r="A2401" i="3"/>
  <c r="A2393" i="3"/>
  <c r="A2385" i="3"/>
  <c r="A2377" i="3"/>
  <c r="A2369" i="3"/>
  <c r="A2361" i="3"/>
  <c r="A2353" i="3"/>
  <c r="A2345" i="3"/>
  <c r="A2337" i="3"/>
  <c r="A2329" i="3"/>
  <c r="A2321" i="3"/>
  <c r="A2313" i="3"/>
  <c r="A2305" i="3"/>
  <c r="A2297" i="3"/>
  <c r="A2289" i="3"/>
  <c r="A2281" i="3"/>
  <c r="A2273" i="3"/>
  <c r="A2265" i="3"/>
  <c r="A2257" i="3"/>
  <c r="A2249" i="3"/>
  <c r="A2241" i="3"/>
  <c r="A2233" i="3"/>
  <c r="A2225" i="3"/>
  <c r="A2217" i="3"/>
  <c r="A2209" i="3"/>
  <c r="A2201" i="3"/>
  <c r="A2193" i="3"/>
  <c r="A2185" i="3"/>
  <c r="A2177" i="3"/>
  <c r="A2169" i="3"/>
  <c r="A2161" i="3"/>
  <c r="A2153" i="3"/>
  <c r="A2145" i="3"/>
  <c r="A2137" i="3"/>
  <c r="A2129" i="3"/>
  <c r="A2121" i="3"/>
  <c r="A2113" i="3"/>
  <c r="A2105" i="3"/>
  <c r="A2097" i="3"/>
  <c r="A2089" i="3"/>
  <c r="A2081" i="3"/>
  <c r="A2073" i="3"/>
  <c r="A2065" i="3"/>
  <c r="A2057" i="3"/>
  <c r="A2049" i="3"/>
  <c r="A2041" i="3"/>
  <c r="A2033" i="3"/>
  <c r="A2025" i="3"/>
  <c r="A2017" i="3"/>
  <c r="A2009" i="3"/>
  <c r="A2001" i="3"/>
  <c r="A1993" i="3"/>
  <c r="A1985" i="3"/>
  <c r="A1977" i="3"/>
  <c r="A1969" i="3"/>
  <c r="A1961" i="3"/>
  <c r="A1953" i="3"/>
  <c r="A1945" i="3"/>
  <c r="A1937" i="3"/>
  <c r="A1929" i="3"/>
  <c r="A1921" i="3"/>
  <c r="A1913" i="3"/>
  <c r="A1905" i="3"/>
  <c r="A1897" i="3"/>
  <c r="A1889" i="3"/>
  <c r="A1881" i="3"/>
  <c r="A1873" i="3"/>
  <c r="A1865" i="3"/>
  <c r="A1857" i="3"/>
  <c r="A1849" i="3"/>
  <c r="A1841" i="3"/>
  <c r="A1833" i="3"/>
  <c r="A1825" i="3"/>
  <c r="A1817" i="3"/>
  <c r="A1809" i="3"/>
  <c r="A1801" i="3"/>
  <c r="A1793" i="3"/>
  <c r="A1785" i="3"/>
  <c r="A1777" i="3"/>
  <c r="A1769" i="3"/>
  <c r="A1761" i="3"/>
  <c r="A1753" i="3"/>
  <c r="A1745" i="3"/>
  <c r="A1737" i="3"/>
  <c r="A1729" i="3"/>
  <c r="A1721" i="3"/>
  <c r="A1713" i="3"/>
  <c r="A1705" i="3"/>
  <c r="A1697" i="3"/>
  <c r="A1689" i="3"/>
  <c r="A1681" i="3"/>
  <c r="A1673" i="3"/>
  <c r="A1665" i="3"/>
  <c r="A1657" i="3"/>
  <c r="A1649" i="3"/>
  <c r="A1641" i="3"/>
  <c r="A1633" i="3"/>
  <c r="A1625" i="3"/>
  <c r="A1617" i="3"/>
  <c r="A1609" i="3"/>
  <c r="A1601" i="3"/>
  <c r="A1593" i="3"/>
  <c r="A1585" i="3"/>
  <c r="A1577" i="3"/>
  <c r="A1569" i="3"/>
  <c r="A1561" i="3"/>
  <c r="A1553" i="3"/>
  <c r="A1545" i="3"/>
  <c r="A1537" i="3"/>
  <c r="A7638" i="3"/>
  <c r="A6471" i="3"/>
  <c r="A6106" i="3"/>
  <c r="A5874" i="3"/>
  <c r="A5718" i="3"/>
  <c r="A5586" i="3"/>
  <c r="A5447" i="3"/>
  <c r="A5307" i="3"/>
  <c r="A5197" i="3"/>
  <c r="A5110" i="3"/>
  <c r="A5045" i="3"/>
  <c r="A4981" i="3"/>
  <c r="A4917" i="3"/>
  <c r="A4865" i="3"/>
  <c r="A4829" i="3"/>
  <c r="A4791" i="3"/>
  <c r="A4761" i="3"/>
  <c r="A4726" i="3"/>
  <c r="A4688" i="3"/>
  <c r="A4661" i="3"/>
  <c r="A4629" i="3"/>
  <c r="A4598" i="3"/>
  <c r="A4574" i="3"/>
  <c r="A4543" i="3"/>
  <c r="A4516" i="3"/>
  <c r="A4498" i="3"/>
  <c r="A4475" i="3"/>
  <c r="A4452" i="3"/>
  <c r="A4434" i="3"/>
  <c r="A4411" i="3"/>
  <c r="A4388" i="3"/>
  <c r="A4370" i="3"/>
  <c r="A4347" i="3"/>
  <c r="A4324" i="3"/>
  <c r="A4306" i="3"/>
  <c r="A4283" i="3"/>
  <c r="A4260" i="3"/>
  <c r="A4242" i="3"/>
  <c r="A4219" i="3"/>
  <c r="A4196" i="3"/>
  <c r="A4178" i="3"/>
  <c r="A4155" i="3"/>
  <c r="A4132" i="3"/>
  <c r="A4114" i="3"/>
  <c r="A4091" i="3"/>
  <c r="A4068" i="3"/>
  <c r="A4050" i="3"/>
  <c r="A4027" i="3"/>
  <c r="A4004" i="3"/>
  <c r="A3986" i="3"/>
  <c r="A3963" i="3"/>
  <c r="A3940" i="3"/>
  <c r="A3922" i="3"/>
  <c r="A3899" i="3"/>
  <c r="A3876" i="3"/>
  <c r="A3858" i="3"/>
  <c r="A3835" i="3"/>
  <c r="A3812" i="3"/>
  <c r="A3800" i="3"/>
  <c r="A3792" i="3"/>
  <c r="A3784" i="3"/>
  <c r="A3776" i="3"/>
  <c r="A3768" i="3"/>
  <c r="A3760" i="3"/>
  <c r="A3752" i="3"/>
  <c r="A3744" i="3"/>
  <c r="A3736" i="3"/>
  <c r="A3728" i="3"/>
  <c r="A3720" i="3"/>
  <c r="A3712" i="3"/>
  <c r="A3704" i="3"/>
  <c r="A3696" i="3"/>
  <c r="A3688" i="3"/>
  <c r="A3680" i="3"/>
  <c r="A3672" i="3"/>
  <c r="A3664" i="3"/>
  <c r="A3656" i="3"/>
  <c r="A3648" i="3"/>
  <c r="A3640" i="3"/>
  <c r="A3632" i="3"/>
  <c r="A3624" i="3"/>
  <c r="A3616" i="3"/>
  <c r="A3608" i="3"/>
  <c r="A3600" i="3"/>
  <c r="A3592" i="3"/>
  <c r="A3584" i="3"/>
  <c r="A3576" i="3"/>
  <c r="A3568" i="3"/>
  <c r="A3560" i="3"/>
  <c r="A3552" i="3"/>
  <c r="A3544" i="3"/>
  <c r="A3536" i="3"/>
  <c r="A3528" i="3"/>
  <c r="A3520" i="3"/>
  <c r="A3512" i="3"/>
  <c r="A3504" i="3"/>
  <c r="A3496" i="3"/>
  <c r="A3488" i="3"/>
  <c r="A3480" i="3"/>
  <c r="A3472" i="3"/>
  <c r="A3464" i="3"/>
  <c r="A3456" i="3"/>
  <c r="A3448" i="3"/>
  <c r="A3440" i="3"/>
  <c r="A3432" i="3"/>
  <c r="A3424" i="3"/>
  <c r="A3416" i="3"/>
  <c r="A3408" i="3"/>
  <c r="A3400" i="3"/>
  <c r="A3392" i="3"/>
  <c r="A3384" i="3"/>
  <c r="A3376" i="3"/>
  <c r="A3368" i="3"/>
  <c r="A3360" i="3"/>
  <c r="A3352" i="3"/>
  <c r="A3344" i="3"/>
  <c r="A3336" i="3"/>
  <c r="A3328" i="3"/>
  <c r="A3320" i="3"/>
  <c r="A3312" i="3"/>
  <c r="A3304" i="3"/>
  <c r="A3296" i="3"/>
  <c r="A3288" i="3"/>
  <c r="A3280" i="3"/>
  <c r="A3272" i="3"/>
  <c r="A3264" i="3"/>
  <c r="A3256" i="3"/>
  <c r="A3248" i="3"/>
  <c r="A3240" i="3"/>
  <c r="A3232" i="3"/>
  <c r="A3224" i="3"/>
  <c r="A3216" i="3"/>
  <c r="A3208" i="3"/>
  <c r="A3200" i="3"/>
  <c r="A3192" i="3"/>
  <c r="A3184" i="3"/>
  <c r="A3176" i="3"/>
  <c r="A3168" i="3"/>
  <c r="A3160" i="3"/>
  <c r="A3152" i="3"/>
  <c r="A3144" i="3"/>
  <c r="A3136" i="3"/>
  <c r="A3128" i="3"/>
  <c r="A3120" i="3"/>
  <c r="A3112" i="3"/>
  <c r="A3104" i="3"/>
  <c r="A3096" i="3"/>
  <c r="A3088" i="3"/>
  <c r="A3080" i="3"/>
  <c r="A3072" i="3"/>
  <c r="A3064" i="3"/>
  <c r="A3056" i="3"/>
  <c r="A3048" i="3"/>
  <c r="A3040" i="3"/>
  <c r="A3032" i="3"/>
  <c r="A3024" i="3"/>
  <c r="A3016" i="3"/>
  <c r="A3008" i="3"/>
  <c r="A3000" i="3"/>
  <c r="A2992" i="3"/>
  <c r="A2984" i="3"/>
  <c r="A2976" i="3"/>
  <c r="A2968" i="3"/>
  <c r="A2960" i="3"/>
  <c r="A2952" i="3"/>
  <c r="A2944" i="3"/>
  <c r="A2936" i="3"/>
  <c r="A2928" i="3"/>
  <c r="A2920" i="3"/>
  <c r="A2912" i="3"/>
  <c r="A2904" i="3"/>
  <c r="A2896" i="3"/>
  <c r="A2888" i="3"/>
  <c r="A2880" i="3"/>
  <c r="A2872" i="3"/>
  <c r="A2864" i="3"/>
  <c r="A2856" i="3"/>
  <c r="A2848" i="3"/>
  <c r="A2840" i="3"/>
  <c r="A2832" i="3"/>
  <c r="A2824" i="3"/>
  <c r="A2816" i="3"/>
  <c r="A2808" i="3"/>
  <c r="A2800" i="3"/>
  <c r="A2792" i="3"/>
  <c r="A2784" i="3"/>
  <c r="A2776" i="3"/>
  <c r="A2768" i="3"/>
  <c r="A2760" i="3"/>
  <c r="A2752" i="3"/>
  <c r="A2744" i="3"/>
  <c r="A2736" i="3"/>
  <c r="A2728" i="3"/>
  <c r="A2720" i="3"/>
  <c r="A2712" i="3"/>
  <c r="A2704" i="3"/>
  <c r="A2696" i="3"/>
  <c r="A2688" i="3"/>
  <c r="A2680" i="3"/>
  <c r="A2672" i="3"/>
  <c r="A2664" i="3"/>
  <c r="A2656" i="3"/>
  <c r="A2648" i="3"/>
  <c r="A2640" i="3"/>
  <c r="A2632" i="3"/>
  <c r="A2624" i="3"/>
  <c r="A2616" i="3"/>
  <c r="A2608" i="3"/>
  <c r="A2600" i="3"/>
  <c r="A2592" i="3"/>
  <c r="A2584" i="3"/>
  <c r="A2576" i="3"/>
  <c r="A2568" i="3"/>
  <c r="A2560" i="3"/>
  <c r="A2552" i="3"/>
  <c r="A2544" i="3"/>
  <c r="A2536" i="3"/>
  <c r="A2528" i="3"/>
  <c r="A2520" i="3"/>
  <c r="A2512" i="3"/>
  <c r="A2504" i="3"/>
  <c r="A2496" i="3"/>
  <c r="A2488" i="3"/>
  <c r="A2480" i="3"/>
  <c r="A2472" i="3"/>
  <c r="A2464" i="3"/>
  <c r="A2456" i="3"/>
  <c r="A2448" i="3"/>
  <c r="A2440" i="3"/>
  <c r="A2432" i="3"/>
  <c r="A2424" i="3"/>
  <c r="A2416" i="3"/>
  <c r="A2408" i="3"/>
  <c r="A2400" i="3"/>
  <c r="A2392" i="3"/>
  <c r="A2384" i="3"/>
  <c r="A2376" i="3"/>
  <c r="A2368" i="3"/>
  <c r="A2360" i="3"/>
  <c r="A2352" i="3"/>
  <c r="A2344" i="3"/>
  <c r="A2336" i="3"/>
  <c r="A2328" i="3"/>
  <c r="A2320" i="3"/>
  <c r="A2312" i="3"/>
  <c r="A2304" i="3"/>
  <c r="A2296" i="3"/>
  <c r="A2288" i="3"/>
  <c r="A2280" i="3"/>
  <c r="A2272" i="3"/>
  <c r="A2264" i="3"/>
  <c r="A2256" i="3"/>
  <c r="A2248" i="3"/>
  <c r="A2240" i="3"/>
  <c r="A2232" i="3"/>
  <c r="A2224" i="3"/>
  <c r="A2216" i="3"/>
  <c r="A2208" i="3"/>
  <c r="A2200" i="3"/>
  <c r="A2192" i="3"/>
  <c r="A2184" i="3"/>
  <c r="A2176" i="3"/>
  <c r="A2168" i="3"/>
  <c r="A2160" i="3"/>
  <c r="A2152" i="3"/>
  <c r="A2144" i="3"/>
  <c r="A2136" i="3"/>
  <c r="A2128" i="3"/>
  <c r="A2120" i="3"/>
  <c r="A2112" i="3"/>
  <c r="A2104" i="3"/>
  <c r="A2096" i="3"/>
  <c r="A2088" i="3"/>
  <c r="A2080" i="3"/>
  <c r="A2072" i="3"/>
  <c r="A2064" i="3"/>
  <c r="A2056" i="3"/>
  <c r="A2048" i="3"/>
  <c r="A2040" i="3"/>
  <c r="A2032" i="3"/>
  <c r="A2024" i="3"/>
  <c r="A2016" i="3"/>
  <c r="A2008" i="3"/>
  <c r="A2000" i="3"/>
  <c r="A1992" i="3"/>
  <c r="A1984" i="3"/>
  <c r="A1976" i="3"/>
  <c r="A1968" i="3"/>
  <c r="A1960" i="3"/>
  <c r="A7626" i="3"/>
  <c r="A6466" i="3"/>
  <c r="A6090" i="3"/>
  <c r="A5872" i="3"/>
  <c r="A5715" i="3"/>
  <c r="A5576" i="3"/>
  <c r="A5446" i="3"/>
  <c r="A5306" i="3"/>
  <c r="A5191" i="3"/>
  <c r="A5109" i="3"/>
  <c r="A5041" i="3"/>
  <c r="A4977" i="3"/>
  <c r="A4913" i="3"/>
  <c r="A4855" i="3"/>
  <c r="A4825" i="3"/>
  <c r="A4790" i="3"/>
  <c r="A4752" i="3"/>
  <c r="A4725" i="3"/>
  <c r="A4687" i="3"/>
  <c r="A4650" i="3"/>
  <c r="A4626" i="3"/>
  <c r="A4597" i="3"/>
  <c r="A4566" i="3"/>
  <c r="A4542" i="3"/>
  <c r="A4515" i="3"/>
  <c r="A4492" i="3"/>
  <c r="A4474" i="3"/>
  <c r="A4451" i="3"/>
  <c r="A4428" i="3"/>
  <c r="A4410" i="3"/>
  <c r="A4387" i="3"/>
  <c r="A4364" i="3"/>
  <c r="A4346" i="3"/>
  <c r="A4323" i="3"/>
  <c r="A4300" i="3"/>
  <c r="A4282" i="3"/>
  <c r="A4259" i="3"/>
  <c r="A4236" i="3"/>
  <c r="A4218" i="3"/>
  <c r="A4195" i="3"/>
  <c r="A4172" i="3"/>
  <c r="A4154" i="3"/>
  <c r="A4131" i="3"/>
  <c r="A4108" i="3"/>
  <c r="A4090" i="3"/>
  <c r="A4067" i="3"/>
  <c r="A4044" i="3"/>
  <c r="A4026" i="3"/>
  <c r="A4003" i="3"/>
  <c r="A3980" i="3"/>
  <c r="A3962" i="3"/>
  <c r="A3939" i="3"/>
  <c r="A3916" i="3"/>
  <c r="A3898" i="3"/>
  <c r="A3875" i="3"/>
  <c r="A3852" i="3"/>
  <c r="A3834" i="3"/>
  <c r="A3811" i="3"/>
  <c r="A3799" i="3"/>
  <c r="A3791" i="3"/>
  <c r="A3783" i="3"/>
  <c r="A3775" i="3"/>
  <c r="A3767" i="3"/>
  <c r="A3759" i="3"/>
  <c r="A3751" i="3"/>
  <c r="A3743" i="3"/>
  <c r="A3735" i="3"/>
  <c r="A3727" i="3"/>
  <c r="A3719" i="3"/>
  <c r="A3711" i="3"/>
  <c r="A3703" i="3"/>
  <c r="A3695" i="3"/>
  <c r="A3687" i="3"/>
  <c r="A3679" i="3"/>
  <c r="A3671" i="3"/>
  <c r="A3663" i="3"/>
  <c r="A3655" i="3"/>
  <c r="A3647" i="3"/>
  <c r="A3639" i="3"/>
  <c r="A3631" i="3"/>
  <c r="A3623" i="3"/>
  <c r="A3615" i="3"/>
  <c r="A3607" i="3"/>
  <c r="A3599" i="3"/>
  <c r="A3591" i="3"/>
  <c r="A3583" i="3"/>
  <c r="A3575" i="3"/>
  <c r="A3567" i="3"/>
  <c r="A3559" i="3"/>
  <c r="A3551" i="3"/>
  <c r="A3543" i="3"/>
  <c r="A3535" i="3"/>
  <c r="A3527" i="3"/>
  <c r="A3519" i="3"/>
  <c r="A3511" i="3"/>
  <c r="A3503" i="3"/>
  <c r="A3495" i="3"/>
  <c r="A3487" i="3"/>
  <c r="A3479" i="3"/>
  <c r="A3471" i="3"/>
  <c r="A3463" i="3"/>
  <c r="A3455" i="3"/>
  <c r="A3447" i="3"/>
  <c r="A3439" i="3"/>
  <c r="A3431" i="3"/>
  <c r="A3423" i="3"/>
  <c r="A3415" i="3"/>
  <c r="A3407" i="3"/>
  <c r="A3399" i="3"/>
  <c r="A3391" i="3"/>
  <c r="A3383" i="3"/>
  <c r="A3375" i="3"/>
  <c r="A3367" i="3"/>
  <c r="A3359" i="3"/>
  <c r="A3351" i="3"/>
  <c r="A3343" i="3"/>
  <c r="A3335" i="3"/>
  <c r="A3327" i="3"/>
  <c r="A3319" i="3"/>
  <c r="A3311" i="3"/>
  <c r="A3303" i="3"/>
  <c r="A3295" i="3"/>
  <c r="A3287" i="3"/>
  <c r="A3279" i="3"/>
  <c r="A3271" i="3"/>
  <c r="A3263" i="3"/>
  <c r="A3255" i="3"/>
  <c r="A3247" i="3"/>
  <c r="A3239" i="3"/>
  <c r="A3231" i="3"/>
  <c r="A3223" i="3"/>
  <c r="A3215" i="3"/>
  <c r="A3207" i="3"/>
  <c r="A3199" i="3"/>
  <c r="A3191" i="3"/>
  <c r="A3183" i="3"/>
  <c r="A3175" i="3"/>
  <c r="A3167" i="3"/>
  <c r="A3159" i="3"/>
  <c r="A3151" i="3"/>
  <c r="A3143" i="3"/>
  <c r="A3135" i="3"/>
  <c r="A3127" i="3"/>
  <c r="A3119" i="3"/>
  <c r="A3111" i="3"/>
  <c r="A3103" i="3"/>
  <c r="A3095" i="3"/>
  <c r="A3087" i="3"/>
  <c r="A3079" i="3"/>
  <c r="A3071" i="3"/>
  <c r="A3063" i="3"/>
  <c r="A3055" i="3"/>
  <c r="A3047" i="3"/>
  <c r="A3039" i="3"/>
  <c r="A3031" i="3"/>
  <c r="A3023" i="3"/>
  <c r="A3015" i="3"/>
  <c r="A3007" i="3"/>
  <c r="A2999" i="3"/>
  <c r="A2991" i="3"/>
  <c r="A2983" i="3"/>
  <c r="A2975" i="3"/>
  <c r="A2967" i="3"/>
  <c r="A2959" i="3"/>
  <c r="A2951" i="3"/>
  <c r="A2943" i="3"/>
  <c r="A2935" i="3"/>
  <c r="A2927" i="3"/>
  <c r="A2919" i="3"/>
  <c r="A2911" i="3"/>
  <c r="A2903" i="3"/>
  <c r="A2895" i="3"/>
  <c r="A2887" i="3"/>
  <c r="A2879" i="3"/>
  <c r="A2871" i="3"/>
  <c r="A2863" i="3"/>
  <c r="A2855" i="3"/>
  <c r="A2847" i="3"/>
  <c r="A2839" i="3"/>
  <c r="A2831" i="3"/>
  <c r="A2823" i="3"/>
  <c r="A2815" i="3"/>
  <c r="A2807" i="3"/>
  <c r="A2799" i="3"/>
  <c r="A2791" i="3"/>
  <c r="A2783" i="3"/>
  <c r="A2775" i="3"/>
  <c r="A2767" i="3"/>
  <c r="A2759" i="3"/>
  <c r="A2751" i="3"/>
  <c r="A2743" i="3"/>
  <c r="A2735" i="3"/>
  <c r="A2727" i="3"/>
  <c r="A2719" i="3"/>
  <c r="A2711" i="3"/>
  <c r="A2703" i="3"/>
  <c r="A2695" i="3"/>
  <c r="A2687" i="3"/>
  <c r="A2679" i="3"/>
  <c r="A2671" i="3"/>
  <c r="A2663" i="3"/>
  <c r="A2655" i="3"/>
  <c r="A2647" i="3"/>
  <c r="A2639" i="3"/>
  <c r="A2631" i="3"/>
  <c r="A2623" i="3"/>
  <c r="A2615" i="3"/>
  <c r="A2607" i="3"/>
  <c r="A2599" i="3"/>
  <c r="A2591" i="3"/>
  <c r="A2583" i="3"/>
  <c r="A2575" i="3"/>
  <c r="A2567" i="3"/>
  <c r="A2559" i="3"/>
  <c r="A2551" i="3"/>
  <c r="A2543" i="3"/>
  <c r="A2535" i="3"/>
  <c r="A2527" i="3"/>
  <c r="A2519" i="3"/>
  <c r="A2511" i="3"/>
  <c r="A2503" i="3"/>
  <c r="A2495" i="3"/>
  <c r="A2487" i="3"/>
  <c r="A2479" i="3"/>
  <c r="A2471" i="3"/>
  <c r="A2463" i="3"/>
  <c r="A2455" i="3"/>
  <c r="A2447" i="3"/>
  <c r="A2439" i="3"/>
  <c r="A2431" i="3"/>
  <c r="A2423" i="3"/>
  <c r="A2415" i="3"/>
  <c r="A2407" i="3"/>
  <c r="A2399" i="3"/>
  <c r="A2391" i="3"/>
  <c r="A2383" i="3"/>
  <c r="A2375" i="3"/>
  <c r="A2367" i="3"/>
  <c r="A2359" i="3"/>
  <c r="A2351" i="3"/>
  <c r="A2343" i="3"/>
  <c r="A2335" i="3"/>
  <c r="A2327" i="3"/>
  <c r="A2319" i="3"/>
  <c r="A2311" i="3"/>
  <c r="A2303" i="3"/>
  <c r="A2295" i="3"/>
  <c r="A2287" i="3"/>
  <c r="A2279" i="3"/>
  <c r="A2271" i="3"/>
  <c r="A2263" i="3"/>
  <c r="A2255" i="3"/>
  <c r="A2247" i="3"/>
  <c r="A2239" i="3"/>
  <c r="A2231" i="3"/>
  <c r="A2223" i="3"/>
  <c r="A2215" i="3"/>
  <c r="A2207" i="3"/>
  <c r="A2199" i="3"/>
  <c r="A2191" i="3"/>
  <c r="A2183" i="3"/>
  <c r="A2175" i="3"/>
  <c r="A2167" i="3"/>
  <c r="A2159" i="3"/>
  <c r="A2151" i="3"/>
  <c r="A2143" i="3"/>
  <c r="A2135" i="3"/>
  <c r="A2127" i="3"/>
  <c r="A2119" i="3"/>
  <c r="A2111" i="3"/>
  <c r="A2103" i="3"/>
  <c r="A2095" i="3"/>
  <c r="A2087" i="3"/>
  <c r="A2079" i="3"/>
  <c r="A2071" i="3"/>
  <c r="A2063" i="3"/>
  <c r="A2055" i="3"/>
  <c r="A2047" i="3"/>
  <c r="A2039" i="3"/>
  <c r="A2031" i="3"/>
  <c r="A2023" i="3"/>
  <c r="A2015" i="3"/>
  <c r="A2007" i="3"/>
  <c r="A1999" i="3"/>
  <c r="A1991" i="3"/>
  <c r="A1983" i="3"/>
  <c r="A1975" i="3"/>
  <c r="A1967" i="3"/>
  <c r="A1959" i="3"/>
  <c r="A1951" i="3"/>
  <c r="A1943" i="3"/>
  <c r="A1935" i="3"/>
  <c r="A1927" i="3"/>
  <c r="A1919" i="3"/>
  <c r="A1911" i="3"/>
  <c r="A1903" i="3"/>
  <c r="A1895" i="3"/>
  <c r="A1887" i="3"/>
  <c r="A1879" i="3"/>
  <c r="A1871" i="3"/>
  <c r="A1863" i="3"/>
  <c r="A1855" i="3"/>
  <c r="A1847" i="3"/>
  <c r="A1839" i="3"/>
  <c r="A1831" i="3"/>
  <c r="A1823" i="3"/>
  <c r="A1815" i="3"/>
  <c r="A1807" i="3"/>
  <c r="A1799" i="3"/>
  <c r="A1791" i="3"/>
  <c r="A1783" i="3"/>
  <c r="A1775" i="3"/>
  <c r="A1767" i="3"/>
  <c r="A1759" i="3"/>
  <c r="A1751" i="3"/>
  <c r="A1743" i="3"/>
  <c r="A1735" i="3"/>
  <c r="A1727" i="3"/>
  <c r="A1719" i="3"/>
  <c r="A1711" i="3"/>
  <c r="A1703" i="3"/>
  <c r="A1695" i="3"/>
  <c r="A1687" i="3"/>
  <c r="A1679" i="3"/>
  <c r="A1671" i="3"/>
  <c r="A1663" i="3"/>
  <c r="A1655" i="3"/>
  <c r="A1647" i="3"/>
  <c r="A1639" i="3"/>
  <c r="A1631" i="3"/>
  <c r="A1623" i="3"/>
  <c r="A1615" i="3"/>
  <c r="A1607" i="3"/>
  <c r="A1599" i="3"/>
  <c r="A1591" i="3"/>
  <c r="A1583" i="3"/>
  <c r="A1575" i="3"/>
  <c r="A1567" i="3"/>
  <c r="A1559" i="3"/>
  <c r="A1551" i="3"/>
  <c r="A1543" i="3"/>
  <c r="A7047" i="3"/>
  <c r="A6375" i="3"/>
  <c r="A6043" i="3"/>
  <c r="A5819" i="3"/>
  <c r="A5688" i="3"/>
  <c r="A5550" i="3"/>
  <c r="A5410" i="3"/>
  <c r="A5279" i="3"/>
  <c r="A5174" i="3"/>
  <c r="A5093" i="3"/>
  <c r="A5029" i="3"/>
  <c r="A4965" i="3"/>
  <c r="A4901" i="3"/>
  <c r="A4854" i="3"/>
  <c r="A4816" i="3"/>
  <c r="A4789" i="3"/>
  <c r="A4751" i="3"/>
  <c r="A4713" i="3"/>
  <c r="A4686" i="3"/>
  <c r="A4649" i="3"/>
  <c r="A4618" i="3"/>
  <c r="A4594" i="3"/>
  <c r="A4565" i="3"/>
  <c r="A4534" i="3"/>
  <c r="A4514" i="3"/>
  <c r="A4491" i="3"/>
  <c r="A4468" i="3"/>
  <c r="A4450" i="3"/>
  <c r="A4427" i="3"/>
  <c r="A4404" i="3"/>
  <c r="A4386" i="3"/>
  <c r="A4363" i="3"/>
  <c r="A4340" i="3"/>
  <c r="A4322" i="3"/>
  <c r="A4299" i="3"/>
  <c r="A4276" i="3"/>
  <c r="A4258" i="3"/>
  <c r="A4235" i="3"/>
  <c r="A4212" i="3"/>
  <c r="A4194" i="3"/>
  <c r="A4171" i="3"/>
  <c r="A4148" i="3"/>
  <c r="A4130" i="3"/>
  <c r="A4107" i="3"/>
  <c r="A4084" i="3"/>
  <c r="A4066" i="3"/>
  <c r="A4043" i="3"/>
  <c r="A4020" i="3"/>
  <c r="A4002" i="3"/>
  <c r="A3979" i="3"/>
  <c r="A3956" i="3"/>
  <c r="A3938" i="3"/>
  <c r="A3915" i="3"/>
  <c r="A3892" i="3"/>
  <c r="A3874" i="3"/>
  <c r="A3851" i="3"/>
  <c r="A3828" i="3"/>
  <c r="A3810" i="3"/>
  <c r="A3798" i="3"/>
  <c r="A3790" i="3"/>
  <c r="A3782" i="3"/>
  <c r="A3774" i="3"/>
  <c r="A3766" i="3"/>
  <c r="A3758" i="3"/>
  <c r="A3750" i="3"/>
  <c r="A3742" i="3"/>
  <c r="A3734" i="3"/>
  <c r="A3726" i="3"/>
  <c r="A3718" i="3"/>
  <c r="A3710" i="3"/>
  <c r="A3702" i="3"/>
  <c r="A3694" i="3"/>
  <c r="A3686" i="3"/>
  <c r="A3678" i="3"/>
  <c r="A3670" i="3"/>
  <c r="A3662" i="3"/>
  <c r="A3654" i="3"/>
  <c r="A3646" i="3"/>
  <c r="A3638" i="3"/>
  <c r="A3630" i="3"/>
  <c r="A3622" i="3"/>
  <c r="A3614" i="3"/>
  <c r="A3606" i="3"/>
  <c r="A3598" i="3"/>
  <c r="A3590" i="3"/>
  <c r="A3582" i="3"/>
  <c r="A3574" i="3"/>
  <c r="A3566" i="3"/>
  <c r="A3558" i="3"/>
  <c r="A3550" i="3"/>
  <c r="A3542" i="3"/>
  <c r="A3534" i="3"/>
  <c r="A3526" i="3"/>
  <c r="A3518" i="3"/>
  <c r="A3510" i="3"/>
  <c r="A3502" i="3"/>
  <c r="A3494" i="3"/>
  <c r="A3486" i="3"/>
  <c r="A3478" i="3"/>
  <c r="A3470" i="3"/>
  <c r="A3462" i="3"/>
  <c r="A3454" i="3"/>
  <c r="A3446" i="3"/>
  <c r="A3438" i="3"/>
  <c r="A3430" i="3"/>
  <c r="A3422" i="3"/>
  <c r="A3414" i="3"/>
  <c r="A3406" i="3"/>
  <c r="A3398" i="3"/>
  <c r="A3390" i="3"/>
  <c r="A3382" i="3"/>
  <c r="A3374" i="3"/>
  <c r="A3366" i="3"/>
  <c r="A3358" i="3"/>
  <c r="A3350" i="3"/>
  <c r="A3342" i="3"/>
  <c r="A3334" i="3"/>
  <c r="A3326" i="3"/>
  <c r="A3318" i="3"/>
  <c r="A3310" i="3"/>
  <c r="A3302" i="3"/>
  <c r="A3294" i="3"/>
  <c r="A3286" i="3"/>
  <c r="A3278" i="3"/>
  <c r="A3270" i="3"/>
  <c r="A3262" i="3"/>
  <c r="A3254" i="3"/>
  <c r="A3246" i="3"/>
  <c r="A3238" i="3"/>
  <c r="A3230" i="3"/>
  <c r="A3222" i="3"/>
  <c r="A3214" i="3"/>
  <c r="A3206" i="3"/>
  <c r="A3198" i="3"/>
  <c r="A3190" i="3"/>
  <c r="A3182" i="3"/>
  <c r="A3174" i="3"/>
  <c r="A3166" i="3"/>
  <c r="A3158" i="3"/>
  <c r="A3150" i="3"/>
  <c r="A3142" i="3"/>
  <c r="A3134" i="3"/>
  <c r="A3126" i="3"/>
  <c r="A3118" i="3"/>
  <c r="A3110" i="3"/>
  <c r="A3102" i="3"/>
  <c r="A3094" i="3"/>
  <c r="A3086" i="3"/>
  <c r="A3078" i="3"/>
  <c r="A3070" i="3"/>
  <c r="A3062" i="3"/>
  <c r="A3054" i="3"/>
  <c r="A3046" i="3"/>
  <c r="A3038" i="3"/>
  <c r="A3030" i="3"/>
  <c r="A3022" i="3"/>
  <c r="A3014" i="3"/>
  <c r="A3006" i="3"/>
  <c r="A2998" i="3"/>
  <c r="A2990" i="3"/>
  <c r="A2982" i="3"/>
  <c r="A2974" i="3"/>
  <c r="A2966" i="3"/>
  <c r="A2958" i="3"/>
  <c r="A2950" i="3"/>
  <c r="A2942" i="3"/>
  <c r="A2934" i="3"/>
  <c r="A2926" i="3"/>
  <c r="A2918" i="3"/>
  <c r="A2910" i="3"/>
  <c r="A2902" i="3"/>
  <c r="A2894" i="3"/>
  <c r="A2886" i="3"/>
  <c r="A2878" i="3"/>
  <c r="A2870" i="3"/>
  <c r="A2862" i="3"/>
  <c r="A2854" i="3"/>
  <c r="A2846" i="3"/>
  <c r="A2838" i="3"/>
  <c r="A2830" i="3"/>
  <c r="A2822" i="3"/>
  <c r="A2814" i="3"/>
  <c r="A2806" i="3"/>
  <c r="A2798" i="3"/>
  <c r="A2790" i="3"/>
  <c r="A2782" i="3"/>
  <c r="A2774" i="3"/>
  <c r="A2766" i="3"/>
  <c r="A2758" i="3"/>
  <c r="A2750" i="3"/>
  <c r="A2742" i="3"/>
  <c r="A2734" i="3"/>
  <c r="A2726" i="3"/>
  <c r="A2718" i="3"/>
  <c r="A2710" i="3"/>
  <c r="A2702" i="3"/>
  <c r="A2694" i="3"/>
  <c r="A2686" i="3"/>
  <c r="A2678" i="3"/>
  <c r="A2670" i="3"/>
  <c r="A2662" i="3"/>
  <c r="A2654" i="3"/>
  <c r="A2646" i="3"/>
  <c r="A2638" i="3"/>
  <c r="A2630" i="3"/>
  <c r="A2622" i="3"/>
  <c r="A2614" i="3"/>
  <c r="A2606" i="3"/>
  <c r="A2598" i="3"/>
  <c r="A2590" i="3"/>
  <c r="A2582" i="3"/>
  <c r="A2574" i="3"/>
  <c r="A2566" i="3"/>
  <c r="A2558" i="3"/>
  <c r="A2550" i="3"/>
  <c r="A2542" i="3"/>
  <c r="A2534" i="3"/>
  <c r="A2526" i="3"/>
  <c r="A2518" i="3"/>
  <c r="A2510" i="3"/>
  <c r="A2502" i="3"/>
  <c r="A2494" i="3"/>
  <c r="A2486" i="3"/>
  <c r="A2478" i="3"/>
  <c r="A2470" i="3"/>
  <c r="A2462" i="3"/>
  <c r="A2454" i="3"/>
  <c r="A2446" i="3"/>
  <c r="A2438" i="3"/>
  <c r="A2430" i="3"/>
  <c r="A2422" i="3"/>
  <c r="A2414" i="3"/>
  <c r="A2406" i="3"/>
  <c r="A2398" i="3"/>
  <c r="A2390" i="3"/>
  <c r="A2382" i="3"/>
  <c r="A2374" i="3"/>
  <c r="A2366" i="3"/>
  <c r="A2358" i="3"/>
  <c r="A2350" i="3"/>
  <c r="A2342" i="3"/>
  <c r="A2334" i="3"/>
  <c r="A2326" i="3"/>
  <c r="A2318" i="3"/>
  <c r="A2310" i="3"/>
  <c r="A2302" i="3"/>
  <c r="A2294" i="3"/>
  <c r="A2286" i="3"/>
  <c r="A2278" i="3"/>
  <c r="A2270" i="3"/>
  <c r="A2262" i="3"/>
  <c r="A2254" i="3"/>
  <c r="A2246" i="3"/>
  <c r="A2238" i="3"/>
  <c r="A2230" i="3"/>
  <c r="A2222" i="3"/>
  <c r="A2214" i="3"/>
  <c r="A2206" i="3"/>
  <c r="A2198" i="3"/>
  <c r="A2190" i="3"/>
  <c r="A2182" i="3"/>
  <c r="A2174" i="3"/>
  <c r="A2166" i="3"/>
  <c r="A2158" i="3"/>
  <c r="A2150" i="3"/>
  <c r="A2142" i="3"/>
  <c r="A2134" i="3"/>
  <c r="A2126" i="3"/>
  <c r="A2118" i="3"/>
  <c r="A2110" i="3"/>
  <c r="A2102" i="3"/>
  <c r="A2094" i="3"/>
  <c r="A2086" i="3"/>
  <c r="A2078" i="3"/>
  <c r="A2070" i="3"/>
  <c r="A2062" i="3"/>
  <c r="A2054" i="3"/>
  <c r="A2046" i="3"/>
  <c r="A2038" i="3"/>
  <c r="A2030" i="3"/>
  <c r="A2022" i="3"/>
  <c r="A2014" i="3"/>
  <c r="A2006" i="3"/>
  <c r="A1998" i="3"/>
  <c r="A1990" i="3"/>
  <c r="A1982" i="3"/>
  <c r="A1974" i="3"/>
  <c r="A1966" i="3"/>
  <c r="A1958" i="3"/>
  <c r="A1950" i="3"/>
  <c r="A1942" i="3"/>
  <c r="A1934" i="3"/>
  <c r="A1926" i="3"/>
  <c r="A1918" i="3"/>
  <c r="A1910" i="3"/>
  <c r="A1902" i="3"/>
  <c r="A1894" i="3"/>
  <c r="A1886" i="3"/>
  <c r="A1878" i="3"/>
  <c r="A1870" i="3"/>
  <c r="A1862" i="3"/>
  <c r="A1854" i="3"/>
  <c r="A1846" i="3"/>
  <c r="A1838" i="3"/>
  <c r="A1830" i="3"/>
  <c r="A1822" i="3"/>
  <c r="A1814" i="3"/>
  <c r="A1806" i="3"/>
  <c r="A1798" i="3"/>
  <c r="A1790" i="3"/>
  <c r="A1782" i="3"/>
  <c r="A1774" i="3"/>
  <c r="A1766" i="3"/>
  <c r="A1758" i="3"/>
  <c r="A1750" i="3"/>
  <c r="A1742" i="3"/>
  <c r="A1734" i="3"/>
  <c r="A1726" i="3"/>
  <c r="A1718" i="3"/>
  <c r="A1710" i="3"/>
  <c r="A1702" i="3"/>
  <c r="A1694" i="3"/>
  <c r="A1686" i="3"/>
  <c r="A1678" i="3"/>
  <c r="A1670" i="3"/>
  <c r="A1662" i="3"/>
  <c r="A1654" i="3"/>
  <c r="A1646" i="3"/>
  <c r="A1638" i="3"/>
  <c r="A1630" i="3"/>
  <c r="A1622" i="3"/>
  <c r="A1614" i="3"/>
  <c r="A1606" i="3"/>
  <c r="A1598" i="3"/>
  <c r="A1590" i="3"/>
  <c r="A1582" i="3"/>
  <c r="A1574" i="3"/>
  <c r="A1566" i="3"/>
  <c r="A1558" i="3"/>
  <c r="A1550" i="3"/>
  <c r="A1542" i="3"/>
  <c r="A10" i="3"/>
  <c r="A18" i="3"/>
  <c r="A26" i="3"/>
  <c r="A34" i="3"/>
  <c r="A42" i="3"/>
  <c r="A50" i="3"/>
  <c r="A58" i="3"/>
  <c r="A66" i="3"/>
  <c r="A74" i="3"/>
  <c r="A82" i="3"/>
  <c r="A90" i="3"/>
  <c r="A98" i="3"/>
  <c r="A106" i="3"/>
  <c r="A114" i="3"/>
  <c r="A122" i="3"/>
  <c r="A130" i="3"/>
  <c r="A138" i="3"/>
  <c r="A146" i="3"/>
  <c r="A154" i="3"/>
  <c r="A162" i="3"/>
  <c r="A170" i="3"/>
  <c r="A178" i="3"/>
  <c r="A186" i="3"/>
  <c r="A194" i="3"/>
  <c r="A202" i="3"/>
  <c r="A210" i="3"/>
  <c r="A218" i="3"/>
  <c r="A226" i="3"/>
  <c r="A234" i="3"/>
  <c r="A242" i="3"/>
  <c r="A250" i="3"/>
  <c r="A258" i="3"/>
  <c r="A266" i="3"/>
  <c r="A274" i="3"/>
  <c r="A282" i="3"/>
  <c r="A290" i="3"/>
  <c r="A298" i="3"/>
  <c r="A306" i="3"/>
  <c r="A314" i="3"/>
  <c r="A322" i="3"/>
  <c r="A330" i="3"/>
  <c r="A338" i="3"/>
  <c r="A346" i="3"/>
  <c r="A354" i="3"/>
  <c r="A362" i="3"/>
  <c r="A370" i="3"/>
  <c r="A378" i="3"/>
  <c r="A386" i="3"/>
  <c r="A394" i="3"/>
  <c r="A402" i="3"/>
  <c r="A410" i="3"/>
  <c r="A418" i="3"/>
  <c r="A426" i="3"/>
  <c r="A434" i="3"/>
  <c r="A442" i="3"/>
  <c r="A450" i="3"/>
  <c r="A458" i="3"/>
  <c r="A466" i="3"/>
  <c r="A474" i="3"/>
  <c r="A482" i="3"/>
  <c r="A490" i="3"/>
  <c r="A498" i="3"/>
  <c r="A506" i="3"/>
  <c r="A514" i="3"/>
  <c r="A522" i="3"/>
  <c r="A530" i="3"/>
  <c r="A538" i="3"/>
  <c r="A546" i="3"/>
  <c r="A554" i="3"/>
  <c r="A562" i="3"/>
  <c r="A570" i="3"/>
  <c r="A578" i="3"/>
  <c r="A586" i="3"/>
  <c r="A594" i="3"/>
  <c r="A602" i="3"/>
  <c r="A610" i="3"/>
  <c r="A618" i="3"/>
  <c r="A626" i="3"/>
  <c r="A634" i="3"/>
  <c r="A642" i="3"/>
  <c r="A650" i="3"/>
  <c r="A658" i="3"/>
  <c r="A666" i="3"/>
  <c r="A674" i="3"/>
  <c r="A682" i="3"/>
  <c r="A690" i="3"/>
  <c r="A698" i="3"/>
  <c r="A706" i="3"/>
  <c r="A714" i="3"/>
  <c r="A722" i="3"/>
  <c r="A730" i="3"/>
  <c r="A738" i="3"/>
  <c r="A746" i="3"/>
  <c r="A754" i="3"/>
  <c r="A762" i="3"/>
  <c r="A770" i="3"/>
  <c r="A778" i="3"/>
  <c r="A786" i="3"/>
  <c r="A794" i="3"/>
  <c r="A802" i="3"/>
  <c r="A810" i="3"/>
  <c r="A818" i="3"/>
  <c r="A826" i="3"/>
  <c r="A834" i="3"/>
  <c r="A842" i="3"/>
  <c r="A850" i="3"/>
  <c r="A858" i="3"/>
  <c r="A866" i="3"/>
  <c r="A874" i="3"/>
  <c r="A882" i="3"/>
  <c r="A890" i="3"/>
  <c r="A898" i="3"/>
  <c r="A906" i="3"/>
  <c r="A914" i="3"/>
  <c r="A922" i="3"/>
  <c r="A930" i="3"/>
  <c r="A938" i="3"/>
  <c r="A946" i="3"/>
  <c r="A954" i="3"/>
  <c r="A962" i="3"/>
  <c r="A970" i="3"/>
  <c r="A978" i="3"/>
  <c r="A986" i="3"/>
  <c r="A994" i="3"/>
  <c r="A1002" i="3"/>
  <c r="A1010" i="3"/>
  <c r="A1018" i="3"/>
  <c r="A1026" i="3"/>
  <c r="A1034" i="3"/>
  <c r="A1042" i="3"/>
  <c r="A1050" i="3"/>
  <c r="A1058" i="3"/>
  <c r="A1066" i="3"/>
  <c r="A1074" i="3"/>
  <c r="A1082" i="3"/>
  <c r="A1090" i="3"/>
  <c r="A1098" i="3"/>
  <c r="A1106" i="3"/>
  <c r="A1114" i="3"/>
  <c r="A1122" i="3"/>
  <c r="A1130" i="3"/>
  <c r="A1138" i="3"/>
  <c r="A1146" i="3"/>
  <c r="A1154" i="3"/>
  <c r="A1162" i="3"/>
  <c r="A1170" i="3"/>
  <c r="A1178" i="3"/>
  <c r="A1186" i="3"/>
  <c r="A1194" i="3"/>
  <c r="A1202" i="3"/>
  <c r="A1210" i="3"/>
  <c r="A1218" i="3"/>
  <c r="A1226" i="3"/>
  <c r="A1234" i="3"/>
  <c r="A1242" i="3"/>
  <c r="A1250" i="3"/>
  <c r="A1258" i="3"/>
  <c r="A1266" i="3"/>
  <c r="A1274" i="3"/>
  <c r="A1282" i="3"/>
  <c r="A1290" i="3"/>
  <c r="A1298" i="3"/>
  <c r="A1306" i="3"/>
  <c r="A1314" i="3"/>
  <c r="A1322" i="3"/>
  <c r="A1330" i="3"/>
  <c r="A1338" i="3"/>
  <c r="A1346" i="3"/>
  <c r="A1354" i="3"/>
  <c r="A1362" i="3"/>
  <c r="A1370" i="3"/>
  <c r="A1378" i="3"/>
  <c r="A1386" i="3"/>
  <c r="A1394" i="3"/>
  <c r="A1402" i="3"/>
  <c r="A1410" i="3"/>
  <c r="A1418" i="3"/>
  <c r="A1426" i="3"/>
  <c r="A1434" i="3"/>
  <c r="A1442" i="3"/>
  <c r="A1450" i="3"/>
  <c r="A1458" i="3"/>
  <c r="A1466" i="3"/>
  <c r="A1474" i="3"/>
  <c r="A1482" i="3"/>
  <c r="A1490" i="3"/>
  <c r="A1498" i="3"/>
  <c r="A1506" i="3"/>
  <c r="A1514" i="3"/>
  <c r="A1522" i="3"/>
  <c r="A1530" i="3"/>
  <c r="A1539" i="3"/>
  <c r="A1555" i="3"/>
  <c r="A1571" i="3"/>
  <c r="A1587" i="3"/>
  <c r="A1603" i="3"/>
  <c r="A1619" i="3"/>
  <c r="A1635" i="3"/>
  <c r="A1651" i="3"/>
  <c r="A1667" i="3"/>
  <c r="A1683" i="3"/>
  <c r="A1699" i="3"/>
  <c r="A1715" i="3"/>
  <c r="A1731" i="3"/>
  <c r="A1747" i="3"/>
  <c r="A1763" i="3"/>
  <c r="A1779" i="3"/>
  <c r="A1795" i="3"/>
  <c r="A1811" i="3"/>
  <c r="A1827" i="3"/>
  <c r="A1843" i="3"/>
  <c r="A1859" i="3"/>
  <c r="A1875" i="3"/>
  <c r="A1891" i="3"/>
  <c r="A1907" i="3"/>
  <c r="A1923" i="3"/>
  <c r="A1939" i="3"/>
  <c r="A1955" i="3"/>
  <c r="A1973" i="3"/>
  <c r="A1996" i="3"/>
  <c r="A2019" i="3"/>
  <c r="A2037" i="3"/>
  <c r="A2060" i="3"/>
  <c r="A2083" i="3"/>
  <c r="A2101" i="3"/>
  <c r="A2124" i="3"/>
  <c r="A2147" i="3"/>
  <c r="A2165" i="3"/>
  <c r="A2188" i="3"/>
  <c r="A2211" i="3"/>
  <c r="A2229" i="3"/>
  <c r="A2252" i="3"/>
  <c r="A2275" i="3"/>
  <c r="A2293" i="3"/>
  <c r="A2316" i="3"/>
  <c r="A2339" i="3"/>
  <c r="A2357" i="3"/>
  <c r="A2380" i="3"/>
  <c r="A2403" i="3"/>
  <c r="A2421" i="3"/>
  <c r="A2444" i="3"/>
  <c r="A2467" i="3"/>
  <c r="A2485" i="3"/>
  <c r="A2508" i="3"/>
  <c r="A2531" i="3"/>
  <c r="A2549" i="3"/>
  <c r="A2572" i="3"/>
  <c r="A2595" i="3"/>
  <c r="A2613" i="3"/>
  <c r="A2636" i="3"/>
  <c r="A2659" i="3"/>
  <c r="A2677" i="3"/>
  <c r="A2700" i="3"/>
  <c r="A2723" i="3"/>
  <c r="A2741" i="3"/>
  <c r="A2764" i="3"/>
  <c r="A2787" i="3"/>
  <c r="A2805" i="3"/>
  <c r="A2828" i="3"/>
  <c r="A2851" i="3"/>
  <c r="A2869" i="3"/>
  <c r="A2892" i="3"/>
  <c r="A2915" i="3"/>
  <c r="A2933" i="3"/>
  <c r="A2956" i="3"/>
  <c r="A2979" i="3"/>
  <c r="A2997" i="3"/>
  <c r="A3020" i="3"/>
  <c r="A3043" i="3"/>
  <c r="A3061" i="3"/>
  <c r="A3084" i="3"/>
  <c r="A3107" i="3"/>
  <c r="A3125" i="3"/>
  <c r="A3148" i="3"/>
  <c r="A3171" i="3"/>
  <c r="A3189" i="3"/>
  <c r="A3212" i="3"/>
  <c r="A3235" i="3"/>
  <c r="A3253" i="3"/>
  <c r="A3276" i="3"/>
  <c r="A3299" i="3"/>
  <c r="A3317" i="3"/>
  <c r="A3340" i="3"/>
  <c r="A3363" i="3"/>
  <c r="A3381" i="3"/>
  <c r="A3404" i="3"/>
  <c r="A3427" i="3"/>
  <c r="A3445" i="3"/>
  <c r="A3468" i="3"/>
  <c r="A3491" i="3"/>
  <c r="A3509" i="3"/>
  <c r="A3532" i="3"/>
  <c r="A3555" i="3"/>
  <c r="A3573" i="3"/>
  <c r="A3596" i="3"/>
  <c r="A3619" i="3"/>
  <c r="A3637" i="3"/>
  <c r="A3660" i="3"/>
  <c r="A3683" i="3"/>
  <c r="A3701" i="3"/>
  <c r="A3724" i="3"/>
  <c r="A3747" i="3"/>
  <c r="A3765" i="3"/>
  <c r="A3788" i="3"/>
  <c r="A3820" i="3"/>
  <c r="A3868" i="3"/>
  <c r="A3931" i="3"/>
  <c r="A3994" i="3"/>
  <c r="A4042" i="3"/>
  <c r="A4100" i="3"/>
  <c r="A4163" i="3"/>
  <c r="A4211" i="3"/>
  <c r="A4274" i="3"/>
  <c r="A4332" i="3"/>
  <c r="A4380" i="3"/>
  <c r="A4443" i="3"/>
  <c r="A4506" i="3"/>
  <c r="A4562" i="3"/>
  <c r="A4640" i="3"/>
  <c r="A4737" i="3"/>
  <c r="A4815" i="3"/>
  <c r="A4949" i="3"/>
  <c r="A5150" i="3"/>
  <c r="A5408" i="3"/>
  <c r="A5791" i="3"/>
  <c r="A6753" i="3"/>
  <c r="A3" i="3"/>
  <c r="A11" i="3"/>
  <c r="A19" i="3"/>
  <c r="A27" i="3"/>
  <c r="A35" i="3"/>
  <c r="A43" i="3"/>
  <c r="A51" i="3"/>
  <c r="A59" i="3"/>
  <c r="A67" i="3"/>
  <c r="A75" i="3"/>
  <c r="A83" i="3"/>
  <c r="A91" i="3"/>
  <c r="A99" i="3"/>
  <c r="A107" i="3"/>
  <c r="A115" i="3"/>
  <c r="A123" i="3"/>
  <c r="A131" i="3"/>
  <c r="A139" i="3"/>
  <c r="A147" i="3"/>
  <c r="A155" i="3"/>
  <c r="A163" i="3"/>
  <c r="A171" i="3"/>
  <c r="A179" i="3"/>
  <c r="A187" i="3"/>
  <c r="A195" i="3"/>
  <c r="A203" i="3"/>
  <c r="A211" i="3"/>
  <c r="A219" i="3"/>
  <c r="A227" i="3"/>
  <c r="A235" i="3"/>
  <c r="A243" i="3"/>
  <c r="A251" i="3"/>
  <c r="A259" i="3"/>
  <c r="A267" i="3"/>
  <c r="A275" i="3"/>
  <c r="A283" i="3"/>
  <c r="A291" i="3"/>
  <c r="A299" i="3"/>
  <c r="A307" i="3"/>
  <c r="A315" i="3"/>
  <c r="A323" i="3"/>
  <c r="A331" i="3"/>
  <c r="A339" i="3"/>
  <c r="A347" i="3"/>
  <c r="A355" i="3"/>
  <c r="A363" i="3"/>
  <c r="A371" i="3"/>
  <c r="A379" i="3"/>
  <c r="A387" i="3"/>
  <c r="A395" i="3"/>
  <c r="A403" i="3"/>
  <c r="A411" i="3"/>
  <c r="A419" i="3"/>
  <c r="A427" i="3"/>
  <c r="A435" i="3"/>
  <c r="A443" i="3"/>
  <c r="A451" i="3"/>
  <c r="A459" i="3"/>
  <c r="A467" i="3"/>
  <c r="A475" i="3"/>
  <c r="A483" i="3"/>
  <c r="A491" i="3"/>
  <c r="A499" i="3"/>
  <c r="A507" i="3"/>
  <c r="A515" i="3"/>
  <c r="A523" i="3"/>
  <c r="A531" i="3"/>
  <c r="A539" i="3"/>
  <c r="A547" i="3"/>
  <c r="A555" i="3"/>
  <c r="A563" i="3"/>
  <c r="A571" i="3"/>
  <c r="A579" i="3"/>
  <c r="A587" i="3"/>
  <c r="A595" i="3"/>
  <c r="A603" i="3"/>
  <c r="A611" i="3"/>
  <c r="A619" i="3"/>
  <c r="A627" i="3"/>
  <c r="A635" i="3"/>
  <c r="A643" i="3"/>
  <c r="A651" i="3"/>
  <c r="A659" i="3"/>
  <c r="A667" i="3"/>
  <c r="A675" i="3"/>
  <c r="A683" i="3"/>
  <c r="A691" i="3"/>
  <c r="A699" i="3"/>
  <c r="A707" i="3"/>
  <c r="A715" i="3"/>
  <c r="A723" i="3"/>
  <c r="A731" i="3"/>
  <c r="A739" i="3"/>
  <c r="A747" i="3"/>
  <c r="A755" i="3"/>
  <c r="A763" i="3"/>
  <c r="A771" i="3"/>
  <c r="A779" i="3"/>
  <c r="A787" i="3"/>
  <c r="A795" i="3"/>
  <c r="A803" i="3"/>
  <c r="A811" i="3"/>
  <c r="A819" i="3"/>
  <c r="A827" i="3"/>
  <c r="A835" i="3"/>
  <c r="A843" i="3"/>
  <c r="A851" i="3"/>
  <c r="A859" i="3"/>
  <c r="A867" i="3"/>
  <c r="A875" i="3"/>
  <c r="A883" i="3"/>
  <c r="A891" i="3"/>
  <c r="A899" i="3"/>
  <c r="A907" i="3"/>
  <c r="A915" i="3"/>
  <c r="A923" i="3"/>
  <c r="A931" i="3"/>
  <c r="A939" i="3"/>
  <c r="A947" i="3"/>
  <c r="A955" i="3"/>
  <c r="A963" i="3"/>
  <c r="A971" i="3"/>
  <c r="A979" i="3"/>
  <c r="A987" i="3"/>
  <c r="A995" i="3"/>
  <c r="A1003" i="3"/>
  <c r="A1011" i="3"/>
  <c r="A1019" i="3"/>
  <c r="A1027" i="3"/>
  <c r="A1035" i="3"/>
  <c r="A1043" i="3"/>
  <c r="A1051" i="3"/>
  <c r="A1059" i="3"/>
  <c r="A1067" i="3"/>
  <c r="A1075" i="3"/>
  <c r="A1083" i="3"/>
  <c r="A1091" i="3"/>
  <c r="A1099" i="3"/>
  <c r="A1107" i="3"/>
  <c r="A1115" i="3"/>
  <c r="A1123" i="3"/>
  <c r="A1131" i="3"/>
  <c r="A1139" i="3"/>
  <c r="A1147" i="3"/>
  <c r="A1155" i="3"/>
  <c r="A1163" i="3"/>
  <c r="A1171" i="3"/>
  <c r="A1179" i="3"/>
  <c r="A1187" i="3"/>
  <c r="A1195" i="3"/>
  <c r="A1203" i="3"/>
  <c r="A1211" i="3"/>
  <c r="A1219" i="3"/>
  <c r="A1227" i="3"/>
  <c r="A1235" i="3"/>
  <c r="A1243" i="3"/>
  <c r="A1251" i="3"/>
  <c r="A1259" i="3"/>
  <c r="A1267" i="3"/>
  <c r="A1275" i="3"/>
  <c r="A1283" i="3"/>
  <c r="A1291" i="3"/>
  <c r="A1299" i="3"/>
  <c r="A1307" i="3"/>
  <c r="A1315" i="3"/>
  <c r="A1323" i="3"/>
  <c r="A1331" i="3"/>
  <c r="A1339" i="3"/>
  <c r="A1347" i="3"/>
  <c r="A1355" i="3"/>
  <c r="A1363" i="3"/>
  <c r="A1371" i="3"/>
  <c r="A1379" i="3"/>
  <c r="A1387" i="3"/>
  <c r="A1395" i="3"/>
  <c r="A1403" i="3"/>
  <c r="A1411" i="3"/>
  <c r="A1419" i="3"/>
  <c r="A1427" i="3"/>
  <c r="A1435" i="3"/>
  <c r="A1443" i="3"/>
  <c r="A1451" i="3"/>
  <c r="A1459" i="3"/>
  <c r="A1467" i="3"/>
  <c r="A1475" i="3"/>
  <c r="A1483" i="3"/>
  <c r="A1491" i="3"/>
  <c r="A1499" i="3"/>
  <c r="A1507" i="3"/>
  <c r="A1515" i="3"/>
  <c r="A1523" i="3"/>
  <c r="A1531" i="3"/>
  <c r="A1540" i="3"/>
  <c r="A1556" i="3"/>
  <c r="A1572" i="3"/>
  <c r="A1588" i="3"/>
  <c r="A1604" i="3"/>
  <c r="A1620" i="3"/>
  <c r="A1636" i="3"/>
  <c r="A1652" i="3"/>
  <c r="A1668" i="3"/>
  <c r="A1684" i="3"/>
  <c r="A1700" i="3"/>
  <c r="A1716" i="3"/>
  <c r="A1732" i="3"/>
  <c r="A1748" i="3"/>
  <c r="A1764" i="3"/>
  <c r="A1780" i="3"/>
  <c r="A1796" i="3"/>
  <c r="A1812" i="3"/>
  <c r="A1828" i="3"/>
  <c r="A1844" i="3"/>
  <c r="A1860" i="3"/>
  <c r="A1876" i="3"/>
  <c r="A1892" i="3"/>
  <c r="A1908" i="3"/>
  <c r="A1924" i="3"/>
  <c r="A1940" i="3"/>
  <c r="A1956" i="3"/>
  <c r="A1979" i="3"/>
  <c r="A1997" i="3"/>
  <c r="A2020" i="3"/>
  <c r="A2043" i="3"/>
  <c r="A2061" i="3"/>
  <c r="A2084" i="3"/>
  <c r="A2107" i="3"/>
  <c r="A2125" i="3"/>
  <c r="A2148" i="3"/>
  <c r="A2171" i="3"/>
  <c r="A2189" i="3"/>
  <c r="A2212" i="3"/>
  <c r="A2235" i="3"/>
  <c r="A2253" i="3"/>
  <c r="A2276" i="3"/>
  <c r="A2299" i="3"/>
  <c r="A2317" i="3"/>
  <c r="A2340" i="3"/>
  <c r="A2363" i="3"/>
  <c r="A2381" i="3"/>
  <c r="A2404" i="3"/>
  <c r="A2427" i="3"/>
  <c r="A2445" i="3"/>
  <c r="A2468" i="3"/>
  <c r="A2491" i="3"/>
  <c r="A2509" i="3"/>
  <c r="A2532" i="3"/>
  <c r="A2555" i="3"/>
  <c r="A2573" i="3"/>
  <c r="A2596" i="3"/>
  <c r="A2619" i="3"/>
  <c r="A2637" i="3"/>
  <c r="A2660" i="3"/>
  <c r="A2683" i="3"/>
  <c r="A2701" i="3"/>
  <c r="A2724" i="3"/>
  <c r="A2747" i="3"/>
  <c r="A2765" i="3"/>
  <c r="A2788" i="3"/>
  <c r="A2811" i="3"/>
  <c r="A2829" i="3"/>
  <c r="A2852" i="3"/>
  <c r="A2875" i="3"/>
  <c r="A2893" i="3"/>
  <c r="A2916" i="3"/>
  <c r="A2939" i="3"/>
  <c r="A2957" i="3"/>
  <c r="A2980" i="3"/>
  <c r="A3003" i="3"/>
  <c r="A3021" i="3"/>
  <c r="A3044" i="3"/>
  <c r="A3067" i="3"/>
  <c r="A3085" i="3"/>
  <c r="A3108" i="3"/>
  <c r="A3131" i="3"/>
  <c r="A3149" i="3"/>
  <c r="A3172" i="3"/>
  <c r="A3195" i="3"/>
  <c r="A3213" i="3"/>
  <c r="A3236" i="3"/>
  <c r="A3259" i="3"/>
  <c r="A3277" i="3"/>
  <c r="A3300" i="3"/>
  <c r="A3323" i="3"/>
  <c r="A3341" i="3"/>
  <c r="A3364" i="3"/>
  <c r="A3387" i="3"/>
  <c r="A3405" i="3"/>
  <c r="A3428" i="3"/>
  <c r="A3451" i="3"/>
  <c r="A3469" i="3"/>
  <c r="A3492" i="3"/>
  <c r="A3515" i="3"/>
  <c r="A3533" i="3"/>
  <c r="A3556" i="3"/>
  <c r="A3579" i="3"/>
  <c r="A3597" i="3"/>
  <c r="A3620" i="3"/>
  <c r="A3643" i="3"/>
  <c r="A3661" i="3"/>
  <c r="A3684" i="3"/>
  <c r="A3707" i="3"/>
  <c r="A3725" i="3"/>
  <c r="A3748" i="3"/>
  <c r="A3771" i="3"/>
  <c r="A3789" i="3"/>
  <c r="A3826" i="3"/>
  <c r="A3884" i="3"/>
  <c r="A3932" i="3"/>
  <c r="A3995" i="3"/>
  <c r="A4058" i="3"/>
  <c r="A4106" i="3"/>
  <c r="A4164" i="3"/>
  <c r="A4227" i="3"/>
  <c r="A4275" i="3"/>
  <c r="A4338" i="3"/>
  <c r="A4396" i="3"/>
  <c r="A4444" i="3"/>
  <c r="A4507" i="3"/>
  <c r="A4584" i="3"/>
  <c r="A4648" i="3"/>
  <c r="A4741" i="3"/>
  <c r="A4840" i="3"/>
  <c r="A4961" i="3"/>
  <c r="A5151" i="3"/>
  <c r="A5511" i="3"/>
  <c r="A5818" i="3"/>
  <c r="A6800" i="3"/>
  <c r="A4" i="3"/>
  <c r="A12" i="3"/>
  <c r="A20" i="3"/>
  <c r="A28" i="3"/>
  <c r="A36" i="3"/>
  <c r="A44" i="3"/>
  <c r="A52" i="3"/>
  <c r="A60" i="3"/>
  <c r="A68" i="3"/>
  <c r="A76" i="3"/>
  <c r="A84" i="3"/>
  <c r="A92" i="3"/>
  <c r="A100" i="3"/>
  <c r="A108" i="3"/>
  <c r="A116" i="3"/>
  <c r="A124" i="3"/>
  <c r="A132" i="3"/>
  <c r="A140" i="3"/>
  <c r="A148" i="3"/>
  <c r="A156" i="3"/>
  <c r="A164" i="3"/>
  <c r="A172" i="3"/>
  <c r="A180" i="3"/>
  <c r="A188" i="3"/>
  <c r="A196" i="3"/>
  <c r="A204" i="3"/>
  <c r="A212" i="3"/>
  <c r="A220" i="3"/>
  <c r="A228" i="3"/>
  <c r="A236" i="3"/>
  <c r="A244" i="3"/>
  <c r="A252" i="3"/>
  <c r="A260" i="3"/>
  <c r="A268" i="3"/>
  <c r="A276" i="3"/>
  <c r="A284" i="3"/>
  <c r="A292" i="3"/>
  <c r="A300" i="3"/>
  <c r="A308" i="3"/>
  <c r="A316" i="3"/>
  <c r="A324" i="3"/>
  <c r="A332" i="3"/>
  <c r="A340" i="3"/>
  <c r="A348" i="3"/>
  <c r="A356" i="3"/>
  <c r="A364" i="3"/>
  <c r="A372" i="3"/>
  <c r="A380" i="3"/>
  <c r="A388" i="3"/>
  <c r="A396" i="3"/>
  <c r="A404" i="3"/>
  <c r="A412" i="3"/>
  <c r="A420" i="3"/>
  <c r="A428" i="3"/>
  <c r="A436" i="3"/>
  <c r="A444" i="3"/>
  <c r="A452" i="3"/>
  <c r="A460" i="3"/>
  <c r="A468" i="3"/>
  <c r="A476" i="3"/>
  <c r="A484" i="3"/>
  <c r="A492" i="3"/>
  <c r="A500" i="3"/>
  <c r="A508" i="3"/>
  <c r="A516" i="3"/>
  <c r="A524" i="3"/>
  <c r="A532" i="3"/>
  <c r="A540" i="3"/>
  <c r="A548" i="3"/>
  <c r="A556" i="3"/>
  <c r="A564" i="3"/>
  <c r="A572" i="3"/>
  <c r="A580" i="3"/>
  <c r="A588" i="3"/>
  <c r="A596" i="3"/>
  <c r="A604" i="3"/>
  <c r="A612" i="3"/>
  <c r="A620" i="3"/>
  <c r="A628" i="3"/>
  <c r="A636" i="3"/>
  <c r="A644" i="3"/>
  <c r="A652" i="3"/>
  <c r="A660" i="3"/>
  <c r="A668" i="3"/>
  <c r="A676" i="3"/>
  <c r="A684" i="3"/>
  <c r="A692" i="3"/>
  <c r="A700" i="3"/>
  <c r="A708" i="3"/>
  <c r="A716" i="3"/>
  <c r="A724" i="3"/>
  <c r="A732" i="3"/>
  <c r="A740" i="3"/>
  <c r="A748" i="3"/>
  <c r="A756" i="3"/>
  <c r="A764" i="3"/>
  <c r="A772" i="3"/>
  <c r="A780" i="3"/>
  <c r="A788" i="3"/>
  <c r="A796" i="3"/>
  <c r="A804" i="3"/>
  <c r="A812" i="3"/>
  <c r="A820" i="3"/>
  <c r="A828" i="3"/>
  <c r="A836" i="3"/>
  <c r="A844" i="3"/>
  <c r="A852" i="3"/>
  <c r="A860" i="3"/>
  <c r="A868" i="3"/>
  <c r="A876" i="3"/>
  <c r="A884" i="3"/>
  <c r="A892" i="3"/>
  <c r="A900" i="3"/>
  <c r="A908" i="3"/>
  <c r="A916" i="3"/>
  <c r="A924" i="3"/>
  <c r="A932" i="3"/>
  <c r="A940" i="3"/>
  <c r="A948" i="3"/>
  <c r="A956" i="3"/>
  <c r="A964" i="3"/>
  <c r="A972" i="3"/>
  <c r="A980" i="3"/>
  <c r="A988" i="3"/>
  <c r="A996" i="3"/>
  <c r="A1004" i="3"/>
  <c r="A1012" i="3"/>
  <c r="A1020" i="3"/>
  <c r="A1028" i="3"/>
  <c r="A1036" i="3"/>
  <c r="A1044" i="3"/>
  <c r="A1052" i="3"/>
  <c r="A1060" i="3"/>
  <c r="A1068" i="3"/>
  <c r="A1076" i="3"/>
  <c r="A1084" i="3"/>
  <c r="A1092" i="3"/>
  <c r="A1100" i="3"/>
  <c r="A1108" i="3"/>
  <c r="A1116" i="3"/>
  <c r="A1124" i="3"/>
  <c r="A1132" i="3"/>
  <c r="A1140" i="3"/>
  <c r="A1148" i="3"/>
  <c r="A1156" i="3"/>
  <c r="A1164" i="3"/>
  <c r="A1172" i="3"/>
  <c r="A1180" i="3"/>
  <c r="A1188" i="3"/>
  <c r="A1196" i="3"/>
  <c r="A1204" i="3"/>
  <c r="A1212" i="3"/>
  <c r="A1220" i="3"/>
  <c r="A1228" i="3"/>
  <c r="A1236" i="3"/>
  <c r="A1244" i="3"/>
  <c r="A1252" i="3"/>
  <c r="A1260" i="3"/>
  <c r="A1268" i="3"/>
  <c r="A1276" i="3"/>
  <c r="A1284" i="3"/>
  <c r="A1292" i="3"/>
  <c r="A1300" i="3"/>
  <c r="A1308" i="3"/>
  <c r="A1316" i="3"/>
  <c r="A1324" i="3"/>
  <c r="A1332" i="3"/>
  <c r="A1340" i="3"/>
  <c r="A1348" i="3"/>
  <c r="A1356" i="3"/>
  <c r="A1364" i="3"/>
  <c r="A1372" i="3"/>
  <c r="A1380" i="3"/>
  <c r="A1388" i="3"/>
  <c r="A1396" i="3"/>
  <c r="A1404" i="3"/>
  <c r="A1412" i="3"/>
  <c r="A1420" i="3"/>
  <c r="A1428" i="3"/>
  <c r="A1436" i="3"/>
  <c r="A1444" i="3"/>
  <c r="A1452" i="3"/>
  <c r="A1460" i="3"/>
  <c r="A1468" i="3"/>
  <c r="A1476" i="3"/>
  <c r="A1484" i="3"/>
  <c r="A1492" i="3"/>
  <c r="A1500" i="3"/>
  <c r="A1508" i="3"/>
  <c r="A1516" i="3"/>
  <c r="A1524" i="3"/>
  <c r="A1532" i="3"/>
  <c r="A1541" i="3"/>
  <c r="A1557" i="3"/>
  <c r="A1573" i="3"/>
  <c r="A1589" i="3"/>
  <c r="A1605" i="3"/>
  <c r="A1621" i="3"/>
  <c r="A1637" i="3"/>
  <c r="A1653" i="3"/>
  <c r="A1669" i="3"/>
  <c r="A1685" i="3"/>
  <c r="A1701" i="3"/>
  <c r="A1717" i="3"/>
  <c r="A1733" i="3"/>
  <c r="A1749" i="3"/>
  <c r="A1765" i="3"/>
  <c r="A1781" i="3"/>
  <c r="A1797" i="3"/>
  <c r="A1813" i="3"/>
  <c r="A1829" i="3"/>
  <c r="A1845" i="3"/>
  <c r="A1861" i="3"/>
  <c r="A1877" i="3"/>
  <c r="A1893" i="3"/>
  <c r="A1909" i="3"/>
  <c r="A1925" i="3"/>
  <c r="A1941" i="3"/>
  <c r="A1957" i="3"/>
  <c r="A1980" i="3"/>
  <c r="A2003" i="3"/>
  <c r="A2021" i="3"/>
  <c r="A2044" i="3"/>
  <c r="A2067" i="3"/>
  <c r="A2085" i="3"/>
  <c r="A2108" i="3"/>
  <c r="A2131" i="3"/>
  <c r="A2149" i="3"/>
  <c r="A2172" i="3"/>
  <c r="A2195" i="3"/>
  <c r="A2213" i="3"/>
  <c r="A2236" i="3"/>
  <c r="A2259" i="3"/>
  <c r="A2277" i="3"/>
  <c r="A2300" i="3"/>
  <c r="A2323" i="3"/>
  <c r="A2341" i="3"/>
  <c r="A2364" i="3"/>
  <c r="A2387" i="3"/>
  <c r="A2405" i="3"/>
  <c r="A2428" i="3"/>
  <c r="A2451" i="3"/>
  <c r="A2469" i="3"/>
  <c r="A2492" i="3"/>
  <c r="A2515" i="3"/>
  <c r="A2533" i="3"/>
  <c r="A2556" i="3"/>
  <c r="A2579" i="3"/>
  <c r="A2597" i="3"/>
  <c r="A2620" i="3"/>
  <c r="A2643" i="3"/>
  <c r="A2661" i="3"/>
  <c r="A2684" i="3"/>
  <c r="A2707" i="3"/>
  <c r="A2725" i="3"/>
  <c r="A2748" i="3"/>
  <c r="A2771" i="3"/>
  <c r="A2789" i="3"/>
  <c r="A2812" i="3"/>
  <c r="A2835" i="3"/>
  <c r="A2853" i="3"/>
  <c r="A2876" i="3"/>
  <c r="A2899" i="3"/>
  <c r="A2917" i="3"/>
  <c r="A2940" i="3"/>
  <c r="A2963" i="3"/>
  <c r="A2981" i="3"/>
  <c r="A3004" i="3"/>
  <c r="A3027" i="3"/>
  <c r="A3045" i="3"/>
  <c r="A3068" i="3"/>
  <c r="A3091" i="3"/>
  <c r="A3109" i="3"/>
  <c r="A3132" i="3"/>
  <c r="A3155" i="3"/>
  <c r="A3173" i="3"/>
  <c r="A3196" i="3"/>
  <c r="A3219" i="3"/>
  <c r="A3237" i="3"/>
  <c r="A3260" i="3"/>
  <c r="A3283" i="3"/>
  <c r="A3301" i="3"/>
  <c r="A3324" i="3"/>
  <c r="A3347" i="3"/>
  <c r="A3365" i="3"/>
  <c r="A3388" i="3"/>
  <c r="A3411" i="3"/>
  <c r="A3429" i="3"/>
  <c r="A3452" i="3"/>
  <c r="A3475" i="3"/>
  <c r="A3493" i="3"/>
  <c r="A3516" i="3"/>
  <c r="A3539" i="3"/>
  <c r="A3557" i="3"/>
  <c r="A3580" i="3"/>
  <c r="A3603" i="3"/>
  <c r="A3621" i="3"/>
  <c r="A3644" i="3"/>
  <c r="A3667" i="3"/>
  <c r="A3685" i="3"/>
  <c r="A3708" i="3"/>
  <c r="A3731" i="3"/>
  <c r="A3749" i="3"/>
  <c r="A3772" i="3"/>
  <c r="A3795" i="3"/>
  <c r="A3827" i="3"/>
  <c r="A3890" i="3"/>
  <c r="A3948" i="3"/>
  <c r="A3996" i="3"/>
  <c r="A4059" i="3"/>
  <c r="A4122" i="3"/>
  <c r="A4170" i="3"/>
  <c r="A4228" i="3"/>
  <c r="A4291" i="3"/>
  <c r="A4339" i="3"/>
  <c r="A4402" i="3"/>
  <c r="A4460" i="3"/>
  <c r="A4508" i="3"/>
  <c r="A4585" i="3"/>
  <c r="A4672" i="3"/>
  <c r="A4750" i="3"/>
  <c r="A4841" i="3"/>
  <c r="A5009" i="3"/>
  <c r="A5173" i="3"/>
  <c r="A5512" i="3"/>
  <c r="A5979" i="3"/>
  <c r="A7023" i="3"/>
  <c r="A5" i="3"/>
  <c r="A13" i="3"/>
  <c r="A21" i="3"/>
  <c r="A29" i="3"/>
  <c r="A37" i="3"/>
  <c r="A45" i="3"/>
  <c r="A53" i="3"/>
  <c r="A61" i="3"/>
  <c r="A69" i="3"/>
  <c r="A77" i="3"/>
  <c r="A85" i="3"/>
  <c r="A93" i="3"/>
  <c r="A101" i="3"/>
  <c r="A109" i="3"/>
  <c r="A117" i="3"/>
  <c r="A125" i="3"/>
  <c r="A133" i="3"/>
  <c r="A141" i="3"/>
  <c r="A149" i="3"/>
  <c r="A157" i="3"/>
  <c r="A165" i="3"/>
  <c r="A173" i="3"/>
  <c r="A181" i="3"/>
  <c r="A189" i="3"/>
  <c r="A197" i="3"/>
  <c r="A205" i="3"/>
  <c r="A213" i="3"/>
  <c r="A221" i="3"/>
  <c r="A229" i="3"/>
  <c r="A237" i="3"/>
  <c r="A245" i="3"/>
  <c r="A253" i="3"/>
  <c r="A261" i="3"/>
  <c r="A269" i="3"/>
  <c r="A277" i="3"/>
  <c r="A285" i="3"/>
  <c r="A293" i="3"/>
  <c r="A301" i="3"/>
  <c r="A309" i="3"/>
  <c r="A317" i="3"/>
  <c r="A325" i="3"/>
  <c r="A333" i="3"/>
  <c r="A341" i="3"/>
  <c r="A349" i="3"/>
  <c r="A357" i="3"/>
  <c r="A365" i="3"/>
  <c r="A373" i="3"/>
  <c r="A381" i="3"/>
  <c r="A389" i="3"/>
  <c r="A397" i="3"/>
  <c r="A405" i="3"/>
  <c r="A413" i="3"/>
  <c r="A421" i="3"/>
  <c r="A429" i="3"/>
  <c r="A437" i="3"/>
  <c r="A445" i="3"/>
  <c r="A453" i="3"/>
  <c r="A461" i="3"/>
  <c r="A469" i="3"/>
  <c r="A477" i="3"/>
  <c r="A485" i="3"/>
  <c r="A493" i="3"/>
  <c r="A501" i="3"/>
  <c r="A509" i="3"/>
  <c r="A517" i="3"/>
  <c r="A525" i="3"/>
  <c r="A533" i="3"/>
  <c r="A541" i="3"/>
  <c r="A549" i="3"/>
  <c r="A557" i="3"/>
  <c r="A565" i="3"/>
  <c r="A573" i="3"/>
  <c r="A581" i="3"/>
  <c r="A589" i="3"/>
  <c r="A597" i="3"/>
  <c r="A605" i="3"/>
  <c r="A613" i="3"/>
  <c r="A621" i="3"/>
  <c r="A629" i="3"/>
  <c r="A637" i="3"/>
  <c r="A645" i="3"/>
  <c r="A653" i="3"/>
  <c r="A661" i="3"/>
  <c r="A669" i="3"/>
  <c r="A677" i="3"/>
  <c r="A685" i="3"/>
  <c r="A693" i="3"/>
  <c r="A701" i="3"/>
  <c r="A709" i="3"/>
  <c r="A717" i="3"/>
  <c r="A725" i="3"/>
  <c r="A733" i="3"/>
  <c r="A741" i="3"/>
  <c r="A749" i="3"/>
  <c r="A757" i="3"/>
  <c r="A765" i="3"/>
  <c r="A773" i="3"/>
  <c r="A781" i="3"/>
  <c r="A789" i="3"/>
  <c r="A797" i="3"/>
  <c r="A805" i="3"/>
  <c r="A813" i="3"/>
  <c r="A821" i="3"/>
  <c r="A829" i="3"/>
  <c r="A837" i="3"/>
  <c r="A845" i="3"/>
  <c r="A853" i="3"/>
  <c r="A861" i="3"/>
  <c r="A869" i="3"/>
  <c r="A877" i="3"/>
  <c r="A885" i="3"/>
  <c r="A893" i="3"/>
  <c r="A901" i="3"/>
  <c r="A909" i="3"/>
  <c r="A917" i="3"/>
  <c r="A925" i="3"/>
  <c r="A933" i="3"/>
  <c r="A941" i="3"/>
  <c r="A949" i="3"/>
  <c r="A957" i="3"/>
  <c r="A965" i="3"/>
  <c r="A973" i="3"/>
  <c r="A981" i="3"/>
  <c r="A989" i="3"/>
  <c r="A997" i="3"/>
  <c r="A1005" i="3"/>
  <c r="A1013" i="3"/>
  <c r="A1021" i="3"/>
  <c r="A1029" i="3"/>
  <c r="A1037" i="3"/>
  <c r="A1045" i="3"/>
  <c r="A1053" i="3"/>
  <c r="A1061" i="3"/>
  <c r="A1069" i="3"/>
  <c r="A1077" i="3"/>
  <c r="A1085" i="3"/>
  <c r="A1093" i="3"/>
  <c r="A1101" i="3"/>
  <c r="A1109" i="3"/>
  <c r="A1117" i="3"/>
  <c r="A1125" i="3"/>
  <c r="A1133" i="3"/>
  <c r="A1141" i="3"/>
  <c r="A1149" i="3"/>
  <c r="A1157" i="3"/>
  <c r="A1165" i="3"/>
  <c r="A1173" i="3"/>
  <c r="A1181" i="3"/>
  <c r="A1189" i="3"/>
  <c r="A1197" i="3"/>
  <c r="A1205" i="3"/>
  <c r="A1213" i="3"/>
  <c r="A1221" i="3"/>
  <c r="A1229" i="3"/>
  <c r="A1237" i="3"/>
  <c r="A1245" i="3"/>
  <c r="A1253" i="3"/>
  <c r="A1261" i="3"/>
  <c r="A1269" i="3"/>
  <c r="A1277" i="3"/>
  <c r="A1285" i="3"/>
  <c r="A1293" i="3"/>
  <c r="A1301" i="3"/>
  <c r="A1309" i="3"/>
  <c r="A1317" i="3"/>
  <c r="A1325" i="3"/>
  <c r="A1333" i="3"/>
  <c r="A1341" i="3"/>
  <c r="A1349" i="3"/>
  <c r="A1357" i="3"/>
  <c r="A1365" i="3"/>
  <c r="A1373" i="3"/>
  <c r="A1381" i="3"/>
  <c r="A1389" i="3"/>
  <c r="A1397" i="3"/>
  <c r="A1405" i="3"/>
  <c r="A1413" i="3"/>
  <c r="A1421" i="3"/>
  <c r="A1429" i="3"/>
  <c r="A1437" i="3"/>
  <c r="A1445" i="3"/>
  <c r="A1453" i="3"/>
  <c r="A1461" i="3"/>
  <c r="A1469" i="3"/>
  <c r="A1477" i="3"/>
  <c r="A1485" i="3"/>
  <c r="A1493" i="3"/>
  <c r="A1501" i="3"/>
  <c r="A1509" i="3"/>
  <c r="A1517" i="3"/>
  <c r="A1525" i="3"/>
  <c r="A1533" i="3"/>
  <c r="A1544" i="3"/>
  <c r="A1560" i="3"/>
  <c r="A1576" i="3"/>
  <c r="A1592" i="3"/>
  <c r="A1608" i="3"/>
  <c r="A1624" i="3"/>
  <c r="A1640" i="3"/>
  <c r="A1656" i="3"/>
  <c r="A1672" i="3"/>
  <c r="A1688" i="3"/>
  <c r="A1704" i="3"/>
  <c r="A1720" i="3"/>
  <c r="A1736" i="3"/>
  <c r="A1752" i="3"/>
  <c r="A1768" i="3"/>
  <c r="A1784" i="3"/>
  <c r="A1800" i="3"/>
  <c r="A1816" i="3"/>
  <c r="A1832" i="3"/>
  <c r="A1848" i="3"/>
  <c r="A1864" i="3"/>
  <c r="A1880" i="3"/>
  <c r="A1896" i="3"/>
  <c r="A1912" i="3"/>
  <c r="A1928" i="3"/>
  <c r="A1944" i="3"/>
  <c r="A1963" i="3"/>
  <c r="A1981" i="3"/>
  <c r="A2004" i="3"/>
  <c r="A2027" i="3"/>
  <c r="A2045" i="3"/>
  <c r="A2068" i="3"/>
  <c r="A2091" i="3"/>
  <c r="A2109" i="3"/>
  <c r="A2132" i="3"/>
  <c r="A2155" i="3"/>
  <c r="A2173" i="3"/>
  <c r="A2196" i="3"/>
  <c r="A2219" i="3"/>
  <c r="A2237" i="3"/>
  <c r="A2260" i="3"/>
  <c r="A2283" i="3"/>
  <c r="A2301" i="3"/>
  <c r="A2324" i="3"/>
  <c r="A2347" i="3"/>
  <c r="A2365" i="3"/>
  <c r="A2388" i="3"/>
  <c r="A2411" i="3"/>
  <c r="A2429" i="3"/>
  <c r="A2452" i="3"/>
  <c r="A2475" i="3"/>
  <c r="A2493" i="3"/>
  <c r="A2516" i="3"/>
  <c r="A2539" i="3"/>
  <c r="A2557" i="3"/>
  <c r="A2580" i="3"/>
  <c r="A2603" i="3"/>
  <c r="A2621" i="3"/>
  <c r="A2644" i="3"/>
  <c r="A2667" i="3"/>
  <c r="A2685" i="3"/>
  <c r="A2708" i="3"/>
  <c r="A2731" i="3"/>
  <c r="A2749" i="3"/>
  <c r="A2772" i="3"/>
  <c r="A2795" i="3"/>
  <c r="A2813" i="3"/>
  <c r="A2836" i="3"/>
  <c r="A2859" i="3"/>
  <c r="A2877" i="3"/>
  <c r="A2900" i="3"/>
  <c r="A2923" i="3"/>
  <c r="A2941" i="3"/>
  <c r="A2964" i="3"/>
  <c r="A2987" i="3"/>
  <c r="A3005" i="3"/>
  <c r="A3028" i="3"/>
  <c r="A3051" i="3"/>
  <c r="A3069" i="3"/>
  <c r="A3092" i="3"/>
  <c r="A3115" i="3"/>
  <c r="A3133" i="3"/>
  <c r="A3156" i="3"/>
  <c r="A3179" i="3"/>
  <c r="A3197" i="3"/>
  <c r="A3220" i="3"/>
  <c r="A3243" i="3"/>
  <c r="A3261" i="3"/>
  <c r="A3284" i="3"/>
  <c r="A3307" i="3"/>
  <c r="A3325" i="3"/>
  <c r="A3348" i="3"/>
  <c r="A3371" i="3"/>
  <c r="A3389" i="3"/>
  <c r="A3412" i="3"/>
  <c r="A3435" i="3"/>
  <c r="A3453" i="3"/>
  <c r="A3476" i="3"/>
  <c r="A3499" i="3"/>
  <c r="A3517" i="3"/>
  <c r="A3540" i="3"/>
  <c r="A3563" i="3"/>
  <c r="A3581" i="3"/>
  <c r="A3604" i="3"/>
  <c r="A3627" i="3"/>
  <c r="A3645" i="3"/>
  <c r="A3668" i="3"/>
  <c r="A3691" i="3"/>
  <c r="A3709" i="3"/>
  <c r="A3732" i="3"/>
  <c r="A3755" i="3"/>
  <c r="A3773" i="3"/>
  <c r="A3796" i="3"/>
  <c r="A3843" i="3"/>
  <c r="A3891" i="3"/>
  <c r="A3954" i="3"/>
  <c r="A4012" i="3"/>
  <c r="A4060" i="3"/>
  <c r="A4123" i="3"/>
  <c r="A4186" i="3"/>
  <c r="A4234" i="3"/>
  <c r="A4292" i="3"/>
  <c r="A4355" i="3"/>
  <c r="A4403" i="3"/>
  <c r="A4466" i="3"/>
  <c r="A4524" i="3"/>
  <c r="A4586" i="3"/>
  <c r="A4673" i="3"/>
  <c r="A4775" i="3"/>
  <c r="A4853" i="3"/>
  <c r="A5013" i="3"/>
  <c r="A5240" i="3"/>
  <c r="A5547" i="3"/>
  <c r="A5984" i="3"/>
  <c r="A6" i="3"/>
  <c r="A14" i="3"/>
  <c r="A22" i="3"/>
  <c r="A30" i="3"/>
  <c r="A38" i="3"/>
  <c r="A46" i="3"/>
  <c r="A54" i="3"/>
  <c r="A62" i="3"/>
  <c r="A70" i="3"/>
  <c r="A78" i="3"/>
  <c r="A86" i="3"/>
  <c r="A94" i="3"/>
  <c r="A102" i="3"/>
  <c r="A110" i="3"/>
  <c r="A118" i="3"/>
  <c r="A126" i="3"/>
  <c r="A134" i="3"/>
  <c r="A142" i="3"/>
  <c r="A150" i="3"/>
  <c r="A158" i="3"/>
  <c r="A166" i="3"/>
  <c r="A174" i="3"/>
  <c r="A182" i="3"/>
  <c r="A190" i="3"/>
  <c r="A198" i="3"/>
  <c r="A206" i="3"/>
  <c r="A214" i="3"/>
  <c r="A222" i="3"/>
  <c r="A230" i="3"/>
  <c r="A238" i="3"/>
  <c r="A246" i="3"/>
  <c r="A254" i="3"/>
  <c r="A262" i="3"/>
  <c r="A270" i="3"/>
  <c r="A278" i="3"/>
  <c r="A286" i="3"/>
  <c r="A294" i="3"/>
  <c r="A302" i="3"/>
  <c r="A310" i="3"/>
  <c r="A318" i="3"/>
  <c r="A326" i="3"/>
  <c r="A334" i="3"/>
  <c r="A342" i="3"/>
  <c r="A350" i="3"/>
  <c r="A358" i="3"/>
  <c r="A366" i="3"/>
  <c r="A374" i="3"/>
  <c r="A382" i="3"/>
  <c r="A390" i="3"/>
  <c r="A398" i="3"/>
  <c r="A406" i="3"/>
  <c r="A414" i="3"/>
  <c r="A422" i="3"/>
  <c r="A430" i="3"/>
  <c r="A438" i="3"/>
  <c r="A446" i="3"/>
  <c r="A454" i="3"/>
  <c r="A462" i="3"/>
  <c r="A470" i="3"/>
  <c r="A478" i="3"/>
  <c r="A486" i="3"/>
  <c r="A494" i="3"/>
  <c r="A502" i="3"/>
  <c r="A510" i="3"/>
  <c r="A518" i="3"/>
  <c r="A526" i="3"/>
  <c r="A534" i="3"/>
  <c r="A542" i="3"/>
  <c r="A550" i="3"/>
  <c r="A558" i="3"/>
  <c r="A566" i="3"/>
  <c r="A574" i="3"/>
  <c r="A582" i="3"/>
  <c r="A590" i="3"/>
  <c r="A598" i="3"/>
  <c r="A606" i="3"/>
  <c r="A614" i="3"/>
  <c r="A622" i="3"/>
  <c r="A630" i="3"/>
  <c r="A638" i="3"/>
  <c r="A646" i="3"/>
  <c r="A654" i="3"/>
  <c r="A662" i="3"/>
  <c r="A670" i="3"/>
  <c r="A678" i="3"/>
  <c r="A686" i="3"/>
  <c r="A694" i="3"/>
  <c r="A702" i="3"/>
  <c r="A710" i="3"/>
  <c r="A718" i="3"/>
  <c r="A726" i="3"/>
  <c r="A734" i="3"/>
  <c r="A742" i="3"/>
  <c r="A750" i="3"/>
  <c r="A758" i="3"/>
  <c r="A766" i="3"/>
  <c r="A774" i="3"/>
  <c r="A782" i="3"/>
  <c r="A790" i="3"/>
  <c r="A798" i="3"/>
  <c r="A806" i="3"/>
  <c r="A814" i="3"/>
  <c r="A822" i="3"/>
  <c r="A830" i="3"/>
  <c r="A838" i="3"/>
  <c r="A846" i="3"/>
  <c r="A854" i="3"/>
  <c r="A862" i="3"/>
  <c r="A870" i="3"/>
  <c r="A878" i="3"/>
  <c r="A886" i="3"/>
  <c r="A894" i="3"/>
  <c r="A902" i="3"/>
  <c r="A910" i="3"/>
  <c r="A918" i="3"/>
  <c r="A926" i="3"/>
  <c r="A934" i="3"/>
  <c r="A942" i="3"/>
  <c r="A950" i="3"/>
  <c r="A958" i="3"/>
  <c r="A966" i="3"/>
  <c r="A974" i="3"/>
  <c r="A982" i="3"/>
  <c r="A990" i="3"/>
  <c r="A998" i="3"/>
  <c r="A1006" i="3"/>
  <c r="A1014" i="3"/>
  <c r="A1022" i="3"/>
  <c r="A1030" i="3"/>
  <c r="A1038" i="3"/>
  <c r="A1046" i="3"/>
  <c r="A1054" i="3"/>
  <c r="A1062" i="3"/>
  <c r="A1070" i="3"/>
  <c r="A1078" i="3"/>
  <c r="A1086" i="3"/>
  <c r="A1094" i="3"/>
  <c r="A1102" i="3"/>
  <c r="A1110" i="3"/>
  <c r="A1118" i="3"/>
  <c r="A1126" i="3"/>
  <c r="A1134" i="3"/>
  <c r="A1142" i="3"/>
  <c r="A1150" i="3"/>
  <c r="A1158" i="3"/>
  <c r="A1166" i="3"/>
  <c r="A1174" i="3"/>
  <c r="A1182" i="3"/>
  <c r="A1190" i="3"/>
  <c r="A1198" i="3"/>
  <c r="A1206" i="3"/>
  <c r="A1214" i="3"/>
  <c r="A1222" i="3"/>
  <c r="A1230" i="3"/>
  <c r="A1238" i="3"/>
  <c r="A1246" i="3"/>
  <c r="A1254" i="3"/>
  <c r="A1262" i="3"/>
  <c r="A1270" i="3"/>
  <c r="A1278" i="3"/>
  <c r="A1286" i="3"/>
  <c r="A1294" i="3"/>
  <c r="A1302" i="3"/>
  <c r="A1310" i="3"/>
  <c r="A1318" i="3"/>
  <c r="A1326" i="3"/>
  <c r="A1334" i="3"/>
  <c r="A1342" i="3"/>
  <c r="A1350" i="3"/>
  <c r="A1358" i="3"/>
  <c r="A1366" i="3"/>
  <c r="A1374" i="3"/>
  <c r="A1382" i="3"/>
  <c r="A1390" i="3"/>
  <c r="A1398" i="3"/>
  <c r="A1406" i="3"/>
  <c r="A1414" i="3"/>
  <c r="A1422" i="3"/>
  <c r="A1430" i="3"/>
  <c r="A1438" i="3"/>
  <c r="A1446" i="3"/>
  <c r="A1454" i="3"/>
  <c r="A1462" i="3"/>
  <c r="A1470" i="3"/>
  <c r="A1478" i="3"/>
  <c r="A1486" i="3"/>
  <c r="A1494" i="3"/>
  <c r="A1502" i="3"/>
  <c r="A1510" i="3"/>
  <c r="A1518" i="3"/>
  <c r="A1526" i="3"/>
  <c r="A1534" i="3"/>
  <c r="A1547" i="3"/>
  <c r="A1563" i="3"/>
  <c r="A1579" i="3"/>
  <c r="A1595" i="3"/>
  <c r="A1611" i="3"/>
  <c r="A1627" i="3"/>
  <c r="A1643" i="3"/>
  <c r="A1659" i="3"/>
  <c r="A1675" i="3"/>
  <c r="A1691" i="3"/>
  <c r="A1707" i="3"/>
  <c r="A1723" i="3"/>
  <c r="A1739" i="3"/>
  <c r="A1755" i="3"/>
  <c r="A1771" i="3"/>
  <c r="A1787" i="3"/>
  <c r="A1803" i="3"/>
  <c r="A1819" i="3"/>
  <c r="A1835" i="3"/>
  <c r="A1851" i="3"/>
  <c r="A1867" i="3"/>
  <c r="A1883" i="3"/>
  <c r="A1899" i="3"/>
  <c r="A1915" i="3"/>
  <c r="A1931" i="3"/>
  <c r="A1947" i="3"/>
  <c r="A1964" i="3"/>
  <c r="A1987" i="3"/>
  <c r="A2005" i="3"/>
  <c r="A2028" i="3"/>
  <c r="A2051" i="3"/>
  <c r="A2069" i="3"/>
  <c r="A2092" i="3"/>
  <c r="A2115" i="3"/>
  <c r="A2133" i="3"/>
  <c r="A2156" i="3"/>
  <c r="A2179" i="3"/>
  <c r="A2197" i="3"/>
  <c r="A2220" i="3"/>
  <c r="A2243" i="3"/>
  <c r="A2261" i="3"/>
  <c r="A2284" i="3"/>
  <c r="A2307" i="3"/>
  <c r="A2325" i="3"/>
  <c r="A2348" i="3"/>
  <c r="A2371" i="3"/>
  <c r="A2389" i="3"/>
  <c r="A2412" i="3"/>
  <c r="A2435" i="3"/>
  <c r="A2453" i="3"/>
  <c r="A2476" i="3"/>
  <c r="A2499" i="3"/>
  <c r="A2517" i="3"/>
  <c r="A2540" i="3"/>
  <c r="A2563" i="3"/>
  <c r="A2581" i="3"/>
  <c r="A2604" i="3"/>
  <c r="A2627" i="3"/>
  <c r="A2645" i="3"/>
  <c r="A2668" i="3"/>
  <c r="A2691" i="3"/>
  <c r="A2709" i="3"/>
  <c r="A2732" i="3"/>
  <c r="A2755" i="3"/>
  <c r="A2773" i="3"/>
  <c r="A2796" i="3"/>
  <c r="A2819" i="3"/>
  <c r="A2837" i="3"/>
  <c r="A2860" i="3"/>
  <c r="A2883" i="3"/>
  <c r="A2901" i="3"/>
  <c r="A2924" i="3"/>
  <c r="A2947" i="3"/>
  <c r="A2965" i="3"/>
  <c r="A2988" i="3"/>
  <c r="A3011" i="3"/>
  <c r="A3029" i="3"/>
  <c r="A3052" i="3"/>
  <c r="A3075" i="3"/>
  <c r="A3093" i="3"/>
  <c r="A3116" i="3"/>
  <c r="A3139" i="3"/>
  <c r="A3157" i="3"/>
  <c r="A3180" i="3"/>
  <c r="A3203" i="3"/>
  <c r="A3221" i="3"/>
  <c r="A3244" i="3"/>
  <c r="A3267" i="3"/>
  <c r="A3285" i="3"/>
  <c r="A3308" i="3"/>
  <c r="A3331" i="3"/>
  <c r="A3349" i="3"/>
  <c r="A3372" i="3"/>
  <c r="A3395" i="3"/>
  <c r="A3413" i="3"/>
  <c r="A3436" i="3"/>
  <c r="A3459" i="3"/>
  <c r="A3477" i="3"/>
  <c r="A3500" i="3"/>
  <c r="A3523" i="3"/>
  <c r="A3541" i="3"/>
  <c r="A3564" i="3"/>
  <c r="A3587" i="3"/>
  <c r="A3605" i="3"/>
  <c r="A3628" i="3"/>
  <c r="A3651" i="3"/>
  <c r="A3669" i="3"/>
  <c r="A3692" i="3"/>
  <c r="A3715" i="3"/>
  <c r="A3733" i="3"/>
  <c r="A3756" i="3"/>
  <c r="A3779" i="3"/>
  <c r="A3797" i="3"/>
  <c r="A3844" i="3"/>
  <c r="A3907" i="3"/>
  <c r="A3955" i="3"/>
  <c r="A4018" i="3"/>
  <c r="A4076" i="3"/>
  <c r="A4124" i="3"/>
  <c r="A4187" i="3"/>
  <c r="A4250" i="3"/>
  <c r="A4298" i="3"/>
  <c r="A4356" i="3"/>
  <c r="A4419" i="3"/>
  <c r="A4467" i="3"/>
  <c r="A4530" i="3"/>
  <c r="A4608" i="3"/>
  <c r="A4677" i="3"/>
  <c r="A4776" i="3"/>
  <c r="A4881" i="3"/>
  <c r="A5025" i="3"/>
  <c r="A5242" i="3"/>
  <c r="A5650" i="3"/>
  <c r="A6042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<sst xmlns="http://schemas.openxmlformats.org/spreadsheetml/2006/main" count="88115" uniqueCount="13">
  <si>
    <t>DATE</t>
  </si>
  <si>
    <t>USD</t>
  </si>
  <si>
    <t>EUR</t>
  </si>
  <si>
    <t>GBP</t>
  </si>
  <si>
    <t>JPY</t>
  </si>
  <si>
    <t>AUD</t>
  </si>
  <si>
    <t>CAD</t>
  </si>
  <si>
    <t>SGD</t>
  </si>
  <si>
    <t>CHF</t>
  </si>
  <si>
    <t>CNY</t>
  </si>
  <si>
    <t>AED</t>
  </si>
  <si>
    <t>SAP</t>
  </si>
  <si>
    <t>No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</si>
</sst>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:mm:ss"/>
  </numFmts>
  <fonts count="3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rgb="FF00000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0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/>
    <xf numFmtId="14" fontId="1" fillId="0" borderId="0" xfId="0" applyNumberFormat="1" applyFont="1"/>
    <xf numFmtId="164" fontId="1" fillId="0" borderId="0" xfId="0" applyNumberFormat="1" applyFont="1"/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horizontal="right" wrapText="1"/>
    </xf>
    <xf numFmtId="14" fontId="0" fillId="0" borderId="0" xfId="0" applyNumberFormat="1" applyFont="1" applyAlignment="1"/>
    <xf numFmtId="14" fontId="2" fillId="0" borderId="1" xfId="0" applyNumberFormat="1" applyFont="1" applyBorder="1" applyAlignment="1">
      <alignment wrapText="1"/>
    </xf>
    <xf numFmtId="14" fontId="2" fillId="0" borderId="1" xfId="0" applyNumberFormat="1" applyFont="1" applyBorder="1" applyAlignment="1">
      <alignment horizontal="right" wrapText="1"/>
    </xf>
  </cellXfs>
  <cellStyles count="1">
    <cellStyle name="Normal" xfId="0" builtinId="0"/>
  </cellStyles>
  <dxfs count="1"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U3654"/>
  <sheetViews>
    <sheetView workbookViewId="0"/>
  </sheetViews>
  <sheetFormatPr defaultColWidth="12.6328125" defaultRowHeight="15.75" customHeight="1" x14ac:dyDescent="0.25"/>
  <sheetData>
    <row r="1" spans="1:21" ht="15.75" customHeight="1" x14ac:dyDescent="0.25"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</row>
    <row r="2" spans="1:21" ht="15.75" customHeight="1" x14ac:dyDescent="0.25">
      <c r="A2" s="1" t="s">
        <v>1</v>
      </c>
      <c r="B2" s="2"/>
      <c r="C2" s="2" t="str">
        <f ca="1">IFERROR(__xludf.DUMMYFUNCTION("GOOGLEFINANCE(""CURRENCY:"" &amp; A2 &amp; ""INR"", ""price"", DATE(2010,1,1), DATE(2020,1,1), ""DAILY"")
"),"Date")</f>
        <v>Date</v>
      </c>
      <c r="D2" s="2" t="str">
        <f ca="1">IFERROR(__xludf.DUMMYFUNCTION("""COMPUTED_VALUE"""),"Close")</f>
        <v>Close</v>
      </c>
      <c r="E2" s="2" t="str">
        <f ca="1">IFERROR(__xludf.DUMMYFUNCTION("INDEX(GOOGLEFINANCE(""CURRENCY:"" &amp; A3 &amp; ""INR"", ""price"", DATE(2010,1,1), DATE(2020,1,1), ""DAILY""), , 2)
"),"Close")</f>
        <v>Close</v>
      </c>
      <c r="F2" s="2" t="str">
        <f ca="1">IFERROR(__xludf.DUMMYFUNCTION("INDEX(GOOGLEFINANCE(""CURRENCY:"" &amp; A4 &amp; ""INR"", ""price"", DATE(2010,1,1), DATE(2020,1,1), ""DAILY""), , 2)
"),"Close")</f>
        <v>Close</v>
      </c>
      <c r="G2" s="2" t="str">
        <f ca="1">IFERROR(__xludf.DUMMYFUNCTION("INDEX(GOOGLEFINANCE(""CURRENCY:"" &amp; A5 &amp; ""INR"", ""price"", DATE(2010,1,1), DATE(2020,1,1), ""DAILY""), , 2)
"),"Close")</f>
        <v>Close</v>
      </c>
      <c r="H2" s="2" t="str">
        <f ca="1">IFERROR(__xludf.DUMMYFUNCTION("INDEX(GOOGLEFINANCE(""CURRENCY:"" &amp; A6 &amp; ""INR"", ""price"", DATE(2010,1,1), DATE(2020,1,1), ""DAILY""), , 2)
"),"Close")</f>
        <v>Close</v>
      </c>
      <c r="I2" s="2" t="str">
        <f ca="1">IFERROR(__xludf.DUMMYFUNCTION("INDEX(GOOGLEFINANCE(""CURRENCY:"" &amp; A7 &amp; ""INR"", ""price"", DATE(2010,1,1), DATE(2020,1,1), ""DAILY""), , 2)
"),"Close")</f>
        <v>Close</v>
      </c>
      <c r="J2" s="2" t="str">
        <f ca="1">IFERROR(__xludf.DUMMYFUNCTION("INDEX(GOOGLEFINANCE(""CURRENCY:"" &amp; A8 &amp; ""INR"", ""price"", DATE(2010,1,1), DATE(2020,1,1), ""DAILY""), , 2)
"),"Close")</f>
        <v>Close</v>
      </c>
      <c r="K2" s="2" t="str">
        <f ca="1">IFERROR(__xludf.DUMMYFUNCTION("INDEX(GOOGLEFINANCE(""CURRENCY:"" &amp; A9 &amp; ""INR"", ""price"", DATE(2010,1,1), DATE(2020,1,1), ""DAILY""), , 2)
"),"Close")</f>
        <v>Close</v>
      </c>
      <c r="L2" s="2" t="str">
        <f ca="1">IFERROR(__xludf.DUMMYFUNCTION("INDEX(GOOGLEFINANCE(""CURRENCY:"" &amp; A10 &amp; ""INR"", ""price"", DATE(2010,1,1), DATE(2020,1,1), ""DAILY""), , 2)
"),"Close")</f>
        <v>Close</v>
      </c>
      <c r="M2" s="2" t="str">
        <f ca="1">IFERROR(__xludf.DUMMYFUNCTION("INDEX(GOOGLEFINANCE(""CURRENCY:"" &amp; A11 &amp; ""INR"", ""price"", DATE(2010,1,1), DATE(2020,1,1), ""DAILY""), , 2)
"),"Close")</f>
        <v>Close</v>
      </c>
      <c r="U2" s="3" t="e">
        <f t="array" aca="1" ref="U2:U3654" ca="1">DATE(2010,1,1) + _xludf.SEQUENCE(3653, 1, 0, 1)</f>
        <v>#NAME?</v>
      </c>
    </row>
    <row r="3" spans="1:21" ht="15.75" customHeight="1" x14ac:dyDescent="0.25">
      <c r="A3" s="1" t="s">
        <v>2</v>
      </c>
      <c r="C3" s="4">
        <f ca="1">IFERROR(__xludf.DUMMYFUNCTION("""COMPUTED_VALUE"""),40179.9986111111)</f>
        <v>40179.998611111099</v>
      </c>
      <c r="D3" s="2">
        <f ca="1">IFERROR(__xludf.DUMMYFUNCTION("""COMPUTED_VALUE"""),46.61)</f>
        <v>46.61</v>
      </c>
      <c r="E3" s="2">
        <f ca="1">IFERROR(__xludf.DUMMYFUNCTION("""COMPUTED_VALUE"""),67.121)</f>
        <v>67.120999999999995</v>
      </c>
      <c r="F3" s="2">
        <f ca="1">IFERROR(__xludf.DUMMYFUNCTION("""COMPUTED_VALUE"""),75.182)</f>
        <v>75.182000000000002</v>
      </c>
      <c r="G3" s="2">
        <f ca="1">IFERROR(__xludf.DUMMYFUNCTION("""COMPUTED_VALUE"""),0.50184)</f>
        <v>0.50183999999999995</v>
      </c>
      <c r="H3" s="2">
        <f ca="1">IFERROR(__xludf.DUMMYFUNCTION("""COMPUTED_VALUE"""),41.888)</f>
        <v>41.887999999999998</v>
      </c>
      <c r="I3" s="2">
        <f ca="1">IFERROR(__xludf.DUMMYFUNCTION("""COMPUTED_VALUE"""),44.588)</f>
        <v>44.588000000000001</v>
      </c>
      <c r="J3" s="2">
        <f ca="1">IFERROR(__xludf.DUMMYFUNCTION("""COMPUTED_VALUE"""),33.354)</f>
        <v>33.353999999999999</v>
      </c>
      <c r="K3" s="2">
        <f ca="1">IFERROR(__xludf.DUMMYFUNCTION("""COMPUTED_VALUE"""),45.21)</f>
        <v>45.21</v>
      </c>
      <c r="L3" s="2">
        <f ca="1">IFERROR(__xludf.DUMMYFUNCTION("""COMPUTED_VALUE"""),10.43)</f>
        <v>10.43</v>
      </c>
      <c r="M3" s="2">
        <f ca="1">IFERROR(__xludf.DUMMYFUNCTION("""COMPUTED_VALUE"""),12.69)</f>
        <v>12.69</v>
      </c>
      <c r="U3" s="3" t="e">
        <f ca="1"/>
        <v>#NAME?</v>
      </c>
    </row>
    <row r="4" spans="1:21" ht="15.75" customHeight="1" x14ac:dyDescent="0.25">
      <c r="A4" s="1" t="s">
        <v>3</v>
      </c>
      <c r="C4" s="4">
        <f ca="1">IFERROR(__xludf.DUMMYFUNCTION("""COMPUTED_VALUE"""),40182.9986111111)</f>
        <v>40182.998611111099</v>
      </c>
      <c r="D4" s="2">
        <f ca="1">IFERROR(__xludf.DUMMYFUNCTION("""COMPUTED_VALUE"""),46.288)</f>
        <v>46.287999999999997</v>
      </c>
      <c r="E4" s="2">
        <f ca="1">IFERROR(__xludf.DUMMYFUNCTION("""COMPUTED_VALUE"""),66.668)</f>
        <v>66.668000000000006</v>
      </c>
      <c r="F4" s="2">
        <f ca="1">IFERROR(__xludf.DUMMYFUNCTION("""COMPUTED_VALUE"""),74.529)</f>
        <v>74.528999999999996</v>
      </c>
      <c r="G4" s="2">
        <f ca="1">IFERROR(__xludf.DUMMYFUNCTION("""COMPUTED_VALUE"""),0.49969)</f>
        <v>0.49969000000000002</v>
      </c>
      <c r="H4" s="2">
        <f ca="1">IFERROR(__xludf.DUMMYFUNCTION("""COMPUTED_VALUE"""),42.171)</f>
        <v>42.170999999999999</v>
      </c>
      <c r="I4" s="2">
        <f ca="1">IFERROR(__xludf.DUMMYFUNCTION("""COMPUTED_VALUE"""),44.389)</f>
        <v>44.389000000000003</v>
      </c>
      <c r="J4" s="2">
        <f ca="1">IFERROR(__xludf.DUMMYFUNCTION("""COMPUTED_VALUE"""),33.089)</f>
        <v>33.088999999999999</v>
      </c>
      <c r="K4" s="2">
        <f ca="1">IFERROR(__xludf.DUMMYFUNCTION("""COMPUTED_VALUE"""),45.21)</f>
        <v>45.21</v>
      </c>
      <c r="L4" s="2">
        <f ca="1">IFERROR(__xludf.DUMMYFUNCTION("""COMPUTED_VALUE"""),10.217)</f>
        <v>10.217000000000001</v>
      </c>
      <c r="M4" s="2">
        <f ca="1">IFERROR(__xludf.DUMMYFUNCTION("""COMPUTED_VALUE"""),12.62)</f>
        <v>12.62</v>
      </c>
      <c r="U4" s="3" t="e">
        <f ca="1"/>
        <v>#NAME?</v>
      </c>
    </row>
    <row r="5" spans="1:21" ht="15.75" customHeight="1" x14ac:dyDescent="0.25">
      <c r="A5" s="1" t="s">
        <v>4</v>
      </c>
      <c r="C5" s="4">
        <f ca="1">IFERROR(__xludf.DUMMYFUNCTION("""COMPUTED_VALUE"""),40183.9986111111)</f>
        <v>40183.998611111099</v>
      </c>
      <c r="D5" s="2">
        <f ca="1">IFERROR(__xludf.DUMMYFUNCTION("""COMPUTED_VALUE"""),46.12)</f>
        <v>46.12</v>
      </c>
      <c r="E5" s="2">
        <f ca="1">IFERROR(__xludf.DUMMYFUNCTION("""COMPUTED_VALUE"""),66.238)</f>
        <v>66.238</v>
      </c>
      <c r="F5" s="2">
        <f ca="1">IFERROR(__xludf.DUMMYFUNCTION("""COMPUTED_VALUE"""),73.668)</f>
        <v>73.668000000000006</v>
      </c>
      <c r="G5" s="2">
        <f ca="1">IFERROR(__xludf.DUMMYFUNCTION("""COMPUTED_VALUE"""),0.50354)</f>
        <v>0.50353999999999999</v>
      </c>
      <c r="H5" s="2">
        <f ca="1">IFERROR(__xludf.DUMMYFUNCTION("""COMPUTED_VALUE"""),42.04)</f>
        <v>42.04</v>
      </c>
      <c r="I5" s="2">
        <f ca="1">IFERROR(__xludf.DUMMYFUNCTION("""COMPUTED_VALUE"""),44.357)</f>
        <v>44.356999999999999</v>
      </c>
      <c r="J5" s="2">
        <f ca="1">IFERROR(__xludf.DUMMYFUNCTION("""COMPUTED_VALUE"""),33.006)</f>
        <v>33.006</v>
      </c>
      <c r="K5" s="2">
        <f ca="1">IFERROR(__xludf.DUMMYFUNCTION("""COMPUTED_VALUE"""),45.256)</f>
        <v>45.256</v>
      </c>
      <c r="L5" s="2">
        <f ca="1">IFERROR(__xludf.DUMMYFUNCTION("""COMPUTED_VALUE"""),10.24)</f>
        <v>10.24</v>
      </c>
      <c r="M5" s="2">
        <f ca="1">IFERROR(__xludf.DUMMYFUNCTION("""COMPUTED_VALUE"""),12.556)</f>
        <v>12.555999999999999</v>
      </c>
      <c r="U5" s="3" t="e">
        <f ca="1"/>
        <v>#NAME?</v>
      </c>
    </row>
    <row r="6" spans="1:21" ht="15.75" customHeight="1" x14ac:dyDescent="0.25">
      <c r="A6" s="1" t="s">
        <v>5</v>
      </c>
      <c r="C6" s="4">
        <f ca="1">IFERROR(__xludf.DUMMYFUNCTION("""COMPUTED_VALUE"""),40184.9986111111)</f>
        <v>40184.998611111099</v>
      </c>
      <c r="D6" s="2">
        <f ca="1">IFERROR(__xludf.DUMMYFUNCTION("""COMPUTED_VALUE"""),45.72)</f>
        <v>45.72</v>
      </c>
      <c r="E6" s="2">
        <f ca="1">IFERROR(__xludf.DUMMYFUNCTION("""COMPUTED_VALUE"""),65.818)</f>
        <v>65.817999999999998</v>
      </c>
      <c r="F6" s="2">
        <f ca="1">IFERROR(__xludf.DUMMYFUNCTION("""COMPUTED_VALUE"""),73.115)</f>
        <v>73.114999999999995</v>
      </c>
      <c r="G6" s="2">
        <f ca="1">IFERROR(__xludf.DUMMYFUNCTION("""COMPUTED_VALUE"""),0.4948)</f>
        <v>0.49480000000000002</v>
      </c>
      <c r="H6" s="2">
        <f ca="1">IFERROR(__xludf.DUMMYFUNCTION("""COMPUTED_VALUE"""),42.055)</f>
        <v>42.055</v>
      </c>
      <c r="I6" s="2">
        <f ca="1">IFERROR(__xludf.DUMMYFUNCTION("""COMPUTED_VALUE"""),44.286)</f>
        <v>44.286000000000001</v>
      </c>
      <c r="J6" s="2">
        <f ca="1">IFERROR(__xludf.DUMMYFUNCTION("""COMPUTED_VALUE"""),32.797)</f>
        <v>32.796999999999997</v>
      </c>
      <c r="K6" s="2">
        <f ca="1">IFERROR(__xludf.DUMMYFUNCTION("""COMPUTED_VALUE"""),44.908)</f>
        <v>44.908000000000001</v>
      </c>
      <c r="L6" s="2">
        <f ca="1">IFERROR(__xludf.DUMMYFUNCTION("""COMPUTED_VALUE"""),10.228)</f>
        <v>10.228</v>
      </c>
      <c r="M6" s="2">
        <f ca="1">IFERROR(__xludf.DUMMYFUNCTION("""COMPUTED_VALUE"""),12.448)</f>
        <v>12.448</v>
      </c>
      <c r="U6" s="3" t="e">
        <f ca="1"/>
        <v>#NAME?</v>
      </c>
    </row>
    <row r="7" spans="1:21" ht="15.75" customHeight="1" x14ac:dyDescent="0.25">
      <c r="A7" s="1" t="s">
        <v>6</v>
      </c>
      <c r="C7" s="4">
        <f ca="1">IFERROR(__xludf.DUMMYFUNCTION("""COMPUTED_VALUE"""),40185.9986111111)</f>
        <v>40185.998611111099</v>
      </c>
      <c r="D7" s="2">
        <f ca="1">IFERROR(__xludf.DUMMYFUNCTION("""COMPUTED_VALUE"""),45.688)</f>
        <v>45.688000000000002</v>
      </c>
      <c r="E7" s="2">
        <f ca="1">IFERROR(__xludf.DUMMYFUNCTION("""COMPUTED_VALUE"""),65.398)</f>
        <v>65.397999999999996</v>
      </c>
      <c r="F7" s="2">
        <f ca="1">IFERROR(__xludf.DUMMYFUNCTION("""COMPUTED_VALUE"""),72.695)</f>
        <v>72.694999999999993</v>
      </c>
      <c r="G7" s="2">
        <f ca="1">IFERROR(__xludf.DUMMYFUNCTION("""COMPUTED_VALUE"""),0.48847)</f>
        <v>0.48847000000000002</v>
      </c>
      <c r="H7" s="2">
        <f ca="1">IFERROR(__xludf.DUMMYFUNCTION("""COMPUTED_VALUE"""),41.875)</f>
        <v>41.875</v>
      </c>
      <c r="I7" s="2">
        <f ca="1">IFERROR(__xludf.DUMMYFUNCTION("""COMPUTED_VALUE"""),44.115)</f>
        <v>44.115000000000002</v>
      </c>
      <c r="J7" s="2">
        <f ca="1">IFERROR(__xludf.DUMMYFUNCTION("""COMPUTED_VALUE"""),32.641)</f>
        <v>32.640999999999998</v>
      </c>
      <c r="K7" s="2">
        <f ca="1">IFERROR(__xludf.DUMMYFUNCTION("""COMPUTED_VALUE"""),44.609)</f>
        <v>44.609000000000002</v>
      </c>
      <c r="L7" s="2">
        <f ca="1">IFERROR(__xludf.DUMMYFUNCTION("""COMPUTED_VALUE"""),10.216)</f>
        <v>10.215999999999999</v>
      </c>
      <c r="M7" s="2">
        <f ca="1">IFERROR(__xludf.DUMMYFUNCTION("""COMPUTED_VALUE"""),12.439)</f>
        <v>12.439</v>
      </c>
      <c r="U7" s="3" t="e">
        <f ca="1"/>
        <v>#NAME?</v>
      </c>
    </row>
    <row r="8" spans="1:21" ht="15.75" customHeight="1" x14ac:dyDescent="0.25">
      <c r="A8" s="1" t="s">
        <v>7</v>
      </c>
      <c r="C8" s="4">
        <f ca="1">IFERROR(__xludf.DUMMYFUNCTION("""COMPUTED_VALUE"""),40186.9986111111)</f>
        <v>40186.998611111099</v>
      </c>
      <c r="D8" s="2">
        <f ca="1">IFERROR(__xludf.DUMMYFUNCTION("""COMPUTED_VALUE"""),45.518)</f>
        <v>45.518000000000001</v>
      </c>
      <c r="E8" s="2">
        <f ca="1">IFERROR(__xludf.DUMMYFUNCTION("""COMPUTED_VALUE"""),65.271)</f>
        <v>65.271000000000001</v>
      </c>
      <c r="F8" s="2">
        <f ca="1">IFERROR(__xludf.DUMMYFUNCTION("""COMPUTED_VALUE"""),72.781)</f>
        <v>72.781000000000006</v>
      </c>
      <c r="G8" s="2">
        <f ca="1">IFERROR(__xludf.DUMMYFUNCTION("""COMPUTED_VALUE"""),0.48888)</f>
        <v>0.48887999999999998</v>
      </c>
      <c r="H8" s="2">
        <f ca="1">IFERROR(__xludf.DUMMYFUNCTION("""COMPUTED_VALUE"""),41.893)</f>
        <v>41.893000000000001</v>
      </c>
      <c r="I8" s="2">
        <f ca="1">IFERROR(__xludf.DUMMYFUNCTION("""COMPUTED_VALUE"""),43.989)</f>
        <v>43.988999999999997</v>
      </c>
      <c r="J8" s="2">
        <f ca="1">IFERROR(__xludf.DUMMYFUNCTION("""COMPUTED_VALUE"""),32.476)</f>
        <v>32.475999999999999</v>
      </c>
      <c r="K8" s="2">
        <f ca="1">IFERROR(__xludf.DUMMYFUNCTION("""COMPUTED_VALUE"""),44.464)</f>
        <v>44.463999999999999</v>
      </c>
      <c r="L8" s="2">
        <f ca="1">IFERROR(__xludf.DUMMYFUNCTION("""COMPUTED_VALUE"""),10.214)</f>
        <v>10.214</v>
      </c>
      <c r="M8" s="2">
        <f ca="1">IFERROR(__xludf.DUMMYFUNCTION("""COMPUTED_VALUE"""),12.393)</f>
        <v>12.393000000000001</v>
      </c>
      <c r="U8" s="3" t="e">
        <f ca="1"/>
        <v>#NAME?</v>
      </c>
    </row>
    <row r="9" spans="1:21" ht="15.75" customHeight="1" x14ac:dyDescent="0.25">
      <c r="A9" s="1" t="s">
        <v>8</v>
      </c>
      <c r="C9" s="4">
        <f ca="1">IFERROR(__xludf.DUMMYFUNCTION("""COMPUTED_VALUE"""),40189.9986111111)</f>
        <v>40189.998611111099</v>
      </c>
      <c r="D9" s="2">
        <f ca="1">IFERROR(__xludf.DUMMYFUNCTION("""COMPUTED_VALUE"""),45.358)</f>
        <v>45.357999999999997</v>
      </c>
      <c r="E9" s="2">
        <f ca="1">IFERROR(__xludf.DUMMYFUNCTION("""COMPUTED_VALUE"""),65.93)</f>
        <v>65.930000000000007</v>
      </c>
      <c r="F9" s="2">
        <f ca="1">IFERROR(__xludf.DUMMYFUNCTION("""COMPUTED_VALUE"""),73.23)</f>
        <v>73.23</v>
      </c>
      <c r="G9" s="2">
        <f ca="1">IFERROR(__xludf.DUMMYFUNCTION("""COMPUTED_VALUE"""),0.49277)</f>
        <v>0.49276999999999999</v>
      </c>
      <c r="H9" s="2">
        <f ca="1">IFERROR(__xludf.DUMMYFUNCTION("""COMPUTED_VALUE"""),42.193)</f>
        <v>42.192999999999998</v>
      </c>
      <c r="I9" s="2">
        <f ca="1">IFERROR(__xludf.DUMMYFUNCTION("""COMPUTED_VALUE"""),43.897)</f>
        <v>43.896999999999998</v>
      </c>
      <c r="J9" s="2">
        <f ca="1">IFERROR(__xludf.DUMMYFUNCTION("""COMPUTED_VALUE"""),32.692)</f>
        <v>32.692</v>
      </c>
      <c r="K9" s="2">
        <f ca="1">IFERROR(__xludf.DUMMYFUNCTION("""COMPUTED_VALUE"""),44.139)</f>
        <v>44.139000000000003</v>
      </c>
      <c r="L9" s="2">
        <f ca="1">IFERROR(__xludf.DUMMYFUNCTION("""COMPUTED_VALUE"""),10.256)</f>
        <v>10.256</v>
      </c>
      <c r="M9" s="2">
        <f ca="1">IFERROR(__xludf.DUMMYFUNCTION("""COMPUTED_VALUE"""),12.349)</f>
        <v>12.349</v>
      </c>
      <c r="U9" s="3" t="e">
        <f ca="1"/>
        <v>#NAME?</v>
      </c>
    </row>
    <row r="10" spans="1:21" ht="15.75" customHeight="1" x14ac:dyDescent="0.25">
      <c r="A10" s="1" t="s">
        <v>9</v>
      </c>
      <c r="C10" s="4">
        <f ca="1">IFERROR(__xludf.DUMMYFUNCTION("""COMPUTED_VALUE"""),40190.9986111111)</f>
        <v>40190.998611111099</v>
      </c>
      <c r="D10" s="2">
        <f ca="1">IFERROR(__xludf.DUMMYFUNCTION("""COMPUTED_VALUE"""),45.618)</f>
        <v>45.618000000000002</v>
      </c>
      <c r="E10" s="2">
        <f ca="1">IFERROR(__xludf.DUMMYFUNCTION("""COMPUTED_VALUE"""),66.188)</f>
        <v>66.188000000000002</v>
      </c>
      <c r="F10" s="2">
        <f ca="1">IFERROR(__xludf.DUMMYFUNCTION("""COMPUTED_VALUE"""),73.819)</f>
        <v>73.819000000000003</v>
      </c>
      <c r="G10" s="2">
        <f ca="1">IFERROR(__xludf.DUMMYFUNCTION("""COMPUTED_VALUE"""),0.50182)</f>
        <v>0.50182000000000004</v>
      </c>
      <c r="H10" s="2">
        <f ca="1">IFERROR(__xludf.DUMMYFUNCTION("""COMPUTED_VALUE"""),42.076)</f>
        <v>42.076000000000001</v>
      </c>
      <c r="I10" s="2">
        <f ca="1">IFERROR(__xludf.DUMMYFUNCTION("""COMPUTED_VALUE"""),43.978)</f>
        <v>43.978000000000002</v>
      </c>
      <c r="J10" s="2">
        <f ca="1">IFERROR(__xludf.DUMMYFUNCTION("""COMPUTED_VALUE"""),32.848)</f>
        <v>32.847999999999999</v>
      </c>
      <c r="K10" s="2">
        <f ca="1">IFERROR(__xludf.DUMMYFUNCTION("""COMPUTED_VALUE"""),44.231)</f>
        <v>44.231000000000002</v>
      </c>
      <c r="L10" s="2">
        <f ca="1">IFERROR(__xludf.DUMMYFUNCTION("""COMPUTED_VALUE"""),10.239)</f>
        <v>10.239000000000001</v>
      </c>
      <c r="M10" s="2">
        <f ca="1">IFERROR(__xludf.DUMMYFUNCTION("""COMPUTED_VALUE"""),12.42)</f>
        <v>12.42</v>
      </c>
      <c r="U10" s="3" t="e">
        <f ca="1"/>
        <v>#NAME?</v>
      </c>
    </row>
    <row r="11" spans="1:21" ht="15.75" customHeight="1" x14ac:dyDescent="0.25">
      <c r="A11" s="1" t="s">
        <v>10</v>
      </c>
      <c r="C11" s="4">
        <f ca="1">IFERROR(__xludf.DUMMYFUNCTION("""COMPUTED_VALUE"""),40191.9986111111)</f>
        <v>40191.998611111099</v>
      </c>
      <c r="D11" s="2">
        <f ca="1">IFERROR(__xludf.DUMMYFUNCTION("""COMPUTED_VALUE"""),45.488)</f>
        <v>45.488</v>
      </c>
      <c r="E11" s="2">
        <f ca="1">IFERROR(__xludf.DUMMYFUNCTION("""COMPUTED_VALUE"""),65.901)</f>
        <v>65.900999999999996</v>
      </c>
      <c r="F11" s="2">
        <f ca="1">IFERROR(__xludf.DUMMYFUNCTION("""COMPUTED_VALUE"""),74.064)</f>
        <v>74.063999999999993</v>
      </c>
      <c r="G11" s="2">
        <f ca="1">IFERROR(__xludf.DUMMYFUNCTION("""COMPUTED_VALUE"""),0.49586)</f>
        <v>0.49586000000000002</v>
      </c>
      <c r="H11" s="2">
        <f ca="1">IFERROR(__xludf.DUMMYFUNCTION("""COMPUTED_VALUE"""),41.905)</f>
        <v>41.905000000000001</v>
      </c>
      <c r="I11" s="2">
        <f ca="1">IFERROR(__xludf.DUMMYFUNCTION("""COMPUTED_VALUE"""),43.976)</f>
        <v>43.975999999999999</v>
      </c>
      <c r="J11" s="2">
        <f ca="1">IFERROR(__xludf.DUMMYFUNCTION("""COMPUTED_VALUE"""),32.664)</f>
        <v>32.664000000000001</v>
      </c>
      <c r="K11" s="2">
        <f ca="1">IFERROR(__xludf.DUMMYFUNCTION("""COMPUTED_VALUE"""),44.264)</f>
        <v>44.264000000000003</v>
      </c>
      <c r="L11" s="2">
        <f ca="1">IFERROR(__xludf.DUMMYFUNCTION("""COMPUTED_VALUE"""),10.243)</f>
        <v>10.243</v>
      </c>
      <c r="M11" s="2">
        <f ca="1">IFERROR(__xludf.DUMMYFUNCTION("""COMPUTED_VALUE"""),12.384)</f>
        <v>12.384</v>
      </c>
      <c r="U11" s="3" t="e">
        <f ca="1"/>
        <v>#NAME?</v>
      </c>
    </row>
    <row r="12" spans="1:21" ht="15.75" customHeight="1" x14ac:dyDescent="0.25">
      <c r="C12" s="4">
        <f ca="1">IFERROR(__xludf.DUMMYFUNCTION("""COMPUTED_VALUE"""),40192.9986111111)</f>
        <v>40192.998611111099</v>
      </c>
      <c r="D12" s="2">
        <f ca="1">IFERROR(__xludf.DUMMYFUNCTION("""COMPUTED_VALUE"""),45.563)</f>
        <v>45.563000000000002</v>
      </c>
      <c r="E12" s="2">
        <f ca="1">IFERROR(__xludf.DUMMYFUNCTION("""COMPUTED_VALUE"""),65.958)</f>
        <v>65.957999999999998</v>
      </c>
      <c r="F12" s="2">
        <f ca="1">IFERROR(__xludf.DUMMYFUNCTION("""COMPUTED_VALUE"""),74.373)</f>
        <v>74.373000000000005</v>
      </c>
      <c r="G12" s="2">
        <f ca="1">IFERROR(__xludf.DUMMYFUNCTION("""COMPUTED_VALUE"""),0.49795)</f>
        <v>0.49795</v>
      </c>
      <c r="H12" s="2">
        <f ca="1">IFERROR(__xludf.DUMMYFUNCTION("""COMPUTED_VALUE"""),42.312)</f>
        <v>42.311999999999998</v>
      </c>
      <c r="I12" s="2">
        <f ca="1">IFERROR(__xludf.DUMMYFUNCTION("""COMPUTED_VALUE"""),44.394)</f>
        <v>44.393999999999998</v>
      </c>
      <c r="J12" s="2">
        <f ca="1">IFERROR(__xludf.DUMMYFUNCTION("""COMPUTED_VALUE"""),32.759)</f>
        <v>32.759</v>
      </c>
      <c r="K12" s="2">
        <f ca="1">IFERROR(__xludf.DUMMYFUNCTION("""COMPUTED_VALUE"""),44.229)</f>
        <v>44.228999999999999</v>
      </c>
      <c r="L12" s="2">
        <f ca="1">IFERROR(__xludf.DUMMYFUNCTION("""COMPUTED_VALUE"""),10.203)</f>
        <v>10.202999999999999</v>
      </c>
      <c r="M12" s="2">
        <f ca="1">IFERROR(__xludf.DUMMYFUNCTION("""COMPUTED_VALUE"""),12.405)</f>
        <v>12.404999999999999</v>
      </c>
      <c r="U12" s="3" t="e">
        <f ca="1"/>
        <v>#NAME?</v>
      </c>
    </row>
    <row r="13" spans="1:21" ht="15.75" customHeight="1" x14ac:dyDescent="0.25">
      <c r="C13" s="4">
        <f ca="1">IFERROR(__xludf.DUMMYFUNCTION("""COMPUTED_VALUE"""),40193.9986111111)</f>
        <v>40193.998611111099</v>
      </c>
      <c r="D13" s="2">
        <f ca="1">IFERROR(__xludf.DUMMYFUNCTION("""COMPUTED_VALUE"""),45.803)</f>
        <v>45.802999999999997</v>
      </c>
      <c r="E13" s="2">
        <f ca="1">IFERROR(__xludf.DUMMYFUNCTION("""COMPUTED_VALUE"""),65.786)</f>
        <v>65.786000000000001</v>
      </c>
      <c r="F13" s="2">
        <f ca="1">IFERROR(__xludf.DUMMYFUNCTION("""COMPUTED_VALUE"""),74.377)</f>
        <v>74.376999999999995</v>
      </c>
      <c r="G13" s="2">
        <f ca="1">IFERROR(__xludf.DUMMYFUNCTION("""COMPUTED_VALUE"""),0.50368)</f>
        <v>0.50368000000000002</v>
      </c>
      <c r="H13" s="2">
        <f ca="1">IFERROR(__xludf.DUMMYFUNCTION("""COMPUTED_VALUE"""),42.175)</f>
        <v>42.174999999999997</v>
      </c>
      <c r="I13" s="2">
        <f ca="1">IFERROR(__xludf.DUMMYFUNCTION("""COMPUTED_VALUE"""),44.429)</f>
        <v>44.429000000000002</v>
      </c>
      <c r="J13" s="2">
        <f ca="1">IFERROR(__xludf.DUMMYFUNCTION("""COMPUTED_VALUE"""),32.872)</f>
        <v>32.872</v>
      </c>
      <c r="K13" s="2">
        <f ca="1">IFERROR(__xludf.DUMMYFUNCTION("""COMPUTED_VALUE"""),44.642)</f>
        <v>44.642000000000003</v>
      </c>
      <c r="L13" s="2">
        <f ca="1">IFERROR(__xludf.DUMMYFUNCTION("""COMPUTED_VALUE"""),10.205)</f>
        <v>10.205</v>
      </c>
      <c r="M13" s="2">
        <f ca="1">IFERROR(__xludf.DUMMYFUNCTION("""COMPUTED_VALUE"""),12.47)</f>
        <v>12.47</v>
      </c>
      <c r="U13" s="3" t="e">
        <f ca="1"/>
        <v>#NAME?</v>
      </c>
    </row>
    <row r="14" spans="1:21" ht="15.75" customHeight="1" x14ac:dyDescent="0.25">
      <c r="C14" s="4">
        <f ca="1">IFERROR(__xludf.DUMMYFUNCTION("""COMPUTED_VALUE"""),40196.9986111111)</f>
        <v>40196.998611111099</v>
      </c>
      <c r="D14" s="2">
        <f ca="1">IFERROR(__xludf.DUMMYFUNCTION("""COMPUTED_VALUE"""),45.638)</f>
        <v>45.637999999999998</v>
      </c>
      <c r="E14" s="2">
        <f ca="1">IFERROR(__xludf.DUMMYFUNCTION("""COMPUTED_VALUE"""),65.682)</f>
        <v>65.682000000000002</v>
      </c>
      <c r="F14" s="2">
        <f ca="1">IFERROR(__xludf.DUMMYFUNCTION("""COMPUTED_VALUE"""),74.511)</f>
        <v>74.510999999999996</v>
      </c>
      <c r="G14" s="2">
        <f ca="1">IFERROR(__xludf.DUMMYFUNCTION("""COMPUTED_VALUE"""),0.5022)</f>
        <v>0.50219999999999998</v>
      </c>
      <c r="H14" s="2">
        <f ca="1">IFERROR(__xludf.DUMMYFUNCTION("""COMPUTED_VALUE"""),42.234)</f>
        <v>42.234000000000002</v>
      </c>
      <c r="I14" s="2">
        <f ca="1">IFERROR(__xludf.DUMMYFUNCTION("""COMPUTED_VALUE"""),44.435)</f>
        <v>44.435000000000002</v>
      </c>
      <c r="J14" s="2">
        <f ca="1">IFERROR(__xludf.DUMMYFUNCTION("""COMPUTED_VALUE"""),32.819)</f>
        <v>32.819000000000003</v>
      </c>
      <c r="K14" s="2">
        <f ca="1">IFERROR(__xludf.DUMMYFUNCTION("""COMPUTED_VALUE"""),44.862)</f>
        <v>44.862000000000002</v>
      </c>
      <c r="L14" s="2">
        <f ca="1">IFERROR(__xludf.DUMMYFUNCTION("""COMPUTED_VALUE"""),10.194)</f>
        <v>10.194000000000001</v>
      </c>
      <c r="M14" s="2">
        <f ca="1">IFERROR(__xludf.DUMMYFUNCTION("""COMPUTED_VALUE"""),12.425)</f>
        <v>12.425000000000001</v>
      </c>
      <c r="U14" s="3" t="e">
        <f ca="1"/>
        <v>#NAME?</v>
      </c>
    </row>
    <row r="15" spans="1:21" ht="15.75" customHeight="1" x14ac:dyDescent="0.25">
      <c r="C15" s="4">
        <f ca="1">IFERROR(__xludf.DUMMYFUNCTION("""COMPUTED_VALUE"""),40197.9986111111)</f>
        <v>40197.998611111099</v>
      </c>
      <c r="D15" s="2">
        <f ca="1">IFERROR(__xludf.DUMMYFUNCTION("""COMPUTED_VALUE"""),45.848)</f>
        <v>45.847999999999999</v>
      </c>
      <c r="E15" s="2">
        <f ca="1">IFERROR(__xludf.DUMMYFUNCTION("""COMPUTED_VALUE"""),65.339)</f>
        <v>65.338999999999999</v>
      </c>
      <c r="F15" s="2">
        <f ca="1">IFERROR(__xludf.DUMMYFUNCTION("""COMPUTED_VALUE"""),75.058)</f>
        <v>75.058000000000007</v>
      </c>
      <c r="G15" s="2">
        <f ca="1">IFERROR(__xludf.DUMMYFUNCTION("""COMPUTED_VALUE"""),0.50164)</f>
        <v>0.50163999999999997</v>
      </c>
      <c r="H15" s="2">
        <f ca="1">IFERROR(__xludf.DUMMYFUNCTION("""COMPUTED_VALUE"""),42.215)</f>
        <v>42.215000000000003</v>
      </c>
      <c r="I15" s="2">
        <f ca="1">IFERROR(__xludf.DUMMYFUNCTION("""COMPUTED_VALUE"""),44.341)</f>
        <v>44.341000000000001</v>
      </c>
      <c r="J15" s="2">
        <f ca="1">IFERROR(__xludf.DUMMYFUNCTION("""COMPUTED_VALUE"""),32.897)</f>
        <v>32.896999999999998</v>
      </c>
      <c r="K15" s="2">
        <f ca="1">IFERROR(__xludf.DUMMYFUNCTION("""COMPUTED_VALUE"""),44.552)</f>
        <v>44.552</v>
      </c>
      <c r="L15" s="2">
        <f ca="1">IFERROR(__xludf.DUMMYFUNCTION("""COMPUTED_VALUE"""),10.215)</f>
        <v>10.215</v>
      </c>
      <c r="M15" s="2">
        <f ca="1">IFERROR(__xludf.DUMMYFUNCTION("""COMPUTED_VALUE"""),12.481)</f>
        <v>12.481</v>
      </c>
      <c r="U15" s="3" t="e">
        <f ca="1"/>
        <v>#NAME?</v>
      </c>
    </row>
    <row r="16" spans="1:21" ht="15.75" customHeight="1" x14ac:dyDescent="0.25">
      <c r="C16" s="4">
        <f ca="1">IFERROR(__xludf.DUMMYFUNCTION("""COMPUTED_VALUE"""),40198.9986111111)</f>
        <v>40198.998611111099</v>
      </c>
      <c r="D16" s="2">
        <f ca="1">IFERROR(__xludf.DUMMYFUNCTION("""COMPUTED_VALUE"""),46.118)</f>
        <v>46.118000000000002</v>
      </c>
      <c r="E16" s="2">
        <f ca="1">IFERROR(__xludf.DUMMYFUNCTION("""COMPUTED_VALUE"""),65.007)</f>
        <v>65.007000000000005</v>
      </c>
      <c r="F16" s="2">
        <f ca="1">IFERROR(__xludf.DUMMYFUNCTION("""COMPUTED_VALUE"""),75.113)</f>
        <v>75.113</v>
      </c>
      <c r="G16" s="2">
        <f ca="1">IFERROR(__xludf.DUMMYFUNCTION("""COMPUTED_VALUE"""),0.50451)</f>
        <v>0.50451000000000001</v>
      </c>
      <c r="H16" s="2">
        <f ca="1">IFERROR(__xludf.DUMMYFUNCTION("""COMPUTED_VALUE"""),41.926)</f>
        <v>41.926000000000002</v>
      </c>
      <c r="I16" s="2">
        <f ca="1">IFERROR(__xludf.DUMMYFUNCTION("""COMPUTED_VALUE"""),44.008)</f>
        <v>44.008000000000003</v>
      </c>
      <c r="J16" s="2">
        <f ca="1">IFERROR(__xludf.DUMMYFUNCTION("""COMPUTED_VALUE"""),32.867)</f>
        <v>32.866999999999997</v>
      </c>
      <c r="K16" s="2">
        <f ca="1">IFERROR(__xludf.DUMMYFUNCTION("""COMPUTED_VALUE"""),44.602)</f>
        <v>44.601999999999997</v>
      </c>
      <c r="L16" s="2">
        <f ca="1">IFERROR(__xludf.DUMMYFUNCTION("""COMPUTED_VALUE"""),10.223)</f>
        <v>10.223000000000001</v>
      </c>
      <c r="M16" s="2">
        <f ca="1">IFERROR(__xludf.DUMMYFUNCTION("""COMPUTED_VALUE"""),12.556)</f>
        <v>12.555999999999999</v>
      </c>
      <c r="U16" s="3" t="e">
        <f ca="1"/>
        <v>#NAME?</v>
      </c>
    </row>
    <row r="17" spans="3:21" ht="15.75" customHeight="1" x14ac:dyDescent="0.25">
      <c r="C17" s="4">
        <f ca="1">IFERROR(__xludf.DUMMYFUNCTION("""COMPUTED_VALUE"""),40199.9986111111)</f>
        <v>40199.998611111099</v>
      </c>
      <c r="D17" s="2">
        <f ca="1">IFERROR(__xludf.DUMMYFUNCTION("""COMPUTED_VALUE"""),46.108)</f>
        <v>46.107999999999997</v>
      </c>
      <c r="E17" s="2">
        <f ca="1">IFERROR(__xludf.DUMMYFUNCTION("""COMPUTED_VALUE"""),64.951)</f>
        <v>64.950999999999993</v>
      </c>
      <c r="F17" s="2">
        <f ca="1">IFERROR(__xludf.DUMMYFUNCTION("""COMPUTED_VALUE"""),74.706)</f>
        <v>74.706000000000003</v>
      </c>
      <c r="G17" s="2">
        <f ca="1">IFERROR(__xludf.DUMMYFUNCTION("""COMPUTED_VALUE"""),0.50956)</f>
        <v>0.50956000000000001</v>
      </c>
      <c r="H17" s="2">
        <f ca="1">IFERROR(__xludf.DUMMYFUNCTION("""COMPUTED_VALUE"""),41.678)</f>
        <v>41.677999999999997</v>
      </c>
      <c r="I17" s="2">
        <f ca="1">IFERROR(__xludf.DUMMYFUNCTION("""COMPUTED_VALUE"""),43.846)</f>
        <v>43.845999999999997</v>
      </c>
      <c r="J17" s="2">
        <f ca="1">IFERROR(__xludf.DUMMYFUNCTION("""COMPUTED_VALUE"""),32.805)</f>
        <v>32.805</v>
      </c>
      <c r="K17" s="2">
        <f ca="1">IFERROR(__xludf.DUMMYFUNCTION("""COMPUTED_VALUE"""),44.589)</f>
        <v>44.588999999999999</v>
      </c>
      <c r="L17" s="2">
        <f ca="1">IFERROR(__xludf.DUMMYFUNCTION("""COMPUTED_VALUE"""),10.199)</f>
        <v>10.199</v>
      </c>
      <c r="M17" s="2">
        <f ca="1">IFERROR(__xludf.DUMMYFUNCTION("""COMPUTED_VALUE"""),12.553)</f>
        <v>12.553000000000001</v>
      </c>
      <c r="U17" s="3" t="e">
        <f ca="1"/>
        <v>#NAME?</v>
      </c>
    </row>
    <row r="18" spans="3:21" ht="15.75" customHeight="1" x14ac:dyDescent="0.25">
      <c r="C18" s="4">
        <f ca="1">IFERROR(__xludf.DUMMYFUNCTION("""COMPUTED_VALUE"""),40200.9986111111)</f>
        <v>40200.998611111099</v>
      </c>
      <c r="D18" s="2">
        <f ca="1">IFERROR(__xludf.DUMMYFUNCTION("""COMPUTED_VALUE"""),46.223)</f>
        <v>46.222999999999999</v>
      </c>
      <c r="E18" s="2">
        <f ca="1">IFERROR(__xludf.DUMMYFUNCTION("""COMPUTED_VALUE"""),65.338)</f>
        <v>65.337999999999994</v>
      </c>
      <c r="F18" s="2">
        <f ca="1">IFERROR(__xludf.DUMMYFUNCTION("""COMPUTED_VALUE"""),74.493)</f>
        <v>74.492999999999995</v>
      </c>
      <c r="G18" s="2">
        <f ca="1">IFERROR(__xludf.DUMMYFUNCTION("""COMPUTED_VALUE"""),0.51436)</f>
        <v>0.51436000000000004</v>
      </c>
      <c r="H18" s="2">
        <f ca="1">IFERROR(__xludf.DUMMYFUNCTION("""COMPUTED_VALUE"""),41.635)</f>
        <v>41.634999999999998</v>
      </c>
      <c r="I18" s="2">
        <f ca="1">IFERROR(__xludf.DUMMYFUNCTION("""COMPUTED_VALUE"""),43.708)</f>
        <v>43.707999999999998</v>
      </c>
      <c r="J18" s="2">
        <f ca="1">IFERROR(__xludf.DUMMYFUNCTION("""COMPUTED_VALUE"""),32.905)</f>
        <v>32.905000000000001</v>
      </c>
      <c r="K18" s="2">
        <f ca="1">IFERROR(__xludf.DUMMYFUNCTION("""COMPUTED_VALUE"""),43.968)</f>
        <v>43.968000000000004</v>
      </c>
      <c r="L18" s="2">
        <f ca="1">IFERROR(__xludf.DUMMYFUNCTION("""COMPUTED_VALUE"""),10.196)</f>
        <v>10.196</v>
      </c>
      <c r="M18" s="2">
        <f ca="1">IFERROR(__xludf.DUMMYFUNCTION("""COMPUTED_VALUE"""),12.585)</f>
        <v>12.585000000000001</v>
      </c>
      <c r="U18" s="3" t="e">
        <f ca="1"/>
        <v>#NAME?</v>
      </c>
    </row>
    <row r="19" spans="3:21" ht="15.75" customHeight="1" x14ac:dyDescent="0.25">
      <c r="C19" s="4">
        <f ca="1">IFERROR(__xludf.DUMMYFUNCTION("""COMPUTED_VALUE"""),40201.9986111111)</f>
        <v>40201.998611111099</v>
      </c>
      <c r="D19" s="2">
        <f ca="1">IFERROR(__xludf.DUMMYFUNCTION("""COMPUTED_VALUE"""),46.223)</f>
        <v>46.222999999999999</v>
      </c>
      <c r="E19" s="2">
        <f ca="1">IFERROR(__xludf.DUMMYFUNCTION("""COMPUTED_VALUE"""),64.3753)</f>
        <v>64.375299999999996</v>
      </c>
      <c r="F19" s="2">
        <f ca="1">IFERROR(__xludf.DUMMYFUNCTION("""COMPUTED_VALUE"""),74.454)</f>
        <v>74.453999999999994</v>
      </c>
      <c r="G19" s="2">
        <f ca="1">IFERROR(__xludf.DUMMYFUNCTION("""COMPUTED_VALUE"""),0.50321)</f>
        <v>0.50321000000000005</v>
      </c>
      <c r="H19" s="2">
        <f ca="1">IFERROR(__xludf.DUMMYFUNCTION("""COMPUTED_VALUE"""),41.166)</f>
        <v>41.165999999999997</v>
      </c>
      <c r="I19" s="2">
        <f ca="1">IFERROR(__xludf.DUMMYFUNCTION("""COMPUTED_VALUE"""),43.039)</f>
        <v>43.039000000000001</v>
      </c>
      <c r="J19" s="2">
        <f ca="1">IFERROR(__xludf.DUMMYFUNCTION("""COMPUTED_VALUE"""),32.509)</f>
        <v>32.509</v>
      </c>
      <c r="K19" s="2">
        <f ca="1">IFERROR(__xludf.DUMMYFUNCTION("""COMPUTED_VALUE"""),43.972)</f>
        <v>43.972000000000001</v>
      </c>
      <c r="L19" s="2">
        <f ca="1">IFERROR(__xludf.DUMMYFUNCTION("""COMPUTED_VALUE"""),10.222)</f>
        <v>10.222</v>
      </c>
      <c r="M19" s="2">
        <f ca="1">IFERROR(__xludf.DUMMYFUNCTION("""COMPUTED_VALUE"""),12.544)</f>
        <v>12.544</v>
      </c>
      <c r="U19" s="3" t="e">
        <f ca="1"/>
        <v>#NAME?</v>
      </c>
    </row>
    <row r="20" spans="3:21" ht="15.75" customHeight="1" x14ac:dyDescent="0.25">
      <c r="C20" s="4">
        <f ca="1">IFERROR(__xludf.DUMMYFUNCTION("""COMPUTED_VALUE"""),40203.9986111111)</f>
        <v>40203.998611111099</v>
      </c>
      <c r="D20" s="2">
        <f ca="1">IFERROR(__xludf.DUMMYFUNCTION("""COMPUTED_VALUE"""),46.078)</f>
        <v>46.078000000000003</v>
      </c>
      <c r="E20" s="2">
        <f ca="1">IFERROR(__xludf.DUMMYFUNCTION("""COMPUTED_VALUE"""),64.502)</f>
        <v>64.501999999999995</v>
      </c>
      <c r="F20" s="2">
        <f ca="1">IFERROR(__xludf.DUMMYFUNCTION("""COMPUTED_VALUE"""),74.851)</f>
        <v>74.850999999999999</v>
      </c>
      <c r="G20" s="2">
        <f ca="1">IFERROR(__xludf.DUMMYFUNCTION("""COMPUTED_VALUE"""),0.51102)</f>
        <v>0.51102000000000003</v>
      </c>
      <c r="H20" s="2">
        <f ca="1">IFERROR(__xludf.DUMMYFUNCTION("""COMPUTED_VALUE"""),41.226)</f>
        <v>41.225999999999999</v>
      </c>
      <c r="I20" s="2">
        <f ca="1">IFERROR(__xludf.DUMMYFUNCTION("""COMPUTED_VALUE"""),43.118)</f>
        <v>43.118000000000002</v>
      </c>
      <c r="J20" s="2">
        <f ca="1">IFERROR(__xludf.DUMMYFUNCTION("""COMPUTED_VALUE"""),32.655)</f>
        <v>32.655000000000001</v>
      </c>
      <c r="K20" s="2">
        <f ca="1">IFERROR(__xludf.DUMMYFUNCTION("""COMPUTED_VALUE"""),44.487)</f>
        <v>44.487000000000002</v>
      </c>
      <c r="L20" s="2">
        <f ca="1">IFERROR(__xludf.DUMMYFUNCTION("""COMPUTED_VALUE"""),10.188)</f>
        <v>10.188000000000001</v>
      </c>
      <c r="M20" s="2">
        <f ca="1">IFERROR(__xludf.DUMMYFUNCTION("""COMPUTED_VALUE"""),12.482)</f>
        <v>12.481999999999999</v>
      </c>
      <c r="U20" s="3" t="e">
        <f ca="1"/>
        <v>#NAME?</v>
      </c>
    </row>
    <row r="21" spans="3:21" ht="12.5" x14ac:dyDescent="0.25">
      <c r="C21" s="4">
        <f ca="1">IFERROR(__xludf.DUMMYFUNCTION("""COMPUTED_VALUE"""),40204.9986111111)</f>
        <v>40204.998611111099</v>
      </c>
      <c r="D21" s="2">
        <f ca="1">IFERROR(__xludf.DUMMYFUNCTION("""COMPUTED_VALUE"""),45.848)</f>
        <v>45.847999999999999</v>
      </c>
      <c r="E21" s="2">
        <f ca="1">IFERROR(__xludf.DUMMYFUNCTION("""COMPUTED_VALUE"""),65.084)</f>
        <v>65.084000000000003</v>
      </c>
      <c r="F21" s="2">
        <f ca="1">IFERROR(__xludf.DUMMYFUNCTION("""COMPUTED_VALUE"""),74.094)</f>
        <v>74.093999999999994</v>
      </c>
      <c r="G21" s="2">
        <f ca="1">IFERROR(__xludf.DUMMYFUNCTION("""COMPUTED_VALUE"""),0.51507)</f>
        <v>0.51507000000000003</v>
      </c>
      <c r="H21" s="2">
        <f ca="1">IFERROR(__xludf.DUMMYFUNCTION("""COMPUTED_VALUE"""),41.528)</f>
        <v>41.527999999999999</v>
      </c>
      <c r="I21" s="2">
        <f ca="1">IFERROR(__xludf.DUMMYFUNCTION("""COMPUTED_VALUE"""),43.564)</f>
        <v>43.564</v>
      </c>
      <c r="J21" s="2">
        <f ca="1">IFERROR(__xludf.DUMMYFUNCTION("""COMPUTED_VALUE"""),32.979)</f>
        <v>32.978999999999999</v>
      </c>
      <c r="K21" s="2">
        <f ca="1">IFERROR(__xludf.DUMMYFUNCTION("""COMPUTED_VALUE"""),44.294)</f>
        <v>44.293999999999997</v>
      </c>
      <c r="L21" s="2">
        <f ca="1">IFERROR(__xludf.DUMMYFUNCTION("""COMPUTED_VALUE"""),10.218)</f>
        <v>10.218</v>
      </c>
      <c r="M21" s="2">
        <f ca="1">IFERROR(__xludf.DUMMYFUNCTION("""COMPUTED_VALUE"""),12.611)</f>
        <v>12.611000000000001</v>
      </c>
      <c r="U21" s="3" t="e">
        <f ca="1"/>
        <v>#NAME?</v>
      </c>
    </row>
    <row r="22" spans="3:21" ht="12.5" x14ac:dyDescent="0.25">
      <c r="C22" s="4">
        <f ca="1">IFERROR(__xludf.DUMMYFUNCTION("""COMPUTED_VALUE"""),40205.9986111111)</f>
        <v>40205.998611111099</v>
      </c>
      <c r="D22" s="2">
        <f ca="1">IFERROR(__xludf.DUMMYFUNCTION("""COMPUTED_VALUE"""),46.318)</f>
        <v>46.317999999999998</v>
      </c>
      <c r="E22" s="2">
        <f ca="1">IFERROR(__xludf.DUMMYFUNCTION("""COMPUTED_VALUE"""),64.708)</f>
        <v>64.707999999999998</v>
      </c>
      <c r="F22" s="2">
        <f ca="1">IFERROR(__xludf.DUMMYFUNCTION("""COMPUTED_VALUE"""),75.045)</f>
        <v>75.045000000000002</v>
      </c>
      <c r="G22" s="2">
        <f ca="1">IFERROR(__xludf.DUMMYFUNCTION("""COMPUTED_VALUE"""),0.5162)</f>
        <v>0.51619999999999999</v>
      </c>
      <c r="H22" s="2">
        <f ca="1">IFERROR(__xludf.DUMMYFUNCTION("""COMPUTED_VALUE"""),41.416)</f>
        <v>41.415999999999997</v>
      </c>
      <c r="I22" s="2">
        <f ca="1">IFERROR(__xludf.DUMMYFUNCTION("""COMPUTED_VALUE"""),43.463)</f>
        <v>43.463000000000001</v>
      </c>
      <c r="J22" s="2">
        <f ca="1">IFERROR(__xludf.DUMMYFUNCTION("""COMPUTED_VALUE"""),33)</f>
        <v>33</v>
      </c>
      <c r="K22" s="2">
        <f ca="1">IFERROR(__xludf.DUMMYFUNCTION("""COMPUTED_VALUE"""),44.082)</f>
        <v>44.082000000000001</v>
      </c>
      <c r="L22" s="2">
        <f ca="1">IFERROR(__xludf.DUMMYFUNCTION("""COMPUTED_VALUE"""),10.216)</f>
        <v>10.215999999999999</v>
      </c>
      <c r="M22" s="2">
        <f ca="1">IFERROR(__xludf.DUMMYFUNCTION("""COMPUTED_VALUE"""),12.619)</f>
        <v>12.619</v>
      </c>
      <c r="U22" s="3" t="e">
        <f ca="1"/>
        <v>#NAME?</v>
      </c>
    </row>
    <row r="23" spans="3:21" ht="12.5" x14ac:dyDescent="0.25">
      <c r="C23" s="4">
        <f ca="1">IFERROR(__xludf.DUMMYFUNCTION("""COMPUTED_VALUE"""),40206.9986111111)</f>
        <v>40206.998611111099</v>
      </c>
      <c r="D23" s="2">
        <f ca="1">IFERROR(__xludf.DUMMYFUNCTION("""COMPUTED_VALUE"""),46.348)</f>
        <v>46.347999999999999</v>
      </c>
      <c r="E23" s="2">
        <f ca="1">IFERROR(__xludf.DUMMYFUNCTION("""COMPUTED_VALUE"""),63.863)</f>
        <v>63.863</v>
      </c>
      <c r="F23" s="2">
        <f ca="1">IFERROR(__xludf.DUMMYFUNCTION("""COMPUTED_VALUE"""),74.831)</f>
        <v>74.831000000000003</v>
      </c>
      <c r="G23" s="2">
        <f ca="1">IFERROR(__xludf.DUMMYFUNCTION("""COMPUTED_VALUE"""),0.51009)</f>
        <v>0.51009000000000004</v>
      </c>
      <c r="H23" s="2">
        <f ca="1">IFERROR(__xludf.DUMMYFUNCTION("""COMPUTED_VALUE"""),40.709)</f>
        <v>40.709000000000003</v>
      </c>
      <c r="I23" s="2">
        <f ca="1">IFERROR(__xludf.DUMMYFUNCTION("""COMPUTED_VALUE"""),43.04)</f>
        <v>43.04</v>
      </c>
      <c r="J23" s="2">
        <f ca="1">IFERROR(__xludf.DUMMYFUNCTION("""COMPUTED_VALUE"""),32.76)</f>
        <v>32.76</v>
      </c>
      <c r="K23" s="2">
        <f ca="1">IFERROR(__xludf.DUMMYFUNCTION("""COMPUTED_VALUE"""),44.219)</f>
        <v>44.219000000000001</v>
      </c>
      <c r="L23" s="2">
        <f ca="1">IFERROR(__xludf.DUMMYFUNCTION("""COMPUTED_VALUE"""),10.21)</f>
        <v>10.210000000000001</v>
      </c>
      <c r="M23" s="2">
        <f ca="1">IFERROR(__xludf.DUMMYFUNCTION("""COMPUTED_VALUE"""),12.551)</f>
        <v>12.551</v>
      </c>
      <c r="U23" s="3" t="e">
        <f ca="1"/>
        <v>#NAME?</v>
      </c>
    </row>
    <row r="24" spans="3:21" ht="12.5" x14ac:dyDescent="0.25">
      <c r="C24" s="4">
        <f ca="1">IFERROR(__xludf.DUMMYFUNCTION("""COMPUTED_VALUE"""),40207.9986111111)</f>
        <v>40207.998611111099</v>
      </c>
      <c r="D24" s="2">
        <f ca="1">IFERROR(__xludf.DUMMYFUNCTION("""COMPUTED_VALUE"""),46.098)</f>
        <v>46.097999999999999</v>
      </c>
      <c r="E24" s="2">
        <f ca="1">IFERROR(__xludf.DUMMYFUNCTION("""COMPUTED_VALUE"""),64.286)</f>
        <v>64.286000000000001</v>
      </c>
      <c r="F24" s="2">
        <f ca="1">IFERROR(__xludf.DUMMYFUNCTION("""COMPUTED_VALUE"""),73.793)</f>
        <v>73.793000000000006</v>
      </c>
      <c r="G24" s="2">
        <f ca="1">IFERROR(__xludf.DUMMYFUNCTION("""COMPUTED_VALUE"""),0.5086)</f>
        <v>0.50860000000000005</v>
      </c>
      <c r="H24" s="2">
        <f ca="1">IFERROR(__xludf.DUMMYFUNCTION("""COMPUTED_VALUE"""),41.167)</f>
        <v>41.167000000000002</v>
      </c>
      <c r="I24" s="2">
        <f ca="1">IFERROR(__xludf.DUMMYFUNCTION("""COMPUTED_VALUE"""),43.466)</f>
        <v>43.466000000000001</v>
      </c>
      <c r="J24" s="2">
        <f ca="1">IFERROR(__xludf.DUMMYFUNCTION("""COMPUTED_VALUE"""),32.757)</f>
        <v>32.756999999999998</v>
      </c>
      <c r="K24" s="2">
        <f ca="1">IFERROR(__xludf.DUMMYFUNCTION("""COMPUTED_VALUE"""),44.382)</f>
        <v>44.381999999999998</v>
      </c>
      <c r="L24" s="2">
        <f ca="1">IFERROR(__xludf.DUMMYFUNCTION("""COMPUTED_VALUE"""),10.21)</f>
        <v>10.210000000000001</v>
      </c>
      <c r="M24" s="2">
        <f ca="1">IFERROR(__xludf.DUMMYFUNCTION("""COMPUTED_VALUE"""),12.602)</f>
        <v>12.602</v>
      </c>
      <c r="U24" s="3" t="e">
        <f ca="1"/>
        <v>#NAME?</v>
      </c>
    </row>
    <row r="25" spans="3:21" ht="12.5" x14ac:dyDescent="0.25">
      <c r="C25" s="4">
        <f ca="1">IFERROR(__xludf.DUMMYFUNCTION("""COMPUTED_VALUE"""),40208.9986111111)</f>
        <v>40208.998611111099</v>
      </c>
      <c r="D25" s="2">
        <f ca="1">IFERROR(__xludf.DUMMYFUNCTION("""COMPUTED_VALUE"""),46.098)</f>
        <v>46.097999999999999</v>
      </c>
      <c r="E25" s="2">
        <f ca="1">IFERROR(__xludf.DUMMYFUNCTION("""COMPUTED_VALUE"""),64.389)</f>
        <v>64.388999999999996</v>
      </c>
      <c r="F25" s="2">
        <f ca="1">IFERROR(__xludf.DUMMYFUNCTION("""COMPUTED_VALUE"""),73.796)</f>
        <v>73.796000000000006</v>
      </c>
      <c r="G25" s="2">
        <f ca="1">IFERROR(__xludf.DUMMYFUNCTION("""COMPUTED_VALUE"""),0.50952)</f>
        <v>0.50951999999999997</v>
      </c>
      <c r="H25" s="2">
        <f ca="1">IFERROR(__xludf.DUMMYFUNCTION("""COMPUTED_VALUE"""),40.885)</f>
        <v>40.884999999999998</v>
      </c>
      <c r="I25" s="2">
        <f ca="1">IFERROR(__xludf.DUMMYFUNCTION("""COMPUTED_VALUE"""),43.578)</f>
        <v>43.578000000000003</v>
      </c>
      <c r="J25" s="2">
        <f ca="1">IFERROR(__xludf.DUMMYFUNCTION("""COMPUTED_VALUE"""),32.74)</f>
        <v>32.74</v>
      </c>
      <c r="K25" s="2">
        <f ca="1">IFERROR(__xludf.DUMMYFUNCTION("""COMPUTED_VALUE"""),44.398)</f>
        <v>44.398000000000003</v>
      </c>
      <c r="L25" s="2">
        <f ca="1">IFERROR(__xludf.DUMMYFUNCTION("""COMPUTED_VALUE"""),10.235)</f>
        <v>10.234999999999999</v>
      </c>
      <c r="M25" s="2">
        <f ca="1">IFERROR(__xludf.DUMMYFUNCTION("""COMPUTED_VALUE"""),12.551)</f>
        <v>12.551</v>
      </c>
      <c r="U25" s="3" t="e">
        <f ca="1"/>
        <v>#NAME?</v>
      </c>
    </row>
    <row r="26" spans="3:21" ht="12.5" x14ac:dyDescent="0.25">
      <c r="C26" s="4">
        <f ca="1">IFERROR(__xludf.DUMMYFUNCTION("""COMPUTED_VALUE"""),40210.9986111111)</f>
        <v>40210.998611111099</v>
      </c>
      <c r="D26" s="2">
        <f ca="1">IFERROR(__xludf.DUMMYFUNCTION("""COMPUTED_VALUE"""),46.288)</f>
        <v>46.287999999999997</v>
      </c>
      <c r="E26" s="2">
        <f ca="1">IFERROR(__xludf.DUMMYFUNCTION("""COMPUTED_VALUE"""),63.818)</f>
        <v>63.817999999999998</v>
      </c>
      <c r="F26" s="2">
        <f ca="1">IFERROR(__xludf.DUMMYFUNCTION("""COMPUTED_VALUE"""),73.719)</f>
        <v>73.718999999999994</v>
      </c>
      <c r="G26" s="2">
        <f ca="1">IFERROR(__xludf.DUMMYFUNCTION("""COMPUTED_VALUE"""),0.50537)</f>
        <v>0.50536999999999999</v>
      </c>
      <c r="H26" s="2">
        <f ca="1">IFERROR(__xludf.DUMMYFUNCTION("""COMPUTED_VALUE"""),40.499)</f>
        <v>40.499000000000002</v>
      </c>
      <c r="I26" s="2">
        <f ca="1">IFERROR(__xludf.DUMMYFUNCTION("""COMPUTED_VALUE"""),43.243)</f>
        <v>43.243000000000002</v>
      </c>
      <c r="J26" s="2">
        <f ca="1">IFERROR(__xludf.DUMMYFUNCTION("""COMPUTED_VALUE"""),32.527)</f>
        <v>32.527000000000001</v>
      </c>
      <c r="K26" s="2">
        <f ca="1">IFERROR(__xludf.DUMMYFUNCTION("""COMPUTED_VALUE"""),44.341)</f>
        <v>44.341000000000001</v>
      </c>
      <c r="L26" s="2">
        <f ca="1">IFERROR(__xludf.DUMMYFUNCTION("""COMPUTED_VALUE"""),10.227)</f>
        <v>10.227</v>
      </c>
      <c r="M26" s="2">
        <f ca="1">IFERROR(__xludf.DUMMYFUNCTION("""COMPUTED_VALUE"""),12.496)</f>
        <v>12.496</v>
      </c>
      <c r="U26" s="3" t="e">
        <f ca="1"/>
        <v>#NAME?</v>
      </c>
    </row>
    <row r="27" spans="3:21" ht="12.5" x14ac:dyDescent="0.25">
      <c r="C27" s="4">
        <f ca="1">IFERROR(__xludf.DUMMYFUNCTION("""COMPUTED_VALUE"""),40211.9986111111)</f>
        <v>40211.998611111099</v>
      </c>
      <c r="D27" s="2">
        <f ca="1">IFERROR(__xludf.DUMMYFUNCTION("""COMPUTED_VALUE"""),46.1)</f>
        <v>46.1</v>
      </c>
      <c r="E27" s="2">
        <f ca="1">IFERROR(__xludf.DUMMYFUNCTION("""COMPUTED_VALUE"""),63.605)</f>
        <v>63.604999999999997</v>
      </c>
      <c r="F27" s="2">
        <f ca="1">IFERROR(__xludf.DUMMYFUNCTION("""COMPUTED_VALUE"""),73.673)</f>
        <v>73.673000000000002</v>
      </c>
      <c r="G27" s="2">
        <f ca="1">IFERROR(__xludf.DUMMYFUNCTION("""COMPUTED_VALUE"""),0.5176)</f>
        <v>0.51759999999999995</v>
      </c>
      <c r="H27" s="2">
        <f ca="1">IFERROR(__xludf.DUMMYFUNCTION("""COMPUTED_VALUE"""),40.206)</f>
        <v>40.206000000000003</v>
      </c>
      <c r="I27" s="2">
        <f ca="1">IFERROR(__xludf.DUMMYFUNCTION("""COMPUTED_VALUE"""),43.164)</f>
        <v>43.164000000000001</v>
      </c>
      <c r="J27" s="2">
        <f ca="1">IFERROR(__xludf.DUMMYFUNCTION("""COMPUTED_VALUE"""),32.58)</f>
        <v>32.58</v>
      </c>
      <c r="K27" s="2">
        <f ca="1">IFERROR(__xludf.DUMMYFUNCTION("""COMPUTED_VALUE"""),43.747)</f>
        <v>43.747</v>
      </c>
      <c r="L27" s="2">
        <f ca="1">IFERROR(__xludf.DUMMYFUNCTION("""COMPUTED_VALUE"""),10.241)</f>
        <v>10.241</v>
      </c>
      <c r="M27" s="2">
        <f ca="1">IFERROR(__xludf.DUMMYFUNCTION("""COMPUTED_VALUE"""),12.581)</f>
        <v>12.581</v>
      </c>
      <c r="U27" s="3" t="e">
        <f ca="1"/>
        <v>#NAME?</v>
      </c>
    </row>
    <row r="28" spans="3:21" ht="12.5" x14ac:dyDescent="0.25">
      <c r="C28" s="4">
        <f ca="1">IFERROR(__xludf.DUMMYFUNCTION("""COMPUTED_VALUE"""),40212.9986111111)</f>
        <v>40212.998611111099</v>
      </c>
      <c r="D28" s="2">
        <f ca="1">IFERROR(__xludf.DUMMYFUNCTION("""COMPUTED_VALUE"""),45.9)</f>
        <v>45.9</v>
      </c>
      <c r="E28" s="2">
        <f ca="1">IFERROR(__xludf.DUMMYFUNCTION("""COMPUTED_VALUE"""),63.417)</f>
        <v>63.417000000000002</v>
      </c>
      <c r="F28" s="2">
        <f ca="1">IFERROR(__xludf.DUMMYFUNCTION("""COMPUTED_VALUE"""),72.983)</f>
        <v>72.983000000000004</v>
      </c>
      <c r="G28" s="2">
        <f ca="1">IFERROR(__xludf.DUMMYFUNCTION("""COMPUTED_VALUE"""),0.51977)</f>
        <v>0.51976999999999995</v>
      </c>
      <c r="H28" s="2">
        <f ca="1">IFERROR(__xludf.DUMMYFUNCTION("""COMPUTED_VALUE"""),40.262)</f>
        <v>40.262</v>
      </c>
      <c r="I28" s="2">
        <f ca="1">IFERROR(__xludf.DUMMYFUNCTION("""COMPUTED_VALUE"""),43.324)</f>
        <v>43.323999999999998</v>
      </c>
      <c r="J28" s="2">
        <f ca="1">IFERROR(__xludf.DUMMYFUNCTION("""COMPUTED_VALUE"""),32.603)</f>
        <v>32.603000000000002</v>
      </c>
      <c r="K28" s="2">
        <f ca="1">IFERROR(__xludf.DUMMYFUNCTION("""COMPUTED_VALUE"""),43.79)</f>
        <v>43.79</v>
      </c>
      <c r="L28" s="2">
        <f ca="1">IFERROR(__xludf.DUMMYFUNCTION("""COMPUTED_VALUE"""),10.269)</f>
        <v>10.269</v>
      </c>
      <c r="M28" s="2">
        <f ca="1">IFERROR(__xludf.DUMMYFUNCTION("""COMPUTED_VALUE"""),12.692)</f>
        <v>12.692</v>
      </c>
      <c r="U28" s="3" t="e">
        <f ca="1"/>
        <v>#NAME?</v>
      </c>
    </row>
    <row r="29" spans="3:21" ht="12.5" x14ac:dyDescent="0.25">
      <c r="C29" s="4">
        <f ca="1">IFERROR(__xludf.DUMMYFUNCTION("""COMPUTED_VALUE"""),40213.9986111111)</f>
        <v>40213.998611111099</v>
      </c>
      <c r="D29" s="2">
        <f ca="1">IFERROR(__xludf.DUMMYFUNCTION("""COMPUTED_VALUE"""),46.21)</f>
        <v>46.21</v>
      </c>
      <c r="E29" s="2">
        <f ca="1">IFERROR(__xludf.DUMMYFUNCTION("""COMPUTED_VALUE"""),63.881)</f>
        <v>63.881</v>
      </c>
      <c r="F29" s="2">
        <f ca="1">IFERROR(__xludf.DUMMYFUNCTION("""COMPUTED_VALUE"""),72.934)</f>
        <v>72.933999999999997</v>
      </c>
      <c r="G29" s="2">
        <f ca="1">IFERROR(__xludf.DUMMYFUNCTION("""COMPUTED_VALUE"""),0.52437)</f>
        <v>0.52437</v>
      </c>
      <c r="H29" s="2">
        <f ca="1">IFERROR(__xludf.DUMMYFUNCTION("""COMPUTED_VALUE"""),40.396)</f>
        <v>40.396000000000001</v>
      </c>
      <c r="I29" s="2">
        <f ca="1">IFERROR(__xludf.DUMMYFUNCTION("""COMPUTED_VALUE"""),43.534)</f>
        <v>43.533999999999999</v>
      </c>
      <c r="J29" s="2">
        <f ca="1">IFERROR(__xludf.DUMMYFUNCTION("""COMPUTED_VALUE"""),32.864)</f>
        <v>32.863999999999997</v>
      </c>
      <c r="K29" s="2">
        <f ca="1">IFERROR(__xludf.DUMMYFUNCTION("""COMPUTED_VALUE"""),44.14)</f>
        <v>44.14</v>
      </c>
      <c r="L29" s="2">
        <f ca="1">IFERROR(__xludf.DUMMYFUNCTION("""COMPUTED_VALUE"""),10.321)</f>
        <v>10.321</v>
      </c>
      <c r="M29" s="2">
        <f ca="1">IFERROR(__xludf.DUMMYFUNCTION("""COMPUTED_VALUE"""),12.717)</f>
        <v>12.717000000000001</v>
      </c>
      <c r="U29" s="3" t="e">
        <f ca="1"/>
        <v>#NAME?</v>
      </c>
    </row>
    <row r="30" spans="3:21" ht="12.5" x14ac:dyDescent="0.25">
      <c r="C30" s="4">
        <f ca="1">IFERROR(__xludf.DUMMYFUNCTION("""COMPUTED_VALUE"""),40214.9986111111)</f>
        <v>40214.998611111099</v>
      </c>
      <c r="D30" s="2">
        <f ca="1">IFERROR(__xludf.DUMMYFUNCTION("""COMPUTED_VALUE"""),46.62)</f>
        <v>46.62</v>
      </c>
      <c r="E30" s="2">
        <f ca="1">IFERROR(__xludf.DUMMYFUNCTION("""COMPUTED_VALUE"""),63.93)</f>
        <v>63.93</v>
      </c>
      <c r="F30" s="2">
        <f ca="1">IFERROR(__xludf.DUMMYFUNCTION("""COMPUTED_VALUE"""),72.63)</f>
        <v>72.63</v>
      </c>
      <c r="G30" s="2">
        <f ca="1">IFERROR(__xludf.DUMMYFUNCTION("""COMPUTED_VALUE"""),0.51667)</f>
        <v>0.51666999999999996</v>
      </c>
      <c r="H30" s="2">
        <f ca="1">IFERROR(__xludf.DUMMYFUNCTION("""COMPUTED_VALUE"""),40.694)</f>
        <v>40.694000000000003</v>
      </c>
      <c r="I30" s="2">
        <f ca="1">IFERROR(__xludf.DUMMYFUNCTION("""COMPUTED_VALUE"""),43.46)</f>
        <v>43.46</v>
      </c>
      <c r="J30" s="2">
        <f ca="1">IFERROR(__xludf.DUMMYFUNCTION("""COMPUTED_VALUE"""),32.737)</f>
        <v>32.737000000000002</v>
      </c>
      <c r="K30" s="2">
        <f ca="1">IFERROR(__xludf.DUMMYFUNCTION("""COMPUTED_VALUE"""),44.062)</f>
        <v>44.061999999999998</v>
      </c>
      <c r="L30" s="2">
        <f ca="1">IFERROR(__xludf.DUMMYFUNCTION("""COMPUTED_VALUE"""),10.333)</f>
        <v>10.333</v>
      </c>
      <c r="M30" s="2">
        <f ca="1">IFERROR(__xludf.DUMMYFUNCTION("""COMPUTED_VALUE"""),12.63)</f>
        <v>12.63</v>
      </c>
      <c r="U30" s="3" t="e">
        <f ca="1"/>
        <v>#NAME?</v>
      </c>
    </row>
    <row r="31" spans="3:21" ht="12.5" x14ac:dyDescent="0.25">
      <c r="C31" s="4">
        <f ca="1">IFERROR(__xludf.DUMMYFUNCTION("""COMPUTED_VALUE"""),40215.9986111111)</f>
        <v>40215.998611111099</v>
      </c>
      <c r="D31" s="2">
        <f ca="1">IFERROR(__xludf.DUMMYFUNCTION("""COMPUTED_VALUE"""),46.738)</f>
        <v>46.738</v>
      </c>
      <c r="E31" s="2">
        <f ca="1">IFERROR(__xludf.DUMMYFUNCTION("""COMPUTED_VALUE"""),63.546)</f>
        <v>63.545999999999999</v>
      </c>
      <c r="F31" s="2">
        <f ca="1">IFERROR(__xludf.DUMMYFUNCTION("""COMPUTED_VALUE"""),73.098)</f>
        <v>73.097999999999999</v>
      </c>
      <c r="G31" s="2">
        <f ca="1">IFERROR(__xludf.DUMMYFUNCTION("""COMPUTED_VALUE"""),0.51416)</f>
        <v>0.51415999999999995</v>
      </c>
      <c r="H31" s="2">
        <f ca="1">IFERROR(__xludf.DUMMYFUNCTION("""COMPUTED_VALUE"""),40.546)</f>
        <v>40.545999999999999</v>
      </c>
      <c r="I31" s="2">
        <f ca="1">IFERROR(__xludf.DUMMYFUNCTION("""COMPUTED_VALUE"""),43.525)</f>
        <v>43.524999999999999</v>
      </c>
      <c r="J31" s="2">
        <f ca="1">IFERROR(__xludf.DUMMYFUNCTION("""COMPUTED_VALUE"""),32.616)</f>
        <v>32.616</v>
      </c>
      <c r="K31" s="2">
        <f ca="1">IFERROR(__xludf.DUMMYFUNCTION("""COMPUTED_VALUE"""),43.432)</f>
        <v>43.432000000000002</v>
      </c>
      <c r="L31" s="2">
        <f ca="1">IFERROR(__xludf.DUMMYFUNCTION("""COMPUTED_VALUE"""),10.272)</f>
        <v>10.272</v>
      </c>
      <c r="M31" s="2">
        <f ca="1">IFERROR(__xludf.DUMMYFUNCTION("""COMPUTED_VALUE"""),12.626)</f>
        <v>12.625999999999999</v>
      </c>
      <c r="U31" s="3" t="e">
        <f ca="1"/>
        <v>#NAME?</v>
      </c>
    </row>
    <row r="32" spans="3:21" ht="12.5" x14ac:dyDescent="0.25">
      <c r="C32" s="4">
        <f ca="1">IFERROR(__xludf.DUMMYFUNCTION("""COMPUTED_VALUE"""),40217.9986111111)</f>
        <v>40217.998611111099</v>
      </c>
      <c r="D32" s="2">
        <f ca="1">IFERROR(__xludf.DUMMYFUNCTION("""COMPUTED_VALUE"""),46.71)</f>
        <v>46.71</v>
      </c>
      <c r="E32" s="2">
        <f ca="1">IFERROR(__xludf.DUMMYFUNCTION("""COMPUTED_VALUE"""),63.398)</f>
        <v>63.398000000000003</v>
      </c>
      <c r="F32" s="2">
        <f ca="1">IFERROR(__xludf.DUMMYFUNCTION("""COMPUTED_VALUE"""),72.956)</f>
        <v>72.956000000000003</v>
      </c>
      <c r="G32" s="2">
        <f ca="1">IFERROR(__xludf.DUMMYFUNCTION("""COMPUTED_VALUE"""),0.51592)</f>
        <v>0.51592000000000005</v>
      </c>
      <c r="H32" s="2">
        <f ca="1">IFERROR(__xludf.DUMMYFUNCTION("""COMPUTED_VALUE"""),41.245)</f>
        <v>41.244999999999997</v>
      </c>
      <c r="I32" s="2">
        <f ca="1">IFERROR(__xludf.DUMMYFUNCTION("""COMPUTED_VALUE"""),44.094)</f>
        <v>44.094000000000001</v>
      </c>
      <c r="J32" s="2">
        <f ca="1">IFERROR(__xludf.DUMMYFUNCTION("""COMPUTED_VALUE"""),32.835)</f>
        <v>32.835000000000001</v>
      </c>
      <c r="K32" s="2">
        <f ca="1">IFERROR(__xludf.DUMMYFUNCTION("""COMPUTED_VALUE"""),43.609)</f>
        <v>43.609000000000002</v>
      </c>
      <c r="L32" s="2">
        <f ca="1">IFERROR(__xludf.DUMMYFUNCTION("""COMPUTED_VALUE"""),10.273)</f>
        <v>10.273</v>
      </c>
      <c r="M32" s="2">
        <f ca="1">IFERROR(__xludf.DUMMYFUNCTION("""COMPUTED_VALUE"""),12.633)</f>
        <v>12.632999999999999</v>
      </c>
      <c r="U32" s="3" t="e">
        <f ca="1"/>
        <v>#NAME?</v>
      </c>
    </row>
    <row r="33" spans="3:21" ht="12.5" x14ac:dyDescent="0.25">
      <c r="C33" s="4">
        <f ca="1">IFERROR(__xludf.DUMMYFUNCTION("""COMPUTED_VALUE"""),40218.9986111111)</f>
        <v>40218.998611111099</v>
      </c>
      <c r="D33" s="2">
        <f ca="1">IFERROR(__xludf.DUMMYFUNCTION("""COMPUTED_VALUE"""),46.39)</f>
        <v>46.39</v>
      </c>
      <c r="E33" s="2">
        <f ca="1">IFERROR(__xludf.DUMMYFUNCTION("""COMPUTED_VALUE"""),63.183)</f>
        <v>63.183</v>
      </c>
      <c r="F33" s="2">
        <f ca="1">IFERROR(__xludf.DUMMYFUNCTION("""COMPUTED_VALUE"""),72.842)</f>
        <v>72.841999999999999</v>
      </c>
      <c r="G33" s="2">
        <f ca="1">IFERROR(__xludf.DUMMYFUNCTION("""COMPUTED_VALUE"""),0.51511)</f>
        <v>0.51510999999999996</v>
      </c>
      <c r="H33" s="2">
        <f ca="1">IFERROR(__xludf.DUMMYFUNCTION("""COMPUTED_VALUE"""),41.199)</f>
        <v>41.198999999999998</v>
      </c>
      <c r="I33" s="2">
        <f ca="1">IFERROR(__xludf.DUMMYFUNCTION("""COMPUTED_VALUE"""),44.144)</f>
        <v>44.143999999999998</v>
      </c>
      <c r="J33" s="2">
        <f ca="1">IFERROR(__xludf.DUMMYFUNCTION("""COMPUTED_VALUE"""),32.809)</f>
        <v>32.808999999999997</v>
      </c>
      <c r="K33" s="2">
        <f ca="1">IFERROR(__xludf.DUMMYFUNCTION("""COMPUTED_VALUE"""),43.408)</f>
        <v>43.408000000000001</v>
      </c>
      <c r="L33" s="2">
        <f ca="1">IFERROR(__xludf.DUMMYFUNCTION("""COMPUTED_VALUE"""),10.316)</f>
        <v>10.316000000000001</v>
      </c>
      <c r="M33" s="2">
        <f ca="1">IFERROR(__xludf.DUMMYFUNCTION("""COMPUTED_VALUE"""),12.633)</f>
        <v>12.632999999999999</v>
      </c>
      <c r="U33" s="3" t="e">
        <f ca="1"/>
        <v>#NAME?</v>
      </c>
    </row>
    <row r="34" spans="3:21" ht="12.5" x14ac:dyDescent="0.25">
      <c r="C34" s="4">
        <f ca="1">IFERROR(__xludf.DUMMYFUNCTION("""COMPUTED_VALUE"""),40219.9986111111)</f>
        <v>40219.998611111099</v>
      </c>
      <c r="D34" s="2">
        <f ca="1">IFERROR(__xludf.DUMMYFUNCTION("""COMPUTED_VALUE"""),46.378)</f>
        <v>46.378</v>
      </c>
      <c r="E34" s="2">
        <f ca="1">IFERROR(__xludf.DUMMYFUNCTION("""COMPUTED_VALUE"""),63.041)</f>
        <v>63.040999999999997</v>
      </c>
      <c r="F34" s="2">
        <f ca="1">IFERROR(__xludf.DUMMYFUNCTION("""COMPUTED_VALUE"""),72.342)</f>
        <v>72.341999999999999</v>
      </c>
      <c r="G34" s="2">
        <f ca="1">IFERROR(__xludf.DUMMYFUNCTION("""COMPUTED_VALUE"""),0.51406)</f>
        <v>0.51405999999999996</v>
      </c>
      <c r="H34" s="2">
        <f ca="1">IFERROR(__xludf.DUMMYFUNCTION("""COMPUTED_VALUE"""),41.175)</f>
        <v>41.174999999999997</v>
      </c>
      <c r="I34" s="2">
        <f ca="1">IFERROR(__xludf.DUMMYFUNCTION("""COMPUTED_VALUE"""),44.123)</f>
        <v>44.122999999999998</v>
      </c>
      <c r="J34" s="2">
        <f ca="1">IFERROR(__xludf.DUMMYFUNCTION("""COMPUTED_VALUE"""),32.785)</f>
        <v>32.784999999999997</v>
      </c>
      <c r="K34" s="2">
        <f ca="1">IFERROR(__xludf.DUMMYFUNCTION("""COMPUTED_VALUE"""),43.685)</f>
        <v>43.685000000000002</v>
      </c>
      <c r="L34" s="2">
        <f ca="1">IFERROR(__xludf.DUMMYFUNCTION("""COMPUTED_VALUE"""),10.296)</f>
        <v>10.295999999999999</v>
      </c>
      <c r="M34" s="2">
        <f ca="1">IFERROR(__xludf.DUMMYFUNCTION("""COMPUTED_VALUE"""),12.616)</f>
        <v>12.616</v>
      </c>
      <c r="U34" s="3" t="e">
        <f ca="1"/>
        <v>#NAME?</v>
      </c>
    </row>
    <row r="35" spans="3:21" ht="12.5" x14ac:dyDescent="0.25">
      <c r="C35" s="4">
        <f ca="1">IFERROR(__xludf.DUMMYFUNCTION("""COMPUTED_VALUE"""),40220.9986111111)</f>
        <v>40220.998611111099</v>
      </c>
      <c r="D35" s="2">
        <f ca="1">IFERROR(__xludf.DUMMYFUNCTION("""COMPUTED_VALUE"""),46.4)</f>
        <v>46.4</v>
      </c>
      <c r="E35" s="2">
        <f ca="1">IFERROR(__xludf.DUMMYFUNCTION("""COMPUTED_VALUE"""),63.305)</f>
        <v>63.305</v>
      </c>
      <c r="F35" s="2">
        <f ca="1">IFERROR(__xludf.DUMMYFUNCTION("""COMPUTED_VALUE"""),72.755)</f>
        <v>72.754999999999995</v>
      </c>
      <c r="G35" s="2">
        <f ca="1">IFERROR(__xludf.DUMMYFUNCTION("""COMPUTED_VALUE"""),0.50954)</f>
        <v>0.50953999999999999</v>
      </c>
      <c r="H35" s="2">
        <f ca="1">IFERROR(__xludf.DUMMYFUNCTION("""COMPUTED_VALUE"""),41.45)</f>
        <v>41.45</v>
      </c>
      <c r="I35" s="2">
        <f ca="1">IFERROR(__xludf.DUMMYFUNCTION("""COMPUTED_VALUE"""),44.072)</f>
        <v>44.072000000000003</v>
      </c>
      <c r="J35" s="2">
        <f ca="1">IFERROR(__xludf.DUMMYFUNCTION("""COMPUTED_VALUE"""),32.75)</f>
        <v>32.75</v>
      </c>
      <c r="K35" s="2">
        <f ca="1">IFERROR(__xludf.DUMMYFUNCTION("""COMPUTED_VALUE"""),43.682)</f>
        <v>43.682000000000002</v>
      </c>
      <c r="L35" s="2">
        <f ca="1">IFERROR(__xludf.DUMMYFUNCTION("""COMPUTED_VALUE"""),10.316)</f>
        <v>10.316000000000001</v>
      </c>
      <c r="M35" s="2">
        <f ca="1">IFERROR(__xludf.DUMMYFUNCTION("""COMPUTED_VALUE"""),12.535)</f>
        <v>12.535</v>
      </c>
      <c r="U35" s="3" t="e">
        <f ca="1"/>
        <v>#NAME?</v>
      </c>
    </row>
    <row r="36" spans="3:21" ht="12.5" x14ac:dyDescent="0.25">
      <c r="C36" s="4">
        <f ca="1">IFERROR(__xludf.DUMMYFUNCTION("""COMPUTED_VALUE"""),40221.9986111111)</f>
        <v>40221.998611111099</v>
      </c>
      <c r="D36" s="2">
        <f ca="1">IFERROR(__xludf.DUMMYFUNCTION("""COMPUTED_VALUE"""),46.4)</f>
        <v>46.4</v>
      </c>
      <c r="E36" s="2">
        <f ca="1">IFERROR(__xludf.DUMMYFUNCTION("""COMPUTED_VALUE"""),62.681)</f>
        <v>62.680999999999997</v>
      </c>
      <c r="F36" s="2">
        <f ca="1">IFERROR(__xludf.DUMMYFUNCTION("""COMPUTED_VALUE"""),72.728)</f>
        <v>72.727999999999994</v>
      </c>
      <c r="G36" s="2">
        <f ca="1">IFERROR(__xludf.DUMMYFUNCTION("""COMPUTED_VALUE"""),0.50533)</f>
        <v>0.50532999999999995</v>
      </c>
      <c r="H36" s="2">
        <f ca="1">IFERROR(__xludf.DUMMYFUNCTION("""COMPUTED_VALUE"""),41.357)</f>
        <v>41.356999999999999</v>
      </c>
      <c r="I36" s="2">
        <f ca="1">IFERROR(__xludf.DUMMYFUNCTION("""COMPUTED_VALUE"""),43.987)</f>
        <v>43.987000000000002</v>
      </c>
      <c r="J36" s="2">
        <f ca="1">IFERROR(__xludf.DUMMYFUNCTION("""COMPUTED_VALUE"""),32.728)</f>
        <v>32.728000000000002</v>
      </c>
      <c r="K36" s="2">
        <f ca="1">IFERROR(__xludf.DUMMYFUNCTION("""COMPUTED_VALUE"""),43.383)</f>
        <v>43.383000000000003</v>
      </c>
      <c r="L36" s="2">
        <f ca="1">IFERROR(__xludf.DUMMYFUNCTION("""COMPUTED_VALUE"""),10.262)</f>
        <v>10.262</v>
      </c>
      <c r="M36" s="2">
        <f ca="1">IFERROR(__xludf.DUMMYFUNCTION("""COMPUTED_VALUE"""),12.526)</f>
        <v>12.526</v>
      </c>
      <c r="U36" s="3" t="e">
        <f ca="1"/>
        <v>#NAME?</v>
      </c>
    </row>
    <row r="37" spans="3:21" ht="12.5" x14ac:dyDescent="0.25">
      <c r="C37" s="4">
        <f ca="1">IFERROR(__xludf.DUMMYFUNCTION("""COMPUTED_VALUE"""),40224.9986111111)</f>
        <v>40224.998611111099</v>
      </c>
      <c r="D37" s="2">
        <f ca="1">IFERROR(__xludf.DUMMYFUNCTION("""COMPUTED_VALUE"""),46.338)</f>
        <v>46.338000000000001</v>
      </c>
      <c r="E37" s="2">
        <f ca="1">IFERROR(__xludf.DUMMYFUNCTION("""COMPUTED_VALUE"""),62.478)</f>
        <v>62.478000000000002</v>
      </c>
      <c r="F37" s="2">
        <f ca="1">IFERROR(__xludf.DUMMYFUNCTION("""COMPUTED_VALUE"""),72.581)</f>
        <v>72.581000000000003</v>
      </c>
      <c r="G37" s="2">
        <f ca="1">IFERROR(__xludf.DUMMYFUNCTION("""COMPUTED_VALUE"""),0.50451)</f>
        <v>0.50451000000000001</v>
      </c>
      <c r="H37" s="2">
        <f ca="1">IFERROR(__xludf.DUMMYFUNCTION("""COMPUTED_VALUE"""),41.287)</f>
        <v>41.286999999999999</v>
      </c>
      <c r="I37" s="2">
        <f ca="1">IFERROR(__xludf.DUMMYFUNCTION("""COMPUTED_VALUE"""),44.179)</f>
        <v>44.179000000000002</v>
      </c>
      <c r="J37" s="2">
        <f ca="1">IFERROR(__xludf.DUMMYFUNCTION("""COMPUTED_VALUE"""),32.811)</f>
        <v>32.811</v>
      </c>
      <c r="K37" s="2">
        <f ca="1">IFERROR(__xludf.DUMMYFUNCTION("""COMPUTED_VALUE"""),43.424)</f>
        <v>43.423999999999999</v>
      </c>
      <c r="L37" s="2">
        <f ca="1">IFERROR(__xludf.DUMMYFUNCTION("""COMPUTED_VALUE"""),10.247)</f>
        <v>10.247</v>
      </c>
      <c r="M37" s="2">
        <f ca="1">IFERROR(__xludf.DUMMYFUNCTION("""COMPUTED_VALUE"""),12.562)</f>
        <v>12.561999999999999</v>
      </c>
      <c r="U37" s="3" t="e">
        <f ca="1"/>
        <v>#NAME?</v>
      </c>
    </row>
    <row r="38" spans="3:21" ht="12.5" x14ac:dyDescent="0.25">
      <c r="C38" s="4">
        <f ca="1">IFERROR(__xludf.DUMMYFUNCTION("""COMPUTED_VALUE"""),40225.9986111111)</f>
        <v>40225.998611111099</v>
      </c>
      <c r="D38" s="2">
        <f ca="1">IFERROR(__xludf.DUMMYFUNCTION("""COMPUTED_VALUE"""),45.98)</f>
        <v>45.98</v>
      </c>
      <c r="E38" s="2">
        <f ca="1">IFERROR(__xludf.DUMMYFUNCTION("""COMPUTED_VALUE"""),62.867)</f>
        <v>62.866999999999997</v>
      </c>
      <c r="F38" s="2">
        <f ca="1">IFERROR(__xludf.DUMMYFUNCTION("""COMPUTED_VALUE"""),72.615)</f>
        <v>72.614999999999995</v>
      </c>
      <c r="G38" s="2">
        <f ca="1">IFERROR(__xludf.DUMMYFUNCTION("""COMPUTED_VALUE"""),0.50447)</f>
        <v>0.50446999999999997</v>
      </c>
      <c r="H38" s="2">
        <f ca="1">IFERROR(__xludf.DUMMYFUNCTION("""COMPUTED_VALUE"""),41.551)</f>
        <v>41.551000000000002</v>
      </c>
      <c r="I38" s="2">
        <f ca="1">IFERROR(__xludf.DUMMYFUNCTION("""COMPUTED_VALUE"""),44.435)</f>
        <v>44.435000000000002</v>
      </c>
      <c r="J38" s="2">
        <f ca="1">IFERROR(__xludf.DUMMYFUNCTION("""COMPUTED_VALUE"""),32.712)</f>
        <v>32.712000000000003</v>
      </c>
      <c r="K38" s="2">
        <f ca="1">IFERROR(__xludf.DUMMYFUNCTION("""COMPUTED_VALUE"""),43.207)</f>
        <v>43.207000000000001</v>
      </c>
      <c r="L38" s="2">
        <f ca="1">IFERROR(__xludf.DUMMYFUNCTION("""COMPUTED_VALUE"""),10.253)</f>
        <v>10.253</v>
      </c>
      <c r="M38" s="2">
        <f ca="1">IFERROR(__xludf.DUMMYFUNCTION("""COMPUTED_VALUE"""),12.573)</f>
        <v>12.573</v>
      </c>
      <c r="U38" s="3" t="e">
        <f ca="1"/>
        <v>#NAME?</v>
      </c>
    </row>
    <row r="39" spans="3:21" ht="12.5" x14ac:dyDescent="0.25">
      <c r="C39" s="4">
        <f ca="1">IFERROR(__xludf.DUMMYFUNCTION("""COMPUTED_VALUE"""),40226.9986111111)</f>
        <v>40226.998611111099</v>
      </c>
      <c r="D39" s="2">
        <f ca="1">IFERROR(__xludf.DUMMYFUNCTION("""COMPUTED_VALUE"""),46.008)</f>
        <v>46.008000000000003</v>
      </c>
      <c r="E39" s="2">
        <f ca="1">IFERROR(__xludf.DUMMYFUNCTION("""COMPUTED_VALUE"""),62.732)</f>
        <v>62.731999999999999</v>
      </c>
      <c r="F39" s="2">
        <f ca="1">IFERROR(__xludf.DUMMYFUNCTION("""COMPUTED_VALUE"""),72.256)</f>
        <v>72.256</v>
      </c>
      <c r="G39" s="2">
        <f ca="1">IFERROR(__xludf.DUMMYFUNCTION("""COMPUTED_VALUE"""),0.50548)</f>
        <v>0.50548000000000004</v>
      </c>
      <c r="H39" s="2">
        <f ca="1">IFERROR(__xludf.DUMMYFUNCTION("""COMPUTED_VALUE"""),41.529)</f>
        <v>41.529000000000003</v>
      </c>
      <c r="I39" s="2">
        <f ca="1">IFERROR(__xludf.DUMMYFUNCTION("""COMPUTED_VALUE"""),44.251)</f>
        <v>44.250999999999998</v>
      </c>
      <c r="J39" s="2">
        <f ca="1">IFERROR(__xludf.DUMMYFUNCTION("""COMPUTED_VALUE"""),32.716)</f>
        <v>32.716000000000001</v>
      </c>
      <c r="K39" s="2">
        <f ca="1">IFERROR(__xludf.DUMMYFUNCTION("""COMPUTED_VALUE"""),43.299)</f>
        <v>43.298999999999999</v>
      </c>
      <c r="L39" s="2">
        <f ca="1">IFERROR(__xludf.DUMMYFUNCTION("""COMPUTED_VALUE"""),10.258)</f>
        <v>10.257999999999999</v>
      </c>
      <c r="M39" s="2">
        <f ca="1">IFERROR(__xludf.DUMMYFUNCTION("""COMPUTED_VALUE"""),12.551)</f>
        <v>12.551</v>
      </c>
      <c r="U39" s="3" t="e">
        <f ca="1"/>
        <v>#NAME?</v>
      </c>
    </row>
    <row r="40" spans="3:21" ht="12.5" x14ac:dyDescent="0.25">
      <c r="C40" s="4">
        <f ca="1">IFERROR(__xludf.DUMMYFUNCTION("""COMPUTED_VALUE"""),40227.9986111111)</f>
        <v>40227.998611111099</v>
      </c>
      <c r="D40" s="2">
        <f ca="1">IFERROR(__xludf.DUMMYFUNCTION("""COMPUTED_VALUE"""),46.14)</f>
        <v>46.14</v>
      </c>
      <c r="E40" s="2">
        <f ca="1">IFERROR(__xludf.DUMMYFUNCTION("""COMPUTED_VALUE"""),62.637)</f>
        <v>62.637</v>
      </c>
      <c r="F40" s="2">
        <f ca="1">IFERROR(__xludf.DUMMYFUNCTION("""COMPUTED_VALUE"""),71.835)</f>
        <v>71.834999999999994</v>
      </c>
      <c r="G40" s="2">
        <f ca="1">IFERROR(__xludf.DUMMYFUNCTION("""COMPUTED_VALUE"""),0.51299)</f>
        <v>0.51298999999999995</v>
      </c>
      <c r="H40" s="2">
        <f ca="1">IFERROR(__xludf.DUMMYFUNCTION("""COMPUTED_VALUE"""),41.296)</f>
        <v>41.295999999999999</v>
      </c>
      <c r="I40" s="2">
        <f ca="1">IFERROR(__xludf.DUMMYFUNCTION("""COMPUTED_VALUE"""),43.851)</f>
        <v>43.850999999999999</v>
      </c>
      <c r="J40" s="2">
        <f ca="1">IFERROR(__xludf.DUMMYFUNCTION("""COMPUTED_VALUE"""),32.796)</f>
        <v>32.795999999999999</v>
      </c>
      <c r="K40" s="2">
        <f ca="1">IFERROR(__xludf.DUMMYFUNCTION("""COMPUTED_VALUE"""),43.284)</f>
        <v>43.283999999999999</v>
      </c>
      <c r="L40" s="2">
        <f ca="1">IFERROR(__xludf.DUMMYFUNCTION("""COMPUTED_VALUE"""),10.267)</f>
        <v>10.266999999999999</v>
      </c>
      <c r="M40" s="2">
        <f ca="1">IFERROR(__xludf.DUMMYFUNCTION("""COMPUTED_VALUE"""),12.597)</f>
        <v>12.597</v>
      </c>
      <c r="U40" s="3" t="e">
        <f ca="1"/>
        <v>#NAME?</v>
      </c>
    </row>
    <row r="41" spans="3:21" ht="12.5" x14ac:dyDescent="0.25">
      <c r="C41" s="4">
        <f ca="1">IFERROR(__xludf.DUMMYFUNCTION("""COMPUTED_VALUE"""),40228.9986111111)</f>
        <v>40228.998611111099</v>
      </c>
      <c r="D41" s="2">
        <f ca="1">IFERROR(__xludf.DUMMYFUNCTION("""COMPUTED_VALUE"""),46.18)</f>
        <v>46.18</v>
      </c>
      <c r="E41" s="2">
        <f ca="1">IFERROR(__xludf.DUMMYFUNCTION("""COMPUTED_VALUE"""),62.777)</f>
        <v>62.777000000000001</v>
      </c>
      <c r="F41" s="2">
        <f ca="1">IFERROR(__xludf.DUMMYFUNCTION("""COMPUTED_VALUE"""),71.431)</f>
        <v>71.430999999999997</v>
      </c>
      <c r="G41" s="2">
        <f ca="1">IFERROR(__xludf.DUMMYFUNCTION("""COMPUTED_VALUE"""),0.51339)</f>
        <v>0.51339000000000001</v>
      </c>
      <c r="H41" s="2">
        <f ca="1">IFERROR(__xludf.DUMMYFUNCTION("""COMPUTED_VALUE"""),41.458)</f>
        <v>41.457999999999998</v>
      </c>
      <c r="I41" s="2">
        <f ca="1">IFERROR(__xludf.DUMMYFUNCTION("""COMPUTED_VALUE"""),44.029)</f>
        <v>44.029000000000003</v>
      </c>
      <c r="J41" s="2">
        <f ca="1">IFERROR(__xludf.DUMMYFUNCTION("""COMPUTED_VALUE"""),32.891)</f>
        <v>32.890999999999998</v>
      </c>
      <c r="K41" s="2">
        <f ca="1">IFERROR(__xludf.DUMMYFUNCTION("""COMPUTED_VALUE"""),43.609)</f>
        <v>43.609000000000002</v>
      </c>
      <c r="L41" s="2">
        <f ca="1">IFERROR(__xludf.DUMMYFUNCTION("""COMPUTED_VALUE"""),10.156)</f>
        <v>10.156000000000001</v>
      </c>
      <c r="M41" s="2">
        <f ca="1">IFERROR(__xludf.DUMMYFUNCTION("""COMPUTED_VALUE"""),12.602)</f>
        <v>12.602</v>
      </c>
      <c r="U41" s="3" t="e">
        <f ca="1"/>
        <v>#NAME?</v>
      </c>
    </row>
    <row r="42" spans="3:21" ht="12.5" x14ac:dyDescent="0.25">
      <c r="C42" s="4">
        <f ca="1">IFERROR(__xludf.DUMMYFUNCTION("""COMPUTED_VALUE"""),40229.9986111111)</f>
        <v>40229.998611111099</v>
      </c>
      <c r="D42" s="2">
        <f ca="1">IFERROR(__xludf.DUMMYFUNCTION("""COMPUTED_VALUE"""),46.253)</f>
        <v>46.253</v>
      </c>
      <c r="E42" s="2">
        <f ca="1">IFERROR(__xludf.DUMMYFUNCTION("""COMPUTED_VALUE"""),62.688)</f>
        <v>62.688000000000002</v>
      </c>
      <c r="F42" s="2">
        <f ca="1">IFERROR(__xludf.DUMMYFUNCTION("""COMPUTED_VALUE"""),71.384)</f>
        <v>71.384</v>
      </c>
      <c r="G42" s="2">
        <f ca="1">IFERROR(__xludf.DUMMYFUNCTION("""COMPUTED_VALUE"""),0.51888)</f>
        <v>0.51888000000000001</v>
      </c>
      <c r="H42" s="2">
        <f ca="1">IFERROR(__xludf.DUMMYFUNCTION("""COMPUTED_VALUE"""),41.064)</f>
        <v>41.064</v>
      </c>
      <c r="I42" s="2">
        <f ca="1">IFERROR(__xludf.DUMMYFUNCTION("""COMPUTED_VALUE"""),43.637)</f>
        <v>43.637</v>
      </c>
      <c r="J42" s="2">
        <f ca="1">IFERROR(__xludf.DUMMYFUNCTION("""COMPUTED_VALUE"""),32.873)</f>
        <v>32.872999999999998</v>
      </c>
      <c r="K42" s="2">
        <f ca="1">IFERROR(__xludf.DUMMYFUNCTION("""COMPUTED_VALUE"""),43.545)</f>
        <v>43.545000000000002</v>
      </c>
      <c r="L42" s="2">
        <f ca="1">IFERROR(__xludf.DUMMYFUNCTION("""COMPUTED_VALUE"""),10.138)</f>
        <v>10.138</v>
      </c>
      <c r="M42" s="2">
        <f ca="1">IFERROR(__xludf.DUMMYFUNCTION("""COMPUTED_VALUE"""),12.605)</f>
        <v>12.605</v>
      </c>
      <c r="U42" s="3" t="e">
        <f ca="1"/>
        <v>#NAME?</v>
      </c>
    </row>
    <row r="43" spans="3:21" ht="12.5" x14ac:dyDescent="0.25">
      <c r="C43" s="4">
        <f ca="1">IFERROR(__xludf.DUMMYFUNCTION("""COMPUTED_VALUE"""),40231.9986111111)</f>
        <v>40231.998611111099</v>
      </c>
      <c r="D43" s="2">
        <f ca="1">IFERROR(__xludf.DUMMYFUNCTION("""COMPUTED_VALUE"""),46.1)</f>
        <v>46.1</v>
      </c>
      <c r="E43" s="2">
        <f ca="1">IFERROR(__xludf.DUMMYFUNCTION("""COMPUTED_VALUE"""),62.507)</f>
        <v>62.506999999999998</v>
      </c>
      <c r="F43" s="2">
        <f ca="1">IFERROR(__xludf.DUMMYFUNCTION("""COMPUTED_VALUE"""),71.416)</f>
        <v>71.415999999999997</v>
      </c>
      <c r="G43" s="2">
        <f ca="1">IFERROR(__xludf.DUMMYFUNCTION("""COMPUTED_VALUE"""),0.51556)</f>
        <v>0.51556000000000002</v>
      </c>
      <c r="H43" s="2">
        <f ca="1">IFERROR(__xludf.DUMMYFUNCTION("""COMPUTED_VALUE"""),41.076)</f>
        <v>41.076000000000001</v>
      </c>
      <c r="I43" s="2">
        <f ca="1">IFERROR(__xludf.DUMMYFUNCTION("""COMPUTED_VALUE"""),43.598)</f>
        <v>43.597999999999999</v>
      </c>
      <c r="J43" s="2">
        <f ca="1">IFERROR(__xludf.DUMMYFUNCTION("""COMPUTED_VALUE"""),32.603)</f>
        <v>32.603000000000002</v>
      </c>
      <c r="K43" s="2">
        <f ca="1">IFERROR(__xludf.DUMMYFUNCTION("""COMPUTED_VALUE"""),43.343)</f>
        <v>43.343000000000004</v>
      </c>
      <c r="L43" s="2">
        <f ca="1">IFERROR(__xludf.DUMMYFUNCTION("""COMPUTED_VALUE"""),10.196)</f>
        <v>10.196</v>
      </c>
      <c r="M43" s="2">
        <f ca="1">IFERROR(__xludf.DUMMYFUNCTION("""COMPUTED_VALUE"""),12.496)</f>
        <v>12.496</v>
      </c>
      <c r="U43" s="3" t="e">
        <f ca="1"/>
        <v>#NAME?</v>
      </c>
    </row>
    <row r="44" spans="3:21" ht="12.5" x14ac:dyDescent="0.25">
      <c r="C44" s="4">
        <f ca="1">IFERROR(__xludf.DUMMYFUNCTION("""COMPUTED_VALUE"""),40232.9986111111)</f>
        <v>40232.998611111099</v>
      </c>
      <c r="D44" s="2">
        <f ca="1">IFERROR(__xludf.DUMMYFUNCTION("""COMPUTED_VALUE"""),46.268)</f>
        <v>46.268000000000001</v>
      </c>
      <c r="E44" s="2">
        <f ca="1">IFERROR(__xludf.DUMMYFUNCTION("""COMPUTED_VALUE"""),62.318)</f>
        <v>62.317999999999998</v>
      </c>
      <c r="F44" s="2">
        <f ca="1">IFERROR(__xludf.DUMMYFUNCTION("""COMPUTED_VALUE"""),71.544)</f>
        <v>71.543999999999997</v>
      </c>
      <c r="G44" s="2">
        <f ca="1">IFERROR(__xludf.DUMMYFUNCTION("""COMPUTED_VALUE"""),0.51547)</f>
        <v>0.51546999999999998</v>
      </c>
      <c r="H44" s="2">
        <f ca="1">IFERROR(__xludf.DUMMYFUNCTION("""COMPUTED_VALUE"""),41.366)</f>
        <v>41.366</v>
      </c>
      <c r="I44" s="2">
        <f ca="1">IFERROR(__xludf.DUMMYFUNCTION("""COMPUTED_VALUE"""),44.107)</f>
        <v>44.106999999999999</v>
      </c>
      <c r="J44" s="2">
        <f ca="1">IFERROR(__xludf.DUMMYFUNCTION("""COMPUTED_VALUE"""),32.709)</f>
        <v>32.709000000000003</v>
      </c>
      <c r="K44" s="2">
        <f ca="1">IFERROR(__xludf.DUMMYFUNCTION("""COMPUTED_VALUE"""),43.265)</f>
        <v>43.265000000000001</v>
      </c>
      <c r="L44" s="2">
        <f ca="1">IFERROR(__xludf.DUMMYFUNCTION("""COMPUTED_VALUE"""),10.175)</f>
        <v>10.175000000000001</v>
      </c>
      <c r="M44" s="2">
        <f ca="1">IFERROR(__xludf.DUMMYFUNCTION("""COMPUTED_VALUE"""),12.524)</f>
        <v>12.523999999999999</v>
      </c>
      <c r="U44" s="3" t="e">
        <f ca="1"/>
        <v>#NAME?</v>
      </c>
    </row>
    <row r="45" spans="3:21" ht="12.5" x14ac:dyDescent="0.25">
      <c r="C45" s="4">
        <f ca="1">IFERROR(__xludf.DUMMYFUNCTION("""COMPUTED_VALUE"""),40233.9986111111)</f>
        <v>40233.998611111099</v>
      </c>
      <c r="D45" s="2">
        <f ca="1">IFERROR(__xludf.DUMMYFUNCTION("""COMPUTED_VALUE"""),46.288)</f>
        <v>46.287999999999997</v>
      </c>
      <c r="E45" s="2">
        <f ca="1">IFERROR(__xludf.DUMMYFUNCTION("""COMPUTED_VALUE"""),62.605)</f>
        <v>62.604999999999997</v>
      </c>
      <c r="F45" s="2">
        <f ca="1">IFERROR(__xludf.DUMMYFUNCTION("""COMPUTED_VALUE"""),71.431)</f>
        <v>71.430999999999997</v>
      </c>
      <c r="G45" s="2">
        <f ca="1">IFERROR(__xludf.DUMMYFUNCTION("""COMPUTED_VALUE"""),0.51785)</f>
        <v>0.51785000000000003</v>
      </c>
      <c r="H45" s="2">
        <f ca="1">IFERROR(__xludf.DUMMYFUNCTION("""COMPUTED_VALUE"""),41.595)</f>
        <v>41.594999999999999</v>
      </c>
      <c r="I45" s="2">
        <f ca="1">IFERROR(__xludf.DUMMYFUNCTION("""COMPUTED_VALUE"""),44.424)</f>
        <v>44.423999999999999</v>
      </c>
      <c r="J45" s="2">
        <f ca="1">IFERROR(__xludf.DUMMYFUNCTION("""COMPUTED_VALUE"""),32.804)</f>
        <v>32.804000000000002</v>
      </c>
      <c r="K45" s="2">
        <f ca="1">IFERROR(__xludf.DUMMYFUNCTION("""COMPUTED_VALUE"""),43.103)</f>
        <v>43.103000000000002</v>
      </c>
      <c r="L45" s="2">
        <f ca="1">IFERROR(__xludf.DUMMYFUNCTION("""COMPUTED_VALUE"""),10.226)</f>
        <v>10.226000000000001</v>
      </c>
      <c r="M45" s="2">
        <f ca="1">IFERROR(__xludf.DUMMYFUNCTION("""COMPUTED_VALUE"""),12.531)</f>
        <v>12.531000000000001</v>
      </c>
      <c r="U45" s="3" t="e">
        <f ca="1"/>
        <v>#NAME?</v>
      </c>
    </row>
    <row r="46" spans="3:21" ht="12.5" x14ac:dyDescent="0.25">
      <c r="C46" s="4">
        <f ca="1">IFERROR(__xludf.DUMMYFUNCTION("""COMPUTED_VALUE"""),40234.9986111111)</f>
        <v>40234.998611111099</v>
      </c>
      <c r="D46" s="2">
        <f ca="1">IFERROR(__xludf.DUMMYFUNCTION("""COMPUTED_VALUE"""),46.3)</f>
        <v>46.3</v>
      </c>
      <c r="E46" s="2">
        <f ca="1">IFERROR(__xludf.DUMMYFUNCTION("""COMPUTED_VALUE"""),62.503)</f>
        <v>62.503</v>
      </c>
      <c r="F46" s="2">
        <f ca="1">IFERROR(__xludf.DUMMYFUNCTION("""COMPUTED_VALUE"""),70.589)</f>
        <v>70.588999999999999</v>
      </c>
      <c r="G46" s="2">
        <f ca="1">IFERROR(__xludf.DUMMYFUNCTION("""COMPUTED_VALUE"""),0.51502)</f>
        <v>0.51502000000000003</v>
      </c>
      <c r="H46" s="2">
        <f ca="1">IFERROR(__xludf.DUMMYFUNCTION("""COMPUTED_VALUE"""),41.291)</f>
        <v>41.290999999999997</v>
      </c>
      <c r="I46" s="2">
        <f ca="1">IFERROR(__xludf.DUMMYFUNCTION("""COMPUTED_VALUE"""),44.212)</f>
        <v>44.212000000000003</v>
      </c>
      <c r="J46" s="2">
        <f ca="1">IFERROR(__xludf.DUMMYFUNCTION("""COMPUTED_VALUE"""),32.595)</f>
        <v>32.594999999999999</v>
      </c>
      <c r="K46" s="2">
        <f ca="1">IFERROR(__xludf.DUMMYFUNCTION("""COMPUTED_VALUE"""),43.124)</f>
        <v>43.124000000000002</v>
      </c>
      <c r="L46" s="2">
        <f ca="1">IFERROR(__xludf.DUMMYFUNCTION("""COMPUTED_VALUE"""),10.226)</f>
        <v>10.226000000000001</v>
      </c>
      <c r="M46" s="2">
        <f ca="1">IFERROR(__xludf.DUMMYFUNCTION("""COMPUTED_VALUE"""),12.401)</f>
        <v>12.401</v>
      </c>
      <c r="U46" s="3" t="e">
        <f ca="1"/>
        <v>#NAME?</v>
      </c>
    </row>
    <row r="47" spans="3:21" ht="12.5" x14ac:dyDescent="0.25">
      <c r="C47" s="4">
        <f ca="1">IFERROR(__xludf.DUMMYFUNCTION("""COMPUTED_VALUE"""),40235.9986111111)</f>
        <v>40235.998611111099</v>
      </c>
      <c r="D47" s="2">
        <f ca="1">IFERROR(__xludf.DUMMYFUNCTION("""COMPUTED_VALUE"""),45.9)</f>
        <v>45.9</v>
      </c>
      <c r="E47" s="2">
        <f ca="1">IFERROR(__xludf.DUMMYFUNCTION("""COMPUTED_VALUE"""),62.018)</f>
        <v>62.018000000000001</v>
      </c>
      <c r="F47" s="2">
        <f ca="1">IFERROR(__xludf.DUMMYFUNCTION("""COMPUTED_VALUE"""),70.036)</f>
        <v>70.036000000000001</v>
      </c>
      <c r="G47" s="2">
        <f ca="1">IFERROR(__xludf.DUMMYFUNCTION("""COMPUTED_VALUE"""),0.51214)</f>
        <v>0.51214000000000004</v>
      </c>
      <c r="H47" s="2">
        <f ca="1">IFERROR(__xludf.DUMMYFUNCTION("""COMPUTED_VALUE"""),41.086)</f>
        <v>41.085999999999999</v>
      </c>
      <c r="I47" s="2">
        <f ca="1">IFERROR(__xludf.DUMMYFUNCTION("""COMPUTED_VALUE"""),44.272)</f>
        <v>44.271999999999998</v>
      </c>
      <c r="J47" s="2">
        <f ca="1">IFERROR(__xludf.DUMMYFUNCTION("""COMPUTED_VALUE"""),32.578)</f>
        <v>32.578000000000003</v>
      </c>
      <c r="K47" s="2">
        <f ca="1">IFERROR(__xludf.DUMMYFUNCTION("""COMPUTED_VALUE"""),43.138)</f>
        <v>43.137999999999998</v>
      </c>
      <c r="L47" s="2">
        <f ca="1">IFERROR(__xludf.DUMMYFUNCTION("""COMPUTED_VALUE"""),10.163)</f>
        <v>10.163</v>
      </c>
      <c r="M47" s="2">
        <f ca="1">IFERROR(__xludf.DUMMYFUNCTION("""COMPUTED_VALUE"""),12.434)</f>
        <v>12.433999999999999</v>
      </c>
      <c r="U47" s="3" t="e">
        <f ca="1"/>
        <v>#NAME?</v>
      </c>
    </row>
    <row r="48" spans="3:21" ht="12.5" x14ac:dyDescent="0.25">
      <c r="C48" s="4">
        <f ca="1">IFERROR(__xludf.DUMMYFUNCTION("""COMPUTED_VALUE"""),40236.9986111111)</f>
        <v>40236.998611111099</v>
      </c>
      <c r="D48" s="2">
        <f ca="1">IFERROR(__xludf.DUMMYFUNCTION("""COMPUTED_VALUE"""),46.068)</f>
        <v>46.067999999999998</v>
      </c>
      <c r="E48" s="2">
        <f ca="1">IFERROR(__xludf.DUMMYFUNCTION("""COMPUTED_VALUE"""),61.837)</f>
        <v>61.837000000000003</v>
      </c>
      <c r="F48" s="2">
        <f ca="1">IFERROR(__xludf.DUMMYFUNCTION("""COMPUTED_VALUE"""),70.191)</f>
        <v>70.191000000000003</v>
      </c>
      <c r="G48" s="2">
        <f ca="1">IFERROR(__xludf.DUMMYFUNCTION("""COMPUTED_VALUE"""),0.50256)</f>
        <v>0.50256000000000001</v>
      </c>
      <c r="H48" s="2">
        <f ca="1">IFERROR(__xludf.DUMMYFUNCTION("""COMPUTED_VALUE"""),41.193)</f>
        <v>41.192999999999998</v>
      </c>
      <c r="I48" s="2">
        <f ca="1">IFERROR(__xludf.DUMMYFUNCTION("""COMPUTED_VALUE"""),44.091)</f>
        <v>44.091000000000001</v>
      </c>
      <c r="J48" s="2">
        <f ca="1">IFERROR(__xludf.DUMMYFUNCTION("""COMPUTED_VALUE"""),32.394)</f>
        <v>32.393999999999998</v>
      </c>
      <c r="K48" s="2">
        <f ca="1">IFERROR(__xludf.DUMMYFUNCTION("""COMPUTED_VALUE"""),42.971)</f>
        <v>42.970999999999997</v>
      </c>
      <c r="L48" s="2">
        <f ca="1">IFERROR(__xludf.DUMMYFUNCTION("""COMPUTED_VALUE"""),10.235)</f>
        <v>10.234999999999999</v>
      </c>
      <c r="M48" s="2">
        <f ca="1">IFERROR(__xludf.DUMMYFUNCTION("""COMPUTED_VALUE"""),12.374)</f>
        <v>12.374000000000001</v>
      </c>
      <c r="U48" s="3" t="e">
        <f ca="1"/>
        <v>#NAME?</v>
      </c>
    </row>
    <row r="49" spans="3:21" ht="12.5" x14ac:dyDescent="0.25">
      <c r="C49" s="4">
        <f ca="1">IFERROR(__xludf.DUMMYFUNCTION("""COMPUTED_VALUE"""),40238.9986111111)</f>
        <v>40238.998611111099</v>
      </c>
      <c r="D49" s="2">
        <f ca="1">IFERROR(__xludf.DUMMYFUNCTION("""COMPUTED_VALUE"""),46)</f>
        <v>46</v>
      </c>
      <c r="E49" s="2">
        <f ca="1">IFERROR(__xludf.DUMMYFUNCTION("""COMPUTED_VALUE"""),61.898)</f>
        <v>61.898000000000003</v>
      </c>
      <c r="F49" s="2">
        <f ca="1">IFERROR(__xludf.DUMMYFUNCTION("""COMPUTED_VALUE"""),68.948)</f>
        <v>68.947999999999993</v>
      </c>
      <c r="G49" s="2">
        <f ca="1">IFERROR(__xludf.DUMMYFUNCTION("""COMPUTED_VALUE"""),0.50338)</f>
        <v>0.50338000000000005</v>
      </c>
      <c r="H49" s="2">
        <f ca="1">IFERROR(__xludf.DUMMYFUNCTION("""COMPUTED_VALUE"""),41.288)</f>
        <v>41.287999999999997</v>
      </c>
      <c r="I49" s="2">
        <f ca="1">IFERROR(__xludf.DUMMYFUNCTION("""COMPUTED_VALUE"""),44.219)</f>
        <v>44.219000000000001</v>
      </c>
      <c r="J49" s="2">
        <f ca="1">IFERROR(__xludf.DUMMYFUNCTION("""COMPUTED_VALUE"""),32.471)</f>
        <v>32.470999999999997</v>
      </c>
      <c r="K49" s="2">
        <f ca="1">IFERROR(__xludf.DUMMYFUNCTION("""COMPUTED_VALUE"""),43.14)</f>
        <v>43.14</v>
      </c>
      <c r="L49" s="2">
        <f ca="1">IFERROR(__xludf.DUMMYFUNCTION("""COMPUTED_VALUE"""),10.332)</f>
        <v>10.332000000000001</v>
      </c>
      <c r="M49" s="2">
        <f ca="1">IFERROR(__xludf.DUMMYFUNCTION("""COMPUTED_VALUE"""),12.36)</f>
        <v>12.36</v>
      </c>
      <c r="U49" s="3" t="e">
        <f ca="1"/>
        <v>#NAME?</v>
      </c>
    </row>
    <row r="50" spans="3:21" ht="12.5" x14ac:dyDescent="0.25">
      <c r="C50" s="4">
        <f ca="1">IFERROR(__xludf.DUMMYFUNCTION("""COMPUTED_VALUE"""),40239.9986111111)</f>
        <v>40239.998611111099</v>
      </c>
      <c r="D50" s="2">
        <f ca="1">IFERROR(__xludf.DUMMYFUNCTION("""COMPUTED_VALUE"""),46.028)</f>
        <v>46.027999999999999</v>
      </c>
      <c r="E50" s="2">
        <f ca="1">IFERROR(__xludf.DUMMYFUNCTION("""COMPUTED_VALUE"""),61.882)</f>
        <v>61.881999999999998</v>
      </c>
      <c r="F50" s="2">
        <f ca="1">IFERROR(__xludf.DUMMYFUNCTION("""COMPUTED_VALUE"""),68.797)</f>
        <v>68.796999999999997</v>
      </c>
      <c r="G50" s="2">
        <f ca="1">IFERROR(__xludf.DUMMYFUNCTION("""COMPUTED_VALUE"""),0.50539)</f>
        <v>0.50539000000000001</v>
      </c>
      <c r="H50" s="2">
        <f ca="1">IFERROR(__xludf.DUMMYFUNCTION("""COMPUTED_VALUE"""),41.632)</f>
        <v>41.631999999999998</v>
      </c>
      <c r="I50" s="2">
        <f ca="1">IFERROR(__xludf.DUMMYFUNCTION("""COMPUTED_VALUE"""),44.293)</f>
        <v>44.292999999999999</v>
      </c>
      <c r="J50" s="2">
        <f ca="1">IFERROR(__xludf.DUMMYFUNCTION("""COMPUTED_VALUE"""),32.523)</f>
        <v>32.523000000000003</v>
      </c>
      <c r="K50" s="2">
        <f ca="1">IFERROR(__xludf.DUMMYFUNCTION("""COMPUTED_VALUE"""),42.701)</f>
        <v>42.701000000000001</v>
      </c>
      <c r="L50" s="2">
        <f ca="1">IFERROR(__xludf.DUMMYFUNCTION("""COMPUTED_VALUE"""),10.419)</f>
        <v>10.419</v>
      </c>
      <c r="M50" s="2">
        <f ca="1">IFERROR(__xludf.DUMMYFUNCTION("""COMPUTED_VALUE"""),12.402)</f>
        <v>12.401999999999999</v>
      </c>
      <c r="U50" s="3" t="e">
        <f ca="1"/>
        <v>#NAME?</v>
      </c>
    </row>
    <row r="51" spans="3:21" ht="12.5" x14ac:dyDescent="0.25">
      <c r="C51" s="4">
        <f ca="1">IFERROR(__xludf.DUMMYFUNCTION("""COMPUTED_VALUE"""),40240.9986111111)</f>
        <v>40240.998611111099</v>
      </c>
      <c r="D51" s="2">
        <f ca="1">IFERROR(__xludf.DUMMYFUNCTION("""COMPUTED_VALUE"""),45.55)</f>
        <v>45.55</v>
      </c>
      <c r="E51" s="2">
        <f ca="1">IFERROR(__xludf.DUMMYFUNCTION("""COMPUTED_VALUE"""),61.852)</f>
        <v>61.851999999999997</v>
      </c>
      <c r="F51" s="2">
        <f ca="1">IFERROR(__xludf.DUMMYFUNCTION("""COMPUTED_VALUE"""),68.899)</f>
        <v>68.899000000000001</v>
      </c>
      <c r="G51" s="2">
        <f ca="1">IFERROR(__xludf.DUMMYFUNCTION("""COMPUTED_VALUE"""),0.50106)</f>
        <v>0.50105999999999995</v>
      </c>
      <c r="H51" s="2">
        <f ca="1">IFERROR(__xludf.DUMMYFUNCTION("""COMPUTED_VALUE"""),41.422)</f>
        <v>41.421999999999997</v>
      </c>
      <c r="I51" s="2">
        <f ca="1">IFERROR(__xludf.DUMMYFUNCTION("""COMPUTED_VALUE"""),44.207)</f>
        <v>44.207000000000001</v>
      </c>
      <c r="J51" s="2">
        <f ca="1">IFERROR(__xludf.DUMMYFUNCTION("""COMPUTED_VALUE"""),32.429)</f>
        <v>32.429000000000002</v>
      </c>
      <c r="K51" s="2">
        <f ca="1">IFERROR(__xludf.DUMMYFUNCTION("""COMPUTED_VALUE"""),42.663)</f>
        <v>42.662999999999997</v>
      </c>
      <c r="L51" s="2">
        <f ca="1">IFERROR(__xludf.DUMMYFUNCTION("""COMPUTED_VALUE"""),10.322)</f>
        <v>10.321999999999999</v>
      </c>
      <c r="M51" s="2">
        <f ca="1">IFERROR(__xludf.DUMMYFUNCTION("""COMPUTED_VALUE"""),12.336)</f>
        <v>12.336</v>
      </c>
      <c r="U51" s="3" t="e">
        <f ca="1"/>
        <v>#NAME?</v>
      </c>
    </row>
    <row r="52" spans="3:21" ht="12.5" x14ac:dyDescent="0.25">
      <c r="C52" s="4">
        <f ca="1">IFERROR(__xludf.DUMMYFUNCTION("""COMPUTED_VALUE"""),40241.9986111111)</f>
        <v>40241.998611111099</v>
      </c>
      <c r="D52" s="2">
        <f ca="1">IFERROR(__xludf.DUMMYFUNCTION("""COMPUTED_VALUE"""),45.67)</f>
        <v>45.67</v>
      </c>
      <c r="E52" s="2">
        <f ca="1">IFERROR(__xludf.DUMMYFUNCTION("""COMPUTED_VALUE"""),62.176)</f>
        <v>62.176000000000002</v>
      </c>
      <c r="F52" s="2">
        <f ca="1">IFERROR(__xludf.DUMMYFUNCTION("""COMPUTED_VALUE"""),68.66)</f>
        <v>68.66</v>
      </c>
      <c r="G52" s="2">
        <f ca="1">IFERROR(__xludf.DUMMYFUNCTION("""COMPUTED_VALUE"""),0.5012)</f>
        <v>0.50119999999999998</v>
      </c>
      <c r="H52" s="2">
        <f ca="1">IFERROR(__xludf.DUMMYFUNCTION("""COMPUTED_VALUE"""),41.592)</f>
        <v>41.591999999999999</v>
      </c>
      <c r="I52" s="2">
        <f ca="1">IFERROR(__xludf.DUMMYFUNCTION("""COMPUTED_VALUE"""),44.377)</f>
        <v>44.377000000000002</v>
      </c>
      <c r="J52" s="2">
        <f ca="1">IFERROR(__xludf.DUMMYFUNCTION("""COMPUTED_VALUE"""),32.504)</f>
        <v>32.503999999999998</v>
      </c>
      <c r="K52" s="2">
        <f ca="1">IFERROR(__xludf.DUMMYFUNCTION("""COMPUTED_VALUE"""),42.932)</f>
        <v>42.932000000000002</v>
      </c>
      <c r="L52" s="2">
        <f ca="1">IFERROR(__xludf.DUMMYFUNCTION("""COMPUTED_VALUE"""),10.296)</f>
        <v>10.295999999999999</v>
      </c>
      <c r="M52" s="2">
        <f ca="1">IFERROR(__xludf.DUMMYFUNCTION("""COMPUTED_VALUE"""),12.375)</f>
        <v>12.375</v>
      </c>
      <c r="U52" s="3" t="e">
        <f ca="1"/>
        <v>#NAME?</v>
      </c>
    </row>
    <row r="53" spans="3:21" ht="12.5" x14ac:dyDescent="0.25">
      <c r="C53" s="4">
        <f ca="1">IFERROR(__xludf.DUMMYFUNCTION("""COMPUTED_VALUE"""),40242.9986111111)</f>
        <v>40242.998611111099</v>
      </c>
      <c r="D53" s="2">
        <f ca="1">IFERROR(__xludf.DUMMYFUNCTION("""COMPUTED_VALUE"""),45.45)</f>
        <v>45.45</v>
      </c>
      <c r="E53" s="2">
        <f ca="1">IFERROR(__xludf.DUMMYFUNCTION("""COMPUTED_VALUE"""),62.512)</f>
        <v>62.512</v>
      </c>
      <c r="F53" s="2">
        <f ca="1">IFERROR(__xludf.DUMMYFUNCTION("""COMPUTED_VALUE"""),68.697)</f>
        <v>68.697000000000003</v>
      </c>
      <c r="G53" s="2">
        <f ca="1">IFERROR(__xludf.DUMMYFUNCTION("""COMPUTED_VALUE"""),0.50128)</f>
        <v>0.50127999999999995</v>
      </c>
      <c r="H53" s="2">
        <f ca="1">IFERROR(__xludf.DUMMYFUNCTION("""COMPUTED_VALUE"""),41.526)</f>
        <v>41.526000000000003</v>
      </c>
      <c r="I53" s="2">
        <f ca="1">IFERROR(__xludf.DUMMYFUNCTION("""COMPUTED_VALUE"""),44.554)</f>
        <v>44.554000000000002</v>
      </c>
      <c r="J53" s="2">
        <f ca="1">IFERROR(__xludf.DUMMYFUNCTION("""COMPUTED_VALUE"""),32.567)</f>
        <v>32.567</v>
      </c>
      <c r="K53" s="2">
        <f ca="1">IFERROR(__xludf.DUMMYFUNCTION("""COMPUTED_VALUE"""),41.961)</f>
        <v>41.960999999999999</v>
      </c>
      <c r="L53" s="2">
        <f ca="1">IFERROR(__xludf.DUMMYFUNCTION("""COMPUTED_VALUE"""),10.298)</f>
        <v>10.298</v>
      </c>
      <c r="M53" s="2">
        <f ca="1">IFERROR(__xludf.DUMMYFUNCTION("""COMPUTED_VALUE"""),12.387)</f>
        <v>12.387</v>
      </c>
      <c r="U53" s="3" t="e">
        <f ca="1"/>
        <v>#NAME?</v>
      </c>
    </row>
    <row r="54" spans="3:21" ht="12.5" x14ac:dyDescent="0.25">
      <c r="C54" s="4">
        <f ca="1">IFERROR(__xludf.DUMMYFUNCTION("""COMPUTED_VALUE"""),40243.9986111111)</f>
        <v>40243.998611111099</v>
      </c>
      <c r="D54" s="2">
        <f ca="1">IFERROR(__xludf.DUMMYFUNCTION("""COMPUTED_VALUE"""),45.508)</f>
        <v>45.508000000000003</v>
      </c>
      <c r="E54" s="2">
        <f ca="1">IFERROR(__xludf.DUMMYFUNCTION("""COMPUTED_VALUE"""),62.212)</f>
        <v>62.212000000000003</v>
      </c>
      <c r="F54" s="2">
        <f ca="1">IFERROR(__xludf.DUMMYFUNCTION("""COMPUTED_VALUE"""),68.774)</f>
        <v>68.774000000000001</v>
      </c>
      <c r="G54" s="2">
        <f ca="1">IFERROR(__xludf.DUMMYFUNCTION("""COMPUTED_VALUE"""),0.503)</f>
        <v>0.503</v>
      </c>
      <c r="H54" s="2">
        <f ca="1">IFERROR(__xludf.DUMMYFUNCTION("""COMPUTED_VALUE"""),41.505)</f>
        <v>41.505000000000003</v>
      </c>
      <c r="I54" s="2">
        <f ca="1">IFERROR(__xludf.DUMMYFUNCTION("""COMPUTED_VALUE"""),44.585)</f>
        <v>44.585000000000001</v>
      </c>
      <c r="J54" s="2">
        <f ca="1">IFERROR(__xludf.DUMMYFUNCTION("""COMPUTED_VALUE"""),32.512)</f>
        <v>32.512</v>
      </c>
      <c r="K54" s="2">
        <f ca="1">IFERROR(__xludf.DUMMYFUNCTION("""COMPUTED_VALUE"""),41.99)</f>
        <v>41.99</v>
      </c>
      <c r="L54" s="2">
        <f ca="1">IFERROR(__xludf.DUMMYFUNCTION("""COMPUTED_VALUE"""),10.338)</f>
        <v>10.337999999999999</v>
      </c>
      <c r="M54" s="2">
        <f ca="1">IFERROR(__xludf.DUMMYFUNCTION("""COMPUTED_VALUE"""),12.403)</f>
        <v>12.403</v>
      </c>
      <c r="U54" s="3" t="e">
        <f ca="1"/>
        <v>#NAME?</v>
      </c>
    </row>
    <row r="55" spans="3:21" ht="12.5" x14ac:dyDescent="0.25">
      <c r="C55" s="4">
        <f ca="1">IFERROR(__xludf.DUMMYFUNCTION("""COMPUTED_VALUE"""),40244.9986111111)</f>
        <v>40244.998611111099</v>
      </c>
      <c r="D55" s="2">
        <f ca="1">IFERROR(__xludf.DUMMYFUNCTION("""COMPUTED_VALUE"""),45.508)</f>
        <v>45.508000000000003</v>
      </c>
      <c r="E55" s="2">
        <f ca="1">IFERROR(__xludf.DUMMYFUNCTION("""COMPUTED_VALUE"""),62.314)</f>
        <v>62.314</v>
      </c>
      <c r="F55" s="2">
        <f ca="1">IFERROR(__xludf.DUMMYFUNCTION("""COMPUTED_VALUE"""),68.774)</f>
        <v>68.774000000000001</v>
      </c>
      <c r="G55" s="2">
        <f ca="1">IFERROR(__xludf.DUMMYFUNCTION("""COMPUTED_VALUE"""),0.50116)</f>
        <v>0.50116000000000005</v>
      </c>
      <c r="H55" s="2">
        <f ca="1">IFERROR(__xludf.DUMMYFUNCTION("""COMPUTED_VALUE"""),41.59)</f>
        <v>41.59</v>
      </c>
      <c r="I55" s="2">
        <f ca="1">IFERROR(__xludf.DUMMYFUNCTION("""COMPUTED_VALUE"""),44.657)</f>
        <v>44.656999999999996</v>
      </c>
      <c r="J55" s="2">
        <f ca="1">IFERROR(__xludf.DUMMYFUNCTION("""COMPUTED_VALUE"""),32.464)</f>
        <v>32.463999999999999</v>
      </c>
      <c r="K55" s="2">
        <f ca="1">IFERROR(__xludf.DUMMYFUNCTION("""COMPUTED_VALUE"""),42.879)</f>
        <v>42.878999999999998</v>
      </c>
      <c r="L55" s="2">
        <f ca="1">IFERROR(__xludf.DUMMYFUNCTION("""COMPUTED_VALUE"""),10.395)</f>
        <v>10.395</v>
      </c>
      <c r="M55" s="2">
        <f ca="1">IFERROR(__xludf.DUMMYFUNCTION("""COMPUTED_VALUE"""),12.359)</f>
        <v>12.359</v>
      </c>
      <c r="U55" s="3" t="e">
        <f ca="1"/>
        <v>#NAME?</v>
      </c>
    </row>
    <row r="56" spans="3:21" ht="12.5" x14ac:dyDescent="0.25">
      <c r="C56" s="4">
        <f ca="1">IFERROR(__xludf.DUMMYFUNCTION("""COMPUTED_VALUE"""),40245.9986111111)</f>
        <v>40245.998611111099</v>
      </c>
      <c r="D56" s="2">
        <f ca="1">IFERROR(__xludf.DUMMYFUNCTION("""COMPUTED_VALUE"""),45.4)</f>
        <v>45.4</v>
      </c>
      <c r="E56" s="2">
        <f ca="1">IFERROR(__xludf.DUMMYFUNCTION("""COMPUTED_VALUE"""),62.218)</f>
        <v>62.218000000000004</v>
      </c>
      <c r="F56" s="2">
        <f ca="1">IFERROR(__xludf.DUMMYFUNCTION("""COMPUTED_VALUE"""),68.405)</f>
        <v>68.405000000000001</v>
      </c>
      <c r="G56" s="2">
        <f ca="1">IFERROR(__xludf.DUMMYFUNCTION("""COMPUTED_VALUE"""),0.50095)</f>
        <v>0.50095000000000001</v>
      </c>
      <c r="H56" s="2">
        <f ca="1">IFERROR(__xludf.DUMMYFUNCTION("""COMPUTED_VALUE"""),41.81)</f>
        <v>41.81</v>
      </c>
      <c r="I56" s="2">
        <f ca="1">IFERROR(__xludf.DUMMYFUNCTION("""COMPUTED_VALUE"""),44.821)</f>
        <v>44.820999999999998</v>
      </c>
      <c r="J56" s="2">
        <f ca="1">IFERROR(__xludf.DUMMYFUNCTION("""COMPUTED_VALUE"""),32.512)</f>
        <v>32.512</v>
      </c>
      <c r="K56" s="2">
        <f ca="1">IFERROR(__xludf.DUMMYFUNCTION("""COMPUTED_VALUE"""),42.736)</f>
        <v>42.735999999999997</v>
      </c>
      <c r="L56" s="2">
        <f ca="1">IFERROR(__xludf.DUMMYFUNCTION("""COMPUTED_VALUE"""),10.426)</f>
        <v>10.426</v>
      </c>
      <c r="M56" s="2">
        <f ca="1">IFERROR(__xludf.DUMMYFUNCTION("""COMPUTED_VALUE"""),12.329)</f>
        <v>12.329000000000001</v>
      </c>
      <c r="U56" s="3" t="e">
        <f ca="1"/>
        <v>#NAME?</v>
      </c>
    </row>
    <row r="57" spans="3:21" ht="12.5" x14ac:dyDescent="0.25">
      <c r="C57" s="4">
        <f ca="1">IFERROR(__xludf.DUMMYFUNCTION("""COMPUTED_VALUE"""),40246.9986111111)</f>
        <v>40246.998611111099</v>
      </c>
      <c r="D57" s="2">
        <f ca="1">IFERROR(__xludf.DUMMYFUNCTION("""COMPUTED_VALUE"""),45.55)</f>
        <v>45.55</v>
      </c>
      <c r="E57" s="2">
        <f ca="1">IFERROR(__xludf.DUMMYFUNCTION("""COMPUTED_VALUE"""),61.806)</f>
        <v>61.805999999999997</v>
      </c>
      <c r="F57" s="2">
        <f ca="1">IFERROR(__xludf.DUMMYFUNCTION("""COMPUTED_VALUE"""),68.293)</f>
        <v>68.293000000000006</v>
      </c>
      <c r="G57" s="2">
        <f ca="1">IFERROR(__xludf.DUMMYFUNCTION("""COMPUTED_VALUE"""),0.50179)</f>
        <v>0.50178999999999996</v>
      </c>
      <c r="H57" s="2">
        <f ca="1">IFERROR(__xludf.DUMMYFUNCTION("""COMPUTED_VALUE"""),41.82)</f>
        <v>41.82</v>
      </c>
      <c r="I57" s="2">
        <f ca="1">IFERROR(__xludf.DUMMYFUNCTION("""COMPUTED_VALUE"""),44.784)</f>
        <v>44.783999999999999</v>
      </c>
      <c r="J57" s="2">
        <f ca="1">IFERROR(__xludf.DUMMYFUNCTION("""COMPUTED_VALUE"""),32.539)</f>
        <v>32.539000000000001</v>
      </c>
      <c r="K57" s="2">
        <f ca="1">IFERROR(__xludf.DUMMYFUNCTION("""COMPUTED_VALUE"""),42.882)</f>
        <v>42.881999999999998</v>
      </c>
      <c r="L57" s="2">
        <f ca="1">IFERROR(__xludf.DUMMYFUNCTION("""COMPUTED_VALUE"""),10.405)</f>
        <v>10.404999999999999</v>
      </c>
      <c r="M57" s="2">
        <f ca="1">IFERROR(__xludf.DUMMYFUNCTION("""COMPUTED_VALUE"""),12.359)</f>
        <v>12.359</v>
      </c>
      <c r="U57" s="3" t="e">
        <f ca="1"/>
        <v>#NAME?</v>
      </c>
    </row>
    <row r="58" spans="3:21" ht="12.5" x14ac:dyDescent="0.25">
      <c r="C58" s="4">
        <f ca="1">IFERROR(__xludf.DUMMYFUNCTION("""COMPUTED_VALUE"""),40247.9986111111)</f>
        <v>40247.998611111099</v>
      </c>
      <c r="D58" s="2">
        <f ca="1">IFERROR(__xludf.DUMMYFUNCTION("""COMPUTED_VALUE"""),45.31)</f>
        <v>45.31</v>
      </c>
      <c r="E58" s="2">
        <f ca="1">IFERROR(__xludf.DUMMYFUNCTION("""COMPUTED_VALUE"""),61.271)</f>
        <v>61.271000000000001</v>
      </c>
      <c r="F58" s="2">
        <f ca="1">IFERROR(__xludf.DUMMYFUNCTION("""COMPUTED_VALUE"""),67.824)</f>
        <v>67.823999999999998</v>
      </c>
      <c r="G58" s="2">
        <f ca="1">IFERROR(__xludf.DUMMYFUNCTION("""COMPUTED_VALUE"""),0.5)</f>
        <v>0.5</v>
      </c>
      <c r="H58" s="2">
        <f ca="1">IFERROR(__xludf.DUMMYFUNCTION("""COMPUTED_VALUE"""),41.462)</f>
        <v>41.462000000000003</v>
      </c>
      <c r="I58" s="2">
        <f ca="1">IFERROR(__xludf.DUMMYFUNCTION("""COMPUTED_VALUE"""),44.509)</f>
        <v>44.509</v>
      </c>
      <c r="J58" s="2">
        <f ca="1">IFERROR(__xludf.DUMMYFUNCTION("""COMPUTED_VALUE"""),32.377)</f>
        <v>32.377000000000002</v>
      </c>
      <c r="K58" s="2">
        <f ca="1">IFERROR(__xludf.DUMMYFUNCTION("""COMPUTED_VALUE"""),42.83)</f>
        <v>42.83</v>
      </c>
      <c r="L58" s="2">
        <f ca="1">IFERROR(__xludf.DUMMYFUNCTION("""COMPUTED_VALUE"""),10.401)</f>
        <v>10.401</v>
      </c>
      <c r="M58" s="2">
        <f ca="1">IFERROR(__xludf.DUMMYFUNCTION("""COMPUTED_VALUE"""),12.32)</f>
        <v>12.32</v>
      </c>
      <c r="U58" s="3" t="e">
        <f ca="1"/>
        <v>#NAME?</v>
      </c>
    </row>
    <row r="59" spans="3:21" ht="12.5" x14ac:dyDescent="0.25">
      <c r="C59" s="4">
        <f ca="1">IFERROR(__xludf.DUMMYFUNCTION("""COMPUTED_VALUE"""),40248.9986111111)</f>
        <v>40248.998611111099</v>
      </c>
      <c r="D59" s="2">
        <f ca="1">IFERROR(__xludf.DUMMYFUNCTION("""COMPUTED_VALUE"""),45.45)</f>
        <v>45.45</v>
      </c>
      <c r="E59" s="2">
        <f ca="1">IFERROR(__xludf.DUMMYFUNCTION("""COMPUTED_VALUE"""),61.614)</f>
        <v>61.613999999999997</v>
      </c>
      <c r="F59" s="2">
        <f ca="1">IFERROR(__xludf.DUMMYFUNCTION("""COMPUTED_VALUE"""),68.433)</f>
        <v>68.433000000000007</v>
      </c>
      <c r="G59" s="2">
        <f ca="1">IFERROR(__xludf.DUMMYFUNCTION("""COMPUTED_VALUE"""),0.50272)</f>
        <v>0.50271999999999994</v>
      </c>
      <c r="H59" s="2">
        <f ca="1">IFERROR(__xludf.DUMMYFUNCTION("""COMPUTED_VALUE"""),41.709)</f>
        <v>41.709000000000003</v>
      </c>
      <c r="I59" s="2">
        <f ca="1">IFERROR(__xludf.DUMMYFUNCTION("""COMPUTED_VALUE"""),44.664)</f>
        <v>44.664000000000001</v>
      </c>
      <c r="J59" s="2">
        <f ca="1">IFERROR(__xludf.DUMMYFUNCTION("""COMPUTED_VALUE"""),32.433)</f>
        <v>32.433</v>
      </c>
      <c r="K59" s="2">
        <f ca="1">IFERROR(__xludf.DUMMYFUNCTION("""COMPUTED_VALUE"""),42.73)</f>
        <v>42.73</v>
      </c>
      <c r="L59" s="2">
        <f ca="1">IFERROR(__xludf.DUMMYFUNCTION("""COMPUTED_VALUE"""),10.481)</f>
        <v>10.481</v>
      </c>
      <c r="M59" s="2">
        <f ca="1">IFERROR(__xludf.DUMMYFUNCTION("""COMPUTED_VALUE"""),12.38)</f>
        <v>12.38</v>
      </c>
      <c r="U59" s="3" t="e">
        <f ca="1"/>
        <v>#NAME?</v>
      </c>
    </row>
    <row r="60" spans="3:21" ht="12.5" x14ac:dyDescent="0.25">
      <c r="C60" s="4">
        <f ca="1">IFERROR(__xludf.DUMMYFUNCTION("""COMPUTED_VALUE"""),40249.9986111111)</f>
        <v>40249.998611111099</v>
      </c>
      <c r="D60" s="2">
        <f ca="1">IFERROR(__xludf.DUMMYFUNCTION("""COMPUTED_VALUE"""),45.498)</f>
        <v>45.497999999999998</v>
      </c>
      <c r="E60" s="2">
        <f ca="1">IFERROR(__xludf.DUMMYFUNCTION("""COMPUTED_VALUE"""),61.282)</f>
        <v>61.281999999999996</v>
      </c>
      <c r="F60" s="2">
        <f ca="1">IFERROR(__xludf.DUMMYFUNCTION("""COMPUTED_VALUE"""),69.092)</f>
        <v>69.091999999999999</v>
      </c>
      <c r="G60" s="2">
        <f ca="1">IFERROR(__xludf.DUMMYFUNCTION("""COMPUTED_VALUE"""),0.5035)</f>
        <v>0.50349999999999995</v>
      </c>
      <c r="H60" s="2">
        <f ca="1">IFERROR(__xludf.DUMMYFUNCTION("""COMPUTED_VALUE"""),41.765)</f>
        <v>41.765000000000001</v>
      </c>
      <c r="I60" s="2">
        <f ca="1">IFERROR(__xludf.DUMMYFUNCTION("""COMPUTED_VALUE"""),44.759)</f>
        <v>44.759</v>
      </c>
      <c r="J60" s="2">
        <f ca="1">IFERROR(__xludf.DUMMYFUNCTION("""COMPUTED_VALUE"""),32.46)</f>
        <v>32.46</v>
      </c>
      <c r="K60" s="2">
        <f ca="1">IFERROR(__xludf.DUMMYFUNCTION("""COMPUTED_VALUE"""),42.117)</f>
        <v>42.116999999999997</v>
      </c>
      <c r="L60" s="2">
        <f ca="1">IFERROR(__xludf.DUMMYFUNCTION("""COMPUTED_VALUE"""),10.48)</f>
        <v>10.48</v>
      </c>
      <c r="M60" s="2">
        <f ca="1">IFERROR(__xludf.DUMMYFUNCTION("""COMPUTED_VALUE"""),12.36)</f>
        <v>12.36</v>
      </c>
      <c r="U60" s="3" t="e">
        <f ca="1"/>
        <v>#NAME?</v>
      </c>
    </row>
    <row r="61" spans="3:21" ht="12.5" x14ac:dyDescent="0.25">
      <c r="C61" s="4">
        <f ca="1">IFERROR(__xludf.DUMMYFUNCTION("""COMPUTED_VALUE"""),40251.9986111111)</f>
        <v>40251.998611111099</v>
      </c>
      <c r="D61" s="2">
        <f ca="1">IFERROR(__xludf.DUMMYFUNCTION("""COMPUTED_VALUE"""),45.498)</f>
        <v>45.497999999999998</v>
      </c>
      <c r="E61" s="2">
        <f ca="1">IFERROR(__xludf.DUMMYFUNCTION("""COMPUTED_VALUE"""),60.522)</f>
        <v>60.521999999999998</v>
      </c>
      <c r="F61" s="2">
        <f ca="1">IFERROR(__xludf.DUMMYFUNCTION("""COMPUTED_VALUE"""),69.216)</f>
        <v>69.215999999999994</v>
      </c>
      <c r="G61" s="2">
        <f ca="1">IFERROR(__xludf.DUMMYFUNCTION("""COMPUTED_VALUE"""),0.49336)</f>
        <v>0.49336000000000002</v>
      </c>
      <c r="H61" s="2">
        <f ca="1">IFERROR(__xludf.DUMMYFUNCTION("""COMPUTED_VALUE"""),41.391)</f>
        <v>41.390999999999998</v>
      </c>
      <c r="I61" s="2">
        <f ca="1">IFERROR(__xludf.DUMMYFUNCTION("""COMPUTED_VALUE"""),44.355)</f>
        <v>44.354999999999997</v>
      </c>
      <c r="J61" s="2">
        <f ca="1">IFERROR(__xludf.DUMMYFUNCTION("""COMPUTED_VALUE"""),32.292)</f>
        <v>32.292000000000002</v>
      </c>
      <c r="K61" s="2">
        <f ca="1">IFERROR(__xludf.DUMMYFUNCTION("""COMPUTED_VALUE"""),42.108)</f>
        <v>42.107999999999997</v>
      </c>
      <c r="L61" s="2">
        <f ca="1">IFERROR(__xludf.DUMMYFUNCTION("""COMPUTED_VALUE"""),10.416)</f>
        <v>10.416</v>
      </c>
      <c r="M61" s="2">
        <f ca="1">IFERROR(__xludf.DUMMYFUNCTION("""COMPUTED_VALUE"""),12.361)</f>
        <v>12.361000000000001</v>
      </c>
      <c r="U61" s="3" t="e">
        <f ca="1"/>
        <v>#NAME?</v>
      </c>
    </row>
    <row r="62" spans="3:21" ht="12.5" x14ac:dyDescent="0.25">
      <c r="C62" s="4">
        <f ca="1">IFERROR(__xludf.DUMMYFUNCTION("""COMPUTED_VALUE"""),40252.9986111111)</f>
        <v>40252.998611111099</v>
      </c>
      <c r="D62" s="2">
        <f ca="1">IFERROR(__xludf.DUMMYFUNCTION("""COMPUTED_VALUE"""),45.558)</f>
        <v>45.558</v>
      </c>
      <c r="E62" s="2">
        <f ca="1">IFERROR(__xludf.DUMMYFUNCTION("""COMPUTED_VALUE"""),60.619)</f>
        <v>60.619</v>
      </c>
      <c r="F62" s="2">
        <f ca="1">IFERROR(__xludf.DUMMYFUNCTION("""COMPUTED_VALUE"""),68.478)</f>
        <v>68.477999999999994</v>
      </c>
      <c r="G62" s="2">
        <f ca="1">IFERROR(__xludf.DUMMYFUNCTION("""COMPUTED_VALUE"""),0.49243)</f>
        <v>0.49242999999999998</v>
      </c>
      <c r="H62" s="2">
        <f ca="1">IFERROR(__xludf.DUMMYFUNCTION("""COMPUTED_VALUE"""),41.398)</f>
        <v>41.398000000000003</v>
      </c>
      <c r="I62" s="2">
        <f ca="1">IFERROR(__xludf.DUMMYFUNCTION("""COMPUTED_VALUE"""),44.508)</f>
        <v>44.508000000000003</v>
      </c>
      <c r="J62" s="2">
        <f ca="1">IFERROR(__xludf.DUMMYFUNCTION("""COMPUTED_VALUE"""),32.366)</f>
        <v>32.366</v>
      </c>
      <c r="K62" s="2">
        <f ca="1">IFERROR(__xludf.DUMMYFUNCTION("""COMPUTED_VALUE"""),42.577)</f>
        <v>42.576999999999998</v>
      </c>
      <c r="L62" s="2">
        <f ca="1">IFERROR(__xludf.DUMMYFUNCTION("""COMPUTED_VALUE"""),10.431)</f>
        <v>10.430999999999999</v>
      </c>
      <c r="M62" s="2">
        <f ca="1">IFERROR(__xludf.DUMMYFUNCTION("""COMPUTED_VALUE"""),12.384)</f>
        <v>12.384</v>
      </c>
      <c r="U62" s="3" t="e">
        <f ca="1"/>
        <v>#NAME?</v>
      </c>
    </row>
    <row r="63" spans="3:21" ht="12.5" x14ac:dyDescent="0.25">
      <c r="C63" s="4">
        <f ca="1">IFERROR(__xludf.DUMMYFUNCTION("""COMPUTED_VALUE"""),40253.9986111111)</f>
        <v>40253.998611111099</v>
      </c>
      <c r="D63" s="2">
        <f ca="1">IFERROR(__xludf.DUMMYFUNCTION("""COMPUTED_VALUE"""),45.39)</f>
        <v>45.39</v>
      </c>
      <c r="E63" s="2">
        <f ca="1">IFERROR(__xludf.DUMMYFUNCTION("""COMPUTED_VALUE"""),60.475)</f>
        <v>60.475000000000001</v>
      </c>
      <c r="F63" s="2">
        <f ca="1">IFERROR(__xludf.DUMMYFUNCTION("""COMPUTED_VALUE"""),68.902)</f>
        <v>68.902000000000001</v>
      </c>
      <c r="G63" s="2">
        <f ca="1">IFERROR(__xludf.DUMMYFUNCTION("""COMPUTED_VALUE"""),0.48747)</f>
        <v>0.48747000000000001</v>
      </c>
      <c r="H63" s="2">
        <f ca="1">IFERROR(__xludf.DUMMYFUNCTION("""COMPUTED_VALUE"""),40.777)</f>
        <v>40.777000000000001</v>
      </c>
      <c r="I63" s="2">
        <f ca="1">IFERROR(__xludf.DUMMYFUNCTION("""COMPUTED_VALUE"""),43.928)</f>
        <v>43.927999999999997</v>
      </c>
      <c r="J63" s="2">
        <f ca="1">IFERROR(__xludf.DUMMYFUNCTION("""COMPUTED_VALUE"""),32.128)</f>
        <v>32.128</v>
      </c>
      <c r="K63" s="2">
        <f ca="1">IFERROR(__xludf.DUMMYFUNCTION("""COMPUTED_VALUE"""),42.779)</f>
        <v>42.779000000000003</v>
      </c>
      <c r="L63" s="2">
        <f ca="1">IFERROR(__xludf.DUMMYFUNCTION("""COMPUTED_VALUE"""),10.388)</f>
        <v>10.388</v>
      </c>
      <c r="M63" s="2">
        <f ca="1">IFERROR(__xludf.DUMMYFUNCTION("""COMPUTED_VALUE"""),12.282)</f>
        <v>12.282</v>
      </c>
      <c r="U63" s="3" t="e">
        <f ca="1"/>
        <v>#NAME?</v>
      </c>
    </row>
    <row r="64" spans="3:21" ht="12.5" x14ac:dyDescent="0.25">
      <c r="C64" s="4">
        <f ca="1">IFERROR(__xludf.DUMMYFUNCTION("""COMPUTED_VALUE"""),40254.9986111111)</f>
        <v>40254.998611111099</v>
      </c>
      <c r="D64" s="2">
        <f ca="1">IFERROR(__xludf.DUMMYFUNCTION("""COMPUTED_VALUE"""),45.28)</f>
        <v>45.28</v>
      </c>
      <c r="E64" s="2">
        <f ca="1">IFERROR(__xludf.DUMMYFUNCTION("""COMPUTED_VALUE"""),60.386)</f>
        <v>60.386000000000003</v>
      </c>
      <c r="F64" s="2">
        <f ca="1">IFERROR(__xludf.DUMMYFUNCTION("""COMPUTED_VALUE"""),69.364)</f>
        <v>69.364000000000004</v>
      </c>
      <c r="G64" s="2">
        <f ca="1">IFERROR(__xludf.DUMMYFUNCTION("""COMPUTED_VALUE"""),0.48433)</f>
        <v>0.48432999999999998</v>
      </c>
      <c r="H64" s="2">
        <f ca="1">IFERROR(__xludf.DUMMYFUNCTION("""COMPUTED_VALUE"""),41.069)</f>
        <v>41.069000000000003</v>
      </c>
      <c r="I64" s="2">
        <f ca="1">IFERROR(__xludf.DUMMYFUNCTION("""COMPUTED_VALUE"""),43.863)</f>
        <v>43.863</v>
      </c>
      <c r="J64" s="2">
        <f ca="1">IFERROR(__xludf.DUMMYFUNCTION("""COMPUTED_VALUE"""),32.015)</f>
        <v>32.015000000000001</v>
      </c>
      <c r="K64" s="2">
        <f ca="1">IFERROR(__xludf.DUMMYFUNCTION("""COMPUTED_VALUE"""),42.73)</f>
        <v>42.73</v>
      </c>
      <c r="L64" s="2">
        <f ca="1">IFERROR(__xludf.DUMMYFUNCTION("""COMPUTED_VALUE"""),10.383)</f>
        <v>10.382999999999999</v>
      </c>
      <c r="M64" s="2">
        <f ca="1">IFERROR(__xludf.DUMMYFUNCTION("""COMPUTED_VALUE"""),12.197)</f>
        <v>12.196999999999999</v>
      </c>
      <c r="U64" s="3" t="e">
        <f ca="1"/>
        <v>#NAME?</v>
      </c>
    </row>
    <row r="65" spans="3:21" ht="12.5" x14ac:dyDescent="0.25">
      <c r="C65" s="4">
        <f ca="1">IFERROR(__xludf.DUMMYFUNCTION("""COMPUTED_VALUE"""),40255.9986111111)</f>
        <v>40255.998611111099</v>
      </c>
      <c r="D65" s="2">
        <f ca="1">IFERROR(__xludf.DUMMYFUNCTION("""COMPUTED_VALUE"""),45.39)</f>
        <v>45.39</v>
      </c>
      <c r="E65" s="2">
        <f ca="1">IFERROR(__xludf.DUMMYFUNCTION("""COMPUTED_VALUE"""),60.249)</f>
        <v>60.249000000000002</v>
      </c>
      <c r="F65" s="2">
        <f ca="1">IFERROR(__xludf.DUMMYFUNCTION("""COMPUTED_VALUE"""),69.202)</f>
        <v>69.201999999999998</v>
      </c>
      <c r="G65" s="2">
        <f ca="1">IFERROR(__xludf.DUMMYFUNCTION("""COMPUTED_VALUE"""),0.48357)</f>
        <v>0.48357</v>
      </c>
      <c r="H65" s="2">
        <f ca="1">IFERROR(__xludf.DUMMYFUNCTION("""COMPUTED_VALUE"""),41.241)</f>
        <v>41.241</v>
      </c>
      <c r="I65" s="2">
        <f ca="1">IFERROR(__xludf.DUMMYFUNCTION("""COMPUTED_VALUE"""),44.055)</f>
        <v>44.055</v>
      </c>
      <c r="J65" s="2">
        <f ca="1">IFERROR(__xludf.DUMMYFUNCTION("""COMPUTED_VALUE"""),32.068)</f>
        <v>32.067999999999998</v>
      </c>
      <c r="K65" s="2">
        <f ca="1">IFERROR(__xludf.DUMMYFUNCTION("""COMPUTED_VALUE"""),42.394)</f>
        <v>42.393999999999998</v>
      </c>
      <c r="L65" s="2">
        <f ca="1">IFERROR(__xludf.DUMMYFUNCTION("""COMPUTED_VALUE"""),10.405)</f>
        <v>10.404999999999999</v>
      </c>
      <c r="M65" s="2">
        <f ca="1">IFERROR(__xludf.DUMMYFUNCTION("""COMPUTED_VALUE"""),12.236)</f>
        <v>12.236000000000001</v>
      </c>
      <c r="U65" s="3" t="e">
        <f ca="1"/>
        <v>#NAME?</v>
      </c>
    </row>
    <row r="66" spans="3:21" ht="12.5" x14ac:dyDescent="0.25">
      <c r="C66" s="4">
        <f ca="1">IFERROR(__xludf.DUMMYFUNCTION("""COMPUTED_VALUE"""),40256.9986111111)</f>
        <v>40256.998611111099</v>
      </c>
      <c r="D66" s="2">
        <f ca="1">IFERROR(__xludf.DUMMYFUNCTION("""COMPUTED_VALUE"""),45.25)</f>
        <v>45.25</v>
      </c>
      <c r="E66" s="2">
        <f ca="1">IFERROR(__xludf.DUMMYFUNCTION("""COMPUTED_VALUE"""),60.516)</f>
        <v>60.515999999999998</v>
      </c>
      <c r="F66" s="2">
        <f ca="1">IFERROR(__xludf.DUMMYFUNCTION("""COMPUTED_VALUE"""),67.984)</f>
        <v>67.983999999999995</v>
      </c>
      <c r="G66" s="2">
        <f ca="1">IFERROR(__xludf.DUMMYFUNCTION("""COMPUTED_VALUE"""),0.47904)</f>
        <v>0.47904000000000002</v>
      </c>
      <c r="H66" s="2">
        <f ca="1">IFERROR(__xludf.DUMMYFUNCTION("""COMPUTED_VALUE"""),41.013)</f>
        <v>41.012999999999998</v>
      </c>
      <c r="I66" s="2">
        <f ca="1">IFERROR(__xludf.DUMMYFUNCTION("""COMPUTED_VALUE"""),44.101)</f>
        <v>44.100999999999999</v>
      </c>
      <c r="J66" s="2">
        <f ca="1">IFERROR(__xludf.DUMMYFUNCTION("""COMPUTED_VALUE"""),32.014)</f>
        <v>32.014000000000003</v>
      </c>
      <c r="K66" s="2">
        <f ca="1">IFERROR(__xludf.DUMMYFUNCTION("""COMPUTED_VALUE"""),42.257)</f>
        <v>42.256999999999998</v>
      </c>
      <c r="L66" s="2">
        <f ca="1">IFERROR(__xludf.DUMMYFUNCTION("""COMPUTED_VALUE"""),10.417)</f>
        <v>10.417</v>
      </c>
      <c r="M66" s="2">
        <f ca="1">IFERROR(__xludf.DUMMYFUNCTION("""COMPUTED_VALUE"""),12.198)</f>
        <v>12.198</v>
      </c>
      <c r="U66" s="3" t="e">
        <f ca="1"/>
        <v>#NAME?</v>
      </c>
    </row>
    <row r="67" spans="3:21" ht="12.5" x14ac:dyDescent="0.25">
      <c r="C67" s="4">
        <f ca="1">IFERROR(__xludf.DUMMYFUNCTION("""COMPUTED_VALUE"""),40258.9986111111)</f>
        <v>40258.998611111099</v>
      </c>
      <c r="D67" s="2">
        <f ca="1">IFERROR(__xludf.DUMMYFUNCTION("""COMPUTED_VALUE"""),45.268)</f>
        <v>45.268000000000001</v>
      </c>
      <c r="E67" s="2">
        <f ca="1">IFERROR(__xludf.DUMMYFUNCTION("""COMPUTED_VALUE"""),60.564)</f>
        <v>60.564</v>
      </c>
      <c r="F67" s="2">
        <f ca="1">IFERROR(__xludf.DUMMYFUNCTION("""COMPUTED_VALUE"""),67.97)</f>
        <v>67.97</v>
      </c>
      <c r="G67" s="2">
        <f ca="1">IFERROR(__xludf.DUMMYFUNCTION("""COMPUTED_VALUE"""),0.47512)</f>
        <v>0.47511999999999999</v>
      </c>
      <c r="H67" s="2">
        <f ca="1">IFERROR(__xludf.DUMMYFUNCTION("""COMPUTED_VALUE"""),41.041)</f>
        <v>41.040999999999997</v>
      </c>
      <c r="I67" s="2">
        <f ca="1">IFERROR(__xludf.DUMMYFUNCTION("""COMPUTED_VALUE"""),44.214)</f>
        <v>44.213999999999999</v>
      </c>
      <c r="J67" s="2">
        <f ca="1">IFERROR(__xludf.DUMMYFUNCTION("""COMPUTED_VALUE"""),31.909)</f>
        <v>31.908999999999999</v>
      </c>
      <c r="K67" s="2">
        <f ca="1">IFERROR(__xludf.DUMMYFUNCTION("""COMPUTED_VALUE"""),42.278)</f>
        <v>42.277999999999999</v>
      </c>
      <c r="L67" s="2">
        <f ca="1">IFERROR(__xludf.DUMMYFUNCTION("""COMPUTED_VALUE"""),10.383)</f>
        <v>10.382999999999999</v>
      </c>
      <c r="M67" s="2">
        <f ca="1">IFERROR(__xludf.DUMMYFUNCTION("""COMPUTED_VALUE"""),12.143)</f>
        <v>12.143000000000001</v>
      </c>
      <c r="U67" s="3" t="e">
        <f ca="1"/>
        <v>#NAME?</v>
      </c>
    </row>
    <row r="68" spans="3:21" ht="12.5" x14ac:dyDescent="0.25">
      <c r="C68" s="4">
        <f ca="1">IFERROR(__xludf.DUMMYFUNCTION("""COMPUTED_VALUE"""),40259.9986111111)</f>
        <v>40259.998611111099</v>
      </c>
      <c r="D68" s="2">
        <f ca="1">IFERROR(__xludf.DUMMYFUNCTION("""COMPUTED_VALUE"""),45.47)</f>
        <v>45.47</v>
      </c>
      <c r="E68" s="2">
        <f ca="1">IFERROR(__xludf.DUMMYFUNCTION("""COMPUTED_VALUE"""),60.722)</f>
        <v>60.722000000000001</v>
      </c>
      <c r="F68" s="2">
        <f ca="1">IFERROR(__xludf.DUMMYFUNCTION("""COMPUTED_VALUE"""),68.641)</f>
        <v>68.641000000000005</v>
      </c>
      <c r="G68" s="2">
        <f ca="1">IFERROR(__xludf.DUMMYFUNCTION("""COMPUTED_VALUE"""),0.47547)</f>
        <v>0.47547</v>
      </c>
      <c r="H68" s="2">
        <f ca="1">IFERROR(__xludf.DUMMYFUNCTION("""COMPUTED_VALUE"""),41.356)</f>
        <v>41.356000000000002</v>
      </c>
      <c r="I68" s="2">
        <f ca="1">IFERROR(__xludf.DUMMYFUNCTION("""COMPUTED_VALUE"""),44.495)</f>
        <v>44.494999999999997</v>
      </c>
      <c r="J68" s="2">
        <f ca="1">IFERROR(__xludf.DUMMYFUNCTION("""COMPUTED_VALUE"""),32.112)</f>
        <v>32.112000000000002</v>
      </c>
      <c r="K68" s="2">
        <f ca="1">IFERROR(__xludf.DUMMYFUNCTION("""COMPUTED_VALUE"""),42.269)</f>
        <v>42.268999999999998</v>
      </c>
      <c r="L68" s="2">
        <f ca="1">IFERROR(__xludf.DUMMYFUNCTION("""COMPUTED_VALUE"""),10.379)</f>
        <v>10.379</v>
      </c>
      <c r="M68" s="2">
        <f ca="1">IFERROR(__xludf.DUMMYFUNCTION("""COMPUTED_VALUE"""),12.2)</f>
        <v>12.2</v>
      </c>
      <c r="U68" s="3" t="e">
        <f ca="1"/>
        <v>#NAME?</v>
      </c>
    </row>
    <row r="69" spans="3:21" ht="12.5" x14ac:dyDescent="0.25">
      <c r="C69" s="4">
        <f ca="1">IFERROR(__xludf.DUMMYFUNCTION("""COMPUTED_VALUE"""),40260.9986111111)</f>
        <v>40260.998611111099</v>
      </c>
      <c r="D69" s="2">
        <f ca="1">IFERROR(__xludf.DUMMYFUNCTION("""COMPUTED_VALUE"""),45.4)</f>
        <v>45.4</v>
      </c>
      <c r="E69" s="2">
        <f ca="1">IFERROR(__xludf.DUMMYFUNCTION("""COMPUTED_VALUE"""),59.82)</f>
        <v>59.82</v>
      </c>
      <c r="F69" s="2">
        <f ca="1">IFERROR(__xludf.DUMMYFUNCTION("""COMPUTED_VALUE"""),68.259)</f>
        <v>68.259</v>
      </c>
      <c r="G69" s="2">
        <f ca="1">IFERROR(__xludf.DUMMYFUNCTION("""COMPUTED_VALUE"""),0.47003)</f>
        <v>0.47003</v>
      </c>
      <c r="H69" s="2">
        <f ca="1">IFERROR(__xludf.DUMMYFUNCTION("""COMPUTED_VALUE"""),40.841)</f>
        <v>40.841000000000001</v>
      </c>
      <c r="I69" s="2">
        <f ca="1">IFERROR(__xludf.DUMMYFUNCTION("""COMPUTED_VALUE"""),44.262)</f>
        <v>44.262</v>
      </c>
      <c r="J69" s="2">
        <f ca="1">IFERROR(__xludf.DUMMYFUNCTION("""COMPUTED_VALUE"""),31.744)</f>
        <v>31.744</v>
      </c>
      <c r="K69" s="2">
        <f ca="1">IFERROR(__xludf.DUMMYFUNCTION("""COMPUTED_VALUE"""),42.316)</f>
        <v>42.316000000000003</v>
      </c>
      <c r="L69" s="2">
        <f ca="1">IFERROR(__xludf.DUMMYFUNCTION("""COMPUTED_VALUE"""),10.341)</f>
        <v>10.340999999999999</v>
      </c>
      <c r="M69" s="2">
        <f ca="1">IFERROR(__xludf.DUMMYFUNCTION("""COMPUTED_VALUE"""),12.078)</f>
        <v>12.077999999999999</v>
      </c>
      <c r="U69" s="3" t="e">
        <f ca="1"/>
        <v>#NAME?</v>
      </c>
    </row>
    <row r="70" spans="3:21" ht="12.5" x14ac:dyDescent="0.25">
      <c r="C70" s="4">
        <f ca="1">IFERROR(__xludf.DUMMYFUNCTION("""COMPUTED_VALUE"""),40261.9986111111)</f>
        <v>40261.998611111099</v>
      </c>
      <c r="D70" s="2">
        <f ca="1">IFERROR(__xludf.DUMMYFUNCTION("""COMPUTED_VALUE"""),45.4)</f>
        <v>45.4</v>
      </c>
      <c r="E70" s="2">
        <f ca="1">IFERROR(__xludf.DUMMYFUNCTION("""COMPUTED_VALUE"""),59.433)</f>
        <v>59.433</v>
      </c>
      <c r="F70" s="2">
        <f ca="1">IFERROR(__xludf.DUMMYFUNCTION("""COMPUTED_VALUE"""),67.584)</f>
        <v>67.584000000000003</v>
      </c>
      <c r="G70" s="2">
        <f ca="1">IFERROR(__xludf.DUMMYFUNCTION("""COMPUTED_VALUE"""),0.47287)</f>
        <v>0.47287000000000001</v>
      </c>
      <c r="H70" s="2">
        <f ca="1">IFERROR(__xludf.DUMMYFUNCTION("""COMPUTED_VALUE"""),41.147)</f>
        <v>41.146999999999998</v>
      </c>
      <c r="I70" s="2">
        <f ca="1">IFERROR(__xludf.DUMMYFUNCTION("""COMPUTED_VALUE"""),44.314)</f>
        <v>44.314</v>
      </c>
      <c r="J70" s="2">
        <f ca="1">IFERROR(__xludf.DUMMYFUNCTION("""COMPUTED_VALUE"""),31.761)</f>
        <v>31.760999999999999</v>
      </c>
      <c r="K70" s="2">
        <f ca="1">IFERROR(__xludf.DUMMYFUNCTION("""COMPUTED_VALUE"""),42.328)</f>
        <v>42.328000000000003</v>
      </c>
      <c r="L70" s="2">
        <f ca="1">IFERROR(__xludf.DUMMYFUNCTION("""COMPUTED_VALUE"""),10.313)</f>
        <v>10.313000000000001</v>
      </c>
      <c r="M70" s="2">
        <f ca="1">IFERROR(__xludf.DUMMYFUNCTION("""COMPUTED_VALUE"""),12.072)</f>
        <v>12.071999999999999</v>
      </c>
      <c r="U70" s="3" t="e">
        <f ca="1"/>
        <v>#NAME?</v>
      </c>
    </row>
    <row r="71" spans="3:21" ht="12.5" x14ac:dyDescent="0.25">
      <c r="C71" s="4">
        <f ca="1">IFERROR(__xludf.DUMMYFUNCTION("""COMPUTED_VALUE"""),40262.9986111111)</f>
        <v>40262.998611111099</v>
      </c>
      <c r="D71" s="2">
        <f ca="1">IFERROR(__xludf.DUMMYFUNCTION("""COMPUTED_VALUE"""),45.488)</f>
        <v>45.488</v>
      </c>
      <c r="E71" s="2">
        <f ca="1">IFERROR(__xludf.DUMMYFUNCTION("""COMPUTED_VALUE"""),59.287)</f>
        <v>59.286999999999999</v>
      </c>
      <c r="F71" s="2">
        <f ca="1">IFERROR(__xludf.DUMMYFUNCTION("""COMPUTED_VALUE"""),67.64)</f>
        <v>67.64</v>
      </c>
      <c r="G71" s="2">
        <f ca="1">IFERROR(__xludf.DUMMYFUNCTION("""COMPUTED_VALUE"""),0.47596)</f>
        <v>0.47595999999999999</v>
      </c>
      <c r="H71" s="2">
        <f ca="1">IFERROR(__xludf.DUMMYFUNCTION("""COMPUTED_VALUE"""),41.177)</f>
        <v>41.177</v>
      </c>
      <c r="I71" s="2">
        <f ca="1">IFERROR(__xludf.DUMMYFUNCTION("""COMPUTED_VALUE"""),44.221)</f>
        <v>44.220999999999997</v>
      </c>
      <c r="J71" s="2">
        <f ca="1">IFERROR(__xludf.DUMMYFUNCTION("""COMPUTED_VALUE"""),31.825)</f>
        <v>31.824999999999999</v>
      </c>
      <c r="K71" s="2">
        <f ca="1">IFERROR(__xludf.DUMMYFUNCTION("""COMPUTED_VALUE"""),42.34)</f>
        <v>42.34</v>
      </c>
      <c r="L71" s="2">
        <f ca="1">IFERROR(__xludf.DUMMYFUNCTION("""COMPUTED_VALUE"""),10.323)</f>
        <v>10.323</v>
      </c>
      <c r="M71" s="2">
        <f ca="1">IFERROR(__xludf.DUMMYFUNCTION("""COMPUTED_VALUE"""),12.088)</f>
        <v>12.087999999999999</v>
      </c>
      <c r="U71" s="3" t="e">
        <f ca="1"/>
        <v>#NAME?</v>
      </c>
    </row>
    <row r="72" spans="3:21" ht="12.5" x14ac:dyDescent="0.25">
      <c r="C72" s="4">
        <f ca="1">IFERROR(__xludf.DUMMYFUNCTION("""COMPUTED_VALUE"""),40263.9986111111)</f>
        <v>40263.998611111099</v>
      </c>
      <c r="D72" s="2">
        <f ca="1">IFERROR(__xludf.DUMMYFUNCTION("""COMPUTED_VALUE"""),45.11)</f>
        <v>45.11</v>
      </c>
      <c r="E72" s="2">
        <f ca="1">IFERROR(__xludf.DUMMYFUNCTION("""COMPUTED_VALUE"""),59.171)</f>
        <v>59.170999999999999</v>
      </c>
      <c r="F72" s="2">
        <f ca="1">IFERROR(__xludf.DUMMYFUNCTION("""COMPUTED_VALUE"""),67.164)</f>
        <v>67.164000000000001</v>
      </c>
      <c r="G72" s="2">
        <f ca="1">IFERROR(__xludf.DUMMYFUNCTION("""COMPUTED_VALUE"""),0.47405)</f>
        <v>0.47405000000000003</v>
      </c>
      <c r="H72" s="2">
        <f ca="1">IFERROR(__xludf.DUMMYFUNCTION("""COMPUTED_VALUE"""),41.137)</f>
        <v>41.137</v>
      </c>
      <c r="I72" s="2">
        <f ca="1">IFERROR(__xludf.DUMMYFUNCTION("""COMPUTED_VALUE"""),44.22)</f>
        <v>44.22</v>
      </c>
      <c r="J72" s="2">
        <f ca="1">IFERROR(__xludf.DUMMYFUNCTION("""COMPUTED_VALUE"""),31.772)</f>
        <v>31.771999999999998</v>
      </c>
      <c r="K72" s="2">
        <f ca="1">IFERROR(__xludf.DUMMYFUNCTION("""COMPUTED_VALUE"""),42.532)</f>
        <v>42.531999999999996</v>
      </c>
      <c r="L72" s="2">
        <f ca="1">IFERROR(__xludf.DUMMYFUNCTION("""COMPUTED_VALUE"""),10.355)</f>
        <v>10.355</v>
      </c>
      <c r="M72" s="2">
        <f ca="1">IFERROR(__xludf.DUMMYFUNCTION("""COMPUTED_VALUE"""),12.072)</f>
        <v>12.071999999999999</v>
      </c>
      <c r="U72" s="3" t="e">
        <f ca="1"/>
        <v>#NAME?</v>
      </c>
    </row>
    <row r="73" spans="3:21" ht="12.5" x14ac:dyDescent="0.25">
      <c r="C73" s="4">
        <f ca="1">IFERROR(__xludf.DUMMYFUNCTION("""COMPUTED_VALUE"""),40264.9986111111)</f>
        <v>40264.998611111099</v>
      </c>
      <c r="D73" s="2">
        <f ca="1">IFERROR(__xludf.DUMMYFUNCTION("""COMPUTED_VALUE"""),45.138)</f>
        <v>45.137999999999998</v>
      </c>
      <c r="E73" s="2">
        <f ca="1">IFERROR(__xludf.DUMMYFUNCTION("""COMPUTED_VALUE"""),59.498)</f>
        <v>59.497999999999998</v>
      </c>
      <c r="F73" s="2">
        <f ca="1">IFERROR(__xludf.DUMMYFUNCTION("""COMPUTED_VALUE"""),67.077)</f>
        <v>67.076999999999998</v>
      </c>
      <c r="G73" s="2">
        <f ca="1">IFERROR(__xludf.DUMMYFUNCTION("""COMPUTED_VALUE"""),0.47299)</f>
        <v>0.47299000000000002</v>
      </c>
      <c r="H73" s="2">
        <f ca="1">IFERROR(__xludf.DUMMYFUNCTION("""COMPUTED_VALUE"""),41.134)</f>
        <v>41.134</v>
      </c>
      <c r="I73" s="2">
        <f ca="1">IFERROR(__xludf.DUMMYFUNCTION("""COMPUTED_VALUE"""),43.959)</f>
        <v>43.959000000000003</v>
      </c>
      <c r="J73" s="2">
        <f ca="1">IFERROR(__xludf.DUMMYFUNCTION("""COMPUTED_VALUE"""),31.715)</f>
        <v>31.715</v>
      </c>
      <c r="K73" s="2">
        <f ca="1">IFERROR(__xludf.DUMMYFUNCTION("""COMPUTED_VALUE"""),42.92)</f>
        <v>42.92</v>
      </c>
      <c r="L73" s="2">
        <f ca="1">IFERROR(__xludf.DUMMYFUNCTION("""COMPUTED_VALUE"""),10.362)</f>
        <v>10.362</v>
      </c>
      <c r="M73" s="2">
        <f ca="1">IFERROR(__xludf.DUMMYFUNCTION("""COMPUTED_VALUE"""),12.012)</f>
        <v>12.012</v>
      </c>
      <c r="U73" s="3" t="e">
        <f ca="1"/>
        <v>#NAME?</v>
      </c>
    </row>
    <row r="74" spans="3:21" ht="12.5" x14ac:dyDescent="0.25">
      <c r="C74" s="4">
        <f ca="1">IFERROR(__xludf.DUMMYFUNCTION("""COMPUTED_VALUE"""),40265.9986111111)</f>
        <v>40265.998611111099</v>
      </c>
      <c r="D74" s="2">
        <f ca="1">IFERROR(__xludf.DUMMYFUNCTION("""COMPUTED_VALUE"""),45.138)</f>
        <v>45.137999999999998</v>
      </c>
      <c r="E74" s="2">
        <f ca="1">IFERROR(__xludf.DUMMYFUNCTION("""COMPUTED_VALUE"""),60.22)</f>
        <v>60.22</v>
      </c>
      <c r="F74" s="2">
        <f ca="1">IFERROR(__xludf.DUMMYFUNCTION("""COMPUTED_VALUE"""),67.077)</f>
        <v>67.076999999999998</v>
      </c>
      <c r="G74" s="2">
        <f ca="1">IFERROR(__xludf.DUMMYFUNCTION("""COMPUTED_VALUE"""),0.47536)</f>
        <v>0.47536</v>
      </c>
      <c r="H74" s="2">
        <f ca="1">IFERROR(__xludf.DUMMYFUNCTION("""COMPUTED_VALUE"""),41.039)</f>
        <v>41.039000000000001</v>
      </c>
      <c r="I74" s="2">
        <f ca="1">IFERROR(__xludf.DUMMYFUNCTION("""COMPUTED_VALUE"""),44.17)</f>
        <v>44.17</v>
      </c>
      <c r="J74" s="2">
        <f ca="1">IFERROR(__xludf.DUMMYFUNCTION("""COMPUTED_VALUE"""),31.85)</f>
        <v>31.85</v>
      </c>
      <c r="K74" s="2">
        <f ca="1">IFERROR(__xludf.DUMMYFUNCTION("""COMPUTED_VALUE"""),42.92)</f>
        <v>42.92</v>
      </c>
      <c r="L74" s="2">
        <f ca="1">IFERROR(__xludf.DUMMYFUNCTION("""COMPUTED_VALUE"""),10.367)</f>
        <v>10.367000000000001</v>
      </c>
      <c r="M74" s="2">
        <f ca="1">IFERROR(__xludf.DUMMYFUNCTION("""COMPUTED_VALUE"""),12.072)</f>
        <v>12.071999999999999</v>
      </c>
      <c r="U74" s="3" t="e">
        <f ca="1"/>
        <v>#NAME?</v>
      </c>
    </row>
    <row r="75" spans="3:21" ht="12.5" x14ac:dyDescent="0.25">
      <c r="C75" s="4">
        <f ca="1">IFERROR(__xludf.DUMMYFUNCTION("""COMPUTED_VALUE"""),40266.9986111111)</f>
        <v>40266.998611111099</v>
      </c>
      <c r="D75" s="2">
        <f ca="1">IFERROR(__xludf.DUMMYFUNCTION("""COMPUTED_VALUE"""),44.8)</f>
        <v>44.8</v>
      </c>
      <c r="E75" s="2">
        <f ca="1">IFERROR(__xludf.DUMMYFUNCTION("""COMPUTED_VALUE"""),60.688)</f>
        <v>60.688000000000002</v>
      </c>
      <c r="F75" s="2">
        <f ca="1">IFERROR(__xludf.DUMMYFUNCTION("""COMPUTED_VALUE"""),67.122)</f>
        <v>67.122</v>
      </c>
      <c r="G75" s="2">
        <f ca="1">IFERROR(__xludf.DUMMYFUNCTION("""COMPUTED_VALUE"""),0.47681)</f>
        <v>0.47681000000000001</v>
      </c>
      <c r="H75" s="2">
        <f ca="1">IFERROR(__xludf.DUMMYFUNCTION("""COMPUTED_VALUE"""),41.228)</f>
        <v>41.228000000000002</v>
      </c>
      <c r="I75" s="2">
        <f ca="1">IFERROR(__xludf.DUMMYFUNCTION("""COMPUTED_VALUE"""),44.363)</f>
        <v>44.363</v>
      </c>
      <c r="J75" s="2">
        <f ca="1">IFERROR(__xludf.DUMMYFUNCTION("""COMPUTED_VALUE"""),31.93)</f>
        <v>31.93</v>
      </c>
      <c r="K75" s="2">
        <f ca="1">IFERROR(__xludf.DUMMYFUNCTION("""COMPUTED_VALUE"""),42.889)</f>
        <v>42.889000000000003</v>
      </c>
      <c r="L75" s="2">
        <f ca="1">IFERROR(__xludf.DUMMYFUNCTION("""COMPUTED_VALUE"""),10.395)</f>
        <v>10.395</v>
      </c>
      <c r="M75" s="2">
        <f ca="1">IFERROR(__xludf.DUMMYFUNCTION("""COMPUTED_VALUE"""),12.137)</f>
        <v>12.137</v>
      </c>
      <c r="U75" s="3" t="e">
        <f ca="1"/>
        <v>#NAME?</v>
      </c>
    </row>
    <row r="76" spans="3:21" ht="12.5" x14ac:dyDescent="0.25">
      <c r="C76" s="4">
        <f ca="1">IFERROR(__xludf.DUMMYFUNCTION("""COMPUTED_VALUE"""),40267.9986111111)</f>
        <v>40267.998611111099</v>
      </c>
      <c r="D76" s="2">
        <f ca="1">IFERROR(__xludf.DUMMYFUNCTION("""COMPUTED_VALUE"""),44.94)</f>
        <v>44.94</v>
      </c>
      <c r="E76" s="2">
        <f ca="1">IFERROR(__xludf.DUMMYFUNCTION("""COMPUTED_VALUE"""),60.378)</f>
        <v>60.378</v>
      </c>
      <c r="F76" s="2">
        <f ca="1">IFERROR(__xludf.DUMMYFUNCTION("""COMPUTED_VALUE"""),67.679)</f>
        <v>67.679000000000002</v>
      </c>
      <c r="G76" s="2">
        <f ca="1">IFERROR(__xludf.DUMMYFUNCTION("""COMPUTED_VALUE"""),0.47376)</f>
        <v>0.47376000000000001</v>
      </c>
      <c r="H76" s="2">
        <f ca="1">IFERROR(__xludf.DUMMYFUNCTION("""COMPUTED_VALUE"""),41.377)</f>
        <v>41.377000000000002</v>
      </c>
      <c r="I76" s="2">
        <f ca="1">IFERROR(__xludf.DUMMYFUNCTION("""COMPUTED_VALUE"""),44.285)</f>
        <v>44.284999999999997</v>
      </c>
      <c r="J76" s="2">
        <f ca="1">IFERROR(__xludf.DUMMYFUNCTION("""COMPUTED_VALUE"""),32.2)</f>
        <v>32.200000000000003</v>
      </c>
      <c r="K76" s="2">
        <f ca="1">IFERROR(__xludf.DUMMYFUNCTION("""COMPUTED_VALUE"""),42.798)</f>
        <v>42.798000000000002</v>
      </c>
      <c r="L76" s="2">
        <f ca="1">IFERROR(__xludf.DUMMYFUNCTION("""COMPUTED_VALUE"""),10.348)</f>
        <v>10.348000000000001</v>
      </c>
      <c r="M76" s="2">
        <f ca="1">IFERROR(__xludf.DUMMYFUNCTION("""COMPUTED_VALUE"""),12.036)</f>
        <v>12.036</v>
      </c>
      <c r="U76" s="3" t="e">
        <f ca="1"/>
        <v>#NAME?</v>
      </c>
    </row>
    <row r="77" spans="3:21" ht="12.5" x14ac:dyDescent="0.25">
      <c r="C77" s="4">
        <f ca="1">IFERROR(__xludf.DUMMYFUNCTION("""COMPUTED_VALUE"""),40268.9986111111)</f>
        <v>40268.998611111099</v>
      </c>
      <c r="D77" s="2">
        <f ca="1">IFERROR(__xludf.DUMMYFUNCTION("""COMPUTED_VALUE"""),44.8)</f>
        <v>44.8</v>
      </c>
      <c r="E77" s="2">
        <f ca="1">IFERROR(__xludf.DUMMYFUNCTION("""COMPUTED_VALUE"""),60.106)</f>
        <v>60.106000000000002</v>
      </c>
      <c r="F77" s="2">
        <f ca="1">IFERROR(__xludf.DUMMYFUNCTION("""COMPUTED_VALUE"""),68.011)</f>
        <v>68.010999999999996</v>
      </c>
      <c r="G77" s="2">
        <f ca="1">IFERROR(__xludf.DUMMYFUNCTION("""COMPUTED_VALUE"""),0.47597)</f>
        <v>0.47597</v>
      </c>
      <c r="H77" s="2">
        <f ca="1">IFERROR(__xludf.DUMMYFUNCTION("""COMPUTED_VALUE"""),41.351)</f>
        <v>41.350999999999999</v>
      </c>
      <c r="I77" s="2">
        <f ca="1">IFERROR(__xludf.DUMMYFUNCTION("""COMPUTED_VALUE"""),44.196)</f>
        <v>44.195999999999998</v>
      </c>
      <c r="J77" s="2">
        <f ca="1">IFERROR(__xludf.DUMMYFUNCTION("""COMPUTED_VALUE"""),32.23)</f>
        <v>32.229999999999997</v>
      </c>
      <c r="K77" s="2">
        <f ca="1">IFERROR(__xludf.DUMMYFUNCTION("""COMPUTED_VALUE"""),42.893)</f>
        <v>42.893000000000001</v>
      </c>
      <c r="L77" s="2">
        <f ca="1">IFERROR(__xludf.DUMMYFUNCTION("""COMPUTED_VALUE"""),10.297)</f>
        <v>10.297000000000001</v>
      </c>
      <c r="M77" s="2">
        <f ca="1">IFERROR(__xludf.DUMMYFUNCTION("""COMPUTED_VALUE"""),12.058)</f>
        <v>12.058</v>
      </c>
      <c r="U77" s="3" t="e">
        <f ca="1"/>
        <v>#NAME?</v>
      </c>
    </row>
    <row r="78" spans="3:21" ht="12.5" x14ac:dyDescent="0.25">
      <c r="C78" s="4">
        <f ca="1">IFERROR(__xludf.DUMMYFUNCTION("""COMPUTED_VALUE"""),40269.9986111111)</f>
        <v>40269.998611111099</v>
      </c>
      <c r="D78" s="2">
        <f ca="1">IFERROR(__xludf.DUMMYFUNCTION("""COMPUTED_VALUE"""),44.6)</f>
        <v>44.6</v>
      </c>
      <c r="E78" s="2">
        <f ca="1">IFERROR(__xludf.DUMMYFUNCTION("""COMPUTED_VALUE"""),59.815)</f>
        <v>59.814999999999998</v>
      </c>
      <c r="F78" s="2">
        <f ca="1">IFERROR(__xludf.DUMMYFUNCTION("""COMPUTED_VALUE"""),68.148)</f>
        <v>68.147999999999996</v>
      </c>
      <c r="G78" s="2">
        <f ca="1">IFERROR(__xludf.DUMMYFUNCTION("""COMPUTED_VALUE"""),0.47963)</f>
        <v>0.47963</v>
      </c>
      <c r="H78" s="2">
        <f ca="1">IFERROR(__xludf.DUMMYFUNCTION("""COMPUTED_VALUE"""),40.856)</f>
        <v>40.856000000000002</v>
      </c>
      <c r="I78" s="2">
        <f ca="1">IFERROR(__xludf.DUMMYFUNCTION("""COMPUTED_VALUE"""),43.646)</f>
        <v>43.646000000000001</v>
      </c>
      <c r="J78" s="2">
        <f ca="1">IFERROR(__xludf.DUMMYFUNCTION("""COMPUTED_VALUE"""),32.139)</f>
        <v>32.139000000000003</v>
      </c>
      <c r="K78" s="2">
        <f ca="1">IFERROR(__xludf.DUMMYFUNCTION("""COMPUTED_VALUE"""),42.962)</f>
        <v>42.962000000000003</v>
      </c>
      <c r="L78" s="2">
        <f ca="1">IFERROR(__xludf.DUMMYFUNCTION("""COMPUTED_VALUE"""),10.315)</f>
        <v>10.315</v>
      </c>
      <c r="M78" s="2">
        <f ca="1">IFERROR(__xludf.DUMMYFUNCTION("""COMPUTED_VALUE"""),12.066)</f>
        <v>12.066000000000001</v>
      </c>
      <c r="U78" s="3" t="e">
        <f ca="1"/>
        <v>#NAME?</v>
      </c>
    </row>
    <row r="79" spans="3:21" ht="12.5" x14ac:dyDescent="0.25">
      <c r="C79" s="4">
        <f ca="1">IFERROR(__xludf.DUMMYFUNCTION("""COMPUTED_VALUE"""),40270.9986111111)</f>
        <v>40270.998611111099</v>
      </c>
      <c r="D79" s="2">
        <f ca="1">IFERROR(__xludf.DUMMYFUNCTION("""COMPUTED_VALUE"""),44.808)</f>
        <v>44.808</v>
      </c>
      <c r="E79" s="2">
        <f ca="1">IFERROR(__xludf.DUMMYFUNCTION("""COMPUTED_VALUE"""),60.12)</f>
        <v>60.12</v>
      </c>
      <c r="F79" s="2">
        <f ca="1">IFERROR(__xludf.DUMMYFUNCTION("""COMPUTED_VALUE"""),68.365)</f>
        <v>68.364999999999995</v>
      </c>
      <c r="G79" s="2">
        <f ca="1">IFERROR(__xludf.DUMMYFUNCTION("""COMPUTED_VALUE"""),0.48198)</f>
        <v>0.48198000000000002</v>
      </c>
      <c r="H79" s="2">
        <f ca="1">IFERROR(__xludf.DUMMYFUNCTION("""COMPUTED_VALUE"""),41.245)</f>
        <v>41.244999999999997</v>
      </c>
      <c r="I79" s="2">
        <f ca="1">IFERROR(__xludf.DUMMYFUNCTION("""COMPUTED_VALUE"""),43.929)</f>
        <v>43.929000000000002</v>
      </c>
      <c r="J79" s="2">
        <f ca="1">IFERROR(__xludf.DUMMYFUNCTION("""COMPUTED_VALUE"""),32.352)</f>
        <v>32.351999999999997</v>
      </c>
      <c r="K79" s="2">
        <f ca="1">IFERROR(__xludf.DUMMYFUNCTION("""COMPUTED_VALUE"""),42.935)</f>
        <v>42.935000000000002</v>
      </c>
      <c r="L79" s="2">
        <f ca="1">IFERROR(__xludf.DUMMYFUNCTION("""COMPUTED_VALUE"""),10.274)</f>
        <v>10.273999999999999</v>
      </c>
      <c r="M79" s="2">
        <f ca="1">IFERROR(__xludf.DUMMYFUNCTION("""COMPUTED_VALUE"""),12.178)</f>
        <v>12.178000000000001</v>
      </c>
      <c r="U79" s="3" t="e">
        <f ca="1"/>
        <v>#NAME?</v>
      </c>
    </row>
    <row r="80" spans="3:21" ht="12.5" x14ac:dyDescent="0.25">
      <c r="C80" s="4">
        <f ca="1">IFERROR(__xludf.DUMMYFUNCTION("""COMPUTED_VALUE"""),40272.9986111111)</f>
        <v>40272.998611111099</v>
      </c>
      <c r="D80" s="2">
        <f ca="1">IFERROR(__xludf.DUMMYFUNCTION("""COMPUTED_VALUE"""),44.808)</f>
        <v>44.808</v>
      </c>
      <c r="E80" s="2">
        <f ca="1">IFERROR(__xludf.DUMMYFUNCTION("""COMPUTED_VALUE"""),59.673)</f>
        <v>59.673000000000002</v>
      </c>
      <c r="F80" s="2">
        <f ca="1">IFERROR(__xludf.DUMMYFUNCTION("""COMPUTED_VALUE"""),68.529)</f>
        <v>68.528999999999996</v>
      </c>
      <c r="G80" s="2">
        <f ca="1">IFERROR(__xludf.DUMMYFUNCTION("""COMPUTED_VALUE"""),0.47668)</f>
        <v>0.47667999999999999</v>
      </c>
      <c r="H80" s="2">
        <f ca="1">IFERROR(__xludf.DUMMYFUNCTION("""COMPUTED_VALUE"""),41.367)</f>
        <v>41.366999999999997</v>
      </c>
      <c r="I80" s="2">
        <f ca="1">IFERROR(__xludf.DUMMYFUNCTION("""COMPUTED_VALUE"""),44.508)</f>
        <v>44.508000000000003</v>
      </c>
      <c r="J80" s="2">
        <f ca="1">IFERROR(__xludf.DUMMYFUNCTION("""COMPUTED_VALUE"""),32.3)</f>
        <v>32.299999999999997</v>
      </c>
      <c r="K80" s="2">
        <f ca="1">IFERROR(__xludf.DUMMYFUNCTION("""COMPUTED_VALUE"""),42.659)</f>
        <v>42.658999999999999</v>
      </c>
      <c r="L80" s="2">
        <f ca="1">IFERROR(__xludf.DUMMYFUNCTION("""COMPUTED_VALUE"""),10.238)</f>
        <v>10.238</v>
      </c>
      <c r="M80" s="2">
        <f ca="1">IFERROR(__xludf.DUMMYFUNCTION("""COMPUTED_VALUE"""),12.086)</f>
        <v>12.086</v>
      </c>
      <c r="U80" s="3" t="e">
        <f ca="1"/>
        <v>#NAME?</v>
      </c>
    </row>
    <row r="81" spans="3:21" ht="12.5" x14ac:dyDescent="0.25">
      <c r="C81" s="4">
        <f ca="1">IFERROR(__xludf.DUMMYFUNCTION("""COMPUTED_VALUE"""),40273.9986111111)</f>
        <v>40273.998611111099</v>
      </c>
      <c r="D81" s="2">
        <f ca="1">IFERROR(__xludf.DUMMYFUNCTION("""COMPUTED_VALUE"""),44.36)</f>
        <v>44.36</v>
      </c>
      <c r="E81" s="2">
        <f ca="1">IFERROR(__xludf.DUMMYFUNCTION("""COMPUTED_VALUE"""),59.511)</f>
        <v>59.511000000000003</v>
      </c>
      <c r="F81" s="2">
        <f ca="1">IFERROR(__xludf.DUMMYFUNCTION("""COMPUTED_VALUE"""),67.797)</f>
        <v>67.796999999999997</v>
      </c>
      <c r="G81" s="2">
        <f ca="1">IFERROR(__xludf.DUMMYFUNCTION("""COMPUTED_VALUE"""),0.47765)</f>
        <v>0.47765000000000002</v>
      </c>
      <c r="H81" s="2">
        <f ca="1">IFERROR(__xludf.DUMMYFUNCTION("""COMPUTED_VALUE"""),41.235)</f>
        <v>41.234999999999999</v>
      </c>
      <c r="I81" s="2">
        <f ca="1">IFERROR(__xludf.DUMMYFUNCTION("""COMPUTED_VALUE"""),44.488)</f>
        <v>44.488</v>
      </c>
      <c r="J81" s="2">
        <f ca="1">IFERROR(__xludf.DUMMYFUNCTION("""COMPUTED_VALUE"""),32.376)</f>
        <v>32.375999999999998</v>
      </c>
      <c r="K81" s="2">
        <f ca="1">IFERROR(__xludf.DUMMYFUNCTION("""COMPUTED_VALUE"""),42.659)</f>
        <v>42.658999999999999</v>
      </c>
      <c r="L81" s="2">
        <f ca="1">IFERROR(__xludf.DUMMYFUNCTION("""COMPUTED_VALUE"""),10.245)</f>
        <v>10.244999999999999</v>
      </c>
      <c r="M81" s="2">
        <f ca="1">IFERROR(__xludf.DUMMYFUNCTION("""COMPUTED_VALUE"""),12.089)</f>
        <v>12.089</v>
      </c>
      <c r="U81" s="3" t="e">
        <f ca="1"/>
        <v>#NAME?</v>
      </c>
    </row>
    <row r="82" spans="3:21" ht="12.5" x14ac:dyDescent="0.25">
      <c r="C82" s="4">
        <f ca="1">IFERROR(__xludf.DUMMYFUNCTION("""COMPUTED_VALUE"""),40274.9986111111)</f>
        <v>40274.998611111099</v>
      </c>
      <c r="D82" s="2">
        <f ca="1">IFERROR(__xludf.DUMMYFUNCTION("""COMPUTED_VALUE"""),44.34)</f>
        <v>44.34</v>
      </c>
      <c r="E82" s="2">
        <f ca="1">IFERROR(__xludf.DUMMYFUNCTION("""COMPUTED_VALUE"""),59.158)</f>
        <v>59.158000000000001</v>
      </c>
      <c r="F82" s="2">
        <f ca="1">IFERROR(__xludf.DUMMYFUNCTION("""COMPUTED_VALUE"""),67.734)</f>
        <v>67.733999999999995</v>
      </c>
      <c r="G82" s="2">
        <f ca="1">IFERROR(__xludf.DUMMYFUNCTION("""COMPUTED_VALUE"""),0.4773)</f>
        <v>0.4773</v>
      </c>
      <c r="H82" s="2">
        <f ca="1">IFERROR(__xludf.DUMMYFUNCTION("""COMPUTED_VALUE"""),41.268)</f>
        <v>41.268000000000001</v>
      </c>
      <c r="I82" s="2">
        <f ca="1">IFERROR(__xludf.DUMMYFUNCTION("""COMPUTED_VALUE"""),44.506)</f>
        <v>44.506</v>
      </c>
      <c r="J82" s="2">
        <f ca="1">IFERROR(__xludf.DUMMYFUNCTION("""COMPUTED_VALUE"""),32.476)</f>
        <v>32.475999999999999</v>
      </c>
      <c r="K82" s="2">
        <f ca="1">IFERROR(__xludf.DUMMYFUNCTION("""COMPUTED_VALUE"""),42.693)</f>
        <v>42.692999999999998</v>
      </c>
      <c r="L82" s="2">
        <f ca="1">IFERROR(__xludf.DUMMYFUNCTION("""COMPUTED_VALUE"""),10.209)</f>
        <v>10.209</v>
      </c>
      <c r="M82" s="2">
        <f ca="1">IFERROR(__xludf.DUMMYFUNCTION("""COMPUTED_VALUE"""),12.099)</f>
        <v>12.099</v>
      </c>
      <c r="U82" s="3" t="e">
        <f ca="1"/>
        <v>#NAME?</v>
      </c>
    </row>
    <row r="83" spans="3:21" ht="12.5" x14ac:dyDescent="0.25">
      <c r="C83" s="4">
        <f ca="1">IFERROR(__xludf.DUMMYFUNCTION("""COMPUTED_VALUE"""),40275.9986111111)</f>
        <v>40275.998611111099</v>
      </c>
      <c r="D83" s="2">
        <f ca="1">IFERROR(__xludf.DUMMYFUNCTION("""COMPUTED_VALUE"""),44.4)</f>
        <v>44.4</v>
      </c>
      <c r="E83" s="2">
        <f ca="1">IFERROR(__xludf.DUMMYFUNCTION("""COMPUTED_VALUE"""),59.258)</f>
        <v>59.258000000000003</v>
      </c>
      <c r="F83" s="2">
        <f ca="1">IFERROR(__xludf.DUMMYFUNCTION("""COMPUTED_VALUE"""),67.71)</f>
        <v>67.709999999999994</v>
      </c>
      <c r="G83" s="2">
        <f ca="1">IFERROR(__xludf.DUMMYFUNCTION("""COMPUTED_VALUE"""),0.47124)</f>
        <v>0.47123999999999999</v>
      </c>
      <c r="H83" s="2">
        <f ca="1">IFERROR(__xludf.DUMMYFUNCTION("""COMPUTED_VALUE"""),41.074)</f>
        <v>41.073999999999998</v>
      </c>
      <c r="I83" s="2">
        <f ca="1">IFERROR(__xludf.DUMMYFUNCTION("""COMPUTED_VALUE"""),44.308)</f>
        <v>44.308</v>
      </c>
      <c r="J83" s="2">
        <f ca="1">IFERROR(__xludf.DUMMYFUNCTION("""COMPUTED_VALUE"""),32.296)</f>
        <v>32.295999999999999</v>
      </c>
      <c r="K83" s="2">
        <f ca="1">IFERROR(__xludf.DUMMYFUNCTION("""COMPUTED_VALUE"""),42.939)</f>
        <v>42.939</v>
      </c>
      <c r="L83" s="2">
        <f ca="1">IFERROR(__xludf.DUMMYFUNCTION("""COMPUTED_VALUE"""),10.218)</f>
        <v>10.218</v>
      </c>
      <c r="M83" s="2">
        <f ca="1">IFERROR(__xludf.DUMMYFUNCTION("""COMPUTED_VALUE"""),12.058)</f>
        <v>12.058</v>
      </c>
      <c r="U83" s="3" t="e">
        <f ca="1"/>
        <v>#NAME?</v>
      </c>
    </row>
    <row r="84" spans="3:21" ht="12.5" x14ac:dyDescent="0.25">
      <c r="C84" s="4">
        <f ca="1">IFERROR(__xludf.DUMMYFUNCTION("""COMPUTED_VALUE"""),40276.9986111111)</f>
        <v>40276.998611111099</v>
      </c>
      <c r="D84" s="2">
        <f ca="1">IFERROR(__xludf.DUMMYFUNCTION("""COMPUTED_VALUE"""),44.34)</f>
        <v>44.34</v>
      </c>
      <c r="E84" s="2">
        <f ca="1">IFERROR(__xludf.DUMMYFUNCTION("""COMPUTED_VALUE"""),59.005)</f>
        <v>59.005000000000003</v>
      </c>
      <c r="F84" s="2">
        <f ca="1">IFERROR(__xludf.DUMMYFUNCTION("""COMPUTED_VALUE"""),67.647)</f>
        <v>67.647000000000006</v>
      </c>
      <c r="G84" s="2">
        <f ca="1">IFERROR(__xludf.DUMMYFUNCTION("""COMPUTED_VALUE"""),0.46889)</f>
        <v>0.46888999999999997</v>
      </c>
      <c r="H84" s="2">
        <f ca="1">IFERROR(__xludf.DUMMYFUNCTION("""COMPUTED_VALUE"""),40.845)</f>
        <v>40.844999999999999</v>
      </c>
      <c r="I84" s="2">
        <f ca="1">IFERROR(__xludf.DUMMYFUNCTION("""COMPUTED_VALUE"""),44)</f>
        <v>44</v>
      </c>
      <c r="J84" s="2">
        <f ca="1">IFERROR(__xludf.DUMMYFUNCTION("""COMPUTED_VALUE"""),32.197)</f>
        <v>32.197000000000003</v>
      </c>
      <c r="K84" s="2">
        <f ca="1">IFERROR(__xludf.DUMMYFUNCTION("""COMPUTED_VALUE"""),43.037)</f>
        <v>43.036999999999999</v>
      </c>
      <c r="L84" s="2">
        <f ca="1">IFERROR(__xludf.DUMMYFUNCTION("""COMPUTED_VALUE"""),10.196)</f>
        <v>10.196</v>
      </c>
      <c r="M84" s="2">
        <f ca="1">IFERROR(__xludf.DUMMYFUNCTION("""COMPUTED_VALUE"""),12.048)</f>
        <v>12.048</v>
      </c>
      <c r="U84" s="3" t="e">
        <f ca="1"/>
        <v>#NAME?</v>
      </c>
    </row>
    <row r="85" spans="3:21" ht="12.5" x14ac:dyDescent="0.25">
      <c r="C85" s="4">
        <f ca="1">IFERROR(__xludf.DUMMYFUNCTION("""COMPUTED_VALUE"""),40277.9986111111)</f>
        <v>40277.998611111099</v>
      </c>
      <c r="D85" s="2">
        <f ca="1">IFERROR(__xludf.DUMMYFUNCTION("""COMPUTED_VALUE"""),44.12)</f>
        <v>44.12</v>
      </c>
      <c r="E85" s="2">
        <f ca="1">IFERROR(__xludf.DUMMYFUNCTION("""COMPUTED_VALUE"""),58.754)</f>
        <v>58.753999999999998</v>
      </c>
      <c r="F85" s="2">
        <f ca="1">IFERROR(__xludf.DUMMYFUNCTION("""COMPUTED_VALUE"""),67.808)</f>
        <v>67.808000000000007</v>
      </c>
      <c r="G85" s="2">
        <f ca="1">IFERROR(__xludf.DUMMYFUNCTION("""COMPUTED_VALUE"""),0.47882)</f>
        <v>0.47882000000000002</v>
      </c>
      <c r="H85" s="2">
        <f ca="1">IFERROR(__xludf.DUMMYFUNCTION("""COMPUTED_VALUE"""),40.881)</f>
        <v>40.881</v>
      </c>
      <c r="I85" s="2">
        <f ca="1">IFERROR(__xludf.DUMMYFUNCTION("""COMPUTED_VALUE"""),43.907)</f>
        <v>43.906999999999996</v>
      </c>
      <c r="J85" s="2">
        <f ca="1">IFERROR(__xludf.DUMMYFUNCTION("""COMPUTED_VALUE"""),32.46)</f>
        <v>32.46</v>
      </c>
      <c r="K85" s="2">
        <f ca="1">IFERROR(__xludf.DUMMYFUNCTION("""COMPUTED_VALUE"""),42.353)</f>
        <v>42.353000000000002</v>
      </c>
      <c r="L85" s="2">
        <f ca="1">IFERROR(__xludf.DUMMYFUNCTION("""COMPUTED_VALUE"""),10.188)</f>
        <v>10.188000000000001</v>
      </c>
      <c r="M85" s="2">
        <f ca="1">IFERROR(__xludf.DUMMYFUNCTION("""COMPUTED_VALUE"""),12.102)</f>
        <v>12.102</v>
      </c>
      <c r="U85" s="3" t="e">
        <f ca="1"/>
        <v>#NAME?</v>
      </c>
    </row>
    <row r="86" spans="3:21" ht="12.5" x14ac:dyDescent="0.25">
      <c r="C86" s="4">
        <f ca="1">IFERROR(__xludf.DUMMYFUNCTION("""COMPUTED_VALUE"""),40280.9986111111)</f>
        <v>40280.998611111099</v>
      </c>
      <c r="D86" s="2">
        <f ca="1">IFERROR(__xludf.DUMMYFUNCTION("""COMPUTED_VALUE"""),44.34)</f>
        <v>44.34</v>
      </c>
      <c r="E86" s="2">
        <f ca="1">IFERROR(__xludf.DUMMYFUNCTION("""COMPUTED_VALUE"""),58.514)</f>
        <v>58.514000000000003</v>
      </c>
      <c r="F86" s="2">
        <f ca="1">IFERROR(__xludf.DUMMYFUNCTION("""COMPUTED_VALUE"""),68.168)</f>
        <v>68.168000000000006</v>
      </c>
      <c r="G86" s="2">
        <f ca="1">IFERROR(__xludf.DUMMYFUNCTION("""COMPUTED_VALUE"""),0.47128)</f>
        <v>0.47127999999999998</v>
      </c>
      <c r="H86" s="2">
        <f ca="1">IFERROR(__xludf.DUMMYFUNCTION("""COMPUTED_VALUE"""),40.946)</f>
        <v>40.945999999999998</v>
      </c>
      <c r="I86" s="2">
        <f ca="1">IFERROR(__xludf.DUMMYFUNCTION("""COMPUTED_VALUE"""),43.825)</f>
        <v>43.825000000000003</v>
      </c>
      <c r="J86" s="2">
        <f ca="1">IFERROR(__xludf.DUMMYFUNCTION("""COMPUTED_VALUE"""),32.227)</f>
        <v>32.226999999999997</v>
      </c>
      <c r="K86" s="2">
        <f ca="1">IFERROR(__xludf.DUMMYFUNCTION("""COMPUTED_VALUE"""),42.506)</f>
        <v>42.506</v>
      </c>
      <c r="L86" s="2">
        <f ca="1">IFERROR(__xludf.DUMMYFUNCTION("""COMPUTED_VALUE"""),10.236)</f>
        <v>10.236000000000001</v>
      </c>
      <c r="M86" s="2">
        <f ca="1">IFERROR(__xludf.DUMMYFUNCTION("""COMPUTED_VALUE"""),12.115)</f>
        <v>12.115</v>
      </c>
      <c r="U86" s="3" t="e">
        <f ca="1"/>
        <v>#NAME?</v>
      </c>
    </row>
    <row r="87" spans="3:21" ht="12.5" x14ac:dyDescent="0.25">
      <c r="C87" s="4">
        <f ca="1">IFERROR(__xludf.DUMMYFUNCTION("""COMPUTED_VALUE"""),40281.9986111111)</f>
        <v>40281.998611111099</v>
      </c>
      <c r="D87" s="2">
        <f ca="1">IFERROR(__xludf.DUMMYFUNCTION("""COMPUTED_VALUE"""),44.578)</f>
        <v>44.578000000000003</v>
      </c>
      <c r="E87" s="2">
        <f ca="1">IFERROR(__xludf.DUMMYFUNCTION("""COMPUTED_VALUE"""),58.868)</f>
        <v>58.868000000000002</v>
      </c>
      <c r="F87" s="2">
        <f ca="1">IFERROR(__xludf.DUMMYFUNCTION("""COMPUTED_VALUE"""),68.567)</f>
        <v>68.566999999999993</v>
      </c>
      <c r="G87" s="2">
        <f ca="1">IFERROR(__xludf.DUMMYFUNCTION("""COMPUTED_VALUE"""),0.47208)</f>
        <v>0.47208</v>
      </c>
      <c r="H87" s="2">
        <f ca="1">IFERROR(__xludf.DUMMYFUNCTION("""COMPUTED_VALUE"""),41.302)</f>
        <v>41.302</v>
      </c>
      <c r="I87" s="2">
        <f ca="1">IFERROR(__xludf.DUMMYFUNCTION("""COMPUTED_VALUE"""),44.202)</f>
        <v>44.201999999999998</v>
      </c>
      <c r="J87" s="2">
        <f ca="1">IFERROR(__xludf.DUMMYFUNCTION("""COMPUTED_VALUE"""),32.439)</f>
        <v>32.439</v>
      </c>
      <c r="K87" s="2">
        <f ca="1">IFERROR(__xludf.DUMMYFUNCTION("""COMPUTED_VALUE"""),42.336)</f>
        <v>42.335999999999999</v>
      </c>
      <c r="L87" s="2">
        <f ca="1">IFERROR(__xludf.DUMMYFUNCTION("""COMPUTED_VALUE"""),10.252)</f>
        <v>10.252000000000001</v>
      </c>
      <c r="M87" s="2">
        <f ca="1">IFERROR(__xludf.DUMMYFUNCTION("""COMPUTED_VALUE"""),12.102)</f>
        <v>12.102</v>
      </c>
      <c r="U87" s="3" t="e">
        <f ca="1"/>
        <v>#NAME?</v>
      </c>
    </row>
    <row r="88" spans="3:21" ht="12.5" x14ac:dyDescent="0.25">
      <c r="C88" s="4">
        <f ca="1">IFERROR(__xludf.DUMMYFUNCTION("""COMPUTED_VALUE"""),40282.9986111111)</f>
        <v>40282.998611111099</v>
      </c>
      <c r="D88" s="2">
        <f ca="1">IFERROR(__xludf.DUMMYFUNCTION("""COMPUTED_VALUE"""),44.21)</f>
        <v>44.21</v>
      </c>
      <c r="E88" s="2">
        <f ca="1">IFERROR(__xludf.DUMMYFUNCTION("""COMPUTED_VALUE"""),58.87)</f>
        <v>58.87</v>
      </c>
      <c r="F88" s="2">
        <f ca="1">IFERROR(__xludf.DUMMYFUNCTION("""COMPUTED_VALUE"""),68.39)</f>
        <v>68.39</v>
      </c>
      <c r="G88" s="2">
        <f ca="1">IFERROR(__xludf.DUMMYFUNCTION("""COMPUTED_VALUE"""),0.47179)</f>
        <v>0.47178999999999999</v>
      </c>
      <c r="H88" s="2">
        <f ca="1">IFERROR(__xludf.DUMMYFUNCTION("""COMPUTED_VALUE"""),40.935)</f>
        <v>40.935000000000002</v>
      </c>
      <c r="I88" s="2">
        <f ca="1">IFERROR(__xludf.DUMMYFUNCTION("""COMPUTED_VALUE"""),43.504)</f>
        <v>43.503999999999998</v>
      </c>
      <c r="J88" s="2">
        <f ca="1">IFERROR(__xludf.DUMMYFUNCTION("""COMPUTED_VALUE"""),32.307)</f>
        <v>32.307000000000002</v>
      </c>
      <c r="K88" s="2">
        <f ca="1">IFERROR(__xludf.DUMMYFUNCTION("""COMPUTED_VALUE"""),42.276)</f>
        <v>42.276000000000003</v>
      </c>
      <c r="L88" s="2">
        <f ca="1">IFERROR(__xludf.DUMMYFUNCTION("""COMPUTED_VALUE"""),10.208)</f>
        <v>10.208</v>
      </c>
      <c r="M88" s="2">
        <f ca="1">IFERROR(__xludf.DUMMYFUNCTION("""COMPUTED_VALUE"""),12.047)</f>
        <v>12.047000000000001</v>
      </c>
      <c r="U88" s="3" t="e">
        <f ca="1"/>
        <v>#NAME?</v>
      </c>
    </row>
    <row r="89" spans="3:21" ht="12.5" x14ac:dyDescent="0.25">
      <c r="C89" s="4">
        <f ca="1">IFERROR(__xludf.DUMMYFUNCTION("""COMPUTED_VALUE"""),40283.9986111111)</f>
        <v>40283.998611111099</v>
      </c>
      <c r="D89" s="2">
        <f ca="1">IFERROR(__xludf.DUMMYFUNCTION("""COMPUTED_VALUE"""),44.29)</f>
        <v>44.29</v>
      </c>
      <c r="E89" s="2">
        <f ca="1">IFERROR(__xludf.DUMMYFUNCTION("""COMPUTED_VALUE"""),58.63)</f>
        <v>58.63</v>
      </c>
      <c r="F89" s="2">
        <f ca="1">IFERROR(__xludf.DUMMYFUNCTION("""COMPUTED_VALUE"""),68.632)</f>
        <v>68.632000000000005</v>
      </c>
      <c r="G89" s="2">
        <f ca="1">IFERROR(__xludf.DUMMYFUNCTION("""COMPUTED_VALUE"""),0.46916)</f>
        <v>0.46916000000000002</v>
      </c>
      <c r="H89" s="2">
        <f ca="1">IFERROR(__xludf.DUMMYFUNCTION("""COMPUTED_VALUE"""),41.17)</f>
        <v>41.17</v>
      </c>
      <c r="I89" s="2">
        <f ca="1">IFERROR(__xludf.DUMMYFUNCTION("""COMPUTED_VALUE"""),43.934)</f>
        <v>43.933999999999997</v>
      </c>
      <c r="J89" s="2">
        <f ca="1">IFERROR(__xludf.DUMMYFUNCTION("""COMPUTED_VALUE"""),32.414)</f>
        <v>32.414000000000001</v>
      </c>
      <c r="K89" s="2">
        <f ca="1">IFERROR(__xludf.DUMMYFUNCTION("""COMPUTED_VALUE"""),42.191)</f>
        <v>42.191000000000003</v>
      </c>
      <c r="L89" s="2">
        <f ca="1">IFERROR(__xludf.DUMMYFUNCTION("""COMPUTED_VALUE"""),10.197)</f>
        <v>10.196999999999999</v>
      </c>
      <c r="M89" s="2">
        <f ca="1">IFERROR(__xludf.DUMMYFUNCTION("""COMPUTED_VALUE"""),12.088)</f>
        <v>12.087999999999999</v>
      </c>
      <c r="U89" s="3" t="e">
        <f ca="1"/>
        <v>#NAME?</v>
      </c>
    </row>
    <row r="90" spans="3:21" ht="12.5" x14ac:dyDescent="0.25">
      <c r="C90" s="4">
        <f ca="1">IFERROR(__xludf.DUMMYFUNCTION("""COMPUTED_VALUE"""),40284.9986111111)</f>
        <v>40284.998611111099</v>
      </c>
      <c r="D90" s="2">
        <f ca="1">IFERROR(__xludf.DUMMYFUNCTION("""COMPUTED_VALUE"""),44.318)</f>
        <v>44.317999999999998</v>
      </c>
      <c r="E90" s="2">
        <f ca="1">IFERROR(__xludf.DUMMYFUNCTION("""COMPUTED_VALUE"""),57.982)</f>
        <v>57.981999999999999</v>
      </c>
      <c r="F90" s="2">
        <f ca="1">IFERROR(__xludf.DUMMYFUNCTION("""COMPUTED_VALUE"""),68.223)</f>
        <v>68.222999999999999</v>
      </c>
      <c r="G90" s="2">
        <f ca="1">IFERROR(__xludf.DUMMYFUNCTION("""COMPUTED_VALUE"""),0.47218)</f>
        <v>0.47217999999999999</v>
      </c>
      <c r="H90" s="2">
        <f ca="1">IFERROR(__xludf.DUMMYFUNCTION("""COMPUTED_VALUE"""),40.52)</f>
        <v>40.520000000000003</v>
      </c>
      <c r="I90" s="2">
        <f ca="1">IFERROR(__xludf.DUMMYFUNCTION("""COMPUTED_VALUE"""),43.495)</f>
        <v>43.494999999999997</v>
      </c>
      <c r="J90" s="2">
        <f ca="1">IFERROR(__xludf.DUMMYFUNCTION("""COMPUTED_VALUE"""),32.283)</f>
        <v>32.283000000000001</v>
      </c>
      <c r="K90" s="2">
        <f ca="1">IFERROR(__xludf.DUMMYFUNCTION("""COMPUTED_VALUE"""),42.163)</f>
        <v>42.162999999999997</v>
      </c>
      <c r="L90" s="2">
        <f ca="1">IFERROR(__xludf.DUMMYFUNCTION("""COMPUTED_VALUE"""),10.181)</f>
        <v>10.180999999999999</v>
      </c>
      <c r="M90" s="2">
        <f ca="1">IFERROR(__xludf.DUMMYFUNCTION("""COMPUTED_VALUE"""),12.129)</f>
        <v>12.129</v>
      </c>
      <c r="U90" s="3" t="e">
        <f ca="1"/>
        <v>#NAME?</v>
      </c>
    </row>
    <row r="91" spans="3:21" ht="12.5" x14ac:dyDescent="0.25">
      <c r="C91" s="4">
        <f ca="1">IFERROR(__xludf.DUMMYFUNCTION("""COMPUTED_VALUE"""),40285.9986111111)</f>
        <v>40285.998611111099</v>
      </c>
      <c r="D91" s="2">
        <f ca="1">IFERROR(__xludf.DUMMYFUNCTION("""COMPUTED_VALUE"""),44.318)</f>
        <v>44.317999999999998</v>
      </c>
      <c r="E91" s="2">
        <f ca="1">IFERROR(__xludf.DUMMYFUNCTION("""COMPUTED_VALUE"""),57.489)</f>
        <v>57.488999999999997</v>
      </c>
      <c r="F91" s="2">
        <f ca="1">IFERROR(__xludf.DUMMYFUNCTION("""COMPUTED_VALUE"""),68.195)</f>
        <v>68.194999999999993</v>
      </c>
      <c r="G91" s="2">
        <f ca="1">IFERROR(__xludf.DUMMYFUNCTION("""COMPUTED_VALUE"""),0.47736)</f>
        <v>0.47736000000000001</v>
      </c>
      <c r="H91" s="2">
        <f ca="1">IFERROR(__xludf.DUMMYFUNCTION("""COMPUTED_VALUE"""),40.669)</f>
        <v>40.668999999999997</v>
      </c>
      <c r="I91" s="2">
        <f ca="1">IFERROR(__xludf.DUMMYFUNCTION("""COMPUTED_VALUE"""),43.514)</f>
        <v>43.514000000000003</v>
      </c>
      <c r="J91" s="2">
        <f ca="1">IFERROR(__xludf.DUMMYFUNCTION("""COMPUTED_VALUE"""),32.197)</f>
        <v>32.197000000000003</v>
      </c>
      <c r="K91" s="2">
        <f ca="1">IFERROR(__xludf.DUMMYFUNCTION("""COMPUTED_VALUE"""),42.104)</f>
        <v>42.103999999999999</v>
      </c>
      <c r="L91" s="2">
        <f ca="1">IFERROR(__xludf.DUMMYFUNCTION("""COMPUTED_VALUE"""),10.202)</f>
        <v>10.202</v>
      </c>
      <c r="M91" s="2">
        <f ca="1">IFERROR(__xludf.DUMMYFUNCTION("""COMPUTED_VALUE"""),12.211)</f>
        <v>12.211</v>
      </c>
      <c r="U91" s="3" t="e">
        <f ca="1"/>
        <v>#NAME?</v>
      </c>
    </row>
    <row r="92" spans="3:21" ht="12.5" x14ac:dyDescent="0.25">
      <c r="C92" s="4">
        <f ca="1">IFERROR(__xludf.DUMMYFUNCTION("""COMPUTED_VALUE"""),40287.9986111111)</f>
        <v>40287.998611111099</v>
      </c>
      <c r="D92" s="2">
        <f ca="1">IFERROR(__xludf.DUMMYFUNCTION("""COMPUTED_VALUE"""),44.728)</f>
        <v>44.728000000000002</v>
      </c>
      <c r="E92" s="2">
        <f ca="1">IFERROR(__xludf.DUMMYFUNCTION("""COMPUTED_VALUE"""),57.391)</f>
        <v>57.390999999999998</v>
      </c>
      <c r="F92" s="2">
        <f ca="1">IFERROR(__xludf.DUMMYFUNCTION("""COMPUTED_VALUE"""),68.26)</f>
        <v>68.260000000000005</v>
      </c>
      <c r="G92" s="2">
        <f ca="1">IFERROR(__xludf.DUMMYFUNCTION("""COMPUTED_VALUE"""),0.50511)</f>
        <v>0.50510999999999995</v>
      </c>
      <c r="H92" s="2">
        <f ca="1">IFERROR(__xludf.DUMMYFUNCTION("""COMPUTED_VALUE"""),40.284)</f>
        <v>40.283999999999999</v>
      </c>
      <c r="I92" s="2">
        <f ca="1">IFERROR(__xludf.DUMMYFUNCTION("""COMPUTED_VALUE"""),43.121)</f>
        <v>43.121000000000002</v>
      </c>
      <c r="J92" s="2">
        <f ca="1">IFERROR(__xludf.DUMMYFUNCTION("""COMPUTED_VALUE"""),32.407)</f>
        <v>32.406999999999996</v>
      </c>
      <c r="K92" s="2">
        <f ca="1">IFERROR(__xludf.DUMMYFUNCTION("""COMPUTED_VALUE"""),42.516)</f>
        <v>42.515999999999998</v>
      </c>
      <c r="L92" s="2">
        <f ca="1">IFERROR(__xludf.DUMMYFUNCTION("""COMPUTED_VALUE"""),10.228)</f>
        <v>10.228</v>
      </c>
      <c r="M92" s="2">
        <f ca="1">IFERROR(__xludf.DUMMYFUNCTION("""COMPUTED_VALUE"""),12.377)</f>
        <v>12.377000000000001</v>
      </c>
      <c r="U92" s="3" t="e">
        <f ca="1"/>
        <v>#NAME?</v>
      </c>
    </row>
    <row r="93" spans="3:21" ht="12.5" x14ac:dyDescent="0.25">
      <c r="C93" s="4">
        <f ca="1">IFERROR(__xludf.DUMMYFUNCTION("""COMPUTED_VALUE"""),40288.9986111111)</f>
        <v>40288.998611111099</v>
      </c>
      <c r="D93" s="2">
        <f ca="1">IFERROR(__xludf.DUMMYFUNCTION("""COMPUTED_VALUE"""),44.39)</f>
        <v>44.39</v>
      </c>
      <c r="E93" s="2">
        <f ca="1">IFERROR(__xludf.DUMMYFUNCTION("""COMPUTED_VALUE"""),57.692)</f>
        <v>57.692</v>
      </c>
      <c r="F93" s="2">
        <f ca="1">IFERROR(__xludf.DUMMYFUNCTION("""COMPUTED_VALUE"""),68.212)</f>
        <v>68.212000000000003</v>
      </c>
      <c r="G93" s="2">
        <f ca="1">IFERROR(__xludf.DUMMYFUNCTION("""COMPUTED_VALUE"""),0.49537)</f>
        <v>0.49536999999999998</v>
      </c>
      <c r="H93" s="2">
        <f ca="1">IFERROR(__xludf.DUMMYFUNCTION("""COMPUTED_VALUE"""),40.359)</f>
        <v>40.359000000000002</v>
      </c>
      <c r="I93" s="2">
        <f ca="1">IFERROR(__xludf.DUMMYFUNCTION("""COMPUTED_VALUE"""),43.569)</f>
        <v>43.569000000000003</v>
      </c>
      <c r="J93" s="2">
        <f ca="1">IFERROR(__xludf.DUMMYFUNCTION("""COMPUTED_VALUE"""),32.547)</f>
        <v>32.546999999999997</v>
      </c>
      <c r="K93" s="2">
        <f ca="1">IFERROR(__xludf.DUMMYFUNCTION("""COMPUTED_VALUE"""),42.285)</f>
        <v>42.284999999999997</v>
      </c>
      <c r="L93" s="2">
        <f ca="1">IFERROR(__xludf.DUMMYFUNCTION("""COMPUTED_VALUE"""),10.252)</f>
        <v>10.252000000000001</v>
      </c>
      <c r="M93" s="2">
        <f ca="1">IFERROR(__xludf.DUMMYFUNCTION("""COMPUTED_VALUE"""),12.365)</f>
        <v>12.365</v>
      </c>
      <c r="U93" s="3" t="e">
        <f ca="1"/>
        <v>#NAME?</v>
      </c>
    </row>
    <row r="94" spans="3:21" ht="12.5" x14ac:dyDescent="0.25">
      <c r="C94" s="4">
        <f ca="1">IFERROR(__xludf.DUMMYFUNCTION("""COMPUTED_VALUE"""),40289.9986111111)</f>
        <v>40289.998611111099</v>
      </c>
      <c r="D94" s="2">
        <f ca="1">IFERROR(__xludf.DUMMYFUNCTION("""COMPUTED_VALUE"""),44.4)</f>
        <v>44.4</v>
      </c>
      <c r="E94" s="2">
        <f ca="1">IFERROR(__xludf.DUMMYFUNCTION("""COMPUTED_VALUE"""),57.503)</f>
        <v>57.503</v>
      </c>
      <c r="F94" s="2">
        <f ca="1">IFERROR(__xludf.DUMMYFUNCTION("""COMPUTED_VALUE"""),68.436)</f>
        <v>68.436000000000007</v>
      </c>
      <c r="G94" s="2">
        <f ca="1">IFERROR(__xludf.DUMMYFUNCTION("""COMPUTED_VALUE"""),0.47924)</f>
        <v>0.47924</v>
      </c>
      <c r="H94" s="2">
        <f ca="1">IFERROR(__xludf.DUMMYFUNCTION("""COMPUTED_VALUE"""),40.363)</f>
        <v>40.363</v>
      </c>
      <c r="I94" s="2">
        <f ca="1">IFERROR(__xludf.DUMMYFUNCTION("""COMPUTED_VALUE"""),43.692)</f>
        <v>43.692</v>
      </c>
      <c r="J94" s="2">
        <f ca="1">IFERROR(__xludf.DUMMYFUNCTION("""COMPUTED_VALUE"""),32.421)</f>
        <v>32.420999999999999</v>
      </c>
      <c r="K94" s="2">
        <f ca="1">IFERROR(__xludf.DUMMYFUNCTION("""COMPUTED_VALUE"""),42.372)</f>
        <v>42.372</v>
      </c>
      <c r="L94" s="2">
        <f ca="1">IFERROR(__xludf.DUMMYFUNCTION("""COMPUTED_VALUE"""),10.22)</f>
        <v>10.220000000000001</v>
      </c>
      <c r="M94" s="2">
        <f ca="1">IFERROR(__xludf.DUMMYFUNCTION("""COMPUTED_VALUE"""),12.187)</f>
        <v>12.186999999999999</v>
      </c>
      <c r="U94" s="3" t="e">
        <f ca="1"/>
        <v>#NAME?</v>
      </c>
    </row>
    <row r="95" spans="3:21" ht="12.5" x14ac:dyDescent="0.25">
      <c r="C95" s="4">
        <f ca="1">IFERROR(__xludf.DUMMYFUNCTION("""COMPUTED_VALUE"""),40290.9986111111)</f>
        <v>40290.998611111099</v>
      </c>
      <c r="D95" s="2">
        <f ca="1">IFERROR(__xludf.DUMMYFUNCTION("""COMPUTED_VALUE"""),44.44)</f>
        <v>44.44</v>
      </c>
      <c r="E95" s="2">
        <f ca="1">IFERROR(__xludf.DUMMYFUNCTION("""COMPUTED_VALUE"""),57.151)</f>
        <v>57.151000000000003</v>
      </c>
      <c r="F95" s="2">
        <f ca="1">IFERROR(__xludf.DUMMYFUNCTION("""COMPUTED_VALUE"""),68.357)</f>
        <v>68.356999999999999</v>
      </c>
      <c r="G95" s="2">
        <f ca="1">IFERROR(__xludf.DUMMYFUNCTION("""COMPUTED_VALUE"""),0.48475)</f>
        <v>0.48475000000000001</v>
      </c>
      <c r="H95" s="2">
        <f ca="1">IFERROR(__xludf.DUMMYFUNCTION("""COMPUTED_VALUE"""),40.393)</f>
        <v>40.393000000000001</v>
      </c>
      <c r="I95" s="2">
        <f ca="1">IFERROR(__xludf.DUMMYFUNCTION("""COMPUTED_VALUE"""),44.148)</f>
        <v>44.148000000000003</v>
      </c>
      <c r="J95" s="2">
        <f ca="1">IFERROR(__xludf.DUMMYFUNCTION("""COMPUTED_VALUE"""),32.623)</f>
        <v>32.622999999999998</v>
      </c>
      <c r="K95" s="2">
        <f ca="1">IFERROR(__xludf.DUMMYFUNCTION("""COMPUTED_VALUE"""),42.372)</f>
        <v>42.372</v>
      </c>
      <c r="L95" s="2">
        <f ca="1">IFERROR(__xludf.DUMMYFUNCTION("""COMPUTED_VALUE"""),10.205)</f>
        <v>10.205</v>
      </c>
      <c r="M95" s="2">
        <f ca="1">IFERROR(__xludf.DUMMYFUNCTION("""COMPUTED_VALUE"""),12.249)</f>
        <v>12.249000000000001</v>
      </c>
      <c r="U95" s="3" t="e">
        <f ca="1"/>
        <v>#NAME?</v>
      </c>
    </row>
    <row r="96" spans="3:21" ht="12.5" x14ac:dyDescent="0.25">
      <c r="C96" s="4">
        <f ca="1">IFERROR(__xludf.DUMMYFUNCTION("""COMPUTED_VALUE"""),40291.9986111111)</f>
        <v>40291.998611111099</v>
      </c>
      <c r="D96" s="2">
        <f ca="1">IFERROR(__xludf.DUMMYFUNCTION("""COMPUTED_VALUE"""),44.29)</f>
        <v>44.29</v>
      </c>
      <c r="E96" s="2">
        <f ca="1">IFERROR(__xludf.DUMMYFUNCTION("""COMPUTED_VALUE"""),56.729)</f>
        <v>56.728999999999999</v>
      </c>
      <c r="F96" s="2">
        <f ca="1">IFERROR(__xludf.DUMMYFUNCTION("""COMPUTED_VALUE"""),68.083)</f>
        <v>68.082999999999998</v>
      </c>
      <c r="G96" s="2">
        <f ca="1">IFERROR(__xludf.DUMMYFUNCTION("""COMPUTED_VALUE"""),0.48244)</f>
        <v>0.48243999999999998</v>
      </c>
      <c r="H96" s="2">
        <f ca="1">IFERROR(__xludf.DUMMYFUNCTION("""COMPUTED_VALUE"""),40.161)</f>
        <v>40.161000000000001</v>
      </c>
      <c r="I96" s="2">
        <f ca="1">IFERROR(__xludf.DUMMYFUNCTION("""COMPUTED_VALUE"""),44.062)</f>
        <v>44.061999999999998</v>
      </c>
      <c r="J96" s="2">
        <f ca="1">IFERROR(__xludf.DUMMYFUNCTION("""COMPUTED_VALUE"""),32.565)</f>
        <v>32.564999999999998</v>
      </c>
      <c r="K96" s="2">
        <f ca="1">IFERROR(__xludf.DUMMYFUNCTION("""COMPUTED_VALUE"""),42.412)</f>
        <v>42.411999999999999</v>
      </c>
      <c r="L96" s="2">
        <f ca="1">IFERROR(__xludf.DUMMYFUNCTION("""COMPUTED_VALUE"""),10.211)</f>
        <v>10.211</v>
      </c>
      <c r="M96" s="2">
        <f ca="1">IFERROR(__xludf.DUMMYFUNCTION("""COMPUTED_VALUE"""),12.238)</f>
        <v>12.238</v>
      </c>
      <c r="U96" s="3" t="e">
        <f ca="1"/>
        <v>#NAME?</v>
      </c>
    </row>
    <row r="97" spans="3:21" ht="12.5" x14ac:dyDescent="0.25">
      <c r="C97" s="4">
        <f ca="1">IFERROR(__xludf.DUMMYFUNCTION("""COMPUTED_VALUE"""),40294.9986111111)</f>
        <v>40294.998611111099</v>
      </c>
      <c r="D97" s="2">
        <f ca="1">IFERROR(__xludf.DUMMYFUNCTION("""COMPUTED_VALUE"""),44.25)</f>
        <v>44.25</v>
      </c>
      <c r="E97" s="2">
        <f ca="1">IFERROR(__xludf.DUMMYFUNCTION("""COMPUTED_VALUE"""),56.436)</f>
        <v>56.436</v>
      </c>
      <c r="F97" s="2">
        <f ca="1">IFERROR(__xludf.DUMMYFUNCTION("""COMPUTED_VALUE"""),68.377)</f>
        <v>68.376999999999995</v>
      </c>
      <c r="G97" s="2">
        <f ca="1">IFERROR(__xludf.DUMMYFUNCTION("""COMPUTED_VALUE"""),0.48414)</f>
        <v>0.48414000000000001</v>
      </c>
      <c r="H97" s="2">
        <f ca="1">IFERROR(__xludf.DUMMYFUNCTION("""COMPUTED_VALUE"""),40.345)</f>
        <v>40.344999999999999</v>
      </c>
      <c r="I97" s="2">
        <f ca="1">IFERROR(__xludf.DUMMYFUNCTION("""COMPUTED_VALUE"""),44.162)</f>
        <v>44.161999999999999</v>
      </c>
      <c r="J97" s="2">
        <f ca="1">IFERROR(__xludf.DUMMYFUNCTION("""COMPUTED_VALUE"""),32.526)</f>
        <v>32.526000000000003</v>
      </c>
      <c r="K97" s="2">
        <f ca="1">IFERROR(__xludf.DUMMYFUNCTION("""COMPUTED_VALUE"""),41.76)</f>
        <v>41.76</v>
      </c>
      <c r="L97" s="2">
        <f ca="1">IFERROR(__xludf.DUMMYFUNCTION("""COMPUTED_VALUE"""),10.231)</f>
        <v>10.231</v>
      </c>
      <c r="M97" s="2">
        <f ca="1">IFERROR(__xludf.DUMMYFUNCTION("""COMPUTED_VALUE"""),12.235)</f>
        <v>12.234999999999999</v>
      </c>
      <c r="U97" s="3" t="e">
        <f ca="1"/>
        <v>#NAME?</v>
      </c>
    </row>
    <row r="98" spans="3:21" ht="12.5" x14ac:dyDescent="0.25">
      <c r="C98" s="4">
        <f ca="1">IFERROR(__xludf.DUMMYFUNCTION("""COMPUTED_VALUE"""),40295.9986111111)</f>
        <v>40295.998611111099</v>
      </c>
      <c r="D98" s="2">
        <f ca="1">IFERROR(__xludf.DUMMYFUNCTION("""COMPUTED_VALUE"""),44.45)</f>
        <v>44.45</v>
      </c>
      <c r="E98" s="2">
        <f ca="1">IFERROR(__xludf.DUMMYFUNCTION("""COMPUTED_VALUE"""),55.954)</f>
        <v>55.954000000000001</v>
      </c>
      <c r="F98" s="2">
        <f ca="1">IFERROR(__xludf.DUMMYFUNCTION("""COMPUTED_VALUE"""),67.882)</f>
        <v>67.882000000000005</v>
      </c>
      <c r="G98" s="2">
        <f ca="1">IFERROR(__xludf.DUMMYFUNCTION("""COMPUTED_VALUE"""),0.48959)</f>
        <v>0.48959000000000003</v>
      </c>
      <c r="H98" s="2">
        <f ca="1">IFERROR(__xludf.DUMMYFUNCTION("""COMPUTED_VALUE"""),40.113)</f>
        <v>40.113</v>
      </c>
      <c r="I98" s="2">
        <f ca="1">IFERROR(__xludf.DUMMYFUNCTION("""COMPUTED_VALUE"""),43.796)</f>
        <v>43.795999999999999</v>
      </c>
      <c r="J98" s="2">
        <f ca="1">IFERROR(__xludf.DUMMYFUNCTION("""COMPUTED_VALUE"""),32.617)</f>
        <v>32.616999999999997</v>
      </c>
      <c r="K98" s="2">
        <f ca="1">IFERROR(__xludf.DUMMYFUNCTION("""COMPUTED_VALUE"""),41.498)</f>
        <v>41.497999999999998</v>
      </c>
      <c r="L98" s="2">
        <f ca="1">IFERROR(__xludf.DUMMYFUNCTION("""COMPUTED_VALUE"""),10.2)</f>
        <v>10.199999999999999</v>
      </c>
      <c r="M98" s="2">
        <f ca="1">IFERROR(__xludf.DUMMYFUNCTION("""COMPUTED_VALUE"""),12.319)</f>
        <v>12.319000000000001</v>
      </c>
      <c r="U98" s="3" t="e">
        <f ca="1"/>
        <v>#NAME?</v>
      </c>
    </row>
    <row r="99" spans="3:21" ht="12.5" x14ac:dyDescent="0.25">
      <c r="C99" s="4">
        <f ca="1">IFERROR(__xludf.DUMMYFUNCTION("""COMPUTED_VALUE"""),40296.9986111111)</f>
        <v>40296.998611111099</v>
      </c>
      <c r="D99" s="2">
        <f ca="1">IFERROR(__xludf.DUMMYFUNCTION("""COMPUTED_VALUE"""),44.5)</f>
        <v>44.5</v>
      </c>
      <c r="E99" s="2">
        <f ca="1">IFERROR(__xludf.DUMMYFUNCTION("""COMPUTED_VALUE"""),56.377)</f>
        <v>56.377000000000002</v>
      </c>
      <c r="F99" s="2">
        <f ca="1">IFERROR(__xludf.DUMMYFUNCTION("""COMPUTED_VALUE"""),67.489)</f>
        <v>67.489000000000004</v>
      </c>
      <c r="G99" s="2">
        <f ca="1">IFERROR(__xludf.DUMMYFUNCTION("""COMPUTED_VALUE"""),0.49206)</f>
        <v>0.49206</v>
      </c>
      <c r="H99" s="2">
        <f ca="1">IFERROR(__xludf.DUMMYFUNCTION("""COMPUTED_VALUE"""),39.932)</f>
        <v>39.932000000000002</v>
      </c>
      <c r="I99" s="2">
        <f ca="1">IFERROR(__xludf.DUMMYFUNCTION("""COMPUTED_VALUE"""),44.05)</f>
        <v>44.05</v>
      </c>
      <c r="J99" s="2">
        <f ca="1">IFERROR(__xludf.DUMMYFUNCTION("""COMPUTED_VALUE"""),32.77)</f>
        <v>32.770000000000003</v>
      </c>
      <c r="K99" s="2">
        <f ca="1">IFERROR(__xludf.DUMMYFUNCTION("""COMPUTED_VALUE"""),41.383)</f>
        <v>41.383000000000003</v>
      </c>
      <c r="L99" s="2">
        <f ca="1">IFERROR(__xludf.DUMMYFUNCTION("""COMPUTED_VALUE"""),10.285)</f>
        <v>10.285</v>
      </c>
      <c r="M99" s="2">
        <f ca="1">IFERROR(__xludf.DUMMYFUNCTION("""COMPUTED_VALUE"""),12.395)</f>
        <v>12.395</v>
      </c>
      <c r="U99" s="3" t="e">
        <f ca="1"/>
        <v>#NAME?</v>
      </c>
    </row>
    <row r="100" spans="3:21" ht="12.5" x14ac:dyDescent="0.25">
      <c r="C100" s="4">
        <f ca="1">IFERROR(__xludf.DUMMYFUNCTION("""COMPUTED_VALUE"""),40297.9986111111)</f>
        <v>40297.998611111099</v>
      </c>
      <c r="D100" s="2">
        <f ca="1">IFERROR(__xludf.DUMMYFUNCTION("""COMPUTED_VALUE"""),44.45)</f>
        <v>44.45</v>
      </c>
      <c r="E100" s="2">
        <f ca="1">IFERROR(__xludf.DUMMYFUNCTION("""COMPUTED_VALUE"""),55.656)</f>
        <v>55.655999999999999</v>
      </c>
      <c r="F100" s="2">
        <f ca="1">IFERROR(__xludf.DUMMYFUNCTION("""COMPUTED_VALUE"""),68.148)</f>
        <v>68.147999999999996</v>
      </c>
      <c r="G100" s="2">
        <f ca="1">IFERROR(__xludf.DUMMYFUNCTION("""COMPUTED_VALUE"""),0.4935)</f>
        <v>0.49349999999999999</v>
      </c>
      <c r="H100" s="2">
        <f ca="1">IFERROR(__xludf.DUMMYFUNCTION("""COMPUTED_VALUE"""),39.439)</f>
        <v>39.439</v>
      </c>
      <c r="I100" s="2">
        <f ca="1">IFERROR(__xludf.DUMMYFUNCTION("""COMPUTED_VALUE"""),43.915)</f>
        <v>43.914999999999999</v>
      </c>
      <c r="J100" s="2">
        <f ca="1">IFERROR(__xludf.DUMMYFUNCTION("""COMPUTED_VALUE"""),32.659)</f>
        <v>32.658999999999999</v>
      </c>
      <c r="K100" s="2">
        <f ca="1">IFERROR(__xludf.DUMMYFUNCTION("""COMPUTED_VALUE"""),41.27)</f>
        <v>41.27</v>
      </c>
      <c r="L100" s="2">
        <f ca="1">IFERROR(__xludf.DUMMYFUNCTION("""COMPUTED_VALUE"""),10.343)</f>
        <v>10.343</v>
      </c>
      <c r="M100" s="2">
        <f ca="1">IFERROR(__xludf.DUMMYFUNCTION("""COMPUTED_VALUE"""),12.407)</f>
        <v>12.407</v>
      </c>
      <c r="U100" s="3" t="e">
        <f ca="1"/>
        <v>#NAME?</v>
      </c>
    </row>
    <row r="101" spans="3:21" ht="12.5" x14ac:dyDescent="0.25">
      <c r="C101" s="4">
        <f ca="1">IFERROR(__xludf.DUMMYFUNCTION("""COMPUTED_VALUE"""),40298.9986111111)</f>
        <v>40298.998611111099</v>
      </c>
      <c r="D101" s="2">
        <f ca="1">IFERROR(__xludf.DUMMYFUNCTION("""COMPUTED_VALUE"""),44.25)</f>
        <v>44.25</v>
      </c>
      <c r="E101" s="2">
        <f ca="1">IFERROR(__xludf.DUMMYFUNCTION("""COMPUTED_VALUE"""),56.916)</f>
        <v>56.915999999999997</v>
      </c>
      <c r="F101" s="2">
        <f ca="1">IFERROR(__xludf.DUMMYFUNCTION("""COMPUTED_VALUE"""),67.609)</f>
        <v>67.608999999999995</v>
      </c>
      <c r="G101" s="2">
        <f ca="1">IFERROR(__xludf.DUMMYFUNCTION("""COMPUTED_VALUE"""),0.49961)</f>
        <v>0.49961</v>
      </c>
      <c r="H101" s="2">
        <f ca="1">IFERROR(__xludf.DUMMYFUNCTION("""COMPUTED_VALUE"""),38.824)</f>
        <v>38.823999999999998</v>
      </c>
      <c r="I101" s="2">
        <f ca="1">IFERROR(__xludf.DUMMYFUNCTION("""COMPUTED_VALUE"""),43.883)</f>
        <v>43.883000000000003</v>
      </c>
      <c r="J101" s="2">
        <f ca="1">IFERROR(__xludf.DUMMYFUNCTION("""COMPUTED_VALUE"""),32.763)</f>
        <v>32.762999999999998</v>
      </c>
      <c r="K101" s="2">
        <f ca="1">IFERROR(__xludf.DUMMYFUNCTION("""COMPUTED_VALUE"""),41.354)</f>
        <v>41.353999999999999</v>
      </c>
      <c r="L101" s="2">
        <f ca="1">IFERROR(__xludf.DUMMYFUNCTION("""COMPUTED_VALUE"""),10.331)</f>
        <v>10.331</v>
      </c>
      <c r="M101" s="2">
        <f ca="1">IFERROR(__xludf.DUMMYFUNCTION("""COMPUTED_VALUE"""),12.598)</f>
        <v>12.598000000000001</v>
      </c>
      <c r="U101" s="3" t="e">
        <f ca="1"/>
        <v>#NAME?</v>
      </c>
    </row>
    <row r="102" spans="3:21" ht="12.5" x14ac:dyDescent="0.25">
      <c r="C102" s="4">
        <f ca="1">IFERROR(__xludf.DUMMYFUNCTION("""COMPUTED_VALUE"""),40299.9986111111)</f>
        <v>40299.998611111099</v>
      </c>
      <c r="D102" s="2">
        <f ca="1">IFERROR(__xludf.DUMMYFUNCTION("""COMPUTED_VALUE"""),44.218)</f>
        <v>44.218000000000004</v>
      </c>
      <c r="E102" s="2">
        <f ca="1">IFERROR(__xludf.DUMMYFUNCTION("""COMPUTED_VALUE"""),58.633)</f>
        <v>58.633000000000003</v>
      </c>
      <c r="F102" s="2">
        <f ca="1">IFERROR(__xludf.DUMMYFUNCTION("""COMPUTED_VALUE"""),67.683)</f>
        <v>67.683000000000007</v>
      </c>
      <c r="G102" s="2">
        <f ca="1">IFERROR(__xludf.DUMMYFUNCTION("""COMPUTED_VALUE"""),0.51971)</f>
        <v>0.51971000000000001</v>
      </c>
      <c r="H102" s="2">
        <f ca="1">IFERROR(__xludf.DUMMYFUNCTION("""COMPUTED_VALUE"""),38.803)</f>
        <v>38.802999999999997</v>
      </c>
      <c r="I102" s="2">
        <f ca="1">IFERROR(__xludf.DUMMYFUNCTION("""COMPUTED_VALUE"""),43.978)</f>
        <v>43.978000000000002</v>
      </c>
      <c r="J102" s="2">
        <f ca="1">IFERROR(__xludf.DUMMYFUNCTION("""COMPUTED_VALUE"""),33.231)</f>
        <v>33.231000000000002</v>
      </c>
      <c r="K102" s="2">
        <f ca="1">IFERROR(__xludf.DUMMYFUNCTION("""COMPUTED_VALUE"""),41.354)</f>
        <v>41.353999999999999</v>
      </c>
      <c r="L102" s="2">
        <f ca="1">IFERROR(__xludf.DUMMYFUNCTION("""COMPUTED_VALUE"""),10.328)</f>
        <v>10.327999999999999</v>
      </c>
      <c r="M102" s="2">
        <f ca="1">IFERROR(__xludf.DUMMYFUNCTION("""COMPUTED_VALUE"""),12.725)</f>
        <v>12.725</v>
      </c>
      <c r="U102" s="3" t="e">
        <f ca="1"/>
        <v>#NAME?</v>
      </c>
    </row>
    <row r="103" spans="3:21" ht="12.5" x14ac:dyDescent="0.25">
      <c r="C103" s="4">
        <f ca="1">IFERROR(__xludf.DUMMYFUNCTION("""COMPUTED_VALUE"""),40300.9986111111)</f>
        <v>40300.998611111099</v>
      </c>
      <c r="D103" s="2">
        <f ca="1">IFERROR(__xludf.DUMMYFUNCTION("""COMPUTED_VALUE"""),44.218)</f>
        <v>44.218000000000004</v>
      </c>
      <c r="E103" s="2">
        <f ca="1">IFERROR(__xludf.DUMMYFUNCTION("""COMPUTED_VALUE"""),58.912)</f>
        <v>58.911999999999999</v>
      </c>
      <c r="F103" s="2">
        <f ca="1">IFERROR(__xludf.DUMMYFUNCTION("""COMPUTED_VALUE"""),67.683)</f>
        <v>67.683000000000007</v>
      </c>
      <c r="G103" s="2">
        <f ca="1">IFERROR(__xludf.DUMMYFUNCTION("""COMPUTED_VALUE"""),0.51939)</f>
        <v>0.51939000000000002</v>
      </c>
      <c r="H103" s="2">
        <f ca="1">IFERROR(__xludf.DUMMYFUNCTION("""COMPUTED_VALUE"""),38.901)</f>
        <v>38.901000000000003</v>
      </c>
      <c r="I103" s="2">
        <f ca="1">IFERROR(__xludf.DUMMYFUNCTION("""COMPUTED_VALUE"""),44.346)</f>
        <v>44.345999999999997</v>
      </c>
      <c r="J103" s="2">
        <f ca="1">IFERROR(__xludf.DUMMYFUNCTION("""COMPUTED_VALUE"""),33.291)</f>
        <v>33.290999999999997</v>
      </c>
      <c r="K103" s="2">
        <f ca="1">IFERROR(__xludf.DUMMYFUNCTION("""COMPUTED_VALUE"""),41.236)</f>
        <v>41.235999999999997</v>
      </c>
      <c r="L103" s="2">
        <f ca="1">IFERROR(__xludf.DUMMYFUNCTION("""COMPUTED_VALUE"""),10.344)</f>
        <v>10.343999999999999</v>
      </c>
      <c r="M103" s="2">
        <f ca="1">IFERROR(__xludf.DUMMYFUNCTION("""COMPUTED_VALUE"""),12.774)</f>
        <v>12.773999999999999</v>
      </c>
      <c r="U103" s="3" t="e">
        <f ca="1"/>
        <v>#NAME?</v>
      </c>
    </row>
    <row r="104" spans="3:21" ht="12.5" x14ac:dyDescent="0.25">
      <c r="C104" s="4">
        <f ca="1">IFERROR(__xludf.DUMMYFUNCTION("""COMPUTED_VALUE"""),40301.9986111111)</f>
        <v>40301.998611111099</v>
      </c>
      <c r="D104" s="2">
        <f ca="1">IFERROR(__xludf.DUMMYFUNCTION("""COMPUTED_VALUE"""),44.4)</f>
        <v>44.4</v>
      </c>
      <c r="E104" s="2">
        <f ca="1">IFERROR(__xludf.DUMMYFUNCTION("""COMPUTED_VALUE"""),57.991)</f>
        <v>57.991</v>
      </c>
      <c r="F104" s="2">
        <f ca="1">IFERROR(__xludf.DUMMYFUNCTION("""COMPUTED_VALUE"""),67.739)</f>
        <v>67.739000000000004</v>
      </c>
      <c r="G104" s="2">
        <f ca="1">IFERROR(__xludf.DUMMYFUNCTION("""COMPUTED_VALUE"""),0.51762)</f>
        <v>0.51761999999999997</v>
      </c>
      <c r="H104" s="2">
        <f ca="1">IFERROR(__xludf.DUMMYFUNCTION("""COMPUTED_VALUE"""),38.858)</f>
        <v>38.857999999999997</v>
      </c>
      <c r="I104" s="2">
        <f ca="1">IFERROR(__xludf.DUMMYFUNCTION("""COMPUTED_VALUE"""),44.177)</f>
        <v>44.177</v>
      </c>
      <c r="J104" s="2">
        <f ca="1">IFERROR(__xludf.DUMMYFUNCTION("""COMPUTED_VALUE"""),33.294)</f>
        <v>33.293999999999997</v>
      </c>
      <c r="K104" s="2">
        <f ca="1">IFERROR(__xludf.DUMMYFUNCTION("""COMPUTED_VALUE"""),41.812)</f>
        <v>41.811999999999998</v>
      </c>
      <c r="L104" s="2">
        <f ca="1">IFERROR(__xludf.DUMMYFUNCTION("""COMPUTED_VALUE"""),10.367)</f>
        <v>10.367000000000001</v>
      </c>
      <c r="M104" s="2">
        <f ca="1">IFERROR(__xludf.DUMMYFUNCTION("""COMPUTED_VALUE"""),12.744)</f>
        <v>12.744</v>
      </c>
      <c r="U104" s="3" t="e">
        <f ca="1"/>
        <v>#NAME?</v>
      </c>
    </row>
    <row r="105" spans="3:21" ht="12.5" x14ac:dyDescent="0.25">
      <c r="C105" s="4">
        <f ca="1">IFERROR(__xludf.DUMMYFUNCTION("""COMPUTED_VALUE"""),40302.9986111111)</f>
        <v>40302.998611111099</v>
      </c>
      <c r="D105" s="2">
        <f ca="1">IFERROR(__xludf.DUMMYFUNCTION("""COMPUTED_VALUE"""),44.55)</f>
        <v>44.55</v>
      </c>
      <c r="E105" s="2">
        <f ca="1">IFERROR(__xludf.DUMMYFUNCTION("""COMPUTED_VALUE"""),58.528)</f>
        <v>58.527999999999999</v>
      </c>
      <c r="F105" s="2">
        <f ca="1">IFERROR(__xludf.DUMMYFUNCTION("""COMPUTED_VALUE"""),67.64)</f>
        <v>67.64</v>
      </c>
      <c r="G105" s="2">
        <f ca="1">IFERROR(__xludf.DUMMYFUNCTION("""COMPUTED_VALUE"""),0.52657)</f>
        <v>0.52656999999999998</v>
      </c>
      <c r="H105" s="2">
        <f ca="1">IFERROR(__xludf.DUMMYFUNCTION("""COMPUTED_VALUE"""),38.998)</f>
        <v>38.997999999999998</v>
      </c>
      <c r="I105" s="2">
        <f ca="1">IFERROR(__xludf.DUMMYFUNCTION("""COMPUTED_VALUE"""),44.328)</f>
        <v>44.328000000000003</v>
      </c>
      <c r="J105" s="2">
        <f ca="1">IFERROR(__xludf.DUMMYFUNCTION("""COMPUTED_VALUE"""),33.573)</f>
        <v>33.573</v>
      </c>
      <c r="K105" s="2">
        <f ca="1">IFERROR(__xludf.DUMMYFUNCTION("""COMPUTED_VALUE"""),42.137)</f>
        <v>42.137</v>
      </c>
      <c r="L105" s="2">
        <f ca="1">IFERROR(__xludf.DUMMYFUNCTION("""COMPUTED_VALUE"""),10.402)</f>
        <v>10.401999999999999</v>
      </c>
      <c r="M105" s="2">
        <f ca="1">IFERROR(__xludf.DUMMYFUNCTION("""COMPUTED_VALUE"""),12.927)</f>
        <v>12.927</v>
      </c>
      <c r="U105" s="3" t="e">
        <f ca="1"/>
        <v>#NAME?</v>
      </c>
    </row>
    <row r="106" spans="3:21" ht="12.5" x14ac:dyDescent="0.25">
      <c r="C106" s="4">
        <f ca="1">IFERROR(__xludf.DUMMYFUNCTION("""COMPUTED_VALUE"""),40303.9986111111)</f>
        <v>40303.998611111099</v>
      </c>
      <c r="D106" s="2">
        <f ca="1">IFERROR(__xludf.DUMMYFUNCTION("""COMPUTED_VALUE"""),44.85)</f>
        <v>44.85</v>
      </c>
      <c r="E106" s="2">
        <f ca="1">IFERROR(__xludf.DUMMYFUNCTION("""COMPUTED_VALUE"""),57.429)</f>
        <v>57.429000000000002</v>
      </c>
      <c r="F106" s="2">
        <f ca="1">IFERROR(__xludf.DUMMYFUNCTION("""COMPUTED_VALUE"""),67.74)</f>
        <v>67.739999999999995</v>
      </c>
      <c r="G106" s="2">
        <f ca="1">IFERROR(__xludf.DUMMYFUNCTION("""COMPUTED_VALUE"""),0.52325)</f>
        <v>0.52324999999999999</v>
      </c>
      <c r="H106" s="2">
        <f ca="1">IFERROR(__xludf.DUMMYFUNCTION("""COMPUTED_VALUE"""),38.807)</f>
        <v>38.807000000000002</v>
      </c>
      <c r="I106" s="2">
        <f ca="1">IFERROR(__xludf.DUMMYFUNCTION("""COMPUTED_VALUE"""),44.12)</f>
        <v>44.12</v>
      </c>
      <c r="J106" s="2">
        <f ca="1">IFERROR(__xludf.DUMMYFUNCTION("""COMPUTED_VALUE"""),33.445)</f>
        <v>33.445</v>
      </c>
      <c r="K106" s="2">
        <f ca="1">IFERROR(__xludf.DUMMYFUNCTION("""COMPUTED_VALUE"""),42.046)</f>
        <v>42.045999999999999</v>
      </c>
      <c r="L106" s="2">
        <f ca="1">IFERROR(__xludf.DUMMYFUNCTION("""COMPUTED_VALUE"""),10.437)</f>
        <v>10.436999999999999</v>
      </c>
      <c r="M106" s="2">
        <f ca="1">IFERROR(__xludf.DUMMYFUNCTION("""COMPUTED_VALUE"""),12.823)</f>
        <v>12.823</v>
      </c>
      <c r="U106" s="3" t="e">
        <f ca="1"/>
        <v>#NAME?</v>
      </c>
    </row>
    <row r="107" spans="3:21" ht="12.5" x14ac:dyDescent="0.25">
      <c r="C107" s="4">
        <f ca="1">IFERROR(__xludf.DUMMYFUNCTION("""COMPUTED_VALUE"""),40304.9986111111)</f>
        <v>40304.998611111099</v>
      </c>
      <c r="D107" s="2">
        <f ca="1">IFERROR(__xludf.DUMMYFUNCTION("""COMPUTED_VALUE"""),45.46)</f>
        <v>45.46</v>
      </c>
      <c r="E107" s="2">
        <f ca="1">IFERROR(__xludf.DUMMYFUNCTION("""COMPUTED_VALUE"""),57.893)</f>
        <v>57.893000000000001</v>
      </c>
      <c r="F107" s="2">
        <f ca="1">IFERROR(__xludf.DUMMYFUNCTION("""COMPUTED_VALUE"""),67.422)</f>
        <v>67.421999999999997</v>
      </c>
      <c r="G107" s="2">
        <f ca="1">IFERROR(__xludf.DUMMYFUNCTION("""COMPUTED_VALUE"""),0.51366)</f>
        <v>0.51366000000000001</v>
      </c>
      <c r="H107" s="2">
        <f ca="1">IFERROR(__xludf.DUMMYFUNCTION("""COMPUTED_VALUE"""),39.728)</f>
        <v>39.728000000000002</v>
      </c>
      <c r="I107" s="2">
        <f ca="1">IFERROR(__xludf.DUMMYFUNCTION("""COMPUTED_VALUE"""),44.531)</f>
        <v>44.530999999999999</v>
      </c>
      <c r="J107" s="2">
        <f ca="1">IFERROR(__xludf.DUMMYFUNCTION("""COMPUTED_VALUE"""),33.336)</f>
        <v>33.335999999999999</v>
      </c>
      <c r="K107" s="2">
        <f ca="1">IFERROR(__xludf.DUMMYFUNCTION("""COMPUTED_VALUE"""),41.915)</f>
        <v>41.914999999999999</v>
      </c>
      <c r="L107" s="2">
        <f ca="1">IFERROR(__xludf.DUMMYFUNCTION("""COMPUTED_VALUE"""),10.392)</f>
        <v>10.391999999999999</v>
      </c>
      <c r="M107" s="2">
        <f ca="1">IFERROR(__xludf.DUMMYFUNCTION("""COMPUTED_VALUE"""),12.72)</f>
        <v>12.72</v>
      </c>
      <c r="U107" s="3" t="e">
        <f ca="1"/>
        <v>#NAME?</v>
      </c>
    </row>
    <row r="108" spans="3:21" ht="12.5" x14ac:dyDescent="0.25">
      <c r="C108" s="4">
        <f ca="1">IFERROR(__xludf.DUMMYFUNCTION("""COMPUTED_VALUE"""),40305.9986111111)</f>
        <v>40305.998611111099</v>
      </c>
      <c r="D108" s="2">
        <f ca="1">IFERROR(__xludf.DUMMYFUNCTION("""COMPUTED_VALUE"""),45.418)</f>
        <v>45.417999999999999</v>
      </c>
      <c r="E108" s="2">
        <f ca="1">IFERROR(__xludf.DUMMYFUNCTION("""COMPUTED_VALUE"""),56.931)</f>
        <v>56.930999999999997</v>
      </c>
      <c r="F108" s="2">
        <f ca="1">IFERROR(__xludf.DUMMYFUNCTION("""COMPUTED_VALUE"""),66.928)</f>
        <v>66.927999999999997</v>
      </c>
      <c r="G108" s="2">
        <f ca="1">IFERROR(__xludf.DUMMYFUNCTION("""COMPUTED_VALUE"""),0.51026)</f>
        <v>0.51026000000000005</v>
      </c>
      <c r="H108" s="2">
        <f ca="1">IFERROR(__xludf.DUMMYFUNCTION("""COMPUTED_VALUE"""),39.1)</f>
        <v>39.1</v>
      </c>
      <c r="I108" s="2">
        <f ca="1">IFERROR(__xludf.DUMMYFUNCTION("""COMPUTED_VALUE"""),43.995)</f>
        <v>43.994999999999997</v>
      </c>
      <c r="J108" s="2">
        <f ca="1">IFERROR(__xludf.DUMMYFUNCTION("""COMPUTED_VALUE"""),32.954)</f>
        <v>32.954000000000001</v>
      </c>
      <c r="K108" s="2">
        <f ca="1">IFERROR(__xludf.DUMMYFUNCTION("""COMPUTED_VALUE"""),41.659)</f>
        <v>41.658999999999999</v>
      </c>
      <c r="L108" s="2">
        <f ca="1">IFERROR(__xludf.DUMMYFUNCTION("""COMPUTED_VALUE"""),10.362)</f>
        <v>10.362</v>
      </c>
      <c r="M108" s="2">
        <f ca="1">IFERROR(__xludf.DUMMYFUNCTION("""COMPUTED_VALUE"""),12.605)</f>
        <v>12.605</v>
      </c>
      <c r="U108" s="3" t="e">
        <f ca="1"/>
        <v>#NAME?</v>
      </c>
    </row>
    <row r="109" spans="3:21" ht="12.5" x14ac:dyDescent="0.25">
      <c r="C109" s="4">
        <f ca="1">IFERROR(__xludf.DUMMYFUNCTION("""COMPUTED_VALUE"""),40306.9986111111)</f>
        <v>40306.998611111099</v>
      </c>
      <c r="D109" s="2">
        <f ca="1">IFERROR(__xludf.DUMMYFUNCTION("""COMPUTED_VALUE"""),45.418)</f>
        <v>45.417999999999999</v>
      </c>
      <c r="E109" s="2">
        <f ca="1">IFERROR(__xludf.DUMMYFUNCTION("""COMPUTED_VALUE"""),56.908)</f>
        <v>56.908000000000001</v>
      </c>
      <c r="F109" s="2">
        <f ca="1">IFERROR(__xludf.DUMMYFUNCTION("""COMPUTED_VALUE"""),66.917)</f>
        <v>66.917000000000002</v>
      </c>
      <c r="G109" s="2">
        <f ca="1">IFERROR(__xludf.DUMMYFUNCTION("""COMPUTED_VALUE"""),0.50789)</f>
        <v>0.50788999999999995</v>
      </c>
      <c r="H109" s="2">
        <f ca="1">IFERROR(__xludf.DUMMYFUNCTION("""COMPUTED_VALUE"""),39.004)</f>
        <v>39.003999999999998</v>
      </c>
      <c r="I109" s="2">
        <f ca="1">IFERROR(__xludf.DUMMYFUNCTION("""COMPUTED_VALUE"""),44.328)</f>
        <v>44.328000000000003</v>
      </c>
      <c r="J109" s="2">
        <f ca="1">IFERROR(__xludf.DUMMYFUNCTION("""COMPUTED_VALUE"""),33.115)</f>
        <v>33.115000000000002</v>
      </c>
      <c r="K109" s="2">
        <f ca="1">IFERROR(__xludf.DUMMYFUNCTION("""COMPUTED_VALUE"""),41.659)</f>
        <v>41.658999999999999</v>
      </c>
      <c r="L109" s="2">
        <f ca="1">IFERROR(__xludf.DUMMYFUNCTION("""COMPUTED_VALUE"""),10.359)</f>
        <v>10.359</v>
      </c>
      <c r="M109" s="2">
        <f ca="1">IFERROR(__xludf.DUMMYFUNCTION("""COMPUTED_VALUE"""),12.621)</f>
        <v>12.621</v>
      </c>
      <c r="U109" s="3" t="e">
        <f ca="1"/>
        <v>#NAME?</v>
      </c>
    </row>
    <row r="110" spans="3:21" ht="12.5" x14ac:dyDescent="0.25">
      <c r="C110" s="4">
        <f ca="1">IFERROR(__xludf.DUMMYFUNCTION("""COMPUTED_VALUE"""),40307.9986111111)</f>
        <v>40307.998611111099</v>
      </c>
      <c r="D110" s="2">
        <f ca="1">IFERROR(__xludf.DUMMYFUNCTION("""COMPUTED_VALUE"""),45.418)</f>
        <v>45.417999999999999</v>
      </c>
      <c r="E110" s="2">
        <f ca="1">IFERROR(__xludf.DUMMYFUNCTION("""COMPUTED_VALUE"""),57.688)</f>
        <v>57.688000000000002</v>
      </c>
      <c r="F110" s="2">
        <f ca="1">IFERROR(__xludf.DUMMYFUNCTION("""COMPUTED_VALUE"""),66.917)</f>
        <v>66.917000000000002</v>
      </c>
      <c r="G110" s="2">
        <f ca="1">IFERROR(__xludf.DUMMYFUNCTION("""COMPUTED_VALUE"""),0.51582)</f>
        <v>0.51581999999999995</v>
      </c>
      <c r="H110" s="2">
        <f ca="1">IFERROR(__xludf.DUMMYFUNCTION("""COMPUTED_VALUE"""),39.466)</f>
        <v>39.466000000000001</v>
      </c>
      <c r="I110" s="2">
        <f ca="1">IFERROR(__xludf.DUMMYFUNCTION("""COMPUTED_VALUE"""),44.858)</f>
        <v>44.857999999999997</v>
      </c>
      <c r="J110" s="2">
        <f ca="1">IFERROR(__xludf.DUMMYFUNCTION("""COMPUTED_VALUE"""),33.373)</f>
        <v>33.372999999999998</v>
      </c>
      <c r="K110" s="2">
        <f ca="1">IFERROR(__xludf.DUMMYFUNCTION("""COMPUTED_VALUE"""),41.673)</f>
        <v>41.673000000000002</v>
      </c>
      <c r="L110" s="2">
        <f ca="1">IFERROR(__xludf.DUMMYFUNCTION("""COMPUTED_VALUE"""),10.359)</f>
        <v>10.359</v>
      </c>
      <c r="M110" s="2">
        <f ca="1">IFERROR(__xludf.DUMMYFUNCTION("""COMPUTED_VALUE"""),12.819)</f>
        <v>12.819000000000001</v>
      </c>
      <c r="U110" s="3" t="e">
        <f ca="1"/>
        <v>#NAME?</v>
      </c>
    </row>
    <row r="111" spans="3:21" ht="12.5" x14ac:dyDescent="0.25">
      <c r="C111" s="4">
        <f ca="1">IFERROR(__xludf.DUMMYFUNCTION("""COMPUTED_VALUE"""),40308.9986111111)</f>
        <v>40308.998611111099</v>
      </c>
      <c r="D111" s="2">
        <f ca="1">IFERROR(__xludf.DUMMYFUNCTION("""COMPUTED_VALUE"""),44.763)</f>
        <v>44.762999999999998</v>
      </c>
      <c r="E111" s="2">
        <f ca="1">IFERROR(__xludf.DUMMYFUNCTION("""COMPUTED_VALUE"""),57.337)</f>
        <v>57.337000000000003</v>
      </c>
      <c r="F111" s="2">
        <f ca="1">IFERROR(__xludf.DUMMYFUNCTION("""COMPUTED_VALUE"""),67.106)</f>
        <v>67.105999999999995</v>
      </c>
      <c r="G111" s="2">
        <f ca="1">IFERROR(__xludf.DUMMYFUNCTION("""COMPUTED_VALUE"""),0.50801)</f>
        <v>0.50800999999999996</v>
      </c>
      <c r="H111" s="2">
        <f ca="1">IFERROR(__xludf.DUMMYFUNCTION("""COMPUTED_VALUE"""),39.129)</f>
        <v>39.128999999999998</v>
      </c>
      <c r="I111" s="2">
        <f ca="1">IFERROR(__xludf.DUMMYFUNCTION("""COMPUTED_VALUE"""),45.104)</f>
        <v>45.103999999999999</v>
      </c>
      <c r="J111" s="2">
        <f ca="1">IFERROR(__xludf.DUMMYFUNCTION("""COMPUTED_VALUE"""),33.269)</f>
        <v>33.268999999999998</v>
      </c>
      <c r="K111" s="2">
        <f ca="1">IFERROR(__xludf.DUMMYFUNCTION("""COMPUTED_VALUE"""),41.931)</f>
        <v>41.930999999999997</v>
      </c>
      <c r="L111" s="2">
        <f ca="1">IFERROR(__xludf.DUMMYFUNCTION("""COMPUTED_VALUE"""),10.334)</f>
        <v>10.334</v>
      </c>
      <c r="M111" s="2">
        <f ca="1">IFERROR(__xludf.DUMMYFUNCTION("""COMPUTED_VALUE"""),12.741)</f>
        <v>12.741</v>
      </c>
      <c r="U111" s="3" t="e">
        <f ca="1"/>
        <v>#NAME?</v>
      </c>
    </row>
    <row r="112" spans="3:21" ht="12.5" x14ac:dyDescent="0.25">
      <c r="C112" s="4">
        <f ca="1">IFERROR(__xludf.DUMMYFUNCTION("""COMPUTED_VALUE"""),40309.9986111111)</f>
        <v>40309.998611111099</v>
      </c>
      <c r="D112" s="2">
        <f ca="1">IFERROR(__xludf.DUMMYFUNCTION("""COMPUTED_VALUE"""),44.99)</f>
        <v>44.99</v>
      </c>
      <c r="E112" s="2">
        <f ca="1">IFERROR(__xludf.DUMMYFUNCTION("""COMPUTED_VALUE"""),56.558)</f>
        <v>56.558</v>
      </c>
      <c r="F112" s="2">
        <f ca="1">IFERROR(__xludf.DUMMYFUNCTION("""COMPUTED_VALUE"""),67.3)</f>
        <v>67.3</v>
      </c>
      <c r="G112" s="2">
        <f ca="1">IFERROR(__xludf.DUMMYFUNCTION("""COMPUTED_VALUE"""),0.50214)</f>
        <v>0.50214000000000003</v>
      </c>
      <c r="H112" s="2">
        <f ca="1">IFERROR(__xludf.DUMMYFUNCTION("""COMPUTED_VALUE"""),39.193)</f>
        <v>39.192999999999998</v>
      </c>
      <c r="I112" s="2">
        <f ca="1">IFERROR(__xludf.DUMMYFUNCTION("""COMPUTED_VALUE"""),44.666)</f>
        <v>44.665999999999997</v>
      </c>
      <c r="J112" s="2">
        <f ca="1">IFERROR(__xludf.DUMMYFUNCTION("""COMPUTED_VALUE"""),33.058)</f>
        <v>33.058</v>
      </c>
      <c r="K112" s="2">
        <f ca="1">IFERROR(__xludf.DUMMYFUNCTION("""COMPUTED_VALUE"""),41.574)</f>
        <v>41.573999999999998</v>
      </c>
      <c r="L112" s="2">
        <f ca="1">IFERROR(__xludf.DUMMYFUNCTION("""COMPUTED_VALUE"""),10.343)</f>
        <v>10.343</v>
      </c>
      <c r="M112" s="2">
        <f ca="1">IFERROR(__xludf.DUMMYFUNCTION("""COMPUTED_VALUE"""),12.66)</f>
        <v>12.66</v>
      </c>
      <c r="U112" s="3" t="e">
        <f ca="1"/>
        <v>#NAME?</v>
      </c>
    </row>
    <row r="113" spans="3:21" ht="12.5" x14ac:dyDescent="0.25">
      <c r="C113" s="4">
        <f ca="1">IFERROR(__xludf.DUMMYFUNCTION("""COMPUTED_VALUE"""),40310.9986111111)</f>
        <v>40310.998611111099</v>
      </c>
      <c r="D113" s="2">
        <f ca="1">IFERROR(__xludf.DUMMYFUNCTION("""COMPUTED_VALUE"""),44.95)</f>
        <v>44.95</v>
      </c>
      <c r="E113" s="2">
        <f ca="1">IFERROR(__xludf.DUMMYFUNCTION("""COMPUTED_VALUE"""),56.202)</f>
        <v>56.201999999999998</v>
      </c>
      <c r="F113" s="2">
        <f ca="1">IFERROR(__xludf.DUMMYFUNCTION("""COMPUTED_VALUE"""),66.623)</f>
        <v>66.623000000000005</v>
      </c>
      <c r="G113" s="2">
        <f ca="1">IFERROR(__xludf.DUMMYFUNCTION("""COMPUTED_VALUE"""),0.51121)</f>
        <v>0.51121000000000005</v>
      </c>
      <c r="H113" s="2">
        <f ca="1">IFERROR(__xludf.DUMMYFUNCTION("""COMPUTED_VALUE"""),38.681)</f>
        <v>38.680999999999997</v>
      </c>
      <c r="I113" s="2">
        <f ca="1">IFERROR(__xludf.DUMMYFUNCTION("""COMPUTED_VALUE"""),44.492)</f>
        <v>44.491999999999997</v>
      </c>
      <c r="J113" s="2">
        <f ca="1">IFERROR(__xludf.DUMMYFUNCTION("""COMPUTED_VALUE"""),33.161)</f>
        <v>33.161000000000001</v>
      </c>
      <c r="K113" s="2">
        <f ca="1">IFERROR(__xludf.DUMMYFUNCTION("""COMPUTED_VALUE"""),41.536)</f>
        <v>41.536000000000001</v>
      </c>
      <c r="L113" s="2">
        <f ca="1">IFERROR(__xludf.DUMMYFUNCTION("""COMPUTED_VALUE"""),10.337)</f>
        <v>10.337</v>
      </c>
      <c r="M113" s="2">
        <f ca="1">IFERROR(__xludf.DUMMYFUNCTION("""COMPUTED_VALUE"""),12.758)</f>
        <v>12.757999999999999</v>
      </c>
      <c r="U113" s="3" t="e">
        <f ca="1"/>
        <v>#NAME?</v>
      </c>
    </row>
    <row r="114" spans="3:21" ht="12.5" x14ac:dyDescent="0.25">
      <c r="C114" s="4">
        <f ca="1">IFERROR(__xludf.DUMMYFUNCTION("""COMPUTED_VALUE"""),40311.9986111111)</f>
        <v>40311.998611111099</v>
      </c>
      <c r="D114" s="2">
        <f ca="1">IFERROR(__xludf.DUMMYFUNCTION("""COMPUTED_VALUE"""),44.94)</f>
        <v>44.94</v>
      </c>
      <c r="E114" s="2">
        <f ca="1">IFERROR(__xludf.DUMMYFUNCTION("""COMPUTED_VALUE"""),55.857)</f>
        <v>55.856999999999999</v>
      </c>
      <c r="F114" s="2">
        <f ca="1">IFERROR(__xludf.DUMMYFUNCTION("""COMPUTED_VALUE"""),65.782)</f>
        <v>65.781999999999996</v>
      </c>
      <c r="G114" s="2">
        <f ca="1">IFERROR(__xludf.DUMMYFUNCTION("""COMPUTED_VALUE"""),0.51011)</f>
        <v>0.51010999999999995</v>
      </c>
      <c r="H114" s="2">
        <f ca="1">IFERROR(__xludf.DUMMYFUNCTION("""COMPUTED_VALUE"""),38.113)</f>
        <v>38.113</v>
      </c>
      <c r="I114" s="2">
        <f ca="1">IFERROR(__xludf.DUMMYFUNCTION("""COMPUTED_VALUE"""),44.267)</f>
        <v>44.267000000000003</v>
      </c>
      <c r="J114" s="2">
        <f ca="1">IFERROR(__xludf.DUMMYFUNCTION("""COMPUTED_VALUE"""),33.034)</f>
        <v>33.033999999999999</v>
      </c>
      <c r="K114" s="2">
        <f ca="1">IFERROR(__xludf.DUMMYFUNCTION("""COMPUTED_VALUE"""),41.287)</f>
        <v>41.286999999999999</v>
      </c>
      <c r="L114" s="2">
        <f ca="1">IFERROR(__xludf.DUMMYFUNCTION("""COMPUTED_VALUE"""),10.342)</f>
        <v>10.342000000000001</v>
      </c>
      <c r="M114" s="2">
        <f ca="1">IFERROR(__xludf.DUMMYFUNCTION("""COMPUTED_VALUE"""),12.739)</f>
        <v>12.739000000000001</v>
      </c>
      <c r="U114" s="3" t="e">
        <f ca="1"/>
        <v>#NAME?</v>
      </c>
    </row>
    <row r="115" spans="3:21" ht="12.5" x14ac:dyDescent="0.25">
      <c r="C115" s="4">
        <f ca="1">IFERROR(__xludf.DUMMYFUNCTION("""COMPUTED_VALUE"""),40312.9986111111)</f>
        <v>40312.998611111099</v>
      </c>
      <c r="D115" s="2">
        <f ca="1">IFERROR(__xludf.DUMMYFUNCTION("""COMPUTED_VALUE"""),45.25)</f>
        <v>45.25</v>
      </c>
      <c r="E115" s="2">
        <f ca="1">IFERROR(__xludf.DUMMYFUNCTION("""COMPUTED_VALUE"""),55.842)</f>
        <v>55.841999999999999</v>
      </c>
      <c r="F115" s="2">
        <f ca="1">IFERROR(__xludf.DUMMYFUNCTION("""COMPUTED_VALUE"""),65.821)</f>
        <v>65.820999999999998</v>
      </c>
      <c r="G115" s="2">
        <f ca="1">IFERROR(__xludf.DUMMYFUNCTION("""COMPUTED_VALUE"""),0.5129)</f>
        <v>0.51290000000000002</v>
      </c>
      <c r="H115" s="2">
        <f ca="1">IFERROR(__xludf.DUMMYFUNCTION("""COMPUTED_VALUE"""),38.469)</f>
        <v>38.469000000000001</v>
      </c>
      <c r="I115" s="2">
        <f ca="1">IFERROR(__xludf.DUMMYFUNCTION("""COMPUTED_VALUE"""),44.541)</f>
        <v>44.540999999999997</v>
      </c>
      <c r="J115" s="2">
        <f ca="1">IFERROR(__xludf.DUMMYFUNCTION("""COMPUTED_VALUE"""),33.052)</f>
        <v>33.052</v>
      </c>
      <c r="K115" s="2">
        <f ca="1">IFERROR(__xludf.DUMMYFUNCTION("""COMPUTED_VALUE"""),41.279)</f>
        <v>41.279000000000003</v>
      </c>
      <c r="L115" s="2">
        <f ca="1">IFERROR(__xludf.DUMMYFUNCTION("""COMPUTED_VALUE"""),10.331)</f>
        <v>10.331</v>
      </c>
      <c r="M115" s="2">
        <f ca="1">IFERROR(__xludf.DUMMYFUNCTION("""COMPUTED_VALUE"""),12.75)</f>
        <v>12.75</v>
      </c>
      <c r="U115" s="3" t="e">
        <f ca="1"/>
        <v>#NAME?</v>
      </c>
    </row>
    <row r="116" spans="3:21" ht="12.5" x14ac:dyDescent="0.25">
      <c r="C116" s="4">
        <f ca="1">IFERROR(__xludf.DUMMYFUNCTION("""COMPUTED_VALUE"""),40314.9986111111)</f>
        <v>40314.998611111099</v>
      </c>
      <c r="D116" s="2">
        <f ca="1">IFERROR(__xludf.DUMMYFUNCTION("""COMPUTED_VALUE"""),45.218)</f>
        <v>45.218000000000004</v>
      </c>
      <c r="E116" s="2">
        <f ca="1">IFERROR(__xludf.DUMMYFUNCTION("""COMPUTED_VALUE"""),56.312)</f>
        <v>56.311999999999998</v>
      </c>
      <c r="F116" s="2">
        <f ca="1">IFERROR(__xludf.DUMMYFUNCTION("""COMPUTED_VALUE"""),65.724)</f>
        <v>65.724000000000004</v>
      </c>
      <c r="G116" s="2">
        <f ca="1">IFERROR(__xludf.DUMMYFUNCTION("""COMPUTED_VALUE"""),0.51228)</f>
        <v>0.51227999999999996</v>
      </c>
      <c r="H116" s="2">
        <f ca="1">IFERROR(__xludf.DUMMYFUNCTION("""COMPUTED_VALUE"""),38.937)</f>
        <v>38.936999999999998</v>
      </c>
      <c r="I116" s="2">
        <f ca="1">IFERROR(__xludf.DUMMYFUNCTION("""COMPUTED_VALUE"""),44.966)</f>
        <v>44.966000000000001</v>
      </c>
      <c r="J116" s="2">
        <f ca="1">IFERROR(__xludf.DUMMYFUNCTION("""COMPUTED_VALUE"""),33.161)</f>
        <v>33.161000000000001</v>
      </c>
      <c r="K116" s="2">
        <f ca="1">IFERROR(__xludf.DUMMYFUNCTION("""COMPUTED_VALUE"""),41.279)</f>
        <v>41.279000000000003</v>
      </c>
      <c r="L116" s="2">
        <f ca="1">IFERROR(__xludf.DUMMYFUNCTION("""COMPUTED_VALUE"""),10.382)</f>
        <v>10.382</v>
      </c>
      <c r="M116" s="2">
        <f ca="1">IFERROR(__xludf.DUMMYFUNCTION("""COMPUTED_VALUE"""),12.745)</f>
        <v>12.744999999999999</v>
      </c>
      <c r="U116" s="3" t="e">
        <f ca="1"/>
        <v>#NAME?</v>
      </c>
    </row>
    <row r="117" spans="3:21" ht="12.5" x14ac:dyDescent="0.25">
      <c r="C117" s="4">
        <f ca="1">IFERROR(__xludf.DUMMYFUNCTION("""COMPUTED_VALUE"""),40315.9986111111)</f>
        <v>40315.998611111099</v>
      </c>
      <c r="D117" s="2">
        <f ca="1">IFERROR(__xludf.DUMMYFUNCTION("""COMPUTED_VALUE"""),45.528)</f>
        <v>45.527999999999999</v>
      </c>
      <c r="E117" s="2">
        <f ca="1">IFERROR(__xludf.DUMMYFUNCTION("""COMPUTED_VALUE"""),56.482)</f>
        <v>56.481999999999999</v>
      </c>
      <c r="F117" s="2">
        <f ca="1">IFERROR(__xludf.DUMMYFUNCTION("""COMPUTED_VALUE"""),65.907)</f>
        <v>65.906999999999996</v>
      </c>
      <c r="G117" s="2">
        <f ca="1">IFERROR(__xludf.DUMMYFUNCTION("""COMPUTED_VALUE"""),0.51354)</f>
        <v>0.51354</v>
      </c>
      <c r="H117" s="2">
        <f ca="1">IFERROR(__xludf.DUMMYFUNCTION("""COMPUTED_VALUE"""),39.543)</f>
        <v>39.542999999999999</v>
      </c>
      <c r="I117" s="2">
        <f ca="1">IFERROR(__xludf.DUMMYFUNCTION("""COMPUTED_VALUE"""),45.274)</f>
        <v>45.274000000000001</v>
      </c>
      <c r="J117" s="2">
        <f ca="1">IFERROR(__xludf.DUMMYFUNCTION("""COMPUTED_VALUE"""),33.268)</f>
        <v>33.268000000000001</v>
      </c>
      <c r="K117" s="2">
        <f ca="1">IFERROR(__xludf.DUMMYFUNCTION("""COMPUTED_VALUE"""),41.328)</f>
        <v>41.328000000000003</v>
      </c>
      <c r="L117" s="2">
        <f ca="1">IFERROR(__xludf.DUMMYFUNCTION("""COMPUTED_VALUE"""),10.365)</f>
        <v>10.365</v>
      </c>
      <c r="M117" s="2">
        <f ca="1">IFERROR(__xludf.DUMMYFUNCTION("""COMPUTED_VALUE"""),12.728)</f>
        <v>12.728</v>
      </c>
      <c r="U117" s="3" t="e">
        <f ca="1"/>
        <v>#NAME?</v>
      </c>
    </row>
    <row r="118" spans="3:21" ht="12.5" x14ac:dyDescent="0.25">
      <c r="C118" s="4">
        <f ca="1">IFERROR(__xludf.DUMMYFUNCTION("""COMPUTED_VALUE"""),40316.9986111111)</f>
        <v>40316.998611111099</v>
      </c>
      <c r="D118" s="2">
        <f ca="1">IFERROR(__xludf.DUMMYFUNCTION("""COMPUTED_VALUE"""),45.56)</f>
        <v>45.56</v>
      </c>
      <c r="E118" s="2">
        <f ca="1">IFERROR(__xludf.DUMMYFUNCTION("""COMPUTED_VALUE"""),56.392)</f>
        <v>56.392000000000003</v>
      </c>
      <c r="F118" s="2">
        <f ca="1">IFERROR(__xludf.DUMMYFUNCTION("""COMPUTED_VALUE"""),65.337)</f>
        <v>65.337000000000003</v>
      </c>
      <c r="G118" s="2">
        <f ca="1">IFERROR(__xludf.DUMMYFUNCTION("""COMPUTED_VALUE"""),0.51014)</f>
        <v>0.51014000000000004</v>
      </c>
      <c r="H118" s="2">
        <f ca="1">IFERROR(__xludf.DUMMYFUNCTION("""COMPUTED_VALUE"""),39.649)</f>
        <v>39.649000000000001</v>
      </c>
      <c r="I118" s="2">
        <f ca="1">IFERROR(__xludf.DUMMYFUNCTION("""COMPUTED_VALUE"""),45.13)</f>
        <v>45.13</v>
      </c>
      <c r="J118" s="2">
        <f ca="1">IFERROR(__xludf.DUMMYFUNCTION("""COMPUTED_VALUE"""),33.306)</f>
        <v>33.305999999999997</v>
      </c>
      <c r="K118" s="2">
        <f ca="1">IFERROR(__xludf.DUMMYFUNCTION("""COMPUTED_VALUE"""),41.094)</f>
        <v>41.094000000000001</v>
      </c>
      <c r="L118" s="2">
        <f ca="1">IFERROR(__xludf.DUMMYFUNCTION("""COMPUTED_VALUE"""),10.38)</f>
        <v>10.38</v>
      </c>
      <c r="M118" s="2">
        <f ca="1">IFERROR(__xludf.DUMMYFUNCTION("""COMPUTED_VALUE"""),12.728)</f>
        <v>12.728</v>
      </c>
      <c r="U118" s="3" t="e">
        <f ca="1"/>
        <v>#NAME?</v>
      </c>
    </row>
    <row r="119" spans="3:21" ht="12.5" x14ac:dyDescent="0.25">
      <c r="C119" s="4">
        <f ca="1">IFERROR(__xludf.DUMMYFUNCTION("""COMPUTED_VALUE"""),40317.9986111111)</f>
        <v>40317.998611111099</v>
      </c>
      <c r="D119" s="2">
        <f ca="1">IFERROR(__xludf.DUMMYFUNCTION("""COMPUTED_VALUE"""),46.273)</f>
        <v>46.273000000000003</v>
      </c>
      <c r="E119" s="2">
        <f ca="1">IFERROR(__xludf.DUMMYFUNCTION("""COMPUTED_VALUE"""),56.896)</f>
        <v>56.896000000000001</v>
      </c>
      <c r="F119" s="2">
        <f ca="1">IFERROR(__xludf.DUMMYFUNCTION("""COMPUTED_VALUE"""),66.871)</f>
        <v>66.870999999999995</v>
      </c>
      <c r="G119" s="2">
        <f ca="1">IFERROR(__xludf.DUMMYFUNCTION("""COMPUTED_VALUE"""),0.50553)</f>
        <v>0.50553000000000003</v>
      </c>
      <c r="H119" s="2">
        <f ca="1">IFERROR(__xludf.DUMMYFUNCTION("""COMPUTED_VALUE"""),39.99)</f>
        <v>39.99</v>
      </c>
      <c r="I119" s="2">
        <f ca="1">IFERROR(__xludf.DUMMYFUNCTION("""COMPUTED_VALUE"""),45.09)</f>
        <v>45.09</v>
      </c>
      <c r="J119" s="2">
        <f ca="1">IFERROR(__xludf.DUMMYFUNCTION("""COMPUTED_VALUE"""),33.271)</f>
        <v>33.271000000000001</v>
      </c>
      <c r="K119" s="2">
        <f ca="1">IFERROR(__xludf.DUMMYFUNCTION("""COMPUTED_VALUE"""),41.006)</f>
        <v>41.006</v>
      </c>
      <c r="L119" s="2">
        <f ca="1">IFERROR(__xludf.DUMMYFUNCTION("""COMPUTED_VALUE"""),10.406)</f>
        <v>10.406000000000001</v>
      </c>
      <c r="M119" s="2">
        <f ca="1">IFERROR(__xludf.DUMMYFUNCTION("""COMPUTED_VALUE"""),12.633)</f>
        <v>12.632999999999999</v>
      </c>
      <c r="U119" s="3" t="e">
        <f ca="1"/>
        <v>#NAME?</v>
      </c>
    </row>
    <row r="120" spans="3:21" ht="12.5" x14ac:dyDescent="0.25">
      <c r="C120" s="4">
        <f ca="1">IFERROR(__xludf.DUMMYFUNCTION("""COMPUTED_VALUE"""),40318.9986111111)</f>
        <v>40318.998611111099</v>
      </c>
      <c r="D120" s="2">
        <f ca="1">IFERROR(__xludf.DUMMYFUNCTION("""COMPUTED_VALUE"""),46.74)</f>
        <v>46.74</v>
      </c>
      <c r="E120" s="2">
        <f ca="1">IFERROR(__xludf.DUMMYFUNCTION("""COMPUTED_VALUE"""),57.226)</f>
        <v>57.225999999999999</v>
      </c>
      <c r="F120" s="2">
        <f ca="1">IFERROR(__xludf.DUMMYFUNCTION("""COMPUTED_VALUE"""),67.458)</f>
        <v>67.457999999999998</v>
      </c>
      <c r="G120" s="2">
        <f ca="1">IFERROR(__xludf.DUMMYFUNCTION("""COMPUTED_VALUE"""),0.50758)</f>
        <v>0.50758000000000003</v>
      </c>
      <c r="H120" s="2">
        <f ca="1">IFERROR(__xludf.DUMMYFUNCTION("""COMPUTED_VALUE"""),40.102)</f>
        <v>40.101999999999997</v>
      </c>
      <c r="I120" s="2">
        <f ca="1">IFERROR(__xludf.DUMMYFUNCTION("""COMPUTED_VALUE"""),45.204)</f>
        <v>45.204000000000001</v>
      </c>
      <c r="J120" s="2">
        <f ca="1">IFERROR(__xludf.DUMMYFUNCTION("""COMPUTED_VALUE"""),33.354)</f>
        <v>33.353999999999999</v>
      </c>
      <c r="K120" s="2">
        <f ca="1">IFERROR(__xludf.DUMMYFUNCTION("""COMPUTED_VALUE"""),40.82)</f>
        <v>40.82</v>
      </c>
      <c r="L120" s="2">
        <f ca="1">IFERROR(__xludf.DUMMYFUNCTION("""COMPUTED_VALUE"""),10.448)</f>
        <v>10.448</v>
      </c>
      <c r="M120" s="2">
        <f ca="1">IFERROR(__xludf.DUMMYFUNCTION("""COMPUTED_VALUE"""),12.634)</f>
        <v>12.634</v>
      </c>
      <c r="U120" s="3" t="e">
        <f ca="1"/>
        <v>#NAME?</v>
      </c>
    </row>
    <row r="121" spans="3:21" ht="12.5" x14ac:dyDescent="0.25">
      <c r="C121" s="4">
        <f ca="1">IFERROR(__xludf.DUMMYFUNCTION("""COMPUTED_VALUE"""),40319.9986111111)</f>
        <v>40319.998611111099</v>
      </c>
      <c r="D121" s="2">
        <f ca="1">IFERROR(__xludf.DUMMYFUNCTION("""COMPUTED_VALUE"""),46.918)</f>
        <v>46.917999999999999</v>
      </c>
      <c r="E121" s="2">
        <f ca="1">IFERROR(__xludf.DUMMYFUNCTION("""COMPUTED_VALUE"""),57.121)</f>
        <v>57.121000000000002</v>
      </c>
      <c r="F121" s="2">
        <f ca="1">IFERROR(__xludf.DUMMYFUNCTION("""COMPUTED_VALUE"""),67.853)</f>
        <v>67.852999999999994</v>
      </c>
      <c r="G121" s="2">
        <f ca="1">IFERROR(__xludf.DUMMYFUNCTION("""COMPUTED_VALUE"""),0.50757)</f>
        <v>0.50756999999999997</v>
      </c>
      <c r="H121" s="2">
        <f ca="1">IFERROR(__xludf.DUMMYFUNCTION("""COMPUTED_VALUE"""),40.074)</f>
        <v>40.073999999999998</v>
      </c>
      <c r="I121" s="2">
        <f ca="1">IFERROR(__xludf.DUMMYFUNCTION("""COMPUTED_VALUE"""),45.288)</f>
        <v>45.287999999999997</v>
      </c>
      <c r="J121" s="2">
        <f ca="1">IFERROR(__xludf.DUMMYFUNCTION("""COMPUTED_VALUE"""),33.308)</f>
        <v>33.308</v>
      </c>
      <c r="K121" s="2">
        <f ca="1">IFERROR(__xludf.DUMMYFUNCTION("""COMPUTED_VALUE"""),41.027)</f>
        <v>41.027000000000001</v>
      </c>
      <c r="L121" s="2">
        <f ca="1">IFERROR(__xludf.DUMMYFUNCTION("""COMPUTED_VALUE"""),10.385)</f>
        <v>10.385</v>
      </c>
      <c r="M121" s="2">
        <f ca="1">IFERROR(__xludf.DUMMYFUNCTION("""COMPUTED_VALUE"""),12.636)</f>
        <v>12.635999999999999</v>
      </c>
      <c r="U121" s="3" t="e">
        <f ca="1"/>
        <v>#NAME?</v>
      </c>
    </row>
    <row r="122" spans="3:21" ht="12.5" x14ac:dyDescent="0.25">
      <c r="C122" s="4">
        <f ca="1">IFERROR(__xludf.DUMMYFUNCTION("""COMPUTED_VALUE"""),40321.9986111111)</f>
        <v>40321.998611111099</v>
      </c>
      <c r="D122" s="2">
        <f ca="1">IFERROR(__xludf.DUMMYFUNCTION("""COMPUTED_VALUE"""),46.918)</f>
        <v>46.917999999999999</v>
      </c>
      <c r="E122" s="2">
        <f ca="1">IFERROR(__xludf.DUMMYFUNCTION("""COMPUTED_VALUE"""),57)</f>
        <v>57</v>
      </c>
      <c r="F122" s="2">
        <f ca="1">IFERROR(__xludf.DUMMYFUNCTION("""COMPUTED_VALUE"""),67.928)</f>
        <v>67.927999999999997</v>
      </c>
      <c r="G122" s="2">
        <f ca="1">IFERROR(__xludf.DUMMYFUNCTION("""COMPUTED_VALUE"""),0.5076)</f>
        <v>0.50760000000000005</v>
      </c>
      <c r="H122" s="2">
        <f ca="1">IFERROR(__xludf.DUMMYFUNCTION("""COMPUTED_VALUE"""),39.855)</f>
        <v>39.854999999999997</v>
      </c>
      <c r="I122" s="2">
        <f ca="1">IFERROR(__xludf.DUMMYFUNCTION("""COMPUTED_VALUE"""),44.769)</f>
        <v>44.768999999999998</v>
      </c>
      <c r="J122" s="2">
        <f ca="1">IFERROR(__xludf.DUMMYFUNCTION("""COMPUTED_VALUE"""),33.045)</f>
        <v>33.045000000000002</v>
      </c>
      <c r="K122" s="2">
        <f ca="1">IFERROR(__xludf.DUMMYFUNCTION("""COMPUTED_VALUE"""),41.097)</f>
        <v>41.097000000000001</v>
      </c>
      <c r="L122" s="2">
        <f ca="1">IFERROR(__xludf.DUMMYFUNCTION("""COMPUTED_VALUE"""),10.375)</f>
        <v>10.375</v>
      </c>
      <c r="M122" s="2">
        <f ca="1">IFERROR(__xludf.DUMMYFUNCTION("""COMPUTED_VALUE"""),12.549)</f>
        <v>12.548999999999999</v>
      </c>
      <c r="U122" s="3" t="e">
        <f ca="1"/>
        <v>#NAME?</v>
      </c>
    </row>
    <row r="123" spans="3:21" ht="12.5" x14ac:dyDescent="0.25">
      <c r="C123" s="4">
        <f ca="1">IFERROR(__xludf.DUMMYFUNCTION("""COMPUTED_VALUE"""),40322.9986111111)</f>
        <v>40322.998611111099</v>
      </c>
      <c r="D123" s="2">
        <f ca="1">IFERROR(__xludf.DUMMYFUNCTION("""COMPUTED_VALUE"""),46.81)</f>
        <v>46.81</v>
      </c>
      <c r="E123" s="2">
        <f ca="1">IFERROR(__xludf.DUMMYFUNCTION("""COMPUTED_VALUE"""),56.872)</f>
        <v>56.872</v>
      </c>
      <c r="F123" s="2">
        <f ca="1">IFERROR(__xludf.DUMMYFUNCTION("""COMPUTED_VALUE"""),67.561)</f>
        <v>67.561000000000007</v>
      </c>
      <c r="G123" s="2">
        <f ca="1">IFERROR(__xludf.DUMMYFUNCTION("""COMPUTED_VALUE"""),0.50741)</f>
        <v>0.50741000000000003</v>
      </c>
      <c r="H123" s="2">
        <f ca="1">IFERROR(__xludf.DUMMYFUNCTION("""COMPUTED_VALUE"""),39.993)</f>
        <v>39.993000000000002</v>
      </c>
      <c r="I123" s="2">
        <f ca="1">IFERROR(__xludf.DUMMYFUNCTION("""COMPUTED_VALUE"""),44.887)</f>
        <v>44.887</v>
      </c>
      <c r="J123" s="2">
        <f ca="1">IFERROR(__xludf.DUMMYFUNCTION("""COMPUTED_VALUE"""),33.232)</f>
        <v>33.231999999999999</v>
      </c>
      <c r="K123" s="2">
        <f ca="1">IFERROR(__xludf.DUMMYFUNCTION("""COMPUTED_VALUE"""),41.056)</f>
        <v>41.055999999999997</v>
      </c>
      <c r="L123" s="2">
        <f ca="1">IFERROR(__xludf.DUMMYFUNCTION("""COMPUTED_VALUE"""),10.391)</f>
        <v>10.391</v>
      </c>
      <c r="M123" s="2">
        <f ca="1">IFERROR(__xludf.DUMMYFUNCTION("""COMPUTED_VALUE"""),12.527)</f>
        <v>12.526999999999999</v>
      </c>
      <c r="U123" s="3" t="e">
        <f ca="1"/>
        <v>#NAME?</v>
      </c>
    </row>
    <row r="124" spans="3:21" ht="12.5" x14ac:dyDescent="0.25">
      <c r="C124" s="4">
        <f ca="1">IFERROR(__xludf.DUMMYFUNCTION("""COMPUTED_VALUE"""),40323.9986111111)</f>
        <v>40323.998611111099</v>
      </c>
      <c r="D124" s="2">
        <f ca="1">IFERROR(__xludf.DUMMYFUNCTION("""COMPUTED_VALUE"""),47.48)</f>
        <v>47.48</v>
      </c>
      <c r="E124" s="2">
        <f ca="1">IFERROR(__xludf.DUMMYFUNCTION("""COMPUTED_VALUE"""),56.233)</f>
        <v>56.232999999999997</v>
      </c>
      <c r="F124" s="2">
        <f ca="1">IFERROR(__xludf.DUMMYFUNCTION("""COMPUTED_VALUE"""),68.31)</f>
        <v>68.31</v>
      </c>
      <c r="G124" s="2">
        <f ca="1">IFERROR(__xludf.DUMMYFUNCTION("""COMPUTED_VALUE"""),0.50167)</f>
        <v>0.50166999999999995</v>
      </c>
      <c r="H124" s="2">
        <f ca="1">IFERROR(__xludf.DUMMYFUNCTION("""COMPUTED_VALUE"""),40.016)</f>
        <v>40.015999999999998</v>
      </c>
      <c r="I124" s="2">
        <f ca="1">IFERROR(__xludf.DUMMYFUNCTION("""COMPUTED_VALUE"""),44.576)</f>
        <v>44.576000000000001</v>
      </c>
      <c r="J124" s="2">
        <f ca="1">IFERROR(__xludf.DUMMYFUNCTION("""COMPUTED_VALUE"""),33.135)</f>
        <v>33.134999999999998</v>
      </c>
      <c r="K124" s="2">
        <f ca="1">IFERROR(__xludf.DUMMYFUNCTION("""COMPUTED_VALUE"""),40.965)</f>
        <v>40.965000000000003</v>
      </c>
      <c r="L124" s="2">
        <f ca="1">IFERROR(__xludf.DUMMYFUNCTION("""COMPUTED_VALUE"""),10.431)</f>
        <v>10.430999999999999</v>
      </c>
      <c r="M124" s="2">
        <f ca="1">IFERROR(__xludf.DUMMYFUNCTION("""COMPUTED_VALUE"""),12.432)</f>
        <v>12.432</v>
      </c>
      <c r="U124" s="3" t="e">
        <f ca="1"/>
        <v>#NAME?</v>
      </c>
    </row>
    <row r="125" spans="3:21" ht="12.5" x14ac:dyDescent="0.25">
      <c r="C125" s="4">
        <f ca="1">IFERROR(__xludf.DUMMYFUNCTION("""COMPUTED_VALUE"""),40324.9986111111)</f>
        <v>40324.998611111099</v>
      </c>
      <c r="D125" s="2">
        <f ca="1">IFERROR(__xludf.DUMMYFUNCTION("""COMPUTED_VALUE"""),47.1)</f>
        <v>47.1</v>
      </c>
      <c r="E125" s="2">
        <f ca="1">IFERROR(__xludf.DUMMYFUNCTION("""COMPUTED_VALUE"""),56.495)</f>
        <v>56.494999999999997</v>
      </c>
      <c r="F125" s="2">
        <f ca="1">IFERROR(__xludf.DUMMYFUNCTION("""COMPUTED_VALUE"""),67.833)</f>
        <v>67.832999999999998</v>
      </c>
      <c r="G125" s="2">
        <f ca="1">IFERROR(__xludf.DUMMYFUNCTION("""COMPUTED_VALUE"""),0.50832)</f>
        <v>0.50831999999999999</v>
      </c>
      <c r="H125" s="2">
        <f ca="1">IFERROR(__xludf.DUMMYFUNCTION("""COMPUTED_VALUE"""),40.284)</f>
        <v>40.283999999999999</v>
      </c>
      <c r="I125" s="2">
        <f ca="1">IFERROR(__xludf.DUMMYFUNCTION("""COMPUTED_VALUE"""),44.841)</f>
        <v>44.841000000000001</v>
      </c>
      <c r="J125" s="2">
        <f ca="1">IFERROR(__xludf.DUMMYFUNCTION("""COMPUTED_VALUE"""),33.22)</f>
        <v>33.22</v>
      </c>
      <c r="K125" s="2">
        <f ca="1">IFERROR(__xludf.DUMMYFUNCTION("""COMPUTED_VALUE"""),40.924)</f>
        <v>40.923999999999999</v>
      </c>
      <c r="L125" s="2">
        <f ca="1">IFERROR(__xludf.DUMMYFUNCTION("""COMPUTED_VALUE"""),10.399)</f>
        <v>10.398999999999999</v>
      </c>
      <c r="M125" s="2">
        <f ca="1">IFERROR(__xludf.DUMMYFUNCTION("""COMPUTED_VALUE"""),12.53)</f>
        <v>12.53</v>
      </c>
      <c r="U125" s="3" t="e">
        <f ca="1"/>
        <v>#NAME?</v>
      </c>
    </row>
    <row r="126" spans="3:21" ht="12.5" x14ac:dyDescent="0.25">
      <c r="C126" s="4">
        <f ca="1">IFERROR(__xludf.DUMMYFUNCTION("""COMPUTED_VALUE"""),40325.9986111111)</f>
        <v>40325.998611111099</v>
      </c>
      <c r="D126" s="2">
        <f ca="1">IFERROR(__xludf.DUMMYFUNCTION("""COMPUTED_VALUE"""),46.72)</f>
        <v>46.72</v>
      </c>
      <c r="E126" s="2">
        <f ca="1">IFERROR(__xludf.DUMMYFUNCTION("""COMPUTED_VALUE"""),56.852)</f>
        <v>56.851999999999997</v>
      </c>
      <c r="F126" s="2">
        <f ca="1">IFERROR(__xludf.DUMMYFUNCTION("""COMPUTED_VALUE"""),68.199)</f>
        <v>68.198999999999998</v>
      </c>
      <c r="G126" s="2">
        <f ca="1">IFERROR(__xludf.DUMMYFUNCTION("""COMPUTED_VALUE"""),0.51323)</f>
        <v>0.51322999999999996</v>
      </c>
      <c r="H126" s="2">
        <f ca="1">IFERROR(__xludf.DUMMYFUNCTION("""COMPUTED_VALUE"""),40.357)</f>
        <v>40.356999999999999</v>
      </c>
      <c r="I126" s="2">
        <f ca="1">IFERROR(__xludf.DUMMYFUNCTION("""COMPUTED_VALUE"""),44.398)</f>
        <v>44.398000000000003</v>
      </c>
      <c r="J126" s="2">
        <f ca="1">IFERROR(__xludf.DUMMYFUNCTION("""COMPUTED_VALUE"""),33.228)</f>
        <v>33.228000000000002</v>
      </c>
      <c r="K126" s="2">
        <f ca="1">IFERROR(__xludf.DUMMYFUNCTION("""COMPUTED_VALUE"""),40.473)</f>
        <v>40.472999999999999</v>
      </c>
      <c r="L126" s="2">
        <f ca="1">IFERROR(__xludf.DUMMYFUNCTION("""COMPUTED_VALUE"""),10.407)</f>
        <v>10.407</v>
      </c>
      <c r="M126" s="2">
        <f ca="1">IFERROR(__xludf.DUMMYFUNCTION("""COMPUTED_VALUE"""),12.565)</f>
        <v>12.565</v>
      </c>
      <c r="U126" s="3" t="e">
        <f ca="1"/>
        <v>#NAME?</v>
      </c>
    </row>
    <row r="127" spans="3:21" ht="12.5" x14ac:dyDescent="0.25">
      <c r="C127" s="4">
        <f ca="1">IFERROR(__xludf.DUMMYFUNCTION("""COMPUTED_VALUE"""),40326.9986111111)</f>
        <v>40326.998611111099</v>
      </c>
      <c r="D127" s="2">
        <f ca="1">IFERROR(__xludf.DUMMYFUNCTION("""COMPUTED_VALUE"""),46.3)</f>
        <v>46.3</v>
      </c>
      <c r="E127" s="2">
        <f ca="1">IFERROR(__xludf.DUMMYFUNCTION("""COMPUTED_VALUE"""),57.12)</f>
        <v>57.12</v>
      </c>
      <c r="F127" s="2">
        <f ca="1">IFERROR(__xludf.DUMMYFUNCTION("""COMPUTED_VALUE"""),66.966)</f>
        <v>66.965999999999994</v>
      </c>
      <c r="G127" s="2">
        <f ca="1">IFERROR(__xludf.DUMMYFUNCTION("""COMPUTED_VALUE"""),0.51617)</f>
        <v>0.51617000000000002</v>
      </c>
      <c r="H127" s="2">
        <f ca="1">IFERROR(__xludf.DUMMYFUNCTION("""COMPUTED_VALUE"""),40.233)</f>
        <v>40.232999999999997</v>
      </c>
      <c r="I127" s="2">
        <f ca="1">IFERROR(__xludf.DUMMYFUNCTION("""COMPUTED_VALUE"""),44.497)</f>
        <v>44.497</v>
      </c>
      <c r="J127" s="2">
        <f ca="1">IFERROR(__xludf.DUMMYFUNCTION("""COMPUTED_VALUE"""),33.249)</f>
        <v>33.249000000000002</v>
      </c>
      <c r="K127" s="2">
        <f ca="1">IFERROR(__xludf.DUMMYFUNCTION("""COMPUTED_VALUE"""),40.132)</f>
        <v>40.131999999999998</v>
      </c>
      <c r="L127" s="2">
        <f ca="1">IFERROR(__xludf.DUMMYFUNCTION("""COMPUTED_VALUE"""),10.404)</f>
        <v>10.404</v>
      </c>
      <c r="M127" s="2">
        <f ca="1">IFERROR(__xludf.DUMMYFUNCTION("""COMPUTED_VALUE"""),12.595)</f>
        <v>12.595000000000001</v>
      </c>
      <c r="U127" s="3" t="e">
        <f ca="1"/>
        <v>#NAME?</v>
      </c>
    </row>
    <row r="128" spans="3:21" ht="12.5" x14ac:dyDescent="0.25">
      <c r="C128" s="4">
        <f ca="1">IFERROR(__xludf.DUMMYFUNCTION("""COMPUTED_VALUE"""),40327.9986111111)</f>
        <v>40327.998611111099</v>
      </c>
      <c r="D128" s="2">
        <f ca="1">IFERROR(__xludf.DUMMYFUNCTION("""COMPUTED_VALUE"""),46.328)</f>
        <v>46.328000000000003</v>
      </c>
      <c r="E128" s="2">
        <f ca="1">IFERROR(__xludf.DUMMYFUNCTION("""COMPUTED_VALUE"""),57.13)</f>
        <v>57.13</v>
      </c>
      <c r="F128" s="2">
        <f ca="1">IFERROR(__xludf.DUMMYFUNCTION("""COMPUTED_VALUE"""),66.946)</f>
        <v>66.945999999999998</v>
      </c>
      <c r="G128" s="2">
        <f ca="1">IFERROR(__xludf.DUMMYFUNCTION("""COMPUTED_VALUE"""),0.517)</f>
        <v>0.51700000000000002</v>
      </c>
      <c r="H128" s="2">
        <f ca="1">IFERROR(__xludf.DUMMYFUNCTION("""COMPUTED_VALUE"""),40.332)</f>
        <v>40.332000000000001</v>
      </c>
      <c r="I128" s="2">
        <f ca="1">IFERROR(__xludf.DUMMYFUNCTION("""COMPUTED_VALUE"""),44.529)</f>
        <v>44.529000000000003</v>
      </c>
      <c r="J128" s="2">
        <f ca="1">IFERROR(__xludf.DUMMYFUNCTION("""COMPUTED_VALUE"""),33.264)</f>
        <v>33.264000000000003</v>
      </c>
      <c r="K128" s="2">
        <f ca="1">IFERROR(__xludf.DUMMYFUNCTION("""COMPUTED_VALUE"""),40.853)</f>
        <v>40.853000000000002</v>
      </c>
      <c r="L128" s="2">
        <f ca="1">IFERROR(__xludf.DUMMYFUNCTION("""COMPUTED_VALUE"""),10.395)</f>
        <v>10.395</v>
      </c>
      <c r="M128" s="2">
        <f ca="1">IFERROR(__xludf.DUMMYFUNCTION("""COMPUTED_VALUE"""),12.565)</f>
        <v>12.565</v>
      </c>
      <c r="U128" s="3" t="e">
        <f ca="1"/>
        <v>#NAME?</v>
      </c>
    </row>
    <row r="129" spans="3:21" ht="12.5" x14ac:dyDescent="0.25">
      <c r="C129" s="4">
        <f ca="1">IFERROR(__xludf.DUMMYFUNCTION("""COMPUTED_VALUE"""),40329.9986111111)</f>
        <v>40329.998611111099</v>
      </c>
      <c r="D129" s="2">
        <f ca="1">IFERROR(__xludf.DUMMYFUNCTION("""COMPUTED_VALUE"""),46.358)</f>
        <v>46.357999999999997</v>
      </c>
      <c r="E129" s="2">
        <f ca="1">IFERROR(__xludf.DUMMYFUNCTION("""COMPUTED_VALUE"""),56.653)</f>
        <v>56.652999999999999</v>
      </c>
      <c r="F129" s="2">
        <f ca="1">IFERROR(__xludf.DUMMYFUNCTION("""COMPUTED_VALUE"""),67.36)</f>
        <v>67.36</v>
      </c>
      <c r="G129" s="2">
        <f ca="1">IFERROR(__xludf.DUMMYFUNCTION("""COMPUTED_VALUE"""),0.51554)</f>
        <v>0.51554</v>
      </c>
      <c r="H129" s="2">
        <f ca="1">IFERROR(__xludf.DUMMYFUNCTION("""COMPUTED_VALUE"""),40.253)</f>
        <v>40.253</v>
      </c>
      <c r="I129" s="2">
        <f ca="1">IFERROR(__xludf.DUMMYFUNCTION("""COMPUTED_VALUE"""),44.558)</f>
        <v>44.558</v>
      </c>
      <c r="J129" s="2">
        <f ca="1">IFERROR(__xludf.DUMMYFUNCTION("""COMPUTED_VALUE"""),33.235)</f>
        <v>33.234999999999999</v>
      </c>
      <c r="K129" s="2">
        <f ca="1">IFERROR(__xludf.DUMMYFUNCTION("""COMPUTED_VALUE"""),40.967)</f>
        <v>40.966999999999999</v>
      </c>
      <c r="L129" s="2">
        <f ca="1">IFERROR(__xludf.DUMMYFUNCTION("""COMPUTED_VALUE"""),10.367)</f>
        <v>10.367000000000001</v>
      </c>
      <c r="M129" s="2">
        <f ca="1">IFERROR(__xludf.DUMMYFUNCTION("""COMPUTED_VALUE"""),12.551)</f>
        <v>12.551</v>
      </c>
      <c r="U129" s="3" t="e">
        <f ca="1"/>
        <v>#NAME?</v>
      </c>
    </row>
    <row r="130" spans="3:21" ht="12.5" x14ac:dyDescent="0.25">
      <c r="C130" s="4">
        <f ca="1">IFERROR(__xludf.DUMMYFUNCTION("""COMPUTED_VALUE"""),40330.9986111111)</f>
        <v>40330.998611111099</v>
      </c>
      <c r="D130" s="2">
        <f ca="1">IFERROR(__xludf.DUMMYFUNCTION("""COMPUTED_VALUE"""),47.083)</f>
        <v>47.082999999999998</v>
      </c>
      <c r="E130" s="2">
        <f ca="1">IFERROR(__xludf.DUMMYFUNCTION("""COMPUTED_VALUE"""),56.56)</f>
        <v>56.56</v>
      </c>
      <c r="F130" s="2">
        <f ca="1">IFERROR(__xludf.DUMMYFUNCTION("""COMPUTED_VALUE"""),69.13)</f>
        <v>69.13</v>
      </c>
      <c r="G130" s="2">
        <f ca="1">IFERROR(__xludf.DUMMYFUNCTION("""COMPUTED_VALUE"""),0.52403)</f>
        <v>0.52403</v>
      </c>
      <c r="H130" s="2">
        <f ca="1">IFERROR(__xludf.DUMMYFUNCTION("""COMPUTED_VALUE"""),39.386)</f>
        <v>39.386000000000003</v>
      </c>
      <c r="I130" s="2">
        <f ca="1">IFERROR(__xludf.DUMMYFUNCTION("""COMPUTED_VALUE"""),43.898)</f>
        <v>43.898000000000003</v>
      </c>
      <c r="J130" s="2">
        <f ca="1">IFERROR(__xludf.DUMMYFUNCTION("""COMPUTED_VALUE"""),33.081)</f>
        <v>33.081000000000003</v>
      </c>
      <c r="K130" s="2">
        <f ca="1">IFERROR(__xludf.DUMMYFUNCTION("""COMPUTED_VALUE"""),40.77)</f>
        <v>40.770000000000003</v>
      </c>
      <c r="L130" s="2">
        <f ca="1">IFERROR(__xludf.DUMMYFUNCTION("""COMPUTED_VALUE"""),10.205)</f>
        <v>10.205</v>
      </c>
      <c r="M130" s="2">
        <f ca="1">IFERROR(__xludf.DUMMYFUNCTION("""COMPUTED_VALUE"""),12.635)</f>
        <v>12.635</v>
      </c>
      <c r="U130" s="3" t="e">
        <f ca="1"/>
        <v>#NAME?</v>
      </c>
    </row>
    <row r="131" spans="3:21" ht="12.5" x14ac:dyDescent="0.25">
      <c r="C131" s="4">
        <f ca="1">IFERROR(__xludf.DUMMYFUNCTION("""COMPUTED_VALUE"""),40331.9986111111)</f>
        <v>40331.998611111099</v>
      </c>
      <c r="D131" s="2">
        <f ca="1">IFERROR(__xludf.DUMMYFUNCTION("""COMPUTED_VALUE"""),46.8)</f>
        <v>46.8</v>
      </c>
      <c r="E131" s="2">
        <f ca="1">IFERROR(__xludf.DUMMYFUNCTION("""COMPUTED_VALUE"""),56.87)</f>
        <v>56.87</v>
      </c>
      <c r="F131" s="2">
        <f ca="1">IFERROR(__xludf.DUMMYFUNCTION("""COMPUTED_VALUE"""),68.578)</f>
        <v>68.578000000000003</v>
      </c>
      <c r="G131" s="2">
        <f ca="1">IFERROR(__xludf.DUMMYFUNCTION("""COMPUTED_VALUE"""),0.52368)</f>
        <v>0.52368000000000003</v>
      </c>
      <c r="H131" s="2">
        <f ca="1">IFERROR(__xludf.DUMMYFUNCTION("""COMPUTED_VALUE"""),39.282)</f>
        <v>39.281999999999996</v>
      </c>
      <c r="I131" s="2">
        <f ca="1">IFERROR(__xludf.DUMMYFUNCTION("""COMPUTED_VALUE"""),43.699)</f>
        <v>43.698999999999998</v>
      </c>
      <c r="J131" s="2">
        <f ca="1">IFERROR(__xludf.DUMMYFUNCTION("""COMPUTED_VALUE"""),33.195)</f>
        <v>33.195</v>
      </c>
      <c r="K131" s="2">
        <f ca="1">IFERROR(__xludf.DUMMYFUNCTION("""COMPUTED_VALUE"""),40.77)</f>
        <v>40.770000000000003</v>
      </c>
      <c r="L131" s="2">
        <f ca="1">IFERROR(__xludf.DUMMYFUNCTION("""COMPUTED_VALUE"""),10.373)</f>
        <v>10.372999999999999</v>
      </c>
      <c r="M131" s="2">
        <f ca="1">IFERROR(__xludf.DUMMYFUNCTION("""COMPUTED_VALUE"""),12.633)</f>
        <v>12.632999999999999</v>
      </c>
      <c r="U131" s="3" t="e">
        <f ca="1"/>
        <v>#NAME?</v>
      </c>
    </row>
    <row r="132" spans="3:21" ht="12.5" x14ac:dyDescent="0.25">
      <c r="C132" s="4">
        <f ca="1">IFERROR(__xludf.DUMMYFUNCTION("""COMPUTED_VALUE"""),40332.9986111111)</f>
        <v>40332.998611111099</v>
      </c>
      <c r="D132" s="2">
        <f ca="1">IFERROR(__xludf.DUMMYFUNCTION("""COMPUTED_VALUE"""),46.5)</f>
        <v>46.5</v>
      </c>
      <c r="E132" s="2">
        <f ca="1">IFERROR(__xludf.DUMMYFUNCTION("""COMPUTED_VALUE"""),57.961)</f>
        <v>57.960999999999999</v>
      </c>
      <c r="F132" s="2">
        <f ca="1">IFERROR(__xludf.DUMMYFUNCTION("""COMPUTED_VALUE"""),67.953)</f>
        <v>67.953000000000003</v>
      </c>
      <c r="G132" s="2">
        <f ca="1">IFERROR(__xludf.DUMMYFUNCTION("""COMPUTED_VALUE"""),0.53051)</f>
        <v>0.53051000000000004</v>
      </c>
      <c r="H132" s="2">
        <f ca="1">IFERROR(__xludf.DUMMYFUNCTION("""COMPUTED_VALUE"""),39.071)</f>
        <v>39.070999999999998</v>
      </c>
      <c r="I132" s="2">
        <f ca="1">IFERROR(__xludf.DUMMYFUNCTION("""COMPUTED_VALUE"""),43.802)</f>
        <v>43.802</v>
      </c>
      <c r="J132" s="2">
        <f ca="1">IFERROR(__xludf.DUMMYFUNCTION("""COMPUTED_VALUE"""),33.262)</f>
        <v>33.262</v>
      </c>
      <c r="K132" s="2">
        <f ca="1">IFERROR(__xludf.DUMMYFUNCTION("""COMPUTED_VALUE"""),40.434)</f>
        <v>40.433999999999997</v>
      </c>
      <c r="L132" s="2">
        <f ca="1">IFERROR(__xludf.DUMMYFUNCTION("""COMPUTED_VALUE"""),10.345)</f>
        <v>10.345000000000001</v>
      </c>
      <c r="M132" s="2">
        <f ca="1">IFERROR(__xludf.DUMMYFUNCTION("""COMPUTED_VALUE"""),12.636)</f>
        <v>12.635999999999999</v>
      </c>
      <c r="U132" s="3" t="e">
        <f ca="1"/>
        <v>#NAME?</v>
      </c>
    </row>
    <row r="133" spans="3:21" ht="12.5" x14ac:dyDescent="0.25">
      <c r="C133" s="4">
        <f ca="1">IFERROR(__xludf.DUMMYFUNCTION("""COMPUTED_VALUE"""),40333.9986111111)</f>
        <v>40333.998611111099</v>
      </c>
      <c r="D133" s="2">
        <f ca="1">IFERROR(__xludf.DUMMYFUNCTION("""COMPUTED_VALUE"""),46.86)</f>
        <v>46.86</v>
      </c>
      <c r="E133" s="2">
        <f ca="1">IFERROR(__xludf.DUMMYFUNCTION("""COMPUTED_VALUE"""),58.442)</f>
        <v>58.442</v>
      </c>
      <c r="F133" s="2">
        <f ca="1">IFERROR(__xludf.DUMMYFUNCTION("""COMPUTED_VALUE"""),67.879)</f>
        <v>67.879000000000005</v>
      </c>
      <c r="G133" s="2">
        <f ca="1">IFERROR(__xludf.DUMMYFUNCTION("""COMPUTED_VALUE"""),0.53075)</f>
        <v>0.53075000000000006</v>
      </c>
      <c r="H133" s="2">
        <f ca="1">IFERROR(__xludf.DUMMYFUNCTION("""COMPUTED_VALUE"""),39.237)</f>
        <v>39.237000000000002</v>
      </c>
      <c r="I133" s="2">
        <f ca="1">IFERROR(__xludf.DUMMYFUNCTION("""COMPUTED_VALUE"""),43.782)</f>
        <v>43.781999999999996</v>
      </c>
      <c r="J133" s="2">
        <f ca="1">IFERROR(__xludf.DUMMYFUNCTION("""COMPUTED_VALUE"""),33.421)</f>
        <v>33.420999999999999</v>
      </c>
      <c r="K133" s="2">
        <f ca="1">IFERROR(__xludf.DUMMYFUNCTION("""COMPUTED_VALUE"""),40.555)</f>
        <v>40.555</v>
      </c>
      <c r="L133" s="2">
        <f ca="1">IFERROR(__xludf.DUMMYFUNCTION("""COMPUTED_VALUE"""),10.252)</f>
        <v>10.252000000000001</v>
      </c>
      <c r="M133" s="2">
        <f ca="1">IFERROR(__xludf.DUMMYFUNCTION("""COMPUTED_VALUE"""),12.676)</f>
        <v>12.676</v>
      </c>
      <c r="U133" s="3" t="e">
        <f ca="1"/>
        <v>#NAME?</v>
      </c>
    </row>
    <row r="134" spans="3:21" ht="12.5" x14ac:dyDescent="0.25">
      <c r="C134" s="4">
        <f ca="1">IFERROR(__xludf.DUMMYFUNCTION("""COMPUTED_VALUE"""),40334.9986111111)</f>
        <v>40334.998611111099</v>
      </c>
      <c r="D134" s="2">
        <f ca="1">IFERROR(__xludf.DUMMYFUNCTION("""COMPUTED_VALUE"""),46.868)</f>
        <v>46.868000000000002</v>
      </c>
      <c r="E134" s="2">
        <f ca="1">IFERROR(__xludf.DUMMYFUNCTION("""COMPUTED_VALUE"""),58.481)</f>
        <v>58.481000000000002</v>
      </c>
      <c r="F134" s="2">
        <f ca="1">IFERROR(__xludf.DUMMYFUNCTION("""COMPUTED_VALUE"""),67.919)</f>
        <v>67.918999999999997</v>
      </c>
      <c r="G134" s="2">
        <f ca="1">IFERROR(__xludf.DUMMYFUNCTION("""COMPUTED_VALUE"""),0.53191)</f>
        <v>0.53190999999999999</v>
      </c>
      <c r="H134" s="2">
        <f ca="1">IFERROR(__xludf.DUMMYFUNCTION("""COMPUTED_VALUE"""),39.089)</f>
        <v>39.088999999999999</v>
      </c>
      <c r="I134" s="2">
        <f ca="1">IFERROR(__xludf.DUMMYFUNCTION("""COMPUTED_VALUE"""),43.78)</f>
        <v>43.78</v>
      </c>
      <c r="J134" s="2">
        <f ca="1">IFERROR(__xludf.DUMMYFUNCTION("""COMPUTED_VALUE"""),33.479)</f>
        <v>33.478999999999999</v>
      </c>
      <c r="K134" s="2">
        <f ca="1">IFERROR(__xludf.DUMMYFUNCTION("""COMPUTED_VALUE"""),40.463)</f>
        <v>40.463000000000001</v>
      </c>
      <c r="L134" s="2">
        <f ca="1">IFERROR(__xludf.DUMMYFUNCTION("""COMPUTED_VALUE"""),10.242)</f>
        <v>10.242000000000001</v>
      </c>
      <c r="M134" s="2">
        <f ca="1">IFERROR(__xludf.DUMMYFUNCTION("""COMPUTED_VALUE"""),12.722)</f>
        <v>12.722</v>
      </c>
      <c r="U134" s="3" t="e">
        <f ca="1"/>
        <v>#NAME?</v>
      </c>
    </row>
    <row r="135" spans="3:21" ht="12.5" x14ac:dyDescent="0.25">
      <c r="C135" s="4">
        <f ca="1">IFERROR(__xludf.DUMMYFUNCTION("""COMPUTED_VALUE"""),40335.9986111111)</f>
        <v>40335.998611111099</v>
      </c>
      <c r="D135" s="2">
        <f ca="1">IFERROR(__xludf.DUMMYFUNCTION("""COMPUTED_VALUE"""),46.868)</f>
        <v>46.868000000000002</v>
      </c>
      <c r="E135" s="2">
        <f ca="1">IFERROR(__xludf.DUMMYFUNCTION("""COMPUTED_VALUE"""),58.916)</f>
        <v>58.915999999999997</v>
      </c>
      <c r="F135" s="2">
        <f ca="1">IFERROR(__xludf.DUMMYFUNCTION("""COMPUTED_VALUE"""),67.919)</f>
        <v>67.918999999999997</v>
      </c>
      <c r="G135" s="2">
        <f ca="1">IFERROR(__xludf.DUMMYFUNCTION("""COMPUTED_VALUE"""),0.53306)</f>
        <v>0.53305999999999998</v>
      </c>
      <c r="H135" s="2">
        <f ca="1">IFERROR(__xludf.DUMMYFUNCTION("""COMPUTED_VALUE"""),39.749)</f>
        <v>39.749000000000002</v>
      </c>
      <c r="I135" s="2">
        <f ca="1">IFERROR(__xludf.DUMMYFUNCTION("""COMPUTED_VALUE"""),44.235)</f>
        <v>44.234999999999999</v>
      </c>
      <c r="J135" s="2">
        <f ca="1">IFERROR(__xludf.DUMMYFUNCTION("""COMPUTED_VALUE"""),33.638)</f>
        <v>33.637999999999998</v>
      </c>
      <c r="K135" s="2">
        <f ca="1">IFERROR(__xludf.DUMMYFUNCTION("""COMPUTED_VALUE"""),40.294)</f>
        <v>40.293999999999997</v>
      </c>
      <c r="L135" s="2">
        <f ca="1">IFERROR(__xludf.DUMMYFUNCTION("""COMPUTED_VALUE"""),10.206)</f>
        <v>10.206</v>
      </c>
      <c r="M135" s="2">
        <f ca="1">IFERROR(__xludf.DUMMYFUNCTION("""COMPUTED_VALUE"""),12.688)</f>
        <v>12.688000000000001</v>
      </c>
      <c r="U135" s="3" t="e">
        <f ca="1"/>
        <v>#NAME?</v>
      </c>
    </row>
    <row r="136" spans="3:21" ht="12.5" x14ac:dyDescent="0.25">
      <c r="C136" s="4">
        <f ca="1">IFERROR(__xludf.DUMMYFUNCTION("""COMPUTED_VALUE"""),40336.9986111111)</f>
        <v>40336.998611111099</v>
      </c>
      <c r="D136" s="2">
        <f ca="1">IFERROR(__xludf.DUMMYFUNCTION("""COMPUTED_VALUE"""),46.79)</f>
        <v>46.79</v>
      </c>
      <c r="E136" s="2">
        <f ca="1">IFERROR(__xludf.DUMMYFUNCTION("""COMPUTED_VALUE"""),59.337)</f>
        <v>59.337000000000003</v>
      </c>
      <c r="F136" s="2">
        <f ca="1">IFERROR(__xludf.DUMMYFUNCTION("""COMPUTED_VALUE"""),67.714)</f>
        <v>67.713999999999999</v>
      </c>
      <c r="G136" s="2">
        <f ca="1">IFERROR(__xludf.DUMMYFUNCTION("""COMPUTED_VALUE"""),0.53701)</f>
        <v>0.53700999999999999</v>
      </c>
      <c r="H136" s="2">
        <f ca="1">IFERROR(__xludf.DUMMYFUNCTION("""COMPUTED_VALUE"""),40.57)</f>
        <v>40.57</v>
      </c>
      <c r="I136" s="2">
        <f ca="1">IFERROR(__xludf.DUMMYFUNCTION("""COMPUTED_VALUE"""),44.715)</f>
        <v>44.715000000000003</v>
      </c>
      <c r="J136" s="2">
        <f ca="1">IFERROR(__xludf.DUMMYFUNCTION("""COMPUTED_VALUE"""),33.912)</f>
        <v>33.911999999999999</v>
      </c>
      <c r="K136" s="2">
        <f ca="1">IFERROR(__xludf.DUMMYFUNCTION("""COMPUTED_VALUE"""),39.938)</f>
        <v>39.938000000000002</v>
      </c>
      <c r="L136" s="2">
        <f ca="1">IFERROR(__xludf.DUMMYFUNCTION("""COMPUTED_VALUE"""),10.213)</f>
        <v>10.212999999999999</v>
      </c>
      <c r="M136" s="2">
        <f ca="1">IFERROR(__xludf.DUMMYFUNCTION("""COMPUTED_VALUE"""),12.783)</f>
        <v>12.782999999999999</v>
      </c>
      <c r="U136" s="3" t="e">
        <f ca="1"/>
        <v>#NAME?</v>
      </c>
    </row>
    <row r="137" spans="3:21" ht="12.5" x14ac:dyDescent="0.25">
      <c r="C137" s="4">
        <f ca="1">IFERROR(__xludf.DUMMYFUNCTION("""COMPUTED_VALUE"""),40337.9986111111)</f>
        <v>40337.998611111099</v>
      </c>
      <c r="D137" s="2">
        <f ca="1">IFERROR(__xludf.DUMMYFUNCTION("""COMPUTED_VALUE"""),46.83)</f>
        <v>46.83</v>
      </c>
      <c r="E137" s="2">
        <f ca="1">IFERROR(__xludf.DUMMYFUNCTION("""COMPUTED_VALUE"""),59.131)</f>
        <v>59.131</v>
      </c>
      <c r="F137" s="2">
        <f ca="1">IFERROR(__xludf.DUMMYFUNCTION("""COMPUTED_VALUE"""),67.393)</f>
        <v>67.393000000000001</v>
      </c>
      <c r="G137" s="2">
        <f ca="1">IFERROR(__xludf.DUMMYFUNCTION("""COMPUTED_VALUE"""),0.52731)</f>
        <v>0.52730999999999995</v>
      </c>
      <c r="H137" s="2">
        <f ca="1">IFERROR(__xludf.DUMMYFUNCTION("""COMPUTED_VALUE"""),40.785)</f>
        <v>40.784999999999997</v>
      </c>
      <c r="I137" s="2">
        <f ca="1">IFERROR(__xludf.DUMMYFUNCTION("""COMPUTED_VALUE"""),44.684)</f>
        <v>44.683999999999997</v>
      </c>
      <c r="J137" s="2">
        <f ca="1">IFERROR(__xludf.DUMMYFUNCTION("""COMPUTED_VALUE"""),33.777)</f>
        <v>33.777000000000001</v>
      </c>
      <c r="K137" s="2">
        <f ca="1">IFERROR(__xludf.DUMMYFUNCTION("""COMPUTED_VALUE"""),39.949)</f>
        <v>39.948999999999998</v>
      </c>
      <c r="L137" s="2">
        <f ca="1">IFERROR(__xludf.DUMMYFUNCTION("""COMPUTED_VALUE"""),10.215)</f>
        <v>10.215</v>
      </c>
      <c r="M137" s="2">
        <f ca="1">IFERROR(__xludf.DUMMYFUNCTION("""COMPUTED_VALUE"""),12.701)</f>
        <v>12.701000000000001</v>
      </c>
      <c r="U137" s="3" t="e">
        <f ca="1"/>
        <v>#NAME?</v>
      </c>
    </row>
    <row r="138" spans="3:21" ht="12.5" x14ac:dyDescent="0.25">
      <c r="C138" s="4">
        <f ca="1">IFERROR(__xludf.DUMMYFUNCTION("""COMPUTED_VALUE"""),40338.9986111111)</f>
        <v>40338.998611111099</v>
      </c>
      <c r="D138" s="2">
        <f ca="1">IFERROR(__xludf.DUMMYFUNCTION("""COMPUTED_VALUE"""),46.81)</f>
        <v>46.81</v>
      </c>
      <c r="E138" s="2">
        <f ca="1">IFERROR(__xludf.DUMMYFUNCTION("""COMPUTED_VALUE"""),58.815)</f>
        <v>58.814999999999998</v>
      </c>
      <c r="F138" s="2">
        <f ca="1">IFERROR(__xludf.DUMMYFUNCTION("""COMPUTED_VALUE"""),68.172)</f>
        <v>68.171999999999997</v>
      </c>
      <c r="G138" s="2">
        <f ca="1">IFERROR(__xludf.DUMMYFUNCTION("""COMPUTED_VALUE"""),0.52526)</f>
        <v>0.52525999999999995</v>
      </c>
      <c r="H138" s="2">
        <f ca="1">IFERROR(__xludf.DUMMYFUNCTION("""COMPUTED_VALUE"""),40.741)</f>
        <v>40.741</v>
      </c>
      <c r="I138" s="2">
        <f ca="1">IFERROR(__xludf.DUMMYFUNCTION("""COMPUTED_VALUE"""),45.071)</f>
        <v>45.070999999999998</v>
      </c>
      <c r="J138" s="2">
        <f ca="1">IFERROR(__xludf.DUMMYFUNCTION("""COMPUTED_VALUE"""),33.672)</f>
        <v>33.671999999999997</v>
      </c>
      <c r="K138" s="2">
        <f ca="1">IFERROR(__xludf.DUMMYFUNCTION("""COMPUTED_VALUE"""),40.24)</f>
        <v>40.24</v>
      </c>
      <c r="L138" s="2">
        <f ca="1">IFERROR(__xludf.DUMMYFUNCTION("""COMPUTED_VALUE"""),10.205)</f>
        <v>10.205</v>
      </c>
      <c r="M138" s="2">
        <f ca="1">IFERROR(__xludf.DUMMYFUNCTION("""COMPUTED_VALUE"""),12.666)</f>
        <v>12.666</v>
      </c>
      <c r="U138" s="3" t="e">
        <f ca="1"/>
        <v>#NAME?</v>
      </c>
    </row>
    <row r="139" spans="3:21" ht="12.5" x14ac:dyDescent="0.25">
      <c r="C139" s="4">
        <f ca="1">IFERROR(__xludf.DUMMYFUNCTION("""COMPUTED_VALUE"""),40339.9986111111)</f>
        <v>40339.998611111099</v>
      </c>
      <c r="D139" s="2">
        <f ca="1">IFERROR(__xludf.DUMMYFUNCTION("""COMPUTED_VALUE"""),46.75)</f>
        <v>46.75</v>
      </c>
      <c r="E139" s="2">
        <f ca="1">IFERROR(__xludf.DUMMYFUNCTION("""COMPUTED_VALUE"""),58.761)</f>
        <v>58.761000000000003</v>
      </c>
      <c r="F139" s="2">
        <f ca="1">IFERROR(__xludf.DUMMYFUNCTION("""COMPUTED_VALUE"""),68.535)</f>
        <v>68.534999999999997</v>
      </c>
      <c r="G139" s="2">
        <f ca="1">IFERROR(__xludf.DUMMYFUNCTION("""COMPUTED_VALUE"""),0.52683)</f>
        <v>0.52683000000000002</v>
      </c>
      <c r="H139" s="2">
        <f ca="1">IFERROR(__xludf.DUMMYFUNCTION("""COMPUTED_VALUE"""),40.801)</f>
        <v>40.801000000000002</v>
      </c>
      <c r="I139" s="2">
        <f ca="1">IFERROR(__xludf.DUMMYFUNCTION("""COMPUTED_VALUE"""),44.986)</f>
        <v>44.985999999999997</v>
      </c>
      <c r="J139" s="2">
        <f ca="1">IFERROR(__xludf.DUMMYFUNCTION("""COMPUTED_VALUE"""),33.738)</f>
        <v>33.738</v>
      </c>
      <c r="K139" s="2">
        <f ca="1">IFERROR(__xludf.DUMMYFUNCTION("""COMPUTED_VALUE"""),39.705)</f>
        <v>39.704999999999998</v>
      </c>
      <c r="L139" s="2">
        <f ca="1">IFERROR(__xludf.DUMMYFUNCTION("""COMPUTED_VALUE"""),10.174)</f>
        <v>10.173999999999999</v>
      </c>
      <c r="M139" s="2">
        <f ca="1">IFERROR(__xludf.DUMMYFUNCTION("""COMPUTED_VALUE"""),12.704)</f>
        <v>12.704000000000001</v>
      </c>
      <c r="U139" s="3" t="e">
        <f ca="1"/>
        <v>#NAME?</v>
      </c>
    </row>
    <row r="140" spans="3:21" ht="12.5" x14ac:dyDescent="0.25">
      <c r="C140" s="4">
        <f ca="1">IFERROR(__xludf.DUMMYFUNCTION("""COMPUTED_VALUE"""),40340.9986111111)</f>
        <v>40340.998611111099</v>
      </c>
      <c r="D140" s="2">
        <f ca="1">IFERROR(__xludf.DUMMYFUNCTION("""COMPUTED_VALUE"""),46.75)</f>
        <v>46.75</v>
      </c>
      <c r="E140" s="2">
        <f ca="1">IFERROR(__xludf.DUMMYFUNCTION("""COMPUTED_VALUE"""),59.006)</f>
        <v>59.006</v>
      </c>
      <c r="F140" s="2">
        <f ca="1">IFERROR(__xludf.DUMMYFUNCTION("""COMPUTED_VALUE"""),67.818)</f>
        <v>67.817999999999998</v>
      </c>
      <c r="G140" s="2">
        <f ca="1">IFERROR(__xludf.DUMMYFUNCTION("""COMPUTED_VALUE"""),0.5247)</f>
        <v>0.52470000000000006</v>
      </c>
      <c r="H140" s="2">
        <f ca="1">IFERROR(__xludf.DUMMYFUNCTION("""COMPUTED_VALUE"""),40.848)</f>
        <v>40.847999999999999</v>
      </c>
      <c r="I140" s="2">
        <f ca="1">IFERROR(__xludf.DUMMYFUNCTION("""COMPUTED_VALUE"""),44.906)</f>
        <v>44.905999999999999</v>
      </c>
      <c r="J140" s="2">
        <f ca="1">IFERROR(__xludf.DUMMYFUNCTION("""COMPUTED_VALUE"""),33.728)</f>
        <v>33.728000000000002</v>
      </c>
      <c r="K140" s="2">
        <f ca="1">IFERROR(__xludf.DUMMYFUNCTION("""COMPUTED_VALUE"""),39.822)</f>
        <v>39.822000000000003</v>
      </c>
      <c r="L140" s="2">
        <f ca="1">IFERROR(__xludf.DUMMYFUNCTION("""COMPUTED_VALUE"""),10.174)</f>
        <v>10.173999999999999</v>
      </c>
      <c r="M140" s="2">
        <f ca="1">IFERROR(__xludf.DUMMYFUNCTION("""COMPUTED_VALUE"""),12.636)</f>
        <v>12.635999999999999</v>
      </c>
      <c r="U140" s="3" t="e">
        <f ca="1"/>
        <v>#NAME?</v>
      </c>
    </row>
    <row r="141" spans="3:21" ht="12.5" x14ac:dyDescent="0.25">
      <c r="C141" s="4">
        <f ca="1">IFERROR(__xludf.DUMMYFUNCTION("""COMPUTED_VALUE"""),40342.9986111111)</f>
        <v>40342.998611111099</v>
      </c>
      <c r="D141" s="2">
        <f ca="1">IFERROR(__xludf.DUMMYFUNCTION("""COMPUTED_VALUE"""),46.778)</f>
        <v>46.777999999999999</v>
      </c>
      <c r="E141" s="2">
        <f ca="1">IFERROR(__xludf.DUMMYFUNCTION("""COMPUTED_VALUE"""),59.368)</f>
        <v>59.368000000000002</v>
      </c>
      <c r="F141" s="2">
        <f ca="1">IFERROR(__xludf.DUMMYFUNCTION("""COMPUTED_VALUE"""),68.036)</f>
        <v>68.036000000000001</v>
      </c>
      <c r="G141" s="2">
        <f ca="1">IFERROR(__xludf.DUMMYFUNCTION("""COMPUTED_VALUE"""),0.52845)</f>
        <v>0.52844999999999998</v>
      </c>
      <c r="H141" s="2">
        <f ca="1">IFERROR(__xludf.DUMMYFUNCTION("""COMPUTED_VALUE"""),41.09)</f>
        <v>41.09</v>
      </c>
      <c r="I141" s="2">
        <f ca="1">IFERROR(__xludf.DUMMYFUNCTION("""COMPUTED_VALUE"""),45.064)</f>
        <v>45.064</v>
      </c>
      <c r="J141" s="2">
        <f ca="1">IFERROR(__xludf.DUMMYFUNCTION("""COMPUTED_VALUE"""),33.919)</f>
        <v>33.918999999999997</v>
      </c>
      <c r="K141" s="2">
        <f ca="1">IFERROR(__xludf.DUMMYFUNCTION("""COMPUTED_VALUE"""),40.61)</f>
        <v>40.61</v>
      </c>
      <c r="L141" s="2">
        <f ca="1">IFERROR(__xludf.DUMMYFUNCTION("""COMPUTED_VALUE"""),10.185)</f>
        <v>10.185</v>
      </c>
      <c r="M141" s="2">
        <f ca="1">IFERROR(__xludf.DUMMYFUNCTION("""COMPUTED_VALUE"""),12.687)</f>
        <v>12.686999999999999</v>
      </c>
      <c r="U141" s="3" t="e">
        <f ca="1"/>
        <v>#NAME?</v>
      </c>
    </row>
    <row r="142" spans="3:21" ht="12.5" x14ac:dyDescent="0.25">
      <c r="C142" s="4">
        <f ca="1">IFERROR(__xludf.DUMMYFUNCTION("""COMPUTED_VALUE"""),40343.9986111111)</f>
        <v>40343.998611111099</v>
      </c>
      <c r="D142" s="2">
        <f ca="1">IFERROR(__xludf.DUMMYFUNCTION("""COMPUTED_VALUE"""),46.4)</f>
        <v>46.4</v>
      </c>
      <c r="E142" s="2">
        <f ca="1">IFERROR(__xludf.DUMMYFUNCTION("""COMPUTED_VALUE"""),59.925)</f>
        <v>59.924999999999997</v>
      </c>
      <c r="F142" s="2">
        <f ca="1">IFERROR(__xludf.DUMMYFUNCTION("""COMPUTED_VALUE"""),68.451)</f>
        <v>68.450999999999993</v>
      </c>
      <c r="G142" s="2">
        <f ca="1">IFERROR(__xludf.DUMMYFUNCTION("""COMPUTED_VALUE"""),0.53086)</f>
        <v>0.53086</v>
      </c>
      <c r="H142" s="2">
        <f ca="1">IFERROR(__xludf.DUMMYFUNCTION("""COMPUTED_VALUE"""),40.812)</f>
        <v>40.811999999999998</v>
      </c>
      <c r="I142" s="2">
        <f ca="1">IFERROR(__xludf.DUMMYFUNCTION("""COMPUTED_VALUE"""),44.654)</f>
        <v>44.654000000000003</v>
      </c>
      <c r="J142" s="2">
        <f ca="1">IFERROR(__xludf.DUMMYFUNCTION("""COMPUTED_VALUE"""),33.77)</f>
        <v>33.770000000000003</v>
      </c>
      <c r="K142" s="2">
        <f ca="1">IFERROR(__xludf.DUMMYFUNCTION("""COMPUTED_VALUE"""),40.796)</f>
        <v>40.795999999999999</v>
      </c>
      <c r="L142" s="2">
        <f ca="1">IFERROR(__xludf.DUMMYFUNCTION("""COMPUTED_VALUE"""),10.209)</f>
        <v>10.209</v>
      </c>
      <c r="M142" s="2">
        <f ca="1">IFERROR(__xludf.DUMMYFUNCTION("""COMPUTED_VALUE"""),12.647)</f>
        <v>12.647</v>
      </c>
      <c r="U142" s="3" t="e">
        <f ca="1"/>
        <v>#NAME?</v>
      </c>
    </row>
    <row r="143" spans="3:21" ht="12.5" x14ac:dyDescent="0.25">
      <c r="C143" s="4">
        <f ca="1">IFERROR(__xludf.DUMMYFUNCTION("""COMPUTED_VALUE"""),40344.9986111111)</f>
        <v>40344.998611111099</v>
      </c>
      <c r="D143" s="2">
        <f ca="1">IFERROR(__xludf.DUMMYFUNCTION("""COMPUTED_VALUE"""),46.4)</f>
        <v>46.4</v>
      </c>
      <c r="E143" s="2">
        <f ca="1">IFERROR(__xludf.DUMMYFUNCTION("""COMPUTED_VALUE"""),60.411)</f>
        <v>60.411000000000001</v>
      </c>
      <c r="F143" s="2">
        <f ca="1">IFERROR(__xludf.DUMMYFUNCTION("""COMPUTED_VALUE"""),68.714)</f>
        <v>68.713999999999999</v>
      </c>
      <c r="G143" s="2">
        <f ca="1">IFERROR(__xludf.DUMMYFUNCTION("""COMPUTED_VALUE"""),0.5393)</f>
        <v>0.5393</v>
      </c>
      <c r="H143" s="2">
        <f ca="1">IFERROR(__xludf.DUMMYFUNCTION("""COMPUTED_VALUE"""),40.648)</f>
        <v>40.648000000000003</v>
      </c>
      <c r="I143" s="2">
        <f ca="1">IFERROR(__xludf.DUMMYFUNCTION("""COMPUTED_VALUE"""),44.316)</f>
        <v>44.316000000000003</v>
      </c>
      <c r="J143" s="2">
        <f ca="1">IFERROR(__xludf.DUMMYFUNCTION("""COMPUTED_VALUE"""),33.887)</f>
        <v>33.887</v>
      </c>
      <c r="K143" s="2">
        <f ca="1">IFERROR(__xludf.DUMMYFUNCTION("""COMPUTED_VALUE"""),40.808)</f>
        <v>40.808</v>
      </c>
      <c r="L143" s="2">
        <f ca="1">IFERROR(__xludf.DUMMYFUNCTION("""COMPUTED_VALUE"""),10.23)</f>
        <v>10.23</v>
      </c>
      <c r="M143" s="2">
        <f ca="1">IFERROR(__xludf.DUMMYFUNCTION("""COMPUTED_VALUE"""),12.715)</f>
        <v>12.715</v>
      </c>
      <c r="U143" s="3" t="e">
        <f ca="1"/>
        <v>#NAME?</v>
      </c>
    </row>
    <row r="144" spans="3:21" ht="12.5" x14ac:dyDescent="0.25">
      <c r="C144" s="4">
        <f ca="1">IFERROR(__xludf.DUMMYFUNCTION("""COMPUTED_VALUE"""),40345.9986111111)</f>
        <v>40345.998611111099</v>
      </c>
      <c r="D144" s="2">
        <f ca="1">IFERROR(__xludf.DUMMYFUNCTION("""COMPUTED_VALUE"""),46.41)</f>
        <v>46.41</v>
      </c>
      <c r="E144" s="2">
        <f ca="1">IFERROR(__xludf.DUMMYFUNCTION("""COMPUTED_VALUE"""),59.669)</f>
        <v>59.668999999999997</v>
      </c>
      <c r="F144" s="2">
        <f ca="1">IFERROR(__xludf.DUMMYFUNCTION("""COMPUTED_VALUE"""),68.439)</f>
        <v>68.438999999999993</v>
      </c>
      <c r="G144" s="2">
        <f ca="1">IFERROR(__xludf.DUMMYFUNCTION("""COMPUTED_VALUE"""),0.53151)</f>
        <v>0.53151000000000004</v>
      </c>
      <c r="H144" s="2">
        <f ca="1">IFERROR(__xludf.DUMMYFUNCTION("""COMPUTED_VALUE"""),40.033)</f>
        <v>40.033000000000001</v>
      </c>
      <c r="I144" s="2">
        <f ca="1">IFERROR(__xludf.DUMMYFUNCTION("""COMPUTED_VALUE"""),43.645)</f>
        <v>43.645000000000003</v>
      </c>
      <c r="J144" s="2">
        <f ca="1">IFERROR(__xludf.DUMMYFUNCTION("""COMPUTED_VALUE"""),33.457)</f>
        <v>33.457000000000001</v>
      </c>
      <c r="K144" s="2">
        <f ca="1">IFERROR(__xludf.DUMMYFUNCTION("""COMPUTED_VALUE"""),40.402)</f>
        <v>40.402000000000001</v>
      </c>
      <c r="L144" s="2">
        <f ca="1">IFERROR(__xludf.DUMMYFUNCTION("""COMPUTED_VALUE"""),10.187)</f>
        <v>10.186999999999999</v>
      </c>
      <c r="M144" s="2">
        <f ca="1">IFERROR(__xludf.DUMMYFUNCTION("""COMPUTED_VALUE"""),12.548)</f>
        <v>12.548</v>
      </c>
      <c r="U144" s="3" t="e">
        <f ca="1"/>
        <v>#NAME?</v>
      </c>
    </row>
    <row r="145" spans="3:21" ht="12.5" x14ac:dyDescent="0.25">
      <c r="C145" s="4">
        <f ca="1">IFERROR(__xludf.DUMMYFUNCTION("""COMPUTED_VALUE"""),40346.9986111111)</f>
        <v>40346.998611111099</v>
      </c>
      <c r="D145" s="2">
        <f ca="1">IFERROR(__xludf.DUMMYFUNCTION("""COMPUTED_VALUE"""),46.09)</f>
        <v>46.09</v>
      </c>
      <c r="E145" s="2">
        <f ca="1">IFERROR(__xludf.DUMMYFUNCTION("""COMPUTED_VALUE"""),60.891)</f>
        <v>60.890999999999998</v>
      </c>
      <c r="F145" s="2">
        <f ca="1">IFERROR(__xludf.DUMMYFUNCTION("""COMPUTED_VALUE"""),68.226)</f>
        <v>68.225999999999999</v>
      </c>
      <c r="G145" s="2">
        <f ca="1">IFERROR(__xludf.DUMMYFUNCTION("""COMPUTED_VALUE"""),0.54059)</f>
        <v>0.54059000000000001</v>
      </c>
      <c r="H145" s="2">
        <f ca="1">IFERROR(__xludf.DUMMYFUNCTION("""COMPUTED_VALUE"""),41.714)</f>
        <v>41.713999999999999</v>
      </c>
      <c r="I145" s="2">
        <f ca="1">IFERROR(__xludf.DUMMYFUNCTION("""COMPUTED_VALUE"""),45.245)</f>
        <v>45.244999999999997</v>
      </c>
      <c r="J145" s="2">
        <f ca="1">IFERROR(__xludf.DUMMYFUNCTION("""COMPUTED_VALUE"""),34.396)</f>
        <v>34.396000000000001</v>
      </c>
      <c r="K145" s="2">
        <f ca="1">IFERROR(__xludf.DUMMYFUNCTION("""COMPUTED_VALUE"""),41.008)</f>
        <v>41.008000000000003</v>
      </c>
      <c r="L145" s="2">
        <f ca="1">IFERROR(__xludf.DUMMYFUNCTION("""COMPUTED_VALUE"""),10.187)</f>
        <v>10.186999999999999</v>
      </c>
      <c r="M145" s="2">
        <f ca="1">IFERROR(__xludf.DUMMYFUNCTION("""COMPUTED_VALUE"""),12.864)</f>
        <v>12.864000000000001</v>
      </c>
      <c r="U145" s="3" t="e">
        <f ca="1"/>
        <v>#NAME?</v>
      </c>
    </row>
    <row r="146" spans="3:21" ht="12.5" x14ac:dyDescent="0.25">
      <c r="C146" s="4">
        <f ca="1">IFERROR(__xludf.DUMMYFUNCTION("""COMPUTED_VALUE"""),40347.9986111111)</f>
        <v>40347.998611111099</v>
      </c>
      <c r="D146" s="2">
        <f ca="1">IFERROR(__xludf.DUMMYFUNCTION("""COMPUTED_VALUE"""),46.01)</f>
        <v>46.01</v>
      </c>
      <c r="E146" s="2">
        <f ca="1">IFERROR(__xludf.DUMMYFUNCTION("""COMPUTED_VALUE"""),60.009)</f>
        <v>60.009</v>
      </c>
      <c r="F146" s="2">
        <f ca="1">IFERROR(__xludf.DUMMYFUNCTION("""COMPUTED_VALUE"""),68.053)</f>
        <v>68.052999999999997</v>
      </c>
      <c r="G146" s="2">
        <f ca="1">IFERROR(__xludf.DUMMYFUNCTION("""COMPUTED_VALUE"""),0.54039)</f>
        <v>0.54039000000000004</v>
      </c>
      <c r="H146" s="2">
        <f ca="1">IFERROR(__xludf.DUMMYFUNCTION("""COMPUTED_VALUE"""),41.317)</f>
        <v>41.317</v>
      </c>
      <c r="I146" s="2">
        <f ca="1">IFERROR(__xludf.DUMMYFUNCTION("""COMPUTED_VALUE"""),44.895)</f>
        <v>44.895000000000003</v>
      </c>
      <c r="J146" s="2">
        <f ca="1">IFERROR(__xludf.DUMMYFUNCTION("""COMPUTED_VALUE"""),34.131)</f>
        <v>34.131</v>
      </c>
      <c r="K146" s="2">
        <f ca="1">IFERROR(__xludf.DUMMYFUNCTION("""COMPUTED_VALUE"""),40.598)</f>
        <v>40.597999999999999</v>
      </c>
      <c r="L146" s="2">
        <f ca="1">IFERROR(__xludf.DUMMYFUNCTION("""COMPUTED_VALUE"""),10.178)</f>
        <v>10.178000000000001</v>
      </c>
      <c r="M146" s="2">
        <f ca="1">IFERROR(__xludf.DUMMYFUNCTION("""COMPUTED_VALUE"""),12.821)</f>
        <v>12.821</v>
      </c>
      <c r="U146" s="3" t="e">
        <f ca="1"/>
        <v>#NAME?</v>
      </c>
    </row>
    <row r="147" spans="3:21" ht="12.5" x14ac:dyDescent="0.25">
      <c r="C147" s="4">
        <f ca="1">IFERROR(__xludf.DUMMYFUNCTION("""COMPUTED_VALUE"""),40348.9986111111)</f>
        <v>40348.998611111099</v>
      </c>
      <c r="D147" s="2">
        <f ca="1">IFERROR(__xludf.DUMMYFUNCTION("""COMPUTED_VALUE"""),45.978)</f>
        <v>45.978000000000002</v>
      </c>
      <c r="E147" s="2">
        <f ca="1">IFERROR(__xludf.DUMMYFUNCTION("""COMPUTED_VALUE"""),60.71)</f>
        <v>60.71</v>
      </c>
      <c r="F147" s="2">
        <f ca="1">IFERROR(__xludf.DUMMYFUNCTION("""COMPUTED_VALUE"""),67.99)</f>
        <v>67.989999999999995</v>
      </c>
      <c r="G147" s="2">
        <f ca="1">IFERROR(__xludf.DUMMYFUNCTION("""COMPUTED_VALUE"""),0.54022)</f>
        <v>0.54022000000000003</v>
      </c>
      <c r="H147" s="2">
        <f ca="1">IFERROR(__xludf.DUMMYFUNCTION("""COMPUTED_VALUE"""),42.006)</f>
        <v>42.006</v>
      </c>
      <c r="I147" s="2">
        <f ca="1">IFERROR(__xludf.DUMMYFUNCTION("""COMPUTED_VALUE"""),45.366)</f>
        <v>45.366</v>
      </c>
      <c r="J147" s="2">
        <f ca="1">IFERROR(__xludf.DUMMYFUNCTION("""COMPUTED_VALUE"""),34.268)</f>
        <v>34.268000000000001</v>
      </c>
      <c r="K147" s="2">
        <f ca="1">IFERROR(__xludf.DUMMYFUNCTION("""COMPUTED_VALUE"""),40.652)</f>
        <v>40.652000000000001</v>
      </c>
      <c r="L147" s="2">
        <f ca="1">IFERROR(__xludf.DUMMYFUNCTION("""COMPUTED_VALUE"""),10.188)</f>
        <v>10.188000000000001</v>
      </c>
      <c r="M147" s="2">
        <f ca="1">IFERROR(__xludf.DUMMYFUNCTION("""COMPUTED_VALUE"""),12.807)</f>
        <v>12.807</v>
      </c>
      <c r="U147" s="3" t="e">
        <f ca="1"/>
        <v>#NAME?</v>
      </c>
    </row>
    <row r="148" spans="3:21" ht="12.5" x14ac:dyDescent="0.25">
      <c r="C148" s="4">
        <f ca="1">IFERROR(__xludf.DUMMYFUNCTION("""COMPUTED_VALUE"""),40349.9986111111)</f>
        <v>40349.998611111099</v>
      </c>
      <c r="D148" s="2">
        <f ca="1">IFERROR(__xludf.DUMMYFUNCTION("""COMPUTED_VALUE"""),45.978)</f>
        <v>45.978000000000002</v>
      </c>
      <c r="E148" s="2">
        <f ca="1">IFERROR(__xludf.DUMMYFUNCTION("""COMPUTED_VALUE"""),60.092)</f>
        <v>60.091999999999999</v>
      </c>
      <c r="F148" s="2">
        <f ca="1">IFERROR(__xludf.DUMMYFUNCTION("""COMPUTED_VALUE"""),68.152)</f>
        <v>68.152000000000001</v>
      </c>
      <c r="G148" s="2">
        <f ca="1">IFERROR(__xludf.DUMMYFUNCTION("""COMPUTED_VALUE"""),0.53713)</f>
        <v>0.53713</v>
      </c>
      <c r="H148" s="2">
        <f ca="1">IFERROR(__xludf.DUMMYFUNCTION("""COMPUTED_VALUE"""),41.879)</f>
        <v>41.878999999999998</v>
      </c>
      <c r="I148" s="2">
        <f ca="1">IFERROR(__xludf.DUMMYFUNCTION("""COMPUTED_VALUE"""),45.099)</f>
        <v>45.098999999999997</v>
      </c>
      <c r="J148" s="2">
        <f ca="1">IFERROR(__xludf.DUMMYFUNCTION("""COMPUTED_VALUE"""),34.175)</f>
        <v>34.174999999999997</v>
      </c>
      <c r="K148" s="2">
        <f ca="1">IFERROR(__xludf.DUMMYFUNCTION("""COMPUTED_VALUE"""),40.006)</f>
        <v>40.006</v>
      </c>
      <c r="L148" s="2">
        <f ca="1">IFERROR(__xludf.DUMMYFUNCTION("""COMPUTED_VALUE"""),10.166)</f>
        <v>10.166</v>
      </c>
      <c r="M148" s="2">
        <f ca="1">IFERROR(__xludf.DUMMYFUNCTION("""COMPUTED_VALUE"""),12.766)</f>
        <v>12.766</v>
      </c>
      <c r="U148" s="3" t="e">
        <f ca="1"/>
        <v>#NAME?</v>
      </c>
    </row>
    <row r="149" spans="3:21" ht="12.5" x14ac:dyDescent="0.25">
      <c r="C149" s="4">
        <f ca="1">IFERROR(__xludf.DUMMYFUNCTION("""COMPUTED_VALUE"""),40350.9986111111)</f>
        <v>40350.998611111099</v>
      </c>
      <c r="D149" s="2">
        <f ca="1">IFERROR(__xludf.DUMMYFUNCTION("""COMPUTED_VALUE"""),45.66)</f>
        <v>45.66</v>
      </c>
      <c r="E149" s="2">
        <f ca="1">IFERROR(__xludf.DUMMYFUNCTION("""COMPUTED_VALUE"""),61.007)</f>
        <v>61.006999999999998</v>
      </c>
      <c r="F149" s="2">
        <f ca="1">IFERROR(__xludf.DUMMYFUNCTION("""COMPUTED_VALUE"""),67.358)</f>
        <v>67.358000000000004</v>
      </c>
      <c r="G149" s="2">
        <f ca="1">IFERROR(__xludf.DUMMYFUNCTION("""COMPUTED_VALUE"""),0.53874)</f>
        <v>0.53874</v>
      </c>
      <c r="H149" s="2">
        <f ca="1">IFERROR(__xludf.DUMMYFUNCTION("""COMPUTED_VALUE"""),42.287)</f>
        <v>42.286999999999999</v>
      </c>
      <c r="I149" s="2">
        <f ca="1">IFERROR(__xludf.DUMMYFUNCTION("""COMPUTED_VALUE"""),45.528)</f>
        <v>45.527999999999999</v>
      </c>
      <c r="J149" s="2">
        <f ca="1">IFERROR(__xludf.DUMMYFUNCTION("""COMPUTED_VALUE"""),34.525)</f>
        <v>34.524999999999999</v>
      </c>
      <c r="K149" s="2">
        <f ca="1">IFERROR(__xludf.DUMMYFUNCTION("""COMPUTED_VALUE"""),39.948)</f>
        <v>39.948</v>
      </c>
      <c r="L149" s="2">
        <f ca="1">IFERROR(__xludf.DUMMYFUNCTION("""COMPUTED_VALUE"""),10.14)</f>
        <v>10.14</v>
      </c>
      <c r="M149" s="2">
        <f ca="1">IFERROR(__xludf.DUMMYFUNCTION("""COMPUTED_VALUE"""),12.808)</f>
        <v>12.808</v>
      </c>
      <c r="U149" s="3" t="e">
        <f ca="1"/>
        <v>#NAME?</v>
      </c>
    </row>
    <row r="150" spans="3:21" ht="12.5" x14ac:dyDescent="0.25">
      <c r="C150" s="4">
        <f ca="1">IFERROR(__xludf.DUMMYFUNCTION("""COMPUTED_VALUE"""),40351.9986111111)</f>
        <v>40351.998611111099</v>
      </c>
      <c r="D150" s="2">
        <f ca="1">IFERROR(__xludf.DUMMYFUNCTION("""COMPUTED_VALUE"""),46.02)</f>
        <v>46.02</v>
      </c>
      <c r="E150" s="2">
        <f ca="1">IFERROR(__xludf.DUMMYFUNCTION("""COMPUTED_VALUE"""),60.478)</f>
        <v>60.478000000000002</v>
      </c>
      <c r="F150" s="2">
        <f ca="1">IFERROR(__xludf.DUMMYFUNCTION("""COMPUTED_VALUE"""),68.245)</f>
        <v>68.245000000000005</v>
      </c>
      <c r="G150" s="2">
        <f ca="1">IFERROR(__xludf.DUMMYFUNCTION("""COMPUTED_VALUE"""),0.53032)</f>
        <v>0.53032000000000001</v>
      </c>
      <c r="H150" s="2">
        <f ca="1">IFERROR(__xludf.DUMMYFUNCTION("""COMPUTED_VALUE"""),42)</f>
        <v>42</v>
      </c>
      <c r="I150" s="2">
        <f ca="1">IFERROR(__xludf.DUMMYFUNCTION("""COMPUTED_VALUE"""),44.983)</f>
        <v>44.982999999999997</v>
      </c>
      <c r="J150" s="2">
        <f ca="1">IFERROR(__xludf.DUMMYFUNCTION("""COMPUTED_VALUE"""),34.193)</f>
        <v>34.192999999999998</v>
      </c>
      <c r="K150" s="2">
        <f ca="1">IFERROR(__xludf.DUMMYFUNCTION("""COMPUTED_VALUE"""),40.128)</f>
        <v>40.128</v>
      </c>
      <c r="L150" s="2">
        <f ca="1">IFERROR(__xludf.DUMMYFUNCTION("""COMPUTED_VALUE"""),10.125)</f>
        <v>10.125</v>
      </c>
      <c r="M150" s="2">
        <f ca="1">IFERROR(__xludf.DUMMYFUNCTION("""COMPUTED_VALUE"""),12.701)</f>
        <v>12.701000000000001</v>
      </c>
      <c r="U150" s="3" t="e">
        <f ca="1"/>
        <v>#NAME?</v>
      </c>
    </row>
    <row r="151" spans="3:21" ht="12.5" x14ac:dyDescent="0.25">
      <c r="C151" s="4">
        <f ca="1">IFERROR(__xludf.DUMMYFUNCTION("""COMPUTED_VALUE"""),40352.9986111111)</f>
        <v>40352.998611111099</v>
      </c>
      <c r="D151" s="2">
        <f ca="1">IFERROR(__xludf.DUMMYFUNCTION("""COMPUTED_VALUE"""),46.15)</f>
        <v>46.15</v>
      </c>
      <c r="E151" s="2">
        <f ca="1">IFERROR(__xludf.DUMMYFUNCTION("""COMPUTED_VALUE"""),60.674)</f>
        <v>60.673999999999999</v>
      </c>
      <c r="F151" s="2">
        <f ca="1">IFERROR(__xludf.DUMMYFUNCTION("""COMPUTED_VALUE"""),69.068)</f>
        <v>69.067999999999998</v>
      </c>
      <c r="G151" s="2">
        <f ca="1">IFERROR(__xludf.DUMMYFUNCTION("""COMPUTED_VALUE"""),0.53261)</f>
        <v>0.53261000000000003</v>
      </c>
      <c r="H151" s="2">
        <f ca="1">IFERROR(__xludf.DUMMYFUNCTION("""COMPUTED_VALUE"""),41.689)</f>
        <v>41.689</v>
      </c>
      <c r="I151" s="2">
        <f ca="1">IFERROR(__xludf.DUMMYFUNCTION("""COMPUTED_VALUE"""),45.107)</f>
        <v>45.106999999999999</v>
      </c>
      <c r="J151" s="2">
        <f ca="1">IFERROR(__xludf.DUMMYFUNCTION("""COMPUTED_VALUE"""),34.171)</f>
        <v>34.170999999999999</v>
      </c>
      <c r="K151" s="2">
        <f ca="1">IFERROR(__xludf.DUMMYFUNCTION("""COMPUTED_VALUE"""),40.725)</f>
        <v>40.725000000000001</v>
      </c>
      <c r="L151" s="2">
        <f ca="1">IFERROR(__xludf.DUMMYFUNCTION("""COMPUTED_VALUE"""),10.158)</f>
        <v>10.157999999999999</v>
      </c>
      <c r="M151" s="2">
        <f ca="1">IFERROR(__xludf.DUMMYFUNCTION("""COMPUTED_VALUE"""),12.712)</f>
        <v>12.712</v>
      </c>
      <c r="U151" s="3" t="e">
        <f ca="1"/>
        <v>#NAME?</v>
      </c>
    </row>
    <row r="152" spans="3:21" ht="12.5" x14ac:dyDescent="0.25">
      <c r="C152" s="4">
        <f ca="1">IFERROR(__xludf.DUMMYFUNCTION("""COMPUTED_VALUE"""),40353.9986111111)</f>
        <v>40353.998611111099</v>
      </c>
      <c r="D152" s="2">
        <f ca="1">IFERROR(__xludf.DUMMYFUNCTION("""COMPUTED_VALUE"""),46.26)</f>
        <v>46.26</v>
      </c>
      <c r="E152" s="2">
        <f ca="1">IFERROR(__xludf.DUMMYFUNCTION("""COMPUTED_VALUE"""),60.758)</f>
        <v>60.758000000000003</v>
      </c>
      <c r="F152" s="2">
        <f ca="1">IFERROR(__xludf.DUMMYFUNCTION("""COMPUTED_VALUE"""),69.12)</f>
        <v>69.12</v>
      </c>
      <c r="G152" s="2">
        <f ca="1">IFERROR(__xludf.DUMMYFUNCTION("""COMPUTED_VALUE"""),0.53445)</f>
        <v>0.53444999999999998</v>
      </c>
      <c r="H152" s="2">
        <f ca="1">IFERROR(__xludf.DUMMYFUNCTION("""COMPUTED_VALUE"""),41.894)</f>
        <v>41.893999999999998</v>
      </c>
      <c r="I152" s="2">
        <f ca="1">IFERROR(__xludf.DUMMYFUNCTION("""COMPUTED_VALUE"""),44.873)</f>
        <v>44.872999999999998</v>
      </c>
      <c r="J152" s="2">
        <f ca="1">IFERROR(__xludf.DUMMYFUNCTION("""COMPUTED_VALUE"""),34.091)</f>
        <v>34.091000000000001</v>
      </c>
      <c r="K152" s="2">
        <f ca="1">IFERROR(__xludf.DUMMYFUNCTION("""COMPUTED_VALUE"""),40.539)</f>
        <v>40.539000000000001</v>
      </c>
      <c r="L152" s="2">
        <f ca="1">IFERROR(__xludf.DUMMYFUNCTION("""COMPUTED_VALUE"""),10.168)</f>
        <v>10.167999999999999</v>
      </c>
      <c r="M152" s="2">
        <f ca="1">IFERROR(__xludf.DUMMYFUNCTION("""COMPUTED_VALUE"""),12.649)</f>
        <v>12.648999999999999</v>
      </c>
      <c r="U152" s="3" t="e">
        <f ca="1"/>
        <v>#NAME?</v>
      </c>
    </row>
    <row r="153" spans="3:21" ht="12.5" x14ac:dyDescent="0.25">
      <c r="C153" s="4">
        <f ca="1">IFERROR(__xludf.DUMMYFUNCTION("""COMPUTED_VALUE"""),40354.9986111111)</f>
        <v>40354.998611111099</v>
      </c>
      <c r="D153" s="2">
        <f ca="1">IFERROR(__xludf.DUMMYFUNCTION("""COMPUTED_VALUE"""),46.15)</f>
        <v>46.15</v>
      </c>
      <c r="E153" s="2">
        <f ca="1">IFERROR(__xludf.DUMMYFUNCTION("""COMPUTED_VALUE"""),60.534)</f>
        <v>60.533999999999999</v>
      </c>
      <c r="F153" s="2">
        <f ca="1">IFERROR(__xludf.DUMMYFUNCTION("""COMPUTED_VALUE"""),69.376)</f>
        <v>69.376000000000005</v>
      </c>
      <c r="G153" s="2">
        <f ca="1">IFERROR(__xludf.DUMMYFUNCTION("""COMPUTED_VALUE"""),0.53634)</f>
        <v>0.53634000000000004</v>
      </c>
      <c r="H153" s="2">
        <f ca="1">IFERROR(__xludf.DUMMYFUNCTION("""COMPUTED_VALUE"""),42.01)</f>
        <v>42.01</v>
      </c>
      <c r="I153" s="2">
        <f ca="1">IFERROR(__xludf.DUMMYFUNCTION("""COMPUTED_VALUE"""),45.154)</f>
        <v>45.154000000000003</v>
      </c>
      <c r="J153" s="2">
        <f ca="1">IFERROR(__xludf.DUMMYFUNCTION("""COMPUTED_VALUE"""),34.093)</f>
        <v>34.093000000000004</v>
      </c>
      <c r="K153" s="2">
        <f ca="1">IFERROR(__xludf.DUMMYFUNCTION("""COMPUTED_VALUE"""),40.202)</f>
        <v>40.201999999999998</v>
      </c>
      <c r="L153" s="2">
        <f ca="1">IFERROR(__xludf.DUMMYFUNCTION("""COMPUTED_VALUE"""),10.17)</f>
        <v>10.17</v>
      </c>
      <c r="M153" s="2">
        <f ca="1">IFERROR(__xludf.DUMMYFUNCTION("""COMPUTED_VALUE"""),12.622)</f>
        <v>12.622</v>
      </c>
      <c r="U153" s="3" t="e">
        <f ca="1"/>
        <v>#NAME?</v>
      </c>
    </row>
    <row r="154" spans="3:21" ht="12.5" x14ac:dyDescent="0.25">
      <c r="C154" s="4">
        <f ca="1">IFERROR(__xludf.DUMMYFUNCTION("""COMPUTED_VALUE"""),40356.9986111111)</f>
        <v>40356.998611111099</v>
      </c>
      <c r="D154" s="2">
        <f ca="1">IFERROR(__xludf.DUMMYFUNCTION("""COMPUTED_VALUE"""),46.358)</f>
        <v>46.357999999999997</v>
      </c>
      <c r="E154" s="2">
        <f ca="1">IFERROR(__xludf.DUMMYFUNCTION("""COMPUTED_VALUE"""),60.639)</f>
        <v>60.639000000000003</v>
      </c>
      <c r="F154" s="2">
        <f ca="1">IFERROR(__xludf.DUMMYFUNCTION("""COMPUTED_VALUE"""),69.843)</f>
        <v>69.843000000000004</v>
      </c>
      <c r="G154" s="2">
        <f ca="1">IFERROR(__xludf.DUMMYFUNCTION("""COMPUTED_VALUE"""),0.53269)</f>
        <v>0.53269</v>
      </c>
      <c r="H154" s="2">
        <f ca="1">IFERROR(__xludf.DUMMYFUNCTION("""COMPUTED_VALUE"""),42.049)</f>
        <v>42.048999999999999</v>
      </c>
      <c r="I154" s="2">
        <f ca="1">IFERROR(__xludf.DUMMYFUNCTION("""COMPUTED_VALUE"""),45.013)</f>
        <v>45.012999999999998</v>
      </c>
      <c r="J154" s="2">
        <f ca="1">IFERROR(__xludf.DUMMYFUNCTION("""COMPUTED_VALUE"""),34.082)</f>
        <v>34.082000000000001</v>
      </c>
      <c r="K154" s="2">
        <f ca="1">IFERROR(__xludf.DUMMYFUNCTION("""COMPUTED_VALUE"""),40.361)</f>
        <v>40.360999999999997</v>
      </c>
      <c r="L154" s="2">
        <f ca="1">IFERROR(__xludf.DUMMYFUNCTION("""COMPUTED_VALUE"""),10.204)</f>
        <v>10.204000000000001</v>
      </c>
      <c r="M154" s="2">
        <f ca="1">IFERROR(__xludf.DUMMYFUNCTION("""COMPUTED_VALUE"""),12.548)</f>
        <v>12.548</v>
      </c>
      <c r="U154" s="3" t="e">
        <f ca="1"/>
        <v>#NAME?</v>
      </c>
    </row>
    <row r="155" spans="3:21" ht="12.5" x14ac:dyDescent="0.25">
      <c r="C155" s="4">
        <f ca="1">IFERROR(__xludf.DUMMYFUNCTION("""COMPUTED_VALUE"""),40357.9986111111)</f>
        <v>40357.998611111099</v>
      </c>
      <c r="D155" s="2">
        <f ca="1">IFERROR(__xludf.DUMMYFUNCTION("""COMPUTED_VALUE"""),46.1)</f>
        <v>46.1</v>
      </c>
      <c r="E155" s="2">
        <f ca="1">IFERROR(__xludf.DUMMYFUNCTION("""COMPUTED_VALUE"""),61.045)</f>
        <v>61.045000000000002</v>
      </c>
      <c r="F155" s="2">
        <f ca="1">IFERROR(__xludf.DUMMYFUNCTION("""COMPUTED_VALUE"""),69.653)</f>
        <v>69.653000000000006</v>
      </c>
      <c r="G155" s="2">
        <f ca="1">IFERROR(__xludf.DUMMYFUNCTION("""COMPUTED_VALUE"""),0.53709)</f>
        <v>0.53708999999999996</v>
      </c>
      <c r="H155" s="2">
        <f ca="1">IFERROR(__xludf.DUMMYFUNCTION("""COMPUTED_VALUE"""),42.178)</f>
        <v>42.177999999999997</v>
      </c>
      <c r="I155" s="2">
        <f ca="1">IFERROR(__xludf.DUMMYFUNCTION("""COMPUTED_VALUE"""),45.135)</f>
        <v>45.134999999999998</v>
      </c>
      <c r="J155" s="2">
        <f ca="1">IFERROR(__xludf.DUMMYFUNCTION("""COMPUTED_VALUE"""),34.185)</f>
        <v>34.185000000000002</v>
      </c>
      <c r="K155" s="2">
        <f ca="1">IFERROR(__xludf.DUMMYFUNCTION("""COMPUTED_VALUE"""),40.423)</f>
        <v>40.423000000000002</v>
      </c>
      <c r="L155" s="2">
        <f ca="1">IFERROR(__xludf.DUMMYFUNCTION("""COMPUTED_VALUE"""),10.289)</f>
        <v>10.289</v>
      </c>
      <c r="M155" s="2">
        <f ca="1">IFERROR(__xludf.DUMMYFUNCTION("""COMPUTED_VALUE"""),12.551)</f>
        <v>12.551</v>
      </c>
      <c r="U155" s="3" t="e">
        <f ca="1"/>
        <v>#NAME?</v>
      </c>
    </row>
    <row r="156" spans="3:21" ht="12.5" x14ac:dyDescent="0.25">
      <c r="C156" s="4">
        <f ca="1">IFERROR(__xludf.DUMMYFUNCTION("""COMPUTED_VALUE"""),40358.9986111111)</f>
        <v>40358.998611111099</v>
      </c>
      <c r="D156" s="2">
        <f ca="1">IFERROR(__xludf.DUMMYFUNCTION("""COMPUTED_VALUE"""),46.41)</f>
        <v>46.41</v>
      </c>
      <c r="E156" s="2">
        <f ca="1">IFERROR(__xludf.DUMMYFUNCTION("""COMPUTED_VALUE"""),60.575)</f>
        <v>60.575000000000003</v>
      </c>
      <c r="F156" s="2">
        <f ca="1">IFERROR(__xludf.DUMMYFUNCTION("""COMPUTED_VALUE"""),69.924)</f>
        <v>69.924000000000007</v>
      </c>
      <c r="G156" s="2">
        <f ca="1">IFERROR(__xludf.DUMMYFUNCTION("""COMPUTED_VALUE"""),0.53315)</f>
        <v>0.53315000000000001</v>
      </c>
      <c r="H156" s="2">
        <f ca="1">IFERROR(__xludf.DUMMYFUNCTION("""COMPUTED_VALUE"""),42.221)</f>
        <v>42.220999999999997</v>
      </c>
      <c r="I156" s="2">
        <f ca="1">IFERROR(__xludf.DUMMYFUNCTION("""COMPUTED_VALUE"""),45.209)</f>
        <v>45.209000000000003</v>
      </c>
      <c r="J156" s="2">
        <f ca="1">IFERROR(__xludf.DUMMYFUNCTION("""COMPUTED_VALUE"""),34.02)</f>
        <v>34.020000000000003</v>
      </c>
      <c r="K156" s="2">
        <f ca="1">IFERROR(__xludf.DUMMYFUNCTION("""COMPUTED_VALUE"""),40.296)</f>
        <v>40.295999999999999</v>
      </c>
      <c r="L156" s="2">
        <f ca="1">IFERROR(__xludf.DUMMYFUNCTION("""COMPUTED_VALUE"""),10.279)</f>
        <v>10.279</v>
      </c>
      <c r="M156" s="2">
        <f ca="1">IFERROR(__xludf.DUMMYFUNCTION("""COMPUTED_VALUE"""),12.524)</f>
        <v>12.523999999999999</v>
      </c>
      <c r="U156" s="3" t="e">
        <f ca="1"/>
        <v>#NAME?</v>
      </c>
    </row>
    <row r="157" spans="3:21" ht="12.5" x14ac:dyDescent="0.25">
      <c r="C157" s="4">
        <f ca="1">IFERROR(__xludf.DUMMYFUNCTION("""COMPUTED_VALUE"""),40359.9986111111)</f>
        <v>40359.998611111099</v>
      </c>
      <c r="D157" s="2">
        <f ca="1">IFERROR(__xludf.DUMMYFUNCTION("""COMPUTED_VALUE"""),46.4)</f>
        <v>46.4</v>
      </c>
      <c r="E157" s="2">
        <f ca="1">IFERROR(__xludf.DUMMYFUNCTION("""COMPUTED_VALUE"""),60.72)</f>
        <v>60.72</v>
      </c>
      <c r="F157" s="2">
        <f ca="1">IFERROR(__xludf.DUMMYFUNCTION("""COMPUTED_VALUE"""),69.396)</f>
        <v>69.396000000000001</v>
      </c>
      <c r="G157" s="2">
        <f ca="1">IFERROR(__xludf.DUMMYFUNCTION("""COMPUTED_VALUE"""),0.53688)</f>
        <v>0.53688000000000002</v>
      </c>
      <c r="H157" s="2">
        <f ca="1">IFERROR(__xludf.DUMMYFUNCTION("""COMPUTED_VALUE"""),42.17)</f>
        <v>42.17</v>
      </c>
      <c r="I157" s="2">
        <f ca="1">IFERROR(__xludf.DUMMYFUNCTION("""COMPUTED_VALUE"""),45.29)</f>
        <v>45.29</v>
      </c>
      <c r="J157" s="2">
        <f ca="1">IFERROR(__xludf.DUMMYFUNCTION("""COMPUTED_VALUE"""),34.016)</f>
        <v>34.015999999999998</v>
      </c>
      <c r="K157" s="2">
        <f ca="1">IFERROR(__xludf.DUMMYFUNCTION("""COMPUTED_VALUE"""),40.286)</f>
        <v>40.286000000000001</v>
      </c>
      <c r="L157" s="2">
        <f ca="1">IFERROR(__xludf.DUMMYFUNCTION("""COMPUTED_VALUE"""),10.295)</f>
        <v>10.295</v>
      </c>
      <c r="M157" s="2">
        <f ca="1">IFERROR(__xludf.DUMMYFUNCTION("""COMPUTED_VALUE"""),12.524)</f>
        <v>12.523999999999999</v>
      </c>
      <c r="U157" s="3" t="e">
        <f ca="1"/>
        <v>#NAME?</v>
      </c>
    </row>
    <row r="158" spans="3:21" ht="12.5" x14ac:dyDescent="0.25">
      <c r="C158" s="4">
        <f ca="1">IFERROR(__xludf.DUMMYFUNCTION("""COMPUTED_VALUE"""),40360.9986111111)</f>
        <v>40360.998611111099</v>
      </c>
      <c r="D158" s="2">
        <f ca="1">IFERROR(__xludf.DUMMYFUNCTION("""COMPUTED_VALUE"""),46.41)</f>
        <v>46.41</v>
      </c>
      <c r="E158" s="2">
        <f ca="1">IFERROR(__xludf.DUMMYFUNCTION("""COMPUTED_VALUE"""),61.046)</f>
        <v>61.045999999999999</v>
      </c>
      <c r="F158" s="2">
        <f ca="1">IFERROR(__xludf.DUMMYFUNCTION("""COMPUTED_VALUE"""),70.331)</f>
        <v>70.331000000000003</v>
      </c>
      <c r="G158" s="2">
        <f ca="1">IFERROR(__xludf.DUMMYFUNCTION("""COMPUTED_VALUE"""),0.53764)</f>
        <v>0.53764000000000001</v>
      </c>
      <c r="H158" s="2">
        <f ca="1">IFERROR(__xludf.DUMMYFUNCTION("""COMPUTED_VALUE"""),42.192)</f>
        <v>42.192</v>
      </c>
      <c r="I158" s="2">
        <f ca="1">IFERROR(__xludf.DUMMYFUNCTION("""COMPUTED_VALUE"""),44.756)</f>
        <v>44.756</v>
      </c>
      <c r="J158" s="2">
        <f ca="1">IFERROR(__xludf.DUMMYFUNCTION("""COMPUTED_VALUE"""),34.1)</f>
        <v>34.1</v>
      </c>
      <c r="K158" s="2">
        <f ca="1">IFERROR(__xludf.DUMMYFUNCTION("""COMPUTED_VALUE"""),40.552)</f>
        <v>40.552</v>
      </c>
      <c r="L158" s="2">
        <f ca="1">IFERROR(__xludf.DUMMYFUNCTION("""COMPUTED_VALUE"""),10.319)</f>
        <v>10.319000000000001</v>
      </c>
      <c r="M158" s="2">
        <f ca="1">IFERROR(__xludf.DUMMYFUNCTION("""COMPUTED_VALUE"""),12.513)</f>
        <v>12.513</v>
      </c>
      <c r="U158" s="3" t="e">
        <f ca="1"/>
        <v>#NAME?</v>
      </c>
    </row>
    <row r="159" spans="3:21" ht="12.5" x14ac:dyDescent="0.25">
      <c r="C159" s="4">
        <f ca="1">IFERROR(__xludf.DUMMYFUNCTION("""COMPUTED_VALUE"""),40361.9986111111)</f>
        <v>40361.998611111099</v>
      </c>
      <c r="D159" s="2">
        <f ca="1">IFERROR(__xludf.DUMMYFUNCTION("""COMPUTED_VALUE"""),46.56)</f>
        <v>46.56</v>
      </c>
      <c r="E159" s="2">
        <f ca="1">IFERROR(__xludf.DUMMYFUNCTION("""COMPUTED_VALUE"""),60.998)</f>
        <v>60.997999999999998</v>
      </c>
      <c r="F159" s="2">
        <f ca="1">IFERROR(__xludf.DUMMYFUNCTION("""COMPUTED_VALUE"""),70.746)</f>
        <v>70.745999999999995</v>
      </c>
      <c r="G159" s="2">
        <f ca="1">IFERROR(__xludf.DUMMYFUNCTION("""COMPUTED_VALUE"""),0.53645)</f>
        <v>0.53644999999999998</v>
      </c>
      <c r="H159" s="2">
        <f ca="1">IFERROR(__xludf.DUMMYFUNCTION("""COMPUTED_VALUE"""),42.246)</f>
        <v>42.246000000000002</v>
      </c>
      <c r="I159" s="2">
        <f ca="1">IFERROR(__xludf.DUMMYFUNCTION("""COMPUTED_VALUE"""),44.88)</f>
        <v>44.88</v>
      </c>
      <c r="J159" s="2">
        <f ca="1">IFERROR(__xludf.DUMMYFUNCTION("""COMPUTED_VALUE"""),34.183)</f>
        <v>34.183</v>
      </c>
      <c r="K159" s="2">
        <f ca="1">IFERROR(__xludf.DUMMYFUNCTION("""COMPUTED_VALUE"""),40.83)</f>
        <v>40.83</v>
      </c>
      <c r="L159" s="2">
        <f ca="1">IFERROR(__xludf.DUMMYFUNCTION("""COMPUTED_VALUE"""),10.288)</f>
        <v>10.288</v>
      </c>
      <c r="M159" s="2">
        <f ca="1">IFERROR(__xludf.DUMMYFUNCTION("""COMPUTED_VALUE"""),12.545)</f>
        <v>12.545</v>
      </c>
      <c r="U159" s="3" t="e">
        <f ca="1"/>
        <v>#NAME?</v>
      </c>
    </row>
    <row r="160" spans="3:21" ht="12.5" x14ac:dyDescent="0.25">
      <c r="C160" s="4">
        <f ca="1">IFERROR(__xludf.DUMMYFUNCTION("""COMPUTED_VALUE"""),40362.9986111111)</f>
        <v>40362.998611111099</v>
      </c>
      <c r="D160" s="2">
        <f ca="1">IFERROR(__xludf.DUMMYFUNCTION("""COMPUTED_VALUE"""),46.568)</f>
        <v>46.567999999999998</v>
      </c>
      <c r="E160" s="2">
        <f ca="1">IFERROR(__xludf.DUMMYFUNCTION("""COMPUTED_VALUE"""),60.725)</f>
        <v>60.725000000000001</v>
      </c>
      <c r="F160" s="2">
        <f ca="1">IFERROR(__xludf.DUMMYFUNCTION("""COMPUTED_VALUE"""),70.674)</f>
        <v>70.674000000000007</v>
      </c>
      <c r="G160" s="2">
        <f ca="1">IFERROR(__xludf.DUMMYFUNCTION("""COMPUTED_VALUE"""),0.53981)</f>
        <v>0.53981000000000001</v>
      </c>
      <c r="H160" s="2">
        <f ca="1">IFERROR(__xludf.DUMMYFUNCTION("""COMPUTED_VALUE"""),42.069)</f>
        <v>42.069000000000003</v>
      </c>
      <c r="I160" s="2">
        <f ca="1">IFERROR(__xludf.DUMMYFUNCTION("""COMPUTED_VALUE"""),44.699)</f>
        <v>44.698999999999998</v>
      </c>
      <c r="J160" s="2">
        <f ca="1">IFERROR(__xludf.DUMMYFUNCTION("""COMPUTED_VALUE"""),34.157)</f>
        <v>34.156999999999996</v>
      </c>
      <c r="K160" s="2">
        <f ca="1">IFERROR(__xludf.DUMMYFUNCTION("""COMPUTED_VALUE"""),40.824)</f>
        <v>40.823999999999998</v>
      </c>
      <c r="L160" s="2">
        <f ca="1">IFERROR(__xludf.DUMMYFUNCTION("""COMPUTED_VALUE"""),10.171)</f>
        <v>10.170999999999999</v>
      </c>
      <c r="M160" s="2">
        <f ca="1">IFERROR(__xludf.DUMMYFUNCTION("""COMPUTED_VALUE"""),12.609)</f>
        <v>12.609</v>
      </c>
      <c r="U160" s="3" t="e">
        <f ca="1"/>
        <v>#NAME?</v>
      </c>
    </row>
    <row r="161" spans="3:21" ht="12.5" x14ac:dyDescent="0.25">
      <c r="C161" s="4">
        <f ca="1">IFERROR(__xludf.DUMMYFUNCTION("""COMPUTED_VALUE"""),40363.9986111111)</f>
        <v>40363.998611111099</v>
      </c>
      <c r="D161" s="2">
        <f ca="1">IFERROR(__xludf.DUMMYFUNCTION("""COMPUTED_VALUE"""),46.568)</f>
        <v>46.567999999999998</v>
      </c>
      <c r="E161" s="2">
        <f ca="1">IFERROR(__xludf.DUMMYFUNCTION("""COMPUTED_VALUE"""),60.058)</f>
        <v>60.058</v>
      </c>
      <c r="F161" s="2">
        <f ca="1">IFERROR(__xludf.DUMMYFUNCTION("""COMPUTED_VALUE"""),70.674)</f>
        <v>70.674000000000007</v>
      </c>
      <c r="G161" s="2">
        <f ca="1">IFERROR(__xludf.DUMMYFUNCTION("""COMPUTED_VALUE"""),0.54639)</f>
        <v>0.54639000000000004</v>
      </c>
      <c r="H161" s="2">
        <f ca="1">IFERROR(__xludf.DUMMYFUNCTION("""COMPUTED_VALUE"""),41.901)</f>
        <v>41.901000000000003</v>
      </c>
      <c r="I161" s="2">
        <f ca="1">IFERROR(__xludf.DUMMYFUNCTION("""COMPUTED_VALUE"""),44.546)</f>
        <v>44.545999999999999</v>
      </c>
      <c r="J161" s="2">
        <f ca="1">IFERROR(__xludf.DUMMYFUNCTION("""COMPUTED_VALUE"""),34.122)</f>
        <v>34.122</v>
      </c>
      <c r="K161" s="2">
        <f ca="1">IFERROR(__xludf.DUMMYFUNCTION("""COMPUTED_VALUE"""),40.59)</f>
        <v>40.590000000000003</v>
      </c>
      <c r="L161" s="2">
        <f ca="1">IFERROR(__xludf.DUMMYFUNCTION("""COMPUTED_VALUE"""),10.257)</f>
        <v>10.257</v>
      </c>
      <c r="M161" s="2">
        <f ca="1">IFERROR(__xludf.DUMMYFUNCTION("""COMPUTED_VALUE"""),12.685)</f>
        <v>12.685</v>
      </c>
      <c r="U161" s="3" t="e">
        <f ca="1"/>
        <v>#NAME?</v>
      </c>
    </row>
    <row r="162" spans="3:21" ht="12.5" x14ac:dyDescent="0.25">
      <c r="C162" s="4">
        <f ca="1">IFERROR(__xludf.DUMMYFUNCTION("""COMPUTED_VALUE"""),40364.9986111111)</f>
        <v>40364.998611111099</v>
      </c>
      <c r="D162" s="2">
        <f ca="1">IFERROR(__xludf.DUMMYFUNCTION("""COMPUTED_VALUE"""),46.728)</f>
        <v>46.728000000000002</v>
      </c>
      <c r="E162" s="2">
        <f ca="1">IFERROR(__xludf.DUMMYFUNCTION("""COMPUTED_VALUE"""),60.05)</f>
        <v>60.05</v>
      </c>
      <c r="F162" s="2">
        <f ca="1">IFERROR(__xludf.DUMMYFUNCTION("""COMPUTED_VALUE"""),70.597)</f>
        <v>70.596999999999994</v>
      </c>
      <c r="G162" s="2">
        <f ca="1">IFERROR(__xludf.DUMMYFUNCTION("""COMPUTED_VALUE"""),0.54349)</f>
        <v>0.54349000000000003</v>
      </c>
      <c r="H162" s="2">
        <f ca="1">IFERROR(__xludf.DUMMYFUNCTION("""COMPUTED_VALUE"""),41.859)</f>
        <v>41.859000000000002</v>
      </c>
      <c r="I162" s="2">
        <f ca="1">IFERROR(__xludf.DUMMYFUNCTION("""COMPUTED_VALUE"""),44.784)</f>
        <v>44.783999999999999</v>
      </c>
      <c r="J162" s="2">
        <f ca="1">IFERROR(__xludf.DUMMYFUNCTION("""COMPUTED_VALUE"""),34.318)</f>
        <v>34.317999999999998</v>
      </c>
      <c r="K162" s="2">
        <f ca="1">IFERROR(__xludf.DUMMYFUNCTION("""COMPUTED_VALUE"""),40.555)</f>
        <v>40.555</v>
      </c>
      <c r="L162" s="2">
        <f ca="1">IFERROR(__xludf.DUMMYFUNCTION("""COMPUTED_VALUE"""),10.29)</f>
        <v>10.29</v>
      </c>
      <c r="M162" s="2">
        <f ca="1">IFERROR(__xludf.DUMMYFUNCTION("""COMPUTED_VALUE"""),12.717)</f>
        <v>12.717000000000001</v>
      </c>
      <c r="U162" s="3" t="e">
        <f ca="1"/>
        <v>#NAME?</v>
      </c>
    </row>
    <row r="163" spans="3:21" ht="12.5" x14ac:dyDescent="0.25">
      <c r="C163" s="4">
        <f ca="1">IFERROR(__xludf.DUMMYFUNCTION("""COMPUTED_VALUE"""),40365.9986111111)</f>
        <v>40365.998611111099</v>
      </c>
      <c r="D163" s="2">
        <f ca="1">IFERROR(__xludf.DUMMYFUNCTION("""COMPUTED_VALUE"""),46.6)</f>
        <v>46.6</v>
      </c>
      <c r="E163" s="2">
        <f ca="1">IFERROR(__xludf.DUMMYFUNCTION("""COMPUTED_VALUE"""),59.515)</f>
        <v>59.515000000000001</v>
      </c>
      <c r="F163" s="2">
        <f ca="1">IFERROR(__xludf.DUMMYFUNCTION("""COMPUTED_VALUE"""),70.697)</f>
        <v>70.697000000000003</v>
      </c>
      <c r="G163" s="2">
        <f ca="1">IFERROR(__xludf.DUMMYFUNCTION("""COMPUTED_VALUE"""),0.54085)</f>
        <v>0.54085000000000005</v>
      </c>
      <c r="H163" s="2">
        <f ca="1">IFERROR(__xludf.DUMMYFUNCTION("""COMPUTED_VALUE"""),41.751)</f>
        <v>41.750999999999998</v>
      </c>
      <c r="I163" s="2">
        <f ca="1">IFERROR(__xludf.DUMMYFUNCTION("""COMPUTED_VALUE"""),44.834)</f>
        <v>44.834000000000003</v>
      </c>
      <c r="J163" s="2">
        <f ca="1">IFERROR(__xludf.DUMMYFUNCTION("""COMPUTED_VALUE"""),34.214)</f>
        <v>34.213999999999999</v>
      </c>
      <c r="K163" s="2">
        <f ca="1">IFERROR(__xludf.DUMMYFUNCTION("""COMPUTED_VALUE"""),40.704)</f>
        <v>40.704000000000001</v>
      </c>
      <c r="L163" s="2">
        <f ca="1">IFERROR(__xludf.DUMMYFUNCTION("""COMPUTED_VALUE"""),10.284)</f>
        <v>10.284000000000001</v>
      </c>
      <c r="M163" s="2">
        <f ca="1">IFERROR(__xludf.DUMMYFUNCTION("""COMPUTED_VALUE"""),12.687)</f>
        <v>12.686999999999999</v>
      </c>
      <c r="U163" s="3" t="e">
        <f ca="1"/>
        <v>#NAME?</v>
      </c>
    </row>
    <row r="164" spans="3:21" ht="12.5" x14ac:dyDescent="0.25">
      <c r="C164" s="4">
        <f ca="1">IFERROR(__xludf.DUMMYFUNCTION("""COMPUTED_VALUE"""),40366.9986111111)</f>
        <v>40366.998611111099</v>
      </c>
      <c r="D164" s="2">
        <f ca="1">IFERROR(__xludf.DUMMYFUNCTION("""COMPUTED_VALUE"""),46.95)</f>
        <v>46.95</v>
      </c>
      <c r="E164" s="2">
        <f ca="1">IFERROR(__xludf.DUMMYFUNCTION("""COMPUTED_VALUE"""),59.928)</f>
        <v>59.927999999999997</v>
      </c>
      <c r="F164" s="2">
        <f ca="1">IFERROR(__xludf.DUMMYFUNCTION("""COMPUTED_VALUE"""),71.347)</f>
        <v>71.346999999999994</v>
      </c>
      <c r="G164" s="2">
        <f ca="1">IFERROR(__xludf.DUMMYFUNCTION("""COMPUTED_VALUE"""),0.547)</f>
        <v>0.54700000000000004</v>
      </c>
      <c r="H164" s="2">
        <f ca="1">IFERROR(__xludf.DUMMYFUNCTION("""COMPUTED_VALUE"""),41.893)</f>
        <v>41.893000000000001</v>
      </c>
      <c r="I164" s="2">
        <f ca="1">IFERROR(__xludf.DUMMYFUNCTION("""COMPUTED_VALUE"""),44.758)</f>
        <v>44.758000000000003</v>
      </c>
      <c r="J164" s="2">
        <f ca="1">IFERROR(__xludf.DUMMYFUNCTION("""COMPUTED_VALUE"""),34.295)</f>
        <v>34.295000000000002</v>
      </c>
      <c r="K164" s="2">
        <f ca="1">IFERROR(__xludf.DUMMYFUNCTION("""COMPUTED_VALUE"""),40.959)</f>
        <v>40.959000000000003</v>
      </c>
      <c r="L164" s="2">
        <f ca="1">IFERROR(__xludf.DUMMYFUNCTION("""COMPUTED_VALUE"""),10.359)</f>
        <v>10.359</v>
      </c>
      <c r="M164" s="2">
        <f ca="1">IFERROR(__xludf.DUMMYFUNCTION("""COMPUTED_VALUE"""),12.71)</f>
        <v>12.71</v>
      </c>
      <c r="U164" s="3" t="e">
        <f ca="1"/>
        <v>#NAME?</v>
      </c>
    </row>
    <row r="165" spans="3:21" ht="12.5" x14ac:dyDescent="0.25">
      <c r="C165" s="4">
        <f ca="1">IFERROR(__xludf.DUMMYFUNCTION("""COMPUTED_VALUE"""),40367.9986111111)</f>
        <v>40367.998611111099</v>
      </c>
      <c r="D165" s="2">
        <f ca="1">IFERROR(__xludf.DUMMYFUNCTION("""COMPUTED_VALUE"""),46.65)</f>
        <v>46.65</v>
      </c>
      <c r="E165" s="2">
        <f ca="1">IFERROR(__xludf.DUMMYFUNCTION("""COMPUTED_VALUE"""),60.004)</f>
        <v>60.003999999999998</v>
      </c>
      <c r="F165" s="2">
        <f ca="1">IFERROR(__xludf.DUMMYFUNCTION("""COMPUTED_VALUE"""),70.596)</f>
        <v>70.596000000000004</v>
      </c>
      <c r="G165" s="2">
        <f ca="1">IFERROR(__xludf.DUMMYFUNCTION("""COMPUTED_VALUE"""),0.5443)</f>
        <v>0.54430000000000001</v>
      </c>
      <c r="H165" s="2">
        <f ca="1">IFERROR(__xludf.DUMMYFUNCTION("""COMPUTED_VALUE"""),42.209)</f>
        <v>42.209000000000003</v>
      </c>
      <c r="I165" s="2">
        <f ca="1">IFERROR(__xludf.DUMMYFUNCTION("""COMPUTED_VALUE"""),45.116)</f>
        <v>45.116</v>
      </c>
      <c r="J165" s="2">
        <f ca="1">IFERROR(__xludf.DUMMYFUNCTION("""COMPUTED_VALUE"""),34.397)</f>
        <v>34.396999999999998</v>
      </c>
      <c r="K165" s="2">
        <f ca="1">IFERROR(__xludf.DUMMYFUNCTION("""COMPUTED_VALUE"""),41.08)</f>
        <v>41.08</v>
      </c>
      <c r="L165" s="2">
        <f ca="1">IFERROR(__xludf.DUMMYFUNCTION("""COMPUTED_VALUE"""),10.341)</f>
        <v>10.340999999999999</v>
      </c>
      <c r="M165" s="2">
        <f ca="1">IFERROR(__xludf.DUMMYFUNCTION("""COMPUTED_VALUE"""),12.686)</f>
        <v>12.686</v>
      </c>
      <c r="U165" s="3" t="e">
        <f ca="1"/>
        <v>#NAME?</v>
      </c>
    </row>
    <row r="166" spans="3:21" ht="12.5" x14ac:dyDescent="0.25">
      <c r="C166" s="4">
        <f ca="1">IFERROR(__xludf.DUMMYFUNCTION("""COMPUTED_VALUE"""),40368.9986111111)</f>
        <v>40368.998611111099</v>
      </c>
      <c r="D166" s="2">
        <f ca="1">IFERROR(__xludf.DUMMYFUNCTION("""COMPUTED_VALUE"""),46.52)</f>
        <v>46.52</v>
      </c>
      <c r="E166" s="2">
        <f ca="1">IFERROR(__xludf.DUMMYFUNCTION("""COMPUTED_VALUE"""),59.904)</f>
        <v>59.904000000000003</v>
      </c>
      <c r="F166" s="2">
        <f ca="1">IFERROR(__xludf.DUMMYFUNCTION("""COMPUTED_VALUE"""),70.227)</f>
        <v>70.227000000000004</v>
      </c>
      <c r="G166" s="2">
        <f ca="1">IFERROR(__xludf.DUMMYFUNCTION("""COMPUTED_VALUE"""),0.54544)</f>
        <v>0.54544000000000004</v>
      </c>
      <c r="H166" s="2">
        <f ca="1">IFERROR(__xludf.DUMMYFUNCTION("""COMPUTED_VALUE"""),41.853)</f>
        <v>41.853000000000002</v>
      </c>
      <c r="I166" s="2">
        <f ca="1">IFERROR(__xludf.DUMMYFUNCTION("""COMPUTED_VALUE"""),45.239)</f>
        <v>45.238999999999997</v>
      </c>
      <c r="J166" s="2">
        <f ca="1">IFERROR(__xludf.DUMMYFUNCTION("""COMPUTED_VALUE"""),34.498)</f>
        <v>34.497999999999998</v>
      </c>
      <c r="K166" s="2">
        <f ca="1">IFERROR(__xludf.DUMMYFUNCTION("""COMPUTED_VALUE"""),41.405)</f>
        <v>41.405000000000001</v>
      </c>
      <c r="L166" s="2">
        <f ca="1">IFERROR(__xludf.DUMMYFUNCTION("""COMPUTED_VALUE"""),10.314)</f>
        <v>10.314</v>
      </c>
      <c r="M166" s="2">
        <f ca="1">IFERROR(__xludf.DUMMYFUNCTION("""COMPUTED_VALUE"""),12.67)</f>
        <v>12.67</v>
      </c>
      <c r="U166" s="3" t="e">
        <f ca="1"/>
        <v>#NAME?</v>
      </c>
    </row>
    <row r="167" spans="3:21" ht="12.5" x14ac:dyDescent="0.25">
      <c r="C167" s="4">
        <f ca="1">IFERROR(__xludf.DUMMYFUNCTION("""COMPUTED_VALUE"""),40370.9986111111)</f>
        <v>40370.998611111099</v>
      </c>
      <c r="D167" s="2">
        <f ca="1">IFERROR(__xludf.DUMMYFUNCTION("""COMPUTED_VALUE"""),46.658)</f>
        <v>46.658000000000001</v>
      </c>
      <c r="E167" s="2">
        <f ca="1">IFERROR(__xludf.DUMMYFUNCTION("""COMPUTED_VALUE"""),59.43)</f>
        <v>59.43</v>
      </c>
      <c r="F167" s="2">
        <f ca="1">IFERROR(__xludf.DUMMYFUNCTION("""COMPUTED_VALUE"""),70.29)</f>
        <v>70.290000000000006</v>
      </c>
      <c r="G167" s="2">
        <f ca="1">IFERROR(__xludf.DUMMYFUNCTION("""COMPUTED_VALUE"""),0.54296)</f>
        <v>0.54296</v>
      </c>
      <c r="H167" s="2">
        <f ca="1">IFERROR(__xludf.DUMMYFUNCTION("""COMPUTED_VALUE"""),41.325)</f>
        <v>41.325000000000003</v>
      </c>
      <c r="I167" s="2">
        <f ca="1">IFERROR(__xludf.DUMMYFUNCTION("""COMPUTED_VALUE"""),44.529)</f>
        <v>44.529000000000003</v>
      </c>
      <c r="J167" s="2">
        <f ca="1">IFERROR(__xludf.DUMMYFUNCTION("""COMPUTED_VALUE"""),34.195)</f>
        <v>34.195</v>
      </c>
      <c r="K167" s="2">
        <f ca="1">IFERROR(__xludf.DUMMYFUNCTION("""COMPUTED_VALUE"""),41.43)</f>
        <v>41.43</v>
      </c>
      <c r="L167" s="2">
        <f ca="1">IFERROR(__xludf.DUMMYFUNCTION("""COMPUTED_VALUE"""),10.305)</f>
        <v>10.305</v>
      </c>
      <c r="M167" s="2">
        <f ca="1">IFERROR(__xludf.DUMMYFUNCTION("""COMPUTED_VALUE"""),12.622)</f>
        <v>12.622</v>
      </c>
      <c r="U167" s="3" t="e">
        <f ca="1"/>
        <v>#NAME?</v>
      </c>
    </row>
    <row r="168" spans="3:21" ht="12.5" x14ac:dyDescent="0.25">
      <c r="C168" s="4">
        <f ca="1">IFERROR(__xludf.DUMMYFUNCTION("""COMPUTED_VALUE"""),40371.9986111111)</f>
        <v>40371.998611111099</v>
      </c>
      <c r="D168" s="2">
        <f ca="1">IFERROR(__xludf.DUMMYFUNCTION("""COMPUTED_VALUE"""),46.66)</f>
        <v>46.66</v>
      </c>
      <c r="E168" s="2">
        <f ca="1">IFERROR(__xludf.DUMMYFUNCTION("""COMPUTED_VALUE"""),59.049)</f>
        <v>59.048999999999999</v>
      </c>
      <c r="F168" s="2">
        <f ca="1">IFERROR(__xludf.DUMMYFUNCTION("""COMPUTED_VALUE"""),70.142)</f>
        <v>70.141999999999996</v>
      </c>
      <c r="G168" s="2">
        <f ca="1">IFERROR(__xludf.DUMMYFUNCTION("""COMPUTED_VALUE"""),0.54369)</f>
        <v>0.54369000000000001</v>
      </c>
      <c r="H168" s="2">
        <f ca="1">IFERROR(__xludf.DUMMYFUNCTION("""COMPUTED_VALUE"""),41.334)</f>
        <v>41.334000000000003</v>
      </c>
      <c r="I168" s="2">
        <f ca="1">IFERROR(__xludf.DUMMYFUNCTION("""COMPUTED_VALUE"""),44.331)</f>
        <v>44.331000000000003</v>
      </c>
      <c r="J168" s="2">
        <f ca="1">IFERROR(__xludf.DUMMYFUNCTION("""COMPUTED_VALUE"""),34.268)</f>
        <v>34.268000000000001</v>
      </c>
      <c r="K168" s="2">
        <f ca="1">IFERROR(__xludf.DUMMYFUNCTION("""COMPUTED_VALUE"""),41.337)</f>
        <v>41.337000000000003</v>
      </c>
      <c r="L168" s="2">
        <f ca="1">IFERROR(__xludf.DUMMYFUNCTION("""COMPUTED_VALUE"""),10.319)</f>
        <v>10.319000000000001</v>
      </c>
      <c r="M168" s="2">
        <f ca="1">IFERROR(__xludf.DUMMYFUNCTION("""COMPUTED_VALUE"""),12.69)</f>
        <v>12.69</v>
      </c>
      <c r="U168" s="3" t="e">
        <f ca="1"/>
        <v>#NAME?</v>
      </c>
    </row>
    <row r="169" spans="3:21" ht="12.5" x14ac:dyDescent="0.25">
      <c r="C169" s="4">
        <f ca="1">IFERROR(__xludf.DUMMYFUNCTION("""COMPUTED_VALUE"""),40372.9986111111)</f>
        <v>40372.998611111099</v>
      </c>
      <c r="D169" s="2">
        <f ca="1">IFERROR(__xludf.DUMMYFUNCTION("""COMPUTED_VALUE"""),46.41)</f>
        <v>46.41</v>
      </c>
      <c r="E169" s="2">
        <f ca="1">IFERROR(__xludf.DUMMYFUNCTION("""COMPUTED_VALUE"""),58.882)</f>
        <v>58.881999999999998</v>
      </c>
      <c r="F169" s="2">
        <f ca="1">IFERROR(__xludf.DUMMYFUNCTION("""COMPUTED_VALUE"""),70.376)</f>
        <v>70.376000000000005</v>
      </c>
      <c r="G169" s="2">
        <f ca="1">IFERROR(__xludf.DUMMYFUNCTION("""COMPUTED_VALUE"""),0.54615)</f>
        <v>0.54615000000000002</v>
      </c>
      <c r="H169" s="2">
        <f ca="1">IFERROR(__xludf.DUMMYFUNCTION("""COMPUTED_VALUE"""),41.517)</f>
        <v>41.517000000000003</v>
      </c>
      <c r="I169" s="2">
        <f ca="1">IFERROR(__xludf.DUMMYFUNCTION("""COMPUTED_VALUE"""),44.221)</f>
        <v>44.220999999999997</v>
      </c>
      <c r="J169" s="2">
        <f ca="1">IFERROR(__xludf.DUMMYFUNCTION("""COMPUTED_VALUE"""),34.265)</f>
        <v>34.265000000000001</v>
      </c>
      <c r="K169" s="2">
        <f ca="1">IFERROR(__xludf.DUMMYFUNCTION("""COMPUTED_VALUE"""),41.337)</f>
        <v>41.337000000000003</v>
      </c>
      <c r="L169" s="2">
        <f ca="1">IFERROR(__xludf.DUMMYFUNCTION("""COMPUTED_VALUE"""),10.324)</f>
        <v>10.324</v>
      </c>
      <c r="M169" s="2">
        <f ca="1">IFERROR(__xludf.DUMMYFUNCTION("""COMPUTED_VALUE"""),12.678)</f>
        <v>12.678000000000001</v>
      </c>
      <c r="U169" s="3" t="e">
        <f ca="1"/>
        <v>#NAME?</v>
      </c>
    </row>
    <row r="170" spans="3:21" ht="12.5" x14ac:dyDescent="0.25">
      <c r="C170" s="4">
        <f ca="1">IFERROR(__xludf.DUMMYFUNCTION("""COMPUTED_VALUE"""),40373.9986111111)</f>
        <v>40373.998611111099</v>
      </c>
      <c r="D170" s="2">
        <f ca="1">IFERROR(__xludf.DUMMYFUNCTION("""COMPUTED_VALUE"""),46.6)</f>
        <v>46.6</v>
      </c>
      <c r="E170" s="2">
        <f ca="1">IFERROR(__xludf.DUMMYFUNCTION("""COMPUTED_VALUE"""),59.404)</f>
        <v>59.404000000000003</v>
      </c>
      <c r="F170" s="2">
        <f ca="1">IFERROR(__xludf.DUMMYFUNCTION("""COMPUTED_VALUE"""),71.103)</f>
        <v>71.102999999999994</v>
      </c>
      <c r="G170" s="2">
        <f ca="1">IFERROR(__xludf.DUMMYFUNCTION("""COMPUTED_VALUE"""),0.55659)</f>
        <v>0.55659000000000003</v>
      </c>
      <c r="H170" s="2">
        <f ca="1">IFERROR(__xludf.DUMMYFUNCTION("""COMPUTED_VALUE"""),41.533)</f>
        <v>41.533000000000001</v>
      </c>
      <c r="I170" s="2">
        <f ca="1">IFERROR(__xludf.DUMMYFUNCTION("""COMPUTED_VALUE"""),44.358)</f>
        <v>44.357999999999997</v>
      </c>
      <c r="J170" s="2">
        <f ca="1">IFERROR(__xludf.DUMMYFUNCTION("""COMPUTED_VALUE"""),34.468)</f>
        <v>34.468000000000004</v>
      </c>
      <c r="K170" s="2">
        <f ca="1">IFERROR(__xludf.DUMMYFUNCTION("""COMPUTED_VALUE"""),41.081)</f>
        <v>41.081000000000003</v>
      </c>
      <c r="L170" s="2">
        <f ca="1">IFERROR(__xludf.DUMMYFUNCTION("""COMPUTED_VALUE"""),10.279)</f>
        <v>10.279</v>
      </c>
      <c r="M170" s="2">
        <f ca="1">IFERROR(__xludf.DUMMYFUNCTION("""COMPUTED_VALUE"""),12.758)</f>
        <v>12.757999999999999</v>
      </c>
      <c r="U170" s="3" t="e">
        <f ca="1"/>
        <v>#NAME?</v>
      </c>
    </row>
    <row r="171" spans="3:21" ht="12.5" x14ac:dyDescent="0.25">
      <c r="C171" s="4">
        <f ca="1">IFERROR(__xludf.DUMMYFUNCTION("""COMPUTED_VALUE"""),40374.9986111111)</f>
        <v>40374.998611111099</v>
      </c>
      <c r="D171" s="2">
        <f ca="1">IFERROR(__xludf.DUMMYFUNCTION("""COMPUTED_VALUE"""),46.45)</f>
        <v>46.45</v>
      </c>
      <c r="E171" s="2">
        <f ca="1">IFERROR(__xludf.DUMMYFUNCTION("""COMPUTED_VALUE"""),59.226)</f>
        <v>59.225999999999999</v>
      </c>
      <c r="F171" s="2">
        <f ca="1">IFERROR(__xludf.DUMMYFUNCTION("""COMPUTED_VALUE"""),71.398)</f>
        <v>71.397999999999996</v>
      </c>
      <c r="G171" s="2">
        <f ca="1">IFERROR(__xludf.DUMMYFUNCTION("""COMPUTED_VALUE"""),0.55359)</f>
        <v>0.55359000000000003</v>
      </c>
      <c r="H171" s="2">
        <f ca="1">IFERROR(__xludf.DUMMYFUNCTION("""COMPUTED_VALUE"""),41.218)</f>
        <v>41.218000000000004</v>
      </c>
      <c r="I171" s="2">
        <f ca="1">IFERROR(__xludf.DUMMYFUNCTION("""COMPUTED_VALUE"""),43.995)</f>
        <v>43.994999999999997</v>
      </c>
      <c r="J171" s="2">
        <f ca="1">IFERROR(__xludf.DUMMYFUNCTION("""COMPUTED_VALUE"""),34.402)</f>
        <v>34.402000000000001</v>
      </c>
      <c r="K171" s="2">
        <f ca="1">IFERROR(__xludf.DUMMYFUNCTION("""COMPUTED_VALUE"""),41.57)</f>
        <v>41.57</v>
      </c>
      <c r="L171" s="2">
        <f ca="1">IFERROR(__xludf.DUMMYFUNCTION("""COMPUTED_VALUE"""),10.304)</f>
        <v>10.304</v>
      </c>
      <c r="M171" s="2">
        <f ca="1">IFERROR(__xludf.DUMMYFUNCTION("""COMPUTED_VALUE"""),12.763)</f>
        <v>12.763</v>
      </c>
      <c r="U171" s="3" t="e">
        <f ca="1"/>
        <v>#NAME?</v>
      </c>
    </row>
    <row r="172" spans="3:21" ht="12.5" x14ac:dyDescent="0.25">
      <c r="C172" s="4">
        <f ca="1">IFERROR(__xludf.DUMMYFUNCTION("""COMPUTED_VALUE"""),40375.9986111111)</f>
        <v>40375.998611111099</v>
      </c>
      <c r="D172" s="2">
        <f ca="1">IFERROR(__xludf.DUMMYFUNCTION("""COMPUTED_VALUE"""),46.7)</f>
        <v>46.7</v>
      </c>
      <c r="E172" s="2">
        <f ca="1">IFERROR(__xludf.DUMMYFUNCTION("""COMPUTED_VALUE"""),59.399)</f>
        <v>59.399000000000001</v>
      </c>
      <c r="F172" s="2">
        <f ca="1">IFERROR(__xludf.DUMMYFUNCTION("""COMPUTED_VALUE"""),71.461)</f>
        <v>71.460999999999999</v>
      </c>
      <c r="G172" s="2">
        <f ca="1">IFERROR(__xludf.DUMMYFUNCTION("""COMPUTED_VALUE"""),0.55232)</f>
        <v>0.55232000000000003</v>
      </c>
      <c r="H172" s="2">
        <f ca="1">IFERROR(__xludf.DUMMYFUNCTION("""COMPUTED_VALUE"""),41.485)</f>
        <v>41.484999999999999</v>
      </c>
      <c r="I172" s="2">
        <f ca="1">IFERROR(__xludf.DUMMYFUNCTION("""COMPUTED_VALUE"""),44.304)</f>
        <v>44.304000000000002</v>
      </c>
      <c r="J172" s="2">
        <f ca="1">IFERROR(__xludf.DUMMYFUNCTION("""COMPUTED_VALUE"""),34.461)</f>
        <v>34.460999999999999</v>
      </c>
      <c r="K172" s="2">
        <f ca="1">IFERROR(__xludf.DUMMYFUNCTION("""COMPUTED_VALUE"""),41.78)</f>
        <v>41.78</v>
      </c>
      <c r="L172" s="2">
        <f ca="1">IFERROR(__xludf.DUMMYFUNCTION("""COMPUTED_VALUE"""),10.304)</f>
        <v>10.304</v>
      </c>
      <c r="M172" s="2">
        <f ca="1">IFERROR(__xludf.DUMMYFUNCTION("""COMPUTED_VALUE"""),12.739)</f>
        <v>12.739000000000001</v>
      </c>
      <c r="U172" s="3" t="e">
        <f ca="1"/>
        <v>#NAME?</v>
      </c>
    </row>
    <row r="173" spans="3:21" ht="12.5" x14ac:dyDescent="0.25">
      <c r="C173" s="4">
        <f ca="1">IFERROR(__xludf.DUMMYFUNCTION("""COMPUTED_VALUE"""),40376.9986111111)</f>
        <v>40376.998611111099</v>
      </c>
      <c r="D173" s="2">
        <f ca="1">IFERROR(__xludf.DUMMYFUNCTION("""COMPUTED_VALUE"""),46.703)</f>
        <v>46.703000000000003</v>
      </c>
      <c r="E173" s="2">
        <f ca="1">IFERROR(__xludf.DUMMYFUNCTION("""COMPUTED_VALUE"""),59.666)</f>
        <v>59.665999999999997</v>
      </c>
      <c r="F173" s="2">
        <f ca="1">IFERROR(__xludf.DUMMYFUNCTION("""COMPUTED_VALUE"""),71.421)</f>
        <v>71.421000000000006</v>
      </c>
      <c r="G173" s="2">
        <f ca="1">IFERROR(__xludf.DUMMYFUNCTION("""COMPUTED_VALUE"""),0.54921)</f>
        <v>0.54920999999999998</v>
      </c>
      <c r="H173" s="2">
        <f ca="1">IFERROR(__xludf.DUMMYFUNCTION("""COMPUTED_VALUE"""),41.97)</f>
        <v>41.97</v>
      </c>
      <c r="I173" s="2">
        <f ca="1">IFERROR(__xludf.DUMMYFUNCTION("""COMPUTED_VALUE"""),44.323)</f>
        <v>44.323</v>
      </c>
      <c r="J173" s="2">
        <f ca="1">IFERROR(__xludf.DUMMYFUNCTION("""COMPUTED_VALUE"""),34.551)</f>
        <v>34.551000000000002</v>
      </c>
      <c r="K173" s="2">
        <f ca="1">IFERROR(__xludf.DUMMYFUNCTION("""COMPUTED_VALUE"""),41.965)</f>
        <v>41.965000000000003</v>
      </c>
      <c r="L173" s="2">
        <f ca="1">IFERROR(__xludf.DUMMYFUNCTION("""COMPUTED_VALUE"""),10.346)</f>
        <v>10.346</v>
      </c>
      <c r="M173" s="2">
        <f ca="1">IFERROR(__xludf.DUMMYFUNCTION("""COMPUTED_VALUE"""),12.744)</f>
        <v>12.744</v>
      </c>
      <c r="U173" s="3" t="e">
        <f ca="1"/>
        <v>#NAME?</v>
      </c>
    </row>
    <row r="174" spans="3:21" ht="12.5" x14ac:dyDescent="0.25">
      <c r="C174" s="4">
        <f ca="1">IFERROR(__xludf.DUMMYFUNCTION("""COMPUTED_VALUE"""),40377.9986111111)</f>
        <v>40377.998611111099</v>
      </c>
      <c r="D174" s="2">
        <f ca="1">IFERROR(__xludf.DUMMYFUNCTION("""COMPUTED_VALUE"""),46.703)</f>
        <v>46.703000000000003</v>
      </c>
      <c r="E174" s="2">
        <f ca="1">IFERROR(__xludf.DUMMYFUNCTION("""COMPUTED_VALUE"""),59.413)</f>
        <v>59.412999999999997</v>
      </c>
      <c r="F174" s="2">
        <f ca="1">IFERROR(__xludf.DUMMYFUNCTION("""COMPUTED_VALUE"""),71.421)</f>
        <v>71.421000000000006</v>
      </c>
      <c r="G174" s="2">
        <f ca="1">IFERROR(__xludf.DUMMYFUNCTION("""COMPUTED_VALUE"""),0.55283)</f>
        <v>0.55283000000000004</v>
      </c>
      <c r="H174" s="2">
        <f ca="1">IFERROR(__xludf.DUMMYFUNCTION("""COMPUTED_VALUE"""),41.849)</f>
        <v>41.848999999999997</v>
      </c>
      <c r="I174" s="2">
        <f ca="1">IFERROR(__xludf.DUMMYFUNCTION("""COMPUTED_VALUE"""),44.318)</f>
        <v>44.317999999999998</v>
      </c>
      <c r="J174" s="2">
        <f ca="1">IFERROR(__xludf.DUMMYFUNCTION("""COMPUTED_VALUE"""),34.568)</f>
        <v>34.567999999999998</v>
      </c>
      <c r="K174" s="2">
        <f ca="1">IFERROR(__xludf.DUMMYFUNCTION("""COMPUTED_VALUE"""),42.237)</f>
        <v>42.237000000000002</v>
      </c>
      <c r="L174" s="2">
        <f ca="1">IFERROR(__xludf.DUMMYFUNCTION("""COMPUTED_VALUE"""),10.325)</f>
        <v>10.324999999999999</v>
      </c>
      <c r="M174" s="2">
        <f ca="1">IFERROR(__xludf.DUMMYFUNCTION("""COMPUTED_VALUE"""),12.763)</f>
        <v>12.763</v>
      </c>
      <c r="U174" s="3" t="e">
        <f ca="1"/>
        <v>#NAME?</v>
      </c>
    </row>
    <row r="175" spans="3:21" ht="12.5" x14ac:dyDescent="0.25">
      <c r="C175" s="4">
        <f ca="1">IFERROR(__xludf.DUMMYFUNCTION("""COMPUTED_VALUE"""),40378.9986111111)</f>
        <v>40378.998611111099</v>
      </c>
      <c r="D175" s="2">
        <f ca="1">IFERROR(__xludf.DUMMYFUNCTION("""COMPUTED_VALUE"""),46.09)</f>
        <v>46.09</v>
      </c>
      <c r="E175" s="2">
        <f ca="1">IFERROR(__xludf.DUMMYFUNCTION("""COMPUTED_VALUE"""),59.754)</f>
        <v>59.753999999999998</v>
      </c>
      <c r="F175" s="2">
        <f ca="1">IFERROR(__xludf.DUMMYFUNCTION("""COMPUTED_VALUE"""),70.164)</f>
        <v>70.164000000000001</v>
      </c>
      <c r="G175" s="2">
        <f ca="1">IFERROR(__xludf.DUMMYFUNCTION("""COMPUTED_VALUE"""),0.55912)</f>
        <v>0.55911999999999995</v>
      </c>
      <c r="H175" s="2">
        <f ca="1">IFERROR(__xludf.DUMMYFUNCTION("""COMPUTED_VALUE"""),41.916)</f>
        <v>41.915999999999997</v>
      </c>
      <c r="I175" s="2">
        <f ca="1">IFERROR(__xludf.DUMMYFUNCTION("""COMPUTED_VALUE"""),44.198)</f>
        <v>44.198</v>
      </c>
      <c r="J175" s="2">
        <f ca="1">IFERROR(__xludf.DUMMYFUNCTION("""COMPUTED_VALUE"""),34.718)</f>
        <v>34.718000000000004</v>
      </c>
      <c r="K175" s="2">
        <f ca="1">IFERROR(__xludf.DUMMYFUNCTION("""COMPUTED_VALUE"""),42.417)</f>
        <v>42.417000000000002</v>
      </c>
      <c r="L175" s="2">
        <f ca="1">IFERROR(__xludf.DUMMYFUNCTION("""COMPUTED_VALUE"""),10.315)</f>
        <v>10.315</v>
      </c>
      <c r="M175" s="2">
        <f ca="1">IFERROR(__xludf.DUMMYFUNCTION("""COMPUTED_VALUE"""),12.805)</f>
        <v>12.805</v>
      </c>
      <c r="U175" s="3" t="e">
        <f ca="1"/>
        <v>#NAME?</v>
      </c>
    </row>
    <row r="176" spans="3:21" ht="12.5" x14ac:dyDescent="0.25">
      <c r="C176" s="4">
        <f ca="1">IFERROR(__xludf.DUMMYFUNCTION("""COMPUTED_VALUE"""),40379.9986111111)</f>
        <v>40379.998611111099</v>
      </c>
      <c r="D176" s="2">
        <f ca="1">IFERROR(__xludf.DUMMYFUNCTION("""COMPUTED_VALUE"""),47.25)</f>
        <v>47.25</v>
      </c>
      <c r="E176" s="2">
        <f ca="1">IFERROR(__xludf.DUMMYFUNCTION("""COMPUTED_VALUE"""),59.726)</f>
        <v>59.725999999999999</v>
      </c>
      <c r="F176" s="2">
        <f ca="1">IFERROR(__xludf.DUMMYFUNCTION("""COMPUTED_VALUE"""),72.145)</f>
        <v>72.144999999999996</v>
      </c>
      <c r="G176" s="2">
        <f ca="1">IFERROR(__xludf.DUMMYFUNCTION("""COMPUTED_VALUE"""),0.5525)</f>
        <v>0.55249999999999999</v>
      </c>
      <c r="H176" s="2">
        <f ca="1">IFERROR(__xludf.DUMMYFUNCTION("""COMPUTED_VALUE"""),42.374)</f>
        <v>42.374000000000002</v>
      </c>
      <c r="I176" s="2">
        <f ca="1">IFERROR(__xludf.DUMMYFUNCTION("""COMPUTED_VALUE"""),44.369)</f>
        <v>44.369</v>
      </c>
      <c r="J176" s="2">
        <f ca="1">IFERROR(__xludf.DUMMYFUNCTION("""COMPUTED_VALUE"""),34.631)</f>
        <v>34.631</v>
      </c>
      <c r="K176" s="2">
        <f ca="1">IFERROR(__xludf.DUMMYFUNCTION("""COMPUTED_VALUE"""),42.415)</f>
        <v>42.414999999999999</v>
      </c>
      <c r="L176" s="2">
        <f ca="1">IFERROR(__xludf.DUMMYFUNCTION("""COMPUTED_VALUE"""),10.408)</f>
        <v>10.407999999999999</v>
      </c>
      <c r="M176" s="2">
        <f ca="1">IFERROR(__xludf.DUMMYFUNCTION("""COMPUTED_VALUE"""),12.701)</f>
        <v>12.701000000000001</v>
      </c>
      <c r="U176" s="3" t="e">
        <f ca="1"/>
        <v>#NAME?</v>
      </c>
    </row>
    <row r="177" spans="3:21" ht="12.5" x14ac:dyDescent="0.25">
      <c r="C177" s="4">
        <f ca="1">IFERROR(__xludf.DUMMYFUNCTION("""COMPUTED_VALUE"""),40380.9986111111)</f>
        <v>40380.998611111099</v>
      </c>
      <c r="D177" s="2">
        <f ca="1">IFERROR(__xludf.DUMMYFUNCTION("""COMPUTED_VALUE"""),47.07)</f>
        <v>47.07</v>
      </c>
      <c r="E177" s="2">
        <f ca="1">IFERROR(__xludf.DUMMYFUNCTION("""COMPUTED_VALUE"""),59.764)</f>
        <v>59.764000000000003</v>
      </c>
      <c r="F177" s="2">
        <f ca="1">IFERROR(__xludf.DUMMYFUNCTION("""COMPUTED_VALUE"""),71.287)</f>
        <v>71.287000000000006</v>
      </c>
      <c r="G177" s="2">
        <f ca="1">IFERROR(__xludf.DUMMYFUNCTION("""COMPUTED_VALUE"""),0.55316)</f>
        <v>0.55315999999999999</v>
      </c>
      <c r="H177" s="2">
        <f ca="1">IFERROR(__xludf.DUMMYFUNCTION("""COMPUTED_VALUE"""),42.491)</f>
        <v>42.491</v>
      </c>
      <c r="I177" s="2">
        <f ca="1">IFERROR(__xludf.DUMMYFUNCTION("""COMPUTED_VALUE"""),44.255)</f>
        <v>44.255000000000003</v>
      </c>
      <c r="J177" s="2">
        <f ca="1">IFERROR(__xludf.DUMMYFUNCTION("""COMPUTED_VALUE"""),34.634)</f>
        <v>34.634</v>
      </c>
      <c r="K177" s="2">
        <f ca="1">IFERROR(__xludf.DUMMYFUNCTION("""COMPUTED_VALUE"""),42.907)</f>
        <v>42.906999999999996</v>
      </c>
      <c r="L177" s="2">
        <f ca="1">IFERROR(__xludf.DUMMYFUNCTION("""COMPUTED_VALUE"""),10.35)</f>
        <v>10.35</v>
      </c>
      <c r="M177" s="2">
        <f ca="1">IFERROR(__xludf.DUMMYFUNCTION("""COMPUTED_VALUE"""),12.687)</f>
        <v>12.686999999999999</v>
      </c>
      <c r="U177" s="3" t="e">
        <f ca="1"/>
        <v>#NAME?</v>
      </c>
    </row>
    <row r="178" spans="3:21" ht="12.5" x14ac:dyDescent="0.25">
      <c r="C178" s="4">
        <f ca="1">IFERROR(__xludf.DUMMYFUNCTION("""COMPUTED_VALUE"""),40381.9986111111)</f>
        <v>40381.998611111099</v>
      </c>
      <c r="D178" s="2">
        <f ca="1">IFERROR(__xludf.DUMMYFUNCTION("""COMPUTED_VALUE"""),47.04)</f>
        <v>47.04</v>
      </c>
      <c r="E178" s="2">
        <f ca="1">IFERROR(__xludf.DUMMYFUNCTION("""COMPUTED_VALUE"""),59.894)</f>
        <v>59.893999999999998</v>
      </c>
      <c r="F178" s="2">
        <f ca="1">IFERROR(__xludf.DUMMYFUNCTION("""COMPUTED_VALUE"""),71.816)</f>
        <v>71.816000000000003</v>
      </c>
      <c r="G178" s="2">
        <f ca="1">IFERROR(__xludf.DUMMYFUNCTION("""COMPUTED_VALUE"""),0.55078)</f>
        <v>0.55078000000000005</v>
      </c>
      <c r="H178" s="2">
        <f ca="1">IFERROR(__xludf.DUMMYFUNCTION("""COMPUTED_VALUE"""),42.534)</f>
        <v>42.533999999999999</v>
      </c>
      <c r="I178" s="2">
        <f ca="1">IFERROR(__xludf.DUMMYFUNCTION("""COMPUTED_VALUE"""),44.66)</f>
        <v>44.66</v>
      </c>
      <c r="J178" s="2">
        <f ca="1">IFERROR(__xludf.DUMMYFUNCTION("""COMPUTED_VALUE"""),34.592)</f>
        <v>34.591999999999999</v>
      </c>
      <c r="K178" s="2">
        <f ca="1">IFERROR(__xludf.DUMMYFUNCTION("""COMPUTED_VALUE"""),43.043)</f>
        <v>43.042999999999999</v>
      </c>
      <c r="L178" s="2">
        <f ca="1">IFERROR(__xludf.DUMMYFUNCTION("""COMPUTED_VALUE"""),10.308)</f>
        <v>10.308</v>
      </c>
      <c r="M178" s="2">
        <f ca="1">IFERROR(__xludf.DUMMYFUNCTION("""COMPUTED_VALUE"""),12.649)</f>
        <v>12.648999999999999</v>
      </c>
      <c r="U178" s="3" t="e">
        <f ca="1"/>
        <v>#NAME?</v>
      </c>
    </row>
    <row r="179" spans="3:21" ht="12.5" x14ac:dyDescent="0.25">
      <c r="C179" s="4">
        <f ca="1">IFERROR(__xludf.DUMMYFUNCTION("""COMPUTED_VALUE"""),40382.9986111111)</f>
        <v>40382.998611111099</v>
      </c>
      <c r="D179" s="2">
        <f ca="1">IFERROR(__xludf.DUMMYFUNCTION("""COMPUTED_VALUE"""),46.89)</f>
        <v>46.89</v>
      </c>
      <c r="E179" s="2">
        <f ca="1">IFERROR(__xludf.DUMMYFUNCTION("""COMPUTED_VALUE"""),59.889)</f>
        <v>59.889000000000003</v>
      </c>
      <c r="F179" s="2">
        <f ca="1">IFERROR(__xludf.DUMMYFUNCTION("""COMPUTED_VALUE"""),72.222)</f>
        <v>72.221999999999994</v>
      </c>
      <c r="G179" s="2">
        <f ca="1">IFERROR(__xludf.DUMMYFUNCTION("""COMPUTED_VALUE"""),0.55182)</f>
        <v>0.55181999999999998</v>
      </c>
      <c r="H179" s="2">
        <f ca="1">IFERROR(__xludf.DUMMYFUNCTION("""COMPUTED_VALUE"""),42.602)</f>
        <v>42.601999999999997</v>
      </c>
      <c r="I179" s="2">
        <f ca="1">IFERROR(__xludf.DUMMYFUNCTION("""COMPUTED_VALUE"""),44.925)</f>
        <v>44.924999999999997</v>
      </c>
      <c r="J179" s="2">
        <f ca="1">IFERROR(__xludf.DUMMYFUNCTION("""COMPUTED_VALUE"""),34.54)</f>
        <v>34.54</v>
      </c>
      <c r="K179" s="2">
        <f ca="1">IFERROR(__xludf.DUMMYFUNCTION("""COMPUTED_VALUE"""),43.703)</f>
        <v>43.703000000000003</v>
      </c>
      <c r="L179" s="2">
        <f ca="1">IFERROR(__xludf.DUMMYFUNCTION("""COMPUTED_VALUE"""),10.484)</f>
        <v>10.484</v>
      </c>
      <c r="M179" s="2">
        <f ca="1">IFERROR(__xludf.DUMMYFUNCTION("""COMPUTED_VALUE"""),12.665)</f>
        <v>12.664999999999999</v>
      </c>
      <c r="U179" s="3" t="e">
        <f ca="1"/>
        <v>#NAME?</v>
      </c>
    </row>
    <row r="180" spans="3:21" ht="12.5" x14ac:dyDescent="0.25">
      <c r="C180" s="4">
        <f ca="1">IFERROR(__xludf.DUMMYFUNCTION("""COMPUTED_VALUE"""),40383.9986111111)</f>
        <v>40383.998611111099</v>
      </c>
      <c r="D180" s="2">
        <f ca="1">IFERROR(__xludf.DUMMYFUNCTION("""COMPUTED_VALUE"""),46.918)</f>
        <v>46.917999999999999</v>
      </c>
      <c r="E180" s="2">
        <f ca="1">IFERROR(__xludf.DUMMYFUNCTION("""COMPUTED_VALUE"""),59.333)</f>
        <v>59.332999999999998</v>
      </c>
      <c r="F180" s="2">
        <f ca="1">IFERROR(__xludf.DUMMYFUNCTION("""COMPUTED_VALUE"""),72.346)</f>
        <v>72.346000000000004</v>
      </c>
      <c r="G180" s="2">
        <f ca="1">IFERROR(__xludf.DUMMYFUNCTION("""COMPUTED_VALUE"""),0.5573)</f>
        <v>0.55730000000000002</v>
      </c>
      <c r="H180" s="2">
        <f ca="1">IFERROR(__xludf.DUMMYFUNCTION("""COMPUTED_VALUE"""),42.643)</f>
        <v>42.643000000000001</v>
      </c>
      <c r="I180" s="2">
        <f ca="1">IFERROR(__xludf.DUMMYFUNCTION("""COMPUTED_VALUE"""),44.651)</f>
        <v>44.651000000000003</v>
      </c>
      <c r="J180" s="2">
        <f ca="1">IFERROR(__xludf.DUMMYFUNCTION("""COMPUTED_VALUE"""),34.589)</f>
        <v>34.588999999999999</v>
      </c>
      <c r="K180" s="2">
        <f ca="1">IFERROR(__xludf.DUMMYFUNCTION("""COMPUTED_VALUE"""),43.729)</f>
        <v>43.728999999999999</v>
      </c>
      <c r="L180" s="2">
        <f ca="1">IFERROR(__xludf.DUMMYFUNCTION("""COMPUTED_VALUE"""),10.5)</f>
        <v>10.5</v>
      </c>
      <c r="M180" s="2">
        <f ca="1">IFERROR(__xludf.DUMMYFUNCTION("""COMPUTED_VALUE"""),12.704)</f>
        <v>12.704000000000001</v>
      </c>
      <c r="U180" s="3" t="e">
        <f ca="1"/>
        <v>#NAME?</v>
      </c>
    </row>
    <row r="181" spans="3:21" ht="12.5" x14ac:dyDescent="0.25">
      <c r="C181" s="4">
        <f ca="1">IFERROR(__xludf.DUMMYFUNCTION("""COMPUTED_VALUE"""),40385.9986111111)</f>
        <v>40385.998611111099</v>
      </c>
      <c r="D181" s="2">
        <f ca="1">IFERROR(__xludf.DUMMYFUNCTION("""COMPUTED_VALUE"""),47.043)</f>
        <v>47.042999999999999</v>
      </c>
      <c r="E181" s="2">
        <f ca="1">IFERROR(__xludf.DUMMYFUNCTION("""COMPUTED_VALUE"""),59.132)</f>
        <v>59.131999999999998</v>
      </c>
      <c r="F181" s="2">
        <f ca="1">IFERROR(__xludf.DUMMYFUNCTION("""COMPUTED_VALUE"""),72.873)</f>
        <v>72.873000000000005</v>
      </c>
      <c r="G181" s="2">
        <f ca="1">IFERROR(__xludf.DUMMYFUNCTION("""COMPUTED_VALUE"""),0.55405)</f>
        <v>0.55405000000000004</v>
      </c>
      <c r="H181" s="2">
        <f ca="1">IFERROR(__xludf.DUMMYFUNCTION("""COMPUTED_VALUE"""),42.673)</f>
        <v>42.673000000000002</v>
      </c>
      <c r="I181" s="2">
        <f ca="1">IFERROR(__xludf.DUMMYFUNCTION("""COMPUTED_VALUE"""),44.852)</f>
        <v>44.851999999999997</v>
      </c>
      <c r="J181" s="2">
        <f ca="1">IFERROR(__xludf.DUMMYFUNCTION("""COMPUTED_VALUE"""),34.595)</f>
        <v>34.594999999999999</v>
      </c>
      <c r="K181" s="2">
        <f ca="1">IFERROR(__xludf.DUMMYFUNCTION("""COMPUTED_VALUE"""),43.689)</f>
        <v>43.689</v>
      </c>
      <c r="L181" s="2">
        <f ca="1">IFERROR(__xludf.DUMMYFUNCTION("""COMPUTED_VALUE"""),10.458)</f>
        <v>10.458</v>
      </c>
      <c r="M181" s="2">
        <f ca="1">IFERROR(__xludf.DUMMYFUNCTION("""COMPUTED_VALUE"""),12.665)</f>
        <v>12.664999999999999</v>
      </c>
      <c r="U181" s="3" t="e">
        <f ca="1"/>
        <v>#NAME?</v>
      </c>
    </row>
    <row r="182" spans="3:21" ht="12.5" x14ac:dyDescent="0.25">
      <c r="C182" s="4">
        <f ca="1">IFERROR(__xludf.DUMMYFUNCTION("""COMPUTED_VALUE"""),40386.9986111111)</f>
        <v>40386.998611111099</v>
      </c>
      <c r="D182" s="2">
        <f ca="1">IFERROR(__xludf.DUMMYFUNCTION("""COMPUTED_VALUE"""),46.648)</f>
        <v>46.648000000000003</v>
      </c>
      <c r="E182" s="2">
        <f ca="1">IFERROR(__xludf.DUMMYFUNCTION("""COMPUTED_VALUE"""),58.768)</f>
        <v>58.768000000000001</v>
      </c>
      <c r="F182" s="2">
        <f ca="1">IFERROR(__xludf.DUMMYFUNCTION("""COMPUTED_VALUE"""),72.463)</f>
        <v>72.462999999999994</v>
      </c>
      <c r="G182" s="2">
        <f ca="1">IFERROR(__xludf.DUMMYFUNCTION("""COMPUTED_VALUE"""),0.55155)</f>
        <v>0.55154999999999998</v>
      </c>
      <c r="H182" s="2">
        <f ca="1">IFERROR(__xludf.DUMMYFUNCTION("""COMPUTED_VALUE"""),42.766)</f>
        <v>42.765999999999998</v>
      </c>
      <c r="I182" s="2">
        <f ca="1">IFERROR(__xludf.DUMMYFUNCTION("""COMPUTED_VALUE"""),44.783)</f>
        <v>44.783000000000001</v>
      </c>
      <c r="J182" s="2">
        <f ca="1">IFERROR(__xludf.DUMMYFUNCTION("""COMPUTED_VALUE"""),34.483)</f>
        <v>34.482999999999997</v>
      </c>
      <c r="K182" s="2">
        <f ca="1">IFERROR(__xludf.DUMMYFUNCTION("""COMPUTED_VALUE"""),43.728)</f>
        <v>43.728000000000002</v>
      </c>
      <c r="L182" s="2">
        <f ca="1">IFERROR(__xludf.DUMMYFUNCTION("""COMPUTED_VALUE"""),10.508)</f>
        <v>10.507999999999999</v>
      </c>
      <c r="M182" s="2">
        <f ca="1">IFERROR(__xludf.DUMMYFUNCTION("""COMPUTED_VALUE"""),12.606)</f>
        <v>12.606</v>
      </c>
      <c r="U182" s="3" t="e">
        <f ca="1"/>
        <v>#NAME?</v>
      </c>
    </row>
    <row r="183" spans="3:21" ht="12.5" x14ac:dyDescent="0.25">
      <c r="C183" s="4">
        <f ca="1">IFERROR(__xludf.DUMMYFUNCTION("""COMPUTED_VALUE"""),40387.9986111111)</f>
        <v>40387.998611111099</v>
      </c>
      <c r="D183" s="2">
        <f ca="1">IFERROR(__xludf.DUMMYFUNCTION("""COMPUTED_VALUE"""),46.69)</f>
        <v>46.69</v>
      </c>
      <c r="E183" s="2">
        <f ca="1">IFERROR(__xludf.DUMMYFUNCTION("""COMPUTED_VALUE"""),58.779)</f>
        <v>58.779000000000003</v>
      </c>
      <c r="F183" s="2">
        <f ca="1">IFERROR(__xludf.DUMMYFUNCTION("""COMPUTED_VALUE"""),72.893)</f>
        <v>72.893000000000001</v>
      </c>
      <c r="G183" s="2">
        <f ca="1">IFERROR(__xludf.DUMMYFUNCTION("""COMPUTED_VALUE"""),0.54935)</f>
        <v>0.54935</v>
      </c>
      <c r="H183" s="2">
        <f ca="1">IFERROR(__xludf.DUMMYFUNCTION("""COMPUTED_VALUE"""),42.848)</f>
        <v>42.847999999999999</v>
      </c>
      <c r="I183" s="2">
        <f ca="1">IFERROR(__xludf.DUMMYFUNCTION("""COMPUTED_VALUE"""),44.677)</f>
        <v>44.677</v>
      </c>
      <c r="J183" s="2">
        <f ca="1">IFERROR(__xludf.DUMMYFUNCTION("""COMPUTED_VALUE"""),34.518)</f>
        <v>34.518000000000001</v>
      </c>
      <c r="K183" s="2">
        <f ca="1">IFERROR(__xludf.DUMMYFUNCTION("""COMPUTED_VALUE"""),43.84)</f>
        <v>43.84</v>
      </c>
      <c r="L183" s="2">
        <f ca="1">IFERROR(__xludf.DUMMYFUNCTION("""COMPUTED_VALUE"""),10.501)</f>
        <v>10.500999999999999</v>
      </c>
      <c r="M183" s="2">
        <f ca="1">IFERROR(__xludf.DUMMYFUNCTION("""COMPUTED_VALUE"""),12.592)</f>
        <v>12.592000000000001</v>
      </c>
      <c r="U183" s="3" t="e">
        <f ca="1"/>
        <v>#NAME?</v>
      </c>
    </row>
    <row r="184" spans="3:21" ht="12.5" x14ac:dyDescent="0.25">
      <c r="C184" s="4">
        <f ca="1">IFERROR(__xludf.DUMMYFUNCTION("""COMPUTED_VALUE"""),40388.9986111111)</f>
        <v>40388.998611111099</v>
      </c>
      <c r="D184" s="2">
        <f ca="1">IFERROR(__xludf.DUMMYFUNCTION("""COMPUTED_VALUE"""),46.46)</f>
        <v>46.46</v>
      </c>
      <c r="E184" s="2">
        <f ca="1">IFERROR(__xludf.DUMMYFUNCTION("""COMPUTED_VALUE"""),59.493)</f>
        <v>59.493000000000002</v>
      </c>
      <c r="F184" s="2">
        <f ca="1">IFERROR(__xludf.DUMMYFUNCTION("""COMPUTED_VALUE"""),72.548)</f>
        <v>72.548000000000002</v>
      </c>
      <c r="G184" s="2">
        <f ca="1">IFERROR(__xludf.DUMMYFUNCTION("""COMPUTED_VALUE"""),0.55274)</f>
        <v>0.55274000000000001</v>
      </c>
      <c r="H184" s="2">
        <f ca="1">IFERROR(__xludf.DUMMYFUNCTION("""COMPUTED_VALUE"""),43.183)</f>
        <v>43.183</v>
      </c>
      <c r="I184" s="2">
        <f ca="1">IFERROR(__xludf.DUMMYFUNCTION("""COMPUTED_VALUE"""),44.947)</f>
        <v>44.947000000000003</v>
      </c>
      <c r="J184" s="2">
        <f ca="1">IFERROR(__xludf.DUMMYFUNCTION("""COMPUTED_VALUE"""),34.598)</f>
        <v>34.597999999999999</v>
      </c>
      <c r="K184" s="2">
        <f ca="1">IFERROR(__xludf.DUMMYFUNCTION("""COMPUTED_VALUE"""),44.048)</f>
        <v>44.048000000000002</v>
      </c>
      <c r="L184" s="2">
        <f ca="1">IFERROR(__xludf.DUMMYFUNCTION("""COMPUTED_VALUE"""),10.501)</f>
        <v>10.500999999999999</v>
      </c>
      <c r="M184" s="2">
        <f ca="1">IFERROR(__xludf.DUMMYFUNCTION("""COMPUTED_VALUE"""),12.587)</f>
        <v>12.587</v>
      </c>
      <c r="U184" s="3" t="e">
        <f ca="1"/>
        <v>#NAME?</v>
      </c>
    </row>
    <row r="185" spans="3:21" ht="12.5" x14ac:dyDescent="0.25">
      <c r="C185" s="4">
        <f ca="1">IFERROR(__xludf.DUMMYFUNCTION("""COMPUTED_VALUE"""),40389.9986111111)</f>
        <v>40389.998611111099</v>
      </c>
      <c r="D185" s="2">
        <f ca="1">IFERROR(__xludf.DUMMYFUNCTION("""COMPUTED_VALUE"""),46.36)</f>
        <v>46.36</v>
      </c>
      <c r="E185" s="2">
        <f ca="1">IFERROR(__xludf.DUMMYFUNCTION("""COMPUTED_VALUE"""),60.056)</f>
        <v>60.055999999999997</v>
      </c>
      <c r="F185" s="2">
        <f ca="1">IFERROR(__xludf.DUMMYFUNCTION("""COMPUTED_VALUE"""),72.774)</f>
        <v>72.774000000000001</v>
      </c>
      <c r="G185" s="2">
        <f ca="1">IFERROR(__xludf.DUMMYFUNCTION("""COMPUTED_VALUE"""),0.55533)</f>
        <v>0.55532999999999999</v>
      </c>
      <c r="H185" s="2">
        <f ca="1">IFERROR(__xludf.DUMMYFUNCTION("""COMPUTED_VALUE"""),43.578)</f>
        <v>43.578000000000003</v>
      </c>
      <c r="I185" s="2">
        <f ca="1">IFERROR(__xludf.DUMMYFUNCTION("""COMPUTED_VALUE"""),44.953)</f>
        <v>44.953000000000003</v>
      </c>
      <c r="J185" s="2">
        <f ca="1">IFERROR(__xludf.DUMMYFUNCTION("""COMPUTED_VALUE"""),34.645)</f>
        <v>34.645000000000003</v>
      </c>
      <c r="K185" s="2">
        <f ca="1">IFERROR(__xludf.DUMMYFUNCTION("""COMPUTED_VALUE"""),44.627)</f>
        <v>44.627000000000002</v>
      </c>
      <c r="L185" s="2">
        <f ca="1">IFERROR(__xludf.DUMMYFUNCTION("""COMPUTED_VALUE"""),10.506)</f>
        <v>10.506</v>
      </c>
      <c r="M185" s="2">
        <f ca="1">IFERROR(__xludf.DUMMYFUNCTION("""COMPUTED_VALUE"""),12.562)</f>
        <v>12.561999999999999</v>
      </c>
      <c r="U185" s="3" t="e">
        <f ca="1"/>
        <v>#NAME?</v>
      </c>
    </row>
    <row r="186" spans="3:21" ht="12.5" x14ac:dyDescent="0.25">
      <c r="C186" s="4">
        <f ca="1">IFERROR(__xludf.DUMMYFUNCTION("""COMPUTED_VALUE"""),40391.9986111111)</f>
        <v>40391.998611111099</v>
      </c>
      <c r="D186" s="2">
        <f ca="1">IFERROR(__xludf.DUMMYFUNCTION("""COMPUTED_VALUE"""),46.368)</f>
        <v>46.368000000000002</v>
      </c>
      <c r="E186" s="2">
        <f ca="1">IFERROR(__xludf.DUMMYFUNCTION("""COMPUTED_VALUE"""),60.116)</f>
        <v>60.116</v>
      </c>
      <c r="F186" s="2">
        <f ca="1">IFERROR(__xludf.DUMMYFUNCTION("""COMPUTED_VALUE"""),72.777)</f>
        <v>72.777000000000001</v>
      </c>
      <c r="G186" s="2">
        <f ca="1">IFERROR(__xludf.DUMMYFUNCTION("""COMPUTED_VALUE"""),0.53985)</f>
        <v>0.53985000000000005</v>
      </c>
      <c r="H186" s="2">
        <f ca="1">IFERROR(__xludf.DUMMYFUNCTION("""COMPUTED_VALUE"""),43.384)</f>
        <v>43.384</v>
      </c>
      <c r="I186" s="2">
        <f ca="1">IFERROR(__xludf.DUMMYFUNCTION("""COMPUTED_VALUE"""),45.008)</f>
        <v>45.008000000000003</v>
      </c>
      <c r="J186" s="2">
        <f ca="1">IFERROR(__xludf.DUMMYFUNCTION("""COMPUTED_VALUE"""),34.542)</f>
        <v>34.542000000000002</v>
      </c>
      <c r="K186" s="2">
        <f ca="1">IFERROR(__xludf.DUMMYFUNCTION("""COMPUTED_VALUE"""),44.395)</f>
        <v>44.395000000000003</v>
      </c>
      <c r="L186" s="2">
        <f ca="1">IFERROR(__xludf.DUMMYFUNCTION("""COMPUTED_VALUE"""),10.504)</f>
        <v>10.504</v>
      </c>
      <c r="M186" s="2">
        <f ca="1">IFERROR(__xludf.DUMMYFUNCTION("""COMPUTED_VALUE"""),12.579)</f>
        <v>12.579000000000001</v>
      </c>
      <c r="U186" s="3" t="e">
        <f ca="1"/>
        <v>#NAME?</v>
      </c>
    </row>
    <row r="187" spans="3:21" ht="12.5" x14ac:dyDescent="0.25">
      <c r="C187" s="4">
        <f ca="1">IFERROR(__xludf.DUMMYFUNCTION("""COMPUTED_VALUE"""),40392.9986111111)</f>
        <v>40392.998611111099</v>
      </c>
      <c r="D187" s="2">
        <f ca="1">IFERROR(__xludf.DUMMYFUNCTION("""COMPUTED_VALUE"""),46.088)</f>
        <v>46.088000000000001</v>
      </c>
      <c r="E187" s="2">
        <f ca="1">IFERROR(__xludf.DUMMYFUNCTION("""COMPUTED_VALUE"""),60.304)</f>
        <v>60.304000000000002</v>
      </c>
      <c r="F187" s="2">
        <f ca="1">IFERROR(__xludf.DUMMYFUNCTION("""COMPUTED_VALUE"""),73.274)</f>
        <v>73.274000000000001</v>
      </c>
      <c r="G187" s="2">
        <f ca="1">IFERROR(__xludf.DUMMYFUNCTION("""COMPUTED_VALUE"""),0.53711)</f>
        <v>0.53710999999999998</v>
      </c>
      <c r="H187" s="2">
        <f ca="1">IFERROR(__xludf.DUMMYFUNCTION("""COMPUTED_VALUE"""),43.193)</f>
        <v>43.192999999999998</v>
      </c>
      <c r="I187" s="2">
        <f ca="1">IFERROR(__xludf.DUMMYFUNCTION("""COMPUTED_VALUE"""),44.901)</f>
        <v>44.901000000000003</v>
      </c>
      <c r="J187" s="2">
        <f ca="1">IFERROR(__xludf.DUMMYFUNCTION("""COMPUTED_VALUE"""),34.467)</f>
        <v>34.466999999999999</v>
      </c>
      <c r="K187" s="2">
        <f ca="1">IFERROR(__xludf.DUMMYFUNCTION("""COMPUTED_VALUE"""),43.959)</f>
        <v>43.959000000000003</v>
      </c>
      <c r="L187" s="2">
        <f ca="1">IFERROR(__xludf.DUMMYFUNCTION("""COMPUTED_VALUE"""),10.455)</f>
        <v>10.455</v>
      </c>
      <c r="M187" s="2">
        <f ca="1">IFERROR(__xludf.DUMMYFUNCTION("""COMPUTED_VALUE"""),12.551)</f>
        <v>12.551</v>
      </c>
      <c r="U187" s="3" t="e">
        <f ca="1"/>
        <v>#NAME?</v>
      </c>
    </row>
    <row r="188" spans="3:21" ht="12.5" x14ac:dyDescent="0.25">
      <c r="C188" s="4">
        <f ca="1">IFERROR(__xludf.DUMMYFUNCTION("""COMPUTED_VALUE"""),40393.9986111111)</f>
        <v>40393.998611111099</v>
      </c>
      <c r="D188" s="2">
        <f ca="1">IFERROR(__xludf.DUMMYFUNCTION("""COMPUTED_VALUE"""),46.128)</f>
        <v>46.128</v>
      </c>
      <c r="E188" s="2">
        <f ca="1">IFERROR(__xludf.DUMMYFUNCTION("""COMPUTED_VALUE"""),59.79)</f>
        <v>59.79</v>
      </c>
      <c r="F188" s="2">
        <f ca="1">IFERROR(__xludf.DUMMYFUNCTION("""COMPUTED_VALUE"""),73.519)</f>
        <v>73.519000000000005</v>
      </c>
      <c r="G188" s="2">
        <f ca="1">IFERROR(__xludf.DUMMYFUNCTION("""COMPUTED_VALUE"""),0.53409)</f>
        <v>0.53408999999999995</v>
      </c>
      <c r="H188" s="2">
        <f ca="1">IFERROR(__xludf.DUMMYFUNCTION("""COMPUTED_VALUE"""),42.962)</f>
        <v>42.962000000000003</v>
      </c>
      <c r="I188" s="2">
        <f ca="1">IFERROR(__xludf.DUMMYFUNCTION("""COMPUTED_VALUE"""),44.43)</f>
        <v>44.43</v>
      </c>
      <c r="J188" s="2">
        <f ca="1">IFERROR(__xludf.DUMMYFUNCTION("""COMPUTED_VALUE"""),34.291)</f>
        <v>34.290999999999997</v>
      </c>
      <c r="K188" s="2">
        <f ca="1">IFERROR(__xludf.DUMMYFUNCTION("""COMPUTED_VALUE"""),44.059)</f>
        <v>44.058999999999997</v>
      </c>
      <c r="L188" s="2">
        <f ca="1">IFERROR(__xludf.DUMMYFUNCTION("""COMPUTED_VALUE"""),10.524)</f>
        <v>10.523999999999999</v>
      </c>
      <c r="M188" s="2">
        <f ca="1">IFERROR(__xludf.DUMMYFUNCTION("""COMPUTED_VALUE"""),12.478)</f>
        <v>12.478</v>
      </c>
      <c r="U188" s="3" t="e">
        <f ca="1"/>
        <v>#NAME?</v>
      </c>
    </row>
    <row r="189" spans="3:21" ht="12.5" x14ac:dyDescent="0.25">
      <c r="C189" s="4">
        <f ca="1">IFERROR(__xludf.DUMMYFUNCTION("""COMPUTED_VALUE"""),40394.9986111111)</f>
        <v>40394.998611111099</v>
      </c>
      <c r="D189" s="2">
        <f ca="1">IFERROR(__xludf.DUMMYFUNCTION("""COMPUTED_VALUE"""),46)</f>
        <v>46</v>
      </c>
      <c r="E189" s="2">
        <f ca="1">IFERROR(__xludf.DUMMYFUNCTION("""COMPUTED_VALUE"""),59.575)</f>
        <v>59.575000000000003</v>
      </c>
      <c r="F189" s="2">
        <f ca="1">IFERROR(__xludf.DUMMYFUNCTION("""COMPUTED_VALUE"""),73.14)</f>
        <v>73.14</v>
      </c>
      <c r="G189" s="2">
        <f ca="1">IFERROR(__xludf.DUMMYFUNCTION("""COMPUTED_VALUE"""),0.53192)</f>
        <v>0.53191999999999995</v>
      </c>
      <c r="H189" s="2">
        <f ca="1">IFERROR(__xludf.DUMMYFUNCTION("""COMPUTED_VALUE"""),43.186)</f>
        <v>43.186</v>
      </c>
      <c r="I189" s="2">
        <f ca="1">IFERROR(__xludf.DUMMYFUNCTION("""COMPUTED_VALUE"""),44.304)</f>
        <v>44.304000000000002</v>
      </c>
      <c r="J189" s="2">
        <f ca="1">IFERROR(__xludf.DUMMYFUNCTION("""COMPUTED_VALUE"""),34.198)</f>
        <v>34.198</v>
      </c>
      <c r="K189" s="2">
        <f ca="1">IFERROR(__xludf.DUMMYFUNCTION("""COMPUTED_VALUE"""),44.013)</f>
        <v>44.012999999999998</v>
      </c>
      <c r="L189" s="2">
        <f ca="1">IFERROR(__xludf.DUMMYFUNCTION("""COMPUTED_VALUE"""),10.497)</f>
        <v>10.497</v>
      </c>
      <c r="M189" s="2">
        <f ca="1">IFERROR(__xludf.DUMMYFUNCTION("""COMPUTED_VALUE"""),12.42)</f>
        <v>12.42</v>
      </c>
      <c r="U189" s="3" t="e">
        <f ca="1"/>
        <v>#NAME?</v>
      </c>
    </row>
    <row r="190" spans="3:21" ht="12.5" x14ac:dyDescent="0.25">
      <c r="C190" s="4">
        <f ca="1">IFERROR(__xludf.DUMMYFUNCTION("""COMPUTED_VALUE"""),40395.9986111111)</f>
        <v>40395.998611111099</v>
      </c>
      <c r="D190" s="2">
        <f ca="1">IFERROR(__xludf.DUMMYFUNCTION("""COMPUTED_VALUE"""),46.056)</f>
        <v>46.055999999999997</v>
      </c>
      <c r="E190" s="2">
        <f ca="1">IFERROR(__xludf.DUMMYFUNCTION("""COMPUTED_VALUE"""),59.844)</f>
        <v>59.844000000000001</v>
      </c>
      <c r="F190" s="2">
        <f ca="1">IFERROR(__xludf.DUMMYFUNCTION("""COMPUTED_VALUE"""),73.192)</f>
        <v>73.191999999999993</v>
      </c>
      <c r="G190" s="2">
        <f ca="1">IFERROR(__xludf.DUMMYFUNCTION("""COMPUTED_VALUE"""),0.53393)</f>
        <v>0.53393000000000002</v>
      </c>
      <c r="H190" s="2">
        <f ca="1">IFERROR(__xludf.DUMMYFUNCTION("""COMPUTED_VALUE"""),43.202)</f>
        <v>43.201999999999998</v>
      </c>
      <c r="I190" s="2">
        <f ca="1">IFERROR(__xludf.DUMMYFUNCTION("""COMPUTED_VALUE"""),44.252)</f>
        <v>44.252000000000002</v>
      </c>
      <c r="J190" s="2">
        <f ca="1">IFERROR(__xludf.DUMMYFUNCTION("""COMPUTED_VALUE"""),34.229)</f>
        <v>34.228999999999999</v>
      </c>
      <c r="K190" s="2">
        <f ca="1">IFERROR(__xludf.DUMMYFUNCTION("""COMPUTED_VALUE"""),43.997)</f>
        <v>43.997</v>
      </c>
      <c r="L190" s="2">
        <f ca="1">IFERROR(__xludf.DUMMYFUNCTION("""COMPUTED_VALUE"""),10.398)</f>
        <v>10.398</v>
      </c>
      <c r="M190" s="2">
        <f ca="1">IFERROR(__xludf.DUMMYFUNCTION("""COMPUTED_VALUE"""),12.409)</f>
        <v>12.409000000000001</v>
      </c>
      <c r="U190" s="3" t="e">
        <f ca="1"/>
        <v>#NAME?</v>
      </c>
    </row>
    <row r="191" spans="3:21" ht="12.5" x14ac:dyDescent="0.25">
      <c r="C191" s="4">
        <f ca="1">IFERROR(__xludf.DUMMYFUNCTION("""COMPUTED_VALUE"""),40396.9986111111)</f>
        <v>40396.998611111099</v>
      </c>
      <c r="D191" s="2">
        <f ca="1">IFERROR(__xludf.DUMMYFUNCTION("""COMPUTED_VALUE"""),45.96)</f>
        <v>45.96</v>
      </c>
      <c r="E191" s="2">
        <f ca="1">IFERROR(__xludf.DUMMYFUNCTION("""COMPUTED_VALUE"""),60.893)</f>
        <v>60.893000000000001</v>
      </c>
      <c r="F191" s="2">
        <f ca="1">IFERROR(__xludf.DUMMYFUNCTION("""COMPUTED_VALUE"""),73.304)</f>
        <v>73.304000000000002</v>
      </c>
      <c r="G191" s="2">
        <f ca="1">IFERROR(__xludf.DUMMYFUNCTION("""COMPUTED_VALUE"""),0.53783)</f>
        <v>0.53783000000000003</v>
      </c>
      <c r="H191" s="2">
        <f ca="1">IFERROR(__xludf.DUMMYFUNCTION("""COMPUTED_VALUE"""),43.445)</f>
        <v>43.445</v>
      </c>
      <c r="I191" s="2">
        <f ca="1">IFERROR(__xludf.DUMMYFUNCTION("""COMPUTED_VALUE"""),44.119)</f>
        <v>44.119</v>
      </c>
      <c r="J191" s="2">
        <f ca="1">IFERROR(__xludf.DUMMYFUNCTION("""COMPUTED_VALUE"""),34.289)</f>
        <v>34.289000000000001</v>
      </c>
      <c r="K191" s="2">
        <f ca="1">IFERROR(__xludf.DUMMYFUNCTION("""COMPUTED_VALUE"""),44.202)</f>
        <v>44.201999999999998</v>
      </c>
      <c r="L191" s="2">
        <f ca="1">IFERROR(__xludf.DUMMYFUNCTION("""COMPUTED_VALUE"""),10.333)</f>
        <v>10.333</v>
      </c>
      <c r="M191" s="2">
        <f ca="1">IFERROR(__xludf.DUMMYFUNCTION("""COMPUTED_VALUE"""),12.403)</f>
        <v>12.403</v>
      </c>
      <c r="U191" s="3" t="e">
        <f ca="1"/>
        <v>#NAME?</v>
      </c>
    </row>
    <row r="192" spans="3:21" ht="12.5" x14ac:dyDescent="0.25">
      <c r="C192" s="4">
        <f ca="1">IFERROR(__xludf.DUMMYFUNCTION("""COMPUTED_VALUE"""),40397.9986111111)</f>
        <v>40397.998611111099</v>
      </c>
      <c r="D192" s="2">
        <f ca="1">IFERROR(__xludf.DUMMYFUNCTION("""COMPUTED_VALUE"""),45.958)</f>
        <v>45.957999999999998</v>
      </c>
      <c r="E192" s="2">
        <f ca="1">IFERROR(__xludf.DUMMYFUNCTION("""COMPUTED_VALUE"""),60.503)</f>
        <v>60.503</v>
      </c>
      <c r="F192" s="2">
        <f ca="1">IFERROR(__xludf.DUMMYFUNCTION("""COMPUTED_VALUE"""),73.374)</f>
        <v>73.373999999999995</v>
      </c>
      <c r="G192" s="2">
        <f ca="1">IFERROR(__xludf.DUMMYFUNCTION("""COMPUTED_VALUE"""),0.53851)</f>
        <v>0.53851000000000004</v>
      </c>
      <c r="H192" s="2">
        <f ca="1">IFERROR(__xludf.DUMMYFUNCTION("""COMPUTED_VALUE"""),43.14)</f>
        <v>43.14</v>
      </c>
      <c r="I192" s="2">
        <f ca="1">IFERROR(__xludf.DUMMYFUNCTION("""COMPUTED_VALUE"""),43.956)</f>
        <v>43.956000000000003</v>
      </c>
      <c r="J192" s="2">
        <f ca="1">IFERROR(__xludf.DUMMYFUNCTION("""COMPUTED_VALUE"""),34.227)</f>
        <v>34.226999999999997</v>
      </c>
      <c r="K192" s="2">
        <f ca="1">IFERROR(__xludf.DUMMYFUNCTION("""COMPUTED_VALUE"""),44.528)</f>
        <v>44.527999999999999</v>
      </c>
      <c r="L192" s="2">
        <f ca="1">IFERROR(__xludf.DUMMYFUNCTION("""COMPUTED_VALUE"""),10.278)</f>
        <v>10.278</v>
      </c>
      <c r="M192" s="2">
        <f ca="1">IFERROR(__xludf.DUMMYFUNCTION("""COMPUTED_VALUE"""),12.374)</f>
        <v>12.374000000000001</v>
      </c>
      <c r="U192" s="3" t="e">
        <f ca="1"/>
        <v>#NAME?</v>
      </c>
    </row>
    <row r="193" spans="3:21" ht="12.5" x14ac:dyDescent="0.25">
      <c r="C193" s="4">
        <f ca="1">IFERROR(__xludf.DUMMYFUNCTION("""COMPUTED_VALUE"""),40399.9986111111)</f>
        <v>40399.998611111099</v>
      </c>
      <c r="D193" s="2">
        <f ca="1">IFERROR(__xludf.DUMMYFUNCTION("""COMPUTED_VALUE"""),46.078)</f>
        <v>46.078000000000003</v>
      </c>
      <c r="E193" s="2">
        <f ca="1">IFERROR(__xludf.DUMMYFUNCTION("""COMPUTED_VALUE"""),60.797)</f>
        <v>60.796999999999997</v>
      </c>
      <c r="F193" s="2">
        <f ca="1">IFERROR(__xludf.DUMMYFUNCTION("""COMPUTED_VALUE"""),73.478)</f>
        <v>73.477999999999994</v>
      </c>
      <c r="G193" s="2">
        <f ca="1">IFERROR(__xludf.DUMMYFUNCTION("""COMPUTED_VALUE"""),0.53459)</f>
        <v>0.53459000000000001</v>
      </c>
      <c r="H193" s="2">
        <f ca="1">IFERROR(__xludf.DUMMYFUNCTION("""COMPUTED_VALUE"""),43.233)</f>
        <v>43.232999999999997</v>
      </c>
      <c r="I193" s="2">
        <f ca="1">IFERROR(__xludf.DUMMYFUNCTION("""COMPUTED_VALUE"""),43.93)</f>
        <v>43.93</v>
      </c>
      <c r="J193" s="2">
        <f ca="1">IFERROR(__xludf.DUMMYFUNCTION("""COMPUTED_VALUE"""),34.083)</f>
        <v>34.082999999999998</v>
      </c>
      <c r="K193" s="2">
        <f ca="1">IFERROR(__xludf.DUMMYFUNCTION("""COMPUTED_VALUE"""),44.408)</f>
        <v>44.408000000000001</v>
      </c>
      <c r="L193" s="2">
        <f ca="1">IFERROR(__xludf.DUMMYFUNCTION("""COMPUTED_VALUE"""),10.269)</f>
        <v>10.269</v>
      </c>
      <c r="M193" s="2">
        <f ca="1">IFERROR(__xludf.DUMMYFUNCTION("""COMPUTED_VALUE"""),12.276)</f>
        <v>12.276</v>
      </c>
      <c r="U193" s="3" t="e">
        <f ca="1"/>
        <v>#NAME?</v>
      </c>
    </row>
    <row r="194" spans="3:21" ht="12.5" x14ac:dyDescent="0.25">
      <c r="C194" s="4">
        <f ca="1">IFERROR(__xludf.DUMMYFUNCTION("""COMPUTED_VALUE"""),40400.9986111111)</f>
        <v>40400.998611111099</v>
      </c>
      <c r="D194" s="2">
        <f ca="1">IFERROR(__xludf.DUMMYFUNCTION("""COMPUTED_VALUE"""),46.31)</f>
        <v>46.31</v>
      </c>
      <c r="E194" s="2">
        <f ca="1">IFERROR(__xludf.DUMMYFUNCTION("""COMPUTED_VALUE"""),60.586)</f>
        <v>60.585999999999999</v>
      </c>
      <c r="F194" s="2">
        <f ca="1">IFERROR(__xludf.DUMMYFUNCTION("""COMPUTED_VALUE"""),73.138)</f>
        <v>73.138000000000005</v>
      </c>
      <c r="G194" s="2">
        <f ca="1">IFERROR(__xludf.DUMMYFUNCTION("""COMPUTED_VALUE"""),0.53333)</f>
        <v>0.53332999999999997</v>
      </c>
      <c r="H194" s="2">
        <f ca="1">IFERROR(__xludf.DUMMYFUNCTION("""COMPUTED_VALUE"""),43.291)</f>
        <v>43.290999999999997</v>
      </c>
      <c r="I194" s="2">
        <f ca="1">IFERROR(__xludf.DUMMYFUNCTION("""COMPUTED_VALUE"""),43.783)</f>
        <v>43.783000000000001</v>
      </c>
      <c r="J194" s="2">
        <f ca="1">IFERROR(__xludf.DUMMYFUNCTION("""COMPUTED_VALUE"""),34.033)</f>
        <v>34.033000000000001</v>
      </c>
      <c r="K194" s="2">
        <f ca="1">IFERROR(__xludf.DUMMYFUNCTION("""COMPUTED_VALUE"""),43.83)</f>
        <v>43.83</v>
      </c>
      <c r="L194" s="2">
        <f ca="1">IFERROR(__xludf.DUMMYFUNCTION("""COMPUTED_VALUE"""),10.271)</f>
        <v>10.271000000000001</v>
      </c>
      <c r="M194" s="2">
        <f ca="1">IFERROR(__xludf.DUMMYFUNCTION("""COMPUTED_VALUE"""),12.233)</f>
        <v>12.233000000000001</v>
      </c>
      <c r="U194" s="3" t="e">
        <f ca="1"/>
        <v>#NAME?</v>
      </c>
    </row>
    <row r="195" spans="3:21" ht="12.5" x14ac:dyDescent="0.25">
      <c r="C195" s="4">
        <f ca="1">IFERROR(__xludf.DUMMYFUNCTION("""COMPUTED_VALUE"""),40401.9986111111)</f>
        <v>40401.998611111099</v>
      </c>
      <c r="D195" s="2">
        <f ca="1">IFERROR(__xludf.DUMMYFUNCTION("""COMPUTED_VALUE"""),46.59)</f>
        <v>46.59</v>
      </c>
      <c r="E195" s="2">
        <f ca="1">IFERROR(__xludf.DUMMYFUNCTION("""COMPUTED_VALUE"""),61.128)</f>
        <v>61.128</v>
      </c>
      <c r="F195" s="2">
        <f ca="1">IFERROR(__xludf.DUMMYFUNCTION("""COMPUTED_VALUE"""),73.043)</f>
        <v>73.043000000000006</v>
      </c>
      <c r="G195" s="2">
        <f ca="1">IFERROR(__xludf.DUMMYFUNCTION("""COMPUTED_VALUE"""),0.53737)</f>
        <v>0.53737000000000001</v>
      </c>
      <c r="H195" s="2">
        <f ca="1">IFERROR(__xludf.DUMMYFUNCTION("""COMPUTED_VALUE"""),43.586)</f>
        <v>43.585999999999999</v>
      </c>
      <c r="I195" s="2">
        <f ca="1">IFERROR(__xludf.DUMMYFUNCTION("""COMPUTED_VALUE"""),43.734)</f>
        <v>43.734000000000002</v>
      </c>
      <c r="J195" s="2">
        <f ca="1">IFERROR(__xludf.DUMMYFUNCTION("""COMPUTED_VALUE"""),34.181)</f>
        <v>34.180999999999997</v>
      </c>
      <c r="K195" s="2">
        <f ca="1">IFERROR(__xludf.DUMMYFUNCTION("""COMPUTED_VALUE"""),43.83)</f>
        <v>43.83</v>
      </c>
      <c r="L195" s="2">
        <f ca="1">IFERROR(__xludf.DUMMYFUNCTION("""COMPUTED_VALUE"""),10.276)</f>
        <v>10.276</v>
      </c>
      <c r="M195" s="2">
        <f ca="1">IFERROR(__xludf.DUMMYFUNCTION("""COMPUTED_VALUE"""),12.265)</f>
        <v>12.265000000000001</v>
      </c>
      <c r="U195" s="3" t="e">
        <f ca="1"/>
        <v>#NAME?</v>
      </c>
    </row>
    <row r="196" spans="3:21" ht="12.5" x14ac:dyDescent="0.25">
      <c r="C196" s="4">
        <f ca="1">IFERROR(__xludf.DUMMYFUNCTION("""COMPUTED_VALUE"""),40402.9986111111)</f>
        <v>40402.998611111099</v>
      </c>
      <c r="D196" s="2">
        <f ca="1">IFERROR(__xludf.DUMMYFUNCTION("""COMPUTED_VALUE"""),46.71)</f>
        <v>46.71</v>
      </c>
      <c r="E196" s="2">
        <f ca="1">IFERROR(__xludf.DUMMYFUNCTION("""COMPUTED_VALUE"""),60.917)</f>
        <v>60.917000000000002</v>
      </c>
      <c r="F196" s="2">
        <f ca="1">IFERROR(__xludf.DUMMYFUNCTION("""COMPUTED_VALUE"""),72.741)</f>
        <v>72.741</v>
      </c>
      <c r="G196" s="2">
        <f ca="1">IFERROR(__xludf.DUMMYFUNCTION("""COMPUTED_VALUE"""),0.53438)</f>
        <v>0.53437999999999997</v>
      </c>
      <c r="H196" s="2">
        <f ca="1">IFERROR(__xludf.DUMMYFUNCTION("""COMPUTED_VALUE"""),43.332)</f>
        <v>43.332000000000001</v>
      </c>
      <c r="I196" s="2">
        <f ca="1">IFERROR(__xludf.DUMMYFUNCTION("""COMPUTED_VALUE"""),43.342)</f>
        <v>43.341999999999999</v>
      </c>
      <c r="J196" s="2">
        <f ca="1">IFERROR(__xludf.DUMMYFUNCTION("""COMPUTED_VALUE"""),33.949)</f>
        <v>33.948999999999998</v>
      </c>
      <c r="K196" s="2">
        <f ca="1">IFERROR(__xludf.DUMMYFUNCTION("""COMPUTED_VALUE"""),43.806)</f>
        <v>43.805999999999997</v>
      </c>
      <c r="L196" s="2">
        <f ca="1">IFERROR(__xludf.DUMMYFUNCTION("""COMPUTED_VALUE"""),10.351)</f>
        <v>10.351000000000001</v>
      </c>
      <c r="M196" s="2">
        <f ca="1">IFERROR(__xludf.DUMMYFUNCTION("""COMPUTED_VALUE"""),12.167)</f>
        <v>12.167</v>
      </c>
      <c r="U196" s="3" t="e">
        <f ca="1"/>
        <v>#NAME?</v>
      </c>
    </row>
    <row r="197" spans="3:21" ht="12.5" x14ac:dyDescent="0.25">
      <c r="C197" s="4">
        <f ca="1">IFERROR(__xludf.DUMMYFUNCTION("""COMPUTED_VALUE"""),40403.9986111111)</f>
        <v>40403.998611111099</v>
      </c>
      <c r="D197" s="2">
        <f ca="1">IFERROR(__xludf.DUMMYFUNCTION("""COMPUTED_VALUE"""),46.6)</f>
        <v>46.6</v>
      </c>
      <c r="E197" s="2">
        <f ca="1">IFERROR(__xludf.DUMMYFUNCTION("""COMPUTED_VALUE"""),60.594)</f>
        <v>60.594000000000001</v>
      </c>
      <c r="F197" s="2">
        <f ca="1">IFERROR(__xludf.DUMMYFUNCTION("""COMPUTED_VALUE"""),72.633)</f>
        <v>72.632999999999996</v>
      </c>
      <c r="G197" s="2">
        <f ca="1">IFERROR(__xludf.DUMMYFUNCTION("""COMPUTED_VALUE"""),0.5334)</f>
        <v>0.53339999999999999</v>
      </c>
      <c r="H197" s="2">
        <f ca="1">IFERROR(__xludf.DUMMYFUNCTION("""COMPUTED_VALUE"""),42.95)</f>
        <v>42.95</v>
      </c>
      <c r="I197" s="2">
        <f ca="1">IFERROR(__xludf.DUMMYFUNCTION("""COMPUTED_VALUE"""),43.26)</f>
        <v>43.26</v>
      </c>
      <c r="J197" s="2">
        <f ca="1">IFERROR(__xludf.DUMMYFUNCTION("""COMPUTED_VALUE"""),33.852)</f>
        <v>33.851999999999997</v>
      </c>
      <c r="K197" s="2">
        <f ca="1">IFERROR(__xludf.DUMMYFUNCTION("""COMPUTED_VALUE"""),44.866)</f>
        <v>44.866</v>
      </c>
      <c r="L197" s="2">
        <f ca="1">IFERROR(__xludf.DUMMYFUNCTION("""COMPUTED_VALUE"""),10.297)</f>
        <v>10.297000000000001</v>
      </c>
      <c r="M197" s="2">
        <f ca="1">IFERROR(__xludf.DUMMYFUNCTION("""COMPUTED_VALUE"""),12.133)</f>
        <v>12.132999999999999</v>
      </c>
      <c r="U197" s="3" t="e">
        <f ca="1"/>
        <v>#NAME?</v>
      </c>
    </row>
    <row r="198" spans="3:21" ht="12.5" x14ac:dyDescent="0.25">
      <c r="C198" s="4">
        <f ca="1">IFERROR(__xludf.DUMMYFUNCTION("""COMPUTED_VALUE"""),40405.9986111111)</f>
        <v>40405.998611111099</v>
      </c>
      <c r="D198" s="2">
        <f ca="1">IFERROR(__xludf.DUMMYFUNCTION("""COMPUTED_VALUE"""),46.628)</f>
        <v>46.628</v>
      </c>
      <c r="E198" s="2">
        <f ca="1">IFERROR(__xludf.DUMMYFUNCTION("""COMPUTED_VALUE"""),61.101)</f>
        <v>61.100999999999999</v>
      </c>
      <c r="F198" s="2">
        <f ca="1">IFERROR(__xludf.DUMMYFUNCTION("""COMPUTED_VALUE"""),72.779)</f>
        <v>72.778999999999996</v>
      </c>
      <c r="G198" s="2">
        <f ca="1">IFERROR(__xludf.DUMMYFUNCTION("""COMPUTED_VALUE"""),0.53235)</f>
        <v>0.53234999999999999</v>
      </c>
      <c r="H198" s="2">
        <f ca="1">IFERROR(__xludf.DUMMYFUNCTION("""COMPUTED_VALUE"""),43.136)</f>
        <v>43.136000000000003</v>
      </c>
      <c r="I198" s="2">
        <f ca="1">IFERROR(__xludf.DUMMYFUNCTION("""COMPUTED_VALUE"""),43.455)</f>
        <v>43.454999999999998</v>
      </c>
      <c r="J198" s="2">
        <f ca="1">IFERROR(__xludf.DUMMYFUNCTION("""COMPUTED_VALUE"""),33.806)</f>
        <v>33.805999999999997</v>
      </c>
      <c r="K198" s="2">
        <f ca="1">IFERROR(__xludf.DUMMYFUNCTION("""COMPUTED_VALUE"""),44.729)</f>
        <v>44.728999999999999</v>
      </c>
      <c r="L198" s="2">
        <f ca="1">IFERROR(__xludf.DUMMYFUNCTION("""COMPUTED_VALUE"""),10.329)</f>
        <v>10.329000000000001</v>
      </c>
      <c r="M198" s="2">
        <f ca="1">IFERROR(__xludf.DUMMYFUNCTION("""COMPUTED_VALUE"""),12.074)</f>
        <v>12.074</v>
      </c>
      <c r="U198" s="3" t="e">
        <f ca="1"/>
        <v>#NAME?</v>
      </c>
    </row>
    <row r="199" spans="3:21" ht="12.5" x14ac:dyDescent="0.25">
      <c r="C199" s="4">
        <f ca="1">IFERROR(__xludf.DUMMYFUNCTION("""COMPUTED_VALUE"""),40406.9986111111)</f>
        <v>40406.998611111099</v>
      </c>
      <c r="D199" s="2">
        <f ca="1">IFERROR(__xludf.DUMMYFUNCTION("""COMPUTED_VALUE"""),46.683)</f>
        <v>46.683</v>
      </c>
      <c r="E199" s="2">
        <f ca="1">IFERROR(__xludf.DUMMYFUNCTION("""COMPUTED_VALUE"""),60.832)</f>
        <v>60.832000000000001</v>
      </c>
      <c r="F199" s="2">
        <f ca="1">IFERROR(__xludf.DUMMYFUNCTION("""COMPUTED_VALUE"""),73.19)</f>
        <v>73.19</v>
      </c>
      <c r="G199" s="2">
        <f ca="1">IFERROR(__xludf.DUMMYFUNCTION("""COMPUTED_VALUE"""),0.53319)</f>
        <v>0.53319000000000005</v>
      </c>
      <c r="H199" s="2">
        <f ca="1">IFERROR(__xludf.DUMMYFUNCTION("""COMPUTED_VALUE"""),43.018)</f>
        <v>43.018000000000001</v>
      </c>
      <c r="I199" s="2">
        <f ca="1">IFERROR(__xludf.DUMMYFUNCTION("""COMPUTED_VALUE"""),43.459)</f>
        <v>43.459000000000003</v>
      </c>
      <c r="J199" s="2">
        <f ca="1">IFERROR(__xludf.DUMMYFUNCTION("""COMPUTED_VALUE"""),33.82)</f>
        <v>33.82</v>
      </c>
      <c r="K199" s="2">
        <f ca="1">IFERROR(__xludf.DUMMYFUNCTION("""COMPUTED_VALUE"""),45.148)</f>
        <v>45.148000000000003</v>
      </c>
      <c r="L199" s="2">
        <f ca="1">IFERROR(__xludf.DUMMYFUNCTION("""COMPUTED_VALUE"""),10.294)</f>
        <v>10.294</v>
      </c>
      <c r="M199" s="2">
        <f ca="1">IFERROR(__xludf.DUMMYFUNCTION("""COMPUTED_VALUE"""),12.102)</f>
        <v>12.102</v>
      </c>
      <c r="U199" s="3" t="e">
        <f ca="1"/>
        <v>#NAME?</v>
      </c>
    </row>
    <row r="200" spans="3:21" ht="12.5" x14ac:dyDescent="0.25">
      <c r="C200" s="4">
        <f ca="1">IFERROR(__xludf.DUMMYFUNCTION("""COMPUTED_VALUE"""),40407.9986111111)</f>
        <v>40407.998611111099</v>
      </c>
      <c r="D200" s="2">
        <f ca="1">IFERROR(__xludf.DUMMYFUNCTION("""COMPUTED_VALUE"""),46.608)</f>
        <v>46.607999999999997</v>
      </c>
      <c r="E200" s="2">
        <f ca="1">IFERROR(__xludf.DUMMYFUNCTION("""COMPUTED_VALUE"""),61.423)</f>
        <v>61.423000000000002</v>
      </c>
      <c r="F200" s="2">
        <f ca="1">IFERROR(__xludf.DUMMYFUNCTION("""COMPUTED_VALUE"""),72.657)</f>
        <v>72.656999999999996</v>
      </c>
      <c r="G200" s="2">
        <f ca="1">IFERROR(__xludf.DUMMYFUNCTION("""COMPUTED_VALUE"""),0.53362)</f>
        <v>0.53361999999999998</v>
      </c>
      <c r="H200" s="2">
        <f ca="1">IFERROR(__xludf.DUMMYFUNCTION("""COMPUTED_VALUE"""),43.144)</f>
        <v>43.143999999999998</v>
      </c>
      <c r="I200" s="2">
        <f ca="1">IFERROR(__xludf.DUMMYFUNCTION("""COMPUTED_VALUE"""),43.667)</f>
        <v>43.667000000000002</v>
      </c>
      <c r="J200" s="2">
        <f ca="1">IFERROR(__xludf.DUMMYFUNCTION("""COMPUTED_VALUE"""),33.922)</f>
        <v>33.921999999999997</v>
      </c>
      <c r="K200" s="2">
        <f ca="1">IFERROR(__xludf.DUMMYFUNCTION("""COMPUTED_VALUE"""),44.487)</f>
        <v>44.487000000000002</v>
      </c>
      <c r="L200" s="2">
        <f ca="1">IFERROR(__xludf.DUMMYFUNCTION("""COMPUTED_VALUE"""),10.324)</f>
        <v>10.324</v>
      </c>
      <c r="M200" s="2">
        <f ca="1">IFERROR(__xludf.DUMMYFUNCTION("""COMPUTED_VALUE"""),12.088)</f>
        <v>12.087999999999999</v>
      </c>
      <c r="U200" s="3" t="e">
        <f ca="1"/>
        <v>#NAME?</v>
      </c>
    </row>
    <row r="201" spans="3:21" ht="12.5" x14ac:dyDescent="0.25">
      <c r="C201" s="4">
        <f ca="1">IFERROR(__xludf.DUMMYFUNCTION("""COMPUTED_VALUE"""),40408.9986111111)</f>
        <v>40408.998611111099</v>
      </c>
      <c r="D201" s="2">
        <f ca="1">IFERROR(__xludf.DUMMYFUNCTION("""COMPUTED_VALUE"""),46.538)</f>
        <v>46.537999999999997</v>
      </c>
      <c r="E201" s="2">
        <f ca="1">IFERROR(__xludf.DUMMYFUNCTION("""COMPUTED_VALUE"""),61.566)</f>
        <v>61.566000000000003</v>
      </c>
      <c r="F201" s="2">
        <f ca="1">IFERROR(__xludf.DUMMYFUNCTION("""COMPUTED_VALUE"""),72.671)</f>
        <v>72.671000000000006</v>
      </c>
      <c r="G201" s="2">
        <f ca="1">IFERROR(__xludf.DUMMYFUNCTION("""COMPUTED_VALUE"""),0.53259)</f>
        <v>0.53259000000000001</v>
      </c>
      <c r="H201" s="2">
        <f ca="1">IFERROR(__xludf.DUMMYFUNCTION("""COMPUTED_VALUE"""),43.146)</f>
        <v>43.146000000000001</v>
      </c>
      <c r="I201" s="2">
        <f ca="1">IFERROR(__xludf.DUMMYFUNCTION("""COMPUTED_VALUE"""),43.744)</f>
        <v>43.744</v>
      </c>
      <c r="J201" s="2">
        <f ca="1">IFERROR(__xludf.DUMMYFUNCTION("""COMPUTED_VALUE"""),33.801)</f>
        <v>33.801000000000002</v>
      </c>
      <c r="K201" s="2">
        <f ca="1">IFERROR(__xludf.DUMMYFUNCTION("""COMPUTED_VALUE"""),44.508)</f>
        <v>44.508000000000003</v>
      </c>
      <c r="L201" s="2">
        <f ca="1">IFERROR(__xludf.DUMMYFUNCTION("""COMPUTED_VALUE"""),10.33)</f>
        <v>10.33</v>
      </c>
      <c r="M201" s="2">
        <f ca="1">IFERROR(__xludf.DUMMYFUNCTION("""COMPUTED_VALUE"""),12.034)</f>
        <v>12.034000000000001</v>
      </c>
      <c r="U201" s="3" t="e">
        <f ca="1"/>
        <v>#NAME?</v>
      </c>
    </row>
    <row r="202" spans="3:21" ht="12.5" x14ac:dyDescent="0.25">
      <c r="C202" s="4">
        <f ca="1">IFERROR(__xludf.DUMMYFUNCTION("""COMPUTED_VALUE"""),40409.9986111111)</f>
        <v>40409.998611111099</v>
      </c>
      <c r="D202" s="2">
        <f ca="1">IFERROR(__xludf.DUMMYFUNCTION("""COMPUTED_VALUE"""),46.358)</f>
        <v>46.357999999999997</v>
      </c>
      <c r="E202" s="2">
        <f ca="1">IFERROR(__xludf.DUMMYFUNCTION("""COMPUTED_VALUE"""),61.321)</f>
        <v>61.320999999999998</v>
      </c>
      <c r="F202" s="2">
        <f ca="1">IFERROR(__xludf.DUMMYFUNCTION("""COMPUTED_VALUE"""),72.348)</f>
        <v>72.347999999999999</v>
      </c>
      <c r="G202" s="2">
        <f ca="1">IFERROR(__xludf.DUMMYFUNCTION("""COMPUTED_VALUE"""),0.53611)</f>
        <v>0.53610999999999998</v>
      </c>
      <c r="H202" s="2">
        <f ca="1">IFERROR(__xludf.DUMMYFUNCTION("""COMPUTED_VALUE"""),43.285)</f>
        <v>43.284999999999997</v>
      </c>
      <c r="I202" s="2">
        <f ca="1">IFERROR(__xludf.DUMMYFUNCTION("""COMPUTED_VALUE"""),43.424)</f>
        <v>43.423999999999999</v>
      </c>
      <c r="J202" s="2">
        <f ca="1">IFERROR(__xludf.DUMMYFUNCTION("""COMPUTED_VALUE"""),33.779)</f>
        <v>33.779000000000003</v>
      </c>
      <c r="K202" s="2">
        <f ca="1">IFERROR(__xludf.DUMMYFUNCTION("""COMPUTED_VALUE"""),44.833)</f>
        <v>44.832999999999998</v>
      </c>
      <c r="L202" s="2">
        <f ca="1">IFERROR(__xludf.DUMMYFUNCTION("""COMPUTED_VALUE"""),10.292)</f>
        <v>10.292</v>
      </c>
      <c r="M202" s="2">
        <f ca="1">IFERROR(__xludf.DUMMYFUNCTION("""COMPUTED_VALUE"""),12.034)</f>
        <v>12.034000000000001</v>
      </c>
      <c r="U202" s="3" t="e">
        <f ca="1"/>
        <v>#NAME?</v>
      </c>
    </row>
    <row r="203" spans="3:21" ht="12.5" x14ac:dyDescent="0.25">
      <c r="C203" s="4">
        <f ca="1">IFERROR(__xludf.DUMMYFUNCTION("""COMPUTED_VALUE"""),40410.9986111111)</f>
        <v>40410.998611111099</v>
      </c>
      <c r="D203" s="2">
        <f ca="1">IFERROR(__xludf.DUMMYFUNCTION("""COMPUTED_VALUE"""),46.608)</f>
        <v>46.607999999999997</v>
      </c>
      <c r="E203" s="2">
        <f ca="1">IFERROR(__xludf.DUMMYFUNCTION("""COMPUTED_VALUE"""),61.369)</f>
        <v>61.369</v>
      </c>
      <c r="F203" s="2">
        <f ca="1">IFERROR(__xludf.DUMMYFUNCTION("""COMPUTED_VALUE"""),72.303)</f>
        <v>72.302999999999997</v>
      </c>
      <c r="G203" s="2">
        <f ca="1">IFERROR(__xludf.DUMMYFUNCTION("""COMPUTED_VALUE"""),0.53729)</f>
        <v>0.53729000000000005</v>
      </c>
      <c r="H203" s="2">
        <f ca="1">IFERROR(__xludf.DUMMYFUNCTION("""COMPUTED_VALUE"""),43.501)</f>
        <v>43.500999999999998</v>
      </c>
      <c r="I203" s="2">
        <f ca="1">IFERROR(__xludf.DUMMYFUNCTION("""COMPUTED_VALUE"""),43.6)</f>
        <v>43.6</v>
      </c>
      <c r="J203" s="2">
        <f ca="1">IFERROR(__xludf.DUMMYFUNCTION("""COMPUTED_VALUE"""),33.767)</f>
        <v>33.767000000000003</v>
      </c>
      <c r="K203" s="2">
        <f ca="1">IFERROR(__xludf.DUMMYFUNCTION("""COMPUTED_VALUE"""),43.858)</f>
        <v>43.857999999999997</v>
      </c>
      <c r="L203" s="2">
        <f ca="1">IFERROR(__xludf.DUMMYFUNCTION("""COMPUTED_VALUE"""),10.276)</f>
        <v>10.276</v>
      </c>
      <c r="M203" s="2">
        <f ca="1">IFERROR(__xludf.DUMMYFUNCTION("""COMPUTED_VALUE"""),12.004)</f>
        <v>12.004</v>
      </c>
      <c r="U203" s="3" t="e">
        <f ca="1"/>
        <v>#NAME?</v>
      </c>
    </row>
    <row r="204" spans="3:21" ht="12.5" x14ac:dyDescent="0.25">
      <c r="C204" s="4">
        <f ca="1">IFERROR(__xludf.DUMMYFUNCTION("""COMPUTED_VALUE"""),40411.9986111111)</f>
        <v>40411.998611111099</v>
      </c>
      <c r="D204" s="2">
        <f ca="1">IFERROR(__xludf.DUMMYFUNCTION("""COMPUTED_VALUE"""),46.608)</f>
        <v>46.607999999999997</v>
      </c>
      <c r="E204" s="2">
        <f ca="1">IFERROR(__xludf.DUMMYFUNCTION("""COMPUTED_VALUE"""),60.9046)</f>
        <v>60.904600000000002</v>
      </c>
      <c r="F204" s="2">
        <f ca="1">IFERROR(__xludf.DUMMYFUNCTION("""COMPUTED_VALUE"""),72.3)</f>
        <v>72.3</v>
      </c>
      <c r="G204" s="2">
        <f ca="1">IFERROR(__xludf.DUMMYFUNCTION("""COMPUTED_VALUE"""),0.54045)</f>
        <v>0.54044999999999999</v>
      </c>
      <c r="H204" s="2">
        <f ca="1">IFERROR(__xludf.DUMMYFUNCTION("""COMPUTED_VALUE"""),43.657)</f>
        <v>43.656999999999996</v>
      </c>
      <c r="I204" s="2">
        <f ca="1">IFERROR(__xludf.DUMMYFUNCTION("""COMPUTED_VALUE"""),43.764)</f>
        <v>43.764000000000003</v>
      </c>
      <c r="J204" s="2">
        <f ca="1">IFERROR(__xludf.DUMMYFUNCTION("""COMPUTED_VALUE"""),33.961)</f>
        <v>33.960999999999999</v>
      </c>
      <c r="K204" s="2">
        <f ca="1">IFERROR(__xludf.DUMMYFUNCTION("""COMPUTED_VALUE"""),44.158)</f>
        <v>44.158000000000001</v>
      </c>
      <c r="L204" s="2">
        <f ca="1">IFERROR(__xludf.DUMMYFUNCTION("""COMPUTED_VALUE"""),10.255)</f>
        <v>10.255000000000001</v>
      </c>
      <c r="M204" s="2">
        <f ca="1">IFERROR(__xludf.DUMMYFUNCTION("""COMPUTED_VALUE"""),12.077)</f>
        <v>12.077</v>
      </c>
      <c r="U204" s="3" t="e">
        <f ca="1"/>
        <v>#NAME?</v>
      </c>
    </row>
    <row r="205" spans="3:21" ht="12.5" x14ac:dyDescent="0.25">
      <c r="C205" s="4">
        <f ca="1">IFERROR(__xludf.DUMMYFUNCTION("""COMPUTED_VALUE"""),40412.9986111111)</f>
        <v>40412.998611111099</v>
      </c>
      <c r="D205" s="2">
        <f ca="1">IFERROR(__xludf.DUMMYFUNCTION("""COMPUTED_VALUE"""),46.608)</f>
        <v>46.607999999999997</v>
      </c>
      <c r="E205" s="2">
        <f ca="1">IFERROR(__xludf.DUMMYFUNCTION("""COMPUTED_VALUE"""),61.971)</f>
        <v>61.970999999999997</v>
      </c>
      <c r="F205" s="2">
        <f ca="1">IFERROR(__xludf.DUMMYFUNCTION("""COMPUTED_VALUE"""),72.445)</f>
        <v>72.444999999999993</v>
      </c>
      <c r="G205" s="2">
        <f ca="1">IFERROR(__xludf.DUMMYFUNCTION("""COMPUTED_VALUE"""),0.54418)</f>
        <v>0.54418</v>
      </c>
      <c r="H205" s="2">
        <f ca="1">IFERROR(__xludf.DUMMYFUNCTION("""COMPUTED_VALUE"""),43.89)</f>
        <v>43.89</v>
      </c>
      <c r="I205" s="2">
        <f ca="1">IFERROR(__xludf.DUMMYFUNCTION("""COMPUTED_VALUE"""),44.066)</f>
        <v>44.066000000000003</v>
      </c>
      <c r="J205" s="2">
        <f ca="1">IFERROR(__xludf.DUMMYFUNCTION("""COMPUTED_VALUE"""),34.087)</f>
        <v>34.087000000000003</v>
      </c>
      <c r="K205" s="2">
        <f ca="1">IFERROR(__xludf.DUMMYFUNCTION("""COMPUTED_VALUE"""),44.594)</f>
        <v>44.594000000000001</v>
      </c>
      <c r="L205" s="2">
        <f ca="1">IFERROR(__xludf.DUMMYFUNCTION("""COMPUTED_VALUE"""),10.255)</f>
        <v>10.255000000000001</v>
      </c>
      <c r="M205" s="2">
        <f ca="1">IFERROR(__xludf.DUMMYFUNCTION("""COMPUTED_VALUE"""),12.115)</f>
        <v>12.115</v>
      </c>
      <c r="U205" s="3" t="e">
        <f ca="1"/>
        <v>#NAME?</v>
      </c>
    </row>
    <row r="206" spans="3:21" ht="12.5" x14ac:dyDescent="0.25">
      <c r="C206" s="4">
        <f ca="1">IFERROR(__xludf.DUMMYFUNCTION("""COMPUTED_VALUE"""),40413.9986111111)</f>
        <v>40413.998611111099</v>
      </c>
      <c r="D206" s="2">
        <f ca="1">IFERROR(__xludf.DUMMYFUNCTION("""COMPUTED_VALUE"""),46.563)</f>
        <v>46.563000000000002</v>
      </c>
      <c r="E206" s="2">
        <f ca="1">IFERROR(__xludf.DUMMYFUNCTION("""COMPUTED_VALUE"""),61.89)</f>
        <v>61.89</v>
      </c>
      <c r="F206" s="2">
        <f ca="1">IFERROR(__xludf.DUMMYFUNCTION("""COMPUTED_VALUE"""),72.312)</f>
        <v>72.311999999999998</v>
      </c>
      <c r="G206" s="2">
        <f ca="1">IFERROR(__xludf.DUMMYFUNCTION("""COMPUTED_VALUE"""),0.54243)</f>
        <v>0.54242999999999997</v>
      </c>
      <c r="H206" s="2">
        <f ca="1">IFERROR(__xludf.DUMMYFUNCTION("""COMPUTED_VALUE"""),43.918)</f>
        <v>43.917999999999999</v>
      </c>
      <c r="I206" s="2">
        <f ca="1">IFERROR(__xludf.DUMMYFUNCTION("""COMPUTED_VALUE"""),44.158)</f>
        <v>44.158000000000001</v>
      </c>
      <c r="J206" s="2">
        <f ca="1">IFERROR(__xludf.DUMMYFUNCTION("""COMPUTED_VALUE"""),34.051)</f>
        <v>34.051000000000002</v>
      </c>
      <c r="K206" s="2">
        <f ca="1">IFERROR(__xludf.DUMMYFUNCTION("""COMPUTED_VALUE"""),44.532)</f>
        <v>44.531999999999996</v>
      </c>
      <c r="L206" s="2">
        <f ca="1">IFERROR(__xludf.DUMMYFUNCTION("""COMPUTED_VALUE"""),10.246)</f>
        <v>10.246</v>
      </c>
      <c r="M206" s="2">
        <f ca="1">IFERROR(__xludf.DUMMYFUNCTION("""COMPUTED_VALUE"""),12.072)</f>
        <v>12.071999999999999</v>
      </c>
      <c r="U206" s="3" t="e">
        <f ca="1"/>
        <v>#NAME?</v>
      </c>
    </row>
    <row r="207" spans="3:21" ht="12.5" x14ac:dyDescent="0.25">
      <c r="C207" s="4">
        <f ca="1">IFERROR(__xludf.DUMMYFUNCTION("""COMPUTED_VALUE"""),40414.9986111111)</f>
        <v>40414.998611111099</v>
      </c>
      <c r="D207" s="2">
        <f ca="1">IFERROR(__xludf.DUMMYFUNCTION("""COMPUTED_VALUE"""),46.858)</f>
        <v>46.857999999999997</v>
      </c>
      <c r="E207" s="2">
        <f ca="1">IFERROR(__xludf.DUMMYFUNCTION("""COMPUTED_VALUE"""),61.914)</f>
        <v>61.914000000000001</v>
      </c>
      <c r="F207" s="2">
        <f ca="1">IFERROR(__xludf.DUMMYFUNCTION("""COMPUTED_VALUE"""),72.486)</f>
        <v>72.486000000000004</v>
      </c>
      <c r="G207" s="2">
        <f ca="1">IFERROR(__xludf.DUMMYFUNCTION("""COMPUTED_VALUE"""),0.54045)</f>
        <v>0.54044999999999999</v>
      </c>
      <c r="H207" s="2">
        <f ca="1">IFERROR(__xludf.DUMMYFUNCTION("""COMPUTED_VALUE"""),43.759)</f>
        <v>43.759</v>
      </c>
      <c r="I207" s="2">
        <f ca="1">IFERROR(__xludf.DUMMYFUNCTION("""COMPUTED_VALUE"""),43.845)</f>
        <v>43.844999999999999</v>
      </c>
      <c r="J207" s="2">
        <f ca="1">IFERROR(__xludf.DUMMYFUNCTION("""COMPUTED_VALUE"""),33.933)</f>
        <v>33.933</v>
      </c>
      <c r="K207" s="2">
        <f ca="1">IFERROR(__xludf.DUMMYFUNCTION("""COMPUTED_VALUE"""),44.485)</f>
        <v>44.484999999999999</v>
      </c>
      <c r="L207" s="2">
        <f ca="1">IFERROR(__xludf.DUMMYFUNCTION("""COMPUTED_VALUE"""),10.277)</f>
        <v>10.276999999999999</v>
      </c>
      <c r="M207" s="2">
        <f ca="1">IFERROR(__xludf.DUMMYFUNCTION("""COMPUTED_VALUE"""),11.998)</f>
        <v>11.997999999999999</v>
      </c>
      <c r="U207" s="3" t="e">
        <f ca="1"/>
        <v>#NAME?</v>
      </c>
    </row>
    <row r="208" spans="3:21" ht="12.5" x14ac:dyDescent="0.25">
      <c r="C208" s="4">
        <f ca="1">IFERROR(__xludf.DUMMYFUNCTION("""COMPUTED_VALUE"""),40415.9986111111)</f>
        <v>40415.998611111099</v>
      </c>
      <c r="D208" s="2">
        <f ca="1">IFERROR(__xludf.DUMMYFUNCTION("""COMPUTED_VALUE"""),46.873)</f>
        <v>46.872999999999998</v>
      </c>
      <c r="E208" s="2">
        <f ca="1">IFERROR(__xludf.DUMMYFUNCTION("""COMPUTED_VALUE"""),61.522)</f>
        <v>61.521999999999998</v>
      </c>
      <c r="F208" s="2">
        <f ca="1">IFERROR(__xludf.DUMMYFUNCTION("""COMPUTED_VALUE"""),72.452)</f>
        <v>72.451999999999998</v>
      </c>
      <c r="G208" s="2">
        <f ca="1">IFERROR(__xludf.DUMMYFUNCTION("""COMPUTED_VALUE"""),0.54077)</f>
        <v>0.54076999999999997</v>
      </c>
      <c r="H208" s="2">
        <f ca="1">IFERROR(__xludf.DUMMYFUNCTION("""COMPUTED_VALUE"""),43.518)</f>
        <v>43.518000000000001</v>
      </c>
      <c r="I208" s="2">
        <f ca="1">IFERROR(__xludf.DUMMYFUNCTION("""COMPUTED_VALUE"""),43.488)</f>
        <v>43.488</v>
      </c>
      <c r="J208" s="2">
        <f ca="1">IFERROR(__xludf.DUMMYFUNCTION("""COMPUTED_VALUE"""),33.945)</f>
        <v>33.945</v>
      </c>
      <c r="K208" s="2">
        <f ca="1">IFERROR(__xludf.DUMMYFUNCTION("""COMPUTED_VALUE"""),44.352)</f>
        <v>44.351999999999997</v>
      </c>
      <c r="L208" s="2">
        <f ca="1">IFERROR(__xludf.DUMMYFUNCTION("""COMPUTED_VALUE"""),10.271)</f>
        <v>10.271000000000001</v>
      </c>
      <c r="M208" s="2">
        <f ca="1">IFERROR(__xludf.DUMMYFUNCTION("""COMPUTED_VALUE"""),11.99)</f>
        <v>11.99</v>
      </c>
      <c r="U208" s="3" t="e">
        <f ca="1"/>
        <v>#NAME?</v>
      </c>
    </row>
    <row r="209" spans="3:21" ht="12.5" x14ac:dyDescent="0.25">
      <c r="C209" s="4">
        <f ca="1">IFERROR(__xludf.DUMMYFUNCTION("""COMPUTED_VALUE"""),40416.9986111111)</f>
        <v>40416.998611111099</v>
      </c>
      <c r="D209" s="2">
        <f ca="1">IFERROR(__xludf.DUMMYFUNCTION("""COMPUTED_VALUE"""),46.788)</f>
        <v>46.787999999999997</v>
      </c>
      <c r="E209" s="2">
        <f ca="1">IFERROR(__xludf.DUMMYFUNCTION("""COMPUTED_VALUE"""),61.754)</f>
        <v>61.753999999999998</v>
      </c>
      <c r="F209" s="2">
        <f ca="1">IFERROR(__xludf.DUMMYFUNCTION("""COMPUTED_VALUE"""),72.849)</f>
        <v>72.849000000000004</v>
      </c>
      <c r="G209" s="2">
        <f ca="1">IFERROR(__xludf.DUMMYFUNCTION("""COMPUTED_VALUE"""),0.54397)</f>
        <v>0.54396999999999995</v>
      </c>
      <c r="H209" s="2">
        <f ca="1">IFERROR(__xludf.DUMMYFUNCTION("""COMPUTED_VALUE"""),43.883)</f>
        <v>43.883000000000003</v>
      </c>
      <c r="I209" s="2">
        <f ca="1">IFERROR(__xludf.DUMMYFUNCTION("""COMPUTED_VALUE"""),43.531)</f>
        <v>43.530999999999999</v>
      </c>
      <c r="J209" s="2">
        <f ca="1">IFERROR(__xludf.DUMMYFUNCTION("""COMPUTED_VALUE"""),34.048)</f>
        <v>34.048000000000002</v>
      </c>
      <c r="K209" s="2">
        <f ca="1">IFERROR(__xludf.DUMMYFUNCTION("""COMPUTED_VALUE"""),44.418)</f>
        <v>44.417999999999999</v>
      </c>
      <c r="L209" s="2">
        <f ca="1">IFERROR(__xludf.DUMMYFUNCTION("""COMPUTED_VALUE"""),10.259)</f>
        <v>10.259</v>
      </c>
      <c r="M209" s="2">
        <f ca="1">IFERROR(__xludf.DUMMYFUNCTION("""COMPUTED_VALUE"""),12.025)</f>
        <v>12.025</v>
      </c>
      <c r="U209" s="3" t="e">
        <f ca="1"/>
        <v>#NAME?</v>
      </c>
    </row>
    <row r="210" spans="3:21" ht="12.5" x14ac:dyDescent="0.25">
      <c r="C210" s="4">
        <f ca="1">IFERROR(__xludf.DUMMYFUNCTION("""COMPUTED_VALUE"""),40417.9986111111)</f>
        <v>40417.998611111099</v>
      </c>
      <c r="D210" s="2">
        <f ca="1">IFERROR(__xludf.DUMMYFUNCTION("""COMPUTED_VALUE"""),46.803)</f>
        <v>46.802999999999997</v>
      </c>
      <c r="E210" s="2">
        <f ca="1">IFERROR(__xludf.DUMMYFUNCTION("""COMPUTED_VALUE"""),60.892)</f>
        <v>60.892000000000003</v>
      </c>
      <c r="F210" s="2">
        <f ca="1">IFERROR(__xludf.DUMMYFUNCTION("""COMPUTED_VALUE"""),72.671)</f>
        <v>72.671000000000006</v>
      </c>
      <c r="G210" s="2">
        <f ca="1">IFERROR(__xludf.DUMMYFUNCTION("""COMPUTED_VALUE"""),0.54348)</f>
        <v>0.54347999999999996</v>
      </c>
      <c r="H210" s="2">
        <f ca="1">IFERROR(__xludf.DUMMYFUNCTION("""COMPUTED_VALUE"""),42.949)</f>
        <v>42.948999999999998</v>
      </c>
      <c r="I210" s="2">
        <f ca="1">IFERROR(__xludf.DUMMYFUNCTION("""COMPUTED_VALUE"""),42.985)</f>
        <v>42.984999999999999</v>
      </c>
      <c r="J210" s="2">
        <f ca="1">IFERROR(__xludf.DUMMYFUNCTION("""COMPUTED_VALUE"""),33.724)</f>
        <v>33.723999999999997</v>
      </c>
      <c r="K210" s="2">
        <f ca="1">IFERROR(__xludf.DUMMYFUNCTION("""COMPUTED_VALUE"""),43.713)</f>
        <v>43.713000000000001</v>
      </c>
      <c r="L210" s="2">
        <f ca="1">IFERROR(__xludf.DUMMYFUNCTION("""COMPUTED_VALUE"""),10.259)</f>
        <v>10.259</v>
      </c>
      <c r="M210" s="2">
        <f ca="1">IFERROR(__xludf.DUMMYFUNCTION("""COMPUTED_VALUE"""),12.069)</f>
        <v>12.069000000000001</v>
      </c>
      <c r="U210" s="3" t="e">
        <f ca="1"/>
        <v>#NAME?</v>
      </c>
    </row>
    <row r="211" spans="3:21" ht="12.5" x14ac:dyDescent="0.25">
      <c r="C211" s="4">
        <f ca="1">IFERROR(__xludf.DUMMYFUNCTION("""COMPUTED_VALUE"""),40418.9986111111)</f>
        <v>40418.998611111099</v>
      </c>
      <c r="D211" s="2">
        <f ca="1">IFERROR(__xludf.DUMMYFUNCTION("""COMPUTED_VALUE"""),46.803)</f>
        <v>46.802999999999997</v>
      </c>
      <c r="E211" s="2">
        <f ca="1">IFERROR(__xludf.DUMMYFUNCTION("""COMPUTED_VALUE"""),61.69)</f>
        <v>61.69</v>
      </c>
      <c r="F211" s="2">
        <f ca="1">IFERROR(__xludf.DUMMYFUNCTION("""COMPUTED_VALUE"""),72.664)</f>
        <v>72.664000000000001</v>
      </c>
      <c r="G211" s="2">
        <f ca="1">IFERROR(__xludf.DUMMYFUNCTION("""COMPUTED_VALUE"""),0.54474)</f>
        <v>0.54474</v>
      </c>
      <c r="H211" s="2">
        <f ca="1">IFERROR(__xludf.DUMMYFUNCTION("""COMPUTED_VALUE"""),43.596)</f>
        <v>43.595999999999997</v>
      </c>
      <c r="I211" s="2">
        <f ca="1">IFERROR(__xludf.DUMMYFUNCTION("""COMPUTED_VALUE"""),43.24)</f>
        <v>43.24</v>
      </c>
      <c r="J211" s="2">
        <f ca="1">IFERROR(__xludf.DUMMYFUNCTION("""COMPUTED_VALUE"""),33.94)</f>
        <v>33.94</v>
      </c>
      <c r="K211" s="2">
        <f ca="1">IFERROR(__xludf.DUMMYFUNCTION("""COMPUTED_VALUE"""),44.032)</f>
        <v>44.031999999999996</v>
      </c>
      <c r="L211" s="2">
        <f ca="1">IFERROR(__xludf.DUMMYFUNCTION("""COMPUTED_VALUE"""),10.259)</f>
        <v>10.259</v>
      </c>
      <c r="M211" s="2">
        <f ca="1">IFERROR(__xludf.DUMMYFUNCTION("""COMPUTED_VALUE"""),12.034)</f>
        <v>12.034000000000001</v>
      </c>
      <c r="U211" s="3" t="e">
        <f ca="1"/>
        <v>#NAME?</v>
      </c>
    </row>
    <row r="212" spans="3:21" ht="12.5" x14ac:dyDescent="0.25">
      <c r="C212" s="4">
        <f ca="1">IFERROR(__xludf.DUMMYFUNCTION("""COMPUTED_VALUE"""),40419.9986111111)</f>
        <v>40419.998611111099</v>
      </c>
      <c r="D212" s="2">
        <f ca="1">IFERROR(__xludf.DUMMYFUNCTION("""COMPUTED_VALUE"""),46.803)</f>
        <v>46.802999999999997</v>
      </c>
      <c r="E212" s="2">
        <f ca="1">IFERROR(__xludf.DUMMYFUNCTION("""COMPUTED_VALUE"""),61.556)</f>
        <v>61.555999999999997</v>
      </c>
      <c r="F212" s="2">
        <f ca="1">IFERROR(__xludf.DUMMYFUNCTION("""COMPUTED_VALUE"""),72.696)</f>
        <v>72.695999999999998</v>
      </c>
      <c r="G212" s="2">
        <f ca="1">IFERROR(__xludf.DUMMYFUNCTION("""COMPUTED_VALUE"""),0.54334)</f>
        <v>0.54334000000000005</v>
      </c>
      <c r="H212" s="2">
        <f ca="1">IFERROR(__xludf.DUMMYFUNCTION("""COMPUTED_VALUE"""),43.257)</f>
        <v>43.256999999999998</v>
      </c>
      <c r="I212" s="2">
        <f ca="1">IFERROR(__xludf.DUMMYFUNCTION("""COMPUTED_VALUE"""),43.063)</f>
        <v>43.063000000000002</v>
      </c>
      <c r="J212" s="2">
        <f ca="1">IFERROR(__xludf.DUMMYFUNCTION("""COMPUTED_VALUE"""),33.971)</f>
        <v>33.970999999999997</v>
      </c>
      <c r="K212" s="2">
        <f ca="1">IFERROR(__xludf.DUMMYFUNCTION("""COMPUTED_VALUE"""),44.269)</f>
        <v>44.268999999999998</v>
      </c>
      <c r="L212" s="2">
        <f ca="1">IFERROR(__xludf.DUMMYFUNCTION("""COMPUTED_VALUE"""),10.19)</f>
        <v>10.19</v>
      </c>
      <c r="M212" s="2">
        <f ca="1">IFERROR(__xludf.DUMMYFUNCTION("""COMPUTED_VALUE"""),12.034)</f>
        <v>12.034000000000001</v>
      </c>
      <c r="U212" s="3" t="e">
        <f ca="1"/>
        <v>#NAME?</v>
      </c>
    </row>
    <row r="213" spans="3:21" ht="12.5" x14ac:dyDescent="0.25">
      <c r="C213" s="4">
        <f ca="1">IFERROR(__xludf.DUMMYFUNCTION("""COMPUTED_VALUE"""),40420.9986111111)</f>
        <v>40420.998611111099</v>
      </c>
      <c r="D213" s="2">
        <f ca="1">IFERROR(__xludf.DUMMYFUNCTION("""COMPUTED_VALUE"""),46.873)</f>
        <v>46.872999999999998</v>
      </c>
      <c r="E213" s="2">
        <f ca="1">IFERROR(__xludf.DUMMYFUNCTION("""COMPUTED_VALUE"""),61.845)</f>
        <v>61.844999999999999</v>
      </c>
      <c r="F213" s="2">
        <f ca="1">IFERROR(__xludf.DUMMYFUNCTION("""COMPUTED_VALUE"""),72.524)</f>
        <v>72.524000000000001</v>
      </c>
      <c r="G213" s="2">
        <f ca="1">IFERROR(__xludf.DUMMYFUNCTION("""COMPUTED_VALUE"""),0.54578)</f>
        <v>0.54578000000000004</v>
      </c>
      <c r="H213" s="2">
        <f ca="1">IFERROR(__xludf.DUMMYFUNCTION("""COMPUTED_VALUE"""),43.576)</f>
        <v>43.576000000000001</v>
      </c>
      <c r="I213" s="2">
        <f ca="1">IFERROR(__xludf.DUMMYFUNCTION("""COMPUTED_VALUE"""),43.23)</f>
        <v>43.23</v>
      </c>
      <c r="J213" s="2">
        <f ca="1">IFERROR(__xludf.DUMMYFUNCTION("""COMPUTED_VALUE"""),34.233)</f>
        <v>34.232999999999997</v>
      </c>
      <c r="K213" s="2">
        <f ca="1">IFERROR(__xludf.DUMMYFUNCTION("""COMPUTED_VALUE"""),44.207)</f>
        <v>44.207000000000001</v>
      </c>
      <c r="L213" s="2">
        <f ca="1">IFERROR(__xludf.DUMMYFUNCTION("""COMPUTED_VALUE"""),10.255)</f>
        <v>10.255000000000001</v>
      </c>
      <c r="M213" s="2">
        <f ca="1">IFERROR(__xludf.DUMMYFUNCTION("""COMPUTED_VALUE"""),12.092)</f>
        <v>12.092000000000001</v>
      </c>
      <c r="U213" s="3" t="e">
        <f ca="1"/>
        <v>#NAME?</v>
      </c>
    </row>
    <row r="214" spans="3:21" ht="12.5" x14ac:dyDescent="0.25">
      <c r="C214" s="4">
        <f ca="1">IFERROR(__xludf.DUMMYFUNCTION("""COMPUTED_VALUE"""),40421.9986111111)</f>
        <v>40421.998611111099</v>
      </c>
      <c r="D214" s="2">
        <f ca="1">IFERROR(__xludf.DUMMYFUNCTION("""COMPUTED_VALUE"""),47.028)</f>
        <v>47.027999999999999</v>
      </c>
      <c r="E214" s="2">
        <f ca="1">IFERROR(__xludf.DUMMYFUNCTION("""COMPUTED_VALUE"""),61.861)</f>
        <v>61.860999999999997</v>
      </c>
      <c r="F214" s="2">
        <f ca="1">IFERROR(__xludf.DUMMYFUNCTION("""COMPUTED_VALUE"""),72.221)</f>
        <v>72.221000000000004</v>
      </c>
      <c r="G214" s="2">
        <f ca="1">IFERROR(__xludf.DUMMYFUNCTION("""COMPUTED_VALUE"""),0.54731)</f>
        <v>0.54730999999999996</v>
      </c>
      <c r="H214" s="2">
        <f ca="1">IFERROR(__xludf.DUMMYFUNCTION("""COMPUTED_VALUE"""),43.888)</f>
        <v>43.887999999999998</v>
      </c>
      <c r="I214" s="2">
        <f ca="1">IFERROR(__xludf.DUMMYFUNCTION("""COMPUTED_VALUE"""),43.442)</f>
        <v>43.442</v>
      </c>
      <c r="J214" s="2">
        <f ca="1">IFERROR(__xludf.DUMMYFUNCTION("""COMPUTED_VALUE"""),34.244)</f>
        <v>34.244</v>
      </c>
      <c r="K214" s="2">
        <f ca="1">IFERROR(__xludf.DUMMYFUNCTION("""COMPUTED_VALUE"""),44.06)</f>
        <v>44.06</v>
      </c>
      <c r="L214" s="2">
        <f ca="1">IFERROR(__xludf.DUMMYFUNCTION("""COMPUTED_VALUE"""),10.262)</f>
        <v>10.262</v>
      </c>
      <c r="M214" s="2">
        <f ca="1">IFERROR(__xludf.DUMMYFUNCTION("""COMPUTED_VALUE"""),12.048)</f>
        <v>12.048</v>
      </c>
      <c r="U214" s="3" t="e">
        <f ca="1"/>
        <v>#NAME?</v>
      </c>
    </row>
    <row r="215" spans="3:21" ht="12.5" x14ac:dyDescent="0.25">
      <c r="C215" s="4">
        <f ca="1">IFERROR(__xludf.DUMMYFUNCTION("""COMPUTED_VALUE"""),40422.9986111111)</f>
        <v>40422.998611111099</v>
      </c>
      <c r="D215" s="2">
        <f ca="1">IFERROR(__xludf.DUMMYFUNCTION("""COMPUTED_VALUE"""),46.65)</f>
        <v>46.65</v>
      </c>
      <c r="E215" s="2">
        <f ca="1">IFERROR(__xludf.DUMMYFUNCTION("""COMPUTED_VALUE"""),61.492)</f>
        <v>61.491999999999997</v>
      </c>
      <c r="F215" s="2">
        <f ca="1">IFERROR(__xludf.DUMMYFUNCTION("""COMPUTED_VALUE"""),72.086)</f>
        <v>72.085999999999999</v>
      </c>
      <c r="G215" s="2">
        <f ca="1">IFERROR(__xludf.DUMMYFUNCTION("""COMPUTED_VALUE"""),0.54478)</f>
        <v>0.54478000000000004</v>
      </c>
      <c r="H215" s="2">
        <f ca="1">IFERROR(__xludf.DUMMYFUNCTION("""COMPUTED_VALUE"""),43.701)</f>
        <v>43.701000000000001</v>
      </c>
      <c r="I215" s="2">
        <f ca="1">IFERROR(__xludf.DUMMYFUNCTION("""COMPUTED_VALUE"""),43.348)</f>
        <v>43.347999999999999</v>
      </c>
      <c r="J215" s="2">
        <f ca="1">IFERROR(__xludf.DUMMYFUNCTION("""COMPUTED_VALUE"""),34.205)</f>
        <v>34.204999999999998</v>
      </c>
      <c r="K215" s="2">
        <f ca="1">IFERROR(__xludf.DUMMYFUNCTION("""COMPUTED_VALUE"""),43.898)</f>
        <v>43.898000000000003</v>
      </c>
      <c r="L215" s="2">
        <f ca="1">IFERROR(__xludf.DUMMYFUNCTION("""COMPUTED_VALUE"""),10.229)</f>
        <v>10.228999999999999</v>
      </c>
      <c r="M215" s="2">
        <f ca="1">IFERROR(__xludf.DUMMYFUNCTION("""COMPUTED_VALUE"""),12.089)</f>
        <v>12.089</v>
      </c>
      <c r="U215" s="3" t="e">
        <f ca="1"/>
        <v>#NAME?</v>
      </c>
    </row>
    <row r="216" spans="3:21" ht="12.5" x14ac:dyDescent="0.25">
      <c r="C216" s="4">
        <f ca="1">IFERROR(__xludf.DUMMYFUNCTION("""COMPUTED_VALUE"""),40423.9986111111)</f>
        <v>40423.998611111099</v>
      </c>
      <c r="D216" s="2">
        <f ca="1">IFERROR(__xludf.DUMMYFUNCTION("""COMPUTED_VALUE"""),46.6)</f>
        <v>46.6</v>
      </c>
      <c r="E216" s="2">
        <f ca="1">IFERROR(__xludf.DUMMYFUNCTION("""COMPUTED_VALUE"""),61.151)</f>
        <v>61.151000000000003</v>
      </c>
      <c r="F216" s="2">
        <f ca="1">IFERROR(__xludf.DUMMYFUNCTION("""COMPUTED_VALUE"""),71.762)</f>
        <v>71.762</v>
      </c>
      <c r="G216" s="2">
        <f ca="1">IFERROR(__xludf.DUMMYFUNCTION("""COMPUTED_VALUE"""),0.54316)</f>
        <v>0.54315999999999998</v>
      </c>
      <c r="H216" s="2">
        <f ca="1">IFERROR(__xludf.DUMMYFUNCTION("""COMPUTED_VALUE"""),43.166)</f>
        <v>43.165999999999997</v>
      </c>
      <c r="I216" s="2">
        <f ca="1">IFERROR(__xludf.DUMMYFUNCTION("""COMPUTED_VALUE"""),43.206)</f>
        <v>43.206000000000003</v>
      </c>
      <c r="J216" s="2">
        <f ca="1">IFERROR(__xludf.DUMMYFUNCTION("""COMPUTED_VALUE"""),34.085)</f>
        <v>34.085000000000001</v>
      </c>
      <c r="K216" s="2">
        <f ca="1">IFERROR(__xludf.DUMMYFUNCTION("""COMPUTED_VALUE"""),44.05)</f>
        <v>44.05</v>
      </c>
      <c r="L216" s="2">
        <f ca="1">IFERROR(__xludf.DUMMYFUNCTION("""COMPUTED_VALUE"""),10.229)</f>
        <v>10.228999999999999</v>
      </c>
      <c r="M216" s="2">
        <f ca="1">IFERROR(__xludf.DUMMYFUNCTION("""COMPUTED_VALUE"""),12.094)</f>
        <v>12.093999999999999</v>
      </c>
      <c r="U216" s="3" t="e">
        <f ca="1"/>
        <v>#NAME?</v>
      </c>
    </row>
    <row r="217" spans="3:21" ht="12.5" x14ac:dyDescent="0.25">
      <c r="C217" s="4">
        <f ca="1">IFERROR(__xludf.DUMMYFUNCTION("""COMPUTED_VALUE"""),40424.9986111111)</f>
        <v>40424.998611111099</v>
      </c>
      <c r="D217" s="2">
        <f ca="1">IFERROR(__xludf.DUMMYFUNCTION("""COMPUTED_VALUE"""),46.46)</f>
        <v>46.46</v>
      </c>
      <c r="E217" s="2">
        <f ca="1">IFERROR(__xludf.DUMMYFUNCTION("""COMPUTED_VALUE"""),61.708)</f>
        <v>61.707999999999998</v>
      </c>
      <c r="F217" s="2">
        <f ca="1">IFERROR(__xludf.DUMMYFUNCTION("""COMPUTED_VALUE"""),71.743)</f>
        <v>71.742999999999995</v>
      </c>
      <c r="G217" s="2">
        <f ca="1">IFERROR(__xludf.DUMMYFUNCTION("""COMPUTED_VALUE"""),0.54661)</f>
        <v>0.54661000000000004</v>
      </c>
      <c r="H217" s="2">
        <f ca="1">IFERROR(__xludf.DUMMYFUNCTION("""COMPUTED_VALUE"""),43.34)</f>
        <v>43.34</v>
      </c>
      <c r="I217" s="2">
        <f ca="1">IFERROR(__xludf.DUMMYFUNCTION("""COMPUTED_VALUE"""),43.399)</f>
        <v>43.399000000000001</v>
      </c>
      <c r="J217" s="2">
        <f ca="1">IFERROR(__xludf.DUMMYFUNCTION("""COMPUTED_VALUE"""),34.176)</f>
        <v>34.176000000000002</v>
      </c>
      <c r="K217" s="2">
        <f ca="1">IFERROR(__xludf.DUMMYFUNCTION("""COMPUTED_VALUE"""),44.503)</f>
        <v>44.503</v>
      </c>
      <c r="L217" s="2">
        <f ca="1">IFERROR(__xludf.DUMMYFUNCTION("""COMPUTED_VALUE"""),10.229)</f>
        <v>10.228999999999999</v>
      </c>
      <c r="M217" s="2">
        <f ca="1">IFERROR(__xludf.DUMMYFUNCTION("""COMPUTED_VALUE"""),12.061)</f>
        <v>12.061</v>
      </c>
      <c r="U217" s="3" t="e">
        <f ca="1"/>
        <v>#NAME?</v>
      </c>
    </row>
    <row r="218" spans="3:21" ht="12.5" x14ac:dyDescent="0.25">
      <c r="C218" s="4">
        <f ca="1">IFERROR(__xludf.DUMMYFUNCTION("""COMPUTED_VALUE"""),40425.9986111111)</f>
        <v>40425.998611111099</v>
      </c>
      <c r="D218" s="2">
        <f ca="1">IFERROR(__xludf.DUMMYFUNCTION("""COMPUTED_VALUE"""),46.578)</f>
        <v>46.578000000000003</v>
      </c>
      <c r="E218" s="2">
        <f ca="1">IFERROR(__xludf.DUMMYFUNCTION("""COMPUTED_VALUE"""),61.681)</f>
        <v>61.680999999999997</v>
      </c>
      <c r="F218" s="2">
        <f ca="1">IFERROR(__xludf.DUMMYFUNCTION("""COMPUTED_VALUE"""),71.97)</f>
        <v>71.97</v>
      </c>
      <c r="G218" s="2">
        <f ca="1">IFERROR(__xludf.DUMMYFUNCTION("""COMPUTED_VALUE"""),0.55085)</f>
        <v>0.55084999999999995</v>
      </c>
      <c r="H218" s="2">
        <f ca="1">IFERROR(__xludf.DUMMYFUNCTION("""COMPUTED_VALUE"""),43.437)</f>
        <v>43.436999999999998</v>
      </c>
      <c r="I218" s="2">
        <f ca="1">IFERROR(__xludf.DUMMYFUNCTION("""COMPUTED_VALUE"""),43.461)</f>
        <v>43.460999999999999</v>
      </c>
      <c r="J218" s="2">
        <f ca="1">IFERROR(__xludf.DUMMYFUNCTION("""COMPUTED_VALUE"""),34.25)</f>
        <v>34.25</v>
      </c>
      <c r="K218" s="2">
        <f ca="1">IFERROR(__xludf.DUMMYFUNCTION("""COMPUTED_VALUE"""),44.311)</f>
        <v>44.311</v>
      </c>
      <c r="L218" s="2">
        <f ca="1">IFERROR(__xludf.DUMMYFUNCTION("""COMPUTED_VALUE"""),10.198)</f>
        <v>10.198</v>
      </c>
      <c r="M218" s="2">
        <f ca="1">IFERROR(__xludf.DUMMYFUNCTION("""COMPUTED_VALUE"""),12.069)</f>
        <v>12.069000000000001</v>
      </c>
      <c r="U218" s="3" t="e">
        <f ca="1"/>
        <v>#NAME?</v>
      </c>
    </row>
    <row r="219" spans="3:21" ht="12.5" x14ac:dyDescent="0.25">
      <c r="C219" s="4">
        <f ca="1">IFERROR(__xludf.DUMMYFUNCTION("""COMPUTED_VALUE"""),40427.9986111111)</f>
        <v>40427.998611111099</v>
      </c>
      <c r="D219" s="2">
        <f ca="1">IFERROR(__xludf.DUMMYFUNCTION("""COMPUTED_VALUE"""),46.513)</f>
        <v>46.512999999999998</v>
      </c>
      <c r="E219" s="2">
        <f ca="1">IFERROR(__xludf.DUMMYFUNCTION("""COMPUTED_VALUE"""),61.593)</f>
        <v>61.593000000000004</v>
      </c>
      <c r="F219" s="2">
        <f ca="1">IFERROR(__xludf.DUMMYFUNCTION("""COMPUTED_VALUE"""),71.646)</f>
        <v>71.646000000000001</v>
      </c>
      <c r="G219" s="2">
        <f ca="1">IFERROR(__xludf.DUMMYFUNCTION("""COMPUTED_VALUE"""),0.54995)</f>
        <v>0.54995000000000005</v>
      </c>
      <c r="H219" s="2">
        <f ca="1">IFERROR(__xludf.DUMMYFUNCTION("""COMPUTED_VALUE"""),43.721)</f>
        <v>43.720999999999997</v>
      </c>
      <c r="I219" s="2">
        <f ca="1">IFERROR(__xludf.DUMMYFUNCTION("""COMPUTED_VALUE"""),43.682)</f>
        <v>43.682000000000002</v>
      </c>
      <c r="J219" s="2">
        <f ca="1">IFERROR(__xludf.DUMMYFUNCTION("""COMPUTED_VALUE"""),34.327)</f>
        <v>34.326999999999998</v>
      </c>
      <c r="K219" s="2">
        <f ca="1">IFERROR(__xludf.DUMMYFUNCTION("""COMPUTED_VALUE"""),44.243)</f>
        <v>44.243000000000002</v>
      </c>
      <c r="L219" s="2">
        <f ca="1">IFERROR(__xludf.DUMMYFUNCTION("""COMPUTED_VALUE"""),10.25)</f>
        <v>10.25</v>
      </c>
      <c r="M219" s="2">
        <f ca="1">IFERROR(__xludf.DUMMYFUNCTION("""COMPUTED_VALUE"""),12.073)</f>
        <v>12.073</v>
      </c>
      <c r="U219" s="3" t="e">
        <f ca="1"/>
        <v>#NAME?</v>
      </c>
    </row>
    <row r="220" spans="3:21" ht="12.5" x14ac:dyDescent="0.25">
      <c r="C220" s="4">
        <f ca="1">IFERROR(__xludf.DUMMYFUNCTION("""COMPUTED_VALUE"""),40428.9986111111)</f>
        <v>40428.998611111099</v>
      </c>
      <c r="D220" s="2">
        <f ca="1">IFERROR(__xludf.DUMMYFUNCTION("""COMPUTED_VALUE"""),46.66)</f>
        <v>46.66</v>
      </c>
      <c r="E220" s="2">
        <f ca="1">IFERROR(__xludf.DUMMYFUNCTION("""COMPUTED_VALUE"""),62.026)</f>
        <v>62.026000000000003</v>
      </c>
      <c r="F220" s="2">
        <f ca="1">IFERROR(__xludf.DUMMYFUNCTION("""COMPUTED_VALUE"""),71.602)</f>
        <v>71.602000000000004</v>
      </c>
      <c r="G220" s="2">
        <f ca="1">IFERROR(__xludf.DUMMYFUNCTION("""COMPUTED_VALUE"""),0.54781)</f>
        <v>0.54781000000000002</v>
      </c>
      <c r="H220" s="2">
        <f ca="1">IFERROR(__xludf.DUMMYFUNCTION("""COMPUTED_VALUE"""),44.145)</f>
        <v>44.145000000000003</v>
      </c>
      <c r="I220" s="2">
        <f ca="1">IFERROR(__xludf.DUMMYFUNCTION("""COMPUTED_VALUE"""),43.788)</f>
        <v>43.787999999999997</v>
      </c>
      <c r="J220" s="2">
        <f ca="1">IFERROR(__xludf.DUMMYFUNCTION("""COMPUTED_VALUE"""),34.33)</f>
        <v>34.33</v>
      </c>
      <c r="K220" s="2">
        <f ca="1">IFERROR(__xludf.DUMMYFUNCTION("""COMPUTED_VALUE"""),44.98)</f>
        <v>44.98</v>
      </c>
      <c r="L220" s="2">
        <f ca="1">IFERROR(__xludf.DUMMYFUNCTION("""COMPUTED_VALUE"""),10.257)</f>
        <v>10.257</v>
      </c>
      <c r="M220" s="2">
        <f ca="1">IFERROR(__xludf.DUMMYFUNCTION("""COMPUTED_VALUE"""),12.034)</f>
        <v>12.034000000000001</v>
      </c>
      <c r="U220" s="3" t="e">
        <f ca="1"/>
        <v>#NAME?</v>
      </c>
    </row>
    <row r="221" spans="3:21" ht="12.5" x14ac:dyDescent="0.25">
      <c r="C221" s="4">
        <f ca="1">IFERROR(__xludf.DUMMYFUNCTION("""COMPUTED_VALUE"""),40429.9986111111)</f>
        <v>40429.998611111099</v>
      </c>
      <c r="D221" s="2">
        <f ca="1">IFERROR(__xludf.DUMMYFUNCTION("""COMPUTED_VALUE"""),46.518)</f>
        <v>46.518000000000001</v>
      </c>
      <c r="E221" s="2">
        <f ca="1">IFERROR(__xludf.DUMMYFUNCTION("""COMPUTED_VALUE"""),62.473)</f>
        <v>62.472999999999999</v>
      </c>
      <c r="F221" s="2">
        <f ca="1">IFERROR(__xludf.DUMMYFUNCTION("""COMPUTED_VALUE"""),72.154)</f>
        <v>72.153999999999996</v>
      </c>
      <c r="G221" s="2">
        <f ca="1">IFERROR(__xludf.DUMMYFUNCTION("""COMPUTED_VALUE"""),0.54478)</f>
        <v>0.54478000000000004</v>
      </c>
      <c r="H221" s="2">
        <f ca="1">IFERROR(__xludf.DUMMYFUNCTION("""COMPUTED_VALUE"""),44.38)</f>
        <v>44.38</v>
      </c>
      <c r="I221" s="2">
        <f ca="1">IFERROR(__xludf.DUMMYFUNCTION("""COMPUTED_VALUE"""),43.908)</f>
        <v>43.908000000000001</v>
      </c>
      <c r="J221" s="2">
        <f ca="1">IFERROR(__xludf.DUMMYFUNCTION("""COMPUTED_VALUE"""),34.412)</f>
        <v>34.411999999999999</v>
      </c>
      <c r="K221" s="2">
        <f ca="1">IFERROR(__xludf.DUMMYFUNCTION("""COMPUTED_VALUE"""),44.596)</f>
        <v>44.595999999999997</v>
      </c>
      <c r="L221" s="2">
        <f ca="1">IFERROR(__xludf.DUMMYFUNCTION("""COMPUTED_VALUE"""),10.309)</f>
        <v>10.308999999999999</v>
      </c>
      <c r="M221" s="2">
        <f ca="1">IFERROR(__xludf.DUMMYFUNCTION("""COMPUTED_VALUE"""),12.048)</f>
        <v>12.048</v>
      </c>
      <c r="U221" s="3" t="e">
        <f ca="1"/>
        <v>#NAME?</v>
      </c>
    </row>
    <row r="222" spans="3:21" ht="12.5" x14ac:dyDescent="0.25">
      <c r="C222" s="4">
        <f ca="1">IFERROR(__xludf.DUMMYFUNCTION("""COMPUTED_VALUE"""),40430.9986111111)</f>
        <v>40430.998611111099</v>
      </c>
      <c r="D222" s="2">
        <f ca="1">IFERROR(__xludf.DUMMYFUNCTION("""COMPUTED_VALUE"""),46.303)</f>
        <v>46.302999999999997</v>
      </c>
      <c r="E222" s="2">
        <f ca="1">IFERROR(__xludf.DUMMYFUNCTION("""COMPUTED_VALUE"""),62.537)</f>
        <v>62.536999999999999</v>
      </c>
      <c r="F222" s="2">
        <f ca="1">IFERROR(__xludf.DUMMYFUNCTION("""COMPUTED_VALUE"""),71.51)</f>
        <v>71.510000000000005</v>
      </c>
      <c r="G222" s="2">
        <f ca="1">IFERROR(__xludf.DUMMYFUNCTION("""COMPUTED_VALUE"""),0.54546)</f>
        <v>0.54545999999999994</v>
      </c>
      <c r="H222" s="2">
        <f ca="1">IFERROR(__xludf.DUMMYFUNCTION("""COMPUTED_VALUE"""),44.605)</f>
        <v>44.604999999999997</v>
      </c>
      <c r="I222" s="2">
        <f ca="1">IFERROR(__xludf.DUMMYFUNCTION("""COMPUTED_VALUE"""),43.864)</f>
        <v>43.863999999999997</v>
      </c>
      <c r="J222" s="2">
        <f ca="1">IFERROR(__xludf.DUMMYFUNCTION("""COMPUTED_VALUE"""),34.31)</f>
        <v>34.31</v>
      </c>
      <c r="K222" s="2">
        <f ca="1">IFERROR(__xludf.DUMMYFUNCTION("""COMPUTED_VALUE"""),44.727)</f>
        <v>44.726999999999997</v>
      </c>
      <c r="L222" s="2">
        <f ca="1">IFERROR(__xludf.DUMMYFUNCTION("""COMPUTED_VALUE"""),10.284)</f>
        <v>10.284000000000001</v>
      </c>
      <c r="M222" s="2">
        <f ca="1">IFERROR(__xludf.DUMMYFUNCTION("""COMPUTED_VALUE"""),11.984)</f>
        <v>11.984</v>
      </c>
      <c r="U222" s="3" t="e">
        <f ca="1"/>
        <v>#NAME?</v>
      </c>
    </row>
    <row r="223" spans="3:21" ht="12.5" x14ac:dyDescent="0.25">
      <c r="C223" s="4">
        <f ca="1">IFERROR(__xludf.DUMMYFUNCTION("""COMPUTED_VALUE"""),40431.9986111111)</f>
        <v>40431.998611111099</v>
      </c>
      <c r="D223" s="2">
        <f ca="1">IFERROR(__xludf.DUMMYFUNCTION("""COMPUTED_VALUE"""),46.25)</f>
        <v>46.25</v>
      </c>
      <c r="E223" s="2">
        <f ca="1">IFERROR(__xludf.DUMMYFUNCTION("""COMPUTED_VALUE"""),61.657)</f>
        <v>61.656999999999996</v>
      </c>
      <c r="F223" s="2">
        <f ca="1">IFERROR(__xludf.DUMMYFUNCTION("""COMPUTED_VALUE"""),71.015)</f>
        <v>71.015000000000001</v>
      </c>
      <c r="G223" s="2">
        <f ca="1">IFERROR(__xludf.DUMMYFUNCTION("""COMPUTED_VALUE"""),0.53988)</f>
        <v>0.53988000000000003</v>
      </c>
      <c r="H223" s="2">
        <f ca="1">IFERROR(__xludf.DUMMYFUNCTION("""COMPUTED_VALUE"""),44.51)</f>
        <v>44.51</v>
      </c>
      <c r="I223" s="2">
        <f ca="1">IFERROR(__xludf.DUMMYFUNCTION("""COMPUTED_VALUE"""),43.88)</f>
        <v>43.88</v>
      </c>
      <c r="J223" s="2">
        <f ca="1">IFERROR(__xludf.DUMMYFUNCTION("""COMPUTED_VALUE"""),34.167)</f>
        <v>34.167000000000002</v>
      </c>
      <c r="K223" s="2">
        <f ca="1">IFERROR(__xludf.DUMMYFUNCTION("""COMPUTED_VALUE"""),44.91)</f>
        <v>44.91</v>
      </c>
      <c r="L223" s="2">
        <f ca="1">IFERROR(__xludf.DUMMYFUNCTION("""COMPUTED_VALUE"""),10.284)</f>
        <v>10.284000000000001</v>
      </c>
      <c r="M223" s="2">
        <f ca="1">IFERROR(__xludf.DUMMYFUNCTION("""COMPUTED_VALUE"""),11.953)</f>
        <v>11.952999999999999</v>
      </c>
      <c r="U223" s="3" t="e">
        <f ca="1"/>
        <v>#NAME?</v>
      </c>
    </row>
    <row r="224" spans="3:21" ht="12.5" x14ac:dyDescent="0.25">
      <c r="C224" s="4">
        <f ca="1">IFERROR(__xludf.DUMMYFUNCTION("""COMPUTED_VALUE"""),40432.9986111111)</f>
        <v>40432.998611111099</v>
      </c>
      <c r="D224" s="2">
        <f ca="1">IFERROR(__xludf.DUMMYFUNCTION("""COMPUTED_VALUE"""),46.283)</f>
        <v>46.283000000000001</v>
      </c>
      <c r="E224" s="2">
        <f ca="1">IFERROR(__xludf.DUMMYFUNCTION("""COMPUTED_VALUE"""),61.679)</f>
        <v>61.679000000000002</v>
      </c>
      <c r="F224" s="2">
        <f ca="1">IFERROR(__xludf.DUMMYFUNCTION("""COMPUTED_VALUE"""),71.047)</f>
        <v>71.046999999999997</v>
      </c>
      <c r="G224" s="2">
        <f ca="1">IFERROR(__xludf.DUMMYFUNCTION("""COMPUTED_VALUE"""),0.546)</f>
        <v>0.54600000000000004</v>
      </c>
      <c r="H224" s="2">
        <f ca="1">IFERROR(__xludf.DUMMYFUNCTION("""COMPUTED_VALUE"""),44.849)</f>
        <v>44.848999999999997</v>
      </c>
      <c r="I224" s="2">
        <f ca="1">IFERROR(__xludf.DUMMYFUNCTION("""COMPUTED_VALUE"""),44.155)</f>
        <v>44.155000000000001</v>
      </c>
      <c r="J224" s="2">
        <f ca="1">IFERROR(__xludf.DUMMYFUNCTION("""COMPUTED_VALUE"""),34.408)</f>
        <v>34.408000000000001</v>
      </c>
      <c r="K224" s="2">
        <f ca="1">IFERROR(__xludf.DUMMYFUNCTION("""COMPUTED_VALUE"""),44.878)</f>
        <v>44.878</v>
      </c>
      <c r="L224" s="2">
        <f ca="1">IFERROR(__xludf.DUMMYFUNCTION("""COMPUTED_VALUE"""),10.284)</f>
        <v>10.284000000000001</v>
      </c>
      <c r="M224" s="2">
        <f ca="1">IFERROR(__xludf.DUMMYFUNCTION("""COMPUTED_VALUE"""),12.062)</f>
        <v>12.061999999999999</v>
      </c>
      <c r="U224" s="3" t="e">
        <f ca="1"/>
        <v>#NAME?</v>
      </c>
    </row>
    <row r="225" spans="3:21" ht="12.5" x14ac:dyDescent="0.25">
      <c r="C225" s="4">
        <f ca="1">IFERROR(__xludf.DUMMYFUNCTION("""COMPUTED_VALUE"""),40434.9986111111)</f>
        <v>40434.998611111099</v>
      </c>
      <c r="D225" s="2">
        <f ca="1">IFERROR(__xludf.DUMMYFUNCTION("""COMPUTED_VALUE"""),46.23)</f>
        <v>46.23</v>
      </c>
      <c r="E225" s="2">
        <f ca="1">IFERROR(__xludf.DUMMYFUNCTION("""COMPUTED_VALUE"""),61.294)</f>
        <v>61.293999999999997</v>
      </c>
      <c r="F225" s="2">
        <f ca="1">IFERROR(__xludf.DUMMYFUNCTION("""COMPUTED_VALUE"""),71.291)</f>
        <v>71.290999999999997</v>
      </c>
      <c r="G225" s="2">
        <f ca="1">IFERROR(__xludf.DUMMYFUNCTION("""COMPUTED_VALUE"""),0.54474)</f>
        <v>0.54474</v>
      </c>
      <c r="H225" s="2">
        <f ca="1">IFERROR(__xludf.DUMMYFUNCTION("""COMPUTED_VALUE"""),44.712)</f>
        <v>44.712000000000003</v>
      </c>
      <c r="I225" s="2">
        <f ca="1">IFERROR(__xludf.DUMMYFUNCTION("""COMPUTED_VALUE"""),44.175)</f>
        <v>44.174999999999997</v>
      </c>
      <c r="J225" s="2">
        <f ca="1">IFERROR(__xludf.DUMMYFUNCTION("""COMPUTED_VALUE"""),34.378)</f>
        <v>34.378</v>
      </c>
      <c r="K225" s="2">
        <f ca="1">IFERROR(__xludf.DUMMYFUNCTION("""COMPUTED_VALUE"""),44.882)</f>
        <v>44.881999999999998</v>
      </c>
      <c r="L225" s="2">
        <f ca="1">IFERROR(__xludf.DUMMYFUNCTION("""COMPUTED_VALUE"""),10.25)</f>
        <v>10.25</v>
      </c>
      <c r="M225" s="2">
        <f ca="1">IFERROR(__xludf.DUMMYFUNCTION("""COMPUTED_VALUE"""),12.032)</f>
        <v>12.032</v>
      </c>
      <c r="U225" s="3" t="e">
        <f ca="1"/>
        <v>#NAME?</v>
      </c>
    </row>
    <row r="226" spans="3:21" ht="12.5" x14ac:dyDescent="0.25">
      <c r="C226" s="4">
        <f ca="1">IFERROR(__xludf.DUMMYFUNCTION("""COMPUTED_VALUE"""),40435.9986111111)</f>
        <v>40435.998611111099</v>
      </c>
      <c r="D226" s="2">
        <f ca="1">IFERROR(__xludf.DUMMYFUNCTION("""COMPUTED_VALUE"""),46.14)</f>
        <v>46.14</v>
      </c>
      <c r="E226" s="2">
        <f ca="1">IFERROR(__xludf.DUMMYFUNCTION("""COMPUTED_VALUE"""),61.027)</f>
        <v>61.027000000000001</v>
      </c>
      <c r="F226" s="2">
        <f ca="1">IFERROR(__xludf.DUMMYFUNCTION("""COMPUTED_VALUE"""),71.831)</f>
        <v>71.831000000000003</v>
      </c>
      <c r="G226" s="2">
        <f ca="1">IFERROR(__xludf.DUMMYFUNCTION("""COMPUTED_VALUE"""),0.5383)</f>
        <v>0.5383</v>
      </c>
      <c r="H226" s="2">
        <f ca="1">IFERROR(__xludf.DUMMYFUNCTION("""COMPUTED_VALUE"""),44.478)</f>
        <v>44.478000000000002</v>
      </c>
      <c r="I226" s="2">
        <f ca="1">IFERROR(__xludf.DUMMYFUNCTION("""COMPUTED_VALUE"""),44.242)</f>
        <v>44.241999999999997</v>
      </c>
      <c r="J226" s="2">
        <f ca="1">IFERROR(__xludf.DUMMYFUNCTION("""COMPUTED_VALUE"""),34.369)</f>
        <v>34.369</v>
      </c>
      <c r="K226" s="2">
        <f ca="1">IFERROR(__xludf.DUMMYFUNCTION("""COMPUTED_VALUE"""),44.882)</f>
        <v>44.881999999999998</v>
      </c>
      <c r="L226" s="2">
        <f ca="1">IFERROR(__xludf.DUMMYFUNCTION("""COMPUTED_VALUE"""),10.248)</f>
        <v>10.247999999999999</v>
      </c>
      <c r="M226" s="2">
        <f ca="1">IFERROR(__xludf.DUMMYFUNCTION("""COMPUTED_VALUE"""),12.051)</f>
        <v>12.051</v>
      </c>
      <c r="U226" s="3" t="e">
        <f ca="1"/>
        <v>#NAME?</v>
      </c>
    </row>
    <row r="227" spans="3:21" ht="12.5" x14ac:dyDescent="0.25">
      <c r="C227" s="4">
        <f ca="1">IFERROR(__xludf.DUMMYFUNCTION("""COMPUTED_VALUE"""),40436.9986111111)</f>
        <v>40436.998611111099</v>
      </c>
      <c r="D227" s="2">
        <f ca="1">IFERROR(__xludf.DUMMYFUNCTION("""COMPUTED_VALUE"""),46.2)</f>
        <v>46.2</v>
      </c>
      <c r="E227" s="2">
        <f ca="1">IFERROR(__xludf.DUMMYFUNCTION("""COMPUTED_VALUE"""),60.407)</f>
        <v>60.406999999999996</v>
      </c>
      <c r="F227" s="2">
        <f ca="1">IFERROR(__xludf.DUMMYFUNCTION("""COMPUTED_VALUE"""),72.182)</f>
        <v>72.182000000000002</v>
      </c>
      <c r="G227" s="2">
        <f ca="1">IFERROR(__xludf.DUMMYFUNCTION("""COMPUTED_VALUE"""),0.53644)</f>
        <v>0.53644000000000003</v>
      </c>
      <c r="H227" s="2">
        <f ca="1">IFERROR(__xludf.DUMMYFUNCTION("""COMPUTED_VALUE"""),44.094)</f>
        <v>44.094000000000001</v>
      </c>
      <c r="I227" s="2">
        <f ca="1">IFERROR(__xludf.DUMMYFUNCTION("""COMPUTED_VALUE"""),43.955)</f>
        <v>43.954999999999998</v>
      </c>
      <c r="J227" s="2">
        <f ca="1">IFERROR(__xludf.DUMMYFUNCTION("""COMPUTED_VALUE"""),34.297)</f>
        <v>34.296999999999997</v>
      </c>
      <c r="K227" s="2">
        <f ca="1">IFERROR(__xludf.DUMMYFUNCTION("""COMPUTED_VALUE"""),44.742)</f>
        <v>44.741999999999997</v>
      </c>
      <c r="L227" s="2">
        <f ca="1">IFERROR(__xludf.DUMMYFUNCTION("""COMPUTED_VALUE"""),10.263)</f>
        <v>10.263</v>
      </c>
      <c r="M227" s="2">
        <f ca="1">IFERROR(__xludf.DUMMYFUNCTION("""COMPUTED_VALUE"""),12.045)</f>
        <v>12.045</v>
      </c>
      <c r="U227" s="3" t="e">
        <f ca="1"/>
        <v>#NAME?</v>
      </c>
    </row>
    <row r="228" spans="3:21" ht="12.5" x14ac:dyDescent="0.25">
      <c r="C228" s="4">
        <f ca="1">IFERROR(__xludf.DUMMYFUNCTION("""COMPUTED_VALUE"""),40437.9986111111)</f>
        <v>40437.998611111099</v>
      </c>
      <c r="D228" s="2">
        <f ca="1">IFERROR(__xludf.DUMMYFUNCTION("""COMPUTED_VALUE"""),46.1)</f>
        <v>46.1</v>
      </c>
      <c r="E228" s="2">
        <f ca="1">IFERROR(__xludf.DUMMYFUNCTION("""COMPUTED_VALUE"""),61.02)</f>
        <v>61.02</v>
      </c>
      <c r="F228" s="2">
        <f ca="1">IFERROR(__xludf.DUMMYFUNCTION("""COMPUTED_VALUE"""),72.064)</f>
        <v>72.063999999999993</v>
      </c>
      <c r="G228" s="2">
        <f ca="1">IFERROR(__xludf.DUMMYFUNCTION("""COMPUTED_VALUE"""),0.54042)</f>
        <v>0.54042000000000001</v>
      </c>
      <c r="H228" s="2">
        <f ca="1">IFERROR(__xludf.DUMMYFUNCTION("""COMPUTED_VALUE"""),43.943)</f>
        <v>43.942999999999998</v>
      </c>
      <c r="I228" s="2">
        <f ca="1">IFERROR(__xludf.DUMMYFUNCTION("""COMPUTED_VALUE"""),44.144)</f>
        <v>44.143999999999998</v>
      </c>
      <c r="J228" s="2">
        <f ca="1">IFERROR(__xludf.DUMMYFUNCTION("""COMPUTED_VALUE"""),34.343)</f>
        <v>34.343000000000004</v>
      </c>
      <c r="K228" s="2">
        <f ca="1">IFERROR(__xludf.DUMMYFUNCTION("""COMPUTED_VALUE"""),45.46)</f>
        <v>45.46</v>
      </c>
      <c r="L228" s="2">
        <f ca="1">IFERROR(__xludf.DUMMYFUNCTION("""COMPUTED_VALUE"""),10.272)</f>
        <v>10.272</v>
      </c>
      <c r="M228" s="2">
        <f ca="1">IFERROR(__xludf.DUMMYFUNCTION("""COMPUTED_VALUE"""),12.133)</f>
        <v>12.132999999999999</v>
      </c>
      <c r="U228" s="3" t="e">
        <f ca="1"/>
        <v>#NAME?</v>
      </c>
    </row>
    <row r="229" spans="3:21" ht="12.5" x14ac:dyDescent="0.25">
      <c r="C229" s="4">
        <f ca="1">IFERROR(__xludf.DUMMYFUNCTION("""COMPUTED_VALUE"""),40438.9986111111)</f>
        <v>40438.998611111099</v>
      </c>
      <c r="D229" s="2">
        <f ca="1">IFERROR(__xludf.DUMMYFUNCTION("""COMPUTED_VALUE"""),45.83)</f>
        <v>45.83</v>
      </c>
      <c r="E229" s="2">
        <f ca="1">IFERROR(__xludf.DUMMYFUNCTION("""COMPUTED_VALUE"""),61.294)</f>
        <v>61.293999999999997</v>
      </c>
      <c r="F229" s="2">
        <f ca="1">IFERROR(__xludf.DUMMYFUNCTION("""COMPUTED_VALUE"""),71.655)</f>
        <v>71.655000000000001</v>
      </c>
      <c r="G229" s="2">
        <f ca="1">IFERROR(__xludf.DUMMYFUNCTION("""COMPUTED_VALUE"""),0.54277)</f>
        <v>0.54276999999999997</v>
      </c>
      <c r="H229" s="2">
        <f ca="1">IFERROR(__xludf.DUMMYFUNCTION("""COMPUTED_VALUE"""),44.424)</f>
        <v>44.423999999999999</v>
      </c>
      <c r="I229" s="2">
        <f ca="1">IFERROR(__xludf.DUMMYFUNCTION("""COMPUTED_VALUE"""),44.668)</f>
        <v>44.667999999999999</v>
      </c>
      <c r="J229" s="2">
        <f ca="1">IFERROR(__xludf.DUMMYFUNCTION("""COMPUTED_VALUE"""),34.631)</f>
        <v>34.631</v>
      </c>
      <c r="K229" s="2">
        <f ca="1">IFERROR(__xludf.DUMMYFUNCTION("""COMPUTED_VALUE"""),45.563)</f>
        <v>45.563000000000002</v>
      </c>
      <c r="L229" s="2">
        <f ca="1">IFERROR(__xludf.DUMMYFUNCTION("""COMPUTED_VALUE"""),10.278)</f>
        <v>10.278</v>
      </c>
      <c r="M229" s="2">
        <f ca="1">IFERROR(__xludf.DUMMYFUNCTION("""COMPUTED_VALUE"""),12.282)</f>
        <v>12.282</v>
      </c>
      <c r="U229" s="3" t="e">
        <f ca="1"/>
        <v>#NAME?</v>
      </c>
    </row>
    <row r="230" spans="3:21" ht="12.5" x14ac:dyDescent="0.25">
      <c r="C230" s="4">
        <f ca="1">IFERROR(__xludf.DUMMYFUNCTION("""COMPUTED_VALUE"""),40439.9986111111)</f>
        <v>40439.998611111099</v>
      </c>
      <c r="D230" s="2">
        <f ca="1">IFERROR(__xludf.DUMMYFUNCTION("""COMPUTED_VALUE"""),45.878)</f>
        <v>45.878</v>
      </c>
      <c r="E230" s="2">
        <f ca="1">IFERROR(__xludf.DUMMYFUNCTION("""COMPUTED_VALUE"""),61.093)</f>
        <v>61.093000000000004</v>
      </c>
      <c r="F230" s="2">
        <f ca="1">IFERROR(__xludf.DUMMYFUNCTION("""COMPUTED_VALUE"""),71.733)</f>
        <v>71.733000000000004</v>
      </c>
      <c r="G230" s="2">
        <f ca="1">IFERROR(__xludf.DUMMYFUNCTION("""COMPUTED_VALUE"""),0.54207)</f>
        <v>0.54207000000000005</v>
      </c>
      <c r="H230" s="2">
        <f ca="1">IFERROR(__xludf.DUMMYFUNCTION("""COMPUTED_VALUE"""),44.09)</f>
        <v>44.09</v>
      </c>
      <c r="I230" s="2">
        <f ca="1">IFERROR(__xludf.DUMMYFUNCTION("""COMPUTED_VALUE"""),44.169)</f>
        <v>44.168999999999997</v>
      </c>
      <c r="J230" s="2">
        <f ca="1">IFERROR(__xludf.DUMMYFUNCTION("""COMPUTED_VALUE"""),34.647)</f>
        <v>34.646999999999998</v>
      </c>
      <c r="K230" s="2">
        <f ca="1">IFERROR(__xludf.DUMMYFUNCTION("""COMPUTED_VALUE"""),45.577)</f>
        <v>45.576999999999998</v>
      </c>
      <c r="L230" s="2">
        <f ca="1">IFERROR(__xludf.DUMMYFUNCTION("""COMPUTED_VALUE"""),10.246)</f>
        <v>10.246</v>
      </c>
      <c r="M230" s="2">
        <f ca="1">IFERROR(__xludf.DUMMYFUNCTION("""COMPUTED_VALUE"""),12.305)</f>
        <v>12.305</v>
      </c>
      <c r="U230" s="3" t="e">
        <f ca="1"/>
        <v>#NAME?</v>
      </c>
    </row>
    <row r="231" spans="3:21" ht="12.5" x14ac:dyDescent="0.25">
      <c r="C231" s="4">
        <f ca="1">IFERROR(__xludf.DUMMYFUNCTION("""COMPUTED_VALUE"""),40440.9986111111)</f>
        <v>40440.998611111099</v>
      </c>
      <c r="D231" s="2">
        <f ca="1">IFERROR(__xludf.DUMMYFUNCTION("""COMPUTED_VALUE"""),45.878)</f>
        <v>45.878</v>
      </c>
      <c r="E231" s="2">
        <f ca="1">IFERROR(__xludf.DUMMYFUNCTION("""COMPUTED_VALUE"""),61.163)</f>
        <v>61.162999999999997</v>
      </c>
      <c r="F231" s="2">
        <f ca="1">IFERROR(__xludf.DUMMYFUNCTION("""COMPUTED_VALUE"""),71.672)</f>
        <v>71.671999999999997</v>
      </c>
      <c r="G231" s="2">
        <f ca="1">IFERROR(__xludf.DUMMYFUNCTION("""COMPUTED_VALUE"""),0.54244)</f>
        <v>0.54244000000000003</v>
      </c>
      <c r="H231" s="2">
        <f ca="1">IFERROR(__xludf.DUMMYFUNCTION("""COMPUTED_VALUE"""),44.3)</f>
        <v>44.3</v>
      </c>
      <c r="I231" s="2">
        <f ca="1">IFERROR(__xludf.DUMMYFUNCTION("""COMPUTED_VALUE"""),44.195)</f>
        <v>44.195</v>
      </c>
      <c r="J231" s="2">
        <f ca="1">IFERROR(__xludf.DUMMYFUNCTION("""COMPUTED_VALUE"""),34.651)</f>
        <v>34.651000000000003</v>
      </c>
      <c r="K231" s="2">
        <f ca="1">IFERROR(__xludf.DUMMYFUNCTION("""COMPUTED_VALUE"""),45.519)</f>
        <v>45.518999999999998</v>
      </c>
      <c r="L231" s="2">
        <f ca="1">IFERROR(__xludf.DUMMYFUNCTION("""COMPUTED_VALUE"""),10.247)</f>
        <v>10.247</v>
      </c>
      <c r="M231" s="2">
        <f ca="1">IFERROR(__xludf.DUMMYFUNCTION("""COMPUTED_VALUE"""),12.281)</f>
        <v>12.281000000000001</v>
      </c>
      <c r="U231" s="3" t="e">
        <f ca="1"/>
        <v>#NAME?</v>
      </c>
    </row>
    <row r="232" spans="3:21" ht="12.5" x14ac:dyDescent="0.25">
      <c r="C232" s="4">
        <f ca="1">IFERROR(__xludf.DUMMYFUNCTION("""COMPUTED_VALUE"""),40441.9986111111)</f>
        <v>40441.998611111099</v>
      </c>
      <c r="D232" s="2">
        <f ca="1">IFERROR(__xludf.DUMMYFUNCTION("""COMPUTED_VALUE"""),45.62)</f>
        <v>45.62</v>
      </c>
      <c r="E232" s="2">
        <f ca="1">IFERROR(__xludf.DUMMYFUNCTION("""COMPUTED_VALUE"""),61.55)</f>
        <v>61.55</v>
      </c>
      <c r="F232" s="2">
        <f ca="1">IFERROR(__xludf.DUMMYFUNCTION("""COMPUTED_VALUE"""),70.916)</f>
        <v>70.915999999999997</v>
      </c>
      <c r="G232" s="2">
        <f ca="1">IFERROR(__xludf.DUMMYFUNCTION("""COMPUTED_VALUE"""),0.54004)</f>
        <v>0.54003999999999996</v>
      </c>
      <c r="H232" s="2">
        <f ca="1">IFERROR(__xludf.DUMMYFUNCTION("""COMPUTED_VALUE"""),44.672)</f>
        <v>44.671999999999997</v>
      </c>
      <c r="I232" s="2">
        <f ca="1">IFERROR(__xludf.DUMMYFUNCTION("""COMPUTED_VALUE"""),44.389)</f>
        <v>44.389000000000003</v>
      </c>
      <c r="J232" s="2">
        <f ca="1">IFERROR(__xludf.DUMMYFUNCTION("""COMPUTED_VALUE"""),34.841)</f>
        <v>34.841000000000001</v>
      </c>
      <c r="K232" s="2">
        <f ca="1">IFERROR(__xludf.DUMMYFUNCTION("""COMPUTED_VALUE"""),45.517)</f>
        <v>45.517000000000003</v>
      </c>
      <c r="L232" s="2">
        <f ca="1">IFERROR(__xludf.DUMMYFUNCTION("""COMPUTED_VALUE"""),10.224)</f>
        <v>10.224</v>
      </c>
      <c r="M232" s="2">
        <f ca="1">IFERROR(__xludf.DUMMYFUNCTION("""COMPUTED_VALUE"""),12.293)</f>
        <v>12.292999999999999</v>
      </c>
      <c r="U232" s="3" t="e">
        <f ca="1"/>
        <v>#NAME?</v>
      </c>
    </row>
    <row r="233" spans="3:21" ht="12.5" x14ac:dyDescent="0.25">
      <c r="C233" s="4">
        <f ca="1">IFERROR(__xludf.DUMMYFUNCTION("""COMPUTED_VALUE"""),40442.9986111111)</f>
        <v>40442.998611111099</v>
      </c>
      <c r="D233" s="2">
        <f ca="1">IFERROR(__xludf.DUMMYFUNCTION("""COMPUTED_VALUE"""),45.58)</f>
        <v>45.58</v>
      </c>
      <c r="E233" s="2">
        <f ca="1">IFERROR(__xludf.DUMMYFUNCTION("""COMPUTED_VALUE"""),61.873)</f>
        <v>61.872999999999998</v>
      </c>
      <c r="F233" s="2">
        <f ca="1">IFERROR(__xludf.DUMMYFUNCTION("""COMPUTED_VALUE"""),70.838)</f>
        <v>70.837999999999994</v>
      </c>
      <c r="G233" s="2">
        <f ca="1">IFERROR(__xludf.DUMMYFUNCTION("""COMPUTED_VALUE"""),0.54186)</f>
        <v>0.54186000000000001</v>
      </c>
      <c r="H233" s="2">
        <f ca="1">IFERROR(__xludf.DUMMYFUNCTION("""COMPUTED_VALUE"""),44.591)</f>
        <v>44.591000000000001</v>
      </c>
      <c r="I233" s="2">
        <f ca="1">IFERROR(__xludf.DUMMYFUNCTION("""COMPUTED_VALUE"""),44.418)</f>
        <v>44.417999999999999</v>
      </c>
      <c r="J233" s="2">
        <f ca="1">IFERROR(__xludf.DUMMYFUNCTION("""COMPUTED_VALUE"""),34.915)</f>
        <v>34.914999999999999</v>
      </c>
      <c r="K233" s="2">
        <f ca="1">IFERROR(__xludf.DUMMYFUNCTION("""COMPUTED_VALUE"""),45.517)</f>
        <v>45.517000000000003</v>
      </c>
      <c r="L233" s="2">
        <f ca="1">IFERROR(__xludf.DUMMYFUNCTION("""COMPUTED_VALUE"""),10.25)</f>
        <v>10.25</v>
      </c>
      <c r="M233" s="2">
        <f ca="1">IFERROR(__xludf.DUMMYFUNCTION("""COMPUTED_VALUE"""),12.317)</f>
        <v>12.317</v>
      </c>
      <c r="U233" s="3" t="e">
        <f ca="1"/>
        <v>#NAME?</v>
      </c>
    </row>
    <row r="234" spans="3:21" ht="12.5" x14ac:dyDescent="0.25">
      <c r="C234" s="4">
        <f ca="1">IFERROR(__xludf.DUMMYFUNCTION("""COMPUTED_VALUE"""),40443.9986111111)</f>
        <v>40443.998611111099</v>
      </c>
      <c r="D234" s="2">
        <f ca="1">IFERROR(__xludf.DUMMYFUNCTION("""COMPUTED_VALUE"""),45.558)</f>
        <v>45.558</v>
      </c>
      <c r="E234" s="2">
        <f ca="1">IFERROR(__xludf.DUMMYFUNCTION("""COMPUTED_VALUE"""),61.717)</f>
        <v>61.716999999999999</v>
      </c>
      <c r="F234" s="2">
        <f ca="1">IFERROR(__xludf.DUMMYFUNCTION("""COMPUTED_VALUE"""),71.302)</f>
        <v>71.302000000000007</v>
      </c>
      <c r="G234" s="2">
        <f ca="1">IFERROR(__xludf.DUMMYFUNCTION("""COMPUTED_VALUE"""),0.5439)</f>
        <v>0.54390000000000005</v>
      </c>
      <c r="H234" s="2">
        <f ca="1">IFERROR(__xludf.DUMMYFUNCTION("""COMPUTED_VALUE"""),44.796)</f>
        <v>44.795999999999999</v>
      </c>
      <c r="I234" s="2">
        <f ca="1">IFERROR(__xludf.DUMMYFUNCTION("""COMPUTED_VALUE"""),44.512)</f>
        <v>44.512</v>
      </c>
      <c r="J234" s="2">
        <f ca="1">IFERROR(__xludf.DUMMYFUNCTION("""COMPUTED_VALUE"""),34.916)</f>
        <v>34.915999999999997</v>
      </c>
      <c r="K234" s="2">
        <f ca="1">IFERROR(__xludf.DUMMYFUNCTION("""COMPUTED_VALUE"""),45.699)</f>
        <v>45.698999999999998</v>
      </c>
      <c r="L234" s="2">
        <f ca="1">IFERROR(__xludf.DUMMYFUNCTION("""COMPUTED_VALUE"""),10.242)</f>
        <v>10.242000000000001</v>
      </c>
      <c r="M234" s="2">
        <f ca="1">IFERROR(__xludf.DUMMYFUNCTION("""COMPUTED_VALUE"""),12.334)</f>
        <v>12.334</v>
      </c>
      <c r="U234" s="3" t="e">
        <f ca="1"/>
        <v>#NAME?</v>
      </c>
    </row>
    <row r="235" spans="3:21" ht="12.5" x14ac:dyDescent="0.25">
      <c r="C235" s="4">
        <f ca="1">IFERROR(__xludf.DUMMYFUNCTION("""COMPUTED_VALUE"""),40444.9986111111)</f>
        <v>40444.998611111099</v>
      </c>
      <c r="D235" s="2">
        <f ca="1">IFERROR(__xludf.DUMMYFUNCTION("""COMPUTED_VALUE"""),45.45)</f>
        <v>45.45</v>
      </c>
      <c r="E235" s="2">
        <f ca="1">IFERROR(__xludf.DUMMYFUNCTION("""COMPUTED_VALUE"""),60.992)</f>
        <v>60.991999999999997</v>
      </c>
      <c r="F235" s="2">
        <f ca="1">IFERROR(__xludf.DUMMYFUNCTION("""COMPUTED_VALUE"""),71.268)</f>
        <v>71.268000000000001</v>
      </c>
      <c r="G235" s="2">
        <f ca="1">IFERROR(__xludf.DUMMYFUNCTION("""COMPUTED_VALUE"""),0.54828)</f>
        <v>0.54827999999999999</v>
      </c>
      <c r="H235" s="2">
        <f ca="1">IFERROR(__xludf.DUMMYFUNCTION("""COMPUTED_VALUE"""),44.362)</f>
        <v>44.362000000000002</v>
      </c>
      <c r="I235" s="2">
        <f ca="1">IFERROR(__xludf.DUMMYFUNCTION("""COMPUTED_VALUE"""),44.49)</f>
        <v>44.49</v>
      </c>
      <c r="J235" s="2">
        <f ca="1">IFERROR(__xludf.DUMMYFUNCTION("""COMPUTED_VALUE"""),34.663)</f>
        <v>34.662999999999997</v>
      </c>
      <c r="K235" s="2">
        <f ca="1">IFERROR(__xludf.DUMMYFUNCTION("""COMPUTED_VALUE"""),46.329)</f>
        <v>46.329000000000001</v>
      </c>
      <c r="L235" s="2">
        <f ca="1">IFERROR(__xludf.DUMMYFUNCTION("""COMPUTED_VALUE"""),10.263)</f>
        <v>10.263</v>
      </c>
      <c r="M235" s="2">
        <f ca="1">IFERROR(__xludf.DUMMYFUNCTION("""COMPUTED_VALUE"""),12.399)</f>
        <v>12.398999999999999</v>
      </c>
      <c r="U235" s="3" t="e">
        <f ca="1"/>
        <v>#NAME?</v>
      </c>
    </row>
    <row r="236" spans="3:21" ht="12.5" x14ac:dyDescent="0.25">
      <c r="C236" s="4">
        <f ca="1">IFERROR(__xludf.DUMMYFUNCTION("""COMPUTED_VALUE"""),40445.9986111111)</f>
        <v>40445.998611111099</v>
      </c>
      <c r="D236" s="2">
        <f ca="1">IFERROR(__xludf.DUMMYFUNCTION("""COMPUTED_VALUE"""),45.09)</f>
        <v>45.09</v>
      </c>
      <c r="E236" s="2">
        <f ca="1">IFERROR(__xludf.DUMMYFUNCTION("""COMPUTED_VALUE"""),60.765)</f>
        <v>60.765000000000001</v>
      </c>
      <c r="F236" s="2">
        <f ca="1">IFERROR(__xludf.DUMMYFUNCTION("""COMPUTED_VALUE"""),71.344)</f>
        <v>71.343999999999994</v>
      </c>
      <c r="G236" s="2">
        <f ca="1">IFERROR(__xludf.DUMMYFUNCTION("""COMPUTED_VALUE"""),0.54552)</f>
        <v>0.54552</v>
      </c>
      <c r="H236" s="2">
        <f ca="1">IFERROR(__xludf.DUMMYFUNCTION("""COMPUTED_VALUE"""),44.773)</f>
        <v>44.773000000000003</v>
      </c>
      <c r="I236" s="2">
        <f ca="1">IFERROR(__xludf.DUMMYFUNCTION("""COMPUTED_VALUE"""),45.02)</f>
        <v>45.02</v>
      </c>
      <c r="J236" s="2">
        <f ca="1">IFERROR(__xludf.DUMMYFUNCTION("""COMPUTED_VALUE"""),34.77)</f>
        <v>34.770000000000003</v>
      </c>
      <c r="K236" s="2">
        <f ca="1">IFERROR(__xludf.DUMMYFUNCTION("""COMPUTED_VALUE"""),45.965)</f>
        <v>45.965000000000003</v>
      </c>
      <c r="L236" s="2">
        <f ca="1">IFERROR(__xludf.DUMMYFUNCTION("""COMPUTED_VALUE"""),10.222)</f>
        <v>10.222</v>
      </c>
      <c r="M236" s="2">
        <f ca="1">IFERROR(__xludf.DUMMYFUNCTION("""COMPUTED_VALUE"""),12.391)</f>
        <v>12.391</v>
      </c>
      <c r="U236" s="3" t="e">
        <f ca="1"/>
        <v>#NAME?</v>
      </c>
    </row>
    <row r="237" spans="3:21" ht="12.5" x14ac:dyDescent="0.25">
      <c r="C237" s="4">
        <f ca="1">IFERROR(__xludf.DUMMYFUNCTION("""COMPUTED_VALUE"""),40447.9986111111)</f>
        <v>40447.998611111099</v>
      </c>
      <c r="D237" s="2">
        <f ca="1">IFERROR(__xludf.DUMMYFUNCTION("""COMPUTED_VALUE"""),45.24)</f>
        <v>45.24</v>
      </c>
      <c r="E237" s="2">
        <f ca="1">IFERROR(__xludf.DUMMYFUNCTION("""COMPUTED_VALUE"""),60.856)</f>
        <v>60.856000000000002</v>
      </c>
      <c r="F237" s="2">
        <f ca="1">IFERROR(__xludf.DUMMYFUNCTION("""COMPUTED_VALUE"""),71.599)</f>
        <v>71.599000000000004</v>
      </c>
      <c r="G237" s="2">
        <f ca="1">IFERROR(__xludf.DUMMYFUNCTION("""COMPUTED_VALUE"""),0.54398)</f>
        <v>0.54398000000000002</v>
      </c>
      <c r="H237" s="2">
        <f ca="1">IFERROR(__xludf.DUMMYFUNCTION("""COMPUTED_VALUE"""),44.643)</f>
        <v>44.643000000000001</v>
      </c>
      <c r="I237" s="2">
        <f ca="1">IFERROR(__xludf.DUMMYFUNCTION("""COMPUTED_VALUE"""),45.119)</f>
        <v>45.119</v>
      </c>
      <c r="J237" s="2">
        <f ca="1">IFERROR(__xludf.DUMMYFUNCTION("""COMPUTED_VALUE"""),34.821)</f>
        <v>34.820999999999998</v>
      </c>
      <c r="K237" s="2">
        <f ca="1">IFERROR(__xludf.DUMMYFUNCTION("""COMPUTED_VALUE"""),46.011)</f>
        <v>46.011000000000003</v>
      </c>
      <c r="L237" s="2">
        <f ca="1">IFERROR(__xludf.DUMMYFUNCTION("""COMPUTED_VALUE"""),10.21)</f>
        <v>10.210000000000001</v>
      </c>
      <c r="M237" s="2">
        <f ca="1">IFERROR(__xludf.DUMMYFUNCTION("""COMPUTED_VALUE"""),12.391)</f>
        <v>12.391</v>
      </c>
      <c r="U237" s="3" t="e">
        <f ca="1"/>
        <v>#NAME?</v>
      </c>
    </row>
    <row r="238" spans="3:21" ht="12.5" x14ac:dyDescent="0.25">
      <c r="C238" s="4">
        <f ca="1">IFERROR(__xludf.DUMMYFUNCTION("""COMPUTED_VALUE"""),40448.9986111111)</f>
        <v>40448.998611111099</v>
      </c>
      <c r="D238" s="2">
        <f ca="1">IFERROR(__xludf.DUMMYFUNCTION("""COMPUTED_VALUE"""),44.93)</f>
        <v>44.93</v>
      </c>
      <c r="E238" s="2">
        <f ca="1">IFERROR(__xludf.DUMMYFUNCTION("""COMPUTED_VALUE"""),60.515)</f>
        <v>60.515000000000001</v>
      </c>
      <c r="F238" s="2">
        <f ca="1">IFERROR(__xludf.DUMMYFUNCTION("""COMPUTED_VALUE"""),71.268)</f>
        <v>71.268000000000001</v>
      </c>
      <c r="G238" s="2">
        <f ca="1">IFERROR(__xludf.DUMMYFUNCTION("""COMPUTED_VALUE"""),0.54388)</f>
        <v>0.54388000000000003</v>
      </c>
      <c r="H238" s="2">
        <f ca="1">IFERROR(__xludf.DUMMYFUNCTION("""COMPUTED_VALUE"""),44.047)</f>
        <v>44.046999999999997</v>
      </c>
      <c r="I238" s="2">
        <f ca="1">IFERROR(__xludf.DUMMYFUNCTION("""COMPUTED_VALUE"""),44.837)</f>
        <v>44.837000000000003</v>
      </c>
      <c r="J238" s="2">
        <f ca="1">IFERROR(__xludf.DUMMYFUNCTION("""COMPUTED_VALUE"""),34.647)</f>
        <v>34.646999999999998</v>
      </c>
      <c r="K238" s="2">
        <f ca="1">IFERROR(__xludf.DUMMYFUNCTION("""COMPUTED_VALUE"""),45.661)</f>
        <v>45.661000000000001</v>
      </c>
      <c r="L238" s="2">
        <f ca="1">IFERROR(__xludf.DUMMYFUNCTION("""COMPUTED_VALUE"""),10.25)</f>
        <v>10.25</v>
      </c>
      <c r="M238" s="2">
        <f ca="1">IFERROR(__xludf.DUMMYFUNCTION("""COMPUTED_VALUE"""),12.445)</f>
        <v>12.445</v>
      </c>
      <c r="U238" s="3" t="e">
        <f ca="1"/>
        <v>#NAME?</v>
      </c>
    </row>
    <row r="239" spans="3:21" ht="12.5" x14ac:dyDescent="0.25">
      <c r="C239" s="4">
        <f ca="1">IFERROR(__xludf.DUMMYFUNCTION("""COMPUTED_VALUE"""),40449.9986111111)</f>
        <v>40449.998611111099</v>
      </c>
      <c r="D239" s="2">
        <f ca="1">IFERROR(__xludf.DUMMYFUNCTION("""COMPUTED_VALUE"""),45.05)</f>
        <v>45.05</v>
      </c>
      <c r="E239" s="2">
        <f ca="1">IFERROR(__xludf.DUMMYFUNCTION("""COMPUTED_VALUE"""),60.09)</f>
        <v>60.09</v>
      </c>
      <c r="F239" s="2">
        <f ca="1">IFERROR(__xludf.DUMMYFUNCTION("""COMPUTED_VALUE"""),71.186)</f>
        <v>71.186000000000007</v>
      </c>
      <c r="G239" s="2">
        <f ca="1">IFERROR(__xludf.DUMMYFUNCTION("""COMPUTED_VALUE"""),0.54368)</f>
        <v>0.54368000000000005</v>
      </c>
      <c r="H239" s="2">
        <f ca="1">IFERROR(__xludf.DUMMYFUNCTION("""COMPUTED_VALUE"""),44.096)</f>
        <v>44.095999999999997</v>
      </c>
      <c r="I239" s="2">
        <f ca="1">IFERROR(__xludf.DUMMYFUNCTION("""COMPUTED_VALUE"""),44.952)</f>
        <v>44.951999999999998</v>
      </c>
      <c r="J239" s="2">
        <f ca="1">IFERROR(__xludf.DUMMYFUNCTION("""COMPUTED_VALUE"""),34.686)</f>
        <v>34.686</v>
      </c>
      <c r="K239" s="2">
        <f ca="1">IFERROR(__xludf.DUMMYFUNCTION("""COMPUTED_VALUE"""),45.733)</f>
        <v>45.732999999999997</v>
      </c>
      <c r="L239" s="2">
        <f ca="1">IFERROR(__xludf.DUMMYFUNCTION("""COMPUTED_VALUE"""),10.247)</f>
        <v>10.247</v>
      </c>
      <c r="M239" s="2">
        <f ca="1">IFERROR(__xludf.DUMMYFUNCTION("""COMPUTED_VALUE"""),12.47)</f>
        <v>12.47</v>
      </c>
      <c r="U239" s="3" t="e">
        <f ca="1"/>
        <v>#NAME?</v>
      </c>
    </row>
    <row r="240" spans="3:21" ht="12.5" x14ac:dyDescent="0.25">
      <c r="C240" s="4">
        <f ca="1">IFERROR(__xludf.DUMMYFUNCTION("""COMPUTED_VALUE"""),40450.9986111111)</f>
        <v>40450.998611111099</v>
      </c>
      <c r="D240" s="2">
        <f ca="1">IFERROR(__xludf.DUMMYFUNCTION("""COMPUTED_VALUE"""),44.69)</f>
        <v>44.69</v>
      </c>
      <c r="E240" s="2">
        <f ca="1">IFERROR(__xludf.DUMMYFUNCTION("""COMPUTED_VALUE"""),59.405)</f>
        <v>59.405000000000001</v>
      </c>
      <c r="F240" s="2">
        <f ca="1">IFERROR(__xludf.DUMMYFUNCTION("""COMPUTED_VALUE"""),70.557)</f>
        <v>70.557000000000002</v>
      </c>
      <c r="G240" s="2">
        <f ca="1">IFERROR(__xludf.DUMMYFUNCTION("""COMPUTED_VALUE"""),0.54695)</f>
        <v>0.54695000000000005</v>
      </c>
      <c r="H240" s="2">
        <f ca="1">IFERROR(__xludf.DUMMYFUNCTION("""COMPUTED_VALUE"""),43.881)</f>
        <v>43.881</v>
      </c>
      <c r="I240" s="2">
        <f ca="1">IFERROR(__xludf.DUMMYFUNCTION("""COMPUTED_VALUE"""),44.58)</f>
        <v>44.58</v>
      </c>
      <c r="J240" s="2">
        <f ca="1">IFERROR(__xludf.DUMMYFUNCTION("""COMPUTED_VALUE"""),34.662)</f>
        <v>34.661999999999999</v>
      </c>
      <c r="K240" s="2">
        <f ca="1">IFERROR(__xludf.DUMMYFUNCTION("""COMPUTED_VALUE"""),45.915)</f>
        <v>45.914999999999999</v>
      </c>
      <c r="L240" s="2">
        <f ca="1">IFERROR(__xludf.DUMMYFUNCTION("""COMPUTED_VALUE"""),10.247)</f>
        <v>10.247</v>
      </c>
      <c r="M240" s="2">
        <f ca="1">IFERROR(__xludf.DUMMYFUNCTION("""COMPUTED_VALUE"""),12.461)</f>
        <v>12.461</v>
      </c>
      <c r="U240" s="3" t="e">
        <f ca="1"/>
        <v>#NAME?</v>
      </c>
    </row>
    <row r="241" spans="3:21" ht="12.5" x14ac:dyDescent="0.25">
      <c r="C241" s="4">
        <f ca="1">IFERROR(__xludf.DUMMYFUNCTION("""COMPUTED_VALUE"""),40451.9986111111)</f>
        <v>40451.998611111099</v>
      </c>
      <c r="D241" s="2">
        <f ca="1">IFERROR(__xludf.DUMMYFUNCTION("""COMPUTED_VALUE"""),44.563)</f>
        <v>44.563000000000002</v>
      </c>
      <c r="E241" s="2">
        <f ca="1">IFERROR(__xludf.DUMMYFUNCTION("""COMPUTED_VALUE"""),59.358)</f>
        <v>59.357999999999997</v>
      </c>
      <c r="F241" s="2">
        <f ca="1">IFERROR(__xludf.DUMMYFUNCTION("""COMPUTED_VALUE"""),70.115)</f>
        <v>70.114999999999995</v>
      </c>
      <c r="G241" s="2">
        <f ca="1">IFERROR(__xludf.DUMMYFUNCTION("""COMPUTED_VALUE"""),0.5373)</f>
        <v>0.5373</v>
      </c>
      <c r="H241" s="2">
        <f ca="1">IFERROR(__xludf.DUMMYFUNCTION("""COMPUTED_VALUE"""),43.758)</f>
        <v>43.758000000000003</v>
      </c>
      <c r="I241" s="2">
        <f ca="1">IFERROR(__xludf.DUMMYFUNCTION("""COMPUTED_VALUE"""),44.542)</f>
        <v>44.542000000000002</v>
      </c>
      <c r="J241" s="2">
        <f ca="1">IFERROR(__xludf.DUMMYFUNCTION("""COMPUTED_VALUE"""),34.516)</f>
        <v>34.515999999999998</v>
      </c>
      <c r="K241" s="2">
        <f ca="1">IFERROR(__xludf.DUMMYFUNCTION("""COMPUTED_VALUE"""),46.119)</f>
        <v>46.119</v>
      </c>
      <c r="L241" s="2">
        <f ca="1">IFERROR(__xludf.DUMMYFUNCTION("""COMPUTED_VALUE"""),10.243)</f>
        <v>10.243</v>
      </c>
      <c r="M241" s="2">
        <f ca="1">IFERROR(__xludf.DUMMYFUNCTION("""COMPUTED_VALUE"""),12.314)</f>
        <v>12.314</v>
      </c>
      <c r="U241" s="3" t="e">
        <f ca="1"/>
        <v>#NAME?</v>
      </c>
    </row>
    <row r="242" spans="3:21" ht="12.5" x14ac:dyDescent="0.25">
      <c r="C242" s="4">
        <f ca="1">IFERROR(__xludf.DUMMYFUNCTION("""COMPUTED_VALUE"""),40452.9986111111)</f>
        <v>40452.998611111099</v>
      </c>
      <c r="D242" s="2">
        <f ca="1">IFERROR(__xludf.DUMMYFUNCTION("""COMPUTED_VALUE"""),44.35)</f>
        <v>44.35</v>
      </c>
      <c r="E242" s="2">
        <f ca="1">IFERROR(__xludf.DUMMYFUNCTION("""COMPUTED_VALUE"""),59.684)</f>
        <v>59.683999999999997</v>
      </c>
      <c r="F242" s="2">
        <f ca="1">IFERROR(__xludf.DUMMYFUNCTION("""COMPUTED_VALUE"""),70.277)</f>
        <v>70.277000000000001</v>
      </c>
      <c r="G242" s="2">
        <f ca="1">IFERROR(__xludf.DUMMYFUNCTION("""COMPUTED_VALUE"""),0.53816)</f>
        <v>0.53815999999999997</v>
      </c>
      <c r="H242" s="2">
        <f ca="1">IFERROR(__xludf.DUMMYFUNCTION("""COMPUTED_VALUE"""),44.04)</f>
        <v>44.04</v>
      </c>
      <c r="I242" s="2">
        <f ca="1">IFERROR(__xludf.DUMMYFUNCTION("""COMPUTED_VALUE"""),44.959)</f>
        <v>44.959000000000003</v>
      </c>
      <c r="J242" s="2">
        <f ca="1">IFERROR(__xludf.DUMMYFUNCTION("""COMPUTED_VALUE"""),34.543)</f>
        <v>34.542999999999999</v>
      </c>
      <c r="K242" s="2">
        <f ca="1">IFERROR(__xludf.DUMMYFUNCTION("""COMPUTED_VALUE"""),45.968)</f>
        <v>45.968000000000004</v>
      </c>
      <c r="L242" s="2">
        <f ca="1">IFERROR(__xludf.DUMMYFUNCTION("""COMPUTED_VALUE"""),10.233)</f>
        <v>10.233000000000001</v>
      </c>
      <c r="M242" s="2">
        <f ca="1">IFERROR(__xludf.DUMMYFUNCTION("""COMPUTED_VALUE"""),12.287)</f>
        <v>12.287000000000001</v>
      </c>
      <c r="U242" s="3" t="e">
        <f ca="1"/>
        <v>#NAME?</v>
      </c>
    </row>
    <row r="243" spans="3:21" ht="12.5" x14ac:dyDescent="0.25">
      <c r="C243" s="4">
        <f ca="1">IFERROR(__xludf.DUMMYFUNCTION("""COMPUTED_VALUE"""),40454.9986111111)</f>
        <v>40454.998611111099</v>
      </c>
      <c r="D243" s="2">
        <f ca="1">IFERROR(__xludf.DUMMYFUNCTION("""COMPUTED_VALUE"""),44.413)</f>
        <v>44.412999999999997</v>
      </c>
      <c r="E243" s="2">
        <f ca="1">IFERROR(__xludf.DUMMYFUNCTION("""COMPUTED_VALUE"""),60.059)</f>
        <v>60.058999999999997</v>
      </c>
      <c r="F243" s="2">
        <f ca="1">IFERROR(__xludf.DUMMYFUNCTION("""COMPUTED_VALUE"""),70.322)</f>
        <v>70.322000000000003</v>
      </c>
      <c r="G243" s="2">
        <f ca="1">IFERROR(__xludf.DUMMYFUNCTION("""COMPUTED_VALUE"""),0.54134)</f>
        <v>0.54134000000000004</v>
      </c>
      <c r="H243" s="2">
        <f ca="1">IFERROR(__xludf.DUMMYFUNCTION("""COMPUTED_VALUE"""),44.431)</f>
        <v>44.430999999999997</v>
      </c>
      <c r="I243" s="2">
        <f ca="1">IFERROR(__xludf.DUMMYFUNCTION("""COMPUTED_VALUE"""),44.628)</f>
        <v>44.628</v>
      </c>
      <c r="J243" s="2">
        <f ca="1">IFERROR(__xludf.DUMMYFUNCTION("""COMPUTED_VALUE"""),34.34)</f>
        <v>34.340000000000003</v>
      </c>
      <c r="K243" s="2">
        <f ca="1">IFERROR(__xludf.DUMMYFUNCTION("""COMPUTED_VALUE"""),45.566)</f>
        <v>45.566000000000003</v>
      </c>
      <c r="L243" s="2">
        <f ca="1">IFERROR(__xludf.DUMMYFUNCTION("""COMPUTED_VALUE"""),10.247)</f>
        <v>10.247</v>
      </c>
      <c r="M243" s="2">
        <f ca="1">IFERROR(__xludf.DUMMYFUNCTION("""COMPUTED_VALUE"""),12.192)</f>
        <v>12.192</v>
      </c>
      <c r="U243" s="3" t="e">
        <f ca="1"/>
        <v>#NAME?</v>
      </c>
    </row>
    <row r="244" spans="3:21" ht="12.5" x14ac:dyDescent="0.25">
      <c r="C244" s="4">
        <f ca="1">IFERROR(__xludf.DUMMYFUNCTION("""COMPUTED_VALUE"""),40455.9986111111)</f>
        <v>40455.998611111099</v>
      </c>
      <c r="D244" s="2">
        <f ca="1">IFERROR(__xludf.DUMMYFUNCTION("""COMPUTED_VALUE"""),44.45)</f>
        <v>44.45</v>
      </c>
      <c r="E244" s="2">
        <f ca="1">IFERROR(__xludf.DUMMYFUNCTION("""COMPUTED_VALUE"""),59.64)</f>
        <v>59.64</v>
      </c>
      <c r="F244" s="2">
        <f ca="1">IFERROR(__xludf.DUMMYFUNCTION("""COMPUTED_VALUE"""),70.376)</f>
        <v>70.376000000000005</v>
      </c>
      <c r="G244" s="2">
        <f ca="1">IFERROR(__xludf.DUMMYFUNCTION("""COMPUTED_VALUE"""),0.54211)</f>
        <v>0.54210999999999998</v>
      </c>
      <c r="H244" s="2">
        <f ca="1">IFERROR(__xludf.DUMMYFUNCTION("""COMPUTED_VALUE"""),44.344)</f>
        <v>44.344000000000001</v>
      </c>
      <c r="I244" s="2">
        <f ca="1">IFERROR(__xludf.DUMMYFUNCTION("""COMPUTED_VALUE"""),44.547)</f>
        <v>44.546999999999997</v>
      </c>
      <c r="J244" s="2">
        <f ca="1">IFERROR(__xludf.DUMMYFUNCTION("""COMPUTED_VALUE"""),34.343)</f>
        <v>34.343000000000004</v>
      </c>
      <c r="K244" s="2">
        <f ca="1">IFERROR(__xludf.DUMMYFUNCTION("""COMPUTED_VALUE"""),45.359)</f>
        <v>45.359000000000002</v>
      </c>
      <c r="L244" s="2">
        <f ca="1">IFERROR(__xludf.DUMMYFUNCTION("""COMPUTED_VALUE"""),10.23)</f>
        <v>10.23</v>
      </c>
      <c r="M244" s="2">
        <f ca="1">IFERROR(__xludf.DUMMYFUNCTION("""COMPUTED_VALUE"""),12.197)</f>
        <v>12.196999999999999</v>
      </c>
      <c r="U244" s="3" t="e">
        <f ca="1"/>
        <v>#NAME?</v>
      </c>
    </row>
    <row r="245" spans="3:21" ht="12.5" x14ac:dyDescent="0.25">
      <c r="C245" s="4">
        <f ca="1">IFERROR(__xludf.DUMMYFUNCTION("""COMPUTED_VALUE"""),40456.9986111111)</f>
        <v>40456.998611111099</v>
      </c>
      <c r="D245" s="2">
        <f ca="1">IFERROR(__xludf.DUMMYFUNCTION("""COMPUTED_VALUE"""),44.4)</f>
        <v>44.4</v>
      </c>
      <c r="E245" s="2">
        <f ca="1">IFERROR(__xludf.DUMMYFUNCTION("""COMPUTED_VALUE"""),59.163)</f>
        <v>59.162999999999997</v>
      </c>
      <c r="F245" s="2">
        <f ca="1">IFERROR(__xludf.DUMMYFUNCTION("""COMPUTED_VALUE"""),70.54)</f>
        <v>70.540000000000006</v>
      </c>
      <c r="G245" s="2">
        <f ca="1">IFERROR(__xludf.DUMMYFUNCTION("""COMPUTED_VALUE"""),0.53332)</f>
        <v>0.53332000000000002</v>
      </c>
      <c r="H245" s="2">
        <f ca="1">IFERROR(__xludf.DUMMYFUNCTION("""COMPUTED_VALUE"""),43.927)</f>
        <v>43.927</v>
      </c>
      <c r="I245" s="2">
        <f ca="1">IFERROR(__xludf.DUMMYFUNCTION("""COMPUTED_VALUE"""),44.106)</f>
        <v>44.106000000000002</v>
      </c>
      <c r="J245" s="2">
        <f ca="1">IFERROR(__xludf.DUMMYFUNCTION("""COMPUTED_VALUE"""),34.074)</f>
        <v>34.073999999999998</v>
      </c>
      <c r="K245" s="2">
        <f ca="1">IFERROR(__xludf.DUMMYFUNCTION("""COMPUTED_VALUE"""),45.42)</f>
        <v>45.42</v>
      </c>
      <c r="L245" s="2">
        <f ca="1">IFERROR(__xludf.DUMMYFUNCTION("""COMPUTED_VALUE"""),10.237)</f>
        <v>10.237</v>
      </c>
      <c r="M245" s="2">
        <f ca="1">IFERROR(__xludf.DUMMYFUNCTION("""COMPUTED_VALUE"""),12.116)</f>
        <v>12.116</v>
      </c>
      <c r="U245" s="3" t="e">
        <f ca="1"/>
        <v>#NAME?</v>
      </c>
    </row>
    <row r="246" spans="3:21" ht="12.5" x14ac:dyDescent="0.25">
      <c r="C246" s="4">
        <f ca="1">IFERROR(__xludf.DUMMYFUNCTION("""COMPUTED_VALUE"""),40457.9986111111)</f>
        <v>40457.998611111099</v>
      </c>
      <c r="D246" s="2">
        <f ca="1">IFERROR(__xludf.DUMMYFUNCTION("""COMPUTED_VALUE"""),44.19)</f>
        <v>44.19</v>
      </c>
      <c r="E246" s="2">
        <f ca="1">IFERROR(__xludf.DUMMYFUNCTION("""COMPUTED_VALUE"""),59.605)</f>
        <v>59.604999999999997</v>
      </c>
      <c r="F246" s="2">
        <f ca="1">IFERROR(__xludf.DUMMYFUNCTION("""COMPUTED_VALUE"""),70.24)</f>
        <v>70.239999999999995</v>
      </c>
      <c r="G246" s="2">
        <f ca="1">IFERROR(__xludf.DUMMYFUNCTION("""COMPUTED_VALUE"""),0.53549)</f>
        <v>0.53549000000000002</v>
      </c>
      <c r="H246" s="2">
        <f ca="1">IFERROR(__xludf.DUMMYFUNCTION("""COMPUTED_VALUE"""),44.051)</f>
        <v>44.051000000000002</v>
      </c>
      <c r="I246" s="2">
        <f ca="1">IFERROR(__xludf.DUMMYFUNCTION("""COMPUTED_VALUE"""),44.506)</f>
        <v>44.506</v>
      </c>
      <c r="J246" s="2">
        <f ca="1">IFERROR(__xludf.DUMMYFUNCTION("""COMPUTED_VALUE"""),34.221)</f>
        <v>34.220999999999997</v>
      </c>
      <c r="K246" s="2">
        <f ca="1">IFERROR(__xludf.DUMMYFUNCTION("""COMPUTED_VALUE"""),45.859)</f>
        <v>45.859000000000002</v>
      </c>
      <c r="L246" s="2">
        <f ca="1">IFERROR(__xludf.DUMMYFUNCTION("""COMPUTED_VALUE"""),10.23)</f>
        <v>10.23</v>
      </c>
      <c r="M246" s="2">
        <f ca="1">IFERROR(__xludf.DUMMYFUNCTION("""COMPUTED_VALUE"""),12.252)</f>
        <v>12.252000000000001</v>
      </c>
      <c r="U246" s="3" t="e">
        <f ca="1"/>
        <v>#NAME?</v>
      </c>
    </row>
    <row r="247" spans="3:21" ht="12.5" x14ac:dyDescent="0.25">
      <c r="C247" s="4">
        <f ca="1">IFERROR(__xludf.DUMMYFUNCTION("""COMPUTED_VALUE"""),40458.9986111111)</f>
        <v>40458.998611111099</v>
      </c>
      <c r="D247" s="2">
        <f ca="1">IFERROR(__xludf.DUMMYFUNCTION("""COMPUTED_VALUE"""),44.2)</f>
        <v>44.2</v>
      </c>
      <c r="E247" s="2">
        <f ca="1">IFERROR(__xludf.DUMMYFUNCTION("""COMPUTED_VALUE"""),59.633)</f>
        <v>59.633000000000003</v>
      </c>
      <c r="F247" s="2">
        <f ca="1">IFERROR(__xludf.DUMMYFUNCTION("""COMPUTED_VALUE"""),70.171)</f>
        <v>70.171000000000006</v>
      </c>
      <c r="G247" s="2">
        <f ca="1">IFERROR(__xludf.DUMMYFUNCTION("""COMPUTED_VALUE"""),0.53785)</f>
        <v>0.53785000000000005</v>
      </c>
      <c r="H247" s="2">
        <f ca="1">IFERROR(__xludf.DUMMYFUNCTION("""COMPUTED_VALUE"""),44.334)</f>
        <v>44.334000000000003</v>
      </c>
      <c r="I247" s="2">
        <f ca="1">IFERROR(__xludf.DUMMYFUNCTION("""COMPUTED_VALUE"""),44.577)</f>
        <v>44.576999999999998</v>
      </c>
      <c r="J247" s="2">
        <f ca="1">IFERROR(__xludf.DUMMYFUNCTION("""COMPUTED_VALUE"""),34.374)</f>
        <v>34.374000000000002</v>
      </c>
      <c r="K247" s="2">
        <f ca="1">IFERROR(__xludf.DUMMYFUNCTION("""COMPUTED_VALUE"""),46.341)</f>
        <v>46.341000000000001</v>
      </c>
      <c r="L247" s="2">
        <f ca="1">IFERROR(__xludf.DUMMYFUNCTION("""COMPUTED_VALUE"""),10.22)</f>
        <v>10.220000000000001</v>
      </c>
      <c r="M247" s="2">
        <f ca="1">IFERROR(__xludf.DUMMYFUNCTION("""COMPUTED_VALUE"""),12.265)</f>
        <v>12.265000000000001</v>
      </c>
      <c r="U247" s="3" t="e">
        <f ca="1"/>
        <v>#NAME?</v>
      </c>
    </row>
    <row r="248" spans="3:21" ht="12.5" x14ac:dyDescent="0.25">
      <c r="C248" s="4">
        <f ca="1">IFERROR(__xludf.DUMMYFUNCTION("""COMPUTED_VALUE"""),40459.9986111111)</f>
        <v>40459.998611111099</v>
      </c>
      <c r="D248" s="2">
        <f ca="1">IFERROR(__xludf.DUMMYFUNCTION("""COMPUTED_VALUE"""),44.09)</f>
        <v>44.09</v>
      </c>
      <c r="E248" s="2">
        <f ca="1">IFERROR(__xludf.DUMMYFUNCTION("""COMPUTED_VALUE"""),59.516)</f>
        <v>59.515999999999998</v>
      </c>
      <c r="F248" s="2">
        <f ca="1">IFERROR(__xludf.DUMMYFUNCTION("""COMPUTED_VALUE"""),70.339)</f>
        <v>70.338999999999999</v>
      </c>
      <c r="G248" s="2">
        <f ca="1">IFERROR(__xludf.DUMMYFUNCTION("""COMPUTED_VALUE"""),0.5361)</f>
        <v>0.53610000000000002</v>
      </c>
      <c r="H248" s="2">
        <f ca="1">IFERROR(__xludf.DUMMYFUNCTION("""COMPUTED_VALUE"""),44.285)</f>
        <v>44.284999999999997</v>
      </c>
      <c r="I248" s="2">
        <f ca="1">IFERROR(__xludf.DUMMYFUNCTION("""COMPUTED_VALUE"""),44.574)</f>
        <v>44.573999999999998</v>
      </c>
      <c r="J248" s="2">
        <f ca="1">IFERROR(__xludf.DUMMYFUNCTION("""COMPUTED_VALUE"""),34.386)</f>
        <v>34.386000000000003</v>
      </c>
      <c r="K248" s="2">
        <f ca="1">IFERROR(__xludf.DUMMYFUNCTION("""COMPUTED_VALUE"""),46.05)</f>
        <v>46.05</v>
      </c>
      <c r="L248" s="2">
        <f ca="1">IFERROR(__xludf.DUMMYFUNCTION("""COMPUTED_VALUE"""),10.249)</f>
        <v>10.249000000000001</v>
      </c>
      <c r="M248" s="2">
        <f ca="1">IFERROR(__xludf.DUMMYFUNCTION("""COMPUTED_VALUE"""),12.241)</f>
        <v>12.241</v>
      </c>
      <c r="U248" s="3" t="e">
        <f ca="1"/>
        <v>#NAME?</v>
      </c>
    </row>
    <row r="249" spans="3:21" ht="12.5" x14ac:dyDescent="0.25">
      <c r="C249" s="4">
        <f ca="1">IFERROR(__xludf.DUMMYFUNCTION("""COMPUTED_VALUE"""),40460.9986111111)</f>
        <v>40460.998611111099</v>
      </c>
      <c r="D249" s="2">
        <f ca="1">IFERROR(__xludf.DUMMYFUNCTION("""COMPUTED_VALUE"""),44.408)</f>
        <v>44.408000000000001</v>
      </c>
      <c r="E249" s="2">
        <f ca="1">IFERROR(__xludf.DUMMYFUNCTION("""COMPUTED_VALUE"""),60.129)</f>
        <v>60.128999999999998</v>
      </c>
      <c r="F249" s="2">
        <f ca="1">IFERROR(__xludf.DUMMYFUNCTION("""COMPUTED_VALUE"""),70.828)</f>
        <v>70.828000000000003</v>
      </c>
      <c r="G249" s="2">
        <f ca="1">IFERROR(__xludf.DUMMYFUNCTION("""COMPUTED_VALUE"""),0.53837)</f>
        <v>0.53837000000000002</v>
      </c>
      <c r="H249" s="2">
        <f ca="1">IFERROR(__xludf.DUMMYFUNCTION("""COMPUTED_VALUE"""),44.671)</f>
        <v>44.670999999999999</v>
      </c>
      <c r="I249" s="2">
        <f ca="1">IFERROR(__xludf.DUMMYFUNCTION("""COMPUTED_VALUE"""),44.56)</f>
        <v>44.56</v>
      </c>
      <c r="J249" s="2">
        <f ca="1">IFERROR(__xludf.DUMMYFUNCTION("""COMPUTED_VALUE"""),34.448)</f>
        <v>34.448</v>
      </c>
      <c r="K249" s="2">
        <f ca="1">IFERROR(__xludf.DUMMYFUNCTION("""COMPUTED_VALUE"""),45.439)</f>
        <v>45.439</v>
      </c>
      <c r="L249" s="2">
        <f ca="1">IFERROR(__xludf.DUMMYFUNCTION("""COMPUTED_VALUE"""),10.233)</f>
        <v>10.233000000000001</v>
      </c>
      <c r="M249" s="2">
        <f ca="1">IFERROR(__xludf.DUMMYFUNCTION("""COMPUTED_VALUE"""),12.227)</f>
        <v>12.227</v>
      </c>
      <c r="U249" s="3" t="e">
        <f ca="1"/>
        <v>#NAME?</v>
      </c>
    </row>
    <row r="250" spans="3:21" ht="12.5" x14ac:dyDescent="0.25">
      <c r="C250" s="4">
        <f ca="1">IFERROR(__xludf.DUMMYFUNCTION("""COMPUTED_VALUE"""),40462.9986111111)</f>
        <v>40462.998611111099</v>
      </c>
      <c r="D250" s="2">
        <f ca="1">IFERROR(__xludf.DUMMYFUNCTION("""COMPUTED_VALUE"""),44.36)</f>
        <v>44.36</v>
      </c>
      <c r="E250" s="2">
        <f ca="1">IFERROR(__xludf.DUMMYFUNCTION("""COMPUTED_VALUE"""),60.076)</f>
        <v>60.076000000000001</v>
      </c>
      <c r="F250" s="2">
        <f ca="1">IFERROR(__xludf.DUMMYFUNCTION("""COMPUTED_VALUE"""),70.503)</f>
        <v>70.503</v>
      </c>
      <c r="G250" s="2">
        <f ca="1">IFERROR(__xludf.DUMMYFUNCTION("""COMPUTED_VALUE"""),0.5368)</f>
        <v>0.53680000000000005</v>
      </c>
      <c r="H250" s="2">
        <f ca="1">IFERROR(__xludf.DUMMYFUNCTION("""COMPUTED_VALUE"""),44.832)</f>
        <v>44.832000000000001</v>
      </c>
      <c r="I250" s="2">
        <f ca="1">IFERROR(__xludf.DUMMYFUNCTION("""COMPUTED_VALUE"""),44.66)</f>
        <v>44.66</v>
      </c>
      <c r="J250" s="2">
        <f ca="1">IFERROR(__xludf.DUMMYFUNCTION("""COMPUTED_VALUE"""),34.496)</f>
        <v>34.496000000000002</v>
      </c>
      <c r="K250" s="2">
        <f ca="1">IFERROR(__xludf.DUMMYFUNCTION("""COMPUTED_VALUE"""),45.352)</f>
        <v>45.351999999999997</v>
      </c>
      <c r="L250" s="2">
        <f ca="1">IFERROR(__xludf.DUMMYFUNCTION("""COMPUTED_VALUE"""),10.225)</f>
        <v>10.225</v>
      </c>
      <c r="M250" s="2">
        <f ca="1">IFERROR(__xludf.DUMMYFUNCTION("""COMPUTED_VALUE"""),12.227)</f>
        <v>12.227</v>
      </c>
      <c r="U250" s="3" t="e">
        <f ca="1"/>
        <v>#NAME?</v>
      </c>
    </row>
    <row r="251" spans="3:21" ht="12.5" x14ac:dyDescent="0.25">
      <c r="C251" s="4">
        <f ca="1">IFERROR(__xludf.DUMMYFUNCTION("""COMPUTED_VALUE"""),40463.9986111111)</f>
        <v>40463.998611111099</v>
      </c>
      <c r="D251" s="2">
        <f ca="1">IFERROR(__xludf.DUMMYFUNCTION("""COMPUTED_VALUE"""),44.5)</f>
        <v>44.5</v>
      </c>
      <c r="E251" s="2">
        <f ca="1">IFERROR(__xludf.DUMMYFUNCTION("""COMPUTED_VALUE"""),59.888)</f>
        <v>59.887999999999998</v>
      </c>
      <c r="F251" s="2">
        <f ca="1">IFERROR(__xludf.DUMMYFUNCTION("""COMPUTED_VALUE"""),70.339)</f>
        <v>70.338999999999999</v>
      </c>
      <c r="G251" s="2">
        <f ca="1">IFERROR(__xludf.DUMMYFUNCTION("""COMPUTED_VALUE"""),0.53716)</f>
        <v>0.53715999999999997</v>
      </c>
      <c r="H251" s="2">
        <f ca="1">IFERROR(__xludf.DUMMYFUNCTION("""COMPUTED_VALUE"""),44.634)</f>
        <v>44.634</v>
      </c>
      <c r="I251" s="2">
        <f ca="1">IFERROR(__xludf.DUMMYFUNCTION("""COMPUTED_VALUE"""),45.092)</f>
        <v>45.091999999999999</v>
      </c>
      <c r="J251" s="2">
        <f ca="1">IFERROR(__xludf.DUMMYFUNCTION("""COMPUTED_VALUE"""),34.338)</f>
        <v>34.338000000000001</v>
      </c>
      <c r="K251" s="2">
        <f ca="1">IFERROR(__xludf.DUMMYFUNCTION("""COMPUTED_VALUE"""),44.822)</f>
        <v>44.822000000000003</v>
      </c>
      <c r="L251" s="2">
        <f ca="1">IFERROR(__xludf.DUMMYFUNCTION("""COMPUTED_VALUE"""),10.243)</f>
        <v>10.243</v>
      </c>
      <c r="M251" s="2">
        <f ca="1">IFERROR(__xludf.DUMMYFUNCTION("""COMPUTED_VALUE"""),12.32)</f>
        <v>12.32</v>
      </c>
      <c r="U251" s="3" t="e">
        <f ca="1"/>
        <v>#NAME?</v>
      </c>
    </row>
    <row r="252" spans="3:21" ht="12.5" x14ac:dyDescent="0.25">
      <c r="C252" s="4">
        <f ca="1">IFERROR(__xludf.DUMMYFUNCTION("""COMPUTED_VALUE"""),40464.9986111111)</f>
        <v>40464.998611111099</v>
      </c>
      <c r="D252" s="2">
        <f ca="1">IFERROR(__xludf.DUMMYFUNCTION("""COMPUTED_VALUE"""),44.34)</f>
        <v>44.34</v>
      </c>
      <c r="E252" s="2">
        <f ca="1">IFERROR(__xludf.DUMMYFUNCTION("""COMPUTED_VALUE"""),59.763)</f>
        <v>59.762999999999998</v>
      </c>
      <c r="F252" s="2">
        <f ca="1">IFERROR(__xludf.DUMMYFUNCTION("""COMPUTED_VALUE"""),70.492)</f>
        <v>70.492000000000004</v>
      </c>
      <c r="G252" s="2">
        <f ca="1">IFERROR(__xludf.DUMMYFUNCTION("""COMPUTED_VALUE"""),0.53698)</f>
        <v>0.53698000000000001</v>
      </c>
      <c r="H252" s="2">
        <f ca="1">IFERROR(__xludf.DUMMYFUNCTION("""COMPUTED_VALUE"""),44.623)</f>
        <v>44.622999999999998</v>
      </c>
      <c r="I252" s="2">
        <f ca="1">IFERROR(__xludf.DUMMYFUNCTION("""COMPUTED_VALUE"""),44.954)</f>
        <v>44.954000000000001</v>
      </c>
      <c r="J252" s="2">
        <f ca="1">IFERROR(__xludf.DUMMYFUNCTION("""COMPUTED_VALUE"""),34.348)</f>
        <v>34.347999999999999</v>
      </c>
      <c r="K252" s="2">
        <f ca="1">IFERROR(__xludf.DUMMYFUNCTION("""COMPUTED_VALUE"""),45.404)</f>
        <v>45.404000000000003</v>
      </c>
      <c r="L252" s="2">
        <f ca="1">IFERROR(__xludf.DUMMYFUNCTION("""COMPUTED_VALUE"""),10.245)</f>
        <v>10.244999999999999</v>
      </c>
      <c r="M252" s="2">
        <f ca="1">IFERROR(__xludf.DUMMYFUNCTION("""COMPUTED_VALUE"""),12.32)</f>
        <v>12.32</v>
      </c>
      <c r="U252" s="3" t="e">
        <f ca="1"/>
        <v>#NAME?</v>
      </c>
    </row>
    <row r="253" spans="3:21" ht="12.5" x14ac:dyDescent="0.25">
      <c r="C253" s="4">
        <f ca="1">IFERROR(__xludf.DUMMYFUNCTION("""COMPUTED_VALUE"""),40465.9986111111)</f>
        <v>40465.998611111099</v>
      </c>
      <c r="D253" s="2">
        <f ca="1">IFERROR(__xludf.DUMMYFUNCTION("""COMPUTED_VALUE"""),44.068)</f>
        <v>44.067999999999998</v>
      </c>
      <c r="E253" s="2">
        <f ca="1">IFERROR(__xludf.DUMMYFUNCTION("""COMPUTED_VALUE"""),59.512)</f>
        <v>59.512</v>
      </c>
      <c r="F253" s="2">
        <f ca="1">IFERROR(__xludf.DUMMYFUNCTION("""COMPUTED_VALUE"""),70.464)</f>
        <v>70.463999999999999</v>
      </c>
      <c r="G253" s="2">
        <f ca="1">IFERROR(__xludf.DUMMYFUNCTION("""COMPUTED_VALUE"""),0.53772)</f>
        <v>0.53771999999999998</v>
      </c>
      <c r="H253" s="2">
        <f ca="1">IFERROR(__xludf.DUMMYFUNCTION("""COMPUTED_VALUE"""),44.637)</f>
        <v>44.637</v>
      </c>
      <c r="I253" s="2">
        <f ca="1">IFERROR(__xludf.DUMMYFUNCTION("""COMPUTED_VALUE"""),44.571)</f>
        <v>44.570999999999998</v>
      </c>
      <c r="J253" s="2">
        <f ca="1">IFERROR(__xludf.DUMMYFUNCTION("""COMPUTED_VALUE"""),34.358)</f>
        <v>34.357999999999997</v>
      </c>
      <c r="K253" s="2">
        <f ca="1">IFERROR(__xludf.DUMMYFUNCTION("""COMPUTED_VALUE"""),45.364)</f>
        <v>45.363999999999997</v>
      </c>
      <c r="L253" s="2">
        <f ca="1">IFERROR(__xludf.DUMMYFUNCTION("""COMPUTED_VALUE"""),10.262)</f>
        <v>10.262</v>
      </c>
      <c r="M253" s="2">
        <f ca="1">IFERROR(__xludf.DUMMYFUNCTION("""COMPUTED_VALUE"""),12.292)</f>
        <v>12.292</v>
      </c>
      <c r="U253" s="3" t="e">
        <f ca="1"/>
        <v>#NAME?</v>
      </c>
    </row>
    <row r="254" spans="3:21" ht="12.5" x14ac:dyDescent="0.25">
      <c r="C254" s="4">
        <f ca="1">IFERROR(__xludf.DUMMYFUNCTION("""COMPUTED_VALUE"""),40466.9986111111)</f>
        <v>40466.998611111099</v>
      </c>
      <c r="D254" s="2">
        <f ca="1">IFERROR(__xludf.DUMMYFUNCTION("""COMPUTED_VALUE"""),44.04)</f>
        <v>44.04</v>
      </c>
      <c r="E254" s="2">
        <f ca="1">IFERROR(__xludf.DUMMYFUNCTION("""COMPUTED_VALUE"""),59.391)</f>
        <v>59.390999999999998</v>
      </c>
      <c r="F254" s="2">
        <f ca="1">IFERROR(__xludf.DUMMYFUNCTION("""COMPUTED_VALUE"""),70.378)</f>
        <v>70.378</v>
      </c>
      <c r="G254" s="2">
        <f ca="1">IFERROR(__xludf.DUMMYFUNCTION("""COMPUTED_VALUE"""),0.54051)</f>
        <v>0.54051000000000005</v>
      </c>
      <c r="H254" s="2">
        <f ca="1">IFERROR(__xludf.DUMMYFUNCTION("""COMPUTED_VALUE"""),44.97)</f>
        <v>44.97</v>
      </c>
      <c r="I254" s="2">
        <f ca="1">IFERROR(__xludf.DUMMYFUNCTION("""COMPUTED_VALUE"""),44.485)</f>
        <v>44.484999999999999</v>
      </c>
      <c r="J254" s="2">
        <f ca="1">IFERROR(__xludf.DUMMYFUNCTION("""COMPUTED_VALUE"""),34.371)</f>
        <v>34.371000000000002</v>
      </c>
      <c r="K254" s="2">
        <f ca="1">IFERROR(__xludf.DUMMYFUNCTION("""COMPUTED_VALUE"""),45.397)</f>
        <v>45.396999999999998</v>
      </c>
      <c r="L254" s="2">
        <f ca="1">IFERROR(__xludf.DUMMYFUNCTION("""COMPUTED_VALUE"""),10.299)</f>
        <v>10.298999999999999</v>
      </c>
      <c r="M254" s="2">
        <f ca="1">IFERROR(__xludf.DUMMYFUNCTION("""COMPUTED_VALUE"""),12.323)</f>
        <v>12.323</v>
      </c>
      <c r="U254" s="3" t="e">
        <f ca="1"/>
        <v>#NAME?</v>
      </c>
    </row>
    <row r="255" spans="3:21" ht="12.5" x14ac:dyDescent="0.25">
      <c r="C255" s="4">
        <f ca="1">IFERROR(__xludf.DUMMYFUNCTION("""COMPUTED_VALUE"""),40467.9986111111)</f>
        <v>40467.998611111099</v>
      </c>
      <c r="D255" s="2">
        <f ca="1">IFERROR(__xludf.DUMMYFUNCTION("""COMPUTED_VALUE"""),44.158)</f>
        <v>44.158000000000001</v>
      </c>
      <c r="E255" s="2">
        <f ca="1">IFERROR(__xludf.DUMMYFUNCTION("""COMPUTED_VALUE"""),59.147)</f>
        <v>59.146999999999998</v>
      </c>
      <c r="F255" s="2">
        <f ca="1">IFERROR(__xludf.DUMMYFUNCTION("""COMPUTED_VALUE"""),70.761)</f>
        <v>70.760999999999996</v>
      </c>
      <c r="G255" s="2">
        <f ca="1">IFERROR(__xludf.DUMMYFUNCTION("""COMPUTED_VALUE"""),0.53918)</f>
        <v>0.53917999999999999</v>
      </c>
      <c r="H255" s="2">
        <f ca="1">IFERROR(__xludf.DUMMYFUNCTION("""COMPUTED_VALUE"""),45.034)</f>
        <v>45.033999999999999</v>
      </c>
      <c r="I255" s="2">
        <f ca="1">IFERROR(__xludf.DUMMYFUNCTION("""COMPUTED_VALUE"""),44.4)</f>
        <v>44.4</v>
      </c>
      <c r="J255" s="2">
        <f ca="1">IFERROR(__xludf.DUMMYFUNCTION("""COMPUTED_VALUE"""),34.399)</f>
        <v>34.399000000000001</v>
      </c>
      <c r="K255" s="2">
        <f ca="1">IFERROR(__xludf.DUMMYFUNCTION("""COMPUTED_VALUE"""),46.049)</f>
        <v>46.048999999999999</v>
      </c>
      <c r="L255" s="2">
        <f ca="1">IFERROR(__xludf.DUMMYFUNCTION("""COMPUTED_VALUE"""),10.291)</f>
        <v>10.291</v>
      </c>
      <c r="M255" s="2">
        <f ca="1">IFERROR(__xludf.DUMMYFUNCTION("""COMPUTED_VALUE"""),12.301)</f>
        <v>12.301</v>
      </c>
      <c r="U255" s="3" t="e">
        <f ca="1"/>
        <v>#NAME?</v>
      </c>
    </row>
    <row r="256" spans="3:21" ht="12.5" x14ac:dyDescent="0.25">
      <c r="C256" s="4">
        <f ca="1">IFERROR(__xludf.DUMMYFUNCTION("""COMPUTED_VALUE"""),40468.9986111111)</f>
        <v>40468.998611111099</v>
      </c>
      <c r="D256" s="2">
        <f ca="1">IFERROR(__xludf.DUMMYFUNCTION("""COMPUTED_VALUE"""),44.158)</f>
        <v>44.158000000000001</v>
      </c>
      <c r="E256" s="2">
        <f ca="1">IFERROR(__xludf.DUMMYFUNCTION("""COMPUTED_VALUE"""),58.855)</f>
        <v>58.854999999999997</v>
      </c>
      <c r="F256" s="2">
        <f ca="1">IFERROR(__xludf.DUMMYFUNCTION("""COMPUTED_VALUE"""),70.586)</f>
        <v>70.585999999999999</v>
      </c>
      <c r="G256" s="2">
        <f ca="1">IFERROR(__xludf.DUMMYFUNCTION("""COMPUTED_VALUE"""),0.53777)</f>
        <v>0.53776999999999997</v>
      </c>
      <c r="H256" s="2">
        <f ca="1">IFERROR(__xludf.DUMMYFUNCTION("""COMPUTED_VALUE"""),44.957)</f>
        <v>44.957000000000001</v>
      </c>
      <c r="I256" s="2">
        <f ca="1">IFERROR(__xludf.DUMMYFUNCTION("""COMPUTED_VALUE"""),44.334)</f>
        <v>44.334000000000003</v>
      </c>
      <c r="J256" s="2">
        <f ca="1">IFERROR(__xludf.DUMMYFUNCTION("""COMPUTED_VALUE"""),34.397)</f>
        <v>34.396999999999998</v>
      </c>
      <c r="K256" s="2">
        <f ca="1">IFERROR(__xludf.DUMMYFUNCTION("""COMPUTED_VALUE"""),46.102)</f>
        <v>46.101999999999997</v>
      </c>
      <c r="L256" s="2">
        <f ca="1">IFERROR(__xludf.DUMMYFUNCTION("""COMPUTED_VALUE"""),10.289)</f>
        <v>10.289</v>
      </c>
      <c r="M256" s="2">
        <f ca="1">IFERROR(__xludf.DUMMYFUNCTION("""COMPUTED_VALUE"""),12.238)</f>
        <v>12.238</v>
      </c>
      <c r="U256" s="3" t="e">
        <f ca="1"/>
        <v>#NAME?</v>
      </c>
    </row>
    <row r="257" spans="3:21" ht="12.5" x14ac:dyDescent="0.25">
      <c r="C257" s="4">
        <f ca="1">IFERROR(__xludf.DUMMYFUNCTION("""COMPUTED_VALUE"""),40469.9986111111)</f>
        <v>40469.998611111099</v>
      </c>
      <c r="D257" s="2">
        <f ca="1">IFERROR(__xludf.DUMMYFUNCTION("""COMPUTED_VALUE"""),44.17)</f>
        <v>44.17</v>
      </c>
      <c r="E257" s="2">
        <f ca="1">IFERROR(__xludf.DUMMYFUNCTION("""COMPUTED_VALUE"""),59.078)</f>
        <v>59.078000000000003</v>
      </c>
      <c r="F257" s="2">
        <f ca="1">IFERROR(__xludf.DUMMYFUNCTION("""COMPUTED_VALUE"""),70.356)</f>
        <v>70.355999999999995</v>
      </c>
      <c r="G257" s="2">
        <f ca="1">IFERROR(__xludf.DUMMYFUNCTION("""COMPUTED_VALUE"""),0.54306)</f>
        <v>0.54305999999999999</v>
      </c>
      <c r="H257" s="2">
        <f ca="1">IFERROR(__xludf.DUMMYFUNCTION("""COMPUTED_VALUE"""),45.242)</f>
        <v>45.241999999999997</v>
      </c>
      <c r="I257" s="2">
        <f ca="1">IFERROR(__xludf.DUMMYFUNCTION("""COMPUTED_VALUE"""),44.592)</f>
        <v>44.591999999999999</v>
      </c>
      <c r="J257" s="2">
        <f ca="1">IFERROR(__xludf.DUMMYFUNCTION("""COMPUTED_VALUE"""),34.527)</f>
        <v>34.527000000000001</v>
      </c>
      <c r="K257" s="2">
        <f ca="1">IFERROR(__xludf.DUMMYFUNCTION("""COMPUTED_VALUE"""),45.755)</f>
        <v>45.755000000000003</v>
      </c>
      <c r="L257" s="2">
        <f ca="1">IFERROR(__xludf.DUMMYFUNCTION("""COMPUTED_VALUE"""),10.278)</f>
        <v>10.278</v>
      </c>
      <c r="M257" s="2">
        <f ca="1">IFERROR(__xludf.DUMMYFUNCTION("""COMPUTED_VALUE"""),12.268)</f>
        <v>12.268000000000001</v>
      </c>
      <c r="U257" s="3" t="e">
        <f ca="1"/>
        <v>#NAME?</v>
      </c>
    </row>
    <row r="258" spans="3:21" ht="12.5" x14ac:dyDescent="0.25">
      <c r="C258" s="4">
        <f ca="1">IFERROR(__xludf.DUMMYFUNCTION("""COMPUTED_VALUE"""),40470.9986111111)</f>
        <v>40470.998611111099</v>
      </c>
      <c r="D258" s="2">
        <f ca="1">IFERROR(__xludf.DUMMYFUNCTION("""COMPUTED_VALUE"""),44.33)</f>
        <v>44.33</v>
      </c>
      <c r="E258" s="2">
        <f ca="1">IFERROR(__xludf.DUMMYFUNCTION("""COMPUTED_VALUE"""),59.019)</f>
        <v>59.018999999999998</v>
      </c>
      <c r="F258" s="2">
        <f ca="1">IFERROR(__xludf.DUMMYFUNCTION("""COMPUTED_VALUE"""),69.621)</f>
        <v>69.620999999999995</v>
      </c>
      <c r="G258" s="2">
        <f ca="1">IFERROR(__xludf.DUMMYFUNCTION("""COMPUTED_VALUE"""),0.54291)</f>
        <v>0.54291</v>
      </c>
      <c r="H258" s="2">
        <f ca="1">IFERROR(__xludf.DUMMYFUNCTION("""COMPUTED_VALUE"""),45.215)</f>
        <v>45.215000000000003</v>
      </c>
      <c r="I258" s="2">
        <f ca="1">IFERROR(__xludf.DUMMYFUNCTION("""COMPUTED_VALUE"""),44.699)</f>
        <v>44.698999999999998</v>
      </c>
      <c r="J258" s="2">
        <f ca="1">IFERROR(__xludf.DUMMYFUNCTION("""COMPUTED_VALUE"""),34.626)</f>
        <v>34.625999999999998</v>
      </c>
      <c r="K258" s="2">
        <f ca="1">IFERROR(__xludf.DUMMYFUNCTION("""COMPUTED_VALUE"""),45.972)</f>
        <v>45.972000000000001</v>
      </c>
      <c r="L258" s="2">
        <f ca="1">IFERROR(__xludf.DUMMYFUNCTION("""COMPUTED_VALUE"""),10.306)</f>
        <v>10.305999999999999</v>
      </c>
      <c r="M258" s="2">
        <f ca="1">IFERROR(__xludf.DUMMYFUNCTION("""COMPUTED_VALUE"""),12.254)</f>
        <v>12.254</v>
      </c>
      <c r="U258" s="3" t="e">
        <f ca="1"/>
        <v>#NAME?</v>
      </c>
    </row>
    <row r="259" spans="3:21" ht="12.5" x14ac:dyDescent="0.25">
      <c r="C259" s="4">
        <f ca="1">IFERROR(__xludf.DUMMYFUNCTION("""COMPUTED_VALUE"""),40471.9986111111)</f>
        <v>40471.998611111099</v>
      </c>
      <c r="D259" s="2">
        <f ca="1">IFERROR(__xludf.DUMMYFUNCTION("""COMPUTED_VALUE"""),44.2)</f>
        <v>44.2</v>
      </c>
      <c r="E259" s="2">
        <f ca="1">IFERROR(__xludf.DUMMYFUNCTION("""COMPUTED_VALUE"""),59.365)</f>
        <v>59.365000000000002</v>
      </c>
      <c r="F259" s="2">
        <f ca="1">IFERROR(__xludf.DUMMYFUNCTION("""COMPUTED_VALUE"""),70)</f>
        <v>70</v>
      </c>
      <c r="G259" s="2">
        <f ca="1">IFERROR(__xludf.DUMMYFUNCTION("""COMPUTED_VALUE"""),0.54468)</f>
        <v>0.54468000000000005</v>
      </c>
      <c r="H259" s="2">
        <f ca="1">IFERROR(__xludf.DUMMYFUNCTION("""COMPUTED_VALUE"""),45.303)</f>
        <v>45.302999999999997</v>
      </c>
      <c r="I259" s="2">
        <f ca="1">IFERROR(__xludf.DUMMYFUNCTION("""COMPUTED_VALUE"""),44.782)</f>
        <v>44.781999999999996</v>
      </c>
      <c r="J259" s="2">
        <f ca="1">IFERROR(__xludf.DUMMYFUNCTION("""COMPUTED_VALUE"""),34.711)</f>
        <v>34.710999999999999</v>
      </c>
      <c r="K259" s="2">
        <f ca="1">IFERROR(__xludf.DUMMYFUNCTION("""COMPUTED_VALUE"""),45.661)</f>
        <v>45.661000000000001</v>
      </c>
      <c r="L259" s="2">
        <f ca="1">IFERROR(__xludf.DUMMYFUNCTION("""COMPUTED_VALUE"""),10.262)</f>
        <v>10.262</v>
      </c>
      <c r="M259" s="2">
        <f ca="1">IFERROR(__xludf.DUMMYFUNCTION("""COMPUTED_VALUE"""),12.282)</f>
        <v>12.282</v>
      </c>
      <c r="U259" s="3" t="e">
        <f ca="1"/>
        <v>#NAME?</v>
      </c>
    </row>
    <row r="260" spans="3:21" ht="12.5" x14ac:dyDescent="0.25">
      <c r="C260" s="4">
        <f ca="1">IFERROR(__xludf.DUMMYFUNCTION("""COMPUTED_VALUE"""),40472.9986111111)</f>
        <v>40472.998611111099</v>
      </c>
      <c r="D260" s="2">
        <f ca="1">IFERROR(__xludf.DUMMYFUNCTION("""COMPUTED_VALUE"""),44.2)</f>
        <v>44.2</v>
      </c>
      <c r="E260" s="2">
        <f ca="1">IFERROR(__xludf.DUMMYFUNCTION("""COMPUTED_VALUE"""),58.952)</f>
        <v>58.951999999999998</v>
      </c>
      <c r="F260" s="2">
        <f ca="1">IFERROR(__xludf.DUMMYFUNCTION("""COMPUTED_VALUE"""),69.438)</f>
        <v>69.438000000000002</v>
      </c>
      <c r="G260" s="2">
        <f ca="1">IFERROR(__xludf.DUMMYFUNCTION("""COMPUTED_VALUE"""),0.54548)</f>
        <v>0.54547999999999996</v>
      </c>
      <c r="H260" s="2">
        <f ca="1">IFERROR(__xludf.DUMMYFUNCTION("""COMPUTED_VALUE"""),45.401)</f>
        <v>45.401000000000003</v>
      </c>
      <c r="I260" s="2">
        <f ca="1">IFERROR(__xludf.DUMMYFUNCTION("""COMPUTED_VALUE"""),44.958)</f>
        <v>44.957999999999998</v>
      </c>
      <c r="J260" s="2">
        <f ca="1">IFERROR(__xludf.DUMMYFUNCTION("""COMPUTED_VALUE"""),34.594)</f>
        <v>34.594000000000001</v>
      </c>
      <c r="K260" s="2">
        <f ca="1">IFERROR(__xludf.DUMMYFUNCTION("""COMPUTED_VALUE"""),46.134)</f>
        <v>46.134</v>
      </c>
      <c r="L260" s="2">
        <f ca="1">IFERROR(__xludf.DUMMYFUNCTION("""COMPUTED_VALUE"""),10.202)</f>
        <v>10.202</v>
      </c>
      <c r="M260" s="2">
        <f ca="1">IFERROR(__xludf.DUMMYFUNCTION("""COMPUTED_VALUE"""),12.238)</f>
        <v>12.238</v>
      </c>
      <c r="U260" s="3" t="e">
        <f ca="1"/>
        <v>#NAME?</v>
      </c>
    </row>
    <row r="261" spans="3:21" ht="12.5" x14ac:dyDescent="0.25">
      <c r="C261" s="4">
        <f ca="1">IFERROR(__xludf.DUMMYFUNCTION("""COMPUTED_VALUE"""),40473.9986111111)</f>
        <v>40473.998611111099</v>
      </c>
      <c r="D261" s="2">
        <f ca="1">IFERROR(__xludf.DUMMYFUNCTION("""COMPUTED_VALUE"""),44.41)</f>
        <v>44.41</v>
      </c>
      <c r="E261" s="2">
        <f ca="1">IFERROR(__xludf.DUMMYFUNCTION("""COMPUTED_VALUE"""),59.355)</f>
        <v>59.354999999999997</v>
      </c>
      <c r="F261" s="2">
        <f ca="1">IFERROR(__xludf.DUMMYFUNCTION("""COMPUTED_VALUE"""),69.67)</f>
        <v>69.67</v>
      </c>
      <c r="G261" s="2">
        <f ca="1">IFERROR(__xludf.DUMMYFUNCTION("""COMPUTED_VALUE"""),0.54998)</f>
        <v>0.54998000000000002</v>
      </c>
      <c r="H261" s="2">
        <f ca="1">IFERROR(__xludf.DUMMYFUNCTION("""COMPUTED_VALUE"""),45.707)</f>
        <v>45.707000000000001</v>
      </c>
      <c r="I261" s="2">
        <f ca="1">IFERROR(__xludf.DUMMYFUNCTION("""COMPUTED_VALUE"""),44.91)</f>
        <v>44.91</v>
      </c>
      <c r="J261" s="2">
        <f ca="1">IFERROR(__xludf.DUMMYFUNCTION("""COMPUTED_VALUE"""),34.713)</f>
        <v>34.713000000000001</v>
      </c>
      <c r="K261" s="2">
        <f ca="1">IFERROR(__xludf.DUMMYFUNCTION("""COMPUTED_VALUE"""),45.74)</f>
        <v>45.74</v>
      </c>
      <c r="L261" s="2">
        <f ca="1">IFERROR(__xludf.DUMMYFUNCTION("""COMPUTED_VALUE"""),10.198)</f>
        <v>10.198</v>
      </c>
      <c r="M261" s="2">
        <f ca="1">IFERROR(__xludf.DUMMYFUNCTION("""COMPUTED_VALUE"""),12.23)</f>
        <v>12.23</v>
      </c>
      <c r="U261" s="3" t="e">
        <f ca="1"/>
        <v>#NAME?</v>
      </c>
    </row>
    <row r="262" spans="3:21" ht="12.5" x14ac:dyDescent="0.25">
      <c r="C262" s="4">
        <f ca="1">IFERROR(__xludf.DUMMYFUNCTION("""COMPUTED_VALUE"""),40475.9986111111)</f>
        <v>40475.998611111099</v>
      </c>
      <c r="D262" s="2">
        <f ca="1">IFERROR(__xludf.DUMMYFUNCTION("""COMPUTED_VALUE"""),44.528)</f>
        <v>44.527999999999999</v>
      </c>
      <c r="E262" s="2">
        <f ca="1">IFERROR(__xludf.DUMMYFUNCTION("""COMPUTED_VALUE"""),59.57)</f>
        <v>59.57</v>
      </c>
      <c r="F262" s="2">
        <f ca="1">IFERROR(__xludf.DUMMYFUNCTION("""COMPUTED_VALUE"""),69.845)</f>
        <v>69.844999999999999</v>
      </c>
      <c r="G262" s="2">
        <f ca="1">IFERROR(__xludf.DUMMYFUNCTION("""COMPUTED_VALUE"""),0.54971)</f>
        <v>0.54971000000000003</v>
      </c>
      <c r="H262" s="2">
        <f ca="1">IFERROR(__xludf.DUMMYFUNCTION("""COMPUTED_VALUE"""),45.552)</f>
        <v>45.552</v>
      </c>
      <c r="I262" s="2">
        <f ca="1">IFERROR(__xludf.DUMMYFUNCTION("""COMPUTED_VALUE"""),44.826)</f>
        <v>44.826000000000001</v>
      </c>
      <c r="J262" s="2">
        <f ca="1">IFERROR(__xludf.DUMMYFUNCTION("""COMPUTED_VALUE"""),34.766)</f>
        <v>34.765999999999998</v>
      </c>
      <c r="K262" s="2">
        <f ca="1">IFERROR(__xludf.DUMMYFUNCTION("""COMPUTED_VALUE"""),45.431)</f>
        <v>45.430999999999997</v>
      </c>
      <c r="L262" s="2">
        <f ca="1">IFERROR(__xludf.DUMMYFUNCTION("""COMPUTED_VALUE"""),10.198)</f>
        <v>10.198</v>
      </c>
      <c r="M262" s="2">
        <f ca="1">IFERROR(__xludf.DUMMYFUNCTION("""COMPUTED_VALUE"""),12.2)</f>
        <v>12.2</v>
      </c>
      <c r="U262" s="3" t="e">
        <f ca="1"/>
        <v>#NAME?</v>
      </c>
    </row>
    <row r="263" spans="3:21" ht="12.5" x14ac:dyDescent="0.25">
      <c r="C263" s="4">
        <f ca="1">IFERROR(__xludf.DUMMYFUNCTION("""COMPUTED_VALUE"""),40476.9986111111)</f>
        <v>40476.998611111099</v>
      </c>
      <c r="D263" s="2">
        <f ca="1">IFERROR(__xludf.DUMMYFUNCTION("""COMPUTED_VALUE"""),44.25)</f>
        <v>44.25</v>
      </c>
      <c r="E263" s="2">
        <f ca="1">IFERROR(__xludf.DUMMYFUNCTION("""COMPUTED_VALUE"""),59.49)</f>
        <v>59.49</v>
      </c>
      <c r="F263" s="2">
        <f ca="1">IFERROR(__xludf.DUMMYFUNCTION("""COMPUTED_VALUE"""),69.689)</f>
        <v>69.688999999999993</v>
      </c>
      <c r="G263" s="2">
        <f ca="1">IFERROR(__xludf.DUMMYFUNCTION("""COMPUTED_VALUE"""),0.54863)</f>
        <v>0.54862999999999995</v>
      </c>
      <c r="H263" s="2">
        <f ca="1">IFERROR(__xludf.DUMMYFUNCTION("""COMPUTED_VALUE"""),45.569)</f>
        <v>45.569000000000003</v>
      </c>
      <c r="I263" s="2">
        <f ca="1">IFERROR(__xludf.DUMMYFUNCTION("""COMPUTED_VALUE"""),44.806)</f>
        <v>44.805999999999997</v>
      </c>
      <c r="J263" s="2">
        <f ca="1">IFERROR(__xludf.DUMMYFUNCTION("""COMPUTED_VALUE"""),34.712)</f>
        <v>34.712000000000003</v>
      </c>
      <c r="K263" s="2">
        <f ca="1">IFERROR(__xludf.DUMMYFUNCTION("""COMPUTED_VALUE"""),45.55)</f>
        <v>45.55</v>
      </c>
      <c r="L263" s="2">
        <f ca="1">IFERROR(__xludf.DUMMYFUNCTION("""COMPUTED_VALUE"""),10.191)</f>
        <v>10.191000000000001</v>
      </c>
      <c r="M263" s="2">
        <f ca="1">IFERROR(__xludf.DUMMYFUNCTION("""COMPUTED_VALUE"""),12.132)</f>
        <v>12.132</v>
      </c>
      <c r="U263" s="3" t="e">
        <f ca="1"/>
        <v>#NAME?</v>
      </c>
    </row>
    <row r="264" spans="3:21" ht="12.5" x14ac:dyDescent="0.25">
      <c r="C264" s="4">
        <f ca="1">IFERROR(__xludf.DUMMYFUNCTION("""COMPUTED_VALUE"""),40477.9986111111)</f>
        <v>40477.998611111099</v>
      </c>
      <c r="D264" s="2">
        <f ca="1">IFERROR(__xludf.DUMMYFUNCTION("""COMPUTED_VALUE"""),44.4)</f>
        <v>44.4</v>
      </c>
      <c r="E264" s="2">
        <f ca="1">IFERROR(__xludf.DUMMYFUNCTION("""COMPUTED_VALUE"""),59.577)</f>
        <v>59.576999999999998</v>
      </c>
      <c r="F264" s="2">
        <f ca="1">IFERROR(__xludf.DUMMYFUNCTION("""COMPUTED_VALUE"""),70.321)</f>
        <v>70.320999999999998</v>
      </c>
      <c r="G264" s="2">
        <f ca="1">IFERROR(__xludf.DUMMYFUNCTION("""COMPUTED_VALUE"""),0.5458)</f>
        <v>0.54579999999999995</v>
      </c>
      <c r="H264" s="2">
        <f ca="1">IFERROR(__xludf.DUMMYFUNCTION("""COMPUTED_VALUE"""),45.321)</f>
        <v>45.320999999999998</v>
      </c>
      <c r="I264" s="2">
        <f ca="1">IFERROR(__xludf.DUMMYFUNCTION("""COMPUTED_VALUE"""),44.883)</f>
        <v>44.883000000000003</v>
      </c>
      <c r="J264" s="2">
        <f ca="1">IFERROR(__xludf.DUMMYFUNCTION("""COMPUTED_VALUE"""),34.719)</f>
        <v>34.719000000000001</v>
      </c>
      <c r="K264" s="2">
        <f ca="1">IFERROR(__xludf.DUMMYFUNCTION("""COMPUTED_VALUE"""),45.449)</f>
        <v>45.448999999999998</v>
      </c>
      <c r="L264" s="2">
        <f ca="1">IFERROR(__xludf.DUMMYFUNCTION("""COMPUTED_VALUE"""),10.204)</f>
        <v>10.204000000000001</v>
      </c>
      <c r="M264" s="2">
        <f ca="1">IFERROR(__xludf.DUMMYFUNCTION("""COMPUTED_VALUE"""),12.145)</f>
        <v>12.145</v>
      </c>
      <c r="U264" s="3" t="e">
        <f ca="1"/>
        <v>#NAME?</v>
      </c>
    </row>
    <row r="265" spans="3:21" ht="12.5" x14ac:dyDescent="0.25">
      <c r="C265" s="4">
        <f ca="1">IFERROR(__xludf.DUMMYFUNCTION("""COMPUTED_VALUE"""),40478.9986111111)</f>
        <v>40478.998611111099</v>
      </c>
      <c r="D265" s="2">
        <f ca="1">IFERROR(__xludf.DUMMYFUNCTION("""COMPUTED_VALUE"""),44.42)</f>
        <v>44.42</v>
      </c>
      <c r="E265" s="2">
        <f ca="1">IFERROR(__xludf.DUMMYFUNCTION("""COMPUTED_VALUE"""),59.743)</f>
        <v>59.743000000000002</v>
      </c>
      <c r="F265" s="2">
        <f ca="1">IFERROR(__xludf.DUMMYFUNCTION("""COMPUTED_VALUE"""),70.063)</f>
        <v>70.063000000000002</v>
      </c>
      <c r="G265" s="2">
        <f ca="1">IFERROR(__xludf.DUMMYFUNCTION("""COMPUTED_VALUE"""),0.54739)</f>
        <v>0.54739000000000004</v>
      </c>
      <c r="H265" s="2">
        <f ca="1">IFERROR(__xludf.DUMMYFUNCTION("""COMPUTED_VALUE"""),45.136)</f>
        <v>45.136000000000003</v>
      </c>
      <c r="I265" s="2">
        <f ca="1">IFERROR(__xludf.DUMMYFUNCTION("""COMPUTED_VALUE"""),44.935)</f>
        <v>44.935000000000002</v>
      </c>
      <c r="J265" s="2">
        <f ca="1">IFERROR(__xludf.DUMMYFUNCTION("""COMPUTED_VALUE"""),34.864)</f>
        <v>34.863999999999997</v>
      </c>
      <c r="K265" s="2">
        <f ca="1">IFERROR(__xludf.DUMMYFUNCTION("""COMPUTED_VALUE"""),45.747)</f>
        <v>45.747</v>
      </c>
      <c r="L265" s="2">
        <f ca="1">IFERROR(__xludf.DUMMYFUNCTION("""COMPUTED_VALUE"""),10.247)</f>
        <v>10.247</v>
      </c>
      <c r="M265" s="2">
        <f ca="1">IFERROR(__xludf.DUMMYFUNCTION("""COMPUTED_VALUE"""),12.225)</f>
        <v>12.225</v>
      </c>
      <c r="U265" s="3" t="e">
        <f ca="1"/>
        <v>#NAME?</v>
      </c>
    </row>
    <row r="266" spans="3:21" ht="12.5" x14ac:dyDescent="0.25">
      <c r="C266" s="4">
        <f ca="1">IFERROR(__xludf.DUMMYFUNCTION("""COMPUTED_VALUE"""),40479.9986111111)</f>
        <v>40479.998611111099</v>
      </c>
      <c r="D266" s="2">
        <f ca="1">IFERROR(__xludf.DUMMYFUNCTION("""COMPUTED_VALUE"""),44.3)</f>
        <v>44.3</v>
      </c>
      <c r="E266" s="2">
        <f ca="1">IFERROR(__xludf.DUMMYFUNCTION("""COMPUTED_VALUE"""),59.483)</f>
        <v>59.482999999999997</v>
      </c>
      <c r="F266" s="2">
        <f ca="1">IFERROR(__xludf.DUMMYFUNCTION("""COMPUTED_VALUE"""),70.603)</f>
        <v>70.602999999999994</v>
      </c>
      <c r="G266" s="2">
        <f ca="1">IFERROR(__xludf.DUMMYFUNCTION("""COMPUTED_VALUE"""),0.5431)</f>
        <v>0.54310000000000003</v>
      </c>
      <c r="H266" s="2">
        <f ca="1">IFERROR(__xludf.DUMMYFUNCTION("""COMPUTED_VALUE"""),45.203)</f>
        <v>45.203000000000003</v>
      </c>
      <c r="I266" s="2">
        <f ca="1">IFERROR(__xludf.DUMMYFUNCTION("""COMPUTED_VALUE"""),45.378)</f>
        <v>45.378</v>
      </c>
      <c r="J266" s="2">
        <f ca="1">IFERROR(__xludf.DUMMYFUNCTION("""COMPUTED_VALUE"""),34.982)</f>
        <v>34.981999999999999</v>
      </c>
      <c r="K266" s="2">
        <f ca="1">IFERROR(__xludf.DUMMYFUNCTION("""COMPUTED_VALUE"""),45.934)</f>
        <v>45.933999999999997</v>
      </c>
      <c r="L266" s="2">
        <f ca="1">IFERROR(__xludf.DUMMYFUNCTION("""COMPUTED_VALUE"""),10.211)</f>
        <v>10.211</v>
      </c>
      <c r="M266" s="2">
        <f ca="1">IFERROR(__xludf.DUMMYFUNCTION("""COMPUTED_VALUE"""),12.309)</f>
        <v>12.308999999999999</v>
      </c>
      <c r="U266" s="3" t="e">
        <f ca="1"/>
        <v>#NAME?</v>
      </c>
    </row>
    <row r="267" spans="3:21" ht="12.5" x14ac:dyDescent="0.25">
      <c r="C267" s="4">
        <f ca="1">IFERROR(__xludf.DUMMYFUNCTION("""COMPUTED_VALUE"""),40480.9986111111)</f>
        <v>40480.998611111099</v>
      </c>
      <c r="D267" s="2">
        <f ca="1">IFERROR(__xludf.DUMMYFUNCTION("""COMPUTED_VALUE"""),44.33)</f>
        <v>44.33</v>
      </c>
      <c r="E267" s="2">
        <f ca="1">IFERROR(__xludf.DUMMYFUNCTION("""COMPUTED_VALUE"""),58.754)</f>
        <v>58.753999999999998</v>
      </c>
      <c r="F267" s="2">
        <f ca="1">IFERROR(__xludf.DUMMYFUNCTION("""COMPUTED_VALUE"""),71.028)</f>
        <v>71.028000000000006</v>
      </c>
      <c r="G267" s="2">
        <f ca="1">IFERROR(__xludf.DUMMYFUNCTION("""COMPUTED_VALUE"""),0.54225)</f>
        <v>0.54225000000000001</v>
      </c>
      <c r="H267" s="2">
        <f ca="1">IFERROR(__xludf.DUMMYFUNCTION("""COMPUTED_VALUE"""),44.926)</f>
        <v>44.926000000000002</v>
      </c>
      <c r="I267" s="2">
        <f ca="1">IFERROR(__xludf.DUMMYFUNCTION("""COMPUTED_VALUE"""),45.339)</f>
        <v>45.338999999999999</v>
      </c>
      <c r="J267" s="2">
        <f ca="1">IFERROR(__xludf.DUMMYFUNCTION("""COMPUTED_VALUE"""),34.887)</f>
        <v>34.887</v>
      </c>
      <c r="K267" s="2">
        <f ca="1">IFERROR(__xludf.DUMMYFUNCTION("""COMPUTED_VALUE"""),45.957)</f>
        <v>45.957000000000001</v>
      </c>
      <c r="L267" s="2">
        <f ca="1">IFERROR(__xludf.DUMMYFUNCTION("""COMPUTED_VALUE"""),10.192)</f>
        <v>10.192</v>
      </c>
      <c r="M267" s="2">
        <f ca="1">IFERROR(__xludf.DUMMYFUNCTION("""COMPUTED_VALUE"""),12.3)</f>
        <v>12.3</v>
      </c>
      <c r="U267" s="3" t="e">
        <f ca="1"/>
        <v>#NAME?</v>
      </c>
    </row>
    <row r="268" spans="3:21" ht="12.5" x14ac:dyDescent="0.25">
      <c r="C268" s="4">
        <f ca="1">IFERROR(__xludf.DUMMYFUNCTION("""COMPUTED_VALUE"""),40482.9986111111)</f>
        <v>40482.998611111099</v>
      </c>
      <c r="D268" s="2">
        <f ca="1">IFERROR(__xludf.DUMMYFUNCTION("""COMPUTED_VALUE"""),44.448)</f>
        <v>44.448</v>
      </c>
      <c r="E268" s="2">
        <f ca="1">IFERROR(__xludf.DUMMYFUNCTION("""COMPUTED_VALUE"""),58.289)</f>
        <v>58.289000000000001</v>
      </c>
      <c r="F268" s="2">
        <f ca="1">IFERROR(__xludf.DUMMYFUNCTION("""COMPUTED_VALUE"""),71.297)</f>
        <v>71.296999999999997</v>
      </c>
      <c r="G268" s="2">
        <f ca="1">IFERROR(__xludf.DUMMYFUNCTION("""COMPUTED_VALUE"""),0.54375)</f>
        <v>0.54374999999999996</v>
      </c>
      <c r="H268" s="2">
        <f ca="1">IFERROR(__xludf.DUMMYFUNCTION("""COMPUTED_VALUE"""),44.993)</f>
        <v>44.993000000000002</v>
      </c>
      <c r="I268" s="2">
        <f ca="1">IFERROR(__xludf.DUMMYFUNCTION("""COMPUTED_VALUE"""),45.526)</f>
        <v>45.526000000000003</v>
      </c>
      <c r="J268" s="2">
        <f ca="1">IFERROR(__xludf.DUMMYFUNCTION("""COMPUTED_VALUE"""),34.861)</f>
        <v>34.860999999999997</v>
      </c>
      <c r="K268" s="2">
        <f ca="1">IFERROR(__xludf.DUMMYFUNCTION("""COMPUTED_VALUE"""),45.623)</f>
        <v>45.622999999999998</v>
      </c>
      <c r="L268" s="2">
        <f ca="1">IFERROR(__xludf.DUMMYFUNCTION("""COMPUTED_VALUE"""),10.171)</f>
        <v>10.170999999999999</v>
      </c>
      <c r="M268" s="2">
        <f ca="1">IFERROR(__xludf.DUMMYFUNCTION("""COMPUTED_VALUE"""),12.293)</f>
        <v>12.292999999999999</v>
      </c>
      <c r="U268" s="3" t="e">
        <f ca="1"/>
        <v>#NAME?</v>
      </c>
    </row>
    <row r="269" spans="3:21" ht="12.5" x14ac:dyDescent="0.25">
      <c r="C269" s="4">
        <f ca="1">IFERROR(__xludf.DUMMYFUNCTION("""COMPUTED_VALUE"""),40483.9986111111)</f>
        <v>40483.998611111099</v>
      </c>
      <c r="D269" s="2">
        <f ca="1">IFERROR(__xludf.DUMMYFUNCTION("""COMPUTED_VALUE"""),44.34)</f>
        <v>44.34</v>
      </c>
      <c r="E269" s="2">
        <f ca="1">IFERROR(__xludf.DUMMYFUNCTION("""COMPUTED_VALUE"""),58.667)</f>
        <v>58.667000000000002</v>
      </c>
      <c r="F269" s="2">
        <f ca="1">IFERROR(__xludf.DUMMYFUNCTION("""COMPUTED_VALUE"""),71.101)</f>
        <v>71.100999999999999</v>
      </c>
      <c r="G269" s="2">
        <f ca="1">IFERROR(__xludf.DUMMYFUNCTION("""COMPUTED_VALUE"""),0.54751)</f>
        <v>0.54751000000000005</v>
      </c>
      <c r="H269" s="2">
        <f ca="1">IFERROR(__xludf.DUMMYFUNCTION("""COMPUTED_VALUE"""),45.132)</f>
        <v>45.131999999999998</v>
      </c>
      <c r="I269" s="2">
        <f ca="1">IFERROR(__xludf.DUMMYFUNCTION("""COMPUTED_VALUE"""),45.62)</f>
        <v>45.62</v>
      </c>
      <c r="J269" s="2">
        <f ca="1">IFERROR(__xludf.DUMMYFUNCTION("""COMPUTED_VALUE"""),34.909)</f>
        <v>34.908999999999999</v>
      </c>
      <c r="K269" s="2">
        <f ca="1">IFERROR(__xludf.DUMMYFUNCTION("""COMPUTED_VALUE"""),45.746)</f>
        <v>45.746000000000002</v>
      </c>
      <c r="L269" s="2">
        <f ca="1">IFERROR(__xludf.DUMMYFUNCTION("""COMPUTED_VALUE"""),10.15)</f>
        <v>10.15</v>
      </c>
      <c r="M269" s="2">
        <f ca="1">IFERROR(__xludf.DUMMYFUNCTION("""COMPUTED_VALUE"""),12.336)</f>
        <v>12.336</v>
      </c>
      <c r="U269" s="3" t="e">
        <f ca="1"/>
        <v>#NAME?</v>
      </c>
    </row>
    <row r="270" spans="3:21" ht="12.5" x14ac:dyDescent="0.25">
      <c r="C270" s="4">
        <f ca="1">IFERROR(__xludf.DUMMYFUNCTION("""COMPUTED_VALUE"""),40484.9986111111)</f>
        <v>40484.998611111099</v>
      </c>
      <c r="D270" s="2">
        <f ca="1">IFERROR(__xludf.DUMMYFUNCTION("""COMPUTED_VALUE"""),44.2)</f>
        <v>44.2</v>
      </c>
      <c r="E270" s="2">
        <f ca="1">IFERROR(__xludf.DUMMYFUNCTION("""COMPUTED_VALUE"""),58.526)</f>
        <v>58.526000000000003</v>
      </c>
      <c r="F270" s="2">
        <f ca="1">IFERROR(__xludf.DUMMYFUNCTION("""COMPUTED_VALUE"""),70.821)</f>
        <v>70.820999999999998</v>
      </c>
      <c r="G270" s="2">
        <f ca="1">IFERROR(__xludf.DUMMYFUNCTION("""COMPUTED_VALUE"""),0.54188)</f>
        <v>0.54188000000000003</v>
      </c>
      <c r="H270" s="2">
        <f ca="1">IFERROR(__xludf.DUMMYFUNCTION("""COMPUTED_VALUE"""),44.528)</f>
        <v>44.527999999999999</v>
      </c>
      <c r="I270" s="2">
        <f ca="1">IFERROR(__xludf.DUMMYFUNCTION("""COMPUTED_VALUE"""),45.537)</f>
        <v>45.536999999999999</v>
      </c>
      <c r="J270" s="2">
        <f ca="1">IFERROR(__xludf.DUMMYFUNCTION("""COMPUTED_VALUE"""),34.875)</f>
        <v>34.875</v>
      </c>
      <c r="K270" s="2">
        <f ca="1">IFERROR(__xludf.DUMMYFUNCTION("""COMPUTED_VALUE"""),46.164)</f>
        <v>46.164000000000001</v>
      </c>
      <c r="L270" s="2">
        <f ca="1">IFERROR(__xludf.DUMMYFUNCTION("""COMPUTED_VALUE"""),10.125)</f>
        <v>10.125</v>
      </c>
      <c r="M270" s="2">
        <f ca="1">IFERROR(__xludf.DUMMYFUNCTION("""COMPUTED_VALUE"""),12.278)</f>
        <v>12.278</v>
      </c>
      <c r="U270" s="3" t="e">
        <f ca="1"/>
        <v>#NAME?</v>
      </c>
    </row>
    <row r="271" spans="3:21" ht="12.5" x14ac:dyDescent="0.25">
      <c r="C271" s="4">
        <f ca="1">IFERROR(__xludf.DUMMYFUNCTION("""COMPUTED_VALUE"""),40485.9986111111)</f>
        <v>40485.998611111099</v>
      </c>
      <c r="D271" s="2">
        <f ca="1">IFERROR(__xludf.DUMMYFUNCTION("""COMPUTED_VALUE"""),44.25)</f>
        <v>44.25</v>
      </c>
      <c r="E271" s="2">
        <f ca="1">IFERROR(__xludf.DUMMYFUNCTION("""COMPUTED_VALUE"""),58.973)</f>
        <v>58.972999999999999</v>
      </c>
      <c r="F271" s="2">
        <f ca="1">IFERROR(__xludf.DUMMYFUNCTION("""COMPUTED_VALUE"""),71.224)</f>
        <v>71.224000000000004</v>
      </c>
      <c r="G271" s="2">
        <f ca="1">IFERROR(__xludf.DUMMYFUNCTION("""COMPUTED_VALUE"""),0.54073)</f>
        <v>0.54073000000000004</v>
      </c>
      <c r="H271" s="2">
        <f ca="1">IFERROR(__xludf.DUMMYFUNCTION("""COMPUTED_VALUE"""),44.742)</f>
        <v>44.741999999999997</v>
      </c>
      <c r="I271" s="2">
        <f ca="1">IFERROR(__xludf.DUMMYFUNCTION("""COMPUTED_VALUE"""),45.548)</f>
        <v>45.548000000000002</v>
      </c>
      <c r="J271" s="2">
        <f ca="1">IFERROR(__xludf.DUMMYFUNCTION("""COMPUTED_VALUE"""),34.887)</f>
        <v>34.887</v>
      </c>
      <c r="K271" s="2">
        <f ca="1">IFERROR(__xludf.DUMMYFUNCTION("""COMPUTED_VALUE"""),45.959)</f>
        <v>45.959000000000003</v>
      </c>
      <c r="L271" s="2">
        <f ca="1">IFERROR(__xludf.DUMMYFUNCTION("""COMPUTED_VALUE"""),10.16)</f>
        <v>10.16</v>
      </c>
      <c r="M271" s="2">
        <f ca="1">IFERROR(__xludf.DUMMYFUNCTION("""COMPUTED_VALUE"""),12.227)</f>
        <v>12.227</v>
      </c>
      <c r="U271" s="3" t="e">
        <f ca="1"/>
        <v>#NAME?</v>
      </c>
    </row>
    <row r="272" spans="3:21" ht="12.5" x14ac:dyDescent="0.25">
      <c r="C272" s="4">
        <f ca="1">IFERROR(__xludf.DUMMYFUNCTION("""COMPUTED_VALUE"""),40486.9986111111)</f>
        <v>40486.998611111099</v>
      </c>
      <c r="D272" s="2">
        <f ca="1">IFERROR(__xludf.DUMMYFUNCTION("""COMPUTED_VALUE"""),44.013)</f>
        <v>44.012999999999998</v>
      </c>
      <c r="E272" s="2">
        <f ca="1">IFERROR(__xludf.DUMMYFUNCTION("""COMPUTED_VALUE"""),60.099)</f>
        <v>60.098999999999997</v>
      </c>
      <c r="F272" s="2">
        <f ca="1">IFERROR(__xludf.DUMMYFUNCTION("""COMPUTED_VALUE"""),71.58)</f>
        <v>71.58</v>
      </c>
      <c r="G272" s="2">
        <f ca="1">IFERROR(__xludf.DUMMYFUNCTION("""COMPUTED_VALUE"""),0.54358)</f>
        <v>0.54357999999999995</v>
      </c>
      <c r="H272" s="2">
        <f ca="1">IFERROR(__xludf.DUMMYFUNCTION("""COMPUTED_VALUE"""),44.994)</f>
        <v>44.994</v>
      </c>
      <c r="I272" s="2">
        <f ca="1">IFERROR(__xludf.DUMMYFUNCTION("""COMPUTED_VALUE"""),45.59)</f>
        <v>45.59</v>
      </c>
      <c r="J272" s="2">
        <f ca="1">IFERROR(__xludf.DUMMYFUNCTION("""COMPUTED_VALUE"""),35.007)</f>
        <v>35.006999999999998</v>
      </c>
      <c r="K272" s="2">
        <f ca="1">IFERROR(__xludf.DUMMYFUNCTION("""COMPUTED_VALUE"""),46.507)</f>
        <v>46.506999999999998</v>
      </c>
      <c r="L272" s="2">
        <f ca="1">IFERROR(__xludf.DUMMYFUNCTION("""COMPUTED_VALUE"""),10.19)</f>
        <v>10.19</v>
      </c>
      <c r="M272" s="2">
        <f ca="1">IFERROR(__xludf.DUMMYFUNCTION("""COMPUTED_VALUE"""),12.241)</f>
        <v>12.241</v>
      </c>
      <c r="U272" s="3" t="e">
        <f ca="1"/>
        <v>#NAME?</v>
      </c>
    </row>
    <row r="273" spans="3:21" ht="12.5" x14ac:dyDescent="0.25">
      <c r="C273" s="4">
        <f ca="1">IFERROR(__xludf.DUMMYFUNCTION("""COMPUTED_VALUE"""),40487.9986111111)</f>
        <v>40487.998611111099</v>
      </c>
      <c r="D273" s="2">
        <f ca="1">IFERROR(__xludf.DUMMYFUNCTION("""COMPUTED_VALUE"""),43.9)</f>
        <v>43.9</v>
      </c>
      <c r="E273" s="2">
        <f ca="1">IFERROR(__xludf.DUMMYFUNCTION("""COMPUTED_VALUE"""),60.453)</f>
        <v>60.453000000000003</v>
      </c>
      <c r="F273" s="2">
        <f ca="1">IFERROR(__xludf.DUMMYFUNCTION("""COMPUTED_VALUE"""),71.055)</f>
        <v>71.055000000000007</v>
      </c>
      <c r="G273" s="2">
        <f ca="1">IFERROR(__xludf.DUMMYFUNCTION("""COMPUTED_VALUE"""),0.54515)</f>
        <v>0.54515000000000002</v>
      </c>
      <c r="H273" s="2">
        <f ca="1">IFERROR(__xludf.DUMMYFUNCTION("""COMPUTED_VALUE"""),44.767)</f>
        <v>44.767000000000003</v>
      </c>
      <c r="I273" s="2">
        <f ca="1">IFERROR(__xludf.DUMMYFUNCTION("""COMPUTED_VALUE"""),45.733)</f>
        <v>45.732999999999997</v>
      </c>
      <c r="J273" s="2">
        <f ca="1">IFERROR(__xludf.DUMMYFUNCTION("""COMPUTED_VALUE"""),35.165)</f>
        <v>35.164999999999999</v>
      </c>
      <c r="K273" s="2">
        <f ca="1">IFERROR(__xludf.DUMMYFUNCTION("""COMPUTED_VALUE"""),46.267)</f>
        <v>46.267000000000003</v>
      </c>
      <c r="L273" s="2">
        <f ca="1">IFERROR(__xludf.DUMMYFUNCTION("""COMPUTED_VALUE"""),10.184)</f>
        <v>10.183999999999999</v>
      </c>
      <c r="M273" s="2">
        <f ca="1">IFERROR(__xludf.DUMMYFUNCTION("""COMPUTED_VALUE"""),12.32)</f>
        <v>12.32</v>
      </c>
      <c r="U273" s="3" t="e">
        <f ca="1"/>
        <v>#NAME?</v>
      </c>
    </row>
    <row r="274" spans="3:21" ht="12.5" x14ac:dyDescent="0.25">
      <c r="C274" s="4">
        <f ca="1">IFERROR(__xludf.DUMMYFUNCTION("""COMPUTED_VALUE"""),40490.9986111111)</f>
        <v>40490.998611111099</v>
      </c>
      <c r="D274" s="2">
        <f ca="1">IFERROR(__xludf.DUMMYFUNCTION("""COMPUTED_VALUE"""),44.3)</f>
        <v>44.3</v>
      </c>
      <c r="E274" s="2">
        <f ca="1">IFERROR(__xludf.DUMMYFUNCTION("""COMPUTED_VALUE"""),60.385)</f>
        <v>60.384999999999998</v>
      </c>
      <c r="F274" s="2">
        <f ca="1">IFERROR(__xludf.DUMMYFUNCTION("""COMPUTED_VALUE"""),71.498)</f>
        <v>71.498000000000005</v>
      </c>
      <c r="G274" s="2">
        <f ca="1">IFERROR(__xludf.DUMMYFUNCTION("""COMPUTED_VALUE"""),0.54926)</f>
        <v>0.54925999999999997</v>
      </c>
      <c r="H274" s="2">
        <f ca="1">IFERROR(__xludf.DUMMYFUNCTION("""COMPUTED_VALUE"""),45.135)</f>
        <v>45.134999999999998</v>
      </c>
      <c r="I274" s="2">
        <f ca="1">IFERROR(__xludf.DUMMYFUNCTION("""COMPUTED_VALUE"""),46.025)</f>
        <v>46.024999999999999</v>
      </c>
      <c r="J274" s="2">
        <f ca="1">IFERROR(__xludf.DUMMYFUNCTION("""COMPUTED_VALUE"""),35.289)</f>
        <v>35.289000000000001</v>
      </c>
      <c r="K274" s="2">
        <f ca="1">IFERROR(__xludf.DUMMYFUNCTION("""COMPUTED_VALUE"""),46.181)</f>
        <v>46.180999999999997</v>
      </c>
      <c r="L274" s="2">
        <f ca="1">IFERROR(__xludf.DUMMYFUNCTION("""COMPUTED_VALUE"""),10.193)</f>
        <v>10.193</v>
      </c>
      <c r="M274" s="2">
        <f ca="1">IFERROR(__xludf.DUMMYFUNCTION("""COMPUTED_VALUE"""),12.372)</f>
        <v>12.372</v>
      </c>
      <c r="U274" s="3" t="e">
        <f ca="1"/>
        <v>#NAME?</v>
      </c>
    </row>
    <row r="275" spans="3:21" ht="12.5" x14ac:dyDescent="0.25">
      <c r="C275" s="4">
        <f ca="1">IFERROR(__xludf.DUMMYFUNCTION("""COMPUTED_VALUE"""),40491.9986111111)</f>
        <v>40491.998611111099</v>
      </c>
      <c r="D275" s="2">
        <f ca="1">IFERROR(__xludf.DUMMYFUNCTION("""COMPUTED_VALUE"""),44.19)</f>
        <v>44.19</v>
      </c>
      <c r="E275" s="2">
        <f ca="1">IFERROR(__xludf.DUMMYFUNCTION("""COMPUTED_VALUE"""),60.734)</f>
        <v>60.734000000000002</v>
      </c>
      <c r="F275" s="2">
        <f ca="1">IFERROR(__xludf.DUMMYFUNCTION("""COMPUTED_VALUE"""),70.915)</f>
        <v>70.915000000000006</v>
      </c>
      <c r="G275" s="2">
        <f ca="1">IFERROR(__xludf.DUMMYFUNCTION("""COMPUTED_VALUE"""),0.54817)</f>
        <v>0.54817000000000005</v>
      </c>
      <c r="H275" s="2">
        <f ca="1">IFERROR(__xludf.DUMMYFUNCTION("""COMPUTED_VALUE"""),45.232)</f>
        <v>45.231999999999999</v>
      </c>
      <c r="I275" s="2">
        <f ca="1">IFERROR(__xludf.DUMMYFUNCTION("""COMPUTED_VALUE"""),45.68)</f>
        <v>45.68</v>
      </c>
      <c r="J275" s="2">
        <f ca="1">IFERROR(__xludf.DUMMYFUNCTION("""COMPUTED_VALUE"""),35.334)</f>
        <v>35.334000000000003</v>
      </c>
      <c r="K275" s="2">
        <f ca="1">IFERROR(__xludf.DUMMYFUNCTION("""COMPUTED_VALUE"""),45.9)</f>
        <v>45.9</v>
      </c>
      <c r="L275" s="2">
        <f ca="1">IFERROR(__xludf.DUMMYFUNCTION("""COMPUTED_VALUE"""),10.18)</f>
        <v>10.18</v>
      </c>
      <c r="M275" s="2">
        <f ca="1">IFERROR(__xludf.DUMMYFUNCTION("""COMPUTED_VALUE"""),12.339)</f>
        <v>12.339</v>
      </c>
      <c r="U275" s="3" t="e">
        <f ca="1"/>
        <v>#NAME?</v>
      </c>
    </row>
    <row r="276" spans="3:21" ht="12.5" x14ac:dyDescent="0.25">
      <c r="C276" s="4">
        <f ca="1">IFERROR(__xludf.DUMMYFUNCTION("""COMPUTED_VALUE"""),40492.9986111111)</f>
        <v>40492.998611111099</v>
      </c>
      <c r="D276" s="2">
        <f ca="1">IFERROR(__xludf.DUMMYFUNCTION("""COMPUTED_VALUE"""),44.26)</f>
        <v>44.26</v>
      </c>
      <c r="E276" s="2">
        <f ca="1">IFERROR(__xludf.DUMMYFUNCTION("""COMPUTED_VALUE"""),61.005)</f>
        <v>61.005000000000003</v>
      </c>
      <c r="F276" s="2">
        <f ca="1">IFERROR(__xludf.DUMMYFUNCTION("""COMPUTED_VALUE"""),71.37)</f>
        <v>71.37</v>
      </c>
      <c r="G276" s="2">
        <f ca="1">IFERROR(__xludf.DUMMYFUNCTION("""COMPUTED_VALUE"""),0.55227)</f>
        <v>0.55227000000000004</v>
      </c>
      <c r="H276" s="2">
        <f ca="1">IFERROR(__xludf.DUMMYFUNCTION("""COMPUTED_VALUE"""),45.271)</f>
        <v>45.271000000000001</v>
      </c>
      <c r="I276" s="2">
        <f ca="1">IFERROR(__xludf.DUMMYFUNCTION("""COMPUTED_VALUE"""),45.492)</f>
        <v>45.491999999999997</v>
      </c>
      <c r="J276" s="2">
        <f ca="1">IFERROR(__xludf.DUMMYFUNCTION("""COMPUTED_VALUE"""),35.284)</f>
        <v>35.283999999999999</v>
      </c>
      <c r="K276" s="2">
        <f ca="1">IFERROR(__xludf.DUMMYFUNCTION("""COMPUTED_VALUE"""),46.128)</f>
        <v>46.128</v>
      </c>
      <c r="L276" s="2">
        <f ca="1">IFERROR(__xludf.DUMMYFUNCTION("""COMPUTED_VALUE"""),10.203)</f>
        <v>10.202999999999999</v>
      </c>
      <c r="M276" s="2">
        <f ca="1">IFERROR(__xludf.DUMMYFUNCTION("""COMPUTED_VALUE"""),12.336)</f>
        <v>12.336</v>
      </c>
      <c r="U276" s="3" t="e">
        <f ca="1"/>
        <v>#NAME?</v>
      </c>
    </row>
    <row r="277" spans="3:21" ht="12.5" x14ac:dyDescent="0.25">
      <c r="C277" s="4">
        <f ca="1">IFERROR(__xludf.DUMMYFUNCTION("""COMPUTED_VALUE"""),40493.9986111111)</f>
        <v>40493.998611111099</v>
      </c>
      <c r="D277" s="2">
        <f ca="1">IFERROR(__xludf.DUMMYFUNCTION("""COMPUTED_VALUE"""),44.24)</f>
        <v>44.24</v>
      </c>
      <c r="E277" s="2">
        <f ca="1">IFERROR(__xludf.DUMMYFUNCTION("""COMPUTED_VALUE"""),60.481)</f>
        <v>60.481000000000002</v>
      </c>
      <c r="F277" s="2">
        <f ca="1">IFERROR(__xludf.DUMMYFUNCTION("""COMPUTED_VALUE"""),71.257)</f>
        <v>71.257000000000005</v>
      </c>
      <c r="G277" s="2">
        <f ca="1">IFERROR(__xludf.DUMMYFUNCTION("""COMPUTED_VALUE"""),0.54159)</f>
        <v>0.54159000000000002</v>
      </c>
      <c r="H277" s="2">
        <f ca="1">IFERROR(__xludf.DUMMYFUNCTION("""COMPUTED_VALUE"""),44.273)</f>
        <v>44.273000000000003</v>
      </c>
      <c r="I277" s="2">
        <f ca="1">IFERROR(__xludf.DUMMYFUNCTION("""COMPUTED_VALUE"""),45.058)</f>
        <v>45.058</v>
      </c>
      <c r="J277" s="2">
        <f ca="1">IFERROR(__xludf.DUMMYFUNCTION("""COMPUTED_VALUE"""),34.883)</f>
        <v>34.883000000000003</v>
      </c>
      <c r="K277" s="2">
        <f ca="1">IFERROR(__xludf.DUMMYFUNCTION("""COMPUTED_VALUE"""),46.128)</f>
        <v>46.128</v>
      </c>
      <c r="L277" s="2">
        <f ca="1">IFERROR(__xludf.DUMMYFUNCTION("""COMPUTED_VALUE"""),10.17)</f>
        <v>10.17</v>
      </c>
      <c r="M277" s="2">
        <f ca="1">IFERROR(__xludf.DUMMYFUNCTION("""COMPUTED_VALUE"""),12.464)</f>
        <v>12.464</v>
      </c>
      <c r="U277" s="3" t="e">
        <f ca="1"/>
        <v>#NAME?</v>
      </c>
    </row>
    <row r="278" spans="3:21" ht="12.5" x14ac:dyDescent="0.25">
      <c r="C278" s="4">
        <f ca="1">IFERROR(__xludf.DUMMYFUNCTION("""COMPUTED_VALUE"""),40494.9986111111)</f>
        <v>40494.998611111099</v>
      </c>
      <c r="D278" s="2">
        <f ca="1">IFERROR(__xludf.DUMMYFUNCTION("""COMPUTED_VALUE"""),44.56)</f>
        <v>44.56</v>
      </c>
      <c r="E278" s="2">
        <f ca="1">IFERROR(__xludf.DUMMYFUNCTION("""COMPUTED_VALUE"""),60.6554)</f>
        <v>60.6554</v>
      </c>
      <c r="F278" s="2">
        <f ca="1">IFERROR(__xludf.DUMMYFUNCTION("""COMPUTED_VALUE"""),71.933)</f>
        <v>71.933000000000007</v>
      </c>
      <c r="G278" s="2">
        <f ca="1">IFERROR(__xludf.DUMMYFUNCTION("""COMPUTED_VALUE"""),0.53954)</f>
        <v>0.53954000000000002</v>
      </c>
      <c r="H278" s="2">
        <f ca="1">IFERROR(__xludf.DUMMYFUNCTION("""COMPUTED_VALUE"""),44.102)</f>
        <v>44.101999999999997</v>
      </c>
      <c r="I278" s="2">
        <f ca="1">IFERROR(__xludf.DUMMYFUNCTION("""COMPUTED_VALUE"""),44.761)</f>
        <v>44.761000000000003</v>
      </c>
      <c r="J278" s="2">
        <f ca="1">IFERROR(__xludf.DUMMYFUNCTION("""COMPUTED_VALUE"""),34.692)</f>
        <v>34.692</v>
      </c>
      <c r="K278" s="2">
        <f ca="1">IFERROR(__xludf.DUMMYFUNCTION("""COMPUTED_VALUE"""),46.128)</f>
        <v>46.128</v>
      </c>
      <c r="L278" s="2">
        <f ca="1">IFERROR(__xludf.DUMMYFUNCTION("""COMPUTED_VALUE"""),10.197)</f>
        <v>10.196999999999999</v>
      </c>
      <c r="M278" s="2">
        <f ca="1">IFERROR(__xludf.DUMMYFUNCTION("""COMPUTED_VALUE"""),12.374)</f>
        <v>12.374000000000001</v>
      </c>
      <c r="U278" s="3" t="e">
        <f ca="1"/>
        <v>#NAME?</v>
      </c>
    </row>
    <row r="279" spans="3:21" ht="12.5" x14ac:dyDescent="0.25">
      <c r="C279" s="4">
        <f ca="1">IFERROR(__xludf.DUMMYFUNCTION("""COMPUTED_VALUE"""),40495.9986111111)</f>
        <v>40495.998611111099</v>
      </c>
      <c r="D279" s="2">
        <f ca="1">IFERROR(__xludf.DUMMYFUNCTION("""COMPUTED_VALUE"""),44.778)</f>
        <v>44.777999999999999</v>
      </c>
      <c r="E279" s="2">
        <f ca="1">IFERROR(__xludf.DUMMYFUNCTION("""COMPUTED_VALUE"""),62.016)</f>
        <v>62.015999999999998</v>
      </c>
      <c r="F279" s="2">
        <f ca="1">IFERROR(__xludf.DUMMYFUNCTION("""COMPUTED_VALUE"""),72.156)</f>
        <v>72.156000000000006</v>
      </c>
      <c r="G279" s="2">
        <f ca="1">IFERROR(__xludf.DUMMYFUNCTION("""COMPUTED_VALUE"""),0.55101)</f>
        <v>0.55101</v>
      </c>
      <c r="H279" s="2">
        <f ca="1">IFERROR(__xludf.DUMMYFUNCTION("""COMPUTED_VALUE"""),45.357)</f>
        <v>45.356999999999999</v>
      </c>
      <c r="I279" s="2">
        <f ca="1">IFERROR(__xludf.DUMMYFUNCTION("""COMPUTED_VALUE"""),45.722)</f>
        <v>45.722000000000001</v>
      </c>
      <c r="J279" s="2">
        <f ca="1">IFERROR(__xludf.DUMMYFUNCTION("""COMPUTED_VALUE"""),35.481)</f>
        <v>35.481000000000002</v>
      </c>
      <c r="K279" s="2">
        <f ca="1">IFERROR(__xludf.DUMMYFUNCTION("""COMPUTED_VALUE"""),45.666)</f>
        <v>45.665999999999997</v>
      </c>
      <c r="L279" s="2">
        <f ca="1">IFERROR(__xludf.DUMMYFUNCTION("""COMPUTED_VALUE"""),10.261)</f>
        <v>10.260999999999999</v>
      </c>
      <c r="M279" s="2">
        <f ca="1">IFERROR(__xludf.DUMMYFUNCTION("""COMPUTED_VALUE"""),12.374)</f>
        <v>12.374000000000001</v>
      </c>
      <c r="U279" s="3" t="e">
        <f ca="1"/>
        <v>#NAME?</v>
      </c>
    </row>
    <row r="280" spans="3:21" ht="12.5" x14ac:dyDescent="0.25">
      <c r="C280" s="4">
        <f ca="1">IFERROR(__xludf.DUMMYFUNCTION("""COMPUTED_VALUE"""),40497.9986111111)</f>
        <v>40497.998611111099</v>
      </c>
      <c r="D280" s="2">
        <f ca="1">IFERROR(__xludf.DUMMYFUNCTION("""COMPUTED_VALUE"""),45.11)</f>
        <v>45.11</v>
      </c>
      <c r="E280" s="2">
        <f ca="1">IFERROR(__xludf.DUMMYFUNCTION("""COMPUTED_VALUE"""),62.381)</f>
        <v>62.381</v>
      </c>
      <c r="F280" s="2">
        <f ca="1">IFERROR(__xludf.DUMMYFUNCTION("""COMPUTED_VALUE"""),72.417)</f>
        <v>72.417000000000002</v>
      </c>
      <c r="G280" s="2">
        <f ca="1">IFERROR(__xludf.DUMMYFUNCTION("""COMPUTED_VALUE"""),0.55424)</f>
        <v>0.55423999999999995</v>
      </c>
      <c r="H280" s="2">
        <f ca="1">IFERROR(__xludf.DUMMYFUNCTION("""COMPUTED_VALUE"""),45.427)</f>
        <v>45.427</v>
      </c>
      <c r="I280" s="2">
        <f ca="1">IFERROR(__xludf.DUMMYFUNCTION("""COMPUTED_VALUE"""),45.733)</f>
        <v>45.732999999999997</v>
      </c>
      <c r="J280" s="2">
        <f ca="1">IFERROR(__xludf.DUMMYFUNCTION("""COMPUTED_VALUE"""),35.621)</f>
        <v>35.621000000000002</v>
      </c>
      <c r="K280" s="2">
        <f ca="1">IFERROR(__xludf.DUMMYFUNCTION("""COMPUTED_VALUE"""),45.925)</f>
        <v>45.924999999999997</v>
      </c>
      <c r="L280" s="2">
        <f ca="1">IFERROR(__xludf.DUMMYFUNCTION("""COMPUTED_VALUE"""),10.248)</f>
        <v>10.247999999999999</v>
      </c>
      <c r="M280" s="2">
        <f ca="1">IFERROR(__xludf.DUMMYFUNCTION("""COMPUTED_VALUE"""),12.415)</f>
        <v>12.414999999999999</v>
      </c>
      <c r="U280" s="3" t="e">
        <f ca="1"/>
        <v>#NAME?</v>
      </c>
    </row>
    <row r="281" spans="3:21" ht="12.5" x14ac:dyDescent="0.25">
      <c r="C281" s="4">
        <f ca="1">IFERROR(__xludf.DUMMYFUNCTION("""COMPUTED_VALUE"""),40498.9986111111)</f>
        <v>40498.998611111099</v>
      </c>
      <c r="D281" s="2">
        <f ca="1">IFERROR(__xludf.DUMMYFUNCTION("""COMPUTED_VALUE"""),45.19)</f>
        <v>45.19</v>
      </c>
      <c r="E281" s="2">
        <f ca="1">IFERROR(__xludf.DUMMYFUNCTION("""COMPUTED_VALUE"""),62.281)</f>
        <v>62.280999999999999</v>
      </c>
      <c r="F281" s="2">
        <f ca="1">IFERROR(__xludf.DUMMYFUNCTION("""COMPUTED_VALUE"""),71.766)</f>
        <v>71.766000000000005</v>
      </c>
      <c r="G281" s="2">
        <f ca="1">IFERROR(__xludf.DUMMYFUNCTION("""COMPUTED_VALUE"""),0.55246)</f>
        <v>0.55245999999999995</v>
      </c>
      <c r="H281" s="2">
        <f ca="1">IFERROR(__xludf.DUMMYFUNCTION("""COMPUTED_VALUE"""),45.384)</f>
        <v>45.384</v>
      </c>
      <c r="I281" s="2">
        <f ca="1">IFERROR(__xludf.DUMMYFUNCTION("""COMPUTED_VALUE"""),45.665)</f>
        <v>45.664999999999999</v>
      </c>
      <c r="J281" s="2">
        <f ca="1">IFERROR(__xludf.DUMMYFUNCTION("""COMPUTED_VALUE"""),35.519)</f>
        <v>35.518999999999998</v>
      </c>
      <c r="K281" s="2">
        <f ca="1">IFERROR(__xludf.DUMMYFUNCTION("""COMPUTED_VALUE"""),45.68)</f>
        <v>45.68</v>
      </c>
      <c r="L281" s="2">
        <f ca="1">IFERROR(__xludf.DUMMYFUNCTION("""COMPUTED_VALUE"""),10.237)</f>
        <v>10.237</v>
      </c>
      <c r="M281" s="2">
        <f ca="1">IFERROR(__xludf.DUMMYFUNCTION("""COMPUTED_VALUE"""),12.374)</f>
        <v>12.374000000000001</v>
      </c>
      <c r="U281" s="3" t="e">
        <f ca="1"/>
        <v>#NAME?</v>
      </c>
    </row>
    <row r="282" spans="3:21" ht="12.5" x14ac:dyDescent="0.25">
      <c r="C282" s="4">
        <f ca="1">IFERROR(__xludf.DUMMYFUNCTION("""COMPUTED_VALUE"""),40499.9986111111)</f>
        <v>40499.998611111099</v>
      </c>
      <c r="D282" s="2">
        <f ca="1">IFERROR(__xludf.DUMMYFUNCTION("""COMPUTED_VALUE"""),45.108)</f>
        <v>45.107999999999997</v>
      </c>
      <c r="E282" s="2">
        <f ca="1">IFERROR(__xludf.DUMMYFUNCTION("""COMPUTED_VALUE"""),62.463)</f>
        <v>62.463000000000001</v>
      </c>
      <c r="F282" s="2">
        <f ca="1">IFERROR(__xludf.DUMMYFUNCTION("""COMPUTED_VALUE"""),71.911)</f>
        <v>71.911000000000001</v>
      </c>
      <c r="G282" s="2">
        <f ca="1">IFERROR(__xludf.DUMMYFUNCTION("""COMPUTED_VALUE"""),0.54954)</f>
        <v>0.54954000000000003</v>
      </c>
      <c r="H282" s="2">
        <f ca="1">IFERROR(__xludf.DUMMYFUNCTION("""COMPUTED_VALUE"""),45.21)</f>
        <v>45.21</v>
      </c>
      <c r="I282" s="2">
        <f ca="1">IFERROR(__xludf.DUMMYFUNCTION("""COMPUTED_VALUE"""),45.895)</f>
        <v>45.895000000000003</v>
      </c>
      <c r="J282" s="2">
        <f ca="1">IFERROR(__xludf.DUMMYFUNCTION("""COMPUTED_VALUE"""),35.669)</f>
        <v>35.668999999999997</v>
      </c>
      <c r="K282" s="2">
        <f ca="1">IFERROR(__xludf.DUMMYFUNCTION("""COMPUTED_VALUE"""),45.416)</f>
        <v>45.415999999999997</v>
      </c>
      <c r="L282" s="2">
        <f ca="1">IFERROR(__xludf.DUMMYFUNCTION("""COMPUTED_VALUE"""),10.212)</f>
        <v>10.212</v>
      </c>
      <c r="M282" s="2">
        <f ca="1">IFERROR(__xludf.DUMMYFUNCTION("""COMPUTED_VALUE"""),12.439)</f>
        <v>12.439</v>
      </c>
      <c r="U282" s="3" t="e">
        <f ca="1"/>
        <v>#NAME?</v>
      </c>
    </row>
    <row r="283" spans="3:21" ht="12.5" x14ac:dyDescent="0.25">
      <c r="C283" s="4">
        <f ca="1">IFERROR(__xludf.DUMMYFUNCTION("""COMPUTED_VALUE"""),40500.9986111111)</f>
        <v>40500.998611111099</v>
      </c>
      <c r="D283" s="2">
        <f ca="1">IFERROR(__xludf.DUMMYFUNCTION("""COMPUTED_VALUE"""),45.15)</f>
        <v>45.15</v>
      </c>
      <c r="E283" s="2">
        <f ca="1">IFERROR(__xludf.DUMMYFUNCTION("""COMPUTED_VALUE"""),62.281)</f>
        <v>62.280999999999999</v>
      </c>
      <c r="F283" s="2">
        <f ca="1">IFERROR(__xludf.DUMMYFUNCTION("""COMPUTED_VALUE"""),72.355)</f>
        <v>72.355000000000004</v>
      </c>
      <c r="G283" s="2">
        <f ca="1">IFERROR(__xludf.DUMMYFUNCTION("""COMPUTED_VALUE"""),0.55822)</f>
        <v>0.55822000000000005</v>
      </c>
      <c r="H283" s="2">
        <f ca="1">IFERROR(__xludf.DUMMYFUNCTION("""COMPUTED_VALUE"""),45.44)</f>
        <v>45.44</v>
      </c>
      <c r="I283" s="2">
        <f ca="1">IFERROR(__xludf.DUMMYFUNCTION("""COMPUTED_VALUE"""),45.818)</f>
        <v>45.817999999999998</v>
      </c>
      <c r="J283" s="2">
        <f ca="1">IFERROR(__xludf.DUMMYFUNCTION("""COMPUTED_VALUE"""),35.663)</f>
        <v>35.662999999999997</v>
      </c>
      <c r="K283" s="2">
        <f ca="1">IFERROR(__xludf.DUMMYFUNCTION("""COMPUTED_VALUE"""),45.417)</f>
        <v>45.417000000000002</v>
      </c>
      <c r="L283" s="2">
        <f ca="1">IFERROR(__xludf.DUMMYFUNCTION("""COMPUTED_VALUE"""),10.241)</f>
        <v>10.241</v>
      </c>
      <c r="M283" s="2">
        <f ca="1">IFERROR(__xludf.DUMMYFUNCTION("""COMPUTED_VALUE"""),12.48)</f>
        <v>12.48</v>
      </c>
      <c r="U283" s="3" t="e">
        <f ca="1"/>
        <v>#NAME?</v>
      </c>
    </row>
    <row r="284" spans="3:21" ht="12.5" x14ac:dyDescent="0.25">
      <c r="C284" s="4">
        <f ca="1">IFERROR(__xludf.DUMMYFUNCTION("""COMPUTED_VALUE"""),40501.9986111111)</f>
        <v>40501.998611111099</v>
      </c>
      <c r="D284" s="2">
        <f ca="1">IFERROR(__xludf.DUMMYFUNCTION("""COMPUTED_VALUE"""),45.24)</f>
        <v>45.24</v>
      </c>
      <c r="E284" s="2">
        <f ca="1">IFERROR(__xludf.DUMMYFUNCTION("""COMPUTED_VALUE"""),62.718)</f>
        <v>62.718000000000004</v>
      </c>
      <c r="F284" s="2">
        <f ca="1">IFERROR(__xludf.DUMMYFUNCTION("""COMPUTED_VALUE"""),72.296)</f>
        <v>72.296000000000006</v>
      </c>
      <c r="G284" s="2">
        <f ca="1">IFERROR(__xludf.DUMMYFUNCTION("""COMPUTED_VALUE"""),0.55813)</f>
        <v>0.55813000000000001</v>
      </c>
      <c r="H284" s="2">
        <f ca="1">IFERROR(__xludf.DUMMYFUNCTION("""COMPUTED_VALUE"""),45.661)</f>
        <v>45.661000000000001</v>
      </c>
      <c r="I284" s="2">
        <f ca="1">IFERROR(__xludf.DUMMYFUNCTION("""COMPUTED_VALUE"""),45.734)</f>
        <v>45.734000000000002</v>
      </c>
      <c r="J284" s="2">
        <f ca="1">IFERROR(__xludf.DUMMYFUNCTION("""COMPUTED_VALUE"""),35.811)</f>
        <v>35.811</v>
      </c>
      <c r="K284" s="2">
        <f ca="1">IFERROR(__xludf.DUMMYFUNCTION("""COMPUTED_VALUE"""),45.593)</f>
        <v>45.593000000000004</v>
      </c>
      <c r="L284" s="2">
        <f ca="1">IFERROR(__xludf.DUMMYFUNCTION("""COMPUTED_VALUE"""),10.201)</f>
        <v>10.201000000000001</v>
      </c>
      <c r="M284" s="2">
        <f ca="1">IFERROR(__xludf.DUMMYFUNCTION("""COMPUTED_VALUE"""),12.469)</f>
        <v>12.468999999999999</v>
      </c>
      <c r="U284" s="3" t="e">
        <f ca="1"/>
        <v>#NAME?</v>
      </c>
    </row>
    <row r="285" spans="3:21" ht="12.5" x14ac:dyDescent="0.25">
      <c r="C285" s="4">
        <f ca="1">IFERROR(__xludf.DUMMYFUNCTION("""COMPUTED_VALUE"""),40503.9986111111)</f>
        <v>40503.998611111099</v>
      </c>
      <c r="D285" s="2">
        <f ca="1">IFERROR(__xludf.DUMMYFUNCTION("""COMPUTED_VALUE"""),45.263)</f>
        <v>45.262999999999998</v>
      </c>
      <c r="E285" s="2">
        <f ca="1">IFERROR(__xludf.DUMMYFUNCTION("""COMPUTED_VALUE"""),62.788)</f>
        <v>62.787999999999997</v>
      </c>
      <c r="F285" s="2">
        <f ca="1">IFERROR(__xludf.DUMMYFUNCTION("""COMPUTED_VALUE"""),72.417)</f>
        <v>72.417000000000002</v>
      </c>
      <c r="G285" s="2">
        <f ca="1">IFERROR(__xludf.DUMMYFUNCTION("""COMPUTED_VALUE"""),0.55793)</f>
        <v>0.55793000000000004</v>
      </c>
      <c r="H285" s="2">
        <f ca="1">IFERROR(__xludf.DUMMYFUNCTION("""COMPUTED_VALUE"""),45.907)</f>
        <v>45.906999999999996</v>
      </c>
      <c r="I285" s="2">
        <f ca="1">IFERROR(__xludf.DUMMYFUNCTION("""COMPUTED_VALUE"""),45.859)</f>
        <v>45.859000000000002</v>
      </c>
      <c r="J285" s="2">
        <f ca="1">IFERROR(__xludf.DUMMYFUNCTION("""COMPUTED_VALUE"""),35.721)</f>
        <v>35.720999999999997</v>
      </c>
      <c r="K285" s="2">
        <f ca="1">IFERROR(__xludf.DUMMYFUNCTION("""COMPUTED_VALUE"""),45.011)</f>
        <v>45.011000000000003</v>
      </c>
      <c r="L285" s="2">
        <f ca="1">IFERROR(__xludf.DUMMYFUNCTION("""COMPUTED_VALUE"""),10.173)</f>
        <v>10.173</v>
      </c>
      <c r="M285" s="2">
        <f ca="1">IFERROR(__xludf.DUMMYFUNCTION("""COMPUTED_VALUE"""),12.363)</f>
        <v>12.363</v>
      </c>
      <c r="U285" s="3" t="e">
        <f ca="1"/>
        <v>#NAME?</v>
      </c>
    </row>
    <row r="286" spans="3:21" ht="12.5" x14ac:dyDescent="0.25">
      <c r="C286" s="4">
        <f ca="1">IFERROR(__xludf.DUMMYFUNCTION("""COMPUTED_VALUE"""),40504.9986111111)</f>
        <v>40504.998611111099</v>
      </c>
      <c r="D286" s="2">
        <f ca="1">IFERROR(__xludf.DUMMYFUNCTION("""COMPUTED_VALUE"""),45.3)</f>
        <v>45.3</v>
      </c>
      <c r="E286" s="2">
        <f ca="1">IFERROR(__xludf.DUMMYFUNCTION("""COMPUTED_VALUE"""),62.752)</f>
        <v>62.752000000000002</v>
      </c>
      <c r="F286" s="2">
        <f ca="1">IFERROR(__xludf.DUMMYFUNCTION("""COMPUTED_VALUE"""),72.292)</f>
        <v>72.292000000000002</v>
      </c>
      <c r="G286" s="2">
        <f ca="1">IFERROR(__xludf.DUMMYFUNCTION("""COMPUTED_VALUE"""),0.55729)</f>
        <v>0.55728999999999995</v>
      </c>
      <c r="H286" s="2">
        <f ca="1">IFERROR(__xludf.DUMMYFUNCTION("""COMPUTED_VALUE"""),45.884)</f>
        <v>45.884</v>
      </c>
      <c r="I286" s="2">
        <f ca="1">IFERROR(__xludf.DUMMYFUNCTION("""COMPUTED_VALUE"""),45.993)</f>
        <v>45.993000000000002</v>
      </c>
      <c r="J286" s="2">
        <f ca="1">IFERROR(__xludf.DUMMYFUNCTION("""COMPUTED_VALUE"""),35.723)</f>
        <v>35.722999999999999</v>
      </c>
      <c r="K286" s="2">
        <f ca="1">IFERROR(__xludf.DUMMYFUNCTION("""COMPUTED_VALUE"""),44.828)</f>
        <v>44.828000000000003</v>
      </c>
      <c r="L286" s="2">
        <f ca="1">IFERROR(__xludf.DUMMYFUNCTION("""COMPUTED_VALUE"""),10.148)</f>
        <v>10.148</v>
      </c>
      <c r="M286" s="2">
        <f ca="1">IFERROR(__xludf.DUMMYFUNCTION("""COMPUTED_VALUE"""),12.374)</f>
        <v>12.374000000000001</v>
      </c>
      <c r="U286" s="3" t="e">
        <f ca="1"/>
        <v>#NAME?</v>
      </c>
    </row>
    <row r="287" spans="3:21" ht="12.5" x14ac:dyDescent="0.25">
      <c r="C287" s="4">
        <f ca="1">IFERROR(__xludf.DUMMYFUNCTION("""COMPUTED_VALUE"""),40505.9986111111)</f>
        <v>40505.998611111099</v>
      </c>
      <c r="D287" s="2">
        <f ca="1">IFERROR(__xludf.DUMMYFUNCTION("""COMPUTED_VALUE"""),45.54)</f>
        <v>45.54</v>
      </c>
      <c r="E287" s="2">
        <f ca="1">IFERROR(__xludf.DUMMYFUNCTION("""COMPUTED_VALUE"""),62.084)</f>
        <v>62.084000000000003</v>
      </c>
      <c r="F287" s="2">
        <f ca="1">IFERROR(__xludf.DUMMYFUNCTION("""COMPUTED_VALUE"""),71.99)</f>
        <v>71.989999999999995</v>
      </c>
      <c r="G287" s="2">
        <f ca="1">IFERROR(__xludf.DUMMYFUNCTION("""COMPUTED_VALUE"""),0.55786)</f>
        <v>0.55786000000000002</v>
      </c>
      <c r="H287" s="2">
        <f ca="1">IFERROR(__xludf.DUMMYFUNCTION("""COMPUTED_VALUE"""),46.171)</f>
        <v>46.170999999999999</v>
      </c>
      <c r="I287" s="2">
        <f ca="1">IFERROR(__xludf.DUMMYFUNCTION("""COMPUTED_VALUE"""),45.989)</f>
        <v>45.988999999999997</v>
      </c>
      <c r="J287" s="2">
        <f ca="1">IFERROR(__xludf.DUMMYFUNCTION("""COMPUTED_VALUE"""),35.745)</f>
        <v>35.744999999999997</v>
      </c>
      <c r="K287" s="2">
        <f ca="1">IFERROR(__xludf.DUMMYFUNCTION("""COMPUTED_VALUE"""),45.075)</f>
        <v>45.075000000000003</v>
      </c>
      <c r="L287" s="2">
        <f ca="1">IFERROR(__xludf.DUMMYFUNCTION("""COMPUTED_VALUE"""),10.138)</f>
        <v>10.138</v>
      </c>
      <c r="M287" s="2">
        <f ca="1">IFERROR(__xludf.DUMMYFUNCTION("""COMPUTED_VALUE"""),12.438)</f>
        <v>12.438000000000001</v>
      </c>
      <c r="U287" s="3" t="e">
        <f ca="1"/>
        <v>#NAME?</v>
      </c>
    </row>
    <row r="288" spans="3:21" ht="12.5" x14ac:dyDescent="0.25">
      <c r="C288" s="4">
        <f ca="1">IFERROR(__xludf.DUMMYFUNCTION("""COMPUTED_VALUE"""),40506.9986111111)</f>
        <v>40506.998611111099</v>
      </c>
      <c r="D288" s="2">
        <f ca="1">IFERROR(__xludf.DUMMYFUNCTION("""COMPUTED_VALUE"""),45.51)</f>
        <v>45.51</v>
      </c>
      <c r="E288" s="2">
        <f ca="1">IFERROR(__xludf.DUMMYFUNCTION("""COMPUTED_VALUE"""),61.745)</f>
        <v>61.744999999999997</v>
      </c>
      <c r="F288" s="2">
        <f ca="1">IFERROR(__xludf.DUMMYFUNCTION("""COMPUTED_VALUE"""),71.777)</f>
        <v>71.777000000000001</v>
      </c>
      <c r="G288" s="2">
        <f ca="1">IFERROR(__xludf.DUMMYFUNCTION("""COMPUTED_VALUE"""),0.55289)</f>
        <v>0.55288999999999999</v>
      </c>
      <c r="H288" s="2">
        <f ca="1">IFERROR(__xludf.DUMMYFUNCTION("""COMPUTED_VALUE"""),46.068)</f>
        <v>46.067999999999998</v>
      </c>
      <c r="I288" s="2">
        <f ca="1">IFERROR(__xludf.DUMMYFUNCTION("""COMPUTED_VALUE"""),45.994)</f>
        <v>45.994</v>
      </c>
      <c r="J288" s="2">
        <f ca="1">IFERROR(__xludf.DUMMYFUNCTION("""COMPUTED_VALUE"""),35.658)</f>
        <v>35.658000000000001</v>
      </c>
      <c r="K288" s="2">
        <f ca="1">IFERROR(__xludf.DUMMYFUNCTION("""COMPUTED_VALUE"""),45.049)</f>
        <v>45.048999999999999</v>
      </c>
      <c r="L288" s="2">
        <f ca="1">IFERROR(__xludf.DUMMYFUNCTION("""COMPUTED_VALUE"""),10.082)</f>
        <v>10.082000000000001</v>
      </c>
      <c r="M288" s="2">
        <f ca="1">IFERROR(__xludf.DUMMYFUNCTION("""COMPUTED_VALUE"""),12.376)</f>
        <v>12.375999999999999</v>
      </c>
      <c r="U288" s="3" t="e">
        <f ca="1"/>
        <v>#NAME?</v>
      </c>
    </row>
    <row r="289" spans="3:21" ht="12.5" x14ac:dyDescent="0.25">
      <c r="C289" s="4">
        <f ca="1">IFERROR(__xludf.DUMMYFUNCTION("""COMPUTED_VALUE"""),40507.9986111111)</f>
        <v>40507.998611111099</v>
      </c>
      <c r="D289" s="2">
        <f ca="1">IFERROR(__xludf.DUMMYFUNCTION("""COMPUTED_VALUE"""),45.558)</f>
        <v>45.558</v>
      </c>
      <c r="E289" s="2">
        <f ca="1">IFERROR(__xludf.DUMMYFUNCTION("""COMPUTED_VALUE"""),61.536)</f>
        <v>61.536000000000001</v>
      </c>
      <c r="F289" s="2">
        <f ca="1">IFERROR(__xludf.DUMMYFUNCTION("""COMPUTED_VALUE"""),71.844)</f>
        <v>71.843999999999994</v>
      </c>
      <c r="G289" s="2">
        <f ca="1">IFERROR(__xludf.DUMMYFUNCTION("""COMPUTED_VALUE"""),0.55024)</f>
        <v>0.55023999999999995</v>
      </c>
      <c r="H289" s="2">
        <f ca="1">IFERROR(__xludf.DUMMYFUNCTION("""COMPUTED_VALUE"""),45.924)</f>
        <v>45.923999999999999</v>
      </c>
      <c r="I289" s="2">
        <f ca="1">IFERROR(__xludf.DUMMYFUNCTION("""COMPUTED_VALUE"""),45.74)</f>
        <v>45.74</v>
      </c>
      <c r="J289" s="2">
        <f ca="1">IFERROR(__xludf.DUMMYFUNCTION("""COMPUTED_VALUE"""),35.593)</f>
        <v>35.593000000000004</v>
      </c>
      <c r="K289" s="2">
        <f ca="1">IFERROR(__xludf.DUMMYFUNCTION("""COMPUTED_VALUE"""),45.066)</f>
        <v>45.066000000000003</v>
      </c>
      <c r="L289" s="2">
        <f ca="1">IFERROR(__xludf.DUMMYFUNCTION("""COMPUTED_VALUE"""),10.082)</f>
        <v>10.082000000000001</v>
      </c>
      <c r="M289" s="2">
        <f ca="1">IFERROR(__xludf.DUMMYFUNCTION("""COMPUTED_VALUE"""),12.336)</f>
        <v>12.336</v>
      </c>
      <c r="U289" s="3" t="e">
        <f ca="1"/>
        <v>#NAME?</v>
      </c>
    </row>
    <row r="290" spans="3:21" ht="12.5" x14ac:dyDescent="0.25">
      <c r="C290" s="4">
        <f ca="1">IFERROR(__xludf.DUMMYFUNCTION("""COMPUTED_VALUE"""),40508.9986111111)</f>
        <v>40508.998611111099</v>
      </c>
      <c r="D290" s="2">
        <f ca="1">IFERROR(__xludf.DUMMYFUNCTION("""COMPUTED_VALUE"""),45.71)</f>
        <v>45.71</v>
      </c>
      <c r="E290" s="2">
        <f ca="1">IFERROR(__xludf.DUMMYFUNCTION("""COMPUTED_VALUE"""),61.51)</f>
        <v>61.51</v>
      </c>
      <c r="F290" s="2">
        <f ca="1">IFERROR(__xludf.DUMMYFUNCTION("""COMPUTED_VALUE"""),71.328)</f>
        <v>71.328000000000003</v>
      </c>
      <c r="G290" s="2">
        <f ca="1">IFERROR(__xludf.DUMMYFUNCTION("""COMPUTED_VALUE"""),0.54877)</f>
        <v>0.54876999999999998</v>
      </c>
      <c r="H290" s="2">
        <f ca="1">IFERROR(__xludf.DUMMYFUNCTION("""COMPUTED_VALUE"""),45.811)</f>
        <v>45.811</v>
      </c>
      <c r="I290" s="2">
        <f ca="1">IFERROR(__xludf.DUMMYFUNCTION("""COMPUTED_VALUE"""),45.379)</f>
        <v>45.378999999999998</v>
      </c>
      <c r="J290" s="2">
        <f ca="1">IFERROR(__xludf.DUMMYFUNCTION("""COMPUTED_VALUE"""),35.465)</f>
        <v>35.465000000000003</v>
      </c>
      <c r="K290" s="2">
        <f ca="1">IFERROR(__xludf.DUMMYFUNCTION("""COMPUTED_VALUE"""),44.668)</f>
        <v>44.667999999999999</v>
      </c>
      <c r="L290" s="2">
        <f ca="1">IFERROR(__xludf.DUMMYFUNCTION("""COMPUTED_VALUE"""),10.078)</f>
        <v>10.077999999999999</v>
      </c>
      <c r="M290" s="2">
        <f ca="1">IFERROR(__xludf.DUMMYFUNCTION("""COMPUTED_VALUE"""),12.293)</f>
        <v>12.292999999999999</v>
      </c>
      <c r="U290" s="3" t="e">
        <f ca="1"/>
        <v>#NAME?</v>
      </c>
    </row>
    <row r="291" spans="3:21" ht="12.5" x14ac:dyDescent="0.25">
      <c r="C291" s="4">
        <f ca="1">IFERROR(__xludf.DUMMYFUNCTION("""COMPUTED_VALUE"""),40511.9986111111)</f>
        <v>40511.998611111099</v>
      </c>
      <c r="D291" s="2">
        <f ca="1">IFERROR(__xludf.DUMMYFUNCTION("""COMPUTED_VALUE"""),45.8)</f>
        <v>45.8</v>
      </c>
      <c r="E291" s="2">
        <f ca="1">IFERROR(__xludf.DUMMYFUNCTION("""COMPUTED_VALUE"""),62.267)</f>
        <v>62.267000000000003</v>
      </c>
      <c r="F291" s="2">
        <f ca="1">IFERROR(__xludf.DUMMYFUNCTION("""COMPUTED_VALUE"""),71.317)</f>
        <v>71.316999999999993</v>
      </c>
      <c r="G291" s="2">
        <f ca="1">IFERROR(__xludf.DUMMYFUNCTION("""COMPUTED_VALUE"""),0.55057)</f>
        <v>0.55057</v>
      </c>
      <c r="H291" s="2">
        <f ca="1">IFERROR(__xludf.DUMMYFUNCTION("""COMPUTED_VALUE"""),45.882)</f>
        <v>45.881999999999998</v>
      </c>
      <c r="I291" s="2">
        <f ca="1">IFERROR(__xludf.DUMMYFUNCTION("""COMPUTED_VALUE"""),45.624)</f>
        <v>45.624000000000002</v>
      </c>
      <c r="J291" s="2">
        <f ca="1">IFERROR(__xludf.DUMMYFUNCTION("""COMPUTED_VALUE"""),35.595)</f>
        <v>35.594999999999999</v>
      </c>
      <c r="K291" s="2">
        <f ca="1">IFERROR(__xludf.DUMMYFUNCTION("""COMPUTED_VALUE"""),45.134)</f>
        <v>45.134</v>
      </c>
      <c r="L291" s="2">
        <f ca="1">IFERROR(__xludf.DUMMYFUNCTION("""COMPUTED_VALUE"""),10.085)</f>
        <v>10.085000000000001</v>
      </c>
      <c r="M291" s="2">
        <f ca="1">IFERROR(__xludf.DUMMYFUNCTION("""COMPUTED_VALUE"""),12.347)</f>
        <v>12.347</v>
      </c>
      <c r="U291" s="3" t="e">
        <f ca="1"/>
        <v>#NAME?</v>
      </c>
    </row>
    <row r="292" spans="3:21" ht="12.5" x14ac:dyDescent="0.25">
      <c r="C292" s="4">
        <f ca="1">IFERROR(__xludf.DUMMYFUNCTION("""COMPUTED_VALUE"""),40512.9986111111)</f>
        <v>40512.998611111099</v>
      </c>
      <c r="D292" s="2">
        <f ca="1">IFERROR(__xludf.DUMMYFUNCTION("""COMPUTED_VALUE"""),45.77)</f>
        <v>45.77</v>
      </c>
      <c r="E292" s="2">
        <f ca="1">IFERROR(__xludf.DUMMYFUNCTION("""COMPUTED_VALUE"""),62.05)</f>
        <v>62.05</v>
      </c>
      <c r="F292" s="2">
        <f ca="1">IFERROR(__xludf.DUMMYFUNCTION("""COMPUTED_VALUE"""),71.188)</f>
        <v>71.188000000000002</v>
      </c>
      <c r="G292" s="2">
        <f ca="1">IFERROR(__xludf.DUMMYFUNCTION("""COMPUTED_VALUE"""),0.54719)</f>
        <v>0.54718999999999995</v>
      </c>
      <c r="H292" s="2">
        <f ca="1">IFERROR(__xludf.DUMMYFUNCTION("""COMPUTED_VALUE"""),45.664)</f>
        <v>45.664000000000001</v>
      </c>
      <c r="I292" s="2">
        <f ca="1">IFERROR(__xludf.DUMMYFUNCTION("""COMPUTED_VALUE"""),45.82)</f>
        <v>45.82</v>
      </c>
      <c r="J292" s="2">
        <f ca="1">IFERROR(__xludf.DUMMYFUNCTION("""COMPUTED_VALUE"""),35.668)</f>
        <v>35.667999999999999</v>
      </c>
      <c r="K292" s="2">
        <f ca="1">IFERROR(__xludf.DUMMYFUNCTION("""COMPUTED_VALUE"""),45.504)</f>
        <v>45.503999999999998</v>
      </c>
      <c r="L292" s="2">
        <f ca="1">IFERROR(__xludf.DUMMYFUNCTION("""COMPUTED_VALUE"""),10.066)</f>
        <v>10.066000000000001</v>
      </c>
      <c r="M292" s="2">
        <f ca="1">IFERROR(__xludf.DUMMYFUNCTION("""COMPUTED_VALUE"""),12.423)</f>
        <v>12.423</v>
      </c>
      <c r="U292" s="3" t="e">
        <f ca="1"/>
        <v>#NAME?</v>
      </c>
    </row>
    <row r="293" spans="3:21" ht="12.5" x14ac:dyDescent="0.25">
      <c r="C293" s="4">
        <f ca="1">IFERROR(__xludf.DUMMYFUNCTION("""COMPUTED_VALUE"""),40513.9986111111)</f>
        <v>40513.998611111099</v>
      </c>
      <c r="D293" s="2">
        <f ca="1">IFERROR(__xludf.DUMMYFUNCTION("""COMPUTED_VALUE"""),45.23)</f>
        <v>45.23</v>
      </c>
      <c r="E293" s="2">
        <f ca="1">IFERROR(__xludf.DUMMYFUNCTION("""COMPUTED_VALUE"""),61.706)</f>
        <v>61.706000000000003</v>
      </c>
      <c r="F293" s="2">
        <f ca="1">IFERROR(__xludf.DUMMYFUNCTION("""COMPUTED_VALUE"""),70.563)</f>
        <v>70.563000000000002</v>
      </c>
      <c r="G293" s="2">
        <f ca="1">IFERROR(__xludf.DUMMYFUNCTION("""COMPUTED_VALUE"""),0.5458)</f>
        <v>0.54579999999999995</v>
      </c>
      <c r="H293" s="2">
        <f ca="1">IFERROR(__xludf.DUMMYFUNCTION("""COMPUTED_VALUE"""),45.641)</f>
        <v>45.640999999999998</v>
      </c>
      <c r="I293" s="2">
        <f ca="1">IFERROR(__xludf.DUMMYFUNCTION("""COMPUTED_VALUE"""),46.159)</f>
        <v>46.158999999999999</v>
      </c>
      <c r="J293" s="2">
        <f ca="1">IFERROR(__xludf.DUMMYFUNCTION("""COMPUTED_VALUE"""),35.53)</f>
        <v>35.53</v>
      </c>
      <c r="K293" s="2">
        <f ca="1">IFERROR(__xludf.DUMMYFUNCTION("""COMPUTED_VALUE"""),45.907)</f>
        <v>45.906999999999996</v>
      </c>
      <c r="L293" s="2">
        <f ca="1">IFERROR(__xludf.DUMMYFUNCTION("""COMPUTED_VALUE"""),10.094)</f>
        <v>10.093999999999999</v>
      </c>
      <c r="M293" s="2">
        <f ca="1">IFERROR(__xludf.DUMMYFUNCTION("""COMPUTED_VALUE"""),12.401)</f>
        <v>12.401</v>
      </c>
      <c r="U293" s="3" t="e">
        <f ca="1"/>
        <v>#NAME?</v>
      </c>
    </row>
    <row r="294" spans="3:21" ht="12.5" x14ac:dyDescent="0.25">
      <c r="C294" s="4">
        <f ca="1">IFERROR(__xludf.DUMMYFUNCTION("""COMPUTED_VALUE"""),40514.9986111111)</f>
        <v>40514.998611111099</v>
      </c>
      <c r="D294" s="2">
        <f ca="1">IFERROR(__xludf.DUMMYFUNCTION("""COMPUTED_VALUE"""),45.13)</f>
        <v>45.13</v>
      </c>
      <c r="E294" s="2">
        <f ca="1">IFERROR(__xludf.DUMMYFUNCTION("""COMPUTED_VALUE"""),61.148)</f>
        <v>61.148000000000003</v>
      </c>
      <c r="F294" s="2">
        <f ca="1">IFERROR(__xludf.DUMMYFUNCTION("""COMPUTED_VALUE"""),70.402)</f>
        <v>70.402000000000001</v>
      </c>
      <c r="G294" s="2">
        <f ca="1">IFERROR(__xludf.DUMMYFUNCTION("""COMPUTED_VALUE"""),0.54459)</f>
        <v>0.54459000000000002</v>
      </c>
      <c r="H294" s="2">
        <f ca="1">IFERROR(__xludf.DUMMYFUNCTION("""COMPUTED_VALUE"""),45.475)</f>
        <v>45.475000000000001</v>
      </c>
      <c r="I294" s="2">
        <f ca="1">IFERROR(__xludf.DUMMYFUNCTION("""COMPUTED_VALUE"""),45.843)</f>
        <v>45.843000000000004</v>
      </c>
      <c r="J294" s="2">
        <f ca="1">IFERROR(__xludf.DUMMYFUNCTION("""COMPUTED_VALUE"""),35.395)</f>
        <v>35.395000000000003</v>
      </c>
      <c r="K294" s="2">
        <f ca="1">IFERROR(__xludf.DUMMYFUNCTION("""COMPUTED_VALUE"""),45.678)</f>
        <v>45.677999999999997</v>
      </c>
      <c r="L294" s="2">
        <f ca="1">IFERROR(__xludf.DUMMYFUNCTION("""COMPUTED_VALUE"""),10.026)</f>
        <v>10.026</v>
      </c>
      <c r="M294" s="2">
        <f ca="1">IFERROR(__xludf.DUMMYFUNCTION("""COMPUTED_VALUE"""),12.347)</f>
        <v>12.347</v>
      </c>
      <c r="U294" s="3" t="e">
        <f ca="1"/>
        <v>#NAME?</v>
      </c>
    </row>
    <row r="295" spans="3:21" ht="12.5" x14ac:dyDescent="0.25">
      <c r="C295" s="4">
        <f ca="1">IFERROR(__xludf.DUMMYFUNCTION("""COMPUTED_VALUE"""),40515.9986111111)</f>
        <v>40515.998611111099</v>
      </c>
      <c r="D295" s="2">
        <f ca="1">IFERROR(__xludf.DUMMYFUNCTION("""COMPUTED_VALUE"""),44.78)</f>
        <v>44.78</v>
      </c>
      <c r="E295" s="2">
        <f ca="1">IFERROR(__xludf.DUMMYFUNCTION("""COMPUTED_VALUE"""),61.251)</f>
        <v>61.250999999999998</v>
      </c>
      <c r="F295" s="2">
        <f ca="1">IFERROR(__xludf.DUMMYFUNCTION("""COMPUTED_VALUE"""),70.62)</f>
        <v>70.62</v>
      </c>
      <c r="G295" s="2">
        <f ca="1">IFERROR(__xludf.DUMMYFUNCTION("""COMPUTED_VALUE"""),0.5425)</f>
        <v>0.54249999999999998</v>
      </c>
      <c r="H295" s="2">
        <f ca="1">IFERROR(__xludf.DUMMYFUNCTION("""COMPUTED_VALUE"""),45.265)</f>
        <v>45.265000000000001</v>
      </c>
      <c r="I295" s="2">
        <f ca="1">IFERROR(__xludf.DUMMYFUNCTION("""COMPUTED_VALUE"""),45.876)</f>
        <v>45.875999999999998</v>
      </c>
      <c r="J295" s="2">
        <f ca="1">IFERROR(__xludf.DUMMYFUNCTION("""COMPUTED_VALUE"""),35.442)</f>
        <v>35.442</v>
      </c>
      <c r="K295" s="2">
        <f ca="1">IFERROR(__xludf.DUMMYFUNCTION("""COMPUTED_VALUE"""),45.871)</f>
        <v>45.871000000000002</v>
      </c>
      <c r="L295" s="2">
        <f ca="1">IFERROR(__xludf.DUMMYFUNCTION("""COMPUTED_VALUE"""),10.019)</f>
        <v>10.019</v>
      </c>
      <c r="M295" s="2">
        <f ca="1">IFERROR(__xludf.DUMMYFUNCTION("""COMPUTED_VALUE"""),12.363)</f>
        <v>12.363</v>
      </c>
      <c r="U295" s="3" t="e">
        <f ca="1"/>
        <v>#NAME?</v>
      </c>
    </row>
    <row r="296" spans="3:21" ht="12.5" x14ac:dyDescent="0.25">
      <c r="C296" s="4">
        <f ca="1">IFERROR(__xludf.DUMMYFUNCTION("""COMPUTED_VALUE"""),40516.9986111111)</f>
        <v>40516.998611111099</v>
      </c>
      <c r="D296" s="2">
        <f ca="1">IFERROR(__xludf.DUMMYFUNCTION("""COMPUTED_VALUE"""),44.913)</f>
        <v>44.912999999999997</v>
      </c>
      <c r="E296" s="2">
        <f ca="1">IFERROR(__xludf.DUMMYFUNCTION("""COMPUTED_VALUE"""),61.472)</f>
        <v>61.472000000000001</v>
      </c>
      <c r="F296" s="2">
        <f ca="1">IFERROR(__xludf.DUMMYFUNCTION("""COMPUTED_VALUE"""),70.889)</f>
        <v>70.888999999999996</v>
      </c>
      <c r="G296" s="2">
        <f ca="1">IFERROR(__xludf.DUMMYFUNCTION("""COMPUTED_VALUE"""),0.54149)</f>
        <v>0.54149000000000003</v>
      </c>
      <c r="H296" s="2">
        <f ca="1">IFERROR(__xludf.DUMMYFUNCTION("""COMPUTED_VALUE"""),45.466)</f>
        <v>45.466000000000001</v>
      </c>
      <c r="I296" s="2">
        <f ca="1">IFERROR(__xludf.DUMMYFUNCTION("""COMPUTED_VALUE"""),45.998)</f>
        <v>45.997999999999998</v>
      </c>
      <c r="J296" s="2">
        <f ca="1">IFERROR(__xludf.DUMMYFUNCTION("""COMPUTED_VALUE"""),35.426)</f>
        <v>35.426000000000002</v>
      </c>
      <c r="K296" s="2">
        <f ca="1">IFERROR(__xludf.DUMMYFUNCTION("""COMPUTED_VALUE"""),45.871)</f>
        <v>45.871000000000002</v>
      </c>
      <c r="L296" s="2">
        <f ca="1">IFERROR(__xludf.DUMMYFUNCTION("""COMPUTED_VALUE"""),10.021)</f>
        <v>10.021000000000001</v>
      </c>
      <c r="M296" s="2">
        <f ca="1">IFERROR(__xludf.DUMMYFUNCTION("""COMPUTED_VALUE"""),12.336)</f>
        <v>12.336</v>
      </c>
      <c r="U296" s="3" t="e">
        <f ca="1"/>
        <v>#NAME?</v>
      </c>
    </row>
    <row r="297" spans="3:21" ht="12.5" x14ac:dyDescent="0.25">
      <c r="C297" s="4">
        <f ca="1">IFERROR(__xludf.DUMMYFUNCTION("""COMPUTED_VALUE"""),40518.9986111111)</f>
        <v>40518.998611111099</v>
      </c>
      <c r="D297" s="2">
        <f ca="1">IFERROR(__xludf.DUMMYFUNCTION("""COMPUTED_VALUE"""),44.81)</f>
        <v>44.81</v>
      </c>
      <c r="E297" s="2">
        <f ca="1">IFERROR(__xludf.DUMMYFUNCTION("""COMPUTED_VALUE"""),61.512)</f>
        <v>61.512</v>
      </c>
      <c r="F297" s="2">
        <f ca="1">IFERROR(__xludf.DUMMYFUNCTION("""COMPUTED_VALUE"""),70.385)</f>
        <v>70.385000000000005</v>
      </c>
      <c r="G297" s="2">
        <f ca="1">IFERROR(__xludf.DUMMYFUNCTION("""COMPUTED_VALUE"""),0.54261)</f>
        <v>0.54261000000000004</v>
      </c>
      <c r="H297" s="2">
        <f ca="1">IFERROR(__xludf.DUMMYFUNCTION("""COMPUTED_VALUE"""),45.72)</f>
        <v>45.72</v>
      </c>
      <c r="I297" s="2">
        <f ca="1">IFERROR(__xludf.DUMMYFUNCTION("""COMPUTED_VALUE"""),45.919)</f>
        <v>45.918999999999997</v>
      </c>
      <c r="J297" s="2">
        <f ca="1">IFERROR(__xludf.DUMMYFUNCTION("""COMPUTED_VALUE"""),35.428)</f>
        <v>35.427999999999997</v>
      </c>
      <c r="K297" s="2">
        <f ca="1">IFERROR(__xludf.DUMMYFUNCTION("""COMPUTED_VALUE"""),45.533)</f>
        <v>45.533000000000001</v>
      </c>
      <c r="L297" s="2">
        <f ca="1">IFERROR(__xludf.DUMMYFUNCTION("""COMPUTED_VALUE"""),9.9981)</f>
        <v>9.9981000000000009</v>
      </c>
      <c r="M297" s="2">
        <f ca="1">IFERROR(__xludf.DUMMYFUNCTION("""COMPUTED_VALUE"""),12.309)</f>
        <v>12.308999999999999</v>
      </c>
      <c r="U297" s="3" t="e">
        <f ca="1"/>
        <v>#NAME?</v>
      </c>
    </row>
    <row r="298" spans="3:21" ht="12.5" x14ac:dyDescent="0.25">
      <c r="C298" s="4">
        <f ca="1">IFERROR(__xludf.DUMMYFUNCTION("""COMPUTED_VALUE"""),40519.9986111111)</f>
        <v>40519.998611111099</v>
      </c>
      <c r="D298" s="2">
        <f ca="1">IFERROR(__xludf.DUMMYFUNCTION("""COMPUTED_VALUE"""),44.5)</f>
        <v>44.5</v>
      </c>
      <c r="E298" s="2">
        <f ca="1">IFERROR(__xludf.DUMMYFUNCTION("""COMPUTED_VALUE"""),61.67)</f>
        <v>61.67</v>
      </c>
      <c r="F298" s="2">
        <f ca="1">IFERROR(__xludf.DUMMYFUNCTION("""COMPUTED_VALUE"""),70.204)</f>
        <v>70.203999999999994</v>
      </c>
      <c r="G298" s="2">
        <f ca="1">IFERROR(__xludf.DUMMYFUNCTION("""COMPUTED_VALUE"""),0.5422)</f>
        <v>0.54220000000000002</v>
      </c>
      <c r="H298" s="2">
        <f ca="1">IFERROR(__xludf.DUMMYFUNCTION("""COMPUTED_VALUE"""),45.693)</f>
        <v>45.692999999999998</v>
      </c>
      <c r="I298" s="2">
        <f ca="1">IFERROR(__xludf.DUMMYFUNCTION("""COMPUTED_VALUE"""),45.695)</f>
        <v>45.695</v>
      </c>
      <c r="J298" s="2">
        <f ca="1">IFERROR(__xludf.DUMMYFUNCTION("""COMPUTED_VALUE"""),35.39)</f>
        <v>35.39</v>
      </c>
      <c r="K298" s="2">
        <f ca="1">IFERROR(__xludf.DUMMYFUNCTION("""COMPUTED_VALUE"""),45.278)</f>
        <v>45.277999999999999</v>
      </c>
      <c r="L298" s="2">
        <f ca="1">IFERROR(__xludf.DUMMYFUNCTION("""COMPUTED_VALUE"""),10.012)</f>
        <v>10.012</v>
      </c>
      <c r="M298" s="2">
        <f ca="1">IFERROR(__xludf.DUMMYFUNCTION("""COMPUTED_VALUE"""),12.268)</f>
        <v>12.268000000000001</v>
      </c>
      <c r="U298" s="3" t="e">
        <f ca="1"/>
        <v>#NAME?</v>
      </c>
    </row>
    <row r="299" spans="3:21" ht="12.5" x14ac:dyDescent="0.25">
      <c r="C299" s="4">
        <f ca="1">IFERROR(__xludf.DUMMYFUNCTION("""COMPUTED_VALUE"""),40520.9986111111)</f>
        <v>40520.998611111099</v>
      </c>
      <c r="D299" s="2">
        <f ca="1">IFERROR(__xludf.DUMMYFUNCTION("""COMPUTED_VALUE"""),45)</f>
        <v>45</v>
      </c>
      <c r="E299" s="2">
        <f ca="1">IFERROR(__xludf.DUMMYFUNCTION("""COMPUTED_VALUE"""),61.348)</f>
        <v>61.347999999999999</v>
      </c>
      <c r="F299" s="2">
        <f ca="1">IFERROR(__xludf.DUMMYFUNCTION("""COMPUTED_VALUE"""),71.082)</f>
        <v>71.081999999999994</v>
      </c>
      <c r="G299" s="2">
        <f ca="1">IFERROR(__xludf.DUMMYFUNCTION("""COMPUTED_VALUE"""),0.53949)</f>
        <v>0.53949000000000003</v>
      </c>
      <c r="H299" s="2">
        <f ca="1">IFERROR(__xludf.DUMMYFUNCTION("""COMPUTED_VALUE"""),45.248)</f>
        <v>45.247999999999998</v>
      </c>
      <c r="I299" s="2">
        <f ca="1">IFERROR(__xludf.DUMMYFUNCTION("""COMPUTED_VALUE"""),45.599)</f>
        <v>45.598999999999997</v>
      </c>
      <c r="J299" s="2">
        <f ca="1">IFERROR(__xludf.DUMMYFUNCTION("""COMPUTED_VALUE"""),35.15)</f>
        <v>35.15</v>
      </c>
      <c r="K299" s="2">
        <f ca="1">IFERROR(__xludf.DUMMYFUNCTION("""COMPUTED_VALUE"""),45.534)</f>
        <v>45.533999999999999</v>
      </c>
      <c r="L299" s="2">
        <f ca="1">IFERROR(__xludf.DUMMYFUNCTION("""COMPUTED_VALUE"""),9.9888)</f>
        <v>9.9887999999999995</v>
      </c>
      <c r="M299" s="2">
        <f ca="1">IFERROR(__xludf.DUMMYFUNCTION("""COMPUTED_VALUE"""),12.229)</f>
        <v>12.228999999999999</v>
      </c>
      <c r="U299" s="3" t="e">
        <f ca="1"/>
        <v>#NAME?</v>
      </c>
    </row>
    <row r="300" spans="3:21" ht="12.5" x14ac:dyDescent="0.25">
      <c r="C300" s="4">
        <f ca="1">IFERROR(__xludf.DUMMYFUNCTION("""COMPUTED_VALUE"""),40521.9986111111)</f>
        <v>40521.998611111099</v>
      </c>
      <c r="D300" s="2">
        <f ca="1">IFERROR(__xludf.DUMMYFUNCTION("""COMPUTED_VALUE"""),45.05)</f>
        <v>45.05</v>
      </c>
      <c r="E300" s="2">
        <f ca="1">IFERROR(__xludf.DUMMYFUNCTION("""COMPUTED_VALUE"""),61.659)</f>
        <v>61.658999999999999</v>
      </c>
      <c r="F300" s="2">
        <f ca="1">IFERROR(__xludf.DUMMYFUNCTION("""COMPUTED_VALUE"""),71.058)</f>
        <v>71.058000000000007</v>
      </c>
      <c r="G300" s="2">
        <f ca="1">IFERROR(__xludf.DUMMYFUNCTION("""COMPUTED_VALUE"""),0.54539)</f>
        <v>0.54539000000000004</v>
      </c>
      <c r="H300" s="2">
        <f ca="1">IFERROR(__xludf.DUMMYFUNCTION("""COMPUTED_VALUE"""),45.089)</f>
        <v>45.088999999999999</v>
      </c>
      <c r="I300" s="2">
        <f ca="1">IFERROR(__xludf.DUMMYFUNCTION("""COMPUTED_VALUE"""),45.588)</f>
        <v>45.588000000000001</v>
      </c>
      <c r="J300" s="2">
        <f ca="1">IFERROR(__xludf.DUMMYFUNCTION("""COMPUTED_VALUE"""),35.25)</f>
        <v>35.25</v>
      </c>
      <c r="K300" s="2">
        <f ca="1">IFERROR(__xludf.DUMMYFUNCTION("""COMPUTED_VALUE"""),45.837)</f>
        <v>45.837000000000003</v>
      </c>
      <c r="L300" s="2">
        <f ca="1">IFERROR(__xludf.DUMMYFUNCTION("""COMPUTED_VALUE"""),10.027)</f>
        <v>10.026999999999999</v>
      </c>
      <c r="M300" s="2">
        <f ca="1">IFERROR(__xludf.DUMMYFUNCTION("""COMPUTED_VALUE"""),12.292)</f>
        <v>12.292</v>
      </c>
      <c r="U300" s="3" t="e">
        <f ca="1"/>
        <v>#NAME?</v>
      </c>
    </row>
    <row r="301" spans="3:21" ht="12.5" x14ac:dyDescent="0.25">
      <c r="C301" s="4">
        <f ca="1">IFERROR(__xludf.DUMMYFUNCTION("""COMPUTED_VALUE"""),40522.9986111111)</f>
        <v>40522.998611111099</v>
      </c>
      <c r="D301" s="2">
        <f ca="1">IFERROR(__xludf.DUMMYFUNCTION("""COMPUTED_VALUE"""),44.96)</f>
        <v>44.96</v>
      </c>
      <c r="E301" s="2">
        <f ca="1">IFERROR(__xludf.DUMMYFUNCTION("""COMPUTED_VALUE"""),61.962)</f>
        <v>61.962000000000003</v>
      </c>
      <c r="F301" s="2">
        <f ca="1">IFERROR(__xludf.DUMMYFUNCTION("""COMPUTED_VALUE"""),71.055)</f>
        <v>71.055000000000007</v>
      </c>
      <c r="G301" s="2">
        <f ca="1">IFERROR(__xludf.DUMMYFUNCTION("""COMPUTED_VALUE"""),0.54649)</f>
        <v>0.54649000000000003</v>
      </c>
      <c r="H301" s="2">
        <f ca="1">IFERROR(__xludf.DUMMYFUNCTION("""COMPUTED_VALUE"""),45.176)</f>
        <v>45.176000000000002</v>
      </c>
      <c r="I301" s="2">
        <f ca="1">IFERROR(__xludf.DUMMYFUNCTION("""COMPUTED_VALUE"""),45.551)</f>
        <v>45.551000000000002</v>
      </c>
      <c r="J301" s="2">
        <f ca="1">IFERROR(__xludf.DUMMYFUNCTION("""COMPUTED_VALUE"""),35.276)</f>
        <v>35.276000000000003</v>
      </c>
      <c r="K301" s="2">
        <f ca="1">IFERROR(__xludf.DUMMYFUNCTION("""COMPUTED_VALUE"""),45.804)</f>
        <v>45.804000000000002</v>
      </c>
      <c r="L301" s="2">
        <f ca="1">IFERROR(__xludf.DUMMYFUNCTION("""COMPUTED_VALUE"""),10.027)</f>
        <v>10.026999999999999</v>
      </c>
      <c r="M301" s="2">
        <f ca="1">IFERROR(__xludf.DUMMYFUNCTION("""COMPUTED_VALUE"""),12.265)</f>
        <v>12.265000000000001</v>
      </c>
      <c r="U301" s="3" t="e">
        <f ca="1"/>
        <v>#NAME?</v>
      </c>
    </row>
    <row r="302" spans="3:21" ht="12.5" x14ac:dyDescent="0.25">
      <c r="C302" s="4">
        <f ca="1">IFERROR(__xludf.DUMMYFUNCTION("""COMPUTED_VALUE"""),40523.9986111111)</f>
        <v>40523.998611111099</v>
      </c>
      <c r="D302" s="2">
        <f ca="1">IFERROR(__xludf.DUMMYFUNCTION("""COMPUTED_VALUE"""),44.95)</f>
        <v>44.95</v>
      </c>
      <c r="E302" s="2">
        <f ca="1">IFERROR(__xludf.DUMMYFUNCTION("""COMPUTED_VALUE"""),62.686)</f>
        <v>62.686</v>
      </c>
      <c r="F302" s="2">
        <f ca="1">IFERROR(__xludf.DUMMYFUNCTION("""COMPUTED_VALUE"""),71.068)</f>
        <v>71.067999999999998</v>
      </c>
      <c r="G302" s="2">
        <f ca="1">IFERROR(__xludf.DUMMYFUNCTION("""COMPUTED_VALUE"""),0.55406)</f>
        <v>0.55406</v>
      </c>
      <c r="H302" s="2">
        <f ca="1">IFERROR(__xludf.DUMMYFUNCTION("""COMPUTED_VALUE"""),45.865)</f>
        <v>45.865000000000002</v>
      </c>
      <c r="I302" s="2">
        <f ca="1">IFERROR(__xludf.DUMMYFUNCTION("""COMPUTED_VALUE"""),46.189)</f>
        <v>46.189</v>
      </c>
      <c r="J302" s="2">
        <f ca="1">IFERROR(__xludf.DUMMYFUNCTION("""COMPUTED_VALUE"""),35.574)</f>
        <v>35.573999999999998</v>
      </c>
      <c r="K302" s="2">
        <f ca="1">IFERROR(__xludf.DUMMYFUNCTION("""COMPUTED_VALUE"""),45.536)</f>
        <v>45.536000000000001</v>
      </c>
      <c r="L302" s="2">
        <f ca="1">IFERROR(__xludf.DUMMYFUNCTION("""COMPUTED_VALUE"""),10.006)</f>
        <v>10.006</v>
      </c>
      <c r="M302" s="2">
        <f ca="1">IFERROR(__xludf.DUMMYFUNCTION("""COMPUTED_VALUE"""),12.36)</f>
        <v>12.36</v>
      </c>
      <c r="U302" s="3" t="e">
        <f ca="1"/>
        <v>#NAME?</v>
      </c>
    </row>
    <row r="303" spans="3:21" ht="12.5" x14ac:dyDescent="0.25">
      <c r="C303" s="4">
        <f ca="1">IFERROR(__xludf.DUMMYFUNCTION("""COMPUTED_VALUE"""),40525.9986111111)</f>
        <v>40525.998611111099</v>
      </c>
      <c r="D303" s="2">
        <f ca="1">IFERROR(__xludf.DUMMYFUNCTION("""COMPUTED_VALUE"""),44.91)</f>
        <v>44.91</v>
      </c>
      <c r="E303" s="2">
        <f ca="1">IFERROR(__xludf.DUMMYFUNCTION("""COMPUTED_VALUE"""),62.2)</f>
        <v>62.2</v>
      </c>
      <c r="F303" s="2">
        <f ca="1">IFERROR(__xludf.DUMMYFUNCTION("""COMPUTED_VALUE"""),71.233)</f>
        <v>71.233000000000004</v>
      </c>
      <c r="G303" s="2">
        <f ca="1">IFERROR(__xludf.DUMMYFUNCTION("""COMPUTED_VALUE"""),0.55403)</f>
        <v>0.55403000000000002</v>
      </c>
      <c r="H303" s="2">
        <f ca="1">IFERROR(__xludf.DUMMYFUNCTION("""COMPUTED_VALUE"""),46.013)</f>
        <v>46.012999999999998</v>
      </c>
      <c r="I303" s="2">
        <f ca="1">IFERROR(__xludf.DUMMYFUNCTION("""COMPUTED_VALUE"""),46.205)</f>
        <v>46.204999999999998</v>
      </c>
      <c r="J303" s="2">
        <f ca="1">IFERROR(__xludf.DUMMYFUNCTION("""COMPUTED_VALUE"""),35.546)</f>
        <v>35.545999999999999</v>
      </c>
      <c r="K303" s="2">
        <f ca="1">IFERROR(__xludf.DUMMYFUNCTION("""COMPUTED_VALUE"""),45.58)</f>
        <v>45.58</v>
      </c>
      <c r="L303" s="2">
        <f ca="1">IFERROR(__xludf.DUMMYFUNCTION("""COMPUTED_VALUE"""),10.025)</f>
        <v>10.025</v>
      </c>
      <c r="M303" s="2">
        <f ca="1">IFERROR(__xludf.DUMMYFUNCTION("""COMPUTED_VALUE"""),12.32)</f>
        <v>12.32</v>
      </c>
      <c r="U303" s="3" t="e">
        <f ca="1"/>
        <v>#NAME?</v>
      </c>
    </row>
    <row r="304" spans="3:21" ht="12.5" x14ac:dyDescent="0.25">
      <c r="C304" s="4">
        <f ca="1">IFERROR(__xludf.DUMMYFUNCTION("""COMPUTED_VALUE"""),40526.9986111111)</f>
        <v>40526.998611111099</v>
      </c>
      <c r="D304" s="2">
        <f ca="1">IFERROR(__xludf.DUMMYFUNCTION("""COMPUTED_VALUE"""),44.91)</f>
        <v>44.91</v>
      </c>
      <c r="E304" s="2">
        <f ca="1">IFERROR(__xludf.DUMMYFUNCTION("""COMPUTED_VALUE"""),62.183)</f>
        <v>62.183</v>
      </c>
      <c r="F304" s="2">
        <f ca="1">IFERROR(__xludf.DUMMYFUNCTION("""COMPUTED_VALUE"""),70.816)</f>
        <v>70.816000000000003</v>
      </c>
      <c r="G304" s="2">
        <f ca="1">IFERROR(__xludf.DUMMYFUNCTION("""COMPUTED_VALUE"""),0.55085)</f>
        <v>0.55084999999999995</v>
      </c>
      <c r="H304" s="2">
        <f ca="1">IFERROR(__xludf.DUMMYFUNCTION("""COMPUTED_VALUE"""),45.881)</f>
        <v>45.881</v>
      </c>
      <c r="I304" s="2">
        <f ca="1">IFERROR(__xludf.DUMMYFUNCTION("""COMPUTED_VALUE"""),46.372)</f>
        <v>46.372</v>
      </c>
      <c r="J304" s="2">
        <f ca="1">IFERROR(__xludf.DUMMYFUNCTION("""COMPUTED_VALUE"""),35.469)</f>
        <v>35.469000000000001</v>
      </c>
      <c r="K304" s="2">
        <f ca="1">IFERROR(__xludf.DUMMYFUNCTION("""COMPUTED_VALUE"""),45.342)</f>
        <v>45.341999999999999</v>
      </c>
      <c r="L304" s="2">
        <f ca="1">IFERROR(__xludf.DUMMYFUNCTION("""COMPUTED_VALUE"""),10.048)</f>
        <v>10.048</v>
      </c>
      <c r="M304" s="2">
        <f ca="1">IFERROR(__xludf.DUMMYFUNCTION("""COMPUTED_VALUE"""),12.279)</f>
        <v>12.279</v>
      </c>
      <c r="U304" s="3" t="e">
        <f ca="1"/>
        <v>#NAME?</v>
      </c>
    </row>
    <row r="305" spans="3:21" ht="12.5" x14ac:dyDescent="0.25">
      <c r="C305" s="4">
        <f ca="1">IFERROR(__xludf.DUMMYFUNCTION("""COMPUTED_VALUE"""),40527.9986111111)</f>
        <v>40527.998611111099</v>
      </c>
      <c r="D305" s="2">
        <f ca="1">IFERROR(__xludf.DUMMYFUNCTION("""COMPUTED_VALUE"""),45.25)</f>
        <v>45.25</v>
      </c>
      <c r="E305" s="2">
        <f ca="1">IFERROR(__xludf.DUMMYFUNCTION("""COMPUTED_VALUE"""),61.905)</f>
        <v>61.905000000000001</v>
      </c>
      <c r="F305" s="2">
        <f ca="1">IFERROR(__xludf.DUMMYFUNCTION("""COMPUTED_VALUE"""),70.366)</f>
        <v>70.366</v>
      </c>
      <c r="G305" s="2">
        <f ca="1">IFERROR(__xludf.DUMMYFUNCTION("""COMPUTED_VALUE"""),0.54756)</f>
        <v>0.54756000000000005</v>
      </c>
      <c r="H305" s="2">
        <f ca="1">IFERROR(__xludf.DUMMYFUNCTION("""COMPUTED_VALUE"""),45.563)</f>
        <v>45.563000000000002</v>
      </c>
      <c r="I305" s="2">
        <f ca="1">IFERROR(__xludf.DUMMYFUNCTION("""COMPUTED_VALUE"""),46.02)</f>
        <v>46.02</v>
      </c>
      <c r="J305" s="2">
        <f ca="1">IFERROR(__xludf.DUMMYFUNCTION("""COMPUTED_VALUE"""),35.263)</f>
        <v>35.262999999999998</v>
      </c>
      <c r="K305" s="2">
        <f ca="1">IFERROR(__xludf.DUMMYFUNCTION("""COMPUTED_VALUE"""),45.483)</f>
        <v>45.482999999999997</v>
      </c>
      <c r="L305" s="2">
        <f ca="1">IFERROR(__xludf.DUMMYFUNCTION("""COMPUTED_VALUE"""),10.051)</f>
        <v>10.051</v>
      </c>
      <c r="M305" s="2">
        <f ca="1">IFERROR(__xludf.DUMMYFUNCTION("""COMPUTED_VALUE"""),12.205)</f>
        <v>12.205</v>
      </c>
      <c r="U305" s="3" t="e">
        <f ca="1"/>
        <v>#NAME?</v>
      </c>
    </row>
    <row r="306" spans="3:21" ht="12.5" x14ac:dyDescent="0.25">
      <c r="C306" s="4">
        <f ca="1">IFERROR(__xludf.DUMMYFUNCTION("""COMPUTED_VALUE"""),40528.9986111111)</f>
        <v>40528.998611111099</v>
      </c>
      <c r="D306" s="2">
        <f ca="1">IFERROR(__xludf.DUMMYFUNCTION("""COMPUTED_VALUE"""),45.25)</f>
        <v>45.25</v>
      </c>
      <c r="E306" s="2">
        <f ca="1">IFERROR(__xludf.DUMMYFUNCTION("""COMPUTED_VALUE"""),62.105)</f>
        <v>62.104999999999997</v>
      </c>
      <c r="F306" s="2">
        <f ca="1">IFERROR(__xludf.DUMMYFUNCTION("""COMPUTED_VALUE"""),70.594)</f>
        <v>70.593999999999994</v>
      </c>
      <c r="G306" s="2">
        <f ca="1">IFERROR(__xludf.DUMMYFUNCTION("""COMPUTED_VALUE"""),0.54703)</f>
        <v>0.54703000000000002</v>
      </c>
      <c r="H306" s="2">
        <f ca="1">IFERROR(__xludf.DUMMYFUNCTION("""COMPUTED_VALUE"""),45.545)</f>
        <v>45.545000000000002</v>
      </c>
      <c r="I306" s="2">
        <f ca="1">IFERROR(__xludf.DUMMYFUNCTION("""COMPUTED_VALUE"""),46.103)</f>
        <v>46.103000000000002</v>
      </c>
      <c r="J306" s="2">
        <f ca="1">IFERROR(__xludf.DUMMYFUNCTION("""COMPUTED_VALUE"""),35.305)</f>
        <v>35.305</v>
      </c>
      <c r="K306" s="2">
        <f ca="1">IFERROR(__xludf.DUMMYFUNCTION("""COMPUTED_VALUE"""),45.309)</f>
        <v>45.308999999999997</v>
      </c>
      <c r="L306" s="2">
        <f ca="1">IFERROR(__xludf.DUMMYFUNCTION("""COMPUTED_VALUE"""),10.037)</f>
        <v>10.037000000000001</v>
      </c>
      <c r="M306" s="2">
        <f ca="1">IFERROR(__xludf.DUMMYFUNCTION("""COMPUTED_VALUE"""),12.2)</f>
        <v>12.2</v>
      </c>
      <c r="U306" s="3" t="e">
        <f ca="1"/>
        <v>#NAME?</v>
      </c>
    </row>
    <row r="307" spans="3:21" ht="12.5" x14ac:dyDescent="0.25">
      <c r="C307" s="4">
        <f ca="1">IFERROR(__xludf.DUMMYFUNCTION("""COMPUTED_VALUE"""),40529.9986111111)</f>
        <v>40529.998611111099</v>
      </c>
      <c r="D307" s="2">
        <f ca="1">IFERROR(__xludf.DUMMYFUNCTION("""COMPUTED_VALUE"""),45.15)</f>
        <v>45.15</v>
      </c>
      <c r="E307" s="2">
        <f ca="1">IFERROR(__xludf.DUMMYFUNCTION("""COMPUTED_VALUE"""),62.617)</f>
        <v>62.616999999999997</v>
      </c>
      <c r="F307" s="2">
        <f ca="1">IFERROR(__xludf.DUMMYFUNCTION("""COMPUTED_VALUE"""),70.141)</f>
        <v>70.141000000000005</v>
      </c>
      <c r="G307" s="2">
        <f ca="1">IFERROR(__xludf.DUMMYFUNCTION("""COMPUTED_VALUE"""),0.54459)</f>
        <v>0.54459000000000002</v>
      </c>
      <c r="H307" s="2">
        <f ca="1">IFERROR(__xludf.DUMMYFUNCTION("""COMPUTED_VALUE"""),45.552)</f>
        <v>45.552</v>
      </c>
      <c r="I307" s="2">
        <f ca="1">IFERROR(__xludf.DUMMYFUNCTION("""COMPUTED_VALUE"""),46.137)</f>
        <v>46.137</v>
      </c>
      <c r="J307" s="2">
        <f ca="1">IFERROR(__xludf.DUMMYFUNCTION("""COMPUTED_VALUE"""),35.372)</f>
        <v>35.372</v>
      </c>
      <c r="K307" s="2">
        <f ca="1">IFERROR(__xludf.DUMMYFUNCTION("""COMPUTED_VALUE"""),45.761)</f>
        <v>45.761000000000003</v>
      </c>
      <c r="L307" s="2">
        <f ca="1">IFERROR(__xludf.DUMMYFUNCTION("""COMPUTED_VALUE"""),10.079)</f>
        <v>10.079000000000001</v>
      </c>
      <c r="M307" s="2">
        <f ca="1">IFERROR(__xludf.DUMMYFUNCTION("""COMPUTED_VALUE"""),12.211)</f>
        <v>12.211</v>
      </c>
      <c r="U307" s="3" t="e">
        <f ca="1"/>
        <v>#NAME?</v>
      </c>
    </row>
    <row r="308" spans="3:21" ht="12.5" x14ac:dyDescent="0.25">
      <c r="C308" s="4">
        <f ca="1">IFERROR(__xludf.DUMMYFUNCTION("""COMPUTED_VALUE"""),40530.9986111111)</f>
        <v>40530.998611111099</v>
      </c>
      <c r="D308" s="2">
        <f ca="1">IFERROR(__xludf.DUMMYFUNCTION("""COMPUTED_VALUE"""),45.168)</f>
        <v>45.167999999999999</v>
      </c>
      <c r="E308" s="2">
        <f ca="1">IFERROR(__xludf.DUMMYFUNCTION("""COMPUTED_VALUE"""),62.681)</f>
        <v>62.680999999999997</v>
      </c>
      <c r="F308" s="2">
        <f ca="1">IFERROR(__xludf.DUMMYFUNCTION("""COMPUTED_VALUE"""),70.157)</f>
        <v>70.156999999999996</v>
      </c>
      <c r="G308" s="2">
        <f ca="1">IFERROR(__xludf.DUMMYFUNCTION("""COMPUTED_VALUE"""),0.54509)</f>
        <v>0.54508999999999996</v>
      </c>
      <c r="H308" s="2">
        <f ca="1">IFERROR(__xludf.DUMMYFUNCTION("""COMPUTED_VALUE"""),45.439)</f>
        <v>45.439</v>
      </c>
      <c r="I308" s="2">
        <f ca="1">IFERROR(__xludf.DUMMYFUNCTION("""COMPUTED_VALUE"""),46.092)</f>
        <v>46.091999999999999</v>
      </c>
      <c r="J308" s="2">
        <f ca="1">IFERROR(__xludf.DUMMYFUNCTION("""COMPUTED_VALUE"""),35.393)</f>
        <v>35.393000000000001</v>
      </c>
      <c r="K308" s="2">
        <f ca="1">IFERROR(__xludf.DUMMYFUNCTION("""COMPUTED_VALUE"""),45.744)</f>
        <v>45.744</v>
      </c>
      <c r="L308" s="2">
        <f ca="1">IFERROR(__xludf.DUMMYFUNCTION("""COMPUTED_VALUE"""),10.078)</f>
        <v>10.077999999999999</v>
      </c>
      <c r="M308" s="2">
        <f ca="1">IFERROR(__xludf.DUMMYFUNCTION("""COMPUTED_VALUE"""),12.202)</f>
        <v>12.202</v>
      </c>
      <c r="U308" s="3" t="e">
        <f ca="1"/>
        <v>#NAME?</v>
      </c>
    </row>
    <row r="309" spans="3:21" ht="12.5" x14ac:dyDescent="0.25">
      <c r="C309" s="4">
        <f ca="1">IFERROR(__xludf.DUMMYFUNCTION("""COMPUTED_VALUE"""),40531.9986111111)</f>
        <v>40531.998611111099</v>
      </c>
      <c r="D309" s="2">
        <f ca="1">IFERROR(__xludf.DUMMYFUNCTION("""COMPUTED_VALUE"""),45.168)</f>
        <v>45.167999999999999</v>
      </c>
      <c r="E309" s="2">
        <f ca="1">IFERROR(__xludf.DUMMYFUNCTION("""COMPUTED_VALUE"""),62.819)</f>
        <v>62.819000000000003</v>
      </c>
      <c r="F309" s="2">
        <f ca="1">IFERROR(__xludf.DUMMYFUNCTION("""COMPUTED_VALUE"""),69.956)</f>
        <v>69.956000000000003</v>
      </c>
      <c r="G309" s="2">
        <f ca="1">IFERROR(__xludf.DUMMYFUNCTION("""COMPUTED_VALUE"""),0.54691)</f>
        <v>0.54691000000000001</v>
      </c>
      <c r="H309" s="2">
        <f ca="1">IFERROR(__xludf.DUMMYFUNCTION("""COMPUTED_VALUE"""),45.49)</f>
        <v>45.49</v>
      </c>
      <c r="I309" s="2">
        <f ca="1">IFERROR(__xludf.DUMMYFUNCTION("""COMPUTED_VALUE"""),46.22)</f>
        <v>46.22</v>
      </c>
      <c r="J309" s="2">
        <f ca="1">IFERROR(__xludf.DUMMYFUNCTION("""COMPUTED_VALUE"""),35.528)</f>
        <v>35.527999999999999</v>
      </c>
      <c r="K309" s="2">
        <f ca="1">IFERROR(__xludf.DUMMYFUNCTION("""COMPUTED_VALUE"""),45.769)</f>
        <v>45.768999999999998</v>
      </c>
      <c r="L309" s="2">
        <f ca="1">IFERROR(__xludf.DUMMYFUNCTION("""COMPUTED_VALUE"""),10.043)</f>
        <v>10.042999999999999</v>
      </c>
      <c r="M309" s="2">
        <f ca="1">IFERROR(__xludf.DUMMYFUNCTION("""COMPUTED_VALUE"""),12.243)</f>
        <v>12.243</v>
      </c>
      <c r="U309" s="3" t="e">
        <f ca="1"/>
        <v>#NAME?</v>
      </c>
    </row>
    <row r="310" spans="3:21" ht="12.5" x14ac:dyDescent="0.25">
      <c r="C310" s="4">
        <f ca="1">IFERROR(__xludf.DUMMYFUNCTION("""COMPUTED_VALUE"""),40532.9986111111)</f>
        <v>40532.998611111099</v>
      </c>
      <c r="D310" s="2">
        <f ca="1">IFERROR(__xludf.DUMMYFUNCTION("""COMPUTED_VALUE"""),45.26)</f>
        <v>45.26</v>
      </c>
      <c r="E310" s="2">
        <f ca="1">IFERROR(__xludf.DUMMYFUNCTION("""COMPUTED_VALUE"""),62.428)</f>
        <v>62.427999999999997</v>
      </c>
      <c r="F310" s="2">
        <f ca="1">IFERROR(__xludf.DUMMYFUNCTION("""COMPUTED_VALUE"""),70.212)</f>
        <v>70.212000000000003</v>
      </c>
      <c r="G310" s="2">
        <f ca="1">IFERROR(__xludf.DUMMYFUNCTION("""COMPUTED_VALUE"""),0.54325)</f>
        <v>0.54325000000000001</v>
      </c>
      <c r="H310" s="2">
        <f ca="1">IFERROR(__xludf.DUMMYFUNCTION("""COMPUTED_VALUE"""),45.376)</f>
        <v>45.375999999999998</v>
      </c>
      <c r="I310" s="2">
        <f ca="1">IFERROR(__xludf.DUMMYFUNCTION("""COMPUTED_VALUE"""),46.222)</f>
        <v>46.222000000000001</v>
      </c>
      <c r="J310" s="2">
        <f ca="1">IFERROR(__xludf.DUMMYFUNCTION("""COMPUTED_VALUE"""),35.411)</f>
        <v>35.411000000000001</v>
      </c>
      <c r="K310" s="2">
        <f ca="1">IFERROR(__xludf.DUMMYFUNCTION("""COMPUTED_VALUE"""),45.542)</f>
        <v>45.542000000000002</v>
      </c>
      <c r="L310" s="2">
        <f ca="1">IFERROR(__xludf.DUMMYFUNCTION("""COMPUTED_VALUE"""),10.057)</f>
        <v>10.057</v>
      </c>
      <c r="M310" s="2">
        <f ca="1">IFERROR(__xludf.DUMMYFUNCTION("""COMPUTED_VALUE"""),12.224)</f>
        <v>12.224</v>
      </c>
      <c r="U310" s="3" t="e">
        <f ca="1"/>
        <v>#NAME?</v>
      </c>
    </row>
    <row r="311" spans="3:21" ht="12.5" x14ac:dyDescent="0.25">
      <c r="C311" s="4">
        <f ca="1">IFERROR(__xludf.DUMMYFUNCTION("""COMPUTED_VALUE"""),40533.9986111111)</f>
        <v>40533.998611111099</v>
      </c>
      <c r="D311" s="2">
        <f ca="1">IFERROR(__xludf.DUMMYFUNCTION("""COMPUTED_VALUE"""),45.18)</f>
        <v>45.18</v>
      </c>
      <c r="E311" s="2">
        <f ca="1">IFERROR(__xludf.DUMMYFUNCTION("""COMPUTED_VALUE"""),62.396)</f>
        <v>62.396000000000001</v>
      </c>
      <c r="F311" s="2">
        <f ca="1">IFERROR(__xludf.DUMMYFUNCTION("""COMPUTED_VALUE"""),69.858)</f>
        <v>69.858000000000004</v>
      </c>
      <c r="G311" s="2">
        <f ca="1">IFERROR(__xludf.DUMMYFUNCTION("""COMPUTED_VALUE"""),0.5426)</f>
        <v>0.54259999999999997</v>
      </c>
      <c r="H311" s="2">
        <f ca="1">IFERROR(__xludf.DUMMYFUNCTION("""COMPUTED_VALUE"""),45.325)</f>
        <v>45.325000000000003</v>
      </c>
      <c r="I311" s="2">
        <f ca="1">IFERROR(__xludf.DUMMYFUNCTION("""COMPUTED_VALUE"""),46.315)</f>
        <v>46.314999999999998</v>
      </c>
      <c r="J311" s="2">
        <f ca="1">IFERROR(__xludf.DUMMYFUNCTION("""COMPUTED_VALUE"""),35.391)</f>
        <v>35.390999999999998</v>
      </c>
      <c r="K311" s="2">
        <f ca="1">IFERROR(__xludf.DUMMYFUNCTION("""COMPUTED_VALUE"""),45.569)</f>
        <v>45.569000000000003</v>
      </c>
      <c r="L311" s="2">
        <f ca="1">IFERROR(__xludf.DUMMYFUNCTION("""COMPUTED_VALUE"""),10.028)</f>
        <v>10.028</v>
      </c>
      <c r="M311" s="2">
        <f ca="1">IFERROR(__xludf.DUMMYFUNCTION("""COMPUTED_VALUE"""),12.216)</f>
        <v>12.215999999999999</v>
      </c>
      <c r="U311" s="3" t="e">
        <f ca="1"/>
        <v>#NAME?</v>
      </c>
    </row>
    <row r="312" spans="3:21" ht="12.5" x14ac:dyDescent="0.25">
      <c r="C312" s="4">
        <f ca="1">IFERROR(__xludf.DUMMYFUNCTION("""COMPUTED_VALUE"""),40534.9986111111)</f>
        <v>40534.998611111099</v>
      </c>
      <c r="D312" s="2">
        <f ca="1">IFERROR(__xludf.DUMMYFUNCTION("""COMPUTED_VALUE"""),44.95)</f>
        <v>44.95</v>
      </c>
      <c r="E312" s="2">
        <f ca="1">IFERROR(__xludf.DUMMYFUNCTION("""COMPUTED_VALUE"""),62.157)</f>
        <v>62.156999999999996</v>
      </c>
      <c r="F312" s="2">
        <f ca="1">IFERROR(__xludf.DUMMYFUNCTION("""COMPUTED_VALUE"""),69.129)</f>
        <v>69.129000000000005</v>
      </c>
      <c r="G312" s="2">
        <f ca="1">IFERROR(__xludf.DUMMYFUNCTION("""COMPUTED_VALUE"""),0.54379)</f>
        <v>0.54379</v>
      </c>
      <c r="H312" s="2">
        <f ca="1">IFERROR(__xludf.DUMMYFUNCTION("""COMPUTED_VALUE"""),45.085)</f>
        <v>45.085000000000001</v>
      </c>
      <c r="I312" s="2">
        <f ca="1">IFERROR(__xludf.DUMMYFUNCTION("""COMPUTED_VALUE"""),46.229)</f>
        <v>46.228999999999999</v>
      </c>
      <c r="J312" s="2">
        <f ca="1">IFERROR(__xludf.DUMMYFUNCTION("""COMPUTED_VALUE"""),35.418)</f>
        <v>35.417999999999999</v>
      </c>
      <c r="K312" s="2">
        <f ca="1">IFERROR(__xludf.DUMMYFUNCTION("""COMPUTED_VALUE"""),45.793)</f>
        <v>45.792999999999999</v>
      </c>
      <c r="L312" s="2">
        <f ca="1">IFERROR(__xludf.DUMMYFUNCTION("""COMPUTED_VALUE"""),10.067)</f>
        <v>10.067</v>
      </c>
      <c r="M312" s="2">
        <f ca="1">IFERROR(__xludf.DUMMYFUNCTION("""COMPUTED_VALUE"""),12.282)</f>
        <v>12.282</v>
      </c>
      <c r="U312" s="3" t="e">
        <f ca="1"/>
        <v>#NAME?</v>
      </c>
    </row>
    <row r="313" spans="3:21" ht="12.5" x14ac:dyDescent="0.25">
      <c r="C313" s="4">
        <f ca="1">IFERROR(__xludf.DUMMYFUNCTION("""COMPUTED_VALUE"""),40535.9986111111)</f>
        <v>40535.998611111099</v>
      </c>
      <c r="D313" s="2">
        <f ca="1">IFERROR(__xludf.DUMMYFUNCTION("""COMPUTED_VALUE"""),45.06)</f>
        <v>45.06</v>
      </c>
      <c r="E313" s="2">
        <f ca="1">IFERROR(__xludf.DUMMYFUNCTION("""COMPUTED_VALUE"""),62.609)</f>
        <v>62.609000000000002</v>
      </c>
      <c r="F313" s="2">
        <f ca="1">IFERROR(__xludf.DUMMYFUNCTION("""COMPUTED_VALUE"""),69.483)</f>
        <v>69.483000000000004</v>
      </c>
      <c r="G313" s="2">
        <f ca="1">IFERROR(__xludf.DUMMYFUNCTION("""COMPUTED_VALUE"""),0.55038)</f>
        <v>0.55037999999999998</v>
      </c>
      <c r="H313" s="2">
        <f ca="1">IFERROR(__xludf.DUMMYFUNCTION("""COMPUTED_VALUE"""),45.763)</f>
        <v>45.762999999999998</v>
      </c>
      <c r="I313" s="2">
        <f ca="1">IFERROR(__xludf.DUMMYFUNCTION("""COMPUTED_VALUE"""),46.363)</f>
        <v>46.363</v>
      </c>
      <c r="J313" s="2">
        <f ca="1">IFERROR(__xludf.DUMMYFUNCTION("""COMPUTED_VALUE"""),35.526)</f>
        <v>35.526000000000003</v>
      </c>
      <c r="K313" s="2">
        <f ca="1">IFERROR(__xludf.DUMMYFUNCTION("""COMPUTED_VALUE"""),45.604)</f>
        <v>45.603999999999999</v>
      </c>
      <c r="L313" s="2">
        <f ca="1">IFERROR(__xludf.DUMMYFUNCTION("""COMPUTED_VALUE"""),10.039)</f>
        <v>10.039</v>
      </c>
      <c r="M313" s="2">
        <f ca="1">IFERROR(__xludf.DUMMYFUNCTION("""COMPUTED_VALUE"""),12.268)</f>
        <v>12.268000000000001</v>
      </c>
      <c r="U313" s="3" t="e">
        <f ca="1"/>
        <v>#NAME?</v>
      </c>
    </row>
    <row r="314" spans="3:21" ht="12.5" x14ac:dyDescent="0.25">
      <c r="C314" s="4">
        <f ca="1">IFERROR(__xludf.DUMMYFUNCTION("""COMPUTED_VALUE"""),40536.9986111111)</f>
        <v>40536.998611111099</v>
      </c>
      <c r="D314" s="2">
        <f ca="1">IFERROR(__xludf.DUMMYFUNCTION("""COMPUTED_VALUE"""),45.01)</f>
        <v>45.01</v>
      </c>
      <c r="E314" s="2">
        <f ca="1">IFERROR(__xludf.DUMMYFUNCTION("""COMPUTED_VALUE"""),62.932)</f>
        <v>62.932000000000002</v>
      </c>
      <c r="F314" s="2">
        <f ca="1">IFERROR(__xludf.DUMMYFUNCTION("""COMPUTED_VALUE"""),69.475)</f>
        <v>69.474999999999994</v>
      </c>
      <c r="G314" s="2">
        <f ca="1">IFERROR(__xludf.DUMMYFUNCTION("""COMPUTED_VALUE"""),0.55025)</f>
        <v>0.55025000000000002</v>
      </c>
      <c r="H314" s="2">
        <f ca="1">IFERROR(__xludf.DUMMYFUNCTION("""COMPUTED_VALUE"""),45.428)</f>
        <v>45.427999999999997</v>
      </c>
      <c r="I314" s="2">
        <f ca="1">IFERROR(__xludf.DUMMYFUNCTION("""COMPUTED_VALUE"""),46.216)</f>
        <v>46.216000000000001</v>
      </c>
      <c r="J314" s="2">
        <f ca="1">IFERROR(__xludf.DUMMYFUNCTION("""COMPUTED_VALUE"""),35.476)</f>
        <v>35.475999999999999</v>
      </c>
      <c r="K314" s="2">
        <f ca="1">IFERROR(__xludf.DUMMYFUNCTION("""COMPUTED_VALUE"""),45.066)</f>
        <v>45.066000000000003</v>
      </c>
      <c r="L314" s="2">
        <f ca="1">IFERROR(__xludf.DUMMYFUNCTION("""COMPUTED_VALUE"""),10.048)</f>
        <v>10.048</v>
      </c>
      <c r="M314" s="2">
        <f ca="1">IFERROR(__xludf.DUMMYFUNCTION("""COMPUTED_VALUE"""),12.238)</f>
        <v>12.238</v>
      </c>
      <c r="U314" s="3" t="e">
        <f ca="1"/>
        <v>#NAME?</v>
      </c>
    </row>
    <row r="315" spans="3:21" ht="12.5" x14ac:dyDescent="0.25">
      <c r="C315" s="4">
        <f ca="1">IFERROR(__xludf.DUMMYFUNCTION("""COMPUTED_VALUE"""),40539.9986111111)</f>
        <v>40539.998611111099</v>
      </c>
      <c r="D315" s="2">
        <f ca="1">IFERROR(__xludf.DUMMYFUNCTION("""COMPUTED_VALUE"""),45.1)</f>
        <v>45.1</v>
      </c>
      <c r="E315" s="2">
        <f ca="1">IFERROR(__xludf.DUMMYFUNCTION("""COMPUTED_VALUE"""),63.224)</f>
        <v>63.223999999999997</v>
      </c>
      <c r="F315" s="2">
        <f ca="1">IFERROR(__xludf.DUMMYFUNCTION("""COMPUTED_VALUE"""),69.539)</f>
        <v>69.539000000000001</v>
      </c>
      <c r="G315" s="2">
        <f ca="1">IFERROR(__xludf.DUMMYFUNCTION("""COMPUTED_VALUE"""),0.55943)</f>
        <v>0.55942999999999998</v>
      </c>
      <c r="H315" s="2">
        <f ca="1">IFERROR(__xludf.DUMMYFUNCTION("""COMPUTED_VALUE"""),44.697)</f>
        <v>44.697000000000003</v>
      </c>
      <c r="I315" s="2">
        <f ca="1">IFERROR(__xludf.DUMMYFUNCTION("""COMPUTED_VALUE"""),45.871)</f>
        <v>45.871000000000002</v>
      </c>
      <c r="J315" s="2">
        <f ca="1">IFERROR(__xludf.DUMMYFUNCTION("""COMPUTED_VALUE"""),35.243)</f>
        <v>35.243000000000002</v>
      </c>
      <c r="K315" s="2">
        <f ca="1">IFERROR(__xludf.DUMMYFUNCTION("""COMPUTED_VALUE"""),45.455)</f>
        <v>45.454999999999998</v>
      </c>
      <c r="L315" s="2">
        <f ca="1">IFERROR(__xludf.DUMMYFUNCTION("""COMPUTED_VALUE"""),10.057)</f>
        <v>10.057</v>
      </c>
      <c r="M315" s="2">
        <f ca="1">IFERROR(__xludf.DUMMYFUNCTION("""COMPUTED_VALUE"""),12.295)</f>
        <v>12.295</v>
      </c>
      <c r="U315" s="3" t="e">
        <f ca="1"/>
        <v>#NAME?</v>
      </c>
    </row>
    <row r="316" spans="3:21" ht="12.5" x14ac:dyDescent="0.25">
      <c r="C316" s="4">
        <f ca="1">IFERROR(__xludf.DUMMYFUNCTION("""COMPUTED_VALUE"""),40540.9986111111)</f>
        <v>40540.998611111099</v>
      </c>
      <c r="D316" s="2">
        <f ca="1">IFERROR(__xludf.DUMMYFUNCTION("""COMPUTED_VALUE"""),44.95)</f>
        <v>44.95</v>
      </c>
      <c r="E316" s="2">
        <f ca="1">IFERROR(__xludf.DUMMYFUNCTION("""COMPUTED_VALUE"""),62.549)</f>
        <v>62.548999999999999</v>
      </c>
      <c r="F316" s="2">
        <f ca="1">IFERROR(__xludf.DUMMYFUNCTION("""COMPUTED_VALUE"""),69.116)</f>
        <v>69.116</v>
      </c>
      <c r="G316" s="2">
        <f ca="1">IFERROR(__xludf.DUMMYFUNCTION("""COMPUTED_VALUE"""),0.56356)</f>
        <v>0.56355999999999995</v>
      </c>
      <c r="H316" s="2">
        <f ca="1">IFERROR(__xludf.DUMMYFUNCTION("""COMPUTED_VALUE"""),44.261)</f>
        <v>44.261000000000003</v>
      </c>
      <c r="I316" s="2">
        <f ca="1">IFERROR(__xludf.DUMMYFUNCTION("""COMPUTED_VALUE"""),45.404)</f>
        <v>45.404000000000003</v>
      </c>
      <c r="J316" s="2">
        <f ca="1">IFERROR(__xludf.DUMMYFUNCTION("""COMPUTED_VALUE"""),35.098)</f>
        <v>35.097999999999999</v>
      </c>
      <c r="K316" s="2">
        <f ca="1">IFERROR(__xludf.DUMMYFUNCTION("""COMPUTED_VALUE"""),45.902)</f>
        <v>45.902000000000001</v>
      </c>
      <c r="L316" s="2">
        <f ca="1">IFERROR(__xludf.DUMMYFUNCTION("""COMPUTED_VALUE"""),10.057)</f>
        <v>10.057</v>
      </c>
      <c r="M316" s="2">
        <f ca="1">IFERROR(__xludf.DUMMYFUNCTION("""COMPUTED_VALUE"""),12.257)</f>
        <v>12.257</v>
      </c>
      <c r="U316" s="3" t="e">
        <f ca="1"/>
        <v>#NAME?</v>
      </c>
    </row>
    <row r="317" spans="3:21" ht="12.5" x14ac:dyDescent="0.25">
      <c r="C317" s="4">
        <f ca="1">IFERROR(__xludf.DUMMYFUNCTION("""COMPUTED_VALUE"""),40541.9986111111)</f>
        <v>40541.998611111099</v>
      </c>
      <c r="D317" s="2">
        <f ca="1">IFERROR(__xludf.DUMMYFUNCTION("""COMPUTED_VALUE"""),44.92)</f>
        <v>44.92</v>
      </c>
      <c r="E317" s="2">
        <f ca="1">IFERROR(__xludf.DUMMYFUNCTION("""COMPUTED_VALUE"""),63.131)</f>
        <v>63.131</v>
      </c>
      <c r="F317" s="2">
        <f ca="1">IFERROR(__xludf.DUMMYFUNCTION("""COMPUTED_VALUE"""),69.63)</f>
        <v>69.63</v>
      </c>
      <c r="G317" s="2">
        <f ca="1">IFERROR(__xludf.DUMMYFUNCTION("""COMPUTED_VALUE"""),0.56971)</f>
        <v>0.56971000000000005</v>
      </c>
      <c r="H317" s="2">
        <f ca="1">IFERROR(__xludf.DUMMYFUNCTION("""COMPUTED_VALUE"""),44.21)</f>
        <v>44.21</v>
      </c>
      <c r="I317" s="2">
        <f ca="1">IFERROR(__xludf.DUMMYFUNCTION("""COMPUTED_VALUE"""),45.703)</f>
        <v>45.703000000000003</v>
      </c>
      <c r="J317" s="2">
        <f ca="1">IFERROR(__xludf.DUMMYFUNCTION("""COMPUTED_VALUE"""),35.237)</f>
        <v>35.237000000000002</v>
      </c>
      <c r="K317" s="2">
        <f ca="1">IFERROR(__xludf.DUMMYFUNCTION("""COMPUTED_VALUE"""),45.938)</f>
        <v>45.938000000000002</v>
      </c>
      <c r="L317" s="2">
        <f ca="1">IFERROR(__xludf.DUMMYFUNCTION("""COMPUTED_VALUE"""),10.031)</f>
        <v>10.031000000000001</v>
      </c>
      <c r="M317" s="2">
        <f ca="1">IFERROR(__xludf.DUMMYFUNCTION("""COMPUTED_VALUE"""),12.265)</f>
        <v>12.265000000000001</v>
      </c>
      <c r="U317" s="3" t="e">
        <f ca="1"/>
        <v>#NAME?</v>
      </c>
    </row>
    <row r="318" spans="3:21" ht="12.5" x14ac:dyDescent="0.25">
      <c r="C318" s="4">
        <f ca="1">IFERROR(__xludf.DUMMYFUNCTION("""COMPUTED_VALUE"""),40542.9986111111)</f>
        <v>40542.998611111099</v>
      </c>
      <c r="D318" s="2">
        <f ca="1">IFERROR(__xludf.DUMMYFUNCTION("""COMPUTED_VALUE"""),44.81)</f>
        <v>44.81</v>
      </c>
      <c r="E318" s="2">
        <f ca="1">IFERROR(__xludf.DUMMYFUNCTION("""COMPUTED_VALUE"""),63.648)</f>
        <v>63.648000000000003</v>
      </c>
      <c r="F318" s="2">
        <f ca="1">IFERROR(__xludf.DUMMYFUNCTION("""COMPUTED_VALUE"""),69.102)</f>
        <v>69.102000000000004</v>
      </c>
      <c r="G318" s="2">
        <f ca="1">IFERROR(__xludf.DUMMYFUNCTION("""COMPUTED_VALUE"""),0.55628)</f>
        <v>0.55628</v>
      </c>
      <c r="H318" s="2">
        <f ca="1">IFERROR(__xludf.DUMMYFUNCTION("""COMPUTED_VALUE"""),44.746)</f>
        <v>44.746000000000002</v>
      </c>
      <c r="I318" s="2">
        <f ca="1">IFERROR(__xludf.DUMMYFUNCTION("""COMPUTED_VALUE"""),45.621)</f>
        <v>45.621000000000002</v>
      </c>
      <c r="J318" s="2">
        <f ca="1">IFERROR(__xludf.DUMMYFUNCTION("""COMPUTED_VALUE"""),35.299)</f>
        <v>35.298999999999999</v>
      </c>
      <c r="K318" s="2">
        <f ca="1">IFERROR(__xludf.DUMMYFUNCTION("""COMPUTED_VALUE"""),45.627)</f>
        <v>45.627000000000002</v>
      </c>
      <c r="L318" s="2">
        <f ca="1">IFERROR(__xludf.DUMMYFUNCTION("""COMPUTED_VALUE"""),10.018)</f>
        <v>10.018000000000001</v>
      </c>
      <c r="M318" s="2">
        <f ca="1">IFERROR(__xludf.DUMMYFUNCTION("""COMPUTED_VALUE"""),12.238)</f>
        <v>12.238</v>
      </c>
      <c r="U318" s="3" t="e">
        <f ca="1"/>
        <v>#NAME?</v>
      </c>
    </row>
    <row r="319" spans="3:21" ht="12.5" x14ac:dyDescent="0.25">
      <c r="C319" s="4">
        <f ca="1">IFERROR(__xludf.DUMMYFUNCTION("""COMPUTED_VALUE"""),40543.9986111111)</f>
        <v>40543.998611111099</v>
      </c>
      <c r="D319" s="2">
        <f ca="1">IFERROR(__xludf.DUMMYFUNCTION("""COMPUTED_VALUE"""),44.56)</f>
        <v>44.56</v>
      </c>
      <c r="E319" s="2">
        <f ca="1">IFERROR(__xludf.DUMMYFUNCTION("""COMPUTED_VALUE"""),63.84)</f>
        <v>63.84</v>
      </c>
      <c r="F319" s="2">
        <f ca="1">IFERROR(__xludf.DUMMYFUNCTION("""COMPUTED_VALUE"""),69.449)</f>
        <v>69.448999999999998</v>
      </c>
      <c r="G319" s="2">
        <f ca="1">IFERROR(__xludf.DUMMYFUNCTION("""COMPUTED_VALUE"""),0.55425)</f>
        <v>0.55425000000000002</v>
      </c>
      <c r="H319" s="2">
        <f ca="1">IFERROR(__xludf.DUMMYFUNCTION("""COMPUTED_VALUE"""),45.128)</f>
        <v>45.128</v>
      </c>
      <c r="I319" s="2">
        <f ca="1">IFERROR(__xludf.DUMMYFUNCTION("""COMPUTED_VALUE"""),45.881)</f>
        <v>45.881</v>
      </c>
      <c r="J319" s="2">
        <f ca="1">IFERROR(__xludf.DUMMYFUNCTION("""COMPUTED_VALUE"""),35.447)</f>
        <v>35.447000000000003</v>
      </c>
      <c r="K319" s="2">
        <f ca="1">IFERROR(__xludf.DUMMYFUNCTION("""COMPUTED_VALUE"""),45.157)</f>
        <v>45.156999999999996</v>
      </c>
      <c r="L319" s="2">
        <f ca="1">IFERROR(__xludf.DUMMYFUNCTION("""COMPUTED_VALUE"""),10.027)</f>
        <v>10.026999999999999</v>
      </c>
      <c r="M319" s="2">
        <f ca="1">IFERROR(__xludf.DUMMYFUNCTION("""COMPUTED_VALUE"""),12.227)</f>
        <v>12.227</v>
      </c>
      <c r="U319" s="3" t="e">
        <f ca="1"/>
        <v>#NAME?</v>
      </c>
    </row>
    <row r="320" spans="3:21" ht="12.5" x14ac:dyDescent="0.25">
      <c r="C320" s="4">
        <f ca="1">IFERROR(__xludf.DUMMYFUNCTION("""COMPUTED_VALUE"""),40545.9986111111)</f>
        <v>40545.998611111099</v>
      </c>
      <c r="D320" s="2">
        <f ca="1">IFERROR(__xludf.DUMMYFUNCTION("""COMPUTED_VALUE"""),44.818)</f>
        <v>44.817999999999998</v>
      </c>
      <c r="E320" s="2">
        <f ca="1">IFERROR(__xludf.DUMMYFUNCTION("""COMPUTED_VALUE"""),63.681)</f>
        <v>63.680999999999997</v>
      </c>
      <c r="F320" s="2">
        <f ca="1">IFERROR(__xludf.DUMMYFUNCTION("""COMPUTED_VALUE"""),69.97)</f>
        <v>69.97</v>
      </c>
      <c r="G320" s="2">
        <f ca="1">IFERROR(__xludf.DUMMYFUNCTION("""COMPUTED_VALUE"""),0.55387)</f>
        <v>0.55386999999999997</v>
      </c>
      <c r="H320" s="2">
        <f ca="1">IFERROR(__xludf.DUMMYFUNCTION("""COMPUTED_VALUE"""),45.334)</f>
        <v>45.334000000000003</v>
      </c>
      <c r="I320" s="2">
        <f ca="1">IFERROR(__xludf.DUMMYFUNCTION("""COMPUTED_VALUE"""),45.784)</f>
        <v>45.783999999999999</v>
      </c>
      <c r="J320" s="2">
        <f ca="1">IFERROR(__xludf.DUMMYFUNCTION("""COMPUTED_VALUE"""),35.497)</f>
        <v>35.497</v>
      </c>
      <c r="K320" s="2">
        <f ca="1">IFERROR(__xludf.DUMMYFUNCTION("""COMPUTED_VALUE"""),45.574)</f>
        <v>45.573999999999998</v>
      </c>
      <c r="L320" s="2">
        <f ca="1">IFERROR(__xludf.DUMMYFUNCTION("""COMPUTED_VALUE"""),10.044)</f>
        <v>10.044</v>
      </c>
      <c r="M320" s="2">
        <f ca="1">IFERROR(__xludf.DUMMYFUNCTION("""COMPUTED_VALUE"""),12.211)</f>
        <v>12.211</v>
      </c>
      <c r="U320" s="3" t="e">
        <f ca="1"/>
        <v>#NAME?</v>
      </c>
    </row>
    <row r="321" spans="3:21" ht="12.5" x14ac:dyDescent="0.25">
      <c r="C321" s="4">
        <f ca="1">IFERROR(__xludf.DUMMYFUNCTION("""COMPUTED_VALUE"""),40546.9986111111)</f>
        <v>40546.998611111099</v>
      </c>
      <c r="D321" s="2">
        <f ca="1">IFERROR(__xludf.DUMMYFUNCTION("""COMPUTED_VALUE"""),44.61)</f>
        <v>44.61</v>
      </c>
      <c r="E321" s="2">
        <f ca="1">IFERROR(__xludf.DUMMYFUNCTION("""COMPUTED_VALUE"""),63.136)</f>
        <v>63.136000000000003</v>
      </c>
      <c r="F321" s="2">
        <f ca="1">IFERROR(__xludf.DUMMYFUNCTION("""COMPUTED_VALUE"""),69.058)</f>
        <v>69.058000000000007</v>
      </c>
      <c r="G321" s="2">
        <f ca="1">IFERROR(__xludf.DUMMYFUNCTION("""COMPUTED_VALUE"""),0.55312)</f>
        <v>0.55311999999999995</v>
      </c>
      <c r="H321" s="2">
        <f ca="1">IFERROR(__xludf.DUMMYFUNCTION("""COMPUTED_VALUE"""),45.388)</f>
        <v>45.387999999999998</v>
      </c>
      <c r="I321" s="2">
        <f ca="1">IFERROR(__xludf.DUMMYFUNCTION("""COMPUTED_VALUE"""),45.649)</f>
        <v>45.649000000000001</v>
      </c>
      <c r="J321" s="2">
        <f ca="1">IFERROR(__xludf.DUMMYFUNCTION("""COMPUTED_VALUE"""),35.394)</f>
        <v>35.393999999999998</v>
      </c>
      <c r="K321" s="2">
        <f ca="1">IFERROR(__xludf.DUMMYFUNCTION("""COMPUTED_VALUE"""),45.822)</f>
        <v>45.822000000000003</v>
      </c>
      <c r="L321" s="2">
        <f ca="1">IFERROR(__xludf.DUMMYFUNCTION("""COMPUTED_VALUE"""),10.061)</f>
        <v>10.061</v>
      </c>
      <c r="M321" s="2">
        <f ca="1">IFERROR(__xludf.DUMMYFUNCTION("""COMPUTED_VALUE"""),12.184)</f>
        <v>12.183999999999999</v>
      </c>
      <c r="U321" s="3" t="e">
        <f ca="1"/>
        <v>#NAME?</v>
      </c>
    </row>
    <row r="322" spans="3:21" ht="12.5" x14ac:dyDescent="0.25">
      <c r="C322" s="4">
        <f ca="1">IFERROR(__xludf.DUMMYFUNCTION("""COMPUTED_VALUE"""),40547.9986111111)</f>
        <v>40547.998611111099</v>
      </c>
      <c r="D322" s="2">
        <f ca="1">IFERROR(__xludf.DUMMYFUNCTION("""COMPUTED_VALUE"""),44.9)</f>
        <v>44.9</v>
      </c>
      <c r="E322" s="2">
        <f ca="1">IFERROR(__xludf.DUMMYFUNCTION("""COMPUTED_VALUE"""),63.191)</f>
        <v>63.191000000000003</v>
      </c>
      <c r="F322" s="2">
        <f ca="1">IFERROR(__xludf.DUMMYFUNCTION("""COMPUTED_VALUE"""),69.981)</f>
        <v>69.980999999999995</v>
      </c>
      <c r="G322" s="2">
        <f ca="1">IFERROR(__xludf.DUMMYFUNCTION("""COMPUTED_VALUE"""),0.5507)</f>
        <v>0.55069999999999997</v>
      </c>
      <c r="H322" s="2">
        <f ca="1">IFERROR(__xludf.DUMMYFUNCTION("""COMPUTED_VALUE"""),45.536)</f>
        <v>45.536000000000001</v>
      </c>
      <c r="I322" s="2">
        <f ca="1">IFERROR(__xludf.DUMMYFUNCTION("""COMPUTED_VALUE"""),45.668)</f>
        <v>45.667999999999999</v>
      </c>
      <c r="J322" s="2">
        <f ca="1">IFERROR(__xludf.DUMMYFUNCTION("""COMPUTED_VALUE"""),35.37)</f>
        <v>35.369999999999997</v>
      </c>
      <c r="K322" s="2">
        <f ca="1">IFERROR(__xludf.DUMMYFUNCTION("""COMPUTED_VALUE"""),45.847)</f>
        <v>45.847000000000001</v>
      </c>
      <c r="L322" s="2">
        <f ca="1">IFERROR(__xludf.DUMMYFUNCTION("""COMPUTED_VALUE"""),10.072)</f>
        <v>10.071999999999999</v>
      </c>
      <c r="M322" s="2">
        <f ca="1">IFERROR(__xludf.DUMMYFUNCTION("""COMPUTED_VALUE"""),12.143)</f>
        <v>12.143000000000001</v>
      </c>
      <c r="U322" s="3" t="e">
        <f ca="1"/>
        <v>#NAME?</v>
      </c>
    </row>
    <row r="323" spans="3:21" ht="12.5" x14ac:dyDescent="0.25">
      <c r="C323" s="4">
        <f ca="1">IFERROR(__xludf.DUMMYFUNCTION("""COMPUTED_VALUE"""),40548.9986111111)</f>
        <v>40548.998611111099</v>
      </c>
      <c r="D323" s="2">
        <f ca="1">IFERROR(__xludf.DUMMYFUNCTION("""COMPUTED_VALUE"""),45.21)</f>
        <v>45.21</v>
      </c>
      <c r="E323" s="2">
        <f ca="1">IFERROR(__xludf.DUMMYFUNCTION("""COMPUTED_VALUE"""),62.802)</f>
        <v>62.802</v>
      </c>
      <c r="F323" s="2">
        <f ca="1">IFERROR(__xludf.DUMMYFUNCTION("""COMPUTED_VALUE"""),70.094)</f>
        <v>70.093999999999994</v>
      </c>
      <c r="G323" s="2">
        <f ca="1">IFERROR(__xludf.DUMMYFUNCTION("""COMPUTED_VALUE"""),0.54801)</f>
        <v>0.54801</v>
      </c>
      <c r="H323" s="2">
        <f ca="1">IFERROR(__xludf.DUMMYFUNCTION("""COMPUTED_VALUE"""),45.732)</f>
        <v>45.731999999999999</v>
      </c>
      <c r="I323" s="2">
        <f ca="1">IFERROR(__xludf.DUMMYFUNCTION("""COMPUTED_VALUE"""),45.453)</f>
        <v>45.453000000000003</v>
      </c>
      <c r="J323" s="2">
        <f ca="1">IFERROR(__xludf.DUMMYFUNCTION("""COMPUTED_VALUE"""),35.376)</f>
        <v>35.375999999999998</v>
      </c>
      <c r="K323" s="2">
        <f ca="1">IFERROR(__xludf.DUMMYFUNCTION("""COMPUTED_VALUE"""),45.858)</f>
        <v>45.857999999999997</v>
      </c>
      <c r="L323" s="2">
        <f ca="1">IFERROR(__xludf.DUMMYFUNCTION("""COMPUTED_VALUE"""),10.067)</f>
        <v>10.067</v>
      </c>
      <c r="M323" s="2">
        <f ca="1">IFERROR(__xludf.DUMMYFUNCTION("""COMPUTED_VALUE"""),12.168)</f>
        <v>12.167999999999999</v>
      </c>
      <c r="U323" s="3" t="e">
        <f ca="1"/>
        <v>#NAME?</v>
      </c>
    </row>
    <row r="324" spans="3:21" ht="12.5" x14ac:dyDescent="0.25">
      <c r="C324" s="4">
        <f ca="1">IFERROR(__xludf.DUMMYFUNCTION("""COMPUTED_VALUE"""),40549.9986111111)</f>
        <v>40549.998611111099</v>
      </c>
      <c r="D324" s="2">
        <f ca="1">IFERROR(__xludf.DUMMYFUNCTION("""COMPUTED_VALUE"""),45.18)</f>
        <v>45.18</v>
      </c>
      <c r="E324" s="2">
        <f ca="1">IFERROR(__xludf.DUMMYFUNCTION("""COMPUTED_VALUE"""),63.016)</f>
        <v>63.015999999999998</v>
      </c>
      <c r="F324" s="2">
        <f ca="1">IFERROR(__xludf.DUMMYFUNCTION("""COMPUTED_VALUE"""),69.896)</f>
        <v>69.896000000000001</v>
      </c>
      <c r="G324" s="2">
        <f ca="1">IFERROR(__xludf.DUMMYFUNCTION("""COMPUTED_VALUE"""),0.54726)</f>
        <v>0.54725999999999997</v>
      </c>
      <c r="H324" s="2">
        <f ca="1">IFERROR(__xludf.DUMMYFUNCTION("""COMPUTED_VALUE"""),45.937)</f>
        <v>45.936999999999998</v>
      </c>
      <c r="I324" s="2">
        <f ca="1">IFERROR(__xludf.DUMMYFUNCTION("""COMPUTED_VALUE"""),45.798)</f>
        <v>45.798000000000002</v>
      </c>
      <c r="J324" s="2">
        <f ca="1">IFERROR(__xludf.DUMMYFUNCTION("""COMPUTED_VALUE"""),35.412)</f>
        <v>35.411999999999999</v>
      </c>
      <c r="K324" s="2">
        <f ca="1">IFERROR(__xludf.DUMMYFUNCTION("""COMPUTED_VALUE"""),46.386)</f>
        <v>46.386000000000003</v>
      </c>
      <c r="L324" s="2">
        <f ca="1">IFERROR(__xludf.DUMMYFUNCTION("""COMPUTED_VALUE"""),10.082)</f>
        <v>10.082000000000001</v>
      </c>
      <c r="M324" s="2">
        <f ca="1">IFERROR(__xludf.DUMMYFUNCTION("""COMPUTED_VALUE"""),12.17)</f>
        <v>12.17</v>
      </c>
      <c r="U324" s="3" t="e">
        <f ca="1"/>
        <v>#NAME?</v>
      </c>
    </row>
    <row r="325" spans="3:21" ht="12.5" x14ac:dyDescent="0.25">
      <c r="C325" s="4">
        <f ca="1">IFERROR(__xludf.DUMMYFUNCTION("""COMPUTED_VALUE"""),40550.9986111111)</f>
        <v>40550.998611111099</v>
      </c>
      <c r="D325" s="2">
        <f ca="1">IFERROR(__xludf.DUMMYFUNCTION("""COMPUTED_VALUE"""),45.15)</f>
        <v>45.15</v>
      </c>
      <c r="E325" s="2">
        <f ca="1">IFERROR(__xludf.DUMMYFUNCTION("""COMPUTED_VALUE"""),62.912)</f>
        <v>62.911999999999999</v>
      </c>
      <c r="F325" s="2">
        <f ca="1">IFERROR(__xludf.DUMMYFUNCTION("""COMPUTED_VALUE"""),70.249)</f>
        <v>70.248999999999995</v>
      </c>
      <c r="G325" s="2">
        <f ca="1">IFERROR(__xludf.DUMMYFUNCTION("""COMPUTED_VALUE"""),0.54196)</f>
        <v>0.54196</v>
      </c>
      <c r="H325" s="2">
        <f ca="1">IFERROR(__xludf.DUMMYFUNCTION("""COMPUTED_VALUE"""),45.918)</f>
        <v>45.917999999999999</v>
      </c>
      <c r="I325" s="2">
        <f ca="1">IFERROR(__xludf.DUMMYFUNCTION("""COMPUTED_VALUE"""),45.785)</f>
        <v>45.784999999999997</v>
      </c>
      <c r="J325" s="2">
        <f ca="1">IFERROR(__xludf.DUMMYFUNCTION("""COMPUTED_VALUE"""),35.392)</f>
        <v>35.392000000000003</v>
      </c>
      <c r="K325" s="2">
        <f ca="1">IFERROR(__xludf.DUMMYFUNCTION("""COMPUTED_VALUE"""),46.784)</f>
        <v>46.783999999999999</v>
      </c>
      <c r="L325" s="2">
        <f ca="1">IFERROR(__xludf.DUMMYFUNCTION("""COMPUTED_VALUE"""),10.076)</f>
        <v>10.076000000000001</v>
      </c>
      <c r="M325" s="2">
        <f ca="1">IFERROR(__xludf.DUMMYFUNCTION("""COMPUTED_VALUE"""),12.159)</f>
        <v>12.159000000000001</v>
      </c>
      <c r="U325" s="3" t="e">
        <f ca="1"/>
        <v>#NAME?</v>
      </c>
    </row>
    <row r="326" spans="3:21" ht="12.5" x14ac:dyDescent="0.25">
      <c r="C326" s="4">
        <f ca="1">IFERROR(__xludf.DUMMYFUNCTION("""COMPUTED_VALUE"""),40552.9986111111)</f>
        <v>40552.998611111099</v>
      </c>
      <c r="D326" s="2">
        <f ca="1">IFERROR(__xludf.DUMMYFUNCTION("""COMPUTED_VALUE"""),45.358)</f>
        <v>45.357999999999997</v>
      </c>
      <c r="E326" s="2">
        <f ca="1">IFERROR(__xludf.DUMMYFUNCTION("""COMPUTED_VALUE"""),62.991)</f>
        <v>62.991</v>
      </c>
      <c r="F326" s="2">
        <f ca="1">IFERROR(__xludf.DUMMYFUNCTION("""COMPUTED_VALUE"""),70.57)</f>
        <v>70.569999999999993</v>
      </c>
      <c r="G326" s="2">
        <f ca="1">IFERROR(__xludf.DUMMYFUNCTION("""COMPUTED_VALUE"""),0.53817)</f>
        <v>0.53817000000000004</v>
      </c>
      <c r="H326" s="2">
        <f ca="1">IFERROR(__xludf.DUMMYFUNCTION("""COMPUTED_VALUE"""),46.071)</f>
        <v>46.070999999999998</v>
      </c>
      <c r="I326" s="2">
        <f ca="1">IFERROR(__xludf.DUMMYFUNCTION("""COMPUTED_VALUE"""),45.931)</f>
        <v>45.930999999999997</v>
      </c>
      <c r="J326" s="2">
        <f ca="1">IFERROR(__xludf.DUMMYFUNCTION("""COMPUTED_VALUE"""),35.365)</f>
        <v>35.365000000000002</v>
      </c>
      <c r="K326" s="2">
        <f ca="1">IFERROR(__xludf.DUMMYFUNCTION("""COMPUTED_VALUE"""),46.792)</f>
        <v>46.792000000000002</v>
      </c>
      <c r="L326" s="2">
        <f ca="1">IFERROR(__xludf.DUMMYFUNCTION("""COMPUTED_VALUE"""),10.096)</f>
        <v>10.096</v>
      </c>
      <c r="M326" s="2">
        <f ca="1">IFERROR(__xludf.DUMMYFUNCTION("""COMPUTED_VALUE"""),12.145)</f>
        <v>12.145</v>
      </c>
      <c r="U326" s="3" t="e">
        <f ca="1"/>
        <v>#NAME?</v>
      </c>
    </row>
    <row r="327" spans="3:21" ht="12.5" x14ac:dyDescent="0.25">
      <c r="C327" s="4">
        <f ca="1">IFERROR(__xludf.DUMMYFUNCTION("""COMPUTED_VALUE"""),40553.9986111111)</f>
        <v>40553.998611111099</v>
      </c>
      <c r="D327" s="2">
        <f ca="1">IFERROR(__xludf.DUMMYFUNCTION("""COMPUTED_VALUE"""),45.31)</f>
        <v>45.31</v>
      </c>
      <c r="E327" s="2">
        <f ca="1">IFERROR(__xludf.DUMMYFUNCTION("""COMPUTED_VALUE"""),63)</f>
        <v>63</v>
      </c>
      <c r="F327" s="2">
        <f ca="1">IFERROR(__xludf.DUMMYFUNCTION("""COMPUTED_VALUE"""),70.568)</f>
        <v>70.567999999999998</v>
      </c>
      <c r="G327" s="2">
        <f ca="1">IFERROR(__xludf.DUMMYFUNCTION("""COMPUTED_VALUE"""),0.5345)</f>
        <v>0.53449999999999998</v>
      </c>
      <c r="H327" s="2">
        <f ca="1">IFERROR(__xludf.DUMMYFUNCTION("""COMPUTED_VALUE"""),46.004)</f>
        <v>46.003999999999998</v>
      </c>
      <c r="I327" s="2">
        <f ca="1">IFERROR(__xludf.DUMMYFUNCTION("""COMPUTED_VALUE"""),45.83)</f>
        <v>45.83</v>
      </c>
      <c r="J327" s="2">
        <f ca="1">IFERROR(__xludf.DUMMYFUNCTION("""COMPUTED_VALUE"""),35.264)</f>
        <v>35.264000000000003</v>
      </c>
      <c r="K327" s="2">
        <f ca="1">IFERROR(__xludf.DUMMYFUNCTION("""COMPUTED_VALUE"""),46.792)</f>
        <v>46.792000000000002</v>
      </c>
      <c r="L327" s="2">
        <f ca="1">IFERROR(__xludf.DUMMYFUNCTION("""COMPUTED_VALUE"""),10.084)</f>
        <v>10.084</v>
      </c>
      <c r="M327" s="2">
        <f ca="1">IFERROR(__xludf.DUMMYFUNCTION("""COMPUTED_VALUE"""),12.102)</f>
        <v>12.102</v>
      </c>
      <c r="U327" s="3" t="e">
        <f ca="1"/>
        <v>#NAME?</v>
      </c>
    </row>
    <row r="328" spans="3:21" ht="12.5" x14ac:dyDescent="0.25">
      <c r="C328" s="4">
        <f ca="1">IFERROR(__xludf.DUMMYFUNCTION("""COMPUTED_VALUE"""),40554.9986111111)</f>
        <v>40554.998611111099</v>
      </c>
      <c r="D328" s="2">
        <f ca="1">IFERROR(__xludf.DUMMYFUNCTION("""COMPUTED_VALUE"""),45.098)</f>
        <v>45.097999999999999</v>
      </c>
      <c r="E328" s="2">
        <f ca="1">IFERROR(__xludf.DUMMYFUNCTION("""COMPUTED_VALUE"""),63.187)</f>
        <v>63.186999999999998</v>
      </c>
      <c r="F328" s="2">
        <f ca="1">IFERROR(__xludf.DUMMYFUNCTION("""COMPUTED_VALUE"""),70.394)</f>
        <v>70.394000000000005</v>
      </c>
      <c r="G328" s="2">
        <f ca="1">IFERROR(__xludf.DUMMYFUNCTION("""COMPUTED_VALUE"""),0.52841)</f>
        <v>0.52841000000000005</v>
      </c>
      <c r="H328" s="2">
        <f ca="1">IFERROR(__xludf.DUMMYFUNCTION("""COMPUTED_VALUE"""),46.135)</f>
        <v>46.134999999999998</v>
      </c>
      <c r="I328" s="2">
        <f ca="1">IFERROR(__xludf.DUMMYFUNCTION("""COMPUTED_VALUE"""),46.073)</f>
        <v>46.073</v>
      </c>
      <c r="J328" s="2">
        <f ca="1">IFERROR(__xludf.DUMMYFUNCTION("""COMPUTED_VALUE"""),35.246)</f>
        <v>35.246000000000002</v>
      </c>
      <c r="K328" s="2">
        <f ca="1">IFERROR(__xludf.DUMMYFUNCTION("""COMPUTED_VALUE"""),46.554)</f>
        <v>46.554000000000002</v>
      </c>
      <c r="L328" s="2">
        <f ca="1">IFERROR(__xludf.DUMMYFUNCTION("""COMPUTED_VALUE"""),10.094)</f>
        <v>10.093999999999999</v>
      </c>
      <c r="M328" s="2">
        <f ca="1">IFERROR(__xludf.DUMMYFUNCTION("""COMPUTED_VALUE"""),12.092)</f>
        <v>12.092000000000001</v>
      </c>
      <c r="U328" s="3" t="e">
        <f ca="1"/>
        <v>#NAME?</v>
      </c>
    </row>
    <row r="329" spans="3:21" ht="12.5" x14ac:dyDescent="0.25">
      <c r="C329" s="4">
        <f ca="1">IFERROR(__xludf.DUMMYFUNCTION("""COMPUTED_VALUE"""),40555.9986111111)</f>
        <v>40555.998611111099</v>
      </c>
      <c r="D329" s="2">
        <f ca="1">IFERROR(__xludf.DUMMYFUNCTION("""COMPUTED_VALUE"""),44.91)</f>
        <v>44.91</v>
      </c>
      <c r="E329" s="2">
        <f ca="1">IFERROR(__xludf.DUMMYFUNCTION("""COMPUTED_VALUE"""),63.294)</f>
        <v>63.293999999999997</v>
      </c>
      <c r="F329" s="2">
        <f ca="1">IFERROR(__xludf.DUMMYFUNCTION("""COMPUTED_VALUE"""),70.791)</f>
        <v>70.790999999999997</v>
      </c>
      <c r="G329" s="2">
        <f ca="1">IFERROR(__xludf.DUMMYFUNCTION("""COMPUTED_VALUE"""),0.52883)</f>
        <v>0.52883000000000002</v>
      </c>
      <c r="H329" s="2">
        <f ca="1">IFERROR(__xludf.DUMMYFUNCTION("""COMPUTED_VALUE"""),46.195)</f>
        <v>46.195</v>
      </c>
      <c r="I329" s="2">
        <f ca="1">IFERROR(__xludf.DUMMYFUNCTION("""COMPUTED_VALUE"""),46.139)</f>
        <v>46.139000000000003</v>
      </c>
      <c r="J329" s="2">
        <f ca="1">IFERROR(__xludf.DUMMYFUNCTION("""COMPUTED_VALUE"""),35.268)</f>
        <v>35.268000000000001</v>
      </c>
      <c r="K329" s="2">
        <f ca="1">IFERROR(__xludf.DUMMYFUNCTION("""COMPUTED_VALUE"""),46.382)</f>
        <v>46.381999999999998</v>
      </c>
      <c r="L329" s="2">
        <f ca="1">IFERROR(__xludf.DUMMYFUNCTION("""COMPUTED_VALUE"""),10.097)</f>
        <v>10.097</v>
      </c>
      <c r="M329" s="2">
        <f ca="1">IFERROR(__xludf.DUMMYFUNCTION("""COMPUTED_VALUE"""),12.092)</f>
        <v>12.092000000000001</v>
      </c>
      <c r="U329" s="3" t="e">
        <f ca="1"/>
        <v>#NAME?</v>
      </c>
    </row>
    <row r="330" spans="3:21" ht="12.5" x14ac:dyDescent="0.25">
      <c r="C330" s="4">
        <f ca="1">IFERROR(__xludf.DUMMYFUNCTION("""COMPUTED_VALUE"""),40556.9986111111)</f>
        <v>40556.998611111099</v>
      </c>
      <c r="D330" s="2">
        <f ca="1">IFERROR(__xludf.DUMMYFUNCTION("""COMPUTED_VALUE"""),44.96)</f>
        <v>44.96</v>
      </c>
      <c r="E330" s="2">
        <f ca="1">IFERROR(__xludf.DUMMYFUNCTION("""COMPUTED_VALUE"""),62.951)</f>
        <v>62.951000000000001</v>
      </c>
      <c r="F330" s="2">
        <f ca="1">IFERROR(__xludf.DUMMYFUNCTION("""COMPUTED_VALUE"""),71.337)</f>
        <v>71.337000000000003</v>
      </c>
      <c r="G330" s="2">
        <f ca="1">IFERROR(__xludf.DUMMYFUNCTION("""COMPUTED_VALUE"""),0.52632)</f>
        <v>0.52632000000000001</v>
      </c>
      <c r="H330" s="2">
        <f ca="1">IFERROR(__xludf.DUMMYFUNCTION("""COMPUTED_VALUE"""),45.892)</f>
        <v>45.892000000000003</v>
      </c>
      <c r="I330" s="2">
        <f ca="1">IFERROR(__xludf.DUMMYFUNCTION("""COMPUTED_VALUE"""),45.796)</f>
        <v>45.795999999999999</v>
      </c>
      <c r="J330" s="2">
        <f ca="1">IFERROR(__xludf.DUMMYFUNCTION("""COMPUTED_VALUE"""),35.128)</f>
        <v>35.128</v>
      </c>
      <c r="K330" s="2">
        <f ca="1">IFERROR(__xludf.DUMMYFUNCTION("""COMPUTED_VALUE"""),46.465)</f>
        <v>46.465000000000003</v>
      </c>
      <c r="L330" s="2">
        <f ca="1">IFERROR(__xludf.DUMMYFUNCTION("""COMPUTED_VALUE"""),10.075)</f>
        <v>10.074999999999999</v>
      </c>
      <c r="M330" s="2">
        <f ca="1">IFERROR(__xludf.DUMMYFUNCTION("""COMPUTED_VALUE"""),12.102)</f>
        <v>12.102</v>
      </c>
      <c r="U330" s="3" t="e">
        <f ca="1"/>
        <v>#NAME?</v>
      </c>
    </row>
    <row r="331" spans="3:21" ht="12.5" x14ac:dyDescent="0.25">
      <c r="C331" s="4">
        <f ca="1">IFERROR(__xludf.DUMMYFUNCTION("""COMPUTED_VALUE"""),40557.9986111111)</f>
        <v>40557.998611111099</v>
      </c>
      <c r="D331" s="2">
        <f ca="1">IFERROR(__xludf.DUMMYFUNCTION("""COMPUTED_VALUE"""),45.25)</f>
        <v>45.25</v>
      </c>
      <c r="E331" s="2">
        <f ca="1">IFERROR(__xludf.DUMMYFUNCTION("""COMPUTED_VALUE"""),63.002)</f>
        <v>63.002000000000002</v>
      </c>
      <c r="F331" s="2">
        <f ca="1">IFERROR(__xludf.DUMMYFUNCTION("""COMPUTED_VALUE"""),71.807)</f>
        <v>71.807000000000002</v>
      </c>
      <c r="G331" s="2">
        <f ca="1">IFERROR(__xludf.DUMMYFUNCTION("""COMPUTED_VALUE"""),0.52238)</f>
        <v>0.52237999999999996</v>
      </c>
      <c r="H331" s="2">
        <f ca="1">IFERROR(__xludf.DUMMYFUNCTION("""COMPUTED_VALUE"""),45.778)</f>
        <v>45.777999999999999</v>
      </c>
      <c r="I331" s="2">
        <f ca="1">IFERROR(__xludf.DUMMYFUNCTION("""COMPUTED_VALUE"""),45.976)</f>
        <v>45.975999999999999</v>
      </c>
      <c r="J331" s="2">
        <f ca="1">IFERROR(__xludf.DUMMYFUNCTION("""COMPUTED_VALUE"""),35.139)</f>
        <v>35.139000000000003</v>
      </c>
      <c r="K331" s="2">
        <f ca="1">IFERROR(__xludf.DUMMYFUNCTION("""COMPUTED_VALUE"""),46.897)</f>
        <v>46.896999999999998</v>
      </c>
      <c r="L331" s="2">
        <f ca="1">IFERROR(__xludf.DUMMYFUNCTION("""COMPUTED_VALUE"""),10.054)</f>
        <v>10.054</v>
      </c>
      <c r="M331" s="2">
        <f ca="1">IFERROR(__xludf.DUMMYFUNCTION("""COMPUTED_VALUE"""),12.067)</f>
        <v>12.067</v>
      </c>
      <c r="U331" s="3" t="e">
        <f ca="1"/>
        <v>#NAME?</v>
      </c>
    </row>
    <row r="332" spans="3:21" ht="12.5" x14ac:dyDescent="0.25">
      <c r="C332" s="4">
        <f ca="1">IFERROR(__xludf.DUMMYFUNCTION("""COMPUTED_VALUE"""),40558.9986111111)</f>
        <v>40558.998611111099</v>
      </c>
      <c r="D332" s="2">
        <f ca="1">IFERROR(__xludf.DUMMYFUNCTION("""COMPUTED_VALUE"""),45.418)</f>
        <v>45.417999999999999</v>
      </c>
      <c r="E332" s="2">
        <f ca="1">IFERROR(__xludf.DUMMYFUNCTION("""COMPUTED_VALUE"""),63.139)</f>
        <v>63.139000000000003</v>
      </c>
      <c r="F332" s="2">
        <f ca="1">IFERROR(__xludf.DUMMYFUNCTION("""COMPUTED_VALUE"""),72.09)</f>
        <v>72.09</v>
      </c>
      <c r="G332" s="2">
        <f ca="1">IFERROR(__xludf.DUMMYFUNCTION("""COMPUTED_VALUE"""),0.51571)</f>
        <v>0.51571</v>
      </c>
      <c r="H332" s="2">
        <f ca="1">IFERROR(__xludf.DUMMYFUNCTION("""COMPUTED_VALUE"""),46)</f>
        <v>46</v>
      </c>
      <c r="I332" s="2">
        <f ca="1">IFERROR(__xludf.DUMMYFUNCTION("""COMPUTED_VALUE"""),45.885)</f>
        <v>45.884999999999998</v>
      </c>
      <c r="J332" s="2">
        <f ca="1">IFERROR(__xludf.DUMMYFUNCTION("""COMPUTED_VALUE"""),34.958)</f>
        <v>34.957999999999998</v>
      </c>
      <c r="K332" s="2">
        <f ca="1">IFERROR(__xludf.DUMMYFUNCTION("""COMPUTED_VALUE"""),47.171)</f>
        <v>47.170999999999999</v>
      </c>
      <c r="L332" s="2">
        <f ca="1">IFERROR(__xludf.DUMMYFUNCTION("""COMPUTED_VALUE"""),10.047)</f>
        <v>10.047000000000001</v>
      </c>
      <c r="M332" s="2">
        <f ca="1">IFERROR(__xludf.DUMMYFUNCTION("""COMPUTED_VALUE"""),12.062)</f>
        <v>12.061999999999999</v>
      </c>
      <c r="U332" s="3" t="e">
        <f ca="1"/>
        <v>#NAME?</v>
      </c>
    </row>
    <row r="333" spans="3:21" ht="12.5" x14ac:dyDescent="0.25">
      <c r="C333" s="4">
        <f ca="1">IFERROR(__xludf.DUMMYFUNCTION("""COMPUTED_VALUE"""),40560.9986111111)</f>
        <v>40560.998611111099</v>
      </c>
      <c r="D333" s="2">
        <f ca="1">IFERROR(__xludf.DUMMYFUNCTION("""COMPUTED_VALUE"""),45.44)</f>
        <v>45.44</v>
      </c>
      <c r="E333" s="2">
        <f ca="1">IFERROR(__xludf.DUMMYFUNCTION("""COMPUTED_VALUE"""),63.032)</f>
        <v>63.031999999999996</v>
      </c>
      <c r="F333" s="2">
        <f ca="1">IFERROR(__xludf.DUMMYFUNCTION("""COMPUTED_VALUE"""),72.187)</f>
        <v>72.186999999999998</v>
      </c>
      <c r="G333" s="2">
        <f ca="1">IFERROR(__xludf.DUMMYFUNCTION("""COMPUTED_VALUE"""),0.51947)</f>
        <v>0.51946999999999999</v>
      </c>
      <c r="H333" s="2">
        <f ca="1">IFERROR(__xludf.DUMMYFUNCTION("""COMPUTED_VALUE"""),46.018)</f>
        <v>46.018000000000001</v>
      </c>
      <c r="I333" s="2">
        <f ca="1">IFERROR(__xludf.DUMMYFUNCTION("""COMPUTED_VALUE"""),45.977)</f>
        <v>45.976999999999997</v>
      </c>
      <c r="J333" s="2">
        <f ca="1">IFERROR(__xludf.DUMMYFUNCTION("""COMPUTED_VALUE"""),34.976)</f>
        <v>34.975999999999999</v>
      </c>
      <c r="K333" s="2">
        <f ca="1">IFERROR(__xludf.DUMMYFUNCTION("""COMPUTED_VALUE"""),47.194)</f>
        <v>47.194000000000003</v>
      </c>
      <c r="L333" s="2">
        <f ca="1">IFERROR(__xludf.DUMMYFUNCTION("""COMPUTED_VALUE"""),10.047)</f>
        <v>10.047000000000001</v>
      </c>
      <c r="M333" s="2">
        <f ca="1">IFERROR(__xludf.DUMMYFUNCTION("""COMPUTED_VALUE"""),11.993)</f>
        <v>11.993</v>
      </c>
      <c r="U333" s="3" t="e">
        <f ca="1"/>
        <v>#NAME?</v>
      </c>
    </row>
    <row r="334" spans="3:21" ht="12.5" x14ac:dyDescent="0.25">
      <c r="C334" s="4">
        <f ca="1">IFERROR(__xludf.DUMMYFUNCTION("""COMPUTED_VALUE"""),40561.9986111111)</f>
        <v>40561.998611111099</v>
      </c>
      <c r="D334" s="2">
        <f ca="1">IFERROR(__xludf.DUMMYFUNCTION("""COMPUTED_VALUE"""),45.32)</f>
        <v>45.32</v>
      </c>
      <c r="E334" s="2">
        <f ca="1">IFERROR(__xludf.DUMMYFUNCTION("""COMPUTED_VALUE"""),63.498)</f>
        <v>63.497999999999998</v>
      </c>
      <c r="F334" s="2">
        <f ca="1">IFERROR(__xludf.DUMMYFUNCTION("""COMPUTED_VALUE"""),72.466)</f>
        <v>72.465999999999994</v>
      </c>
      <c r="G334" s="2">
        <f ca="1">IFERROR(__xludf.DUMMYFUNCTION("""COMPUTED_VALUE"""),0.51751)</f>
        <v>0.51751000000000003</v>
      </c>
      <c r="H334" s="2">
        <f ca="1">IFERROR(__xludf.DUMMYFUNCTION("""COMPUTED_VALUE"""),46.324)</f>
        <v>46.323999999999998</v>
      </c>
      <c r="I334" s="2">
        <f ca="1">IFERROR(__xludf.DUMMYFUNCTION("""COMPUTED_VALUE"""),45.978)</f>
        <v>45.978000000000002</v>
      </c>
      <c r="J334" s="2">
        <f ca="1">IFERROR(__xludf.DUMMYFUNCTION("""COMPUTED_VALUE"""),34.987)</f>
        <v>34.987000000000002</v>
      </c>
      <c r="K334" s="2">
        <f ca="1">IFERROR(__xludf.DUMMYFUNCTION("""COMPUTED_VALUE"""),46.964)</f>
        <v>46.963999999999999</v>
      </c>
      <c r="L334" s="2">
        <f ca="1">IFERROR(__xludf.DUMMYFUNCTION("""COMPUTED_VALUE"""),9.9521)</f>
        <v>9.9520999999999997</v>
      </c>
      <c r="M334" s="2">
        <f ca="1">IFERROR(__xludf.DUMMYFUNCTION("""COMPUTED_VALUE"""),12.007)</f>
        <v>12.007</v>
      </c>
      <c r="U334" s="3" t="e">
        <f ca="1"/>
        <v>#NAME?</v>
      </c>
    </row>
    <row r="335" spans="3:21" ht="12.5" x14ac:dyDescent="0.25">
      <c r="C335" s="4">
        <f ca="1">IFERROR(__xludf.DUMMYFUNCTION("""COMPUTED_VALUE"""),40562.9986111111)</f>
        <v>40562.998611111099</v>
      </c>
      <c r="D335" s="2">
        <f ca="1">IFERROR(__xludf.DUMMYFUNCTION("""COMPUTED_VALUE"""),45.3)</f>
        <v>45.3</v>
      </c>
      <c r="E335" s="2">
        <f ca="1">IFERROR(__xludf.DUMMYFUNCTION("""COMPUTED_VALUE"""),63.812)</f>
        <v>63.811999999999998</v>
      </c>
      <c r="F335" s="2">
        <f ca="1">IFERROR(__xludf.DUMMYFUNCTION("""COMPUTED_VALUE"""),72.435)</f>
        <v>72.435000000000002</v>
      </c>
      <c r="G335" s="2">
        <f ca="1">IFERROR(__xludf.DUMMYFUNCTION("""COMPUTED_VALUE"""),0.51839)</f>
        <v>0.51839000000000002</v>
      </c>
      <c r="H335" s="2">
        <f ca="1">IFERROR(__xludf.DUMMYFUNCTION("""COMPUTED_VALUE"""),46.555)</f>
        <v>46.555</v>
      </c>
      <c r="I335" s="2">
        <f ca="1">IFERROR(__xludf.DUMMYFUNCTION("""COMPUTED_VALUE"""),46.065)</f>
        <v>46.064999999999998</v>
      </c>
      <c r="J335" s="2">
        <f ca="1">IFERROR(__xludf.DUMMYFUNCTION("""COMPUTED_VALUE"""),35.053)</f>
        <v>35.052999999999997</v>
      </c>
      <c r="K335" s="2">
        <f ca="1">IFERROR(__xludf.DUMMYFUNCTION("""COMPUTED_VALUE"""),46.761)</f>
        <v>46.761000000000003</v>
      </c>
      <c r="L335" s="2">
        <f ca="1">IFERROR(__xludf.DUMMYFUNCTION("""COMPUTED_VALUE"""),10.039)</f>
        <v>10.039</v>
      </c>
      <c r="M335" s="2">
        <f ca="1">IFERROR(__xludf.DUMMYFUNCTION("""COMPUTED_VALUE"""),11.997)</f>
        <v>11.997</v>
      </c>
      <c r="U335" s="3" t="e">
        <f ca="1"/>
        <v>#NAME?</v>
      </c>
    </row>
    <row r="336" spans="3:21" ht="12.5" x14ac:dyDescent="0.25">
      <c r="C336" s="4">
        <f ca="1">IFERROR(__xludf.DUMMYFUNCTION("""COMPUTED_VALUE"""),40563.9986111111)</f>
        <v>40563.998611111099</v>
      </c>
      <c r="D336" s="2">
        <f ca="1">IFERROR(__xludf.DUMMYFUNCTION("""COMPUTED_VALUE"""),45.778)</f>
        <v>45.777999999999999</v>
      </c>
      <c r="E336" s="2">
        <f ca="1">IFERROR(__xludf.DUMMYFUNCTION("""COMPUTED_VALUE"""),63.914)</f>
        <v>63.914000000000001</v>
      </c>
      <c r="F336" s="2">
        <f ca="1">IFERROR(__xludf.DUMMYFUNCTION("""COMPUTED_VALUE"""),72.811)</f>
        <v>72.811000000000007</v>
      </c>
      <c r="G336" s="2">
        <f ca="1">IFERROR(__xludf.DUMMYFUNCTION("""COMPUTED_VALUE"""),0.52308)</f>
        <v>0.52307999999999999</v>
      </c>
      <c r="H336" s="2">
        <f ca="1">IFERROR(__xludf.DUMMYFUNCTION("""COMPUTED_VALUE"""),46.551)</f>
        <v>46.551000000000002</v>
      </c>
      <c r="I336" s="2">
        <f ca="1">IFERROR(__xludf.DUMMYFUNCTION("""COMPUTED_VALUE"""),46.326)</f>
        <v>46.326000000000001</v>
      </c>
      <c r="J336" s="2">
        <f ca="1">IFERROR(__xludf.DUMMYFUNCTION("""COMPUTED_VALUE"""),35.242)</f>
        <v>35.241999999999997</v>
      </c>
      <c r="K336" s="2">
        <f ca="1">IFERROR(__xludf.DUMMYFUNCTION("""COMPUTED_VALUE"""),46.977)</f>
        <v>46.976999999999997</v>
      </c>
      <c r="L336" s="2">
        <f ca="1">IFERROR(__xludf.DUMMYFUNCTION("""COMPUTED_VALUE"""),10.022)</f>
        <v>10.022</v>
      </c>
      <c r="M336" s="2">
        <f ca="1">IFERROR(__xludf.DUMMYFUNCTION("""COMPUTED_VALUE"""),11.997)</f>
        <v>11.997</v>
      </c>
      <c r="U336" s="3" t="e">
        <f ca="1"/>
        <v>#NAME?</v>
      </c>
    </row>
    <row r="337" spans="3:21" ht="12.5" x14ac:dyDescent="0.25">
      <c r="C337" s="4">
        <f ca="1">IFERROR(__xludf.DUMMYFUNCTION("""COMPUTED_VALUE"""),40564.9986111111)</f>
        <v>40564.998611111099</v>
      </c>
      <c r="D337" s="2">
        <f ca="1">IFERROR(__xludf.DUMMYFUNCTION("""COMPUTED_VALUE"""),45.45)</f>
        <v>45.45</v>
      </c>
      <c r="E337" s="2">
        <f ca="1">IFERROR(__xludf.DUMMYFUNCTION("""COMPUTED_VALUE"""),63.803)</f>
        <v>63.802999999999997</v>
      </c>
      <c r="F337" s="2">
        <f ca="1">IFERROR(__xludf.DUMMYFUNCTION("""COMPUTED_VALUE"""),72.743)</f>
        <v>72.742999999999995</v>
      </c>
      <c r="G337" s="2">
        <f ca="1">IFERROR(__xludf.DUMMYFUNCTION("""COMPUTED_VALUE"""),0.52602)</f>
        <v>0.52602000000000004</v>
      </c>
      <c r="H337" s="2">
        <f ca="1">IFERROR(__xludf.DUMMYFUNCTION("""COMPUTED_VALUE"""),46.132)</f>
        <v>46.131999999999998</v>
      </c>
      <c r="I337" s="2">
        <f ca="1">IFERROR(__xludf.DUMMYFUNCTION("""COMPUTED_VALUE"""),45.831)</f>
        <v>45.831000000000003</v>
      </c>
      <c r="J337" s="2">
        <f ca="1">IFERROR(__xludf.DUMMYFUNCTION("""COMPUTED_VALUE"""),35)</f>
        <v>35</v>
      </c>
      <c r="K337" s="2">
        <f ca="1">IFERROR(__xludf.DUMMYFUNCTION("""COMPUTED_VALUE"""),47.188)</f>
        <v>47.188000000000002</v>
      </c>
      <c r="L337" s="2">
        <f ca="1">IFERROR(__xludf.DUMMYFUNCTION("""COMPUTED_VALUE"""),10.018)</f>
        <v>10.018000000000001</v>
      </c>
      <c r="M337" s="2">
        <f ca="1">IFERROR(__xludf.DUMMYFUNCTION("""COMPUTED_VALUE"""),11.997)</f>
        <v>11.997</v>
      </c>
      <c r="U337" s="3" t="e">
        <f ca="1"/>
        <v>#NAME?</v>
      </c>
    </row>
    <row r="338" spans="3:21" ht="12.5" x14ac:dyDescent="0.25">
      <c r="C338" s="4">
        <f ca="1">IFERROR(__xludf.DUMMYFUNCTION("""COMPUTED_VALUE"""),40565.9986111111)</f>
        <v>40565.998611111099</v>
      </c>
      <c r="D338" s="2">
        <f ca="1">IFERROR(__xludf.DUMMYFUNCTION("""COMPUTED_VALUE"""),45.588)</f>
        <v>45.588000000000001</v>
      </c>
      <c r="E338" s="2">
        <f ca="1">IFERROR(__xludf.DUMMYFUNCTION("""COMPUTED_VALUE"""),64.147)</f>
        <v>64.147000000000006</v>
      </c>
      <c r="F338" s="2">
        <f ca="1">IFERROR(__xludf.DUMMYFUNCTION("""COMPUTED_VALUE"""),72.916)</f>
        <v>72.915999999999997</v>
      </c>
      <c r="G338" s="2">
        <f ca="1">IFERROR(__xludf.DUMMYFUNCTION("""COMPUTED_VALUE"""),0.52991)</f>
        <v>0.52990999999999999</v>
      </c>
      <c r="H338" s="2">
        <f ca="1">IFERROR(__xludf.DUMMYFUNCTION("""COMPUTED_VALUE"""),46.621)</f>
        <v>46.621000000000002</v>
      </c>
      <c r="I338" s="2">
        <f ca="1">IFERROR(__xludf.DUMMYFUNCTION("""COMPUTED_VALUE"""),46.127)</f>
        <v>46.127000000000002</v>
      </c>
      <c r="J338" s="2">
        <f ca="1">IFERROR(__xludf.DUMMYFUNCTION("""COMPUTED_VALUE"""),35.376)</f>
        <v>35.375999999999998</v>
      </c>
      <c r="K338" s="2">
        <f ca="1">IFERROR(__xludf.DUMMYFUNCTION("""COMPUTED_VALUE"""),47.459)</f>
        <v>47.459000000000003</v>
      </c>
      <c r="L338" s="2">
        <f ca="1">IFERROR(__xludf.DUMMYFUNCTION("""COMPUTED_VALUE"""),10.006)</f>
        <v>10.006</v>
      </c>
      <c r="M338" s="2">
        <f ca="1">IFERROR(__xludf.DUMMYFUNCTION("""COMPUTED_VALUE"""),12.05)</f>
        <v>12.05</v>
      </c>
      <c r="U338" s="3" t="e">
        <f ca="1"/>
        <v>#NAME?</v>
      </c>
    </row>
    <row r="339" spans="3:21" ht="12.5" x14ac:dyDescent="0.25">
      <c r="C339" s="4">
        <f ca="1">IFERROR(__xludf.DUMMYFUNCTION("""COMPUTED_VALUE"""),40567.9986111111)</f>
        <v>40567.998611111099</v>
      </c>
      <c r="D339" s="2">
        <f ca="1">IFERROR(__xludf.DUMMYFUNCTION("""COMPUTED_VALUE"""),45.45)</f>
        <v>45.45</v>
      </c>
      <c r="E339" s="2">
        <f ca="1">IFERROR(__xludf.DUMMYFUNCTION("""COMPUTED_VALUE"""),64.342)</f>
        <v>64.341999999999999</v>
      </c>
      <c r="F339" s="2">
        <f ca="1">IFERROR(__xludf.DUMMYFUNCTION("""COMPUTED_VALUE"""),72.686)</f>
        <v>72.686000000000007</v>
      </c>
      <c r="G339" s="2">
        <f ca="1">IFERROR(__xludf.DUMMYFUNCTION("""COMPUTED_VALUE"""),0.5319)</f>
        <v>0.53190000000000004</v>
      </c>
      <c r="H339" s="2">
        <f ca="1">IFERROR(__xludf.DUMMYFUNCTION("""COMPUTED_VALUE"""),46.804)</f>
        <v>46.804000000000002</v>
      </c>
      <c r="I339" s="2">
        <f ca="1">IFERROR(__xludf.DUMMYFUNCTION("""COMPUTED_VALUE"""),46.222)</f>
        <v>46.222000000000001</v>
      </c>
      <c r="J339" s="2">
        <f ca="1">IFERROR(__xludf.DUMMYFUNCTION("""COMPUTED_VALUE"""),35.623)</f>
        <v>35.622999999999998</v>
      </c>
      <c r="K339" s="2">
        <f ca="1">IFERROR(__xludf.DUMMYFUNCTION("""COMPUTED_VALUE"""),47.917)</f>
        <v>47.917000000000002</v>
      </c>
      <c r="L339" s="2">
        <f ca="1">IFERROR(__xludf.DUMMYFUNCTION("""COMPUTED_VALUE"""),9.9856)</f>
        <v>9.9855999999999998</v>
      </c>
      <c r="M339" s="2">
        <f ca="1">IFERROR(__xludf.DUMMYFUNCTION("""COMPUTED_VALUE"""),12.03)</f>
        <v>12.03</v>
      </c>
      <c r="U339" s="3" t="e">
        <f ca="1"/>
        <v>#NAME?</v>
      </c>
    </row>
    <row r="340" spans="3:21" ht="12.5" x14ac:dyDescent="0.25">
      <c r="C340" s="4">
        <f ca="1">IFERROR(__xludf.DUMMYFUNCTION("""COMPUTED_VALUE"""),40568.9986111111)</f>
        <v>40568.998611111099</v>
      </c>
      <c r="D340" s="2">
        <f ca="1">IFERROR(__xludf.DUMMYFUNCTION("""COMPUTED_VALUE"""),45.6)</f>
        <v>45.6</v>
      </c>
      <c r="E340" s="2">
        <f ca="1">IFERROR(__xludf.DUMMYFUNCTION("""COMPUTED_VALUE"""),63.846)</f>
        <v>63.845999999999997</v>
      </c>
      <c r="F340" s="2">
        <f ca="1">IFERROR(__xludf.DUMMYFUNCTION("""COMPUTED_VALUE"""),72.107)</f>
        <v>72.106999999999999</v>
      </c>
      <c r="G340" s="2">
        <f ca="1">IFERROR(__xludf.DUMMYFUNCTION("""COMPUTED_VALUE"""),0.53262)</f>
        <v>0.53261999999999998</v>
      </c>
      <c r="H340" s="2">
        <f ca="1">IFERROR(__xludf.DUMMYFUNCTION("""COMPUTED_VALUE"""),46.757)</f>
        <v>46.756999999999998</v>
      </c>
      <c r="I340" s="2">
        <f ca="1">IFERROR(__xludf.DUMMYFUNCTION("""COMPUTED_VALUE"""),46.103)</f>
        <v>46.103000000000002</v>
      </c>
      <c r="J340" s="2">
        <f ca="1">IFERROR(__xludf.DUMMYFUNCTION("""COMPUTED_VALUE"""),35.602)</f>
        <v>35.601999999999997</v>
      </c>
      <c r="K340" s="2">
        <f ca="1">IFERROR(__xludf.DUMMYFUNCTION("""COMPUTED_VALUE"""),47.686)</f>
        <v>47.686</v>
      </c>
      <c r="L340" s="2">
        <f ca="1">IFERROR(__xludf.DUMMYFUNCTION("""COMPUTED_VALUE"""),9.9467)</f>
        <v>9.9466999999999999</v>
      </c>
      <c r="M340" s="2">
        <f ca="1">IFERROR(__xludf.DUMMYFUNCTION("""COMPUTED_VALUE"""),12.093)</f>
        <v>12.093</v>
      </c>
      <c r="U340" s="3" t="e">
        <f ca="1"/>
        <v>#NAME?</v>
      </c>
    </row>
    <row r="341" spans="3:21" ht="12.5" x14ac:dyDescent="0.25">
      <c r="C341" s="4">
        <f ca="1">IFERROR(__xludf.DUMMYFUNCTION("""COMPUTED_VALUE"""),40569.9986111111)</f>
        <v>40569.998611111099</v>
      </c>
      <c r="D341" s="2">
        <f ca="1">IFERROR(__xludf.DUMMYFUNCTION("""COMPUTED_VALUE"""),45.45)</f>
        <v>45.45</v>
      </c>
      <c r="E341" s="2">
        <f ca="1">IFERROR(__xludf.DUMMYFUNCTION("""COMPUTED_VALUE"""),63.948)</f>
        <v>63.948</v>
      </c>
      <c r="F341" s="2">
        <f ca="1">IFERROR(__xludf.DUMMYFUNCTION("""COMPUTED_VALUE"""),72.298)</f>
        <v>72.298000000000002</v>
      </c>
      <c r="G341" s="2">
        <f ca="1">IFERROR(__xludf.DUMMYFUNCTION("""COMPUTED_VALUE"""),0.53258)</f>
        <v>0.53258000000000005</v>
      </c>
      <c r="H341" s="2">
        <f ca="1">IFERROR(__xludf.DUMMYFUNCTION("""COMPUTED_VALUE"""),46.799)</f>
        <v>46.798999999999999</v>
      </c>
      <c r="I341" s="2">
        <f ca="1">IFERROR(__xludf.DUMMYFUNCTION("""COMPUTED_VALUE"""),46.135)</f>
        <v>46.134999999999998</v>
      </c>
      <c r="J341" s="2">
        <f ca="1">IFERROR(__xludf.DUMMYFUNCTION("""COMPUTED_VALUE"""),35.612)</f>
        <v>35.612000000000002</v>
      </c>
      <c r="K341" s="2">
        <f ca="1">IFERROR(__xludf.DUMMYFUNCTION("""COMPUTED_VALUE"""),47.962)</f>
        <v>47.962000000000003</v>
      </c>
      <c r="L341" s="2">
        <f ca="1">IFERROR(__xludf.DUMMYFUNCTION("""COMPUTED_VALUE"""),9.9181)</f>
        <v>9.9181000000000008</v>
      </c>
      <c r="M341" s="2">
        <f ca="1">IFERROR(__xludf.DUMMYFUNCTION("""COMPUTED_VALUE"""),12.088)</f>
        <v>12.087999999999999</v>
      </c>
      <c r="U341" s="3" t="e">
        <f ca="1"/>
        <v>#NAME?</v>
      </c>
    </row>
    <row r="342" spans="3:21" ht="12.5" x14ac:dyDescent="0.25">
      <c r="C342" s="4">
        <f ca="1">IFERROR(__xludf.DUMMYFUNCTION("""COMPUTED_VALUE"""),40570.9986111111)</f>
        <v>40570.998611111099</v>
      </c>
      <c r="D342" s="2">
        <f ca="1">IFERROR(__xludf.DUMMYFUNCTION("""COMPUTED_VALUE"""),45.688)</f>
        <v>45.688000000000002</v>
      </c>
      <c r="E342" s="2">
        <f ca="1">IFERROR(__xludf.DUMMYFUNCTION("""COMPUTED_VALUE"""),63.14)</f>
        <v>63.14</v>
      </c>
      <c r="F342" s="2">
        <f ca="1">IFERROR(__xludf.DUMMYFUNCTION("""COMPUTED_VALUE"""),72.645)</f>
        <v>72.644999999999996</v>
      </c>
      <c r="G342" s="2">
        <f ca="1">IFERROR(__xludf.DUMMYFUNCTION("""COMPUTED_VALUE"""),0.53687)</f>
        <v>0.53686999999999996</v>
      </c>
      <c r="H342" s="2">
        <f ca="1">IFERROR(__xludf.DUMMYFUNCTION("""COMPUTED_VALUE"""),46.645)</f>
        <v>46.645000000000003</v>
      </c>
      <c r="I342" s="2">
        <f ca="1">IFERROR(__xludf.DUMMYFUNCTION("""COMPUTED_VALUE"""),45.969)</f>
        <v>45.969000000000001</v>
      </c>
      <c r="J342" s="2">
        <f ca="1">IFERROR(__xludf.DUMMYFUNCTION("""COMPUTED_VALUE"""),35.559)</f>
        <v>35.558999999999997</v>
      </c>
      <c r="K342" s="2">
        <f ca="1">IFERROR(__xludf.DUMMYFUNCTION("""COMPUTED_VALUE"""),47.766)</f>
        <v>47.765999999999998</v>
      </c>
      <c r="L342" s="2">
        <f ca="1">IFERROR(__xludf.DUMMYFUNCTION("""COMPUTED_VALUE"""),9.9678)</f>
        <v>9.9678000000000004</v>
      </c>
      <c r="M342" s="2">
        <f ca="1">IFERROR(__xludf.DUMMYFUNCTION("""COMPUTED_VALUE"""),12.047)</f>
        <v>12.047000000000001</v>
      </c>
      <c r="U342" s="3" t="e">
        <f ca="1"/>
        <v>#NAME?</v>
      </c>
    </row>
    <row r="343" spans="3:21" ht="12.5" x14ac:dyDescent="0.25">
      <c r="C343" s="4">
        <f ca="1">IFERROR(__xludf.DUMMYFUNCTION("""COMPUTED_VALUE"""),40571.9986111111)</f>
        <v>40571.998611111099</v>
      </c>
      <c r="D343" s="2">
        <f ca="1">IFERROR(__xludf.DUMMYFUNCTION("""COMPUTED_VALUE"""),45.838)</f>
        <v>45.838000000000001</v>
      </c>
      <c r="E343" s="2">
        <f ca="1">IFERROR(__xludf.DUMMYFUNCTION("""COMPUTED_VALUE"""),63.655)</f>
        <v>63.655000000000001</v>
      </c>
      <c r="F343" s="2">
        <f ca="1">IFERROR(__xludf.DUMMYFUNCTION("""COMPUTED_VALUE"""),72.603)</f>
        <v>72.602999999999994</v>
      </c>
      <c r="G343" s="2">
        <f ca="1">IFERROR(__xludf.DUMMYFUNCTION("""COMPUTED_VALUE"""),0.53769)</f>
        <v>0.53769</v>
      </c>
      <c r="H343" s="2">
        <f ca="1">IFERROR(__xludf.DUMMYFUNCTION("""COMPUTED_VALUE"""),46.727)</f>
        <v>46.726999999999997</v>
      </c>
      <c r="I343" s="2">
        <f ca="1">IFERROR(__xludf.DUMMYFUNCTION("""COMPUTED_VALUE"""),46.435)</f>
        <v>46.435000000000002</v>
      </c>
      <c r="J343" s="2">
        <f ca="1">IFERROR(__xludf.DUMMYFUNCTION("""COMPUTED_VALUE"""),35.718)</f>
        <v>35.718000000000004</v>
      </c>
      <c r="K343" s="2">
        <f ca="1">IFERROR(__xludf.DUMMYFUNCTION("""COMPUTED_VALUE"""),47.318)</f>
        <v>47.317999999999998</v>
      </c>
      <c r="L343" s="2">
        <f ca="1">IFERROR(__xludf.DUMMYFUNCTION("""COMPUTED_VALUE"""),9.9613)</f>
        <v>9.9612999999999996</v>
      </c>
      <c r="M343" s="2">
        <f ca="1">IFERROR(__xludf.DUMMYFUNCTION("""COMPUTED_VALUE"""),12.047)</f>
        <v>12.047000000000001</v>
      </c>
      <c r="U343" s="3" t="e">
        <f ca="1"/>
        <v>#NAME?</v>
      </c>
    </row>
    <row r="344" spans="3:21" ht="12.5" x14ac:dyDescent="0.25">
      <c r="C344" s="4">
        <f ca="1">IFERROR(__xludf.DUMMYFUNCTION("""COMPUTED_VALUE"""),40572.9986111111)</f>
        <v>40572.998611111099</v>
      </c>
      <c r="D344" s="2">
        <f ca="1">IFERROR(__xludf.DUMMYFUNCTION("""COMPUTED_VALUE"""),45.838)</f>
        <v>45.838000000000001</v>
      </c>
      <c r="E344" s="2">
        <f ca="1">IFERROR(__xludf.DUMMYFUNCTION("""COMPUTED_VALUE"""),64.279)</f>
        <v>64.278999999999996</v>
      </c>
      <c r="F344" s="2">
        <f ca="1">IFERROR(__xludf.DUMMYFUNCTION("""COMPUTED_VALUE"""),72.715)</f>
        <v>72.715000000000003</v>
      </c>
      <c r="G344" s="2">
        <f ca="1">IFERROR(__xludf.DUMMYFUNCTION("""COMPUTED_VALUE"""),0.53633)</f>
        <v>0.53632999999999997</v>
      </c>
      <c r="H344" s="2">
        <f ca="1">IFERROR(__xludf.DUMMYFUNCTION("""COMPUTED_VALUE"""),47.345)</f>
        <v>47.344999999999999</v>
      </c>
      <c r="I344" s="2">
        <f ca="1">IFERROR(__xludf.DUMMYFUNCTION("""COMPUTED_VALUE"""),46.467)</f>
        <v>46.466999999999999</v>
      </c>
      <c r="J344" s="2">
        <f ca="1">IFERROR(__xludf.DUMMYFUNCTION("""COMPUTED_VALUE"""),35.748)</f>
        <v>35.747999999999998</v>
      </c>
      <c r="K344" s="2">
        <f ca="1">IFERROR(__xludf.DUMMYFUNCTION("""COMPUTED_VALUE"""),46.77)</f>
        <v>46.77</v>
      </c>
      <c r="L344" s="2">
        <f ca="1">IFERROR(__xludf.DUMMYFUNCTION("""COMPUTED_VALUE"""),9.9626)</f>
        <v>9.9626000000000001</v>
      </c>
      <c r="M344" s="2">
        <f ca="1">IFERROR(__xludf.DUMMYFUNCTION("""COMPUTED_VALUE"""),12.054)</f>
        <v>12.054</v>
      </c>
      <c r="U344" s="3" t="e">
        <f ca="1"/>
        <v>#NAME?</v>
      </c>
    </row>
    <row r="345" spans="3:21" ht="12.5" x14ac:dyDescent="0.25">
      <c r="C345" s="4">
        <f ca="1">IFERROR(__xludf.DUMMYFUNCTION("""COMPUTED_VALUE"""),40574.9986111111)</f>
        <v>40574.998611111099</v>
      </c>
      <c r="D345" s="2">
        <f ca="1">IFERROR(__xludf.DUMMYFUNCTION("""COMPUTED_VALUE"""),45.8)</f>
        <v>45.8</v>
      </c>
      <c r="E345" s="2">
        <f ca="1">IFERROR(__xludf.DUMMYFUNCTION("""COMPUTED_VALUE"""),64.502)</f>
        <v>64.501999999999995</v>
      </c>
      <c r="F345" s="2">
        <f ca="1">IFERROR(__xludf.DUMMYFUNCTION("""COMPUTED_VALUE"""),73.37)</f>
        <v>73.37</v>
      </c>
      <c r="G345" s="2">
        <f ca="1">IFERROR(__xludf.DUMMYFUNCTION("""COMPUTED_VALUE"""),0.54125)</f>
        <v>0.54125000000000001</v>
      </c>
      <c r="H345" s="2">
        <f ca="1">IFERROR(__xludf.DUMMYFUNCTION("""COMPUTED_VALUE"""),47.569)</f>
        <v>47.569000000000003</v>
      </c>
      <c r="I345" s="2">
        <f ca="1">IFERROR(__xludf.DUMMYFUNCTION("""COMPUTED_VALUE"""),46.477)</f>
        <v>46.476999999999997</v>
      </c>
      <c r="J345" s="2">
        <f ca="1">IFERROR(__xludf.DUMMYFUNCTION("""COMPUTED_VALUE"""),35.855)</f>
        <v>35.854999999999997</v>
      </c>
      <c r="K345" s="2">
        <f ca="1">IFERROR(__xludf.DUMMYFUNCTION("""COMPUTED_VALUE"""),46.804)</f>
        <v>46.804000000000002</v>
      </c>
      <c r="L345" s="2">
        <f ca="1">IFERROR(__xludf.DUMMYFUNCTION("""COMPUTED_VALUE"""),9.9626)</f>
        <v>9.9626000000000001</v>
      </c>
      <c r="M345" s="2">
        <f ca="1">IFERROR(__xludf.DUMMYFUNCTION("""COMPUTED_VALUE"""),12.077)</f>
        <v>12.077</v>
      </c>
      <c r="U345" s="3" t="e">
        <f ca="1"/>
        <v>#NAME?</v>
      </c>
    </row>
    <row r="346" spans="3:21" ht="12.5" x14ac:dyDescent="0.25">
      <c r="C346" s="4">
        <f ca="1">IFERROR(__xludf.DUMMYFUNCTION("""COMPUTED_VALUE"""),40575.9986111111)</f>
        <v>40575.998611111099</v>
      </c>
      <c r="D346" s="2">
        <f ca="1">IFERROR(__xludf.DUMMYFUNCTION("""COMPUTED_VALUE"""),45.41)</f>
        <v>45.41</v>
      </c>
      <c r="E346" s="2">
        <f ca="1">IFERROR(__xludf.DUMMYFUNCTION("""COMPUTED_VALUE"""),64.439)</f>
        <v>64.438999999999993</v>
      </c>
      <c r="F346" s="2">
        <f ca="1">IFERROR(__xludf.DUMMYFUNCTION("""COMPUTED_VALUE"""),73.287)</f>
        <v>73.287000000000006</v>
      </c>
      <c r="G346" s="2">
        <f ca="1">IFERROR(__xludf.DUMMYFUNCTION("""COMPUTED_VALUE"""),0.54098)</f>
        <v>0.54098000000000002</v>
      </c>
      <c r="H346" s="2">
        <f ca="1">IFERROR(__xludf.DUMMYFUNCTION("""COMPUTED_VALUE"""),47.573)</f>
        <v>47.573</v>
      </c>
      <c r="I346" s="2">
        <f ca="1">IFERROR(__xludf.DUMMYFUNCTION("""COMPUTED_VALUE"""),46.371)</f>
        <v>46.371000000000002</v>
      </c>
      <c r="J346" s="2">
        <f ca="1">IFERROR(__xludf.DUMMYFUNCTION("""COMPUTED_VALUE"""),35.846)</f>
        <v>35.845999999999997</v>
      </c>
      <c r="K346" s="2">
        <f ca="1">IFERROR(__xludf.DUMMYFUNCTION("""COMPUTED_VALUE"""),46.688)</f>
        <v>46.688000000000002</v>
      </c>
      <c r="L346" s="2">
        <f ca="1">IFERROR(__xludf.DUMMYFUNCTION("""COMPUTED_VALUE"""),9.9804)</f>
        <v>9.9803999999999995</v>
      </c>
      <c r="M346" s="2">
        <f ca="1">IFERROR(__xludf.DUMMYFUNCTION("""COMPUTED_VALUE"""),12.091)</f>
        <v>12.090999999999999</v>
      </c>
      <c r="U346" s="3" t="e">
        <f ca="1"/>
        <v>#NAME?</v>
      </c>
    </row>
    <row r="347" spans="3:21" ht="12.5" x14ac:dyDescent="0.25">
      <c r="C347" s="4">
        <f ca="1">IFERROR(__xludf.DUMMYFUNCTION("""COMPUTED_VALUE"""),40576.9986111111)</f>
        <v>40576.998611111099</v>
      </c>
      <c r="D347" s="2">
        <f ca="1">IFERROR(__xludf.DUMMYFUNCTION("""COMPUTED_VALUE"""),45.45)</f>
        <v>45.45</v>
      </c>
      <c r="E347" s="2">
        <f ca="1">IFERROR(__xludf.DUMMYFUNCTION("""COMPUTED_VALUE"""),64.743)</f>
        <v>64.742999999999995</v>
      </c>
      <c r="F347" s="2">
        <f ca="1">IFERROR(__xludf.DUMMYFUNCTION("""COMPUTED_VALUE"""),73.57)</f>
        <v>73.569999999999993</v>
      </c>
      <c r="G347" s="2">
        <f ca="1">IFERROR(__xludf.DUMMYFUNCTION("""COMPUTED_VALUE"""),0.54331)</f>
        <v>0.54330999999999996</v>
      </c>
      <c r="H347" s="2">
        <f ca="1">IFERROR(__xludf.DUMMYFUNCTION("""COMPUTED_VALUE"""),47.597)</f>
        <v>47.597000000000001</v>
      </c>
      <c r="I347" s="2">
        <f ca="1">IFERROR(__xludf.DUMMYFUNCTION("""COMPUTED_VALUE"""),46.51)</f>
        <v>46.51</v>
      </c>
      <c r="J347" s="2">
        <f ca="1">IFERROR(__xludf.DUMMYFUNCTION("""COMPUTED_VALUE"""),35.939)</f>
        <v>35.939</v>
      </c>
      <c r="K347" s="2">
        <f ca="1">IFERROR(__xludf.DUMMYFUNCTION("""COMPUTED_VALUE"""),46.922)</f>
        <v>46.921999999999997</v>
      </c>
      <c r="L347" s="2">
        <f ca="1">IFERROR(__xludf.DUMMYFUNCTION("""COMPUTED_VALUE"""),10.03)</f>
        <v>10.029999999999999</v>
      </c>
      <c r="M347" s="2">
        <f ca="1">IFERROR(__xludf.DUMMYFUNCTION("""COMPUTED_VALUE"""),12.05)</f>
        <v>12.05</v>
      </c>
      <c r="U347" s="3" t="e">
        <f ca="1"/>
        <v>#NAME?</v>
      </c>
    </row>
    <row r="348" spans="3:21" ht="12.5" x14ac:dyDescent="0.25">
      <c r="C348" s="4">
        <f ca="1">IFERROR(__xludf.DUMMYFUNCTION("""COMPUTED_VALUE"""),40577.9986111111)</f>
        <v>40577.998611111099</v>
      </c>
      <c r="D348" s="2">
        <f ca="1">IFERROR(__xludf.DUMMYFUNCTION("""COMPUTED_VALUE"""),45.56)</f>
        <v>45.56</v>
      </c>
      <c r="E348" s="2">
        <f ca="1">IFERROR(__xludf.DUMMYFUNCTION("""COMPUTED_VALUE"""),64.983)</f>
        <v>64.983000000000004</v>
      </c>
      <c r="F348" s="2">
        <f ca="1">IFERROR(__xludf.DUMMYFUNCTION("""COMPUTED_VALUE"""),73.53)</f>
        <v>73.53</v>
      </c>
      <c r="G348" s="2">
        <f ca="1">IFERROR(__xludf.DUMMYFUNCTION("""COMPUTED_VALUE"""),0.54394)</f>
        <v>0.54393999999999998</v>
      </c>
      <c r="H348" s="2">
        <f ca="1">IFERROR(__xludf.DUMMYFUNCTION("""COMPUTED_VALUE"""),47.854)</f>
        <v>47.853999999999999</v>
      </c>
      <c r="I348" s="2">
        <f ca="1">IFERROR(__xludf.DUMMYFUNCTION("""COMPUTED_VALUE"""),46.622)</f>
        <v>46.622</v>
      </c>
      <c r="J348" s="2">
        <f ca="1">IFERROR(__xludf.DUMMYFUNCTION("""COMPUTED_VALUE"""),36.043)</f>
        <v>36.042999999999999</v>
      </c>
      <c r="K348" s="2">
        <f ca="1">IFERROR(__xludf.DUMMYFUNCTION("""COMPUTED_VALUE"""),46.821)</f>
        <v>46.820999999999998</v>
      </c>
      <c r="L348" s="2">
        <f ca="1">IFERROR(__xludf.DUMMYFUNCTION("""COMPUTED_VALUE"""),9.9941)</f>
        <v>9.9940999999999995</v>
      </c>
      <c r="M348" s="2">
        <f ca="1">IFERROR(__xludf.DUMMYFUNCTION("""COMPUTED_VALUE"""),12.05)</f>
        <v>12.05</v>
      </c>
      <c r="U348" s="3" t="e">
        <f ca="1"/>
        <v>#NAME?</v>
      </c>
    </row>
    <row r="349" spans="3:21" ht="12.5" x14ac:dyDescent="0.25">
      <c r="C349" s="4">
        <f ca="1">IFERROR(__xludf.DUMMYFUNCTION("""COMPUTED_VALUE"""),40578.9986111111)</f>
        <v>40578.998611111099</v>
      </c>
      <c r="D349" s="2">
        <f ca="1">IFERROR(__xludf.DUMMYFUNCTION("""COMPUTED_VALUE"""),45.46)</f>
        <v>45.46</v>
      </c>
      <c r="E349" s="2">
        <f ca="1">IFERROR(__xludf.DUMMYFUNCTION("""COMPUTED_VALUE"""),65.583)</f>
        <v>65.582999999999998</v>
      </c>
      <c r="F349" s="2">
        <f ca="1">IFERROR(__xludf.DUMMYFUNCTION("""COMPUTED_VALUE"""),73.159)</f>
        <v>73.159000000000006</v>
      </c>
      <c r="G349" s="2">
        <f ca="1">IFERROR(__xludf.DUMMYFUNCTION("""COMPUTED_VALUE"""),0.54047)</f>
        <v>0.54047000000000001</v>
      </c>
      <c r="H349" s="2">
        <f ca="1">IFERROR(__xludf.DUMMYFUNCTION("""COMPUTED_VALUE"""),48.189)</f>
        <v>48.189</v>
      </c>
      <c r="I349" s="2">
        <f ca="1">IFERROR(__xludf.DUMMYFUNCTION("""COMPUTED_VALUE"""),46.652)</f>
        <v>46.652000000000001</v>
      </c>
      <c r="J349" s="2">
        <f ca="1">IFERROR(__xludf.DUMMYFUNCTION("""COMPUTED_VALUE"""),36.049)</f>
        <v>36.048999999999999</v>
      </c>
      <c r="K349" s="2">
        <f ca="1">IFERROR(__xludf.DUMMYFUNCTION("""COMPUTED_VALUE"""),46.321)</f>
        <v>46.320999999999998</v>
      </c>
      <c r="L349" s="2">
        <f ca="1">IFERROR(__xludf.DUMMYFUNCTION("""COMPUTED_VALUE"""),10.011)</f>
        <v>10.010999999999999</v>
      </c>
      <c r="M349" s="2">
        <f ca="1">IFERROR(__xludf.DUMMYFUNCTION("""COMPUTED_VALUE"""),12.05)</f>
        <v>12.05</v>
      </c>
      <c r="U349" s="3" t="e">
        <f ca="1"/>
        <v>#NAME?</v>
      </c>
    </row>
    <row r="350" spans="3:21" ht="12.5" x14ac:dyDescent="0.25">
      <c r="C350" s="4">
        <f ca="1">IFERROR(__xludf.DUMMYFUNCTION("""COMPUTED_VALUE"""),40579.9986111111)</f>
        <v>40579.998611111099</v>
      </c>
      <c r="D350" s="2">
        <f ca="1">IFERROR(__xludf.DUMMYFUNCTION("""COMPUTED_VALUE"""),45.608)</f>
        <v>45.607999999999997</v>
      </c>
      <c r="E350" s="2">
        <f ca="1">IFERROR(__xludf.DUMMYFUNCTION("""COMPUTED_VALUE"""),65.549)</f>
        <v>65.549000000000007</v>
      </c>
      <c r="F350" s="2">
        <f ca="1">IFERROR(__xludf.DUMMYFUNCTION("""COMPUTED_VALUE"""),73.367)</f>
        <v>73.367000000000004</v>
      </c>
      <c r="G350" s="2">
        <f ca="1">IFERROR(__xludf.DUMMYFUNCTION("""COMPUTED_VALUE"""),0.54246)</f>
        <v>0.54246000000000005</v>
      </c>
      <c r="H350" s="2">
        <f ca="1">IFERROR(__xludf.DUMMYFUNCTION("""COMPUTED_VALUE"""),48.223)</f>
        <v>48.222999999999999</v>
      </c>
      <c r="I350" s="2">
        <f ca="1">IFERROR(__xludf.DUMMYFUNCTION("""COMPUTED_VALUE"""),46.597)</f>
        <v>46.597000000000001</v>
      </c>
      <c r="J350" s="2">
        <f ca="1">IFERROR(__xludf.DUMMYFUNCTION("""COMPUTED_VALUE"""),36.046)</f>
        <v>36.045999999999999</v>
      </c>
      <c r="K350" s="2">
        <f ca="1">IFERROR(__xludf.DUMMYFUNCTION("""COMPUTED_VALUE"""),46.457)</f>
        <v>46.457000000000001</v>
      </c>
      <c r="L350" s="2">
        <f ca="1">IFERROR(__xludf.DUMMYFUNCTION("""COMPUTED_VALUE"""),10.042)</f>
        <v>10.042</v>
      </c>
      <c r="M350" s="2">
        <f ca="1">IFERROR(__xludf.DUMMYFUNCTION("""COMPUTED_VALUE"""),12.05)</f>
        <v>12.05</v>
      </c>
      <c r="U350" s="3" t="e">
        <f ca="1"/>
        <v>#NAME?</v>
      </c>
    </row>
    <row r="351" spans="3:21" ht="12.5" x14ac:dyDescent="0.25">
      <c r="C351" s="4">
        <f ca="1">IFERROR(__xludf.DUMMYFUNCTION("""COMPUTED_VALUE"""),40580.9986111111)</f>
        <v>40580.998611111099</v>
      </c>
      <c r="D351" s="2">
        <f ca="1">IFERROR(__xludf.DUMMYFUNCTION("""COMPUTED_VALUE"""),45.608)</f>
        <v>45.607999999999997</v>
      </c>
      <c r="E351" s="2">
        <f ca="1">IFERROR(__xludf.DUMMYFUNCTION("""COMPUTED_VALUE"""),65.463)</f>
        <v>65.462999999999994</v>
      </c>
      <c r="F351" s="2">
        <f ca="1">IFERROR(__xludf.DUMMYFUNCTION("""COMPUTED_VALUE"""),73.367)</f>
        <v>73.367000000000004</v>
      </c>
      <c r="G351" s="2">
        <f ca="1">IFERROR(__xludf.DUMMYFUNCTION("""COMPUTED_VALUE"""),0.54451)</f>
        <v>0.54451000000000005</v>
      </c>
      <c r="H351" s="2">
        <f ca="1">IFERROR(__xludf.DUMMYFUNCTION("""COMPUTED_VALUE"""),48.412)</f>
        <v>48.411999999999999</v>
      </c>
      <c r="I351" s="2">
        <f ca="1">IFERROR(__xludf.DUMMYFUNCTION("""COMPUTED_VALUE"""),46.701)</f>
        <v>46.701000000000001</v>
      </c>
      <c r="J351" s="2">
        <f ca="1">IFERROR(__xludf.DUMMYFUNCTION("""COMPUTED_VALUE"""),36.104)</f>
        <v>36.103999999999999</v>
      </c>
      <c r="K351" s="2">
        <f ca="1">IFERROR(__xludf.DUMMYFUNCTION("""COMPUTED_VALUE"""),46.724)</f>
        <v>46.723999999999997</v>
      </c>
      <c r="L351" s="2">
        <f ca="1">IFERROR(__xludf.DUMMYFUNCTION("""COMPUTED_VALUE"""),10.042)</f>
        <v>10.042</v>
      </c>
      <c r="M351" s="2">
        <f ca="1">IFERROR(__xludf.DUMMYFUNCTION("""COMPUTED_VALUE"""),12.053)</f>
        <v>12.053000000000001</v>
      </c>
      <c r="U351" s="3" t="e">
        <f ca="1"/>
        <v>#NAME?</v>
      </c>
    </row>
    <row r="352" spans="3:21" ht="12.5" x14ac:dyDescent="0.25">
      <c r="C352" s="4">
        <f ca="1">IFERROR(__xludf.DUMMYFUNCTION("""COMPUTED_VALUE"""),40581.9986111111)</f>
        <v>40581.998611111099</v>
      </c>
      <c r="D352" s="2">
        <f ca="1">IFERROR(__xludf.DUMMYFUNCTION("""COMPUTED_VALUE"""),45.31)</f>
        <v>45.31</v>
      </c>
      <c r="E352" s="2">
        <f ca="1">IFERROR(__xludf.DUMMYFUNCTION("""COMPUTED_VALUE"""),65.507)</f>
        <v>65.507000000000005</v>
      </c>
      <c r="F352" s="2">
        <f ca="1">IFERROR(__xludf.DUMMYFUNCTION("""COMPUTED_VALUE"""),72.989)</f>
        <v>72.989000000000004</v>
      </c>
      <c r="G352" s="2">
        <f ca="1">IFERROR(__xludf.DUMMYFUNCTION("""COMPUTED_VALUE"""),0.54426)</f>
        <v>0.54425999999999997</v>
      </c>
      <c r="H352" s="2">
        <f ca="1">IFERROR(__xludf.DUMMYFUNCTION("""COMPUTED_VALUE"""),48.52)</f>
        <v>48.52</v>
      </c>
      <c r="I352" s="2">
        <f ca="1">IFERROR(__xludf.DUMMYFUNCTION("""COMPUTED_VALUE"""),46.806)</f>
        <v>46.805999999999997</v>
      </c>
      <c r="J352" s="2">
        <f ca="1">IFERROR(__xludf.DUMMYFUNCTION("""COMPUTED_VALUE"""),36.14)</f>
        <v>36.14</v>
      </c>
      <c r="K352" s="2">
        <f ca="1">IFERROR(__xludf.DUMMYFUNCTION("""COMPUTED_VALUE"""),46.894)</f>
        <v>46.893999999999998</v>
      </c>
      <c r="L352" s="2">
        <f ca="1">IFERROR(__xludf.DUMMYFUNCTION("""COMPUTED_VALUE"""),10.032)</f>
        <v>10.032</v>
      </c>
      <c r="M352" s="2">
        <f ca="1">IFERROR(__xludf.DUMMYFUNCTION("""COMPUTED_VALUE"""),12.091)</f>
        <v>12.090999999999999</v>
      </c>
      <c r="U352" s="3" t="e">
        <f ca="1"/>
        <v>#NAME?</v>
      </c>
    </row>
    <row r="353" spans="3:21" ht="12.5" x14ac:dyDescent="0.25">
      <c r="C353" s="4">
        <f ca="1">IFERROR(__xludf.DUMMYFUNCTION("""COMPUTED_VALUE"""),40582.9986111111)</f>
        <v>40582.998611111099</v>
      </c>
      <c r="D353" s="2">
        <f ca="1">IFERROR(__xludf.DUMMYFUNCTION("""COMPUTED_VALUE"""),45.15)</f>
        <v>45.15</v>
      </c>
      <c r="E353" s="2">
        <f ca="1">IFERROR(__xludf.DUMMYFUNCTION("""COMPUTED_VALUE"""),65.613)</f>
        <v>65.613</v>
      </c>
      <c r="F353" s="2">
        <f ca="1">IFERROR(__xludf.DUMMYFUNCTION("""COMPUTED_VALUE"""),72.534)</f>
        <v>72.534000000000006</v>
      </c>
      <c r="G353" s="2">
        <f ca="1">IFERROR(__xludf.DUMMYFUNCTION("""COMPUTED_VALUE"""),0.54427)</f>
        <v>0.54427000000000003</v>
      </c>
      <c r="H353" s="2">
        <f ca="1">IFERROR(__xludf.DUMMYFUNCTION("""COMPUTED_VALUE"""),48.41)</f>
        <v>48.41</v>
      </c>
      <c r="I353" s="2">
        <f ca="1">IFERROR(__xludf.DUMMYFUNCTION("""COMPUTED_VALUE"""),46.523)</f>
        <v>46.523000000000003</v>
      </c>
      <c r="J353" s="2">
        <f ca="1">IFERROR(__xludf.DUMMYFUNCTION("""COMPUTED_VALUE"""),36.188)</f>
        <v>36.188000000000002</v>
      </c>
      <c r="K353" s="2">
        <f ca="1">IFERROR(__xludf.DUMMYFUNCTION("""COMPUTED_VALUE"""),46.358)</f>
        <v>46.357999999999997</v>
      </c>
      <c r="L353" s="2">
        <f ca="1">IFERROR(__xludf.DUMMYFUNCTION("""COMPUTED_VALUE"""),10.031)</f>
        <v>10.031000000000001</v>
      </c>
      <c r="M353" s="2">
        <f ca="1">IFERROR(__xludf.DUMMYFUNCTION("""COMPUTED_VALUE"""),12.091)</f>
        <v>12.090999999999999</v>
      </c>
      <c r="U353" s="3" t="e">
        <f ca="1"/>
        <v>#NAME?</v>
      </c>
    </row>
    <row r="354" spans="3:21" ht="12.5" x14ac:dyDescent="0.25">
      <c r="C354" s="4">
        <f ca="1">IFERROR(__xludf.DUMMYFUNCTION("""COMPUTED_VALUE"""),40583.9986111111)</f>
        <v>40583.998611111099</v>
      </c>
      <c r="D354" s="2">
        <f ca="1">IFERROR(__xludf.DUMMYFUNCTION("""COMPUTED_VALUE"""),45.35)</f>
        <v>45.35</v>
      </c>
      <c r="E354" s="2">
        <f ca="1">IFERROR(__xludf.DUMMYFUNCTION("""COMPUTED_VALUE"""),65.862)</f>
        <v>65.861999999999995</v>
      </c>
      <c r="F354" s="2">
        <f ca="1">IFERROR(__xludf.DUMMYFUNCTION("""COMPUTED_VALUE"""),73.017)</f>
        <v>73.016999999999996</v>
      </c>
      <c r="G354" s="2">
        <f ca="1">IFERROR(__xludf.DUMMYFUNCTION("""COMPUTED_VALUE"""),0.54819)</f>
        <v>0.54818999999999996</v>
      </c>
      <c r="H354" s="2">
        <f ca="1">IFERROR(__xludf.DUMMYFUNCTION("""COMPUTED_VALUE"""),48.224)</f>
        <v>48.223999999999997</v>
      </c>
      <c r="I354" s="2">
        <f ca="1">IFERROR(__xludf.DUMMYFUNCTION("""COMPUTED_VALUE"""),46.61)</f>
        <v>46.61</v>
      </c>
      <c r="J354" s="2">
        <f ca="1">IFERROR(__xludf.DUMMYFUNCTION("""COMPUTED_VALUE"""),36.166)</f>
        <v>36.165999999999997</v>
      </c>
      <c r="K354" s="2">
        <f ca="1">IFERROR(__xludf.DUMMYFUNCTION("""COMPUTED_VALUE"""),47.082)</f>
        <v>47.082000000000001</v>
      </c>
      <c r="L354" s="2">
        <f ca="1">IFERROR(__xludf.DUMMYFUNCTION("""COMPUTED_VALUE"""),9.9987)</f>
        <v>9.9986999999999995</v>
      </c>
      <c r="M354" s="2">
        <f ca="1">IFERROR(__xludf.DUMMYFUNCTION("""COMPUTED_VALUE"""),12.069)</f>
        <v>12.069000000000001</v>
      </c>
      <c r="U354" s="3" t="e">
        <f ca="1"/>
        <v>#NAME?</v>
      </c>
    </row>
    <row r="355" spans="3:21" ht="12.5" x14ac:dyDescent="0.25">
      <c r="C355" s="4">
        <f ca="1">IFERROR(__xludf.DUMMYFUNCTION("""COMPUTED_VALUE"""),40584.9986111111)</f>
        <v>40584.998611111099</v>
      </c>
      <c r="D355" s="2">
        <f ca="1">IFERROR(__xludf.DUMMYFUNCTION("""COMPUTED_VALUE"""),45.63)</f>
        <v>45.63</v>
      </c>
      <c r="E355" s="2">
        <f ca="1">IFERROR(__xludf.DUMMYFUNCTION("""COMPUTED_VALUE"""),65.822)</f>
        <v>65.822000000000003</v>
      </c>
      <c r="F355" s="2">
        <f ca="1">IFERROR(__xludf.DUMMYFUNCTION("""COMPUTED_VALUE"""),73.421)</f>
        <v>73.421000000000006</v>
      </c>
      <c r="G355" s="2">
        <f ca="1">IFERROR(__xludf.DUMMYFUNCTION("""COMPUTED_VALUE"""),0.54994)</f>
        <v>0.54993999999999998</v>
      </c>
      <c r="H355" s="2">
        <f ca="1">IFERROR(__xludf.DUMMYFUNCTION("""COMPUTED_VALUE"""),47.695)</f>
        <v>47.695</v>
      </c>
      <c r="I355" s="2">
        <f ca="1">IFERROR(__xludf.DUMMYFUNCTION("""COMPUTED_VALUE"""),46.249)</f>
        <v>46.249000000000002</v>
      </c>
      <c r="J355" s="2">
        <f ca="1">IFERROR(__xludf.DUMMYFUNCTION("""COMPUTED_VALUE"""),35.983)</f>
        <v>35.982999999999997</v>
      </c>
      <c r="K355" s="2">
        <f ca="1">IFERROR(__xludf.DUMMYFUNCTION("""COMPUTED_VALUE"""),47.021)</f>
        <v>47.021000000000001</v>
      </c>
      <c r="L355" s="2">
        <f ca="1">IFERROR(__xludf.DUMMYFUNCTION("""COMPUTED_VALUE"""),9.9876)</f>
        <v>9.9876000000000005</v>
      </c>
      <c r="M355" s="2">
        <f ca="1">IFERROR(__xludf.DUMMYFUNCTION("""COMPUTED_VALUE"""),12.061)</f>
        <v>12.061</v>
      </c>
      <c r="U355" s="3" t="e">
        <f ca="1"/>
        <v>#NAME?</v>
      </c>
    </row>
    <row r="356" spans="3:21" ht="12.5" x14ac:dyDescent="0.25">
      <c r="C356" s="4">
        <f ca="1">IFERROR(__xludf.DUMMYFUNCTION("""COMPUTED_VALUE"""),40585.9986111111)</f>
        <v>40585.998611111099</v>
      </c>
      <c r="D356" s="2">
        <f ca="1">IFERROR(__xludf.DUMMYFUNCTION("""COMPUTED_VALUE"""),45.55)</f>
        <v>45.55</v>
      </c>
      <c r="E356" s="2">
        <f ca="1">IFERROR(__xludf.DUMMYFUNCTION("""COMPUTED_VALUE"""),64.962)</f>
        <v>64.962000000000003</v>
      </c>
      <c r="F356" s="2">
        <f ca="1">IFERROR(__xludf.DUMMYFUNCTION("""COMPUTED_VALUE"""),72.889)</f>
        <v>72.888999999999996</v>
      </c>
      <c r="G356" s="2">
        <f ca="1">IFERROR(__xludf.DUMMYFUNCTION("""COMPUTED_VALUE"""),0.55795)</f>
        <v>0.55794999999999995</v>
      </c>
      <c r="H356" s="2">
        <f ca="1">IFERROR(__xludf.DUMMYFUNCTION("""COMPUTED_VALUE"""),47.219)</f>
        <v>47.219000000000001</v>
      </c>
      <c r="I356" s="2">
        <f ca="1">IFERROR(__xludf.DUMMYFUNCTION("""COMPUTED_VALUE"""),46.144)</f>
        <v>46.143999999999998</v>
      </c>
      <c r="J356" s="2">
        <f ca="1">IFERROR(__xludf.DUMMYFUNCTION("""COMPUTED_VALUE"""),36.029)</f>
        <v>36.029000000000003</v>
      </c>
      <c r="K356" s="2">
        <f ca="1">IFERROR(__xludf.DUMMYFUNCTION("""COMPUTED_VALUE"""),47.434)</f>
        <v>47.433999999999997</v>
      </c>
      <c r="L356" s="2">
        <f ca="1">IFERROR(__xludf.DUMMYFUNCTION("""COMPUTED_VALUE"""),9.9862)</f>
        <v>9.9862000000000002</v>
      </c>
      <c r="M356" s="2">
        <f ca="1">IFERROR(__xludf.DUMMYFUNCTION("""COMPUTED_VALUE"""),12.02)</f>
        <v>12.02</v>
      </c>
      <c r="U356" s="3" t="e">
        <f ca="1"/>
        <v>#NAME?</v>
      </c>
    </row>
    <row r="357" spans="3:21" ht="12.5" x14ac:dyDescent="0.25">
      <c r="C357" s="4">
        <f ca="1">IFERROR(__xludf.DUMMYFUNCTION("""COMPUTED_VALUE"""),40587.9986111111)</f>
        <v>40587.998611111099</v>
      </c>
      <c r="D357" s="2">
        <f ca="1">IFERROR(__xludf.DUMMYFUNCTION("""COMPUTED_VALUE"""),45.608)</f>
        <v>45.607999999999997</v>
      </c>
      <c r="E357" s="2">
        <f ca="1">IFERROR(__xludf.DUMMYFUNCTION("""COMPUTED_VALUE"""),64.003)</f>
        <v>64.003</v>
      </c>
      <c r="F357" s="2">
        <f ca="1">IFERROR(__xludf.DUMMYFUNCTION("""COMPUTED_VALUE"""),72.996)</f>
        <v>72.995999999999995</v>
      </c>
      <c r="G357" s="2">
        <f ca="1">IFERROR(__xludf.DUMMYFUNCTION("""COMPUTED_VALUE"""),0.55337)</f>
        <v>0.55337000000000003</v>
      </c>
      <c r="H357" s="2">
        <f ca="1">IFERROR(__xludf.DUMMYFUNCTION("""COMPUTED_VALUE"""),47.67)</f>
        <v>47.67</v>
      </c>
      <c r="I357" s="2">
        <f ca="1">IFERROR(__xludf.DUMMYFUNCTION("""COMPUTED_VALUE"""),46.103)</f>
        <v>46.103000000000002</v>
      </c>
      <c r="J357" s="2">
        <f ca="1">IFERROR(__xludf.DUMMYFUNCTION("""COMPUTED_VALUE"""),35.99)</f>
        <v>35.99</v>
      </c>
      <c r="K357" s="2">
        <f ca="1">IFERROR(__xludf.DUMMYFUNCTION("""COMPUTED_VALUE"""),46.44)</f>
        <v>46.44</v>
      </c>
      <c r="L357" s="2">
        <f ca="1">IFERROR(__xludf.DUMMYFUNCTION("""COMPUTED_VALUE"""),9.9967)</f>
        <v>9.9967000000000006</v>
      </c>
      <c r="M357" s="2">
        <f ca="1">IFERROR(__xludf.DUMMYFUNCTION("""COMPUTED_VALUE"""),12.047)</f>
        <v>12.047000000000001</v>
      </c>
      <c r="U357" s="3" t="e">
        <f ca="1"/>
        <v>#NAME?</v>
      </c>
    </row>
    <row r="358" spans="3:21" ht="12.5" x14ac:dyDescent="0.25">
      <c r="C358" s="4">
        <f ca="1">IFERROR(__xludf.DUMMYFUNCTION("""COMPUTED_VALUE"""),40588.9986111111)</f>
        <v>40588.998611111099</v>
      </c>
      <c r="D358" s="2">
        <f ca="1">IFERROR(__xludf.DUMMYFUNCTION("""COMPUTED_VALUE"""),45.35)</f>
        <v>45.35</v>
      </c>
      <c r="E358" s="2">
        <f ca="1">IFERROR(__xludf.DUMMYFUNCTION("""COMPUTED_VALUE"""),64.119)</f>
        <v>64.119</v>
      </c>
      <c r="F358" s="2">
        <f ca="1">IFERROR(__xludf.DUMMYFUNCTION("""COMPUTED_VALUE"""),72.7)</f>
        <v>72.7</v>
      </c>
      <c r="G358" s="2">
        <f ca="1">IFERROR(__xludf.DUMMYFUNCTION("""COMPUTED_VALUE"""),0.55557)</f>
        <v>0.55557000000000001</v>
      </c>
      <c r="H358" s="2">
        <f ca="1">IFERROR(__xludf.DUMMYFUNCTION("""COMPUTED_VALUE"""),47.838)</f>
        <v>47.838000000000001</v>
      </c>
      <c r="I358" s="2">
        <f ca="1">IFERROR(__xludf.DUMMYFUNCTION("""COMPUTED_VALUE"""),46.278)</f>
        <v>46.277999999999999</v>
      </c>
      <c r="J358" s="2">
        <f ca="1">IFERROR(__xludf.DUMMYFUNCTION("""COMPUTED_VALUE"""),36.083)</f>
        <v>36.082999999999998</v>
      </c>
      <c r="K358" s="2">
        <f ca="1">IFERROR(__xludf.DUMMYFUNCTION("""COMPUTED_VALUE"""),46.486)</f>
        <v>46.485999999999997</v>
      </c>
      <c r="L358" s="2">
        <f ca="1">IFERROR(__xludf.DUMMYFUNCTION("""COMPUTED_VALUE"""),9.9793)</f>
        <v>9.9793000000000003</v>
      </c>
      <c r="M358" s="2">
        <f ca="1">IFERROR(__xludf.DUMMYFUNCTION("""COMPUTED_VALUE"""),12.047)</f>
        <v>12.047000000000001</v>
      </c>
      <c r="U358" s="3" t="e">
        <f ca="1"/>
        <v>#NAME?</v>
      </c>
    </row>
    <row r="359" spans="3:21" ht="12.5" x14ac:dyDescent="0.25">
      <c r="C359" s="4">
        <f ca="1">IFERROR(__xludf.DUMMYFUNCTION("""COMPUTED_VALUE"""),40589.9986111111)</f>
        <v>40589.998611111099</v>
      </c>
      <c r="D359" s="2">
        <f ca="1">IFERROR(__xludf.DUMMYFUNCTION("""COMPUTED_VALUE"""),45.41)</f>
        <v>45.41</v>
      </c>
      <c r="E359" s="2">
        <f ca="1">IFERROR(__xludf.DUMMYFUNCTION("""COMPUTED_VALUE"""),63.942)</f>
        <v>63.942</v>
      </c>
      <c r="F359" s="2">
        <f ca="1">IFERROR(__xludf.DUMMYFUNCTION("""COMPUTED_VALUE"""),73.244)</f>
        <v>73.244</v>
      </c>
      <c r="G359" s="2">
        <f ca="1">IFERROR(__xludf.DUMMYFUNCTION("""COMPUTED_VALUE"""),0.55497)</f>
        <v>0.55496999999999996</v>
      </c>
      <c r="H359" s="2">
        <f ca="1">IFERROR(__xludf.DUMMYFUNCTION("""COMPUTED_VALUE"""),48.038)</f>
        <v>48.037999999999997</v>
      </c>
      <c r="I359" s="2">
        <f ca="1">IFERROR(__xludf.DUMMYFUNCTION("""COMPUTED_VALUE"""),46.275)</f>
        <v>46.274999999999999</v>
      </c>
      <c r="J359" s="2">
        <f ca="1">IFERROR(__xludf.DUMMYFUNCTION("""COMPUTED_VALUE"""),36.195)</f>
        <v>36.195</v>
      </c>
      <c r="K359" s="2">
        <f ca="1">IFERROR(__xludf.DUMMYFUNCTION("""COMPUTED_VALUE"""),47.469)</f>
        <v>47.469000000000001</v>
      </c>
      <c r="L359" s="2">
        <f ca="1">IFERROR(__xludf.DUMMYFUNCTION("""COMPUTED_VALUE"""),9.9479)</f>
        <v>9.9479000000000006</v>
      </c>
      <c r="M359" s="2">
        <f ca="1">IFERROR(__xludf.DUMMYFUNCTION("""COMPUTED_VALUE"""),12.039)</f>
        <v>12.039</v>
      </c>
      <c r="U359" s="3" t="e">
        <f ca="1"/>
        <v>#NAME?</v>
      </c>
    </row>
    <row r="360" spans="3:21" ht="12.5" x14ac:dyDescent="0.25">
      <c r="C360" s="4">
        <f ca="1">IFERROR(__xludf.DUMMYFUNCTION("""COMPUTED_VALUE"""),40590.9986111111)</f>
        <v>40590.998611111099</v>
      </c>
      <c r="D360" s="2">
        <f ca="1">IFERROR(__xludf.DUMMYFUNCTION("""COMPUTED_VALUE"""),45.31)</f>
        <v>45.31</v>
      </c>
      <c r="E360" s="2">
        <f ca="1">IFERROR(__xludf.DUMMYFUNCTION("""COMPUTED_VALUE"""),64.109)</f>
        <v>64.108999999999995</v>
      </c>
      <c r="F360" s="2">
        <f ca="1">IFERROR(__xludf.DUMMYFUNCTION("""COMPUTED_VALUE"""),72.917)</f>
        <v>72.917000000000002</v>
      </c>
      <c r="G360" s="2">
        <f ca="1">IFERROR(__xludf.DUMMYFUNCTION("""COMPUTED_VALUE"""),0.55221)</f>
        <v>0.55220999999999998</v>
      </c>
      <c r="H360" s="2">
        <f ca="1">IFERROR(__xludf.DUMMYFUNCTION("""COMPUTED_VALUE"""),48.19)</f>
        <v>48.19</v>
      </c>
      <c r="I360" s="2">
        <f ca="1">IFERROR(__xludf.DUMMYFUNCTION("""COMPUTED_VALUE"""),46.502)</f>
        <v>46.502000000000002</v>
      </c>
      <c r="J360" s="2">
        <f ca="1">IFERROR(__xludf.DUMMYFUNCTION("""COMPUTED_VALUE"""),36.176)</f>
        <v>36.176000000000002</v>
      </c>
      <c r="K360" s="2">
        <f ca="1">IFERROR(__xludf.DUMMYFUNCTION("""COMPUTED_VALUE"""),47.896)</f>
        <v>47.896000000000001</v>
      </c>
      <c r="L360" s="2">
        <f ca="1">IFERROR(__xludf.DUMMYFUNCTION("""COMPUTED_VALUE"""),9.9271)</f>
        <v>9.9270999999999994</v>
      </c>
      <c r="M360" s="2">
        <f ca="1">IFERROR(__xludf.DUMMYFUNCTION("""COMPUTED_VALUE"""),12.091)</f>
        <v>12.090999999999999</v>
      </c>
      <c r="U360" s="3" t="e">
        <f ca="1"/>
        <v>#NAME?</v>
      </c>
    </row>
    <row r="361" spans="3:21" ht="12.5" x14ac:dyDescent="0.25">
      <c r="C361" s="4">
        <f ca="1">IFERROR(__xludf.DUMMYFUNCTION("""COMPUTED_VALUE"""),40591.9986111111)</f>
        <v>40591.998611111099</v>
      </c>
      <c r="D361" s="2">
        <f ca="1">IFERROR(__xludf.DUMMYFUNCTION("""COMPUTED_VALUE"""),45.21)</f>
        <v>45.21</v>
      </c>
      <c r="E361" s="2">
        <f ca="1">IFERROR(__xludf.DUMMYFUNCTION("""COMPUTED_VALUE"""),63.27)</f>
        <v>63.27</v>
      </c>
      <c r="F361" s="2">
        <f ca="1">IFERROR(__xludf.DUMMYFUNCTION("""COMPUTED_VALUE"""),73.095)</f>
        <v>73.094999999999999</v>
      </c>
      <c r="G361" s="2">
        <f ca="1">IFERROR(__xludf.DUMMYFUNCTION("""COMPUTED_VALUE"""),0.55055)</f>
        <v>0.55054999999999998</v>
      </c>
      <c r="H361" s="2">
        <f ca="1">IFERROR(__xludf.DUMMYFUNCTION("""COMPUTED_VALUE"""),47.642)</f>
        <v>47.642000000000003</v>
      </c>
      <c r="I361" s="2">
        <f ca="1">IFERROR(__xludf.DUMMYFUNCTION("""COMPUTED_VALUE"""),46.394)</f>
        <v>46.393999999999998</v>
      </c>
      <c r="J361" s="2">
        <f ca="1">IFERROR(__xludf.DUMMYFUNCTION("""COMPUTED_VALUE"""),36.055)</f>
        <v>36.055</v>
      </c>
      <c r="K361" s="2">
        <f ca="1">IFERROR(__xludf.DUMMYFUNCTION("""COMPUTED_VALUE"""),48.379)</f>
        <v>48.378999999999998</v>
      </c>
      <c r="L361" s="2">
        <f ca="1">IFERROR(__xludf.DUMMYFUNCTION("""COMPUTED_VALUE"""),10.009)</f>
        <v>10.009</v>
      </c>
      <c r="M361" s="2">
        <f ca="1">IFERROR(__xludf.DUMMYFUNCTION("""COMPUTED_VALUE"""),12.066)</f>
        <v>12.066000000000001</v>
      </c>
      <c r="U361" s="3" t="e">
        <f ca="1"/>
        <v>#NAME?</v>
      </c>
    </row>
    <row r="362" spans="3:21" ht="12.5" x14ac:dyDescent="0.25">
      <c r="C362" s="4">
        <f ca="1">IFERROR(__xludf.DUMMYFUNCTION("""COMPUTED_VALUE"""),40592.9986111111)</f>
        <v>40592.998611111099</v>
      </c>
      <c r="D362" s="2">
        <f ca="1">IFERROR(__xludf.DUMMYFUNCTION("""COMPUTED_VALUE"""),45.06)</f>
        <v>45.06</v>
      </c>
      <c r="E362" s="2">
        <f ca="1">IFERROR(__xludf.DUMMYFUNCTION("""COMPUTED_VALUE"""),63.775)</f>
        <v>63.774999999999999</v>
      </c>
      <c r="F362" s="2">
        <f ca="1">IFERROR(__xludf.DUMMYFUNCTION("""COMPUTED_VALUE"""),73.159)</f>
        <v>73.159000000000006</v>
      </c>
      <c r="G362" s="2">
        <f ca="1">IFERROR(__xludf.DUMMYFUNCTION("""COMPUTED_VALUE"""),0.55243)</f>
        <v>0.55242999999999998</v>
      </c>
      <c r="H362" s="2">
        <f ca="1">IFERROR(__xludf.DUMMYFUNCTION("""COMPUTED_VALUE"""),47.813)</f>
        <v>47.813000000000002</v>
      </c>
      <c r="I362" s="2">
        <f ca="1">IFERROR(__xludf.DUMMYFUNCTION("""COMPUTED_VALUE"""),46.48)</f>
        <v>46.48</v>
      </c>
      <c r="J362" s="2">
        <f ca="1">IFERROR(__xludf.DUMMYFUNCTION("""COMPUTED_VALUE"""),36.072)</f>
        <v>36.072000000000003</v>
      </c>
      <c r="K362" s="2">
        <f ca="1">IFERROR(__xludf.DUMMYFUNCTION("""COMPUTED_VALUE"""),48.216)</f>
        <v>48.216000000000001</v>
      </c>
      <c r="L362" s="2">
        <f ca="1">IFERROR(__xludf.DUMMYFUNCTION("""COMPUTED_VALUE"""),9.9653)</f>
        <v>9.9652999999999992</v>
      </c>
      <c r="M362" s="2">
        <f ca="1">IFERROR(__xludf.DUMMYFUNCTION("""COMPUTED_VALUE"""),12.17)</f>
        <v>12.17</v>
      </c>
      <c r="U362" s="3" t="e">
        <f ca="1"/>
        <v>#NAME?</v>
      </c>
    </row>
    <row r="363" spans="3:21" ht="12.5" x14ac:dyDescent="0.25">
      <c r="C363" s="4">
        <f ca="1">IFERROR(__xludf.DUMMYFUNCTION("""COMPUTED_VALUE"""),40593.9986111111)</f>
        <v>40593.998611111099</v>
      </c>
      <c r="D363" s="2">
        <f ca="1">IFERROR(__xludf.DUMMYFUNCTION("""COMPUTED_VALUE"""),45.108)</f>
        <v>45.107999999999997</v>
      </c>
      <c r="E363" s="2">
        <f ca="1">IFERROR(__xludf.DUMMYFUNCTION("""COMPUTED_VALUE"""),63.201)</f>
        <v>63.201000000000001</v>
      </c>
      <c r="F363" s="2">
        <f ca="1">IFERROR(__xludf.DUMMYFUNCTION("""COMPUTED_VALUE"""),73.28)</f>
        <v>73.28</v>
      </c>
      <c r="G363" s="2">
        <f ca="1">IFERROR(__xludf.DUMMYFUNCTION("""COMPUTED_VALUE"""),0.55525)</f>
        <v>0.55525000000000002</v>
      </c>
      <c r="H363" s="2">
        <f ca="1">IFERROR(__xludf.DUMMYFUNCTION("""COMPUTED_VALUE"""),47.367)</f>
        <v>47.366999999999997</v>
      </c>
      <c r="I363" s="2">
        <f ca="1">IFERROR(__xludf.DUMMYFUNCTION("""COMPUTED_VALUE"""),46.154)</f>
        <v>46.154000000000003</v>
      </c>
      <c r="J363" s="2">
        <f ca="1">IFERROR(__xludf.DUMMYFUNCTION("""COMPUTED_VALUE"""),35.938)</f>
        <v>35.938000000000002</v>
      </c>
      <c r="K363" s="2">
        <f ca="1">IFERROR(__xludf.DUMMYFUNCTION("""COMPUTED_VALUE"""),48.21)</f>
        <v>48.21</v>
      </c>
      <c r="L363" s="2">
        <f ca="1">IFERROR(__xludf.DUMMYFUNCTION("""COMPUTED_VALUE"""),9.9594)</f>
        <v>9.9594000000000005</v>
      </c>
      <c r="M363" s="2">
        <f ca="1">IFERROR(__xludf.DUMMYFUNCTION("""COMPUTED_VALUE"""),12.129)</f>
        <v>12.129</v>
      </c>
      <c r="U363" s="3" t="e">
        <f ca="1"/>
        <v>#NAME?</v>
      </c>
    </row>
    <row r="364" spans="3:21" ht="12.5" x14ac:dyDescent="0.25">
      <c r="C364" s="4">
        <f ca="1">IFERROR(__xludf.DUMMYFUNCTION("""COMPUTED_VALUE"""),40595.9986111111)</f>
        <v>40595.998611111099</v>
      </c>
      <c r="D364" s="2">
        <f ca="1">IFERROR(__xludf.DUMMYFUNCTION("""COMPUTED_VALUE"""),44.918)</f>
        <v>44.917999999999999</v>
      </c>
      <c r="E364" s="2">
        <f ca="1">IFERROR(__xludf.DUMMYFUNCTION("""COMPUTED_VALUE"""),63.328)</f>
        <v>63.328000000000003</v>
      </c>
      <c r="F364" s="2">
        <f ca="1">IFERROR(__xludf.DUMMYFUNCTION("""COMPUTED_VALUE"""),72.904)</f>
        <v>72.903999999999996</v>
      </c>
      <c r="G364" s="2">
        <f ca="1">IFERROR(__xludf.DUMMYFUNCTION("""COMPUTED_VALUE"""),0.55531)</f>
        <v>0.55530999999999997</v>
      </c>
      <c r="H364" s="2">
        <f ca="1">IFERROR(__xludf.DUMMYFUNCTION("""COMPUTED_VALUE"""),47.44)</f>
        <v>47.44</v>
      </c>
      <c r="I364" s="2">
        <f ca="1">IFERROR(__xludf.DUMMYFUNCTION("""COMPUTED_VALUE"""),46.336)</f>
        <v>46.335999999999999</v>
      </c>
      <c r="J364" s="2">
        <f ca="1">IFERROR(__xludf.DUMMYFUNCTION("""COMPUTED_VALUE"""),36.023)</f>
        <v>36.023000000000003</v>
      </c>
      <c r="K364" s="2">
        <f ca="1">IFERROR(__xludf.DUMMYFUNCTION("""COMPUTED_VALUE"""),48.551)</f>
        <v>48.551000000000002</v>
      </c>
      <c r="L364" s="2">
        <f ca="1">IFERROR(__xludf.DUMMYFUNCTION("""COMPUTED_VALUE"""),9.9692)</f>
        <v>9.9692000000000007</v>
      </c>
      <c r="M364" s="2">
        <f ca="1">IFERROR(__xludf.DUMMYFUNCTION("""COMPUTED_VALUE"""),12.176)</f>
        <v>12.176</v>
      </c>
      <c r="U364" s="3" t="e">
        <f ca="1"/>
        <v>#NAME?</v>
      </c>
    </row>
    <row r="365" spans="3:21" ht="12.5" x14ac:dyDescent="0.25">
      <c r="C365" s="4">
        <f ca="1">IFERROR(__xludf.DUMMYFUNCTION("""COMPUTED_VALUE"""),40596.9986111111)</f>
        <v>40596.998611111099</v>
      </c>
      <c r="D365" s="2">
        <f ca="1">IFERROR(__xludf.DUMMYFUNCTION("""COMPUTED_VALUE"""),45.15)</f>
        <v>45.15</v>
      </c>
      <c r="E365" s="2">
        <f ca="1">IFERROR(__xludf.DUMMYFUNCTION("""COMPUTED_VALUE"""),63.814)</f>
        <v>63.814</v>
      </c>
      <c r="F365" s="2">
        <f ca="1">IFERROR(__xludf.DUMMYFUNCTION("""COMPUTED_VALUE"""),72.877)</f>
        <v>72.876999999999995</v>
      </c>
      <c r="G365" s="2">
        <f ca="1">IFERROR(__xludf.DUMMYFUNCTION("""COMPUTED_VALUE"""),0.55647)</f>
        <v>0.55647000000000002</v>
      </c>
      <c r="H365" s="2">
        <f ca="1">IFERROR(__xludf.DUMMYFUNCTION("""COMPUTED_VALUE"""),47.615)</f>
        <v>47.615000000000002</v>
      </c>
      <c r="I365" s="2">
        <f ca="1">IFERROR(__xludf.DUMMYFUNCTION("""COMPUTED_VALUE"""),46.217)</f>
        <v>46.216999999999999</v>
      </c>
      <c r="J365" s="2">
        <f ca="1">IFERROR(__xludf.DUMMYFUNCTION("""COMPUTED_VALUE"""),35.987)</f>
        <v>35.987000000000002</v>
      </c>
      <c r="K365" s="2">
        <f ca="1">IFERROR(__xludf.DUMMYFUNCTION("""COMPUTED_VALUE"""),48.565)</f>
        <v>48.564999999999998</v>
      </c>
      <c r="L365" s="2">
        <f ca="1">IFERROR(__xludf.DUMMYFUNCTION("""COMPUTED_VALUE"""),9.9652)</f>
        <v>9.9651999999999994</v>
      </c>
      <c r="M365" s="2">
        <f ca="1">IFERROR(__xludf.DUMMYFUNCTION("""COMPUTED_VALUE"""),12.176)</f>
        <v>12.176</v>
      </c>
      <c r="U365" s="3" t="e">
        <f ca="1"/>
        <v>#NAME?</v>
      </c>
    </row>
    <row r="366" spans="3:21" ht="12.5" x14ac:dyDescent="0.25">
      <c r="C366" s="4">
        <f ca="1">IFERROR(__xludf.DUMMYFUNCTION("""COMPUTED_VALUE"""),40597.9986111111)</f>
        <v>40597.998611111099</v>
      </c>
      <c r="D366" s="2">
        <f ca="1">IFERROR(__xludf.DUMMYFUNCTION("""COMPUTED_VALUE"""),45.05)</f>
        <v>45.05</v>
      </c>
      <c r="E366" s="2">
        <f ca="1">IFERROR(__xludf.DUMMYFUNCTION("""COMPUTED_VALUE"""),64.037)</f>
        <v>64.037000000000006</v>
      </c>
      <c r="F366" s="2">
        <f ca="1">IFERROR(__xludf.DUMMYFUNCTION("""COMPUTED_VALUE"""),73.08)</f>
        <v>73.08</v>
      </c>
      <c r="G366" s="2">
        <f ca="1">IFERROR(__xludf.DUMMYFUNCTION("""COMPUTED_VALUE"""),0.55321)</f>
        <v>0.55320999999999998</v>
      </c>
      <c r="H366" s="2">
        <f ca="1">IFERROR(__xludf.DUMMYFUNCTION("""COMPUTED_VALUE"""),47.793)</f>
        <v>47.792999999999999</v>
      </c>
      <c r="I366" s="2">
        <f ca="1">IFERROR(__xludf.DUMMYFUNCTION("""COMPUTED_VALUE"""),46.271)</f>
        <v>46.271000000000001</v>
      </c>
      <c r="J366" s="2">
        <f ca="1">IFERROR(__xludf.DUMMYFUNCTION("""COMPUTED_VALUE"""),36.138)</f>
        <v>36.137999999999998</v>
      </c>
      <c r="K366" s="2">
        <f ca="1">IFERROR(__xludf.DUMMYFUNCTION("""COMPUTED_VALUE"""),48.543)</f>
        <v>48.542999999999999</v>
      </c>
      <c r="L366" s="2">
        <f ca="1">IFERROR(__xludf.DUMMYFUNCTION("""COMPUTED_VALUE"""),9.9817)</f>
        <v>9.9817</v>
      </c>
      <c r="M366" s="2">
        <f ca="1">IFERROR(__xludf.DUMMYFUNCTION("""COMPUTED_VALUE"""),12.145)</f>
        <v>12.145</v>
      </c>
      <c r="U366" s="3" t="e">
        <f ca="1"/>
        <v>#NAME?</v>
      </c>
    </row>
    <row r="367" spans="3:21" ht="12.5" x14ac:dyDescent="0.25">
      <c r="C367" s="4">
        <f ca="1">IFERROR(__xludf.DUMMYFUNCTION("""COMPUTED_VALUE"""),40598.9986111111)</f>
        <v>40598.998611111099</v>
      </c>
      <c r="D367" s="2">
        <f ca="1">IFERROR(__xludf.DUMMYFUNCTION("""COMPUTED_VALUE"""),45.4)</f>
        <v>45.4</v>
      </c>
      <c r="E367" s="2">
        <f ca="1">IFERROR(__xludf.DUMMYFUNCTION("""COMPUTED_VALUE"""),64.028)</f>
        <v>64.028000000000006</v>
      </c>
      <c r="F367" s="2">
        <f ca="1">IFERROR(__xludf.DUMMYFUNCTION("""COMPUTED_VALUE"""),73.271)</f>
        <v>73.271000000000001</v>
      </c>
      <c r="G367" s="2">
        <f ca="1">IFERROR(__xludf.DUMMYFUNCTION("""COMPUTED_VALUE"""),0.55033)</f>
        <v>0.55032999999999999</v>
      </c>
      <c r="H367" s="2">
        <f ca="1">IFERROR(__xludf.DUMMYFUNCTION("""COMPUTED_VALUE"""),47.782)</f>
        <v>47.781999999999996</v>
      </c>
      <c r="I367" s="2">
        <f ca="1">IFERROR(__xludf.DUMMYFUNCTION("""COMPUTED_VALUE"""),46.302)</f>
        <v>46.302</v>
      </c>
      <c r="J367" s="2">
        <f ca="1">IFERROR(__xludf.DUMMYFUNCTION("""COMPUTED_VALUE"""),36.26)</f>
        <v>36.26</v>
      </c>
      <c r="K367" s="2">
        <f ca="1">IFERROR(__xludf.DUMMYFUNCTION("""COMPUTED_VALUE"""),48.531)</f>
        <v>48.530999999999999</v>
      </c>
      <c r="L367" s="2">
        <f ca="1">IFERROR(__xludf.DUMMYFUNCTION("""COMPUTED_VALUE"""),9.9687)</f>
        <v>9.9687000000000001</v>
      </c>
      <c r="M367" s="2">
        <f ca="1">IFERROR(__xludf.DUMMYFUNCTION("""COMPUTED_VALUE"""),12.146)</f>
        <v>12.146000000000001</v>
      </c>
      <c r="U367" s="3" t="e">
        <f ca="1"/>
        <v>#NAME?</v>
      </c>
    </row>
    <row r="368" spans="3:21" ht="12.5" x14ac:dyDescent="0.25">
      <c r="C368" s="4">
        <f ca="1">IFERROR(__xludf.DUMMYFUNCTION("""COMPUTED_VALUE"""),40599.9986111111)</f>
        <v>40599.998611111099</v>
      </c>
      <c r="D368" s="2">
        <f ca="1">IFERROR(__xludf.DUMMYFUNCTION("""COMPUTED_VALUE"""),45.25)</f>
        <v>45.25</v>
      </c>
      <c r="E368" s="2">
        <f ca="1">IFERROR(__xludf.DUMMYFUNCTION("""COMPUTED_VALUE"""),64.198)</f>
        <v>64.197999999999993</v>
      </c>
      <c r="F368" s="2">
        <f ca="1">IFERROR(__xludf.DUMMYFUNCTION("""COMPUTED_VALUE"""),72.867)</f>
        <v>72.867000000000004</v>
      </c>
      <c r="G368" s="2">
        <f ca="1">IFERROR(__xludf.DUMMYFUNCTION("""COMPUTED_VALUE"""),0.55021)</f>
        <v>0.55020999999999998</v>
      </c>
      <c r="H368" s="2">
        <f ca="1">IFERROR(__xludf.DUMMYFUNCTION("""COMPUTED_VALUE"""),47.853)</f>
        <v>47.853000000000002</v>
      </c>
      <c r="I368" s="2">
        <f ca="1">IFERROR(__xludf.DUMMYFUNCTION("""COMPUTED_VALUE"""),46.323)</f>
        <v>46.323</v>
      </c>
      <c r="J368" s="2">
        <f ca="1">IFERROR(__xludf.DUMMYFUNCTION("""COMPUTED_VALUE"""),36.247)</f>
        <v>36.247</v>
      </c>
      <c r="K368" s="2">
        <f ca="1">IFERROR(__xludf.DUMMYFUNCTION("""COMPUTED_VALUE"""),48.328)</f>
        <v>48.328000000000003</v>
      </c>
      <c r="L368" s="2">
        <f ca="1">IFERROR(__xludf.DUMMYFUNCTION("""COMPUTED_VALUE"""),9.9016)</f>
        <v>9.9016000000000002</v>
      </c>
      <c r="M368" s="2">
        <f ca="1">IFERROR(__xludf.DUMMYFUNCTION("""COMPUTED_VALUE"""),12.137)</f>
        <v>12.137</v>
      </c>
      <c r="U368" s="3" t="e">
        <f ca="1"/>
        <v>#NAME?</v>
      </c>
    </row>
    <row r="369" spans="3:21" ht="12.5" x14ac:dyDescent="0.25">
      <c r="C369" s="4">
        <f ca="1">IFERROR(__xludf.DUMMYFUNCTION("""COMPUTED_VALUE"""),40602.9986111111)</f>
        <v>40602.998611111099</v>
      </c>
      <c r="D369" s="2">
        <f ca="1">IFERROR(__xludf.DUMMYFUNCTION("""COMPUTED_VALUE"""),45.1)</f>
        <v>45.1</v>
      </c>
      <c r="E369" s="2">
        <f ca="1">IFERROR(__xludf.DUMMYFUNCTION("""COMPUTED_VALUE"""),63.69)</f>
        <v>63.69</v>
      </c>
      <c r="F369" s="2">
        <f ca="1">IFERROR(__xludf.DUMMYFUNCTION("""COMPUTED_VALUE"""),73.293)</f>
        <v>73.293000000000006</v>
      </c>
      <c r="G369" s="2">
        <f ca="1">IFERROR(__xludf.DUMMYFUNCTION("""COMPUTED_VALUE"""),0.54975)</f>
        <v>0.54974999999999996</v>
      </c>
      <c r="H369" s="2">
        <f ca="1">IFERROR(__xludf.DUMMYFUNCTION("""COMPUTED_VALUE"""),47.923)</f>
        <v>47.923000000000002</v>
      </c>
      <c r="I369" s="2">
        <f ca="1">IFERROR(__xludf.DUMMYFUNCTION("""COMPUTED_VALUE"""),46.119)</f>
        <v>46.119</v>
      </c>
      <c r="J369" s="2">
        <f ca="1">IFERROR(__xludf.DUMMYFUNCTION("""COMPUTED_VALUE"""),36.258)</f>
        <v>36.258000000000003</v>
      </c>
      <c r="K369" s="2">
        <f ca="1">IFERROR(__xludf.DUMMYFUNCTION("""COMPUTED_VALUE"""),48.191)</f>
        <v>48.191000000000003</v>
      </c>
      <c r="L369" s="2">
        <f ca="1">IFERROR(__xludf.DUMMYFUNCTION("""COMPUTED_VALUE"""),9.9263)</f>
        <v>9.9262999999999995</v>
      </c>
      <c r="M369" s="2">
        <f ca="1">IFERROR(__xludf.DUMMYFUNCTION("""COMPUTED_VALUE"""),12.173)</f>
        <v>12.173</v>
      </c>
      <c r="U369" s="3" t="e">
        <f ca="1"/>
        <v>#NAME?</v>
      </c>
    </row>
    <row r="370" spans="3:21" ht="12.5" x14ac:dyDescent="0.25">
      <c r="C370" s="4">
        <f ca="1">IFERROR(__xludf.DUMMYFUNCTION("""COMPUTED_VALUE"""),40603.9986111111)</f>
        <v>40603.998611111099</v>
      </c>
      <c r="D370" s="2">
        <f ca="1">IFERROR(__xludf.DUMMYFUNCTION("""COMPUTED_VALUE"""),44.83)</f>
        <v>44.83</v>
      </c>
      <c r="E370" s="2">
        <f ca="1">IFERROR(__xludf.DUMMYFUNCTION("""COMPUTED_VALUE"""),63.715)</f>
        <v>63.715000000000003</v>
      </c>
      <c r="F370" s="2">
        <f ca="1">IFERROR(__xludf.DUMMYFUNCTION("""COMPUTED_VALUE"""),73.004)</f>
        <v>73.004000000000005</v>
      </c>
      <c r="G370" s="2">
        <f ca="1">IFERROR(__xludf.DUMMYFUNCTION("""COMPUTED_VALUE"""),0.55098)</f>
        <v>0.55098000000000003</v>
      </c>
      <c r="H370" s="2">
        <f ca="1">IFERROR(__xludf.DUMMYFUNCTION("""COMPUTED_VALUE"""),47.938)</f>
        <v>47.938000000000002</v>
      </c>
      <c r="I370" s="2">
        <f ca="1">IFERROR(__xludf.DUMMYFUNCTION("""COMPUTED_VALUE"""),46.201)</f>
        <v>46.201000000000001</v>
      </c>
      <c r="J370" s="2">
        <f ca="1">IFERROR(__xludf.DUMMYFUNCTION("""COMPUTED_VALUE"""),36.334)</f>
        <v>36.334000000000003</v>
      </c>
      <c r="K370" s="2">
        <f ca="1">IFERROR(__xludf.DUMMYFUNCTION("""COMPUTED_VALUE"""),47.574)</f>
        <v>47.573999999999998</v>
      </c>
      <c r="L370" s="2">
        <f ca="1">IFERROR(__xludf.DUMMYFUNCTION("""COMPUTED_VALUE"""),9.9331)</f>
        <v>9.9330999999999996</v>
      </c>
      <c r="M370" s="2">
        <f ca="1">IFERROR(__xludf.DUMMYFUNCTION("""COMPUTED_VALUE"""),12.197)</f>
        <v>12.196999999999999</v>
      </c>
      <c r="U370" s="3" t="e">
        <f ca="1"/>
        <v>#NAME?</v>
      </c>
    </row>
    <row r="371" spans="3:21" ht="12.5" x14ac:dyDescent="0.25">
      <c r="C371" s="4">
        <f ca="1">IFERROR(__xludf.DUMMYFUNCTION("""COMPUTED_VALUE"""),40604.9986111111)</f>
        <v>40604.998611111099</v>
      </c>
      <c r="D371" s="2">
        <f ca="1">IFERROR(__xludf.DUMMYFUNCTION("""COMPUTED_VALUE"""),44.81)</f>
        <v>44.81</v>
      </c>
      <c r="E371" s="2">
        <f ca="1">IFERROR(__xludf.DUMMYFUNCTION("""COMPUTED_VALUE"""),63.271)</f>
        <v>63.271000000000001</v>
      </c>
      <c r="F371" s="2">
        <f ca="1">IFERROR(__xludf.DUMMYFUNCTION("""COMPUTED_VALUE"""),73.149)</f>
        <v>73.149000000000001</v>
      </c>
      <c r="G371" s="2">
        <f ca="1">IFERROR(__xludf.DUMMYFUNCTION("""COMPUTED_VALUE"""),0.55197)</f>
        <v>0.55196999999999996</v>
      </c>
      <c r="H371" s="2">
        <f ca="1">IFERROR(__xludf.DUMMYFUNCTION("""COMPUTED_VALUE"""),47.369)</f>
        <v>47.369</v>
      </c>
      <c r="I371" s="2">
        <f ca="1">IFERROR(__xludf.DUMMYFUNCTION("""COMPUTED_VALUE"""),46.099)</f>
        <v>46.098999999999997</v>
      </c>
      <c r="J371" s="2">
        <f ca="1">IFERROR(__xludf.DUMMYFUNCTION("""COMPUTED_VALUE"""),36.149)</f>
        <v>36.149000000000001</v>
      </c>
      <c r="K371" s="2">
        <f ca="1">IFERROR(__xludf.DUMMYFUNCTION("""COMPUTED_VALUE"""),47.667)</f>
        <v>47.667000000000002</v>
      </c>
      <c r="L371" s="2">
        <f ca="1">IFERROR(__xludf.DUMMYFUNCTION("""COMPUTED_VALUE"""),9.9143)</f>
        <v>9.9143000000000008</v>
      </c>
      <c r="M371" s="2">
        <f ca="1">IFERROR(__xludf.DUMMYFUNCTION("""COMPUTED_VALUE"""),12.197)</f>
        <v>12.196999999999999</v>
      </c>
      <c r="U371" s="3" t="e">
        <f ca="1"/>
        <v>#NAME?</v>
      </c>
    </row>
    <row r="372" spans="3:21" ht="12.5" x14ac:dyDescent="0.25">
      <c r="C372" s="4">
        <f ca="1">IFERROR(__xludf.DUMMYFUNCTION("""COMPUTED_VALUE"""),40605.9986111111)</f>
        <v>40605.998611111099</v>
      </c>
      <c r="D372" s="2">
        <f ca="1">IFERROR(__xludf.DUMMYFUNCTION("""COMPUTED_VALUE"""),44.85)</f>
        <v>44.85</v>
      </c>
      <c r="E372" s="2">
        <f ca="1">IFERROR(__xludf.DUMMYFUNCTION("""COMPUTED_VALUE"""),63.64)</f>
        <v>63.64</v>
      </c>
      <c r="F372" s="2">
        <f ca="1">IFERROR(__xludf.DUMMYFUNCTION("""COMPUTED_VALUE"""),73)</f>
        <v>73</v>
      </c>
      <c r="G372" s="2">
        <f ca="1">IFERROR(__xludf.DUMMYFUNCTION("""COMPUTED_VALUE"""),0.54967)</f>
        <v>0.54966999999999999</v>
      </c>
      <c r="H372" s="2">
        <f ca="1">IFERROR(__xludf.DUMMYFUNCTION("""COMPUTED_VALUE"""),47.603)</f>
        <v>47.603000000000002</v>
      </c>
      <c r="I372" s="2">
        <f ca="1">IFERROR(__xludf.DUMMYFUNCTION("""COMPUTED_VALUE"""),46.148)</f>
        <v>46.148000000000003</v>
      </c>
      <c r="J372" s="2">
        <f ca="1">IFERROR(__xludf.DUMMYFUNCTION("""COMPUTED_VALUE"""),36.212)</f>
        <v>36.212000000000003</v>
      </c>
      <c r="K372" s="2">
        <f ca="1">IFERROR(__xludf.DUMMYFUNCTION("""COMPUTED_VALUE"""),47.667)</f>
        <v>47.667000000000002</v>
      </c>
      <c r="L372" s="2">
        <f ca="1">IFERROR(__xludf.DUMMYFUNCTION("""COMPUTED_VALUE"""),9.903)</f>
        <v>9.9030000000000005</v>
      </c>
      <c r="M372" s="2">
        <f ca="1">IFERROR(__xludf.DUMMYFUNCTION("""COMPUTED_VALUE"""),12.213)</f>
        <v>12.212999999999999</v>
      </c>
      <c r="U372" s="3" t="e">
        <f ca="1"/>
        <v>#NAME?</v>
      </c>
    </row>
    <row r="373" spans="3:21" ht="12.5" x14ac:dyDescent="0.25">
      <c r="C373" s="4">
        <f ca="1">IFERROR(__xludf.DUMMYFUNCTION("""COMPUTED_VALUE"""),40606.9986111111)</f>
        <v>40606.998611111099</v>
      </c>
      <c r="D373" s="2">
        <f ca="1">IFERROR(__xludf.DUMMYFUNCTION("""COMPUTED_VALUE"""),44.82)</f>
        <v>44.82</v>
      </c>
      <c r="E373" s="2">
        <f ca="1">IFERROR(__xludf.DUMMYFUNCTION("""COMPUTED_VALUE"""),63.766)</f>
        <v>63.765999999999998</v>
      </c>
      <c r="F373" s="2">
        <f ca="1">IFERROR(__xludf.DUMMYFUNCTION("""COMPUTED_VALUE"""),72.882)</f>
        <v>72.882000000000005</v>
      </c>
      <c r="G373" s="2">
        <f ca="1">IFERROR(__xludf.DUMMYFUNCTION("""COMPUTED_VALUE"""),0.55176)</f>
        <v>0.55176000000000003</v>
      </c>
      <c r="H373" s="2">
        <f ca="1">IFERROR(__xludf.DUMMYFUNCTION("""COMPUTED_VALUE"""),47.678)</f>
        <v>47.677999999999997</v>
      </c>
      <c r="I373" s="2">
        <f ca="1">IFERROR(__xludf.DUMMYFUNCTION("""COMPUTED_VALUE"""),46.302)</f>
        <v>46.302</v>
      </c>
      <c r="J373" s="2">
        <f ca="1">IFERROR(__xludf.DUMMYFUNCTION("""COMPUTED_VALUE"""),36.284)</f>
        <v>36.283999999999999</v>
      </c>
      <c r="K373" s="2">
        <f ca="1">IFERROR(__xludf.DUMMYFUNCTION("""COMPUTED_VALUE"""),47.403)</f>
        <v>47.402999999999999</v>
      </c>
      <c r="L373" s="2">
        <f ca="1">IFERROR(__xludf.DUMMYFUNCTION("""COMPUTED_VALUE"""),9.903)</f>
        <v>9.9030000000000005</v>
      </c>
      <c r="M373" s="2">
        <f ca="1">IFERROR(__xludf.DUMMYFUNCTION("""COMPUTED_VALUE"""),12.241)</f>
        <v>12.241</v>
      </c>
      <c r="U373" s="3" t="e">
        <f ca="1"/>
        <v>#NAME?</v>
      </c>
    </row>
    <row r="374" spans="3:21" ht="12.5" x14ac:dyDescent="0.25">
      <c r="C374" s="4">
        <f ca="1">IFERROR(__xludf.DUMMYFUNCTION("""COMPUTED_VALUE"""),40608.9986111111)</f>
        <v>40608.998611111099</v>
      </c>
      <c r="D374" s="2">
        <f ca="1">IFERROR(__xludf.DUMMYFUNCTION("""COMPUTED_VALUE"""),44.903)</f>
        <v>44.902999999999999</v>
      </c>
      <c r="E374" s="2">
        <f ca="1">IFERROR(__xludf.DUMMYFUNCTION("""COMPUTED_VALUE"""),63.801)</f>
        <v>63.801000000000002</v>
      </c>
      <c r="F374" s="2">
        <f ca="1">IFERROR(__xludf.DUMMYFUNCTION("""COMPUTED_VALUE"""),73.106)</f>
        <v>73.105999999999995</v>
      </c>
      <c r="G374" s="2">
        <f ca="1">IFERROR(__xludf.DUMMYFUNCTION("""COMPUTED_VALUE"""),0.55539)</f>
        <v>0.55539000000000005</v>
      </c>
      <c r="H374" s="2">
        <f ca="1">IFERROR(__xludf.DUMMYFUNCTION("""COMPUTED_VALUE"""),47.91)</f>
        <v>47.91</v>
      </c>
      <c r="I374" s="2">
        <f ca="1">IFERROR(__xludf.DUMMYFUNCTION("""COMPUTED_VALUE"""),46.093)</f>
        <v>46.093000000000004</v>
      </c>
      <c r="J374" s="2">
        <f ca="1">IFERROR(__xludf.DUMMYFUNCTION("""COMPUTED_VALUE"""),36.294)</f>
        <v>36.293999999999997</v>
      </c>
      <c r="K374" s="2">
        <f ca="1">IFERROR(__xludf.DUMMYFUNCTION("""COMPUTED_VALUE"""),46.877)</f>
        <v>46.877000000000002</v>
      </c>
      <c r="L374" s="2">
        <f ca="1">IFERROR(__xludf.DUMMYFUNCTION("""COMPUTED_VALUE"""),9.9075)</f>
        <v>9.9075000000000006</v>
      </c>
      <c r="M374" s="2">
        <f ca="1">IFERROR(__xludf.DUMMYFUNCTION("""COMPUTED_VALUE"""),12.254)</f>
        <v>12.254</v>
      </c>
      <c r="U374" s="3" t="e">
        <f ca="1"/>
        <v>#NAME?</v>
      </c>
    </row>
    <row r="375" spans="3:21" ht="12.5" x14ac:dyDescent="0.25">
      <c r="C375" s="4">
        <f ca="1">IFERROR(__xludf.DUMMYFUNCTION("""COMPUTED_VALUE"""),40609.9986111111)</f>
        <v>40609.998611111099</v>
      </c>
      <c r="D375" s="2">
        <f ca="1">IFERROR(__xludf.DUMMYFUNCTION("""COMPUTED_VALUE"""),44.97)</f>
        <v>44.97</v>
      </c>
      <c r="E375" s="2">
        <f ca="1">IFERROR(__xludf.DUMMYFUNCTION("""COMPUTED_VALUE"""),64.501)</f>
        <v>64.501000000000005</v>
      </c>
      <c r="F375" s="2">
        <f ca="1">IFERROR(__xludf.DUMMYFUNCTION("""COMPUTED_VALUE"""),72.82)</f>
        <v>72.819999999999993</v>
      </c>
      <c r="G375" s="2">
        <f ca="1">IFERROR(__xludf.DUMMYFUNCTION("""COMPUTED_VALUE"""),0.55804)</f>
        <v>0.55803999999999998</v>
      </c>
      <c r="H375" s="2">
        <f ca="1">IFERROR(__xludf.DUMMYFUNCTION("""COMPUTED_VALUE"""),48.191)</f>
        <v>48.191000000000003</v>
      </c>
      <c r="I375" s="2">
        <f ca="1">IFERROR(__xludf.DUMMYFUNCTION("""COMPUTED_VALUE"""),46.154)</f>
        <v>46.154000000000003</v>
      </c>
      <c r="J375" s="2">
        <f ca="1">IFERROR(__xludf.DUMMYFUNCTION("""COMPUTED_VALUE"""),36.483)</f>
        <v>36.482999999999997</v>
      </c>
      <c r="K375" s="2">
        <f ca="1">IFERROR(__xludf.DUMMYFUNCTION("""COMPUTED_VALUE"""),47.336)</f>
        <v>47.335999999999999</v>
      </c>
      <c r="L375" s="2">
        <f ca="1">IFERROR(__xludf.DUMMYFUNCTION("""COMPUTED_VALUE"""),9.888)</f>
        <v>9.8879999999999999</v>
      </c>
      <c r="M375" s="2">
        <f ca="1">IFERROR(__xludf.DUMMYFUNCTION("""COMPUTED_VALUE"""),12.241)</f>
        <v>12.241</v>
      </c>
      <c r="U375" s="3" t="e">
        <f ca="1"/>
        <v>#NAME?</v>
      </c>
    </row>
    <row r="376" spans="3:21" ht="12.5" x14ac:dyDescent="0.25">
      <c r="C376" s="4">
        <f ca="1">IFERROR(__xludf.DUMMYFUNCTION("""COMPUTED_VALUE"""),40610.9986111111)</f>
        <v>40610.998611111099</v>
      </c>
      <c r="D376" s="2">
        <f ca="1">IFERROR(__xludf.DUMMYFUNCTION("""COMPUTED_VALUE"""),44.9)</f>
        <v>44.9</v>
      </c>
      <c r="E376" s="2">
        <f ca="1">IFERROR(__xludf.DUMMYFUNCTION("""COMPUTED_VALUE"""),64.607)</f>
        <v>64.606999999999999</v>
      </c>
      <c r="F376" s="2">
        <f ca="1">IFERROR(__xludf.DUMMYFUNCTION("""COMPUTED_VALUE"""),72.554)</f>
        <v>72.554000000000002</v>
      </c>
      <c r="G376" s="2">
        <f ca="1">IFERROR(__xludf.DUMMYFUNCTION("""COMPUTED_VALUE"""),0.55935)</f>
        <v>0.55935000000000001</v>
      </c>
      <c r="H376" s="2">
        <f ca="1">IFERROR(__xludf.DUMMYFUNCTION("""COMPUTED_VALUE"""),48.362)</f>
        <v>48.362000000000002</v>
      </c>
      <c r="I376" s="2">
        <f ca="1">IFERROR(__xludf.DUMMYFUNCTION("""COMPUTED_VALUE"""),46.218)</f>
        <v>46.218000000000004</v>
      </c>
      <c r="J376" s="2">
        <f ca="1">IFERROR(__xludf.DUMMYFUNCTION("""COMPUTED_VALUE"""),36.542)</f>
        <v>36.542000000000002</v>
      </c>
      <c r="K376" s="2">
        <f ca="1">IFERROR(__xludf.DUMMYFUNCTION("""COMPUTED_VALUE"""),47.092)</f>
        <v>47.091999999999999</v>
      </c>
      <c r="L376" s="2">
        <f ca="1">IFERROR(__xludf.DUMMYFUNCTION("""COMPUTED_VALUE"""),9.8837)</f>
        <v>9.8836999999999993</v>
      </c>
      <c r="M376" s="2">
        <f ca="1">IFERROR(__xludf.DUMMYFUNCTION("""COMPUTED_VALUE"""),12.211)</f>
        <v>12.211</v>
      </c>
      <c r="U376" s="3" t="e">
        <f ca="1"/>
        <v>#NAME?</v>
      </c>
    </row>
    <row r="377" spans="3:21" ht="12.5" x14ac:dyDescent="0.25">
      <c r="C377" s="4">
        <f ca="1">IFERROR(__xludf.DUMMYFUNCTION("""COMPUTED_VALUE"""),40611.9986111111)</f>
        <v>40611.998611111099</v>
      </c>
      <c r="D377" s="2">
        <f ca="1">IFERROR(__xludf.DUMMYFUNCTION("""COMPUTED_VALUE"""),44.87)</f>
        <v>44.87</v>
      </c>
      <c r="E377" s="2">
        <f ca="1">IFERROR(__xludf.DUMMYFUNCTION("""COMPUTED_VALUE"""),64.27)</f>
        <v>64.27</v>
      </c>
      <c r="F377" s="2">
        <f ca="1">IFERROR(__xludf.DUMMYFUNCTION("""COMPUTED_VALUE"""),72.694)</f>
        <v>72.694000000000003</v>
      </c>
      <c r="G377" s="2">
        <f ca="1">IFERROR(__xludf.DUMMYFUNCTION("""COMPUTED_VALUE"""),0.55618)</f>
        <v>0.55618000000000001</v>
      </c>
      <c r="H377" s="2">
        <f ca="1">IFERROR(__xludf.DUMMYFUNCTION("""COMPUTED_VALUE"""),48.1)</f>
        <v>48.1</v>
      </c>
      <c r="I377" s="2">
        <f ca="1">IFERROR(__xludf.DUMMYFUNCTION("""COMPUTED_VALUE"""),46.095)</f>
        <v>46.094999999999999</v>
      </c>
      <c r="J377" s="2">
        <f ca="1">IFERROR(__xludf.DUMMYFUNCTION("""COMPUTED_VALUE"""),36.477)</f>
        <v>36.476999999999997</v>
      </c>
      <c r="K377" s="2">
        <f ca="1">IFERROR(__xludf.DUMMYFUNCTION("""COMPUTED_VALUE"""),46.802)</f>
        <v>46.802</v>
      </c>
      <c r="L377" s="2">
        <f ca="1">IFERROR(__xludf.DUMMYFUNCTION("""COMPUTED_VALUE"""),9.9022)</f>
        <v>9.9022000000000006</v>
      </c>
      <c r="M377" s="2">
        <f ca="1">IFERROR(__xludf.DUMMYFUNCTION("""COMPUTED_VALUE"""),12.213)</f>
        <v>12.212999999999999</v>
      </c>
      <c r="U377" s="3" t="e">
        <f ca="1"/>
        <v>#NAME?</v>
      </c>
    </row>
    <row r="378" spans="3:21" ht="12.5" x14ac:dyDescent="0.25">
      <c r="C378" s="4">
        <f ca="1">IFERROR(__xludf.DUMMYFUNCTION("""COMPUTED_VALUE"""),40612.9986111111)</f>
        <v>40612.998611111099</v>
      </c>
      <c r="D378" s="2">
        <f ca="1">IFERROR(__xludf.DUMMYFUNCTION("""COMPUTED_VALUE"""),45.11)</f>
        <v>45.11</v>
      </c>
      <c r="E378" s="2">
        <f ca="1">IFERROR(__xludf.DUMMYFUNCTION("""COMPUTED_VALUE"""),64.689)</f>
        <v>64.688999999999993</v>
      </c>
      <c r="F378" s="2">
        <f ca="1">IFERROR(__xludf.DUMMYFUNCTION("""COMPUTED_VALUE"""),72.379)</f>
        <v>72.379000000000005</v>
      </c>
      <c r="G378" s="2">
        <f ca="1">IFERROR(__xludf.DUMMYFUNCTION("""COMPUTED_VALUE"""),0.55196)</f>
        <v>0.55196000000000001</v>
      </c>
      <c r="H378" s="2">
        <f ca="1">IFERROR(__xludf.DUMMYFUNCTION("""COMPUTED_VALUE"""),47.996)</f>
        <v>47.996000000000002</v>
      </c>
      <c r="I378" s="2">
        <f ca="1">IFERROR(__xludf.DUMMYFUNCTION("""COMPUTED_VALUE"""),46.418)</f>
        <v>46.417999999999999</v>
      </c>
      <c r="J378" s="2">
        <f ca="1">IFERROR(__xludf.DUMMYFUNCTION("""COMPUTED_VALUE"""),36.457)</f>
        <v>36.457000000000001</v>
      </c>
      <c r="K378" s="2">
        <f ca="1">IFERROR(__xludf.DUMMYFUNCTION("""COMPUTED_VALUE"""),46.698)</f>
        <v>46.698</v>
      </c>
      <c r="L378" s="2">
        <f ca="1">IFERROR(__xludf.DUMMYFUNCTION("""COMPUTED_VALUE"""),9.8832)</f>
        <v>9.8832000000000004</v>
      </c>
      <c r="M378" s="2">
        <f ca="1">IFERROR(__xludf.DUMMYFUNCTION("""COMPUTED_VALUE"""),12.249)</f>
        <v>12.249000000000001</v>
      </c>
      <c r="U378" s="3" t="e">
        <f ca="1"/>
        <v>#NAME?</v>
      </c>
    </row>
    <row r="379" spans="3:21" ht="12.5" x14ac:dyDescent="0.25">
      <c r="C379" s="4">
        <f ca="1">IFERROR(__xludf.DUMMYFUNCTION("""COMPUTED_VALUE"""),40613.9986111111)</f>
        <v>40613.998611111099</v>
      </c>
      <c r="D379" s="2">
        <f ca="1">IFERROR(__xludf.DUMMYFUNCTION("""COMPUTED_VALUE"""),45.06)</f>
        <v>45.06</v>
      </c>
      <c r="E379" s="2">
        <f ca="1">IFERROR(__xludf.DUMMYFUNCTION("""COMPUTED_VALUE"""),64.558)</f>
        <v>64.558000000000007</v>
      </c>
      <c r="F379" s="2">
        <f ca="1">IFERROR(__xludf.DUMMYFUNCTION("""COMPUTED_VALUE"""),72.441)</f>
        <v>72.441000000000003</v>
      </c>
      <c r="G379" s="2">
        <f ca="1">IFERROR(__xludf.DUMMYFUNCTION("""COMPUTED_VALUE"""),0.55386)</f>
        <v>0.55386000000000002</v>
      </c>
      <c r="H379" s="2">
        <f ca="1">IFERROR(__xludf.DUMMYFUNCTION("""COMPUTED_VALUE"""),47.887)</f>
        <v>47.887</v>
      </c>
      <c r="I379" s="2">
        <f ca="1">IFERROR(__xludf.DUMMYFUNCTION("""COMPUTED_VALUE"""),46.021)</f>
        <v>46.021000000000001</v>
      </c>
      <c r="J379" s="2">
        <f ca="1">IFERROR(__xludf.DUMMYFUNCTION("""COMPUTED_VALUE"""),36.333)</f>
        <v>36.332999999999998</v>
      </c>
      <c r="K379" s="2">
        <f ca="1">IFERROR(__xludf.DUMMYFUNCTION("""COMPUTED_VALUE"""),46.745)</f>
        <v>46.744999999999997</v>
      </c>
      <c r="L379" s="2">
        <f ca="1">IFERROR(__xludf.DUMMYFUNCTION("""COMPUTED_VALUE"""),9.8832)</f>
        <v>9.8832000000000004</v>
      </c>
      <c r="M379" s="2">
        <f ca="1">IFERROR(__xludf.DUMMYFUNCTION("""COMPUTED_VALUE"""),12.249)</f>
        <v>12.249000000000001</v>
      </c>
      <c r="U379" s="3" t="e">
        <f ca="1"/>
        <v>#NAME?</v>
      </c>
    </row>
    <row r="380" spans="3:21" ht="12.5" x14ac:dyDescent="0.25">
      <c r="C380" s="4">
        <f ca="1">IFERROR(__xludf.DUMMYFUNCTION("""COMPUTED_VALUE"""),40614.9986111111)</f>
        <v>40614.998611111099</v>
      </c>
      <c r="D380" s="2">
        <f ca="1">IFERROR(__xludf.DUMMYFUNCTION("""COMPUTED_VALUE"""),45.238)</f>
        <v>45.238</v>
      </c>
      <c r="E380" s="2">
        <f ca="1">IFERROR(__xludf.DUMMYFUNCTION("""COMPUTED_VALUE"""),64.747)</f>
        <v>64.747</v>
      </c>
      <c r="F380" s="2">
        <f ca="1">IFERROR(__xludf.DUMMYFUNCTION("""COMPUTED_VALUE"""),72.754)</f>
        <v>72.754000000000005</v>
      </c>
      <c r="G380" s="2">
        <f ca="1">IFERROR(__xludf.DUMMYFUNCTION("""COMPUTED_VALUE"""),0.55331)</f>
        <v>0.55330999999999997</v>
      </c>
      <c r="H380" s="2">
        <f ca="1">IFERROR(__xludf.DUMMYFUNCTION("""COMPUTED_VALUE"""),47.755)</f>
        <v>47.755000000000003</v>
      </c>
      <c r="I380" s="2">
        <f ca="1">IFERROR(__xludf.DUMMYFUNCTION("""COMPUTED_VALUE"""),45.841)</f>
        <v>45.841000000000001</v>
      </c>
      <c r="J380" s="2">
        <f ca="1">IFERROR(__xludf.DUMMYFUNCTION("""COMPUTED_VALUE"""),36.297)</f>
        <v>36.296999999999997</v>
      </c>
      <c r="K380" s="2">
        <f ca="1">IFERROR(__xludf.DUMMYFUNCTION("""COMPUTED_VALUE"""),46.967)</f>
        <v>46.966999999999999</v>
      </c>
      <c r="L380" s="2">
        <f ca="1">IFERROR(__xludf.DUMMYFUNCTION("""COMPUTED_VALUE"""),9.8553)</f>
        <v>9.8552999999999997</v>
      </c>
      <c r="M380" s="2">
        <f ca="1">IFERROR(__xludf.DUMMYFUNCTION("""COMPUTED_VALUE"""),12.293)</f>
        <v>12.292999999999999</v>
      </c>
      <c r="U380" s="3" t="e">
        <f ca="1"/>
        <v>#NAME?</v>
      </c>
    </row>
    <row r="381" spans="3:21" ht="12.5" x14ac:dyDescent="0.25">
      <c r="C381" s="4">
        <f ca="1">IFERROR(__xludf.DUMMYFUNCTION("""COMPUTED_VALUE"""),40616.9986111111)</f>
        <v>40616.998611111099</v>
      </c>
      <c r="D381" s="2">
        <f ca="1">IFERROR(__xludf.DUMMYFUNCTION("""COMPUTED_VALUE"""),44.95)</f>
        <v>44.95</v>
      </c>
      <c r="E381" s="2">
        <f ca="1">IFERROR(__xludf.DUMMYFUNCTION("""COMPUTED_VALUE"""),65.529)</f>
        <v>65.528999999999996</v>
      </c>
      <c r="F381" s="2">
        <f ca="1">IFERROR(__xludf.DUMMYFUNCTION("""COMPUTED_VALUE"""),72.743)</f>
        <v>72.742999999999995</v>
      </c>
      <c r="G381" s="2">
        <f ca="1">IFERROR(__xludf.DUMMYFUNCTION("""COMPUTED_VALUE"""),0.55762)</f>
        <v>0.55762</v>
      </c>
      <c r="H381" s="2">
        <f ca="1">IFERROR(__xludf.DUMMYFUNCTION("""COMPUTED_VALUE"""),48.109)</f>
        <v>48.109000000000002</v>
      </c>
      <c r="I381" s="2">
        <f ca="1">IFERROR(__xludf.DUMMYFUNCTION("""COMPUTED_VALUE"""),45.794)</f>
        <v>45.793999999999997</v>
      </c>
      <c r="J381" s="2">
        <f ca="1">IFERROR(__xludf.DUMMYFUNCTION("""COMPUTED_VALUE"""),36.477)</f>
        <v>36.476999999999997</v>
      </c>
      <c r="K381" s="2">
        <f ca="1">IFERROR(__xludf.DUMMYFUNCTION("""COMPUTED_VALUE"""),47.223)</f>
        <v>47.222999999999999</v>
      </c>
      <c r="L381" s="2">
        <f ca="1">IFERROR(__xludf.DUMMYFUNCTION("""COMPUTED_VALUE"""),9.8377)</f>
        <v>9.8376999999999999</v>
      </c>
      <c r="M381" s="2">
        <f ca="1">IFERROR(__xludf.DUMMYFUNCTION("""COMPUTED_VALUE"""),12.295)</f>
        <v>12.295</v>
      </c>
      <c r="U381" s="3" t="e">
        <f ca="1"/>
        <v>#NAME?</v>
      </c>
    </row>
    <row r="382" spans="3:21" ht="12.5" x14ac:dyDescent="0.25">
      <c r="C382" s="4">
        <f ca="1">IFERROR(__xludf.DUMMYFUNCTION("""COMPUTED_VALUE"""),40617.9986111111)</f>
        <v>40617.998611111099</v>
      </c>
      <c r="D382" s="2">
        <f ca="1">IFERROR(__xludf.DUMMYFUNCTION("""COMPUTED_VALUE"""),45.16)</f>
        <v>45.16</v>
      </c>
      <c r="E382" s="2">
        <f ca="1">IFERROR(__xludf.DUMMYFUNCTION("""COMPUTED_VALUE"""),65.607)</f>
        <v>65.606999999999999</v>
      </c>
      <c r="F382" s="2">
        <f ca="1">IFERROR(__xludf.DUMMYFUNCTION("""COMPUTED_VALUE"""),72.604)</f>
        <v>72.603999999999999</v>
      </c>
      <c r="G382" s="2">
        <f ca="1">IFERROR(__xludf.DUMMYFUNCTION("""COMPUTED_VALUE"""),0.55757)</f>
        <v>0.55757000000000001</v>
      </c>
      <c r="H382" s="2">
        <f ca="1">IFERROR(__xludf.DUMMYFUNCTION("""COMPUTED_VALUE"""),48.044)</f>
        <v>48.043999999999997</v>
      </c>
      <c r="I382" s="2">
        <f ca="1">IFERROR(__xludf.DUMMYFUNCTION("""COMPUTED_VALUE"""),45.838)</f>
        <v>45.838000000000001</v>
      </c>
      <c r="J382" s="2">
        <f ca="1">IFERROR(__xludf.DUMMYFUNCTION("""COMPUTED_VALUE"""),36.464)</f>
        <v>36.463999999999999</v>
      </c>
      <c r="K382" s="2">
        <f ca="1">IFERROR(__xludf.DUMMYFUNCTION("""COMPUTED_VALUE"""),47.599)</f>
        <v>47.598999999999997</v>
      </c>
      <c r="L382" s="2">
        <f ca="1">IFERROR(__xludf.DUMMYFUNCTION("""COMPUTED_VALUE"""),9.866)</f>
        <v>9.8659999999999997</v>
      </c>
      <c r="M382" s="2">
        <f ca="1">IFERROR(__xludf.DUMMYFUNCTION("""COMPUTED_VALUE"""),12.314)</f>
        <v>12.314</v>
      </c>
      <c r="U382" s="3" t="e">
        <f ca="1"/>
        <v>#NAME?</v>
      </c>
    </row>
    <row r="383" spans="3:21" ht="12.5" x14ac:dyDescent="0.25">
      <c r="C383" s="4">
        <f ca="1">IFERROR(__xludf.DUMMYFUNCTION("""COMPUTED_VALUE"""),40618.9986111111)</f>
        <v>40618.998611111099</v>
      </c>
      <c r="D383" s="2">
        <f ca="1">IFERROR(__xludf.DUMMYFUNCTION("""COMPUTED_VALUE"""),45.02)</f>
        <v>45.02</v>
      </c>
      <c r="E383" s="2">
        <f ca="1">IFERROR(__xludf.DUMMYFUNCTION("""COMPUTED_VALUE"""),65.223)</f>
        <v>65.222999999999999</v>
      </c>
      <c r="F383" s="2">
        <f ca="1">IFERROR(__xludf.DUMMYFUNCTION("""COMPUTED_VALUE"""),72.127)</f>
        <v>72.126999999999995</v>
      </c>
      <c r="G383" s="2">
        <f ca="1">IFERROR(__xludf.DUMMYFUNCTION("""COMPUTED_VALUE"""),0.55726)</f>
        <v>0.55725999999999998</v>
      </c>
      <c r="H383" s="2">
        <f ca="1">IFERROR(__xludf.DUMMYFUNCTION("""COMPUTED_VALUE"""),47.897)</f>
        <v>47.896999999999998</v>
      </c>
      <c r="I383" s="2">
        <f ca="1">IFERROR(__xludf.DUMMYFUNCTION("""COMPUTED_VALUE"""),45.577)</f>
        <v>45.576999999999998</v>
      </c>
      <c r="J383" s="2">
        <f ca="1">IFERROR(__xludf.DUMMYFUNCTION("""COMPUTED_VALUE"""),36.313)</f>
        <v>36.313000000000002</v>
      </c>
      <c r="K383" s="2">
        <f ca="1">IFERROR(__xludf.DUMMYFUNCTION("""COMPUTED_VALUE"""),47.62)</f>
        <v>47.62</v>
      </c>
      <c r="L383" s="2">
        <f ca="1">IFERROR(__xludf.DUMMYFUNCTION("""COMPUTED_VALUE"""),9.85)</f>
        <v>9.85</v>
      </c>
      <c r="M383" s="2">
        <f ca="1">IFERROR(__xludf.DUMMYFUNCTION("""COMPUTED_VALUE"""),12.303)</f>
        <v>12.303000000000001</v>
      </c>
      <c r="U383" s="3" t="e">
        <f ca="1"/>
        <v>#NAME?</v>
      </c>
    </row>
    <row r="384" spans="3:21" ht="12.5" x14ac:dyDescent="0.25">
      <c r="C384" s="4">
        <f ca="1">IFERROR(__xludf.DUMMYFUNCTION("""COMPUTED_VALUE"""),40619.9986111111)</f>
        <v>40619.998611111099</v>
      </c>
      <c r="D384" s="2">
        <f ca="1">IFERROR(__xludf.DUMMYFUNCTION("""COMPUTED_VALUE"""),45.05)</f>
        <v>45.05</v>
      </c>
      <c r="E384" s="2">
        <f ca="1">IFERROR(__xludf.DUMMYFUNCTION("""COMPUTED_VALUE"""),65.541)</f>
        <v>65.540999999999997</v>
      </c>
      <c r="F384" s="2">
        <f ca="1">IFERROR(__xludf.DUMMYFUNCTION("""COMPUTED_VALUE"""),72.724)</f>
        <v>72.724000000000004</v>
      </c>
      <c r="G384" s="2">
        <f ca="1">IFERROR(__xludf.DUMMYFUNCTION("""COMPUTED_VALUE"""),0.55736)</f>
        <v>0.55735999999999997</v>
      </c>
      <c r="H384" s="2">
        <f ca="1">IFERROR(__xludf.DUMMYFUNCTION("""COMPUTED_VALUE"""),47.813)</f>
        <v>47.813000000000002</v>
      </c>
      <c r="I384" s="2">
        <f ca="1">IFERROR(__xludf.DUMMYFUNCTION("""COMPUTED_VALUE"""),45.784)</f>
        <v>45.783999999999999</v>
      </c>
      <c r="J384" s="2">
        <f ca="1">IFERROR(__xludf.DUMMYFUNCTION("""COMPUTED_VALUE"""),36.361)</f>
        <v>36.360999999999997</v>
      </c>
      <c r="K384" s="2">
        <f ca="1">IFERROR(__xludf.DUMMYFUNCTION("""COMPUTED_VALUE"""),47.495)</f>
        <v>47.494999999999997</v>
      </c>
      <c r="L384" s="2">
        <f ca="1">IFERROR(__xludf.DUMMYFUNCTION("""COMPUTED_VALUE"""),9.8393)</f>
        <v>9.8392999999999997</v>
      </c>
      <c r="M384" s="2">
        <f ca="1">IFERROR(__xludf.DUMMYFUNCTION("""COMPUTED_VALUE"""),12.284)</f>
        <v>12.284000000000001</v>
      </c>
      <c r="U384" s="3" t="e">
        <f ca="1"/>
        <v>#NAME?</v>
      </c>
    </row>
    <row r="385" spans="3:21" ht="12.5" x14ac:dyDescent="0.25">
      <c r="C385" s="4">
        <f ca="1">IFERROR(__xludf.DUMMYFUNCTION("""COMPUTED_VALUE"""),40620.9986111111)</f>
        <v>40620.998611111099</v>
      </c>
      <c r="D385" s="2">
        <f ca="1">IFERROR(__xludf.DUMMYFUNCTION("""COMPUTED_VALUE"""),44.95)</f>
        <v>44.95</v>
      </c>
      <c r="E385" s="2">
        <f ca="1">IFERROR(__xludf.DUMMYFUNCTION("""COMPUTED_VALUE"""),65.07)</f>
        <v>65.069999999999993</v>
      </c>
      <c r="F385" s="2">
        <f ca="1">IFERROR(__xludf.DUMMYFUNCTION("""COMPUTED_VALUE"""),72.929)</f>
        <v>72.929000000000002</v>
      </c>
      <c r="G385" s="2">
        <f ca="1">IFERROR(__xludf.DUMMYFUNCTION("""COMPUTED_VALUE"""),0.55898)</f>
        <v>0.55898000000000003</v>
      </c>
      <c r="H385" s="2">
        <f ca="1">IFERROR(__xludf.DUMMYFUNCTION("""COMPUTED_VALUE"""),47.422)</f>
        <v>47.421999999999997</v>
      </c>
      <c r="I385" s="2">
        <f ca="1">IFERROR(__xludf.DUMMYFUNCTION("""COMPUTED_VALUE"""),45.603)</f>
        <v>45.603000000000002</v>
      </c>
      <c r="J385" s="2">
        <f ca="1">IFERROR(__xludf.DUMMYFUNCTION("""COMPUTED_VALUE"""),36.191)</f>
        <v>36.191000000000003</v>
      </c>
      <c r="K385" s="2">
        <f ca="1">IFERROR(__xludf.DUMMYFUNCTION("""COMPUTED_VALUE"""),47.411)</f>
        <v>47.411000000000001</v>
      </c>
      <c r="L385" s="2">
        <f ca="1">IFERROR(__xludf.DUMMYFUNCTION("""COMPUTED_VALUE"""),9.8304)</f>
        <v>9.8303999999999991</v>
      </c>
      <c r="M385" s="2">
        <f ca="1">IFERROR(__xludf.DUMMYFUNCTION("""COMPUTED_VALUE"""),12.299)</f>
        <v>12.298999999999999</v>
      </c>
      <c r="U385" s="3" t="e">
        <f ca="1"/>
        <v>#NAME?</v>
      </c>
    </row>
    <row r="386" spans="3:21" ht="12.5" x14ac:dyDescent="0.25">
      <c r="C386" s="4">
        <f ca="1">IFERROR(__xludf.DUMMYFUNCTION("""COMPUTED_VALUE"""),40622.9986111111)</f>
        <v>40622.998611111099</v>
      </c>
      <c r="D386" s="2">
        <f ca="1">IFERROR(__xludf.DUMMYFUNCTION("""COMPUTED_VALUE"""),44.998)</f>
        <v>44.997999999999998</v>
      </c>
      <c r="E386" s="2">
        <f ca="1">IFERROR(__xludf.DUMMYFUNCTION("""COMPUTED_VALUE"""),64.707)</f>
        <v>64.706999999999994</v>
      </c>
      <c r="F386" s="2">
        <f ca="1">IFERROR(__xludf.DUMMYFUNCTION("""COMPUTED_VALUE"""),73.05)</f>
        <v>73.05</v>
      </c>
      <c r="G386" s="2">
        <f ca="1">IFERROR(__xludf.DUMMYFUNCTION("""COMPUTED_VALUE"""),0.55515)</f>
        <v>0.55515000000000003</v>
      </c>
      <c r="H386" s="2">
        <f ca="1">IFERROR(__xludf.DUMMYFUNCTION("""COMPUTED_VALUE"""),47.412)</f>
        <v>47.411999999999999</v>
      </c>
      <c r="I386" s="2">
        <f ca="1">IFERROR(__xludf.DUMMYFUNCTION("""COMPUTED_VALUE"""),45.818)</f>
        <v>45.817999999999998</v>
      </c>
      <c r="J386" s="2">
        <f ca="1">IFERROR(__xludf.DUMMYFUNCTION("""COMPUTED_VALUE"""),36.26)</f>
        <v>36.26</v>
      </c>
      <c r="K386" s="2">
        <f ca="1">IFERROR(__xludf.DUMMYFUNCTION("""COMPUTED_VALUE"""),48.114)</f>
        <v>48.113999999999997</v>
      </c>
      <c r="L386" s="2">
        <f ca="1">IFERROR(__xludf.DUMMYFUNCTION("""COMPUTED_VALUE"""),9.8428)</f>
        <v>9.8428000000000004</v>
      </c>
      <c r="M386" s="2">
        <f ca="1">IFERROR(__xludf.DUMMYFUNCTION("""COMPUTED_VALUE"""),12.299)</f>
        <v>12.298999999999999</v>
      </c>
      <c r="U386" s="3" t="e">
        <f ca="1"/>
        <v>#NAME?</v>
      </c>
    </row>
    <row r="387" spans="3:21" ht="12.5" x14ac:dyDescent="0.25">
      <c r="C387" s="4">
        <f ca="1">IFERROR(__xludf.DUMMYFUNCTION("""COMPUTED_VALUE"""),40623.9986111111)</f>
        <v>40623.998611111099</v>
      </c>
      <c r="D387" s="2">
        <f ca="1">IFERROR(__xludf.DUMMYFUNCTION("""COMPUTED_VALUE"""),44.91)</f>
        <v>44.91</v>
      </c>
      <c r="E387" s="2">
        <f ca="1">IFERROR(__xludf.DUMMYFUNCTION("""COMPUTED_VALUE"""),64.125)</f>
        <v>64.125</v>
      </c>
      <c r="F387" s="2">
        <f ca="1">IFERROR(__xludf.DUMMYFUNCTION("""COMPUTED_VALUE"""),73.211)</f>
        <v>73.210999999999999</v>
      </c>
      <c r="G387" s="2">
        <f ca="1">IFERROR(__xludf.DUMMYFUNCTION("""COMPUTED_VALUE"""),0.55714)</f>
        <v>0.55713999999999997</v>
      </c>
      <c r="H387" s="2">
        <f ca="1">IFERROR(__xludf.DUMMYFUNCTION("""COMPUTED_VALUE"""),47.147)</f>
        <v>47.146999999999998</v>
      </c>
      <c r="I387" s="2">
        <f ca="1">IFERROR(__xludf.DUMMYFUNCTION("""COMPUTED_VALUE"""),45.697)</f>
        <v>45.697000000000003</v>
      </c>
      <c r="J387" s="2">
        <f ca="1">IFERROR(__xludf.DUMMYFUNCTION("""COMPUTED_VALUE"""),36.161)</f>
        <v>36.161000000000001</v>
      </c>
      <c r="K387" s="2">
        <f ca="1">IFERROR(__xludf.DUMMYFUNCTION("""COMPUTED_VALUE"""),48.323)</f>
        <v>48.323</v>
      </c>
      <c r="L387" s="2">
        <f ca="1">IFERROR(__xludf.DUMMYFUNCTION("""COMPUTED_VALUE"""),9.8722)</f>
        <v>9.8721999999999994</v>
      </c>
      <c r="M387" s="2">
        <f ca="1">IFERROR(__xludf.DUMMYFUNCTION("""COMPUTED_VALUE"""),12.274)</f>
        <v>12.273999999999999</v>
      </c>
      <c r="U387" s="3" t="e">
        <f ca="1"/>
        <v>#NAME?</v>
      </c>
    </row>
    <row r="388" spans="3:21" ht="12.5" x14ac:dyDescent="0.25">
      <c r="C388" s="4">
        <f ca="1">IFERROR(__xludf.DUMMYFUNCTION("""COMPUTED_VALUE"""),40624.9986111111)</f>
        <v>40624.998611111099</v>
      </c>
      <c r="D388" s="2">
        <f ca="1">IFERROR(__xludf.DUMMYFUNCTION("""COMPUTED_VALUE"""),44.85)</f>
        <v>44.85</v>
      </c>
      <c r="E388" s="2">
        <f ca="1">IFERROR(__xludf.DUMMYFUNCTION("""COMPUTED_VALUE"""),64.245)</f>
        <v>64.245000000000005</v>
      </c>
      <c r="F388" s="2">
        <f ca="1">IFERROR(__xludf.DUMMYFUNCTION("""COMPUTED_VALUE"""),73.432)</f>
        <v>73.432000000000002</v>
      </c>
      <c r="G388" s="2">
        <f ca="1">IFERROR(__xludf.DUMMYFUNCTION("""COMPUTED_VALUE"""),0.55716)</f>
        <v>0.55715999999999999</v>
      </c>
      <c r="H388" s="2">
        <f ca="1">IFERROR(__xludf.DUMMYFUNCTION("""COMPUTED_VALUE"""),47.248)</f>
        <v>47.247999999999998</v>
      </c>
      <c r="I388" s="2">
        <f ca="1">IFERROR(__xludf.DUMMYFUNCTION("""COMPUTED_VALUE"""),45.647)</f>
        <v>45.646999999999998</v>
      </c>
      <c r="J388" s="2">
        <f ca="1">IFERROR(__xludf.DUMMYFUNCTION("""COMPUTED_VALUE"""),36.143)</f>
        <v>36.143000000000001</v>
      </c>
      <c r="K388" s="2">
        <f ca="1">IFERROR(__xludf.DUMMYFUNCTION("""COMPUTED_VALUE"""),49.046)</f>
        <v>49.045999999999999</v>
      </c>
      <c r="L388" s="2">
        <f ca="1">IFERROR(__xludf.DUMMYFUNCTION("""COMPUTED_VALUE"""),9.8465)</f>
        <v>9.8465000000000007</v>
      </c>
      <c r="M388" s="2">
        <f ca="1">IFERROR(__xludf.DUMMYFUNCTION("""COMPUTED_VALUE"""),12.241)</f>
        <v>12.241</v>
      </c>
      <c r="U388" s="3" t="e">
        <f ca="1"/>
        <v>#NAME?</v>
      </c>
    </row>
    <row r="389" spans="3:21" ht="12.5" x14ac:dyDescent="0.25">
      <c r="C389" s="4">
        <f ca="1">IFERROR(__xludf.DUMMYFUNCTION("""COMPUTED_VALUE"""),40625.9986111111)</f>
        <v>40625.998611111099</v>
      </c>
      <c r="D389" s="2">
        <f ca="1">IFERROR(__xludf.DUMMYFUNCTION("""COMPUTED_VALUE"""),44.75)</f>
        <v>44.75</v>
      </c>
      <c r="E389" s="2">
        <f ca="1">IFERROR(__xludf.DUMMYFUNCTION("""COMPUTED_VALUE"""),64.381)</f>
        <v>64.381</v>
      </c>
      <c r="F389" s="2">
        <f ca="1">IFERROR(__xludf.DUMMYFUNCTION("""COMPUTED_VALUE"""),72.701)</f>
        <v>72.700999999999993</v>
      </c>
      <c r="G389" s="2">
        <f ca="1">IFERROR(__xludf.DUMMYFUNCTION("""COMPUTED_VALUE"""),0.55872)</f>
        <v>0.55871999999999999</v>
      </c>
      <c r="H389" s="2">
        <f ca="1">IFERROR(__xludf.DUMMYFUNCTION("""COMPUTED_VALUE"""),47.303)</f>
        <v>47.302999999999997</v>
      </c>
      <c r="I389" s="2">
        <f ca="1">IFERROR(__xludf.DUMMYFUNCTION("""COMPUTED_VALUE"""),45.793)</f>
        <v>45.792999999999999</v>
      </c>
      <c r="J389" s="2">
        <f ca="1">IFERROR(__xludf.DUMMYFUNCTION("""COMPUTED_VALUE"""),36.22)</f>
        <v>36.22</v>
      </c>
      <c r="K389" s="2">
        <f ca="1">IFERROR(__xludf.DUMMYFUNCTION("""COMPUTED_VALUE"""),48.758)</f>
        <v>48.758000000000003</v>
      </c>
      <c r="L389" s="2">
        <f ca="1">IFERROR(__xludf.DUMMYFUNCTION("""COMPUTED_VALUE"""),9.8756)</f>
        <v>9.8756000000000004</v>
      </c>
      <c r="M389" s="2">
        <f ca="1">IFERROR(__xludf.DUMMYFUNCTION("""COMPUTED_VALUE"""),12.186)</f>
        <v>12.186</v>
      </c>
      <c r="U389" s="3" t="e">
        <f ca="1"/>
        <v>#NAME?</v>
      </c>
    </row>
    <row r="390" spans="3:21" ht="12.5" x14ac:dyDescent="0.25">
      <c r="C390" s="4">
        <f ca="1">IFERROR(__xludf.DUMMYFUNCTION("""COMPUTED_VALUE"""),40626.9986111111)</f>
        <v>40626.998611111099</v>
      </c>
      <c r="D390" s="2">
        <f ca="1">IFERROR(__xludf.DUMMYFUNCTION("""COMPUTED_VALUE"""),44.6)</f>
        <v>44.6</v>
      </c>
      <c r="E390" s="2">
        <f ca="1">IFERROR(__xludf.DUMMYFUNCTION("""COMPUTED_VALUE"""),64.682)</f>
        <v>64.682000000000002</v>
      </c>
      <c r="F390" s="2">
        <f ca="1">IFERROR(__xludf.DUMMYFUNCTION("""COMPUTED_VALUE"""),71.828)</f>
        <v>71.828000000000003</v>
      </c>
      <c r="G390" s="2">
        <f ca="1">IFERROR(__xludf.DUMMYFUNCTION("""COMPUTED_VALUE"""),0.55527)</f>
        <v>0.55527000000000004</v>
      </c>
      <c r="H390" s="2">
        <f ca="1">IFERROR(__xludf.DUMMYFUNCTION("""COMPUTED_VALUE"""),47.772)</f>
        <v>47.771999999999998</v>
      </c>
      <c r="I390" s="2">
        <f ca="1">IFERROR(__xludf.DUMMYFUNCTION("""COMPUTED_VALUE"""),46.146)</f>
        <v>46.146000000000001</v>
      </c>
      <c r="J390" s="2">
        <f ca="1">IFERROR(__xludf.DUMMYFUNCTION("""COMPUTED_VALUE"""),36.315)</f>
        <v>36.314999999999998</v>
      </c>
      <c r="K390" s="2">
        <f ca="1">IFERROR(__xludf.DUMMYFUNCTION("""COMPUTED_VALUE"""),48.529)</f>
        <v>48.529000000000003</v>
      </c>
      <c r="L390" s="2">
        <f ca="1">IFERROR(__xludf.DUMMYFUNCTION("""COMPUTED_VALUE"""),9.8422)</f>
        <v>9.8422000000000001</v>
      </c>
      <c r="M390" s="2">
        <f ca="1">IFERROR(__xludf.DUMMYFUNCTION("""COMPUTED_VALUE"""),12.186)</f>
        <v>12.186</v>
      </c>
      <c r="U390" s="3" t="e">
        <f ca="1"/>
        <v>#NAME?</v>
      </c>
    </row>
    <row r="391" spans="3:21" ht="12.5" x14ac:dyDescent="0.25">
      <c r="C391" s="4">
        <f ca="1">IFERROR(__xludf.DUMMYFUNCTION("""COMPUTED_VALUE"""),40627.9986111111)</f>
        <v>40627.998611111099</v>
      </c>
      <c r="D391" s="2">
        <f ca="1">IFERROR(__xludf.DUMMYFUNCTION("""COMPUTED_VALUE"""),44.693)</f>
        <v>44.692999999999998</v>
      </c>
      <c r="E391" s="2">
        <f ca="1">IFERROR(__xludf.DUMMYFUNCTION("""COMPUTED_VALUE"""),63.377)</f>
        <v>63.377000000000002</v>
      </c>
      <c r="F391" s="2">
        <f ca="1">IFERROR(__xludf.DUMMYFUNCTION("""COMPUTED_VALUE"""),71.627)</f>
        <v>71.626999999999995</v>
      </c>
      <c r="G391" s="2">
        <f ca="1">IFERROR(__xludf.DUMMYFUNCTION("""COMPUTED_VALUE"""),0.55223)</f>
        <v>0.55223</v>
      </c>
      <c r="H391" s="2">
        <f ca="1">IFERROR(__xludf.DUMMYFUNCTION("""COMPUTED_VALUE"""),47.235)</f>
        <v>47.234999999999999</v>
      </c>
      <c r="I391" s="2">
        <f ca="1">IFERROR(__xludf.DUMMYFUNCTION("""COMPUTED_VALUE"""),45.688)</f>
        <v>45.688000000000002</v>
      </c>
      <c r="J391" s="2">
        <f ca="1">IFERROR(__xludf.DUMMYFUNCTION("""COMPUTED_VALUE"""),36.112)</f>
        <v>36.112000000000002</v>
      </c>
      <c r="K391" s="2">
        <f ca="1">IFERROR(__xludf.DUMMYFUNCTION("""COMPUTED_VALUE"""),48.281)</f>
        <v>48.280999999999999</v>
      </c>
      <c r="L391" s="2">
        <f ca="1">IFERROR(__xludf.DUMMYFUNCTION("""COMPUTED_VALUE"""),9.7507)</f>
        <v>9.7507000000000001</v>
      </c>
      <c r="M391" s="2">
        <f ca="1">IFERROR(__xludf.DUMMYFUNCTION("""COMPUTED_VALUE"""),12.186)</f>
        <v>12.186</v>
      </c>
      <c r="U391" s="3" t="e">
        <f ca="1"/>
        <v>#NAME?</v>
      </c>
    </row>
    <row r="392" spans="3:21" ht="12.5" x14ac:dyDescent="0.25">
      <c r="C392" s="4">
        <f ca="1">IFERROR(__xludf.DUMMYFUNCTION("""COMPUTED_VALUE"""),40628.9986111111)</f>
        <v>40628.998611111099</v>
      </c>
      <c r="D392" s="2">
        <f ca="1">IFERROR(__xludf.DUMMYFUNCTION("""COMPUTED_VALUE"""),44.693)</f>
        <v>44.692999999999998</v>
      </c>
      <c r="E392" s="2">
        <f ca="1">IFERROR(__xludf.DUMMYFUNCTION("""COMPUTED_VALUE"""),63.338)</f>
        <v>63.338000000000001</v>
      </c>
      <c r="F392" s="2">
        <f ca="1">IFERROR(__xludf.DUMMYFUNCTION("""COMPUTED_VALUE"""),71.591)</f>
        <v>71.590999999999994</v>
      </c>
      <c r="G392" s="2">
        <f ca="1">IFERROR(__xludf.DUMMYFUNCTION("""COMPUTED_VALUE"""),0.55457)</f>
        <v>0.55457000000000001</v>
      </c>
      <c r="H392" s="2">
        <f ca="1">IFERROR(__xludf.DUMMYFUNCTION("""COMPUTED_VALUE"""),47.169)</f>
        <v>47.168999999999997</v>
      </c>
      <c r="I392" s="2">
        <f ca="1">IFERROR(__xludf.DUMMYFUNCTION("""COMPUTED_VALUE"""),45.464)</f>
        <v>45.463999999999999</v>
      </c>
      <c r="J392" s="2">
        <f ca="1">IFERROR(__xludf.DUMMYFUNCTION("""COMPUTED_VALUE"""),36.061)</f>
        <v>36.061</v>
      </c>
      <c r="K392" s="2">
        <f ca="1">IFERROR(__xludf.DUMMYFUNCTION("""COMPUTED_VALUE"""),48.496)</f>
        <v>48.496000000000002</v>
      </c>
      <c r="L392" s="2">
        <f ca="1">IFERROR(__xludf.DUMMYFUNCTION("""COMPUTED_VALUE"""),9.8019)</f>
        <v>9.8018999999999998</v>
      </c>
      <c r="M392" s="2">
        <f ca="1">IFERROR(__xludf.DUMMYFUNCTION("""COMPUTED_VALUE"""),12.186)</f>
        <v>12.186</v>
      </c>
      <c r="U392" s="3" t="e">
        <f ca="1"/>
        <v>#NAME?</v>
      </c>
    </row>
    <row r="393" spans="3:21" ht="12.5" x14ac:dyDescent="0.25">
      <c r="C393" s="4">
        <f ca="1">IFERROR(__xludf.DUMMYFUNCTION("""COMPUTED_VALUE"""),40629.9986111111)</f>
        <v>40629.998611111099</v>
      </c>
      <c r="D393" s="2">
        <f ca="1">IFERROR(__xludf.DUMMYFUNCTION("""COMPUTED_VALUE"""),44.693)</f>
        <v>44.692999999999998</v>
      </c>
      <c r="E393" s="2">
        <f ca="1">IFERROR(__xludf.DUMMYFUNCTION("""COMPUTED_VALUE"""),64.139)</f>
        <v>64.138999999999996</v>
      </c>
      <c r="F393" s="2">
        <f ca="1">IFERROR(__xludf.DUMMYFUNCTION("""COMPUTED_VALUE"""),71.632)</f>
        <v>71.632000000000005</v>
      </c>
      <c r="G393" s="2">
        <f ca="1">IFERROR(__xludf.DUMMYFUNCTION("""COMPUTED_VALUE"""),0.55909)</f>
        <v>0.55908999999999998</v>
      </c>
      <c r="H393" s="2">
        <f ca="1">IFERROR(__xludf.DUMMYFUNCTION("""COMPUTED_VALUE"""),47.538)</f>
        <v>47.537999999999997</v>
      </c>
      <c r="I393" s="2">
        <f ca="1">IFERROR(__xludf.DUMMYFUNCTION("""COMPUTED_VALUE"""),45.707)</f>
        <v>45.707000000000001</v>
      </c>
      <c r="J393" s="2">
        <f ca="1">IFERROR(__xludf.DUMMYFUNCTION("""COMPUTED_VALUE"""),36.306)</f>
        <v>36.305999999999997</v>
      </c>
      <c r="K393" s="2">
        <f ca="1">IFERROR(__xludf.DUMMYFUNCTION("""COMPUTED_VALUE"""),48.158)</f>
        <v>48.158000000000001</v>
      </c>
      <c r="L393" s="2">
        <f ca="1">IFERROR(__xludf.DUMMYFUNCTION("""COMPUTED_VALUE"""),9.8183)</f>
        <v>9.8183000000000007</v>
      </c>
      <c r="M393" s="2">
        <f ca="1">IFERROR(__xludf.DUMMYFUNCTION("""COMPUTED_VALUE"""),12.203)</f>
        <v>12.202999999999999</v>
      </c>
      <c r="U393" s="3" t="e">
        <f ca="1"/>
        <v>#NAME?</v>
      </c>
    </row>
    <row r="394" spans="3:21" ht="12.5" x14ac:dyDescent="0.25">
      <c r="C394" s="4">
        <f ca="1">IFERROR(__xludf.DUMMYFUNCTION("""COMPUTED_VALUE"""),40630.9986111111)</f>
        <v>40630.998611111099</v>
      </c>
      <c r="D394" s="2">
        <f ca="1">IFERROR(__xludf.DUMMYFUNCTION("""COMPUTED_VALUE"""),44.7)</f>
        <v>44.7</v>
      </c>
      <c r="E394" s="2">
        <f ca="1">IFERROR(__xludf.DUMMYFUNCTION("""COMPUTED_VALUE"""),64.128)</f>
        <v>64.128</v>
      </c>
      <c r="F394" s="2">
        <f ca="1">IFERROR(__xludf.DUMMYFUNCTION("""COMPUTED_VALUE"""),71.545)</f>
        <v>71.545000000000002</v>
      </c>
      <c r="G394" s="2">
        <f ca="1">IFERROR(__xludf.DUMMYFUNCTION("""COMPUTED_VALUE"""),0.5587)</f>
        <v>0.55869999999999997</v>
      </c>
      <c r="H394" s="2">
        <f ca="1">IFERROR(__xludf.DUMMYFUNCTION("""COMPUTED_VALUE"""),47.601)</f>
        <v>47.600999999999999</v>
      </c>
      <c r="I394" s="2">
        <f ca="1">IFERROR(__xludf.DUMMYFUNCTION("""COMPUTED_VALUE"""),45.712)</f>
        <v>45.712000000000003</v>
      </c>
      <c r="J394" s="2">
        <f ca="1">IFERROR(__xludf.DUMMYFUNCTION("""COMPUTED_VALUE"""),36.27)</f>
        <v>36.270000000000003</v>
      </c>
      <c r="K394" s="2">
        <f ca="1">IFERROR(__xludf.DUMMYFUNCTION("""COMPUTED_VALUE"""),48.443)</f>
        <v>48.442999999999998</v>
      </c>
      <c r="L394" s="2">
        <f ca="1">IFERROR(__xludf.DUMMYFUNCTION("""COMPUTED_VALUE"""),9.9011)</f>
        <v>9.9010999999999996</v>
      </c>
      <c r="M394" s="2">
        <f ca="1">IFERROR(__xludf.DUMMYFUNCTION("""COMPUTED_VALUE"""),12.162)</f>
        <v>12.162000000000001</v>
      </c>
      <c r="U394" s="3" t="e">
        <f ca="1"/>
        <v>#NAME?</v>
      </c>
    </row>
    <row r="395" spans="3:21" ht="12.5" x14ac:dyDescent="0.25">
      <c r="C395" s="4">
        <f ca="1">IFERROR(__xludf.DUMMYFUNCTION("""COMPUTED_VALUE"""),40631.9986111111)</f>
        <v>40631.998611111099</v>
      </c>
      <c r="D395" s="2">
        <f ca="1">IFERROR(__xludf.DUMMYFUNCTION("""COMPUTED_VALUE"""),44.66)</f>
        <v>44.66</v>
      </c>
      <c r="E395" s="2">
        <f ca="1">IFERROR(__xludf.DUMMYFUNCTION("""COMPUTED_VALUE"""),64.227)</f>
        <v>64.227000000000004</v>
      </c>
      <c r="F395" s="2">
        <f ca="1">IFERROR(__xludf.DUMMYFUNCTION("""COMPUTED_VALUE"""),71.399)</f>
        <v>71.399000000000001</v>
      </c>
      <c r="G395" s="2">
        <f ca="1">IFERROR(__xludf.DUMMYFUNCTION("""COMPUTED_VALUE"""),0.55893)</f>
        <v>0.55893000000000004</v>
      </c>
      <c r="H395" s="2">
        <f ca="1">IFERROR(__xludf.DUMMYFUNCTION("""COMPUTED_VALUE"""),47.5)</f>
        <v>47.5</v>
      </c>
      <c r="I395" s="2">
        <f ca="1">IFERROR(__xludf.DUMMYFUNCTION("""COMPUTED_VALUE"""),45.847)</f>
        <v>45.847000000000001</v>
      </c>
      <c r="J395" s="2">
        <f ca="1">IFERROR(__xludf.DUMMYFUNCTION("""COMPUTED_VALUE"""),36.325)</f>
        <v>36.325000000000003</v>
      </c>
      <c r="K395" s="2">
        <f ca="1">IFERROR(__xludf.DUMMYFUNCTION("""COMPUTED_VALUE"""),48.411)</f>
        <v>48.411000000000001</v>
      </c>
      <c r="L395" s="2">
        <f ca="1">IFERROR(__xludf.DUMMYFUNCTION("""COMPUTED_VALUE"""),9.9011)</f>
        <v>9.9010999999999996</v>
      </c>
      <c r="M395" s="2">
        <f ca="1">IFERROR(__xludf.DUMMYFUNCTION("""COMPUTED_VALUE"""),12.146)</f>
        <v>12.146000000000001</v>
      </c>
      <c r="U395" s="3" t="e">
        <f ca="1"/>
        <v>#NAME?</v>
      </c>
    </row>
    <row r="396" spans="3:21" ht="12.5" x14ac:dyDescent="0.25">
      <c r="C396" s="4">
        <f ca="1">IFERROR(__xludf.DUMMYFUNCTION("""COMPUTED_VALUE"""),40632.9986111111)</f>
        <v>40632.998611111099</v>
      </c>
      <c r="D396" s="2">
        <f ca="1">IFERROR(__xludf.DUMMYFUNCTION("""COMPUTED_VALUE"""),44.61)</f>
        <v>44.61</v>
      </c>
      <c r="E396" s="2">
        <f ca="1">IFERROR(__xludf.DUMMYFUNCTION("""COMPUTED_VALUE"""),64.49)</f>
        <v>64.489999999999995</v>
      </c>
      <c r="F396" s="2">
        <f ca="1">IFERROR(__xludf.DUMMYFUNCTION("""COMPUTED_VALUE"""),71.697)</f>
        <v>71.697000000000003</v>
      </c>
      <c r="G396" s="2">
        <f ca="1">IFERROR(__xludf.DUMMYFUNCTION("""COMPUTED_VALUE"""),0.55835)</f>
        <v>0.55835000000000001</v>
      </c>
      <c r="H396" s="2">
        <f ca="1">IFERROR(__xludf.DUMMYFUNCTION("""COMPUTED_VALUE"""),47.466)</f>
        <v>47.466000000000001</v>
      </c>
      <c r="I396" s="2">
        <f ca="1">IFERROR(__xludf.DUMMYFUNCTION("""COMPUTED_VALUE"""),46.035)</f>
        <v>46.034999999999997</v>
      </c>
      <c r="J396" s="2">
        <f ca="1">IFERROR(__xludf.DUMMYFUNCTION("""COMPUTED_VALUE"""),36.35)</f>
        <v>36.35</v>
      </c>
      <c r="K396" s="2">
        <f ca="1">IFERROR(__xludf.DUMMYFUNCTION("""COMPUTED_VALUE"""),48.556)</f>
        <v>48.555999999999997</v>
      </c>
      <c r="L396" s="2">
        <f ca="1">IFERROR(__xludf.DUMMYFUNCTION("""COMPUTED_VALUE"""),9.9011)</f>
        <v>9.9010999999999996</v>
      </c>
      <c r="M396" s="2">
        <f ca="1">IFERROR(__xludf.DUMMYFUNCTION("""COMPUTED_VALUE"""),12.159)</f>
        <v>12.159000000000001</v>
      </c>
      <c r="U396" s="3" t="e">
        <f ca="1"/>
        <v>#NAME?</v>
      </c>
    </row>
    <row r="397" spans="3:21" ht="12.5" x14ac:dyDescent="0.25">
      <c r="C397" s="4">
        <f ca="1">IFERROR(__xludf.DUMMYFUNCTION("""COMPUTED_VALUE"""),40633.9986111111)</f>
        <v>40633.998611111099</v>
      </c>
      <c r="D397" s="2">
        <f ca="1">IFERROR(__xludf.DUMMYFUNCTION("""COMPUTED_VALUE"""),44.45)</f>
        <v>44.45</v>
      </c>
      <c r="E397" s="2">
        <f ca="1">IFERROR(__xludf.DUMMYFUNCTION("""COMPUTED_VALUE"""),64.44)</f>
        <v>64.44</v>
      </c>
      <c r="F397" s="2">
        <f ca="1">IFERROR(__xludf.DUMMYFUNCTION("""COMPUTED_VALUE"""),71.312)</f>
        <v>71.311999999999998</v>
      </c>
      <c r="G397" s="2">
        <f ca="1">IFERROR(__xludf.DUMMYFUNCTION("""COMPUTED_VALUE"""),0.5576)</f>
        <v>0.55759999999999998</v>
      </c>
      <c r="H397" s="2">
        <f ca="1">IFERROR(__xludf.DUMMYFUNCTION("""COMPUTED_VALUE"""),47.531)</f>
        <v>47.530999999999999</v>
      </c>
      <c r="I397" s="2">
        <f ca="1">IFERROR(__xludf.DUMMYFUNCTION("""COMPUTED_VALUE"""),46.024)</f>
        <v>46.024000000000001</v>
      </c>
      <c r="J397" s="2">
        <f ca="1">IFERROR(__xludf.DUMMYFUNCTION("""COMPUTED_VALUE"""),36.358)</f>
        <v>36.357999999999997</v>
      </c>
      <c r="K397" s="2">
        <f ca="1">IFERROR(__xludf.DUMMYFUNCTION("""COMPUTED_VALUE"""),47.992)</f>
        <v>47.991999999999997</v>
      </c>
      <c r="L397" s="2">
        <f ca="1">IFERROR(__xludf.DUMMYFUNCTION("""COMPUTED_VALUE"""),9.889)</f>
        <v>9.8889999999999993</v>
      </c>
      <c r="M397" s="2">
        <f ca="1">IFERROR(__xludf.DUMMYFUNCTION("""COMPUTED_VALUE"""),12.143)</f>
        <v>12.143000000000001</v>
      </c>
      <c r="U397" s="3" t="e">
        <f ca="1"/>
        <v>#NAME?</v>
      </c>
    </row>
    <row r="398" spans="3:21" ht="12.5" x14ac:dyDescent="0.25">
      <c r="C398" s="4">
        <f ca="1">IFERROR(__xludf.DUMMYFUNCTION("""COMPUTED_VALUE"""),40634.9986111111)</f>
        <v>40634.998611111099</v>
      </c>
      <c r="D398" s="2">
        <f ca="1">IFERROR(__xludf.DUMMYFUNCTION("""COMPUTED_VALUE"""),44.41)</f>
        <v>44.41</v>
      </c>
      <c r="E398" s="2">
        <f ca="1">IFERROR(__xludf.DUMMYFUNCTION("""COMPUTED_VALUE"""),63.797)</f>
        <v>63.796999999999997</v>
      </c>
      <c r="F398" s="2">
        <f ca="1">IFERROR(__xludf.DUMMYFUNCTION("""COMPUTED_VALUE"""),71.585)</f>
        <v>71.584999999999994</v>
      </c>
      <c r="G398" s="2">
        <f ca="1">IFERROR(__xludf.DUMMYFUNCTION("""COMPUTED_VALUE"""),0.55697)</f>
        <v>0.55696999999999997</v>
      </c>
      <c r="H398" s="2">
        <f ca="1">IFERROR(__xludf.DUMMYFUNCTION("""COMPUTED_VALUE"""),47.108)</f>
        <v>47.107999999999997</v>
      </c>
      <c r="I398" s="2">
        <f ca="1">IFERROR(__xludf.DUMMYFUNCTION("""COMPUTED_VALUE"""),45.777)</f>
        <v>45.777000000000001</v>
      </c>
      <c r="J398" s="2">
        <f ca="1">IFERROR(__xludf.DUMMYFUNCTION("""COMPUTED_VALUE"""),36.248)</f>
        <v>36.247999999999998</v>
      </c>
      <c r="K398" s="2">
        <f ca="1">IFERROR(__xludf.DUMMYFUNCTION("""COMPUTED_VALUE"""),48.267)</f>
        <v>48.267000000000003</v>
      </c>
      <c r="L398" s="2">
        <f ca="1">IFERROR(__xludf.DUMMYFUNCTION("""COMPUTED_VALUE"""),9.8696)</f>
        <v>9.8696000000000002</v>
      </c>
      <c r="M398" s="2">
        <f ca="1">IFERROR(__xludf.DUMMYFUNCTION("""COMPUTED_VALUE"""),12.173)</f>
        <v>12.173</v>
      </c>
      <c r="U398" s="3" t="e">
        <f ca="1"/>
        <v>#NAME?</v>
      </c>
    </row>
    <row r="399" spans="3:21" ht="12.5" x14ac:dyDescent="0.25">
      <c r="C399" s="4">
        <f ca="1">IFERROR(__xludf.DUMMYFUNCTION("""COMPUTED_VALUE"""),40636.9986111111)</f>
        <v>40636.998611111099</v>
      </c>
      <c r="D399" s="2">
        <f ca="1">IFERROR(__xludf.DUMMYFUNCTION("""COMPUTED_VALUE"""),44.448)</f>
        <v>44.448</v>
      </c>
      <c r="E399" s="2">
        <f ca="1">IFERROR(__xludf.DUMMYFUNCTION("""COMPUTED_VALUE"""),63.757)</f>
        <v>63.756999999999998</v>
      </c>
      <c r="F399" s="2">
        <f ca="1">IFERROR(__xludf.DUMMYFUNCTION("""COMPUTED_VALUE"""),71.634)</f>
        <v>71.634</v>
      </c>
      <c r="G399" s="2">
        <f ca="1">IFERROR(__xludf.DUMMYFUNCTION("""COMPUTED_VALUE"""),0.55842)</f>
        <v>0.55842000000000003</v>
      </c>
      <c r="H399" s="2">
        <f ca="1">IFERROR(__xludf.DUMMYFUNCTION("""COMPUTED_VALUE"""),47.189)</f>
        <v>47.189</v>
      </c>
      <c r="I399" s="2">
        <f ca="1">IFERROR(__xludf.DUMMYFUNCTION("""COMPUTED_VALUE"""),45.516)</f>
        <v>45.515999999999998</v>
      </c>
      <c r="J399" s="2">
        <f ca="1">IFERROR(__xludf.DUMMYFUNCTION("""COMPUTED_VALUE"""),36.295)</f>
        <v>36.295000000000002</v>
      </c>
      <c r="K399" s="2">
        <f ca="1">IFERROR(__xludf.DUMMYFUNCTION("""COMPUTED_VALUE"""),48.364)</f>
        <v>48.363999999999997</v>
      </c>
      <c r="L399" s="2">
        <f ca="1">IFERROR(__xludf.DUMMYFUNCTION("""COMPUTED_VALUE"""),10.003)</f>
        <v>10.003</v>
      </c>
      <c r="M399" s="2">
        <f ca="1">IFERROR(__xludf.DUMMYFUNCTION("""COMPUTED_VALUE"""),12.176)</f>
        <v>12.176</v>
      </c>
      <c r="U399" s="3" t="e">
        <f ca="1"/>
        <v>#NAME?</v>
      </c>
    </row>
    <row r="400" spans="3:21" ht="12.5" x14ac:dyDescent="0.25">
      <c r="C400" s="4">
        <f ca="1">IFERROR(__xludf.DUMMYFUNCTION("""COMPUTED_VALUE"""),40637.9986111111)</f>
        <v>40637.998611111099</v>
      </c>
      <c r="D400" s="2">
        <f ca="1">IFERROR(__xludf.DUMMYFUNCTION("""COMPUTED_VALUE"""),44.318)</f>
        <v>44.317999999999998</v>
      </c>
      <c r="E400" s="2">
        <f ca="1">IFERROR(__xludf.DUMMYFUNCTION("""COMPUTED_VALUE"""),63.831)</f>
        <v>63.831000000000003</v>
      </c>
      <c r="F400" s="2">
        <f ca="1">IFERROR(__xludf.DUMMYFUNCTION("""COMPUTED_VALUE"""),71.501)</f>
        <v>71.501000000000005</v>
      </c>
      <c r="G400" s="2">
        <f ca="1">IFERROR(__xludf.DUMMYFUNCTION("""COMPUTED_VALUE"""),0.56004)</f>
        <v>0.56003999999999998</v>
      </c>
      <c r="H400" s="2">
        <f ca="1">IFERROR(__xludf.DUMMYFUNCTION("""COMPUTED_VALUE"""),47.235)</f>
        <v>47.234999999999999</v>
      </c>
      <c r="I400" s="2">
        <f ca="1">IFERROR(__xludf.DUMMYFUNCTION("""COMPUTED_VALUE"""),45.528)</f>
        <v>45.527999999999999</v>
      </c>
      <c r="J400" s="2">
        <f ca="1">IFERROR(__xludf.DUMMYFUNCTION("""COMPUTED_VALUE"""),36.401)</f>
        <v>36.401000000000003</v>
      </c>
      <c r="K400" s="2">
        <f ca="1">IFERROR(__xludf.DUMMYFUNCTION("""COMPUTED_VALUE"""),48.46)</f>
        <v>48.46</v>
      </c>
      <c r="L400" s="2">
        <f ca="1">IFERROR(__xludf.DUMMYFUNCTION("""COMPUTED_VALUE"""),9.8731)</f>
        <v>9.8731000000000009</v>
      </c>
      <c r="M400" s="2">
        <f ca="1">IFERROR(__xludf.DUMMYFUNCTION("""COMPUTED_VALUE"""),12.176)</f>
        <v>12.176</v>
      </c>
      <c r="U400" s="3" t="e">
        <f ca="1"/>
        <v>#NAME?</v>
      </c>
    </row>
    <row r="401" spans="3:21" ht="12.5" x14ac:dyDescent="0.25">
      <c r="C401" s="4">
        <f ca="1">IFERROR(__xludf.DUMMYFUNCTION("""COMPUTED_VALUE"""),40638.9986111111)</f>
        <v>40638.998611111099</v>
      </c>
      <c r="D401" s="2">
        <f ca="1">IFERROR(__xludf.DUMMYFUNCTION("""COMPUTED_VALUE"""),44.3)</f>
        <v>44.3</v>
      </c>
      <c r="E401" s="2">
        <f ca="1">IFERROR(__xludf.DUMMYFUNCTION("""COMPUTED_VALUE"""),64.182)</f>
        <v>64.182000000000002</v>
      </c>
      <c r="F401" s="2">
        <f ca="1">IFERROR(__xludf.DUMMYFUNCTION("""COMPUTED_VALUE"""),72.135)</f>
        <v>72.135000000000005</v>
      </c>
      <c r="G401" s="2">
        <f ca="1">IFERROR(__xludf.DUMMYFUNCTION("""COMPUTED_VALUE"""),0.55566)</f>
        <v>0.55566000000000004</v>
      </c>
      <c r="H401" s="2">
        <f ca="1">IFERROR(__xludf.DUMMYFUNCTION("""COMPUTED_VALUE"""),46.935)</f>
        <v>46.935000000000002</v>
      </c>
      <c r="I401" s="2">
        <f ca="1">IFERROR(__xludf.DUMMYFUNCTION("""COMPUTED_VALUE"""),45.556)</f>
        <v>45.555999999999997</v>
      </c>
      <c r="J401" s="2">
        <f ca="1">IFERROR(__xludf.DUMMYFUNCTION("""COMPUTED_VALUE"""),36.187)</f>
        <v>36.186999999999998</v>
      </c>
      <c r="K401" s="2">
        <f ca="1">IFERROR(__xludf.DUMMYFUNCTION("""COMPUTED_VALUE"""),48.711)</f>
        <v>48.710999999999999</v>
      </c>
      <c r="L401" s="2">
        <f ca="1">IFERROR(__xludf.DUMMYFUNCTION("""COMPUTED_VALUE"""),9.887)</f>
        <v>9.8870000000000005</v>
      </c>
      <c r="M401" s="2">
        <f ca="1">IFERROR(__xludf.DUMMYFUNCTION("""COMPUTED_VALUE"""),12.197)</f>
        <v>12.196999999999999</v>
      </c>
      <c r="U401" s="3" t="e">
        <f ca="1"/>
        <v>#NAME?</v>
      </c>
    </row>
    <row r="402" spans="3:21" ht="12.5" x14ac:dyDescent="0.25">
      <c r="C402" s="4">
        <f ca="1">IFERROR(__xludf.DUMMYFUNCTION("""COMPUTED_VALUE"""),40639.9986111111)</f>
        <v>40639.998611111099</v>
      </c>
      <c r="D402" s="2">
        <f ca="1">IFERROR(__xludf.DUMMYFUNCTION("""COMPUTED_VALUE"""),44.05)</f>
        <v>44.05</v>
      </c>
      <c r="E402" s="2">
        <f ca="1">IFERROR(__xludf.DUMMYFUNCTION("""COMPUTED_VALUE"""),64.509)</f>
        <v>64.509</v>
      </c>
      <c r="F402" s="2">
        <f ca="1">IFERROR(__xludf.DUMMYFUNCTION("""COMPUTED_VALUE"""),71.938)</f>
        <v>71.938000000000002</v>
      </c>
      <c r="G402" s="2">
        <f ca="1">IFERROR(__xludf.DUMMYFUNCTION("""COMPUTED_VALUE"""),0.55389)</f>
        <v>0.55388999999999999</v>
      </c>
      <c r="H402" s="2">
        <f ca="1">IFERROR(__xludf.DUMMYFUNCTION("""COMPUTED_VALUE"""),47.313)</f>
        <v>47.313000000000002</v>
      </c>
      <c r="I402" s="2">
        <f ca="1">IFERROR(__xludf.DUMMYFUNCTION("""COMPUTED_VALUE"""),45.722)</f>
        <v>45.722000000000001</v>
      </c>
      <c r="J402" s="2">
        <f ca="1">IFERROR(__xludf.DUMMYFUNCTION("""COMPUTED_VALUE"""),36.292)</f>
        <v>36.292000000000002</v>
      </c>
      <c r="K402" s="2">
        <f ca="1">IFERROR(__xludf.DUMMYFUNCTION("""COMPUTED_VALUE"""),48.636)</f>
        <v>48.636000000000003</v>
      </c>
      <c r="L402" s="2">
        <f ca="1">IFERROR(__xludf.DUMMYFUNCTION("""COMPUTED_VALUE"""),9.887)</f>
        <v>9.8870000000000005</v>
      </c>
      <c r="M402" s="2">
        <f ca="1">IFERROR(__xludf.DUMMYFUNCTION("""COMPUTED_VALUE"""),12.181)</f>
        <v>12.180999999999999</v>
      </c>
      <c r="U402" s="3" t="e">
        <f ca="1"/>
        <v>#NAME?</v>
      </c>
    </row>
    <row r="403" spans="3:21" ht="12.5" x14ac:dyDescent="0.25">
      <c r="C403" s="4">
        <f ca="1">IFERROR(__xludf.DUMMYFUNCTION("""COMPUTED_VALUE"""),40640.9986111111)</f>
        <v>40640.998611111099</v>
      </c>
      <c r="D403" s="2">
        <f ca="1">IFERROR(__xludf.DUMMYFUNCTION("""COMPUTED_VALUE"""),44.1)</f>
        <v>44.1</v>
      </c>
      <c r="E403" s="2">
        <f ca="1">IFERROR(__xludf.DUMMYFUNCTION("""COMPUTED_VALUE"""),64.58)</f>
        <v>64.58</v>
      </c>
      <c r="F403" s="2">
        <f ca="1">IFERROR(__xludf.DUMMYFUNCTION("""COMPUTED_VALUE"""),71.896)</f>
        <v>71.896000000000001</v>
      </c>
      <c r="G403" s="2">
        <f ca="1">IFERROR(__xludf.DUMMYFUNCTION("""COMPUTED_VALUE"""),0.55345)</f>
        <v>0.55345</v>
      </c>
      <c r="H403" s="2">
        <f ca="1">IFERROR(__xludf.DUMMYFUNCTION("""COMPUTED_VALUE"""),47.72)</f>
        <v>47.72</v>
      </c>
      <c r="I403" s="2">
        <f ca="1">IFERROR(__xludf.DUMMYFUNCTION("""COMPUTED_VALUE"""),46.104)</f>
        <v>46.103999999999999</v>
      </c>
      <c r="J403" s="2">
        <f ca="1">IFERROR(__xludf.DUMMYFUNCTION("""COMPUTED_VALUE"""),36.305)</f>
        <v>36.305</v>
      </c>
      <c r="K403" s="2">
        <f ca="1">IFERROR(__xludf.DUMMYFUNCTION("""COMPUTED_VALUE"""),49.28)</f>
        <v>49.28</v>
      </c>
      <c r="L403" s="2">
        <f ca="1">IFERROR(__xludf.DUMMYFUNCTION("""COMPUTED_VALUE"""),9.8927)</f>
        <v>9.8926999999999996</v>
      </c>
      <c r="M403" s="2">
        <f ca="1">IFERROR(__xludf.DUMMYFUNCTION("""COMPUTED_VALUE"""),12.173)</f>
        <v>12.173</v>
      </c>
      <c r="U403" s="3" t="e">
        <f ca="1"/>
        <v>#NAME?</v>
      </c>
    </row>
    <row r="404" spans="3:21" ht="12.5" x14ac:dyDescent="0.25">
      <c r="C404" s="4">
        <f ca="1">IFERROR(__xludf.DUMMYFUNCTION("""COMPUTED_VALUE"""),40641.9986111111)</f>
        <v>40641.998611111099</v>
      </c>
      <c r="D404" s="2">
        <f ca="1">IFERROR(__xludf.DUMMYFUNCTION("""COMPUTED_VALUE"""),44.063)</f>
        <v>44.063000000000002</v>
      </c>
      <c r="E404" s="2">
        <f ca="1">IFERROR(__xludf.DUMMYFUNCTION("""COMPUTED_VALUE"""),64.69)</f>
        <v>64.69</v>
      </c>
      <c r="F404" s="2">
        <f ca="1">IFERROR(__xludf.DUMMYFUNCTION("""COMPUTED_VALUE"""),72.007)</f>
        <v>72.007000000000005</v>
      </c>
      <c r="G404" s="2">
        <f ca="1">IFERROR(__xludf.DUMMYFUNCTION("""COMPUTED_VALUE"""),0.55329)</f>
        <v>0.55328999999999995</v>
      </c>
      <c r="H404" s="2">
        <f ca="1">IFERROR(__xludf.DUMMYFUNCTION("""COMPUTED_VALUE"""),47.809)</f>
        <v>47.808999999999997</v>
      </c>
      <c r="I404" s="2">
        <f ca="1">IFERROR(__xludf.DUMMYFUNCTION("""COMPUTED_VALUE"""),46.22)</f>
        <v>46.22</v>
      </c>
      <c r="J404" s="2">
        <f ca="1">IFERROR(__xludf.DUMMYFUNCTION("""COMPUTED_VALUE"""),36.293)</f>
        <v>36.292999999999999</v>
      </c>
      <c r="K404" s="2">
        <f ca="1">IFERROR(__xludf.DUMMYFUNCTION("""COMPUTED_VALUE"""),49.551)</f>
        <v>49.551000000000002</v>
      </c>
      <c r="L404" s="2">
        <f ca="1">IFERROR(__xludf.DUMMYFUNCTION("""COMPUTED_VALUE"""),9.9155)</f>
        <v>9.9154999999999998</v>
      </c>
      <c r="M404" s="2">
        <f ca="1">IFERROR(__xludf.DUMMYFUNCTION("""COMPUTED_VALUE"""),12.197)</f>
        <v>12.196999999999999</v>
      </c>
      <c r="U404" s="3" t="e">
        <f ca="1"/>
        <v>#NAME?</v>
      </c>
    </row>
    <row r="405" spans="3:21" ht="12.5" x14ac:dyDescent="0.25">
      <c r="C405" s="4">
        <f ca="1">IFERROR(__xludf.DUMMYFUNCTION("""COMPUTED_VALUE"""),40642.9986111111)</f>
        <v>40642.998611111099</v>
      </c>
      <c r="D405" s="2">
        <f ca="1">IFERROR(__xludf.DUMMYFUNCTION("""COMPUTED_VALUE"""),44.063)</f>
        <v>44.063000000000002</v>
      </c>
      <c r="E405" s="2">
        <f ca="1">IFERROR(__xludf.DUMMYFUNCTION("""COMPUTED_VALUE"""),64.614)</f>
        <v>64.614000000000004</v>
      </c>
      <c r="F405" s="2">
        <f ca="1">IFERROR(__xludf.DUMMYFUNCTION("""COMPUTED_VALUE"""),72.23)</f>
        <v>72.23</v>
      </c>
      <c r="G405" s="2">
        <f ca="1">IFERROR(__xludf.DUMMYFUNCTION("""COMPUTED_VALUE"""),0.5503)</f>
        <v>0.55030000000000001</v>
      </c>
      <c r="H405" s="2">
        <f ca="1">IFERROR(__xludf.DUMMYFUNCTION("""COMPUTED_VALUE"""),47.945)</f>
        <v>47.945</v>
      </c>
      <c r="I405" s="2">
        <f ca="1">IFERROR(__xludf.DUMMYFUNCTION("""COMPUTED_VALUE"""),46.395)</f>
        <v>46.395000000000003</v>
      </c>
      <c r="J405" s="2">
        <f ca="1">IFERROR(__xludf.DUMMYFUNCTION("""COMPUTED_VALUE"""),36.274)</f>
        <v>36.274000000000001</v>
      </c>
      <c r="K405" s="2">
        <f ca="1">IFERROR(__xludf.DUMMYFUNCTION("""COMPUTED_VALUE"""),50.117)</f>
        <v>50.116999999999997</v>
      </c>
      <c r="L405" s="2">
        <f ca="1">IFERROR(__xludf.DUMMYFUNCTION("""COMPUTED_VALUE"""),9.9312)</f>
        <v>9.9312000000000005</v>
      </c>
      <c r="M405" s="2">
        <f ca="1">IFERROR(__xludf.DUMMYFUNCTION("""COMPUTED_VALUE"""),12.192)</f>
        <v>12.192</v>
      </c>
      <c r="U405" s="3" t="e">
        <f ca="1"/>
        <v>#NAME?</v>
      </c>
    </row>
    <row r="406" spans="3:21" ht="12.5" x14ac:dyDescent="0.25">
      <c r="C406" s="4">
        <f ca="1">IFERROR(__xludf.DUMMYFUNCTION("""COMPUTED_VALUE"""),40644.9986111111)</f>
        <v>40644.998611111099</v>
      </c>
      <c r="D406" s="2">
        <f ca="1">IFERROR(__xludf.DUMMYFUNCTION("""COMPUTED_VALUE"""),44.26)</f>
        <v>44.26</v>
      </c>
      <c r="E406" s="2">
        <f ca="1">IFERROR(__xludf.DUMMYFUNCTION("""COMPUTED_VALUE"""),64.819)</f>
        <v>64.819000000000003</v>
      </c>
      <c r="F406" s="2">
        <f ca="1">IFERROR(__xludf.DUMMYFUNCTION("""COMPUTED_VALUE"""),72.497)</f>
        <v>72.497</v>
      </c>
      <c r="G406" s="2">
        <f ca="1">IFERROR(__xludf.DUMMYFUNCTION("""COMPUTED_VALUE"""),0.55213)</f>
        <v>0.55213000000000001</v>
      </c>
      <c r="H406" s="2">
        <f ca="1">IFERROR(__xludf.DUMMYFUNCTION("""COMPUTED_VALUE"""),48.133)</f>
        <v>48.133000000000003</v>
      </c>
      <c r="I406" s="2">
        <f ca="1">IFERROR(__xludf.DUMMYFUNCTION("""COMPUTED_VALUE"""),46.55)</f>
        <v>46.55</v>
      </c>
      <c r="J406" s="2">
        <f ca="1">IFERROR(__xludf.DUMMYFUNCTION("""COMPUTED_VALUE"""),36.39)</f>
        <v>36.39</v>
      </c>
      <c r="K406" s="2">
        <f ca="1">IFERROR(__xludf.DUMMYFUNCTION("""COMPUTED_VALUE"""),49.876)</f>
        <v>49.875999999999998</v>
      </c>
      <c r="L406" s="2">
        <f ca="1">IFERROR(__xludf.DUMMYFUNCTION("""COMPUTED_VALUE"""),9.9253)</f>
        <v>9.9253</v>
      </c>
      <c r="M406" s="2">
        <f ca="1">IFERROR(__xludf.DUMMYFUNCTION("""COMPUTED_VALUE"""),12.187)</f>
        <v>12.186999999999999</v>
      </c>
      <c r="U406" s="3" t="e">
        <f ca="1"/>
        <v>#NAME?</v>
      </c>
    </row>
    <row r="407" spans="3:21" ht="12.5" x14ac:dyDescent="0.25">
      <c r="C407" s="4">
        <f ca="1">IFERROR(__xludf.DUMMYFUNCTION("""COMPUTED_VALUE"""),40645.9986111111)</f>
        <v>40645.998611111099</v>
      </c>
      <c r="D407" s="2">
        <f ca="1">IFERROR(__xludf.DUMMYFUNCTION("""COMPUTED_VALUE"""),44.188)</f>
        <v>44.188000000000002</v>
      </c>
      <c r="E407" s="2">
        <f ca="1">IFERROR(__xludf.DUMMYFUNCTION("""COMPUTED_VALUE"""),64.437)</f>
        <v>64.436999999999998</v>
      </c>
      <c r="F407" s="2">
        <f ca="1">IFERROR(__xludf.DUMMYFUNCTION("""COMPUTED_VALUE"""),71.916)</f>
        <v>71.915999999999997</v>
      </c>
      <c r="G407" s="2">
        <f ca="1">IFERROR(__xludf.DUMMYFUNCTION("""COMPUTED_VALUE"""),0.54917)</f>
        <v>0.54917000000000005</v>
      </c>
      <c r="H407" s="2">
        <f ca="1">IFERROR(__xludf.DUMMYFUNCTION("""COMPUTED_VALUE"""),47.639)</f>
        <v>47.639000000000003</v>
      </c>
      <c r="I407" s="2">
        <f ca="1">IFERROR(__xludf.DUMMYFUNCTION("""COMPUTED_VALUE"""),46.191)</f>
        <v>46.191000000000003</v>
      </c>
      <c r="J407" s="2">
        <f ca="1">IFERROR(__xludf.DUMMYFUNCTION("""COMPUTED_VALUE"""),36.211)</f>
        <v>36.210999999999999</v>
      </c>
      <c r="K407" s="2">
        <f ca="1">IFERROR(__xludf.DUMMYFUNCTION("""COMPUTED_VALUE"""),49.89)</f>
        <v>49.89</v>
      </c>
      <c r="L407" s="2">
        <f ca="1">IFERROR(__xludf.DUMMYFUNCTION("""COMPUTED_VALUE"""),9.888)</f>
        <v>9.8879999999999999</v>
      </c>
      <c r="M407" s="2">
        <f ca="1">IFERROR(__xludf.DUMMYFUNCTION("""COMPUTED_VALUE"""),12.187)</f>
        <v>12.186999999999999</v>
      </c>
      <c r="U407" s="3" t="e">
        <f ca="1"/>
        <v>#NAME?</v>
      </c>
    </row>
    <row r="408" spans="3:21" ht="12.5" x14ac:dyDescent="0.25">
      <c r="C408" s="4">
        <f ca="1">IFERROR(__xludf.DUMMYFUNCTION("""COMPUTED_VALUE"""),40646.9986111111)</f>
        <v>40646.998611111099</v>
      </c>
      <c r="D408" s="2">
        <f ca="1">IFERROR(__xludf.DUMMYFUNCTION("""COMPUTED_VALUE"""),44.42)</f>
        <v>44.42</v>
      </c>
      <c r="E408" s="2">
        <f ca="1">IFERROR(__xludf.DUMMYFUNCTION("""COMPUTED_VALUE"""),63.93)</f>
        <v>63.93</v>
      </c>
      <c r="F408" s="2">
        <f ca="1">IFERROR(__xludf.DUMMYFUNCTION("""COMPUTED_VALUE"""),72.254)</f>
        <v>72.254000000000005</v>
      </c>
      <c r="G408" s="2">
        <f ca="1">IFERROR(__xludf.DUMMYFUNCTION("""COMPUTED_VALUE"""),0.54656)</f>
        <v>0.54656000000000005</v>
      </c>
      <c r="H408" s="2">
        <f ca="1">IFERROR(__xludf.DUMMYFUNCTION("""COMPUTED_VALUE"""),47.395)</f>
        <v>47.395000000000003</v>
      </c>
      <c r="I408" s="2">
        <f ca="1">IFERROR(__xludf.DUMMYFUNCTION("""COMPUTED_VALUE"""),45.997)</f>
        <v>45.997</v>
      </c>
      <c r="J408" s="2">
        <f ca="1">IFERROR(__xludf.DUMMYFUNCTION("""COMPUTED_VALUE"""),36.11)</f>
        <v>36.11</v>
      </c>
      <c r="K408" s="2">
        <f ca="1">IFERROR(__xludf.DUMMYFUNCTION("""COMPUTED_VALUE"""),49.611)</f>
        <v>49.610999999999997</v>
      </c>
      <c r="L408" s="2">
        <f ca="1">IFERROR(__xludf.DUMMYFUNCTION("""COMPUTED_VALUE"""),9.888)</f>
        <v>9.8879999999999999</v>
      </c>
      <c r="M408" s="2">
        <f ca="1">IFERROR(__xludf.DUMMYFUNCTION("""COMPUTED_VALUE"""),12.216)</f>
        <v>12.215999999999999</v>
      </c>
      <c r="U408" s="3" t="e">
        <f ca="1"/>
        <v>#NAME?</v>
      </c>
    </row>
    <row r="409" spans="3:21" ht="12.5" x14ac:dyDescent="0.25">
      <c r="C409" s="4">
        <f ca="1">IFERROR(__xludf.DUMMYFUNCTION("""COMPUTED_VALUE"""),40647.9986111111)</f>
        <v>40647.998611111099</v>
      </c>
      <c r="D409" s="2">
        <f ca="1">IFERROR(__xludf.DUMMYFUNCTION("""COMPUTED_VALUE"""),44.4)</f>
        <v>44.4</v>
      </c>
      <c r="E409" s="2">
        <f ca="1">IFERROR(__xludf.DUMMYFUNCTION("""COMPUTED_VALUE"""),63.52)</f>
        <v>63.52</v>
      </c>
      <c r="F409" s="2">
        <f ca="1">IFERROR(__xludf.DUMMYFUNCTION("""COMPUTED_VALUE"""),72.598)</f>
        <v>72.597999999999999</v>
      </c>
      <c r="G409" s="2">
        <f ca="1">IFERROR(__xludf.DUMMYFUNCTION("""COMPUTED_VALUE"""),0.54779)</f>
        <v>0.54779</v>
      </c>
      <c r="H409" s="2">
        <f ca="1">IFERROR(__xludf.DUMMYFUNCTION("""COMPUTED_VALUE"""),47.401)</f>
        <v>47.401000000000003</v>
      </c>
      <c r="I409" s="2">
        <f ca="1">IFERROR(__xludf.DUMMYFUNCTION("""COMPUTED_VALUE"""),45.905)</f>
        <v>45.905000000000001</v>
      </c>
      <c r="J409" s="2">
        <f ca="1">IFERROR(__xludf.DUMMYFUNCTION("""COMPUTED_VALUE"""),36.073)</f>
        <v>36.073</v>
      </c>
      <c r="K409" s="2">
        <f ca="1">IFERROR(__xludf.DUMMYFUNCTION("""COMPUTED_VALUE"""),49.649)</f>
        <v>49.649000000000001</v>
      </c>
      <c r="L409" s="2">
        <f ca="1">IFERROR(__xludf.DUMMYFUNCTION("""COMPUTED_VALUE"""),9.9159)</f>
        <v>9.9159000000000006</v>
      </c>
      <c r="M409" s="2">
        <f ca="1">IFERROR(__xludf.DUMMYFUNCTION("""COMPUTED_VALUE"""),12.186)</f>
        <v>12.186</v>
      </c>
      <c r="U409" s="3" t="e">
        <f ca="1"/>
        <v>#NAME?</v>
      </c>
    </row>
    <row r="410" spans="3:21" ht="12.5" x14ac:dyDescent="0.25">
      <c r="C410" s="4">
        <f ca="1">IFERROR(__xludf.DUMMYFUNCTION("""COMPUTED_VALUE"""),40648.9986111111)</f>
        <v>40648.998611111099</v>
      </c>
      <c r="D410" s="2">
        <f ca="1">IFERROR(__xludf.DUMMYFUNCTION("""COMPUTED_VALUE"""),44.25)</f>
        <v>44.25</v>
      </c>
      <c r="E410" s="2">
        <f ca="1">IFERROR(__xludf.DUMMYFUNCTION("""COMPUTED_VALUE"""),63.61)</f>
        <v>63.61</v>
      </c>
      <c r="F410" s="2">
        <f ca="1">IFERROR(__xludf.DUMMYFUNCTION("""COMPUTED_VALUE"""),72.205)</f>
        <v>72.204999999999998</v>
      </c>
      <c r="G410" s="2">
        <f ca="1">IFERROR(__xludf.DUMMYFUNCTION("""COMPUTED_VALUE"""),0.5457)</f>
        <v>0.54569999999999996</v>
      </c>
      <c r="H410" s="2">
        <f ca="1">IFERROR(__xludf.DUMMYFUNCTION("""COMPUTED_VALUE"""),47.763)</f>
        <v>47.762999999999998</v>
      </c>
      <c r="I410" s="2">
        <f ca="1">IFERROR(__xludf.DUMMYFUNCTION("""COMPUTED_VALUE"""),46.245)</f>
        <v>46.244999999999997</v>
      </c>
      <c r="J410" s="2">
        <f ca="1">IFERROR(__xludf.DUMMYFUNCTION("""COMPUTED_VALUE"""),36.262)</f>
        <v>36.262</v>
      </c>
      <c r="K410" s="2">
        <f ca="1">IFERROR(__xludf.DUMMYFUNCTION("""COMPUTED_VALUE"""),49.255)</f>
        <v>49.255000000000003</v>
      </c>
      <c r="L410" s="2">
        <f ca="1">IFERROR(__xludf.DUMMYFUNCTION("""COMPUTED_VALUE"""),9.9357)</f>
        <v>9.9357000000000006</v>
      </c>
      <c r="M410" s="2">
        <f ca="1">IFERROR(__xludf.DUMMYFUNCTION("""COMPUTED_VALUE"""),12.184)</f>
        <v>12.183999999999999</v>
      </c>
      <c r="U410" s="3" t="e">
        <f ca="1"/>
        <v>#NAME?</v>
      </c>
    </row>
    <row r="411" spans="3:21" ht="12.5" x14ac:dyDescent="0.25">
      <c r="C411" s="4">
        <f ca="1">IFERROR(__xludf.DUMMYFUNCTION("""COMPUTED_VALUE"""),40650.9986111111)</f>
        <v>40650.998611111099</v>
      </c>
      <c r="D411" s="2">
        <f ca="1">IFERROR(__xludf.DUMMYFUNCTION("""COMPUTED_VALUE"""),44.273)</f>
        <v>44.273000000000003</v>
      </c>
      <c r="E411" s="2">
        <f ca="1">IFERROR(__xludf.DUMMYFUNCTION("""COMPUTED_VALUE"""),63.177)</f>
        <v>63.177</v>
      </c>
      <c r="F411" s="2">
        <f ca="1">IFERROR(__xludf.DUMMYFUNCTION("""COMPUTED_VALUE"""),72.264)</f>
        <v>72.263999999999996</v>
      </c>
      <c r="G411" s="2">
        <f ca="1">IFERROR(__xludf.DUMMYFUNCTION("""COMPUTED_VALUE"""),0.54932)</f>
        <v>0.54932000000000003</v>
      </c>
      <c r="H411" s="2">
        <f ca="1">IFERROR(__xludf.DUMMYFUNCTION("""COMPUTED_VALUE"""),47.684)</f>
        <v>47.683999999999997</v>
      </c>
      <c r="I411" s="2">
        <f ca="1">IFERROR(__xludf.DUMMYFUNCTION("""COMPUTED_VALUE"""),46.134)</f>
        <v>46.134</v>
      </c>
      <c r="J411" s="2">
        <f ca="1">IFERROR(__xludf.DUMMYFUNCTION("""COMPUTED_VALUE"""),36.276)</f>
        <v>36.276000000000003</v>
      </c>
      <c r="K411" s="2">
        <f ca="1">IFERROR(__xludf.DUMMYFUNCTION("""COMPUTED_VALUE"""),49.057)</f>
        <v>49.057000000000002</v>
      </c>
      <c r="L411" s="2">
        <f ca="1">IFERROR(__xludf.DUMMYFUNCTION("""COMPUTED_VALUE"""),9.9536)</f>
        <v>9.9535999999999998</v>
      </c>
      <c r="M411" s="2">
        <f ca="1">IFERROR(__xludf.DUMMYFUNCTION("""COMPUTED_VALUE"""),12.211)</f>
        <v>12.211</v>
      </c>
      <c r="U411" s="3" t="e">
        <f ca="1"/>
        <v>#NAME?</v>
      </c>
    </row>
    <row r="412" spans="3:21" ht="12.5" x14ac:dyDescent="0.25">
      <c r="C412" s="4">
        <f ca="1">IFERROR(__xludf.DUMMYFUNCTION("""COMPUTED_VALUE"""),40651.9986111111)</f>
        <v>40651.998611111099</v>
      </c>
      <c r="D412" s="2">
        <f ca="1">IFERROR(__xludf.DUMMYFUNCTION("""COMPUTED_VALUE"""),44.36)</f>
        <v>44.36</v>
      </c>
      <c r="E412" s="2">
        <f ca="1">IFERROR(__xludf.DUMMYFUNCTION("""COMPUTED_VALUE"""),63.353)</f>
        <v>63.353000000000002</v>
      </c>
      <c r="F412" s="2">
        <f ca="1">IFERROR(__xludf.DUMMYFUNCTION("""COMPUTED_VALUE"""),72.096)</f>
        <v>72.096000000000004</v>
      </c>
      <c r="G412" s="2">
        <f ca="1">IFERROR(__xludf.DUMMYFUNCTION("""COMPUTED_VALUE"""),0.55062)</f>
        <v>0.55062</v>
      </c>
      <c r="H412" s="2">
        <f ca="1">IFERROR(__xludf.DUMMYFUNCTION("""COMPUTED_VALUE"""),47.777)</f>
        <v>47.777000000000001</v>
      </c>
      <c r="I412" s="2">
        <f ca="1">IFERROR(__xludf.DUMMYFUNCTION("""COMPUTED_VALUE"""),46.199)</f>
        <v>46.198999999999998</v>
      </c>
      <c r="J412" s="2">
        <f ca="1">IFERROR(__xludf.DUMMYFUNCTION("""COMPUTED_VALUE"""),36.388)</f>
        <v>36.387999999999998</v>
      </c>
      <c r="K412" s="2">
        <f ca="1">IFERROR(__xludf.DUMMYFUNCTION("""COMPUTED_VALUE"""),48.55)</f>
        <v>48.55</v>
      </c>
      <c r="L412" s="2">
        <f ca="1">IFERROR(__xludf.DUMMYFUNCTION("""COMPUTED_VALUE"""),9.8931)</f>
        <v>9.8931000000000004</v>
      </c>
      <c r="M412" s="2">
        <f ca="1">IFERROR(__xludf.DUMMYFUNCTION("""COMPUTED_VALUE"""),12.248)</f>
        <v>12.247999999999999</v>
      </c>
      <c r="U412" s="3" t="e">
        <f ca="1"/>
        <v>#NAME?</v>
      </c>
    </row>
    <row r="413" spans="3:21" ht="12.5" x14ac:dyDescent="0.25">
      <c r="C413" s="4">
        <f ca="1">IFERROR(__xludf.DUMMYFUNCTION("""COMPUTED_VALUE"""),40652.9986111111)</f>
        <v>40652.998611111099</v>
      </c>
      <c r="D413" s="2">
        <f ca="1">IFERROR(__xludf.DUMMYFUNCTION("""COMPUTED_VALUE"""),44.41)</f>
        <v>44.41</v>
      </c>
      <c r="E413" s="2">
        <f ca="1">IFERROR(__xludf.DUMMYFUNCTION("""COMPUTED_VALUE"""),62.216)</f>
        <v>62.216000000000001</v>
      </c>
      <c r="F413" s="2">
        <f ca="1">IFERROR(__xludf.DUMMYFUNCTION("""COMPUTED_VALUE"""),72.444)</f>
        <v>72.444000000000003</v>
      </c>
      <c r="G413" s="2">
        <f ca="1">IFERROR(__xludf.DUMMYFUNCTION("""COMPUTED_VALUE"""),0.5528)</f>
        <v>0.55279999999999996</v>
      </c>
      <c r="H413" s="2">
        <f ca="1">IFERROR(__xludf.DUMMYFUNCTION("""COMPUTED_VALUE"""),47.255)</f>
        <v>47.255000000000003</v>
      </c>
      <c r="I413" s="2">
        <f ca="1">IFERROR(__xludf.DUMMYFUNCTION("""COMPUTED_VALUE"""),45.77)</f>
        <v>45.77</v>
      </c>
      <c r="J413" s="2">
        <f ca="1">IFERROR(__xludf.DUMMYFUNCTION("""COMPUTED_VALUE"""),36.13)</f>
        <v>36.130000000000003</v>
      </c>
      <c r="K413" s="2">
        <f ca="1">IFERROR(__xludf.DUMMYFUNCTION("""COMPUTED_VALUE"""),48.542)</f>
        <v>48.542000000000002</v>
      </c>
      <c r="L413" s="2">
        <f ca="1">IFERROR(__xludf.DUMMYFUNCTION("""COMPUTED_VALUE"""),9.8628)</f>
        <v>9.8628</v>
      </c>
      <c r="M413" s="2">
        <f ca="1">IFERROR(__xludf.DUMMYFUNCTION("""COMPUTED_VALUE"""),12.248)</f>
        <v>12.247999999999999</v>
      </c>
      <c r="U413" s="3" t="e">
        <f ca="1"/>
        <v>#NAME?</v>
      </c>
    </row>
    <row r="414" spans="3:21" ht="12.5" x14ac:dyDescent="0.25">
      <c r="C414" s="4">
        <f ca="1">IFERROR(__xludf.DUMMYFUNCTION("""COMPUTED_VALUE"""),40653.9986111111)</f>
        <v>40653.998611111099</v>
      </c>
      <c r="D414" s="2">
        <f ca="1">IFERROR(__xludf.DUMMYFUNCTION("""COMPUTED_VALUE"""),44.26)</f>
        <v>44.26</v>
      </c>
      <c r="E414" s="2">
        <f ca="1">IFERROR(__xludf.DUMMYFUNCTION("""COMPUTED_VALUE"""),62.275)</f>
        <v>62.274999999999999</v>
      </c>
      <c r="F414" s="2">
        <f ca="1">IFERROR(__xludf.DUMMYFUNCTION("""COMPUTED_VALUE"""),72.641)</f>
        <v>72.641000000000005</v>
      </c>
      <c r="G414" s="2">
        <f ca="1">IFERROR(__xludf.DUMMYFUNCTION("""COMPUTED_VALUE"""),0.5611)</f>
        <v>0.56110000000000004</v>
      </c>
      <c r="H414" s="2">
        <f ca="1">IFERROR(__xludf.DUMMYFUNCTION("""COMPUTED_VALUE"""),47.22)</f>
        <v>47.22</v>
      </c>
      <c r="I414" s="2">
        <f ca="1">IFERROR(__xludf.DUMMYFUNCTION("""COMPUTED_VALUE"""),46.12)</f>
        <v>46.12</v>
      </c>
      <c r="J414" s="2">
        <f ca="1">IFERROR(__xludf.DUMMYFUNCTION("""COMPUTED_VALUE"""),36.367)</f>
        <v>36.366999999999997</v>
      </c>
      <c r="K414" s="2">
        <f ca="1">IFERROR(__xludf.DUMMYFUNCTION("""COMPUTED_VALUE"""),48.542)</f>
        <v>48.542000000000002</v>
      </c>
      <c r="L414" s="2">
        <f ca="1">IFERROR(__xludf.DUMMYFUNCTION("""COMPUTED_VALUE"""),9.0837)</f>
        <v>9.0837000000000003</v>
      </c>
      <c r="M414" s="2">
        <f ca="1">IFERROR(__xludf.DUMMYFUNCTION("""COMPUTED_VALUE"""),12.248)</f>
        <v>12.247999999999999</v>
      </c>
      <c r="U414" s="3" t="e">
        <f ca="1"/>
        <v>#NAME?</v>
      </c>
    </row>
    <row r="415" spans="3:21" ht="12.5" x14ac:dyDescent="0.25">
      <c r="C415" s="4">
        <f ca="1">IFERROR(__xludf.DUMMYFUNCTION("""COMPUTED_VALUE"""),40654.9986111111)</f>
        <v>40654.998611111099</v>
      </c>
      <c r="D415" s="2">
        <f ca="1">IFERROR(__xludf.DUMMYFUNCTION("""COMPUTED_VALUE"""),44.26)</f>
        <v>44.26</v>
      </c>
      <c r="E415" s="2">
        <f ca="1">IFERROR(__xludf.DUMMYFUNCTION("""COMPUTED_VALUE"""),63.079)</f>
        <v>63.079000000000001</v>
      </c>
      <c r="F415" s="2">
        <f ca="1">IFERROR(__xludf.DUMMYFUNCTION("""COMPUTED_VALUE"""),73.223)</f>
        <v>73.222999999999999</v>
      </c>
      <c r="G415" s="2">
        <f ca="1">IFERROR(__xludf.DUMMYFUNCTION("""COMPUTED_VALUE"""),0.56344)</f>
        <v>0.56344000000000005</v>
      </c>
      <c r="H415" s="2">
        <f ca="1">IFERROR(__xludf.DUMMYFUNCTION("""COMPUTED_VALUE"""),47.928)</f>
        <v>47.927999999999997</v>
      </c>
      <c r="I415" s="2">
        <f ca="1">IFERROR(__xludf.DUMMYFUNCTION("""COMPUTED_VALUE"""),46.416)</f>
        <v>46.415999999999997</v>
      </c>
      <c r="J415" s="2">
        <f ca="1">IFERROR(__xludf.DUMMYFUNCTION("""COMPUTED_VALUE"""),36.512)</f>
        <v>36.512</v>
      </c>
      <c r="K415" s="2">
        <f ca="1">IFERROR(__xludf.DUMMYFUNCTION("""COMPUTED_VALUE"""),48.714)</f>
        <v>48.713999999999999</v>
      </c>
      <c r="L415" s="2">
        <f ca="1">IFERROR(__xludf.DUMMYFUNCTION("""COMPUTED_VALUE"""),9.8303)</f>
        <v>9.8302999999999994</v>
      </c>
      <c r="M415" s="2">
        <f ca="1">IFERROR(__xludf.DUMMYFUNCTION("""COMPUTED_VALUE"""),12.238)</f>
        <v>12.238</v>
      </c>
      <c r="U415" s="3" t="e">
        <f ca="1"/>
        <v>#NAME?</v>
      </c>
    </row>
    <row r="416" spans="3:21" ht="12.5" x14ac:dyDescent="0.25">
      <c r="C416" s="4">
        <f ca="1">IFERROR(__xludf.DUMMYFUNCTION("""COMPUTED_VALUE"""),40655.9986111111)</f>
        <v>40655.998611111099</v>
      </c>
      <c r="D416" s="2">
        <f ca="1">IFERROR(__xludf.DUMMYFUNCTION("""COMPUTED_VALUE"""),44.365)</f>
        <v>44.365000000000002</v>
      </c>
      <c r="E416" s="2">
        <f ca="1">IFERROR(__xludf.DUMMYFUNCTION("""COMPUTED_VALUE"""),62.758)</f>
        <v>62.758000000000003</v>
      </c>
      <c r="F416" s="2">
        <f ca="1">IFERROR(__xludf.DUMMYFUNCTION("""COMPUTED_VALUE"""),72.96)</f>
        <v>72.959999999999994</v>
      </c>
      <c r="G416" s="2">
        <f ca="1">IFERROR(__xludf.DUMMYFUNCTION("""COMPUTED_VALUE"""),0.56101)</f>
        <v>0.56101000000000001</v>
      </c>
      <c r="H416" s="2">
        <f ca="1">IFERROR(__xludf.DUMMYFUNCTION("""COMPUTED_VALUE"""),47.542)</f>
        <v>47.542000000000002</v>
      </c>
      <c r="I416" s="2">
        <f ca="1">IFERROR(__xludf.DUMMYFUNCTION("""COMPUTED_VALUE"""),46.216)</f>
        <v>46.216000000000001</v>
      </c>
      <c r="J416" s="2">
        <f ca="1">IFERROR(__xludf.DUMMYFUNCTION("""COMPUTED_VALUE"""),36.473)</f>
        <v>36.472999999999999</v>
      </c>
      <c r="K416" s="2">
        <f ca="1">IFERROR(__xludf.DUMMYFUNCTION("""COMPUTED_VALUE"""),48.459)</f>
        <v>48.459000000000003</v>
      </c>
      <c r="L416" s="2">
        <f ca="1">IFERROR(__xludf.DUMMYFUNCTION("""COMPUTED_VALUE"""),9.7974)</f>
        <v>9.7973999999999997</v>
      </c>
      <c r="M416" s="2">
        <f ca="1">IFERROR(__xludf.DUMMYFUNCTION("""COMPUTED_VALUE"""),12.235)</f>
        <v>12.234999999999999</v>
      </c>
      <c r="U416" s="3" t="e">
        <f ca="1"/>
        <v>#NAME?</v>
      </c>
    </row>
    <row r="417" spans="3:21" ht="12.5" x14ac:dyDescent="0.25">
      <c r="C417" s="4">
        <f ca="1">IFERROR(__xludf.DUMMYFUNCTION("""COMPUTED_VALUE"""),40657.9986111111)</f>
        <v>40657.998611111099</v>
      </c>
      <c r="D417" s="2">
        <f ca="1">IFERROR(__xludf.DUMMYFUNCTION("""COMPUTED_VALUE"""),44.268)</f>
        <v>44.268000000000001</v>
      </c>
      <c r="E417" s="2">
        <f ca="1">IFERROR(__xludf.DUMMYFUNCTION("""COMPUTED_VALUE"""),62.855)</f>
        <v>62.854999999999997</v>
      </c>
      <c r="F417" s="2">
        <f ca="1">IFERROR(__xludf.DUMMYFUNCTION("""COMPUTED_VALUE"""),73.084)</f>
        <v>73.084000000000003</v>
      </c>
      <c r="G417" s="2">
        <f ca="1">IFERROR(__xludf.DUMMYFUNCTION("""COMPUTED_VALUE"""),0.56238)</f>
        <v>0.56237999999999999</v>
      </c>
      <c r="H417" s="2">
        <f ca="1">IFERROR(__xludf.DUMMYFUNCTION("""COMPUTED_VALUE"""),47.312)</f>
        <v>47.311999999999998</v>
      </c>
      <c r="I417" s="2">
        <f ca="1">IFERROR(__xludf.DUMMYFUNCTION("""COMPUTED_VALUE"""),46.562)</f>
        <v>46.561999999999998</v>
      </c>
      <c r="J417" s="2">
        <f ca="1">IFERROR(__xludf.DUMMYFUNCTION("""COMPUTED_VALUE"""),36.511)</f>
        <v>36.511000000000003</v>
      </c>
      <c r="K417" s="2">
        <f ca="1">IFERROR(__xludf.DUMMYFUNCTION("""COMPUTED_VALUE"""),48.555)</f>
        <v>48.555</v>
      </c>
      <c r="L417" s="2">
        <f ca="1">IFERROR(__xludf.DUMMYFUNCTION("""COMPUTED_VALUE"""),9.7896)</f>
        <v>9.7896000000000001</v>
      </c>
      <c r="M417" s="2">
        <f ca="1">IFERROR(__xludf.DUMMYFUNCTION("""COMPUTED_VALUE"""),12.186)</f>
        <v>12.186</v>
      </c>
      <c r="U417" s="3" t="e">
        <f ca="1"/>
        <v>#NAME?</v>
      </c>
    </row>
    <row r="418" spans="3:21" ht="12.5" x14ac:dyDescent="0.25">
      <c r="C418" s="4">
        <f ca="1">IFERROR(__xludf.DUMMYFUNCTION("""COMPUTED_VALUE"""),40658.9986111111)</f>
        <v>40658.998611111099</v>
      </c>
      <c r="D418" s="2">
        <f ca="1">IFERROR(__xludf.DUMMYFUNCTION("""COMPUTED_VALUE"""),44.41)</f>
        <v>44.41</v>
      </c>
      <c r="E418" s="2">
        <f ca="1">IFERROR(__xludf.DUMMYFUNCTION("""COMPUTED_VALUE"""),63.013)</f>
        <v>63.012999999999998</v>
      </c>
      <c r="F418" s="2">
        <f ca="1">IFERROR(__xludf.DUMMYFUNCTION("""COMPUTED_VALUE"""),73.277)</f>
        <v>73.277000000000001</v>
      </c>
      <c r="G418" s="2">
        <f ca="1">IFERROR(__xludf.DUMMYFUNCTION("""COMPUTED_VALUE"""),0.56304)</f>
        <v>0.56303999999999998</v>
      </c>
      <c r="H418" s="2">
        <f ca="1">IFERROR(__xludf.DUMMYFUNCTION("""COMPUTED_VALUE"""),47.426)</f>
        <v>47.426000000000002</v>
      </c>
      <c r="I418" s="2">
        <f ca="1">IFERROR(__xludf.DUMMYFUNCTION("""COMPUTED_VALUE"""),46.681)</f>
        <v>46.680999999999997</v>
      </c>
      <c r="J418" s="2">
        <f ca="1">IFERROR(__xludf.DUMMYFUNCTION("""COMPUTED_VALUE"""),36.501)</f>
        <v>36.500999999999998</v>
      </c>
      <c r="K418" s="2">
        <f ca="1">IFERROR(__xludf.DUMMYFUNCTION("""COMPUTED_VALUE"""),48.401)</f>
        <v>48.401000000000003</v>
      </c>
      <c r="L418" s="2">
        <f ca="1">IFERROR(__xludf.DUMMYFUNCTION("""COMPUTED_VALUE"""),9.7587)</f>
        <v>9.7586999999999993</v>
      </c>
      <c r="M418" s="2">
        <f ca="1">IFERROR(__xludf.DUMMYFUNCTION("""COMPUTED_VALUE"""),12.141)</f>
        <v>12.141</v>
      </c>
      <c r="U418" s="3" t="e">
        <f ca="1"/>
        <v>#NAME?</v>
      </c>
    </row>
    <row r="419" spans="3:21" ht="12.5" x14ac:dyDescent="0.25">
      <c r="C419" s="4">
        <f ca="1">IFERROR(__xludf.DUMMYFUNCTION("""COMPUTED_VALUE"""),40659.9986111111)</f>
        <v>40659.998611111099</v>
      </c>
      <c r="D419" s="2">
        <f ca="1">IFERROR(__xludf.DUMMYFUNCTION("""COMPUTED_VALUE"""),44.41)</f>
        <v>44.41</v>
      </c>
      <c r="E419" s="2">
        <f ca="1">IFERROR(__xludf.DUMMYFUNCTION("""COMPUTED_VALUE"""),62.703)</f>
        <v>62.703000000000003</v>
      </c>
      <c r="F419" s="2">
        <f ca="1">IFERROR(__xludf.DUMMYFUNCTION("""COMPUTED_VALUE"""),73.188)</f>
        <v>73.188000000000002</v>
      </c>
      <c r="G419" s="2">
        <f ca="1">IFERROR(__xludf.DUMMYFUNCTION("""COMPUTED_VALUE"""),0.56293)</f>
        <v>0.56293000000000004</v>
      </c>
      <c r="H419" s="2">
        <f ca="1">IFERROR(__xludf.DUMMYFUNCTION("""COMPUTED_VALUE"""),47.172)</f>
        <v>47.171999999999997</v>
      </c>
      <c r="I419" s="2">
        <f ca="1">IFERROR(__xludf.DUMMYFUNCTION("""COMPUTED_VALUE"""),46.383)</f>
        <v>46.383000000000003</v>
      </c>
      <c r="J419" s="2">
        <f ca="1">IFERROR(__xludf.DUMMYFUNCTION("""COMPUTED_VALUE"""),36.571)</f>
        <v>36.570999999999998</v>
      </c>
      <c r="K419" s="2">
        <f ca="1">IFERROR(__xludf.DUMMYFUNCTION("""COMPUTED_VALUE"""),48.057)</f>
        <v>48.057000000000002</v>
      </c>
      <c r="L419" s="2">
        <f ca="1">IFERROR(__xludf.DUMMYFUNCTION("""COMPUTED_VALUE"""),9.6488)</f>
        <v>9.6487999999999996</v>
      </c>
      <c r="M419" s="2">
        <f ca="1">IFERROR(__xludf.DUMMYFUNCTION("""COMPUTED_VALUE"""),12.107)</f>
        <v>12.106999999999999</v>
      </c>
      <c r="U419" s="3" t="e">
        <f ca="1"/>
        <v>#NAME?</v>
      </c>
    </row>
    <row r="420" spans="3:21" ht="12.5" x14ac:dyDescent="0.25">
      <c r="C420" s="4">
        <f ca="1">IFERROR(__xludf.DUMMYFUNCTION("""COMPUTED_VALUE"""),40660.9986111111)</f>
        <v>40660.998611111099</v>
      </c>
      <c r="D420" s="2">
        <f ca="1">IFERROR(__xludf.DUMMYFUNCTION("""COMPUTED_VALUE"""),44.33)</f>
        <v>44.33</v>
      </c>
      <c r="E420" s="2">
        <f ca="1">IFERROR(__xludf.DUMMYFUNCTION("""COMPUTED_VALUE"""),62.828)</f>
        <v>62.828000000000003</v>
      </c>
      <c r="F420" s="2">
        <f ca="1">IFERROR(__xludf.DUMMYFUNCTION("""COMPUTED_VALUE"""),73.744)</f>
        <v>73.744</v>
      </c>
      <c r="G420" s="2">
        <f ca="1">IFERROR(__xludf.DUMMYFUNCTION("""COMPUTED_VALUE"""),0.5604)</f>
        <v>0.56040000000000001</v>
      </c>
      <c r="H420" s="2">
        <f ca="1">IFERROR(__xludf.DUMMYFUNCTION("""COMPUTED_VALUE"""),47.625)</f>
        <v>47.625</v>
      </c>
      <c r="I420" s="2">
        <f ca="1">IFERROR(__xludf.DUMMYFUNCTION("""COMPUTED_VALUE"""),46.738)</f>
        <v>46.738</v>
      </c>
      <c r="J420" s="2">
        <f ca="1">IFERROR(__xludf.DUMMYFUNCTION("""COMPUTED_VALUE"""),36.538)</f>
        <v>36.537999999999997</v>
      </c>
      <c r="K420" s="2">
        <f ca="1">IFERROR(__xludf.DUMMYFUNCTION("""COMPUTED_VALUE"""),48.064)</f>
        <v>48.064</v>
      </c>
      <c r="L420" s="2">
        <f ca="1">IFERROR(__xludf.DUMMYFUNCTION("""COMPUTED_VALUE"""),9.7587)</f>
        <v>9.7586999999999993</v>
      </c>
      <c r="M420" s="2">
        <f ca="1">IFERROR(__xludf.DUMMYFUNCTION("""COMPUTED_VALUE"""),12.149)</f>
        <v>12.148999999999999</v>
      </c>
      <c r="U420" s="3" t="e">
        <f ca="1"/>
        <v>#NAME?</v>
      </c>
    </row>
    <row r="421" spans="3:21" ht="12.5" x14ac:dyDescent="0.25">
      <c r="C421" s="4">
        <f ca="1">IFERROR(__xludf.DUMMYFUNCTION("""COMPUTED_VALUE"""),40661.9986111111)</f>
        <v>40661.998611111099</v>
      </c>
      <c r="D421" s="2">
        <f ca="1">IFERROR(__xludf.DUMMYFUNCTION("""COMPUTED_VALUE"""),44.3)</f>
        <v>44.3</v>
      </c>
      <c r="E421" s="2">
        <f ca="1">IFERROR(__xludf.DUMMYFUNCTION("""COMPUTED_VALUE"""),63.068)</f>
        <v>63.067999999999998</v>
      </c>
      <c r="F421" s="2">
        <f ca="1">IFERROR(__xludf.DUMMYFUNCTION("""COMPUTED_VALUE"""),73.712)</f>
        <v>73.712000000000003</v>
      </c>
      <c r="G421" s="2">
        <f ca="1">IFERROR(__xludf.DUMMYFUNCTION("""COMPUTED_VALUE"""),0.56332)</f>
        <v>0.56332000000000004</v>
      </c>
      <c r="H421" s="2">
        <f ca="1">IFERROR(__xludf.DUMMYFUNCTION("""COMPUTED_VALUE"""),47.687)</f>
        <v>47.686999999999998</v>
      </c>
      <c r="I421" s="2">
        <f ca="1">IFERROR(__xludf.DUMMYFUNCTION("""COMPUTED_VALUE"""),46.809)</f>
        <v>46.808999999999997</v>
      </c>
      <c r="J421" s="2">
        <f ca="1">IFERROR(__xludf.DUMMYFUNCTION("""COMPUTED_VALUE"""),36.54)</f>
        <v>36.54</v>
      </c>
      <c r="K421" s="2">
        <f ca="1">IFERROR(__xludf.DUMMYFUNCTION("""COMPUTED_VALUE"""),47.954)</f>
        <v>47.954000000000001</v>
      </c>
      <c r="L421" s="2">
        <f ca="1">IFERROR(__xludf.DUMMYFUNCTION("""COMPUTED_VALUE"""),9.7502)</f>
        <v>9.7501999999999995</v>
      </c>
      <c r="M421" s="2">
        <f ca="1">IFERROR(__xludf.DUMMYFUNCTION("""COMPUTED_VALUE"""),12.149)</f>
        <v>12.148999999999999</v>
      </c>
      <c r="U421" s="3" t="e">
        <f ca="1"/>
        <v>#NAME?</v>
      </c>
    </row>
    <row r="422" spans="3:21" ht="12.5" x14ac:dyDescent="0.25">
      <c r="C422" s="4">
        <f ca="1">IFERROR(__xludf.DUMMYFUNCTION("""COMPUTED_VALUE"""),40662.9986111111)</f>
        <v>40662.998611111099</v>
      </c>
      <c r="D422" s="2">
        <f ca="1">IFERROR(__xludf.DUMMYFUNCTION("""COMPUTED_VALUE"""),44.15)</f>
        <v>44.15</v>
      </c>
      <c r="E422" s="2">
        <f ca="1">IFERROR(__xludf.DUMMYFUNCTION("""COMPUTED_VALUE"""),63.713)</f>
        <v>63.713000000000001</v>
      </c>
      <c r="F422" s="2">
        <f ca="1">IFERROR(__xludf.DUMMYFUNCTION("""COMPUTED_VALUE"""),73.753)</f>
        <v>73.753</v>
      </c>
      <c r="G422" s="2">
        <f ca="1">IFERROR(__xludf.DUMMYFUNCTION("""COMPUTED_VALUE"""),0.56408)</f>
        <v>0.56408000000000003</v>
      </c>
      <c r="H422" s="2">
        <f ca="1">IFERROR(__xludf.DUMMYFUNCTION("""COMPUTED_VALUE"""),48.023)</f>
        <v>48.023000000000003</v>
      </c>
      <c r="I422" s="2">
        <f ca="1">IFERROR(__xludf.DUMMYFUNCTION("""COMPUTED_VALUE"""),46.899)</f>
        <v>46.899000000000001</v>
      </c>
      <c r="J422" s="2">
        <f ca="1">IFERROR(__xludf.DUMMYFUNCTION("""COMPUTED_VALUE"""),36.596)</f>
        <v>36.595999999999997</v>
      </c>
      <c r="K422" s="2">
        <f ca="1">IFERROR(__xludf.DUMMYFUNCTION("""COMPUTED_VALUE"""),47.877)</f>
        <v>47.877000000000002</v>
      </c>
      <c r="L422" s="2">
        <f ca="1">IFERROR(__xludf.DUMMYFUNCTION("""COMPUTED_VALUE"""),9.7534)</f>
        <v>9.7533999999999992</v>
      </c>
      <c r="M422" s="2">
        <f ca="1">IFERROR(__xludf.DUMMYFUNCTION("""COMPUTED_VALUE"""),12.094)</f>
        <v>12.093999999999999</v>
      </c>
      <c r="U422" s="3" t="e">
        <f ca="1"/>
        <v>#NAME?</v>
      </c>
    </row>
    <row r="423" spans="3:21" ht="12.5" x14ac:dyDescent="0.25">
      <c r="C423" s="4">
        <f ca="1">IFERROR(__xludf.DUMMYFUNCTION("""COMPUTED_VALUE"""),40663.9986111111)</f>
        <v>40663.998611111099</v>
      </c>
      <c r="D423" s="2">
        <f ca="1">IFERROR(__xludf.DUMMYFUNCTION("""COMPUTED_VALUE"""),44.248)</f>
        <v>44.247999999999998</v>
      </c>
      <c r="E423" s="2">
        <f ca="1">IFERROR(__xludf.DUMMYFUNCTION("""COMPUTED_VALUE"""),63.642)</f>
        <v>63.642000000000003</v>
      </c>
      <c r="F423" s="2">
        <f ca="1">IFERROR(__xludf.DUMMYFUNCTION("""COMPUTED_VALUE"""),73.923)</f>
        <v>73.923000000000002</v>
      </c>
      <c r="G423" s="2">
        <f ca="1">IFERROR(__xludf.DUMMYFUNCTION("""COMPUTED_VALUE"""),0.56446)</f>
        <v>0.56445999999999996</v>
      </c>
      <c r="H423" s="2">
        <f ca="1">IFERROR(__xludf.DUMMYFUNCTION("""COMPUTED_VALUE"""),48.105)</f>
        <v>48.104999999999997</v>
      </c>
      <c r="I423" s="2">
        <f ca="1">IFERROR(__xludf.DUMMYFUNCTION("""COMPUTED_VALUE"""),46.767)</f>
        <v>46.767000000000003</v>
      </c>
      <c r="J423" s="2">
        <f ca="1">IFERROR(__xludf.DUMMYFUNCTION("""COMPUTED_VALUE"""),36.679)</f>
        <v>36.679000000000002</v>
      </c>
      <c r="K423" s="2">
        <f ca="1">IFERROR(__xludf.DUMMYFUNCTION("""COMPUTED_VALUE"""),47.941)</f>
        <v>47.941000000000003</v>
      </c>
      <c r="L423" s="2">
        <f ca="1">IFERROR(__xludf.DUMMYFUNCTION("""COMPUTED_VALUE"""),9.759)</f>
        <v>9.7590000000000003</v>
      </c>
      <c r="M423" s="2">
        <f ca="1">IFERROR(__xludf.DUMMYFUNCTION("""COMPUTED_VALUE"""),12.072)</f>
        <v>12.071999999999999</v>
      </c>
      <c r="U423" s="3" t="e">
        <f ca="1"/>
        <v>#NAME?</v>
      </c>
    </row>
    <row r="424" spans="3:21" ht="12.5" x14ac:dyDescent="0.25">
      <c r="C424" s="4">
        <f ca="1">IFERROR(__xludf.DUMMYFUNCTION("""COMPUTED_VALUE"""),40665.9986111111)</f>
        <v>40665.998611111099</v>
      </c>
      <c r="D424" s="2">
        <f ca="1">IFERROR(__xludf.DUMMYFUNCTION("""COMPUTED_VALUE"""),44.22)</f>
        <v>44.22</v>
      </c>
      <c r="E424" s="2">
        <f ca="1">IFERROR(__xludf.DUMMYFUNCTION("""COMPUTED_VALUE"""),63.699)</f>
        <v>63.698999999999998</v>
      </c>
      <c r="F424" s="2">
        <f ca="1">IFERROR(__xludf.DUMMYFUNCTION("""COMPUTED_VALUE"""),73.697)</f>
        <v>73.697000000000003</v>
      </c>
      <c r="G424" s="2">
        <f ca="1">IFERROR(__xludf.DUMMYFUNCTION("""COMPUTED_VALUE"""),0.56538)</f>
        <v>0.56537999999999999</v>
      </c>
      <c r="H424" s="2">
        <f ca="1">IFERROR(__xludf.DUMMYFUNCTION("""COMPUTED_VALUE"""),48.106)</f>
        <v>48.106000000000002</v>
      </c>
      <c r="I424" s="2">
        <f ca="1">IFERROR(__xludf.DUMMYFUNCTION("""COMPUTED_VALUE"""),46.758)</f>
        <v>46.758000000000003</v>
      </c>
      <c r="J424" s="2">
        <f ca="1">IFERROR(__xludf.DUMMYFUNCTION("""COMPUTED_VALUE"""),36.69)</f>
        <v>36.69</v>
      </c>
      <c r="K424" s="2">
        <f ca="1">IFERROR(__xludf.DUMMYFUNCTION("""COMPUTED_VALUE"""),48.147)</f>
        <v>48.146999999999998</v>
      </c>
      <c r="L424" s="2">
        <f ca="1">IFERROR(__xludf.DUMMYFUNCTION("""COMPUTED_VALUE"""),9.7595)</f>
        <v>9.7594999999999992</v>
      </c>
      <c r="M424" s="2">
        <f ca="1">IFERROR(__xludf.DUMMYFUNCTION("""COMPUTED_VALUE"""),12.069)</f>
        <v>12.069000000000001</v>
      </c>
      <c r="U424" s="3" t="e">
        <f ca="1"/>
        <v>#NAME?</v>
      </c>
    </row>
    <row r="425" spans="3:21" ht="12.5" x14ac:dyDescent="0.25">
      <c r="C425" s="4">
        <f ca="1">IFERROR(__xludf.DUMMYFUNCTION("""COMPUTED_VALUE"""),40666.9986111111)</f>
        <v>40666.998611111099</v>
      </c>
      <c r="D425" s="2">
        <f ca="1">IFERROR(__xludf.DUMMYFUNCTION("""COMPUTED_VALUE"""),44.41)</f>
        <v>44.41</v>
      </c>
      <c r="E425" s="2">
        <f ca="1">IFERROR(__xludf.DUMMYFUNCTION("""COMPUTED_VALUE"""),63.682)</f>
        <v>63.682000000000002</v>
      </c>
      <c r="F425" s="2">
        <f ca="1">IFERROR(__xludf.DUMMYFUNCTION("""COMPUTED_VALUE"""),73.223)</f>
        <v>73.222999999999999</v>
      </c>
      <c r="G425" s="2">
        <f ca="1">IFERROR(__xludf.DUMMYFUNCTION("""COMPUTED_VALUE"""),0.56586)</f>
        <v>0.56586000000000003</v>
      </c>
      <c r="H425" s="2">
        <f ca="1">IFERROR(__xludf.DUMMYFUNCTION("""COMPUTED_VALUE"""),48.08)</f>
        <v>48.08</v>
      </c>
      <c r="I425" s="2">
        <f ca="1">IFERROR(__xludf.DUMMYFUNCTION("""COMPUTED_VALUE"""),46.842)</f>
        <v>46.841999999999999</v>
      </c>
      <c r="J425" s="2">
        <f ca="1">IFERROR(__xludf.DUMMYFUNCTION("""COMPUTED_VALUE"""),36.69)</f>
        <v>36.69</v>
      </c>
      <c r="K425" s="2">
        <f ca="1">IFERROR(__xludf.DUMMYFUNCTION("""COMPUTED_VALUE"""),48.315)</f>
        <v>48.314999999999998</v>
      </c>
      <c r="L425" s="2">
        <f ca="1">IFERROR(__xludf.DUMMYFUNCTION("""COMPUTED_VALUE"""),9.7305)</f>
        <v>9.7304999999999993</v>
      </c>
      <c r="M425" s="2">
        <f ca="1">IFERROR(__xludf.DUMMYFUNCTION("""COMPUTED_VALUE"""),12.069)</f>
        <v>12.069000000000001</v>
      </c>
      <c r="U425" s="3" t="e">
        <f ca="1"/>
        <v>#NAME?</v>
      </c>
    </row>
    <row r="426" spans="3:21" ht="12.5" x14ac:dyDescent="0.25">
      <c r="C426" s="4">
        <f ca="1">IFERROR(__xludf.DUMMYFUNCTION("""COMPUTED_VALUE"""),40667.9986111111)</f>
        <v>40667.998611111099</v>
      </c>
      <c r="D426" s="2">
        <f ca="1">IFERROR(__xludf.DUMMYFUNCTION("""COMPUTED_VALUE"""),44.32)</f>
        <v>44.32</v>
      </c>
      <c r="E426" s="2">
        <f ca="1">IFERROR(__xludf.DUMMYFUNCTION("""COMPUTED_VALUE"""),63.881)</f>
        <v>63.881</v>
      </c>
      <c r="F426" s="2">
        <f ca="1">IFERROR(__xludf.DUMMYFUNCTION("""COMPUTED_VALUE"""),73.194)</f>
        <v>73.194000000000003</v>
      </c>
      <c r="G426" s="2">
        <f ca="1">IFERROR(__xludf.DUMMYFUNCTION("""COMPUTED_VALUE"""),0.56442)</f>
        <v>0.56442000000000003</v>
      </c>
      <c r="H426" s="2">
        <f ca="1">IFERROR(__xludf.DUMMYFUNCTION("""COMPUTED_VALUE"""),48.224)</f>
        <v>48.223999999999997</v>
      </c>
      <c r="I426" s="2">
        <f ca="1">IFERROR(__xludf.DUMMYFUNCTION("""COMPUTED_VALUE"""),46.658)</f>
        <v>46.658000000000001</v>
      </c>
      <c r="J426" s="2">
        <f ca="1">IFERROR(__xludf.DUMMYFUNCTION("""COMPUTED_VALUE"""),36.602)</f>
        <v>36.601999999999997</v>
      </c>
      <c r="K426" s="2">
        <f ca="1">IFERROR(__xludf.DUMMYFUNCTION("""COMPUTED_VALUE"""),48.498)</f>
        <v>48.497999999999998</v>
      </c>
      <c r="L426" s="2">
        <f ca="1">IFERROR(__xludf.DUMMYFUNCTION("""COMPUTED_VALUE"""),9.5886)</f>
        <v>9.5885999999999996</v>
      </c>
      <c r="M426" s="2">
        <f ca="1">IFERROR(__xludf.DUMMYFUNCTION("""COMPUTED_VALUE"""),12.061)</f>
        <v>12.061</v>
      </c>
      <c r="U426" s="3" t="e">
        <f ca="1"/>
        <v>#NAME?</v>
      </c>
    </row>
    <row r="427" spans="3:21" ht="12.5" x14ac:dyDescent="0.25">
      <c r="C427" s="4">
        <f ca="1">IFERROR(__xludf.DUMMYFUNCTION("""COMPUTED_VALUE"""),40668.9986111111)</f>
        <v>40668.998611111099</v>
      </c>
      <c r="D427" s="2">
        <f ca="1">IFERROR(__xludf.DUMMYFUNCTION("""COMPUTED_VALUE"""),44.7)</f>
        <v>44.7</v>
      </c>
      <c r="E427" s="2">
        <f ca="1">IFERROR(__xludf.DUMMYFUNCTION("""COMPUTED_VALUE"""),63.168)</f>
        <v>63.167999999999999</v>
      </c>
      <c r="F427" s="2">
        <f ca="1">IFERROR(__xludf.DUMMYFUNCTION("""COMPUTED_VALUE"""),73.24)</f>
        <v>73.239999999999995</v>
      </c>
      <c r="G427" s="2">
        <f ca="1">IFERROR(__xludf.DUMMYFUNCTION("""COMPUTED_VALUE"""),0.56387)</f>
        <v>0.56386999999999998</v>
      </c>
      <c r="H427" s="2">
        <f ca="1">IFERROR(__xludf.DUMMYFUNCTION("""COMPUTED_VALUE"""),48.528)</f>
        <v>48.527999999999999</v>
      </c>
      <c r="I427" s="2">
        <f ca="1">IFERROR(__xludf.DUMMYFUNCTION("""COMPUTED_VALUE"""),46.476)</f>
        <v>46.475999999999999</v>
      </c>
      <c r="J427" s="2">
        <f ca="1">IFERROR(__xludf.DUMMYFUNCTION("""COMPUTED_VALUE"""),36.582)</f>
        <v>36.582000000000001</v>
      </c>
      <c r="K427" s="2">
        <f ca="1">IFERROR(__xludf.DUMMYFUNCTION("""COMPUTED_VALUE"""),48.86)</f>
        <v>48.86</v>
      </c>
      <c r="L427" s="2">
        <f ca="1">IFERROR(__xludf.DUMMYFUNCTION("""COMPUTED_VALUE"""),9.7469)</f>
        <v>9.7469000000000001</v>
      </c>
      <c r="M427" s="2">
        <f ca="1">IFERROR(__xludf.DUMMYFUNCTION("""COMPUTED_VALUE"""),12.061)</f>
        <v>12.061</v>
      </c>
      <c r="U427" s="3" t="e">
        <f ca="1"/>
        <v>#NAME?</v>
      </c>
    </row>
    <row r="428" spans="3:21" ht="12.5" x14ac:dyDescent="0.25">
      <c r="C428" s="4">
        <f ca="1">IFERROR(__xludf.DUMMYFUNCTION("""COMPUTED_VALUE"""),40669.9986111111)</f>
        <v>40669.998611111099</v>
      </c>
      <c r="D428" s="2">
        <f ca="1">IFERROR(__xludf.DUMMYFUNCTION("""COMPUTED_VALUE"""),44.61)</f>
        <v>44.61</v>
      </c>
      <c r="E428" s="2">
        <f ca="1">IFERROR(__xludf.DUMMYFUNCTION("""COMPUTED_VALUE"""),62.974)</f>
        <v>62.973999999999997</v>
      </c>
      <c r="F428" s="2">
        <f ca="1">IFERROR(__xludf.DUMMYFUNCTION("""COMPUTED_VALUE"""),73.11)</f>
        <v>73.11</v>
      </c>
      <c r="G428" s="2">
        <f ca="1">IFERROR(__xludf.DUMMYFUNCTION("""COMPUTED_VALUE"""),0.56572)</f>
        <v>0.56572</v>
      </c>
      <c r="H428" s="2">
        <f ca="1">IFERROR(__xludf.DUMMYFUNCTION("""COMPUTED_VALUE"""),48.435)</f>
        <v>48.435000000000002</v>
      </c>
      <c r="I428" s="2">
        <f ca="1">IFERROR(__xludf.DUMMYFUNCTION("""COMPUTED_VALUE"""),46.338)</f>
        <v>46.338000000000001</v>
      </c>
      <c r="J428" s="2">
        <f ca="1">IFERROR(__xludf.DUMMYFUNCTION("""COMPUTED_VALUE"""),36.6)</f>
        <v>36.6</v>
      </c>
      <c r="K428" s="2">
        <f ca="1">IFERROR(__xludf.DUMMYFUNCTION("""COMPUTED_VALUE"""),49.141)</f>
        <v>49.140999999999998</v>
      </c>
      <c r="L428" s="2">
        <f ca="1">IFERROR(__xludf.DUMMYFUNCTION("""COMPUTED_VALUE"""),9.7592)</f>
        <v>9.7591999999999999</v>
      </c>
      <c r="M428" s="2">
        <f ca="1">IFERROR(__xludf.DUMMYFUNCTION("""COMPUTED_VALUE"""),12.092)</f>
        <v>12.092000000000001</v>
      </c>
      <c r="U428" s="3" t="e">
        <f ca="1"/>
        <v>#NAME?</v>
      </c>
    </row>
    <row r="429" spans="3:21" ht="12.5" x14ac:dyDescent="0.25">
      <c r="C429" s="4">
        <f ca="1">IFERROR(__xludf.DUMMYFUNCTION("""COMPUTED_VALUE"""),40670.9986111111)</f>
        <v>40670.998611111099</v>
      </c>
      <c r="D429" s="2">
        <f ca="1">IFERROR(__xludf.DUMMYFUNCTION("""COMPUTED_VALUE"""),44.723)</f>
        <v>44.722999999999999</v>
      </c>
      <c r="E429" s="2">
        <f ca="1">IFERROR(__xludf.DUMMYFUNCTION("""COMPUTED_VALUE"""),63.381)</f>
        <v>63.381</v>
      </c>
      <c r="F429" s="2">
        <f ca="1">IFERROR(__xludf.DUMMYFUNCTION("""COMPUTED_VALUE"""),73.211)</f>
        <v>73.210999999999999</v>
      </c>
      <c r="G429" s="2">
        <f ca="1">IFERROR(__xludf.DUMMYFUNCTION("""COMPUTED_VALUE"""),0.5717)</f>
        <v>0.57169999999999999</v>
      </c>
      <c r="H429" s="2">
        <f ca="1">IFERROR(__xludf.DUMMYFUNCTION("""COMPUTED_VALUE"""),48.495)</f>
        <v>48.494999999999997</v>
      </c>
      <c r="I429" s="2">
        <f ca="1">IFERROR(__xludf.DUMMYFUNCTION("""COMPUTED_VALUE"""),46.11)</f>
        <v>46.11</v>
      </c>
      <c r="J429" s="2">
        <f ca="1">IFERROR(__xludf.DUMMYFUNCTION("""COMPUTED_VALUE"""),36.61)</f>
        <v>36.61</v>
      </c>
      <c r="K429" s="2">
        <f ca="1">IFERROR(__xludf.DUMMYFUNCTION("""COMPUTED_VALUE"""),49.57)</f>
        <v>49.57</v>
      </c>
      <c r="L429" s="2">
        <f ca="1">IFERROR(__xludf.DUMMYFUNCTION("""COMPUTED_VALUE"""),9.7629)</f>
        <v>9.7629000000000001</v>
      </c>
      <c r="M429" s="2">
        <f ca="1">IFERROR(__xludf.DUMMYFUNCTION("""COMPUTED_VALUE"""),12.075)</f>
        <v>12.074999999999999</v>
      </c>
      <c r="U429" s="3" t="e">
        <f ca="1"/>
        <v>#NAME?</v>
      </c>
    </row>
    <row r="430" spans="3:21" ht="12.5" x14ac:dyDescent="0.25">
      <c r="C430" s="4">
        <f ca="1">IFERROR(__xludf.DUMMYFUNCTION("""COMPUTED_VALUE"""),40672.9986111111)</f>
        <v>40672.998611111099</v>
      </c>
      <c r="D430" s="2">
        <f ca="1">IFERROR(__xludf.DUMMYFUNCTION("""COMPUTED_VALUE"""),44.61)</f>
        <v>44.61</v>
      </c>
      <c r="E430" s="2">
        <f ca="1">IFERROR(__xludf.DUMMYFUNCTION("""COMPUTED_VALUE"""),63.523)</f>
        <v>63.523000000000003</v>
      </c>
      <c r="F430" s="2">
        <f ca="1">IFERROR(__xludf.DUMMYFUNCTION("""COMPUTED_VALUE"""),73)</f>
        <v>73</v>
      </c>
      <c r="G430" s="2">
        <f ca="1">IFERROR(__xludf.DUMMYFUNCTION("""COMPUTED_VALUE"""),0.57373)</f>
        <v>0.57372999999999996</v>
      </c>
      <c r="H430" s="2">
        <f ca="1">IFERROR(__xludf.DUMMYFUNCTION("""COMPUTED_VALUE"""),48.48)</f>
        <v>48.48</v>
      </c>
      <c r="I430" s="2">
        <f ca="1">IFERROR(__xludf.DUMMYFUNCTION("""COMPUTED_VALUE"""),46.296)</f>
        <v>46.295999999999999</v>
      </c>
      <c r="J430" s="2">
        <f ca="1">IFERROR(__xludf.DUMMYFUNCTION("""COMPUTED_VALUE"""),36.685)</f>
        <v>36.685000000000002</v>
      </c>
      <c r="K430" s="2">
        <f ca="1">IFERROR(__xludf.DUMMYFUNCTION("""COMPUTED_VALUE"""),49.762)</f>
        <v>49.762</v>
      </c>
      <c r="L430" s="2">
        <f ca="1">IFERROR(__xludf.DUMMYFUNCTION("""COMPUTED_VALUE"""),9.7489)</f>
        <v>9.7489000000000008</v>
      </c>
      <c r="M430" s="2">
        <f ca="1">IFERROR(__xludf.DUMMYFUNCTION("""COMPUTED_VALUE"""),12.132)</f>
        <v>12.132</v>
      </c>
      <c r="U430" s="3" t="e">
        <f ca="1"/>
        <v>#NAME?</v>
      </c>
    </row>
    <row r="431" spans="3:21" ht="12.5" x14ac:dyDescent="0.25">
      <c r="C431" s="4">
        <f ca="1">IFERROR(__xludf.DUMMYFUNCTION("""COMPUTED_VALUE"""),40673.9986111111)</f>
        <v>40673.998611111099</v>
      </c>
      <c r="D431" s="2">
        <f ca="1">IFERROR(__xludf.DUMMYFUNCTION("""COMPUTED_VALUE"""),44.61)</f>
        <v>44.61</v>
      </c>
      <c r="E431" s="2">
        <f ca="1">IFERROR(__xludf.DUMMYFUNCTION("""COMPUTED_VALUE"""),62.503)</f>
        <v>62.503</v>
      </c>
      <c r="F431" s="2">
        <f ca="1">IFERROR(__xludf.DUMMYFUNCTION("""COMPUTED_VALUE"""),72.892)</f>
        <v>72.891999999999996</v>
      </c>
      <c r="G431" s="2">
        <f ca="1">IFERROR(__xludf.DUMMYFUNCTION("""COMPUTED_VALUE"""),0.57256)</f>
        <v>0.57255999999999996</v>
      </c>
      <c r="H431" s="2">
        <f ca="1">IFERROR(__xludf.DUMMYFUNCTION("""COMPUTED_VALUE"""),48.103)</f>
        <v>48.103000000000002</v>
      </c>
      <c r="I431" s="2">
        <f ca="1">IFERROR(__xludf.DUMMYFUNCTION("""COMPUTED_VALUE"""),45.87)</f>
        <v>45.87</v>
      </c>
      <c r="J431" s="2">
        <f ca="1">IFERROR(__xludf.DUMMYFUNCTION("""COMPUTED_VALUE"""),36.512)</f>
        <v>36.512</v>
      </c>
      <c r="K431" s="2">
        <f ca="1">IFERROR(__xludf.DUMMYFUNCTION("""COMPUTED_VALUE"""),49.577)</f>
        <v>49.576999999999998</v>
      </c>
      <c r="L431" s="2">
        <f ca="1">IFERROR(__xludf.DUMMYFUNCTION("""COMPUTED_VALUE"""),9.7548)</f>
        <v>9.7547999999999995</v>
      </c>
      <c r="M431" s="2">
        <f ca="1">IFERROR(__xludf.DUMMYFUNCTION("""COMPUTED_VALUE"""),12.102)</f>
        <v>12.102</v>
      </c>
      <c r="U431" s="3" t="e">
        <f ca="1"/>
        <v>#NAME?</v>
      </c>
    </row>
    <row r="432" spans="3:21" ht="12.5" x14ac:dyDescent="0.25">
      <c r="C432" s="4">
        <f ca="1">IFERROR(__xludf.DUMMYFUNCTION("""COMPUTED_VALUE"""),40674.9986111111)</f>
        <v>40674.998611111099</v>
      </c>
      <c r="D432" s="2">
        <f ca="1">IFERROR(__xludf.DUMMYFUNCTION("""COMPUTED_VALUE"""),44.58)</f>
        <v>44.58</v>
      </c>
      <c r="E432" s="2">
        <f ca="1">IFERROR(__xludf.DUMMYFUNCTION("""COMPUTED_VALUE"""),62.905)</f>
        <v>62.905000000000001</v>
      </c>
      <c r="F432" s="2">
        <f ca="1">IFERROR(__xludf.DUMMYFUNCTION("""COMPUTED_VALUE"""),72.838)</f>
        <v>72.837999999999994</v>
      </c>
      <c r="G432" s="2">
        <f ca="1">IFERROR(__xludf.DUMMYFUNCTION("""COMPUTED_VALUE"""),0.57316)</f>
        <v>0.57316</v>
      </c>
      <c r="H432" s="2">
        <f ca="1">IFERROR(__xludf.DUMMYFUNCTION("""COMPUTED_VALUE"""),47.919)</f>
        <v>47.918999999999997</v>
      </c>
      <c r="I432" s="2">
        <f ca="1">IFERROR(__xludf.DUMMYFUNCTION("""COMPUTED_VALUE"""),46.128)</f>
        <v>46.128</v>
      </c>
      <c r="J432" s="2">
        <f ca="1">IFERROR(__xludf.DUMMYFUNCTION("""COMPUTED_VALUE"""),36.709)</f>
        <v>36.709000000000003</v>
      </c>
      <c r="K432" s="2">
        <f ca="1">IFERROR(__xludf.DUMMYFUNCTION("""COMPUTED_VALUE"""),49.658)</f>
        <v>49.658000000000001</v>
      </c>
      <c r="L432" s="2">
        <f ca="1">IFERROR(__xludf.DUMMYFUNCTION("""COMPUTED_VALUE"""),9.6241)</f>
        <v>9.6241000000000003</v>
      </c>
      <c r="M432" s="2">
        <f ca="1">IFERROR(__xludf.DUMMYFUNCTION("""COMPUTED_VALUE"""),12.089)</f>
        <v>12.089</v>
      </c>
      <c r="U432" s="3" t="e">
        <f ca="1"/>
        <v>#NAME?</v>
      </c>
    </row>
    <row r="433" spans="3:21" ht="12.5" x14ac:dyDescent="0.25">
      <c r="C433" s="4">
        <f ca="1">IFERROR(__xludf.DUMMYFUNCTION("""COMPUTED_VALUE"""),40675.9986111111)</f>
        <v>40675.998611111099</v>
      </c>
      <c r="D433" s="2">
        <f ca="1">IFERROR(__xludf.DUMMYFUNCTION("""COMPUTED_VALUE"""),44.71)</f>
        <v>44.71</v>
      </c>
      <c r="E433" s="2">
        <f ca="1">IFERROR(__xludf.DUMMYFUNCTION("""COMPUTED_VALUE"""),63.389)</f>
        <v>63.389000000000003</v>
      </c>
      <c r="F433" s="2">
        <f ca="1">IFERROR(__xludf.DUMMYFUNCTION("""COMPUTED_VALUE"""),72.904)</f>
        <v>72.903999999999996</v>
      </c>
      <c r="G433" s="2">
        <f ca="1">IFERROR(__xludf.DUMMYFUNCTION("""COMPUTED_VALUE"""),0.57587)</f>
        <v>0.57586999999999999</v>
      </c>
      <c r="H433" s="2">
        <f ca="1">IFERROR(__xludf.DUMMYFUNCTION("""COMPUTED_VALUE"""),47.47)</f>
        <v>47.47</v>
      </c>
      <c r="I433" s="2">
        <f ca="1">IFERROR(__xludf.DUMMYFUNCTION("""COMPUTED_VALUE"""),45.944)</f>
        <v>45.944000000000003</v>
      </c>
      <c r="J433" s="2">
        <f ca="1">IFERROR(__xludf.DUMMYFUNCTION("""COMPUTED_VALUE"""),36.68)</f>
        <v>36.68</v>
      </c>
      <c r="K433" s="2">
        <f ca="1">IFERROR(__xludf.DUMMYFUNCTION("""COMPUTED_VALUE"""),49.465)</f>
        <v>49.465000000000003</v>
      </c>
      <c r="L433" s="2">
        <f ca="1">IFERROR(__xludf.DUMMYFUNCTION("""COMPUTED_VALUE"""),9.767)</f>
        <v>9.7669999999999995</v>
      </c>
      <c r="M433" s="2">
        <f ca="1">IFERROR(__xludf.DUMMYFUNCTION("""COMPUTED_VALUE"""),12.102)</f>
        <v>12.102</v>
      </c>
      <c r="U433" s="3" t="e">
        <f ca="1"/>
        <v>#NAME?</v>
      </c>
    </row>
    <row r="434" spans="3:21" ht="12.5" x14ac:dyDescent="0.25">
      <c r="C434" s="4">
        <f ca="1">IFERROR(__xludf.DUMMYFUNCTION("""COMPUTED_VALUE"""),40676.9986111111)</f>
        <v>40676.998611111099</v>
      </c>
      <c r="D434" s="2">
        <f ca="1">IFERROR(__xludf.DUMMYFUNCTION("""COMPUTED_VALUE"""),44.8)</f>
        <v>44.8</v>
      </c>
      <c r="E434" s="2">
        <f ca="1">IFERROR(__xludf.DUMMYFUNCTION("""COMPUTED_VALUE"""),63.003)</f>
        <v>63.003</v>
      </c>
      <c r="F434" s="2">
        <f ca="1">IFERROR(__xludf.DUMMYFUNCTION("""COMPUTED_VALUE"""),72.507)</f>
        <v>72.507000000000005</v>
      </c>
      <c r="G434" s="2">
        <f ca="1">IFERROR(__xludf.DUMMYFUNCTION("""COMPUTED_VALUE"""),0.56353)</f>
        <v>0.56352999999999998</v>
      </c>
      <c r="H434" s="2">
        <f ca="1">IFERROR(__xludf.DUMMYFUNCTION("""COMPUTED_VALUE"""),46.794)</f>
        <v>46.793999999999997</v>
      </c>
      <c r="I434" s="2">
        <f ca="1">IFERROR(__xludf.DUMMYFUNCTION("""COMPUTED_VALUE"""),45.588)</f>
        <v>45.588000000000001</v>
      </c>
      <c r="J434" s="2">
        <f ca="1">IFERROR(__xludf.DUMMYFUNCTION("""COMPUTED_VALUE"""),36.509)</f>
        <v>36.509</v>
      </c>
      <c r="K434" s="2">
        <f ca="1">IFERROR(__xludf.DUMMYFUNCTION("""COMPUTED_VALUE"""),49.363)</f>
        <v>49.363</v>
      </c>
      <c r="L434" s="2">
        <f ca="1">IFERROR(__xludf.DUMMYFUNCTION("""COMPUTED_VALUE"""),9.7882)</f>
        <v>9.7881999999999998</v>
      </c>
      <c r="M434" s="2">
        <f ca="1">IFERROR(__xludf.DUMMYFUNCTION("""COMPUTED_VALUE"""),12.118)</f>
        <v>12.118</v>
      </c>
      <c r="U434" s="3" t="e">
        <f ca="1"/>
        <v>#NAME?</v>
      </c>
    </row>
    <row r="435" spans="3:21" ht="12.5" x14ac:dyDescent="0.25">
      <c r="C435" s="4">
        <f ca="1">IFERROR(__xludf.DUMMYFUNCTION("""COMPUTED_VALUE"""),40678.9986111111)</f>
        <v>40678.998611111099</v>
      </c>
      <c r="D435" s="2">
        <f ca="1">IFERROR(__xludf.DUMMYFUNCTION("""COMPUTED_VALUE"""),44.858)</f>
        <v>44.857999999999997</v>
      </c>
      <c r="E435" s="2">
        <f ca="1">IFERROR(__xludf.DUMMYFUNCTION("""COMPUTED_VALUE"""),63.231)</f>
        <v>63.231000000000002</v>
      </c>
      <c r="F435" s="2">
        <f ca="1">IFERROR(__xludf.DUMMYFUNCTION("""COMPUTED_VALUE"""),72.661)</f>
        <v>72.661000000000001</v>
      </c>
      <c r="G435" s="2">
        <f ca="1">IFERROR(__xludf.DUMMYFUNCTION("""COMPUTED_VALUE"""),0.56933)</f>
        <v>0.56933</v>
      </c>
      <c r="H435" s="2">
        <f ca="1">IFERROR(__xludf.DUMMYFUNCTION("""COMPUTED_VALUE"""),46.398)</f>
        <v>46.398000000000003</v>
      </c>
      <c r="I435" s="2">
        <f ca="1">IFERROR(__xludf.DUMMYFUNCTION("""COMPUTED_VALUE"""),45.373)</f>
        <v>45.372999999999998</v>
      </c>
      <c r="J435" s="2">
        <f ca="1">IFERROR(__xludf.DUMMYFUNCTION("""COMPUTED_VALUE"""),36.578)</f>
        <v>36.578000000000003</v>
      </c>
      <c r="K435" s="2">
        <f ca="1">IFERROR(__xludf.DUMMYFUNCTION("""COMPUTED_VALUE"""),49.834)</f>
        <v>49.834000000000003</v>
      </c>
      <c r="L435" s="2">
        <f ca="1">IFERROR(__xludf.DUMMYFUNCTION("""COMPUTED_VALUE"""),9.7551)</f>
        <v>9.7551000000000005</v>
      </c>
      <c r="M435" s="2">
        <f ca="1">IFERROR(__xludf.DUMMYFUNCTION("""COMPUTED_VALUE"""),12.118)</f>
        <v>12.118</v>
      </c>
      <c r="U435" s="3" t="e">
        <f ca="1"/>
        <v>#NAME?</v>
      </c>
    </row>
    <row r="436" spans="3:21" ht="12.5" x14ac:dyDescent="0.25">
      <c r="C436" s="4">
        <f ca="1">IFERROR(__xludf.DUMMYFUNCTION("""COMPUTED_VALUE"""),40679.9986111111)</f>
        <v>40679.998611111099</v>
      </c>
      <c r="D436" s="2">
        <f ca="1">IFERROR(__xludf.DUMMYFUNCTION("""COMPUTED_VALUE"""),44.96)</f>
        <v>44.96</v>
      </c>
      <c r="E436" s="2">
        <f ca="1">IFERROR(__xludf.DUMMYFUNCTION("""COMPUTED_VALUE"""),63.259)</f>
        <v>63.259</v>
      </c>
      <c r="F436" s="2">
        <f ca="1">IFERROR(__xludf.DUMMYFUNCTION("""COMPUTED_VALUE"""),72.905)</f>
        <v>72.905000000000001</v>
      </c>
      <c r="G436" s="2">
        <f ca="1">IFERROR(__xludf.DUMMYFUNCTION("""COMPUTED_VALUE"""),0.56496)</f>
        <v>0.56496000000000002</v>
      </c>
      <c r="H436" s="2">
        <f ca="1">IFERROR(__xludf.DUMMYFUNCTION("""COMPUTED_VALUE"""),46.262)</f>
        <v>46.262</v>
      </c>
      <c r="I436" s="2">
        <f ca="1">IFERROR(__xludf.DUMMYFUNCTION("""COMPUTED_VALUE"""),45.389)</f>
        <v>45.389000000000003</v>
      </c>
      <c r="J436" s="2">
        <f ca="1">IFERROR(__xludf.DUMMYFUNCTION("""COMPUTED_VALUE"""),36.585)</f>
        <v>36.585000000000001</v>
      </c>
      <c r="K436" s="2">
        <f ca="1">IFERROR(__xludf.DUMMYFUNCTION("""COMPUTED_VALUE"""),50.116)</f>
        <v>50.116</v>
      </c>
      <c r="L436" s="2">
        <f ca="1">IFERROR(__xludf.DUMMYFUNCTION("""COMPUTED_VALUE"""),9.7727)</f>
        <v>9.7727000000000004</v>
      </c>
      <c r="M436" s="2">
        <f ca="1">IFERROR(__xludf.DUMMYFUNCTION("""COMPUTED_VALUE"""),12.116)</f>
        <v>12.116</v>
      </c>
      <c r="U436" s="3" t="e">
        <f ca="1"/>
        <v>#NAME?</v>
      </c>
    </row>
    <row r="437" spans="3:21" ht="12.5" x14ac:dyDescent="0.25">
      <c r="C437" s="4">
        <f ca="1">IFERROR(__xludf.DUMMYFUNCTION("""COMPUTED_VALUE"""),40680.9986111111)</f>
        <v>40680.998611111099</v>
      </c>
      <c r="D437" s="2">
        <f ca="1">IFERROR(__xludf.DUMMYFUNCTION("""COMPUTED_VALUE"""),45.01)</f>
        <v>45.01</v>
      </c>
      <c r="E437" s="2">
        <f ca="1">IFERROR(__xludf.DUMMYFUNCTION("""COMPUTED_VALUE"""),64.023)</f>
        <v>64.022999999999996</v>
      </c>
      <c r="F437" s="2">
        <f ca="1">IFERROR(__xludf.DUMMYFUNCTION("""COMPUTED_VALUE"""),73.124)</f>
        <v>73.123999999999995</v>
      </c>
      <c r="G437" s="2">
        <f ca="1">IFERROR(__xludf.DUMMYFUNCTION("""COMPUTED_VALUE"""),0.57962)</f>
        <v>0.57962000000000002</v>
      </c>
      <c r="H437" s="2">
        <f ca="1">IFERROR(__xludf.DUMMYFUNCTION("""COMPUTED_VALUE"""),46.522)</f>
        <v>46.521999999999998</v>
      </c>
      <c r="I437" s="2">
        <f ca="1">IFERROR(__xludf.DUMMYFUNCTION("""COMPUTED_VALUE"""),45.462)</f>
        <v>45.462000000000003</v>
      </c>
      <c r="J437" s="2">
        <f ca="1">IFERROR(__xludf.DUMMYFUNCTION("""COMPUTED_VALUE"""),36.937)</f>
        <v>36.936999999999998</v>
      </c>
      <c r="K437" s="2">
        <f ca="1">IFERROR(__xludf.DUMMYFUNCTION("""COMPUTED_VALUE"""),49.95)</f>
        <v>49.95</v>
      </c>
      <c r="L437" s="2">
        <f ca="1">IFERROR(__xludf.DUMMYFUNCTION("""COMPUTED_VALUE"""),9.8015)</f>
        <v>9.8015000000000008</v>
      </c>
      <c r="M437" s="2">
        <f ca="1">IFERROR(__xludf.DUMMYFUNCTION("""COMPUTED_VALUE"""),12.091)</f>
        <v>12.090999999999999</v>
      </c>
      <c r="U437" s="3" t="e">
        <f ca="1"/>
        <v>#NAME?</v>
      </c>
    </row>
    <row r="438" spans="3:21" ht="12.5" x14ac:dyDescent="0.25">
      <c r="C438" s="4">
        <f ca="1">IFERROR(__xludf.DUMMYFUNCTION("""COMPUTED_VALUE"""),40681.9986111111)</f>
        <v>40681.998611111099</v>
      </c>
      <c r="D438" s="2">
        <f ca="1">IFERROR(__xludf.DUMMYFUNCTION("""COMPUTED_VALUE"""),44.96)</f>
        <v>44.96</v>
      </c>
      <c r="E438" s="2">
        <f ca="1">IFERROR(__xludf.DUMMYFUNCTION("""COMPUTED_VALUE"""),64.317)</f>
        <v>64.316999999999993</v>
      </c>
      <c r="F438" s="2">
        <f ca="1">IFERROR(__xludf.DUMMYFUNCTION("""COMPUTED_VALUE"""),72.65)</f>
        <v>72.650000000000006</v>
      </c>
      <c r="G438" s="2">
        <f ca="1">IFERROR(__xludf.DUMMYFUNCTION("""COMPUTED_VALUE"""),0.58529)</f>
        <v>0.58528999999999998</v>
      </c>
      <c r="H438" s="2">
        <f ca="1">IFERROR(__xludf.DUMMYFUNCTION("""COMPUTED_VALUE"""),46.007)</f>
        <v>46.006999999999998</v>
      </c>
      <c r="I438" s="2">
        <f ca="1">IFERROR(__xludf.DUMMYFUNCTION("""COMPUTED_VALUE"""),45.634)</f>
        <v>45.634</v>
      </c>
      <c r="J438" s="2">
        <f ca="1">IFERROR(__xludf.DUMMYFUNCTION("""COMPUTED_VALUE"""),37.155)</f>
        <v>37.155000000000001</v>
      </c>
      <c r="K438" s="2">
        <f ca="1">IFERROR(__xludf.DUMMYFUNCTION("""COMPUTED_VALUE"""),50.417)</f>
        <v>50.417000000000002</v>
      </c>
      <c r="L438" s="2">
        <f ca="1">IFERROR(__xludf.DUMMYFUNCTION("""COMPUTED_VALUE"""),9.798)</f>
        <v>9.798</v>
      </c>
      <c r="M438" s="2">
        <f ca="1">IFERROR(__xludf.DUMMYFUNCTION("""COMPUTED_VALUE"""),12.08)</f>
        <v>12.08</v>
      </c>
      <c r="U438" s="3" t="e">
        <f ca="1"/>
        <v>#NAME?</v>
      </c>
    </row>
    <row r="439" spans="3:21" ht="12.5" x14ac:dyDescent="0.25">
      <c r="C439" s="4">
        <f ca="1">IFERROR(__xludf.DUMMYFUNCTION("""COMPUTED_VALUE"""),40682.9986111111)</f>
        <v>40682.998611111099</v>
      </c>
      <c r="D439" s="2">
        <f ca="1">IFERROR(__xludf.DUMMYFUNCTION("""COMPUTED_VALUE"""),44.85)</f>
        <v>44.85</v>
      </c>
      <c r="E439" s="2">
        <f ca="1">IFERROR(__xludf.DUMMYFUNCTION("""COMPUTED_VALUE"""),64.15)</f>
        <v>64.150000000000006</v>
      </c>
      <c r="F439" s="2">
        <f ca="1">IFERROR(__xludf.DUMMYFUNCTION("""COMPUTED_VALUE"""),72.814)</f>
        <v>72.813999999999993</v>
      </c>
      <c r="G439" s="2">
        <f ca="1">IFERROR(__xludf.DUMMYFUNCTION("""COMPUTED_VALUE"""),0.59155)</f>
        <v>0.59155000000000002</v>
      </c>
      <c r="H439" s="2">
        <f ca="1">IFERROR(__xludf.DUMMYFUNCTION("""COMPUTED_VALUE"""),46.134)</f>
        <v>46.134</v>
      </c>
      <c r="I439" s="2">
        <f ca="1">IFERROR(__xludf.DUMMYFUNCTION("""COMPUTED_VALUE"""),45.608)</f>
        <v>45.607999999999997</v>
      </c>
      <c r="J439" s="2">
        <f ca="1">IFERROR(__xludf.DUMMYFUNCTION("""COMPUTED_VALUE"""),37.111)</f>
        <v>37.110999999999997</v>
      </c>
      <c r="K439" s="2">
        <f ca="1">IFERROR(__xludf.DUMMYFUNCTION("""COMPUTED_VALUE"""),50.577)</f>
        <v>50.576999999999998</v>
      </c>
      <c r="L439" s="2">
        <f ca="1">IFERROR(__xludf.DUMMYFUNCTION("""COMPUTED_VALUE"""),9.7844)</f>
        <v>9.7843999999999998</v>
      </c>
      <c r="M439" s="2">
        <f ca="1">IFERROR(__xludf.DUMMYFUNCTION("""COMPUTED_VALUE"""),12.061)</f>
        <v>12.061</v>
      </c>
      <c r="U439" s="3" t="e">
        <f ca="1"/>
        <v>#NAME?</v>
      </c>
    </row>
    <row r="440" spans="3:21" ht="12.5" x14ac:dyDescent="0.25">
      <c r="C440" s="4">
        <f ca="1">IFERROR(__xludf.DUMMYFUNCTION("""COMPUTED_VALUE"""),40683.9986111111)</f>
        <v>40683.998611111099</v>
      </c>
      <c r="D440" s="2">
        <f ca="1">IFERROR(__xludf.DUMMYFUNCTION("""COMPUTED_VALUE"""),44.86)</f>
        <v>44.86</v>
      </c>
      <c r="E440" s="2">
        <f ca="1">IFERROR(__xludf.DUMMYFUNCTION("""COMPUTED_VALUE"""),64.377)</f>
        <v>64.376999999999995</v>
      </c>
      <c r="F440" s="2">
        <f ca="1">IFERROR(__xludf.DUMMYFUNCTION("""COMPUTED_VALUE"""),72.978)</f>
        <v>72.977999999999994</v>
      </c>
      <c r="G440" s="2">
        <f ca="1">IFERROR(__xludf.DUMMYFUNCTION("""COMPUTED_VALUE"""),0.58994)</f>
        <v>0.58994000000000002</v>
      </c>
      <c r="H440" s="2">
        <f ca="1">IFERROR(__xludf.DUMMYFUNCTION("""COMPUTED_VALUE"""),46.479)</f>
        <v>46.478999999999999</v>
      </c>
      <c r="I440" s="2">
        <f ca="1">IFERROR(__xludf.DUMMYFUNCTION("""COMPUTED_VALUE"""),45.743)</f>
        <v>45.743000000000002</v>
      </c>
      <c r="J440" s="2">
        <f ca="1">IFERROR(__xludf.DUMMYFUNCTION("""COMPUTED_VALUE"""),37.339)</f>
        <v>37.338999999999999</v>
      </c>
      <c r="K440" s="2">
        <f ca="1">IFERROR(__xludf.DUMMYFUNCTION("""COMPUTED_VALUE"""),50.747)</f>
        <v>50.747</v>
      </c>
      <c r="L440" s="2">
        <f ca="1">IFERROR(__xludf.DUMMYFUNCTION("""COMPUTED_VALUE"""),9.8221)</f>
        <v>9.8221000000000007</v>
      </c>
      <c r="M440" s="2">
        <f ca="1">IFERROR(__xludf.DUMMYFUNCTION("""COMPUTED_VALUE"""),12.069)</f>
        <v>12.069000000000001</v>
      </c>
      <c r="U440" s="3" t="e">
        <f ca="1"/>
        <v>#NAME?</v>
      </c>
    </row>
    <row r="441" spans="3:21" ht="12.5" x14ac:dyDescent="0.25">
      <c r="C441" s="4">
        <f ca="1">IFERROR(__xludf.DUMMYFUNCTION("""COMPUTED_VALUE"""),40684.9986111111)</f>
        <v>40684.998611111099</v>
      </c>
      <c r="D441" s="2">
        <f ca="1">IFERROR(__xludf.DUMMYFUNCTION("""COMPUTED_VALUE"""),44.993)</f>
        <v>44.993000000000002</v>
      </c>
      <c r="E441" s="2">
        <f ca="1">IFERROR(__xludf.DUMMYFUNCTION("""COMPUTED_VALUE"""),65.312)</f>
        <v>65.311999999999998</v>
      </c>
      <c r="F441" s="2">
        <f ca="1">IFERROR(__xludf.DUMMYFUNCTION("""COMPUTED_VALUE"""),73.051)</f>
        <v>73.051000000000002</v>
      </c>
      <c r="G441" s="2">
        <f ca="1">IFERROR(__xludf.DUMMYFUNCTION("""COMPUTED_VALUE"""),0.589)</f>
        <v>0.58899999999999997</v>
      </c>
      <c r="H441" s="2">
        <f ca="1">IFERROR(__xludf.DUMMYFUNCTION("""COMPUTED_VALUE"""),47.51)</f>
        <v>47.51</v>
      </c>
      <c r="I441" s="2">
        <f ca="1">IFERROR(__xludf.DUMMYFUNCTION("""COMPUTED_VALUE"""),46.161)</f>
        <v>46.161000000000001</v>
      </c>
      <c r="J441" s="2">
        <f ca="1">IFERROR(__xludf.DUMMYFUNCTION("""COMPUTED_VALUE"""),37.657)</f>
        <v>37.656999999999996</v>
      </c>
      <c r="K441" s="2">
        <f ca="1">IFERROR(__xludf.DUMMYFUNCTION("""COMPUTED_VALUE"""),50.69)</f>
        <v>50.69</v>
      </c>
      <c r="L441" s="2">
        <f ca="1">IFERROR(__xludf.DUMMYFUNCTION("""COMPUTED_VALUE"""),9.8332)</f>
        <v>9.8331999999999997</v>
      </c>
      <c r="M441" s="2">
        <f ca="1">IFERROR(__xludf.DUMMYFUNCTION("""COMPUTED_VALUE"""),12.069)</f>
        <v>12.069000000000001</v>
      </c>
      <c r="U441" s="3" t="e">
        <f ca="1"/>
        <v>#NAME?</v>
      </c>
    </row>
    <row r="442" spans="3:21" ht="12.5" x14ac:dyDescent="0.25">
      <c r="C442" s="4">
        <f ca="1">IFERROR(__xludf.DUMMYFUNCTION("""COMPUTED_VALUE"""),40686.9986111111)</f>
        <v>40686.998611111099</v>
      </c>
      <c r="D442" s="2">
        <f ca="1">IFERROR(__xludf.DUMMYFUNCTION("""COMPUTED_VALUE"""),45.15)</f>
        <v>45.15</v>
      </c>
      <c r="E442" s="2">
        <f ca="1">IFERROR(__xludf.DUMMYFUNCTION("""COMPUTED_VALUE"""),65.101)</f>
        <v>65.100999999999999</v>
      </c>
      <c r="F442" s="2">
        <f ca="1">IFERROR(__xludf.DUMMYFUNCTION("""COMPUTED_VALUE"""),72.705)</f>
        <v>72.704999999999998</v>
      </c>
      <c r="G442" s="2">
        <f ca="1">IFERROR(__xludf.DUMMYFUNCTION("""COMPUTED_VALUE"""),0.58988)</f>
        <v>0.58987999999999996</v>
      </c>
      <c r="H442" s="2">
        <f ca="1">IFERROR(__xludf.DUMMYFUNCTION("""COMPUTED_VALUE"""),47.221)</f>
        <v>47.220999999999997</v>
      </c>
      <c r="I442" s="2">
        <f ca="1">IFERROR(__xludf.DUMMYFUNCTION("""COMPUTED_VALUE"""),45.94)</f>
        <v>45.94</v>
      </c>
      <c r="J442" s="2">
        <f ca="1">IFERROR(__xludf.DUMMYFUNCTION("""COMPUTED_VALUE"""),37.639)</f>
        <v>37.639000000000003</v>
      </c>
      <c r="K442" s="2">
        <f ca="1">IFERROR(__xludf.DUMMYFUNCTION("""COMPUTED_VALUE"""),51.071)</f>
        <v>51.070999999999998</v>
      </c>
      <c r="L442" s="2">
        <f ca="1">IFERROR(__xludf.DUMMYFUNCTION("""COMPUTED_VALUE"""),9.806)</f>
        <v>9.8059999999999992</v>
      </c>
      <c r="M442" s="2">
        <f ca="1">IFERROR(__xludf.DUMMYFUNCTION("""COMPUTED_VALUE"""),12.073)</f>
        <v>12.073</v>
      </c>
      <c r="U442" s="3" t="e">
        <f ca="1"/>
        <v>#NAME?</v>
      </c>
    </row>
    <row r="443" spans="3:21" ht="12.5" x14ac:dyDescent="0.25">
      <c r="C443" s="4">
        <f ca="1">IFERROR(__xludf.DUMMYFUNCTION("""COMPUTED_VALUE"""),40687.9986111111)</f>
        <v>40687.998611111099</v>
      </c>
      <c r="D443" s="2">
        <f ca="1">IFERROR(__xludf.DUMMYFUNCTION("""COMPUTED_VALUE"""),45.16)</f>
        <v>45.16</v>
      </c>
      <c r="E443" s="2">
        <f ca="1">IFERROR(__xludf.DUMMYFUNCTION("""COMPUTED_VALUE"""),65.449)</f>
        <v>65.448999999999998</v>
      </c>
      <c r="F443" s="2">
        <f ca="1">IFERROR(__xludf.DUMMYFUNCTION("""COMPUTED_VALUE"""),73.07)</f>
        <v>73.069999999999993</v>
      </c>
      <c r="G443" s="2">
        <f ca="1">IFERROR(__xludf.DUMMYFUNCTION("""COMPUTED_VALUE"""),0.59249)</f>
        <v>0.59248999999999996</v>
      </c>
      <c r="H443" s="2">
        <f ca="1">IFERROR(__xludf.DUMMYFUNCTION("""COMPUTED_VALUE"""),47.71)</f>
        <v>47.71</v>
      </c>
      <c r="I443" s="2">
        <f ca="1">IFERROR(__xludf.DUMMYFUNCTION("""COMPUTED_VALUE"""),46.179)</f>
        <v>46.179000000000002</v>
      </c>
      <c r="J443" s="2">
        <f ca="1">IFERROR(__xludf.DUMMYFUNCTION("""COMPUTED_VALUE"""),37.712)</f>
        <v>37.712000000000003</v>
      </c>
      <c r="K443" s="2">
        <f ca="1">IFERROR(__xludf.DUMMYFUNCTION("""COMPUTED_VALUE"""),51.135)</f>
        <v>51.134999999999998</v>
      </c>
      <c r="L443" s="2">
        <f ca="1">IFERROR(__xludf.DUMMYFUNCTION("""COMPUTED_VALUE"""),9.861)</f>
        <v>9.8610000000000007</v>
      </c>
      <c r="M443" s="2">
        <f ca="1">IFERROR(__xludf.DUMMYFUNCTION("""COMPUTED_VALUE"""),12.063)</f>
        <v>12.063000000000001</v>
      </c>
      <c r="U443" s="3" t="e">
        <f ca="1"/>
        <v>#NAME?</v>
      </c>
    </row>
    <row r="444" spans="3:21" ht="12.5" x14ac:dyDescent="0.25">
      <c r="C444" s="4">
        <f ca="1">IFERROR(__xludf.DUMMYFUNCTION("""COMPUTED_VALUE"""),40688.9986111111)</f>
        <v>40688.998611111099</v>
      </c>
      <c r="D444" s="2">
        <f ca="1">IFERROR(__xludf.DUMMYFUNCTION("""COMPUTED_VALUE"""),45.23)</f>
        <v>45.23</v>
      </c>
      <c r="E444" s="2">
        <f ca="1">IFERROR(__xludf.DUMMYFUNCTION("""COMPUTED_VALUE"""),65.374)</f>
        <v>65.373999999999995</v>
      </c>
      <c r="F444" s="2">
        <f ca="1">IFERROR(__xludf.DUMMYFUNCTION("""COMPUTED_VALUE"""),73.664)</f>
        <v>73.664000000000001</v>
      </c>
      <c r="G444" s="2">
        <f ca="1">IFERROR(__xludf.DUMMYFUNCTION("""COMPUTED_VALUE"""),0.5974)</f>
        <v>0.59740000000000004</v>
      </c>
      <c r="H444" s="2">
        <f ca="1">IFERROR(__xludf.DUMMYFUNCTION("""COMPUTED_VALUE"""),47.362)</f>
        <v>47.362000000000002</v>
      </c>
      <c r="I444" s="2">
        <f ca="1">IFERROR(__xludf.DUMMYFUNCTION("""COMPUTED_VALUE"""),46.098)</f>
        <v>46.097999999999999</v>
      </c>
      <c r="J444" s="2">
        <f ca="1">IFERROR(__xludf.DUMMYFUNCTION("""COMPUTED_VALUE"""),37.541)</f>
        <v>37.540999999999997</v>
      </c>
      <c r="K444" s="2">
        <f ca="1">IFERROR(__xludf.DUMMYFUNCTION("""COMPUTED_VALUE"""),51.139)</f>
        <v>51.139000000000003</v>
      </c>
      <c r="L444" s="2">
        <f ca="1">IFERROR(__xludf.DUMMYFUNCTION("""COMPUTED_VALUE"""),9.8369)</f>
        <v>9.8369</v>
      </c>
      <c r="M444" s="2">
        <f ca="1">IFERROR(__xludf.DUMMYFUNCTION("""COMPUTED_VALUE"""),11.993)</f>
        <v>11.993</v>
      </c>
      <c r="U444" s="3" t="e">
        <f ca="1"/>
        <v>#NAME?</v>
      </c>
    </row>
    <row r="445" spans="3:21" ht="12.5" x14ac:dyDescent="0.25">
      <c r="C445" s="4">
        <f ca="1">IFERROR(__xludf.DUMMYFUNCTION("""COMPUTED_VALUE"""),40689.9986111111)</f>
        <v>40689.998611111099</v>
      </c>
      <c r="D445" s="2">
        <f ca="1">IFERROR(__xludf.DUMMYFUNCTION("""COMPUTED_VALUE"""),45.19)</f>
        <v>45.19</v>
      </c>
      <c r="E445" s="2">
        <f ca="1">IFERROR(__xludf.DUMMYFUNCTION("""COMPUTED_VALUE"""),65.712)</f>
        <v>65.712000000000003</v>
      </c>
      <c r="F445" s="2">
        <f ca="1">IFERROR(__xludf.DUMMYFUNCTION("""COMPUTED_VALUE"""),73.949)</f>
        <v>73.948999999999998</v>
      </c>
      <c r="G445" s="2">
        <f ca="1">IFERROR(__xludf.DUMMYFUNCTION("""COMPUTED_VALUE"""),0.59712)</f>
        <v>0.59711999999999998</v>
      </c>
      <c r="H445" s="2">
        <f ca="1">IFERROR(__xludf.DUMMYFUNCTION("""COMPUTED_VALUE"""),47.621)</f>
        <v>47.621000000000002</v>
      </c>
      <c r="I445" s="2">
        <f ca="1">IFERROR(__xludf.DUMMYFUNCTION("""COMPUTED_VALUE"""),46.279)</f>
        <v>46.279000000000003</v>
      </c>
      <c r="J445" s="2">
        <f ca="1">IFERROR(__xludf.DUMMYFUNCTION("""COMPUTED_VALUE"""),37.769)</f>
        <v>37.768999999999998</v>
      </c>
      <c r="K445" s="2">
        <f ca="1">IFERROR(__xludf.DUMMYFUNCTION("""COMPUTED_VALUE"""),51.562)</f>
        <v>51.561999999999998</v>
      </c>
      <c r="L445" s="2">
        <f ca="1">IFERROR(__xludf.DUMMYFUNCTION("""COMPUTED_VALUE"""),9.8775)</f>
        <v>9.8774999999999995</v>
      </c>
      <c r="M445" s="2">
        <f ca="1">IFERROR(__xludf.DUMMYFUNCTION("""COMPUTED_VALUE"""),11.988)</f>
        <v>11.988</v>
      </c>
      <c r="U445" s="3" t="e">
        <f ca="1"/>
        <v>#NAME?</v>
      </c>
    </row>
    <row r="446" spans="3:21" ht="12.5" x14ac:dyDescent="0.25">
      <c r="C446" s="4">
        <f ca="1">IFERROR(__xludf.DUMMYFUNCTION("""COMPUTED_VALUE"""),40690.9986111111)</f>
        <v>40690.998611111099</v>
      </c>
      <c r="D446" s="2">
        <f ca="1">IFERROR(__xludf.DUMMYFUNCTION("""COMPUTED_VALUE"""),45.12)</f>
        <v>45.12</v>
      </c>
      <c r="E446" s="2">
        <f ca="1">IFERROR(__xludf.DUMMYFUNCTION("""COMPUTED_VALUE"""),65.719)</f>
        <v>65.718999999999994</v>
      </c>
      <c r="F446" s="2">
        <f ca="1">IFERROR(__xludf.DUMMYFUNCTION("""COMPUTED_VALUE"""),74.347)</f>
        <v>74.346999999999994</v>
      </c>
      <c r="G446" s="2">
        <f ca="1">IFERROR(__xludf.DUMMYFUNCTION("""COMPUTED_VALUE"""),0.59655)</f>
        <v>0.59655000000000002</v>
      </c>
      <c r="H446" s="2">
        <f ca="1">IFERROR(__xludf.DUMMYFUNCTION("""COMPUTED_VALUE"""),47.622)</f>
        <v>47.622</v>
      </c>
      <c r="I446" s="2">
        <f ca="1">IFERROR(__xludf.DUMMYFUNCTION("""COMPUTED_VALUE"""),46.31)</f>
        <v>46.31</v>
      </c>
      <c r="J446" s="2">
        <f ca="1">IFERROR(__xludf.DUMMYFUNCTION("""COMPUTED_VALUE"""),37.741)</f>
        <v>37.741</v>
      </c>
      <c r="K446" s="2">
        <f ca="1">IFERROR(__xludf.DUMMYFUNCTION("""COMPUTED_VALUE"""),51.55)</f>
        <v>51.55</v>
      </c>
      <c r="L446" s="2">
        <f ca="1">IFERROR(__xludf.DUMMYFUNCTION("""COMPUTED_VALUE"""),9.8705)</f>
        <v>9.8704999999999998</v>
      </c>
      <c r="M446" s="2">
        <f ca="1">IFERROR(__xludf.DUMMYFUNCTION("""COMPUTED_VALUE"""),11.982)</f>
        <v>11.981999999999999</v>
      </c>
      <c r="U446" s="3" t="e">
        <f ca="1"/>
        <v>#NAME?</v>
      </c>
    </row>
    <row r="447" spans="3:21" ht="12.5" x14ac:dyDescent="0.25">
      <c r="C447" s="4">
        <f ca="1">IFERROR(__xludf.DUMMYFUNCTION("""COMPUTED_VALUE"""),40691.9986111111)</f>
        <v>40691.998611111099</v>
      </c>
      <c r="D447" s="2">
        <f ca="1">IFERROR(__xludf.DUMMYFUNCTION("""COMPUTED_VALUE"""),45.173)</f>
        <v>45.173000000000002</v>
      </c>
      <c r="E447" s="2">
        <f ca="1">IFERROR(__xludf.DUMMYFUNCTION("""COMPUTED_VALUE"""),65.535)</f>
        <v>65.534999999999997</v>
      </c>
      <c r="F447" s="2">
        <f ca="1">IFERROR(__xludf.DUMMYFUNCTION("""COMPUTED_VALUE"""),74.567)</f>
        <v>74.566999999999993</v>
      </c>
      <c r="G447" s="2">
        <f ca="1">IFERROR(__xludf.DUMMYFUNCTION("""COMPUTED_VALUE"""),0.59411)</f>
        <v>0.59411000000000003</v>
      </c>
      <c r="H447" s="2">
        <f ca="1">IFERROR(__xludf.DUMMYFUNCTION("""COMPUTED_VALUE"""),47.521)</f>
        <v>47.521000000000001</v>
      </c>
      <c r="I447" s="2">
        <f ca="1">IFERROR(__xludf.DUMMYFUNCTION("""COMPUTED_VALUE"""),46.089)</f>
        <v>46.088999999999999</v>
      </c>
      <c r="J447" s="2">
        <f ca="1">IFERROR(__xludf.DUMMYFUNCTION("""COMPUTED_VALUE"""),37.744)</f>
        <v>37.744</v>
      </c>
      <c r="K447" s="2">
        <f ca="1">IFERROR(__xludf.DUMMYFUNCTION("""COMPUTED_VALUE"""),51.356)</f>
        <v>51.356000000000002</v>
      </c>
      <c r="L447" s="2">
        <f ca="1">IFERROR(__xludf.DUMMYFUNCTION("""COMPUTED_VALUE"""),9.8565)</f>
        <v>9.8565000000000005</v>
      </c>
      <c r="M447" s="2">
        <f ca="1">IFERROR(__xludf.DUMMYFUNCTION("""COMPUTED_VALUE"""),11.996)</f>
        <v>11.996</v>
      </c>
      <c r="U447" s="3" t="e">
        <f ca="1"/>
        <v>#NAME?</v>
      </c>
    </row>
    <row r="448" spans="3:21" ht="12.5" x14ac:dyDescent="0.25">
      <c r="C448" s="4">
        <f ca="1">IFERROR(__xludf.DUMMYFUNCTION("""COMPUTED_VALUE"""),40693.9986111111)</f>
        <v>40693.998611111099</v>
      </c>
      <c r="D448" s="2">
        <f ca="1">IFERROR(__xludf.DUMMYFUNCTION("""COMPUTED_VALUE"""),45.083)</f>
        <v>45.082999999999998</v>
      </c>
      <c r="E448" s="2">
        <f ca="1">IFERROR(__xludf.DUMMYFUNCTION("""COMPUTED_VALUE"""),65.641)</f>
        <v>65.641000000000005</v>
      </c>
      <c r="F448" s="2">
        <f ca="1">IFERROR(__xludf.DUMMYFUNCTION("""COMPUTED_VALUE"""),74.247)</f>
        <v>74.247</v>
      </c>
      <c r="G448" s="2">
        <f ca="1">IFERROR(__xludf.DUMMYFUNCTION("""COMPUTED_VALUE"""),0.59432)</f>
        <v>0.59431999999999996</v>
      </c>
      <c r="H448" s="2">
        <f ca="1">IFERROR(__xludf.DUMMYFUNCTION("""COMPUTED_VALUE"""),47.758)</f>
        <v>47.758000000000003</v>
      </c>
      <c r="I448" s="2">
        <f ca="1">IFERROR(__xludf.DUMMYFUNCTION("""COMPUTED_VALUE"""),45.986)</f>
        <v>45.985999999999997</v>
      </c>
      <c r="J448" s="2">
        <f ca="1">IFERROR(__xludf.DUMMYFUNCTION("""COMPUTED_VALUE"""),37.813)</f>
        <v>37.813000000000002</v>
      </c>
      <c r="K448" s="2">
        <f ca="1">IFERROR(__xludf.DUMMYFUNCTION("""COMPUTED_VALUE"""),50.843)</f>
        <v>50.843000000000004</v>
      </c>
      <c r="L448" s="2">
        <f ca="1">IFERROR(__xludf.DUMMYFUNCTION("""COMPUTED_VALUE"""),9.8926)</f>
        <v>9.8925999999999998</v>
      </c>
      <c r="M448" s="2">
        <f ca="1">IFERROR(__xludf.DUMMYFUNCTION("""COMPUTED_VALUE"""),12.035)</f>
        <v>12.035</v>
      </c>
      <c r="U448" s="3" t="e">
        <f ca="1"/>
        <v>#NAME?</v>
      </c>
    </row>
    <row r="449" spans="3:21" ht="12.5" x14ac:dyDescent="0.25">
      <c r="C449" s="4">
        <f ca="1">IFERROR(__xludf.DUMMYFUNCTION("""COMPUTED_VALUE"""),40694.9986111111)</f>
        <v>40694.998611111099</v>
      </c>
      <c r="D449" s="2">
        <f ca="1">IFERROR(__xludf.DUMMYFUNCTION("""COMPUTED_VALUE"""),44.96)</f>
        <v>44.96</v>
      </c>
      <c r="E449" s="2">
        <f ca="1">IFERROR(__xludf.DUMMYFUNCTION("""COMPUTED_VALUE"""),66.204)</f>
        <v>66.203999999999994</v>
      </c>
      <c r="F449" s="2">
        <f ca="1">IFERROR(__xludf.DUMMYFUNCTION("""COMPUTED_VALUE"""),73.983)</f>
        <v>73.983000000000004</v>
      </c>
      <c r="G449" s="2">
        <f ca="1">IFERROR(__xludf.DUMMYFUNCTION("""COMPUTED_VALUE"""),0.59651)</f>
        <v>0.59650999999999998</v>
      </c>
      <c r="H449" s="2">
        <f ca="1">IFERROR(__xludf.DUMMYFUNCTION("""COMPUTED_VALUE"""),48.122)</f>
        <v>48.122</v>
      </c>
      <c r="I449" s="2">
        <f ca="1">IFERROR(__xludf.DUMMYFUNCTION("""COMPUTED_VALUE"""),46.517)</f>
        <v>46.517000000000003</v>
      </c>
      <c r="J449" s="2">
        <f ca="1">IFERROR(__xludf.DUMMYFUNCTION("""COMPUTED_VALUE"""),38.071)</f>
        <v>38.070999999999998</v>
      </c>
      <c r="K449" s="2">
        <f ca="1">IFERROR(__xludf.DUMMYFUNCTION("""COMPUTED_VALUE"""),50.918)</f>
        <v>50.917999999999999</v>
      </c>
      <c r="L449" s="2">
        <f ca="1">IFERROR(__xludf.DUMMYFUNCTION("""COMPUTED_VALUE"""),9.9591)</f>
        <v>9.9590999999999994</v>
      </c>
      <c r="M449" s="2">
        <f ca="1">IFERROR(__xludf.DUMMYFUNCTION("""COMPUTED_VALUE"""),12.035)</f>
        <v>12.035</v>
      </c>
      <c r="U449" s="3" t="e">
        <f ca="1"/>
        <v>#NAME?</v>
      </c>
    </row>
    <row r="450" spans="3:21" ht="12.5" x14ac:dyDescent="0.25">
      <c r="C450" s="4">
        <f ca="1">IFERROR(__xludf.DUMMYFUNCTION("""COMPUTED_VALUE"""),40695.9986111111)</f>
        <v>40695.998611111099</v>
      </c>
      <c r="D450" s="2">
        <f ca="1">IFERROR(__xludf.DUMMYFUNCTION("""COMPUTED_VALUE"""),44.76)</f>
        <v>44.76</v>
      </c>
      <c r="E450" s="2">
        <f ca="1">IFERROR(__xludf.DUMMYFUNCTION("""COMPUTED_VALUE"""),66.165)</f>
        <v>66.165000000000006</v>
      </c>
      <c r="F450" s="2">
        <f ca="1">IFERROR(__xludf.DUMMYFUNCTION("""COMPUTED_VALUE"""),73.334)</f>
        <v>73.334000000000003</v>
      </c>
      <c r="G450" s="2">
        <f ca="1">IFERROR(__xludf.DUMMYFUNCTION("""COMPUTED_VALUE"""),0.59337)</f>
        <v>0.59336999999999995</v>
      </c>
      <c r="H450" s="2">
        <f ca="1">IFERROR(__xludf.DUMMYFUNCTION("""COMPUTED_VALUE"""),48)</f>
        <v>48</v>
      </c>
      <c r="I450" s="2">
        <f ca="1">IFERROR(__xludf.DUMMYFUNCTION("""COMPUTED_VALUE"""),46.583)</f>
        <v>46.582999999999998</v>
      </c>
      <c r="J450" s="2">
        <f ca="1">IFERROR(__xludf.DUMMYFUNCTION("""COMPUTED_VALUE"""),37.987)</f>
        <v>37.987000000000002</v>
      </c>
      <c r="K450" s="2">
        <f ca="1">IFERROR(__xludf.DUMMYFUNCTION("""COMPUTED_VALUE"""),51.115)</f>
        <v>51.115000000000002</v>
      </c>
      <c r="L450" s="2">
        <f ca="1">IFERROR(__xludf.DUMMYFUNCTION("""COMPUTED_VALUE"""),9.9024)</f>
        <v>9.9024000000000001</v>
      </c>
      <c r="M450" s="2">
        <f ca="1">IFERROR(__xludf.DUMMYFUNCTION("""COMPUTED_VALUE"""),11.997)</f>
        <v>11.997</v>
      </c>
      <c r="U450" s="3" t="e">
        <f ca="1"/>
        <v>#NAME?</v>
      </c>
    </row>
    <row r="451" spans="3:21" ht="12.5" x14ac:dyDescent="0.25">
      <c r="C451" s="4">
        <f ca="1">IFERROR(__xludf.DUMMYFUNCTION("""COMPUTED_VALUE"""),40696.9986111111)</f>
        <v>40696.998611111099</v>
      </c>
      <c r="D451" s="2">
        <f ca="1">IFERROR(__xludf.DUMMYFUNCTION("""COMPUTED_VALUE"""),44.76)</f>
        <v>44.76</v>
      </c>
      <c r="E451" s="2">
        <f ca="1">IFERROR(__xludf.DUMMYFUNCTION("""COMPUTED_VALUE"""),66.786)</f>
        <v>66.786000000000001</v>
      </c>
      <c r="F451" s="2">
        <f ca="1">IFERROR(__xludf.DUMMYFUNCTION("""COMPUTED_VALUE"""),73.207)</f>
        <v>73.206999999999994</v>
      </c>
      <c r="G451" s="2">
        <f ca="1">IFERROR(__xludf.DUMMYFUNCTION("""COMPUTED_VALUE"""),0.60133)</f>
        <v>0.60133000000000003</v>
      </c>
      <c r="H451" s="2">
        <f ca="1">IFERROR(__xludf.DUMMYFUNCTION("""COMPUTED_VALUE"""),48.772)</f>
        <v>48.771999999999998</v>
      </c>
      <c r="I451" s="2">
        <f ca="1">IFERROR(__xludf.DUMMYFUNCTION("""COMPUTED_VALUE"""),46.852)</f>
        <v>46.851999999999997</v>
      </c>
      <c r="J451" s="2">
        <f ca="1">IFERROR(__xludf.DUMMYFUNCTION("""COMPUTED_VALUE"""),38.342)</f>
        <v>38.341999999999999</v>
      </c>
      <c r="K451" s="2">
        <f ca="1">IFERROR(__xludf.DUMMYFUNCTION("""COMPUTED_VALUE"""),50.651)</f>
        <v>50.651000000000003</v>
      </c>
      <c r="L451" s="2">
        <f ca="1">IFERROR(__xludf.DUMMYFUNCTION("""COMPUTED_VALUE"""),9.8871)</f>
        <v>9.8871000000000002</v>
      </c>
      <c r="M451" s="2">
        <f ca="1">IFERROR(__xludf.DUMMYFUNCTION("""COMPUTED_VALUE"""),12.051)</f>
        <v>12.051</v>
      </c>
      <c r="U451" s="3" t="e">
        <f ca="1"/>
        <v>#NAME?</v>
      </c>
    </row>
    <row r="452" spans="3:21" ht="12.5" x14ac:dyDescent="0.25">
      <c r="C452" s="4">
        <f ca="1">IFERROR(__xludf.DUMMYFUNCTION("""COMPUTED_VALUE"""),40697.9986111111)</f>
        <v>40697.998611111099</v>
      </c>
      <c r="D452" s="2">
        <f ca="1">IFERROR(__xludf.DUMMYFUNCTION("""COMPUTED_VALUE"""),44.76)</f>
        <v>44.76</v>
      </c>
      <c r="E452" s="2">
        <f ca="1">IFERROR(__xludf.DUMMYFUNCTION("""COMPUTED_VALUE"""),66.675)</f>
        <v>66.674999999999997</v>
      </c>
      <c r="F452" s="2">
        <f ca="1">IFERROR(__xludf.DUMMYFUNCTION("""COMPUTED_VALUE"""),73.501)</f>
        <v>73.501000000000005</v>
      </c>
      <c r="G452" s="2">
        <f ca="1">IFERROR(__xludf.DUMMYFUNCTION("""COMPUTED_VALUE"""),0.59976)</f>
        <v>0.59975999999999996</v>
      </c>
      <c r="H452" s="2">
        <f ca="1">IFERROR(__xludf.DUMMYFUNCTION("""COMPUTED_VALUE"""),48.643)</f>
        <v>48.643000000000001</v>
      </c>
      <c r="I452" s="2">
        <f ca="1">IFERROR(__xludf.DUMMYFUNCTION("""COMPUTED_VALUE"""),46.78)</f>
        <v>46.78</v>
      </c>
      <c r="J452" s="2">
        <f ca="1">IFERROR(__xludf.DUMMYFUNCTION("""COMPUTED_VALUE"""),38.288)</f>
        <v>38.287999999999997</v>
      </c>
      <c r="K452" s="2">
        <f ca="1">IFERROR(__xludf.DUMMYFUNCTION("""COMPUTED_VALUE"""),50.226)</f>
        <v>50.225999999999999</v>
      </c>
      <c r="L452" s="2">
        <f ca="1">IFERROR(__xludf.DUMMYFUNCTION("""COMPUTED_VALUE"""),9.719)</f>
        <v>9.7189999999999994</v>
      </c>
      <c r="M452" s="2">
        <f ca="1">IFERROR(__xludf.DUMMYFUNCTION("""COMPUTED_VALUE"""),12.065)</f>
        <v>12.065</v>
      </c>
      <c r="U452" s="3" t="e">
        <f ca="1"/>
        <v>#NAME?</v>
      </c>
    </row>
    <row r="453" spans="3:21" ht="12.5" x14ac:dyDescent="0.25">
      <c r="C453" s="4">
        <f ca="1">IFERROR(__xludf.DUMMYFUNCTION("""COMPUTED_VALUE"""),40699.9986111111)</f>
        <v>40699.998611111099</v>
      </c>
      <c r="D453" s="2">
        <f ca="1">IFERROR(__xludf.DUMMYFUNCTION("""COMPUTED_VALUE"""),44.823)</f>
        <v>44.823</v>
      </c>
      <c r="E453" s="2">
        <f ca="1">IFERROR(__xludf.DUMMYFUNCTION("""COMPUTED_VALUE"""),66.51)</f>
        <v>66.510000000000005</v>
      </c>
      <c r="F453" s="2">
        <f ca="1">IFERROR(__xludf.DUMMYFUNCTION("""COMPUTED_VALUE"""),73.642)</f>
        <v>73.641999999999996</v>
      </c>
      <c r="G453" s="2">
        <f ca="1">IFERROR(__xludf.DUMMYFUNCTION("""COMPUTED_VALUE"""),0.5958)</f>
        <v>0.5958</v>
      </c>
      <c r="H453" s="2">
        <f ca="1">IFERROR(__xludf.DUMMYFUNCTION("""COMPUTED_VALUE"""),48.673)</f>
        <v>48.673000000000002</v>
      </c>
      <c r="I453" s="2">
        <f ca="1">IFERROR(__xludf.DUMMYFUNCTION("""COMPUTED_VALUE"""),46.831)</f>
        <v>46.831000000000003</v>
      </c>
      <c r="J453" s="2">
        <f ca="1">IFERROR(__xludf.DUMMYFUNCTION("""COMPUTED_VALUE"""),38.04)</f>
        <v>38.04</v>
      </c>
      <c r="K453" s="2">
        <f ca="1">IFERROR(__xludf.DUMMYFUNCTION("""COMPUTED_VALUE"""),50.586)</f>
        <v>50.585999999999999</v>
      </c>
      <c r="L453" s="2">
        <f ca="1">IFERROR(__xludf.DUMMYFUNCTION("""COMPUTED_VALUE"""),9.9161)</f>
        <v>9.9161000000000001</v>
      </c>
      <c r="M453" s="2">
        <f ca="1">IFERROR(__xludf.DUMMYFUNCTION("""COMPUTED_VALUE"""),12.133)</f>
        <v>12.132999999999999</v>
      </c>
      <c r="U453" s="3" t="e">
        <f ca="1"/>
        <v>#NAME?</v>
      </c>
    </row>
    <row r="454" spans="3:21" ht="12.5" x14ac:dyDescent="0.25">
      <c r="C454" s="4">
        <f ca="1">IFERROR(__xludf.DUMMYFUNCTION("""COMPUTED_VALUE"""),40700.9986111111)</f>
        <v>40700.998611111099</v>
      </c>
      <c r="D454" s="2">
        <f ca="1">IFERROR(__xludf.DUMMYFUNCTION("""COMPUTED_VALUE"""),44.67)</f>
        <v>44.67</v>
      </c>
      <c r="E454" s="2">
        <f ca="1">IFERROR(__xludf.DUMMYFUNCTION("""COMPUTED_VALUE"""),66.248)</f>
        <v>66.248000000000005</v>
      </c>
      <c r="F454" s="2">
        <f ca="1">IFERROR(__xludf.DUMMYFUNCTION("""COMPUTED_VALUE"""),73.071)</f>
        <v>73.070999999999998</v>
      </c>
      <c r="G454" s="2">
        <f ca="1">IFERROR(__xludf.DUMMYFUNCTION("""COMPUTED_VALUE"""),0.599)</f>
        <v>0.59899999999999998</v>
      </c>
      <c r="H454" s="2">
        <f ca="1">IFERROR(__xludf.DUMMYFUNCTION("""COMPUTED_VALUE"""),49.016)</f>
        <v>49.015999999999998</v>
      </c>
      <c r="I454" s="2">
        <f ca="1">IFERROR(__xludf.DUMMYFUNCTION("""COMPUTED_VALUE"""),46.858)</f>
        <v>46.857999999999997</v>
      </c>
      <c r="J454" s="2">
        <f ca="1">IFERROR(__xludf.DUMMYFUNCTION("""COMPUTED_VALUE"""),38.074)</f>
        <v>38.073999999999998</v>
      </c>
      <c r="K454" s="2">
        <f ca="1">IFERROR(__xludf.DUMMYFUNCTION("""COMPUTED_VALUE"""),50.163)</f>
        <v>50.162999999999997</v>
      </c>
      <c r="L454" s="2">
        <f ca="1">IFERROR(__xludf.DUMMYFUNCTION("""COMPUTED_VALUE"""),9.9308)</f>
        <v>9.9307999999999996</v>
      </c>
      <c r="M454" s="2">
        <f ca="1">IFERROR(__xludf.DUMMYFUNCTION("""COMPUTED_VALUE"""),12.179)</f>
        <v>12.179</v>
      </c>
      <c r="U454" s="3" t="e">
        <f ca="1"/>
        <v>#NAME?</v>
      </c>
    </row>
    <row r="455" spans="3:21" ht="12.5" x14ac:dyDescent="0.25">
      <c r="C455" s="4">
        <f ca="1">IFERROR(__xludf.DUMMYFUNCTION("""COMPUTED_VALUE"""),40701.9986111111)</f>
        <v>40701.998611111099</v>
      </c>
      <c r="D455" s="2">
        <f ca="1">IFERROR(__xludf.DUMMYFUNCTION("""COMPUTED_VALUE"""),44.61)</f>
        <v>44.61</v>
      </c>
      <c r="E455" s="2">
        <f ca="1">IFERROR(__xludf.DUMMYFUNCTION("""COMPUTED_VALUE"""),65.765)</f>
        <v>65.765000000000001</v>
      </c>
      <c r="F455" s="2">
        <f ca="1">IFERROR(__xludf.DUMMYFUNCTION("""COMPUTED_VALUE"""),73.367)</f>
        <v>73.367000000000004</v>
      </c>
      <c r="G455" s="2">
        <f ca="1">IFERROR(__xludf.DUMMYFUNCTION("""COMPUTED_VALUE"""),0.59643)</f>
        <v>0.59643000000000002</v>
      </c>
      <c r="H455" s="2">
        <f ca="1">IFERROR(__xludf.DUMMYFUNCTION("""COMPUTED_VALUE"""),48.903)</f>
        <v>48.902999999999999</v>
      </c>
      <c r="I455" s="2">
        <f ca="1">IFERROR(__xludf.DUMMYFUNCTION("""COMPUTED_VALUE"""),46.763)</f>
        <v>46.762999999999998</v>
      </c>
      <c r="J455" s="2">
        <f ca="1">IFERROR(__xludf.DUMMYFUNCTION("""COMPUTED_VALUE"""),37.987)</f>
        <v>37.987000000000002</v>
      </c>
      <c r="K455" s="2">
        <f ca="1">IFERROR(__xludf.DUMMYFUNCTION("""COMPUTED_VALUE"""),50.245)</f>
        <v>50.244999999999997</v>
      </c>
      <c r="L455" s="2">
        <f ca="1">IFERROR(__xludf.DUMMYFUNCTION("""COMPUTED_VALUE"""),9.8658)</f>
        <v>9.8658000000000001</v>
      </c>
      <c r="M455" s="2">
        <f ca="1">IFERROR(__xludf.DUMMYFUNCTION("""COMPUTED_VALUE"""),12.179)</f>
        <v>12.179</v>
      </c>
      <c r="U455" s="3" t="e">
        <f ca="1"/>
        <v>#NAME?</v>
      </c>
    </row>
    <row r="456" spans="3:21" ht="12.5" x14ac:dyDescent="0.25">
      <c r="C456" s="4">
        <f ca="1">IFERROR(__xludf.DUMMYFUNCTION("""COMPUTED_VALUE"""),40702.9986111111)</f>
        <v>40702.998611111099</v>
      </c>
      <c r="D456" s="2">
        <f ca="1">IFERROR(__xludf.DUMMYFUNCTION("""COMPUTED_VALUE"""),44.66)</f>
        <v>44.66</v>
      </c>
      <c r="E456" s="2">
        <f ca="1">IFERROR(__xludf.DUMMYFUNCTION("""COMPUTED_VALUE"""),65.2)</f>
        <v>65.2</v>
      </c>
      <c r="F456" s="2">
        <f ca="1">IFERROR(__xludf.DUMMYFUNCTION("""COMPUTED_VALUE"""),73.238)</f>
        <v>73.238</v>
      </c>
      <c r="G456" s="2">
        <f ca="1">IFERROR(__xludf.DUMMYFUNCTION("""COMPUTED_VALUE"""),0.59425)</f>
        <v>0.59424999999999994</v>
      </c>
      <c r="H456" s="2">
        <f ca="1">IFERROR(__xludf.DUMMYFUNCTION("""COMPUTED_VALUE"""),49.026)</f>
        <v>49.026000000000003</v>
      </c>
      <c r="I456" s="2">
        <f ca="1">IFERROR(__xludf.DUMMYFUNCTION("""COMPUTED_VALUE"""),46.824)</f>
        <v>46.823999999999998</v>
      </c>
      <c r="J456" s="2">
        <f ca="1">IFERROR(__xludf.DUMMYFUNCTION("""COMPUTED_VALUE"""),37.943)</f>
        <v>37.942999999999998</v>
      </c>
      <c r="K456" s="2">
        <f ca="1">IFERROR(__xludf.DUMMYFUNCTION("""COMPUTED_VALUE"""),50.929)</f>
        <v>50.929000000000002</v>
      </c>
      <c r="L456" s="2">
        <f ca="1">IFERROR(__xludf.DUMMYFUNCTION("""COMPUTED_VALUE"""),9.8974)</f>
        <v>9.8973999999999993</v>
      </c>
      <c r="M456" s="2">
        <f ca="1">IFERROR(__xludf.DUMMYFUNCTION("""COMPUTED_VALUE"""),12.179)</f>
        <v>12.179</v>
      </c>
      <c r="U456" s="3" t="e">
        <f ca="1"/>
        <v>#NAME?</v>
      </c>
    </row>
    <row r="457" spans="3:21" ht="12.5" x14ac:dyDescent="0.25">
      <c r="C457" s="4">
        <f ca="1">IFERROR(__xludf.DUMMYFUNCTION("""COMPUTED_VALUE"""),40703.9986111111)</f>
        <v>40703.998611111099</v>
      </c>
      <c r="D457" s="2">
        <f ca="1">IFERROR(__xludf.DUMMYFUNCTION("""COMPUTED_VALUE"""),44.6)</f>
        <v>44.6</v>
      </c>
      <c r="E457" s="2">
        <f ca="1">IFERROR(__xludf.DUMMYFUNCTION("""COMPUTED_VALUE"""),64.867)</f>
        <v>64.867000000000004</v>
      </c>
      <c r="F457" s="2">
        <f ca="1">IFERROR(__xludf.DUMMYFUNCTION("""COMPUTED_VALUE"""),73.01)</f>
        <v>73.010000000000005</v>
      </c>
      <c r="G457" s="2">
        <f ca="1">IFERROR(__xludf.DUMMYFUNCTION("""COMPUTED_VALUE"""),0.59565)</f>
        <v>0.59565000000000001</v>
      </c>
      <c r="H457" s="2">
        <f ca="1">IFERROR(__xludf.DUMMYFUNCTION("""COMPUTED_VALUE"""),48.629)</f>
        <v>48.628999999999998</v>
      </c>
      <c r="I457" s="2">
        <f ca="1">IFERROR(__xludf.DUMMYFUNCTION("""COMPUTED_VALUE"""),46.44)</f>
        <v>46.44</v>
      </c>
      <c r="J457" s="2">
        <f ca="1">IFERROR(__xludf.DUMMYFUNCTION("""COMPUTED_VALUE"""),37.964)</f>
        <v>37.963999999999999</v>
      </c>
      <c r="K457" s="2">
        <f ca="1">IFERROR(__xludf.DUMMYFUNCTION("""COMPUTED_VALUE"""),51.105)</f>
        <v>51.104999999999997</v>
      </c>
      <c r="L457" s="2">
        <f ca="1">IFERROR(__xludf.DUMMYFUNCTION("""COMPUTED_VALUE"""),9.8886)</f>
        <v>9.8886000000000003</v>
      </c>
      <c r="M457" s="2">
        <f ca="1">IFERROR(__xludf.DUMMYFUNCTION("""COMPUTED_VALUE"""),12.253)</f>
        <v>12.253</v>
      </c>
      <c r="U457" s="3" t="e">
        <f ca="1"/>
        <v>#NAME?</v>
      </c>
    </row>
    <row r="458" spans="3:21" ht="12.5" x14ac:dyDescent="0.25">
      <c r="C458" s="4">
        <f ca="1">IFERROR(__xludf.DUMMYFUNCTION("""COMPUTED_VALUE"""),40704.9986111111)</f>
        <v>40704.998611111099</v>
      </c>
      <c r="D458" s="2">
        <f ca="1">IFERROR(__xludf.DUMMYFUNCTION("""COMPUTED_VALUE"""),44.71)</f>
        <v>44.71</v>
      </c>
      <c r="E458" s="2">
        <f ca="1">IFERROR(__xludf.DUMMYFUNCTION("""COMPUTED_VALUE"""),64.883)</f>
        <v>64.882999999999996</v>
      </c>
      <c r="F458" s="2">
        <f ca="1">IFERROR(__xludf.DUMMYFUNCTION("""COMPUTED_VALUE"""),72.614)</f>
        <v>72.614000000000004</v>
      </c>
      <c r="G458" s="2">
        <f ca="1">IFERROR(__xludf.DUMMYFUNCTION("""COMPUTED_VALUE"""),0.59485)</f>
        <v>0.59484999999999999</v>
      </c>
      <c r="H458" s="2">
        <f ca="1">IFERROR(__xludf.DUMMYFUNCTION("""COMPUTED_VALUE"""),48.696)</f>
        <v>48.695999999999998</v>
      </c>
      <c r="I458" s="2">
        <f ca="1">IFERROR(__xludf.DUMMYFUNCTION("""COMPUTED_VALUE"""),46.541)</f>
        <v>46.540999999999997</v>
      </c>
      <c r="J458" s="2">
        <f ca="1">IFERROR(__xludf.DUMMYFUNCTION("""COMPUTED_VALUE"""),37.923)</f>
        <v>37.923000000000002</v>
      </c>
      <c r="K458" s="2">
        <f ca="1">IFERROR(__xludf.DUMMYFUNCTION("""COMPUTED_VALUE"""),51.008)</f>
        <v>51.008000000000003</v>
      </c>
      <c r="L458" s="2">
        <f ca="1">IFERROR(__xludf.DUMMYFUNCTION("""COMPUTED_VALUE"""),9.7824)</f>
        <v>9.7824000000000009</v>
      </c>
      <c r="M458" s="2">
        <f ca="1">IFERROR(__xludf.DUMMYFUNCTION("""COMPUTED_VALUE"""),12.307)</f>
        <v>12.307</v>
      </c>
      <c r="U458" s="3" t="e">
        <f ca="1"/>
        <v>#NAME?</v>
      </c>
    </row>
    <row r="459" spans="3:21" ht="12.5" x14ac:dyDescent="0.25">
      <c r="C459" s="4">
        <f ca="1">IFERROR(__xludf.DUMMYFUNCTION("""COMPUTED_VALUE"""),40705.9986111111)</f>
        <v>40705.998611111099</v>
      </c>
      <c r="D459" s="2">
        <f ca="1">IFERROR(__xludf.DUMMYFUNCTION("""COMPUTED_VALUE"""),44.723)</f>
        <v>44.722999999999999</v>
      </c>
      <c r="E459" s="2">
        <f ca="1">IFERROR(__xludf.DUMMYFUNCTION("""COMPUTED_VALUE"""),64.775)</f>
        <v>64.775000000000006</v>
      </c>
      <c r="F459" s="2">
        <f ca="1">IFERROR(__xludf.DUMMYFUNCTION("""COMPUTED_VALUE"""),72.686)</f>
        <v>72.686000000000007</v>
      </c>
      <c r="G459" s="2">
        <f ca="1">IFERROR(__xludf.DUMMYFUNCTION("""COMPUTED_VALUE"""),0.59749)</f>
        <v>0.59748999999999997</v>
      </c>
      <c r="H459" s="2">
        <f ca="1">IFERROR(__xludf.DUMMYFUNCTION("""COMPUTED_VALUE"""),48.512)</f>
        <v>48.512</v>
      </c>
      <c r="I459" s="2">
        <f ca="1">IFERROR(__xludf.DUMMYFUNCTION("""COMPUTED_VALUE"""),46.315)</f>
        <v>46.314999999999998</v>
      </c>
      <c r="J459" s="2">
        <f ca="1">IFERROR(__xludf.DUMMYFUNCTION("""COMPUTED_VALUE"""),38.022)</f>
        <v>38.021999999999998</v>
      </c>
      <c r="K459" s="2">
        <f ca="1">IFERROR(__xludf.DUMMYFUNCTION("""COMPUTED_VALUE"""),50.937)</f>
        <v>50.936999999999998</v>
      </c>
      <c r="L459" s="2">
        <f ca="1">IFERROR(__xludf.DUMMYFUNCTION("""COMPUTED_VALUE"""),9.7824)</f>
        <v>9.7824000000000009</v>
      </c>
      <c r="M459" s="2">
        <f ca="1">IFERROR(__xludf.DUMMYFUNCTION("""COMPUTED_VALUE"""),12.319)</f>
        <v>12.319000000000001</v>
      </c>
      <c r="U459" s="3" t="e">
        <f ca="1"/>
        <v>#NAME?</v>
      </c>
    </row>
    <row r="460" spans="3:21" ht="12.5" x14ac:dyDescent="0.25">
      <c r="C460" s="4">
        <f ca="1">IFERROR(__xludf.DUMMYFUNCTION("""COMPUTED_VALUE"""),40707.9986111111)</f>
        <v>40707.998611111099</v>
      </c>
      <c r="D460" s="2">
        <f ca="1">IFERROR(__xludf.DUMMYFUNCTION("""COMPUTED_VALUE"""),44.8)</f>
        <v>44.8</v>
      </c>
      <c r="E460" s="2">
        <f ca="1">IFERROR(__xludf.DUMMYFUNCTION("""COMPUTED_VALUE"""),64.419)</f>
        <v>64.418999999999997</v>
      </c>
      <c r="F460" s="2">
        <f ca="1">IFERROR(__xludf.DUMMYFUNCTION("""COMPUTED_VALUE"""),73.049)</f>
        <v>73.049000000000007</v>
      </c>
      <c r="G460" s="2">
        <f ca="1">IFERROR(__xludf.DUMMYFUNCTION("""COMPUTED_VALUE"""),0.59242)</f>
        <v>0.59241999999999995</v>
      </c>
      <c r="H460" s="2">
        <f ca="1">IFERROR(__xludf.DUMMYFUNCTION("""COMPUTED_VALUE"""),48.331)</f>
        <v>48.331000000000003</v>
      </c>
      <c r="I460" s="2">
        <f ca="1">IFERROR(__xludf.DUMMYFUNCTION("""COMPUTED_VALUE"""),46.5)</f>
        <v>46.5</v>
      </c>
      <c r="J460" s="2">
        <f ca="1">IFERROR(__xludf.DUMMYFUNCTION("""COMPUTED_VALUE"""),38.037)</f>
        <v>38.036999999999999</v>
      </c>
      <c r="K460" s="2">
        <f ca="1">IFERROR(__xludf.DUMMYFUNCTION("""COMPUTED_VALUE"""),51.137)</f>
        <v>51.137</v>
      </c>
      <c r="L460" s="2">
        <f ca="1">IFERROR(__xludf.DUMMYFUNCTION("""COMPUTED_VALUE"""),9.8468)</f>
        <v>9.8468</v>
      </c>
      <c r="M460" s="2">
        <f ca="1">IFERROR(__xludf.DUMMYFUNCTION("""COMPUTED_VALUE"""),12.331)</f>
        <v>12.331</v>
      </c>
      <c r="U460" s="3" t="e">
        <f ca="1"/>
        <v>#NAME?</v>
      </c>
    </row>
    <row r="461" spans="3:21" ht="12.5" x14ac:dyDescent="0.25">
      <c r="C461" s="4">
        <f ca="1">IFERROR(__xludf.DUMMYFUNCTION("""COMPUTED_VALUE"""),40708.9986111111)</f>
        <v>40708.998611111099</v>
      </c>
      <c r="D461" s="2">
        <f ca="1">IFERROR(__xludf.DUMMYFUNCTION("""COMPUTED_VALUE"""),44.739)</f>
        <v>44.738999999999997</v>
      </c>
      <c r="E461" s="2">
        <f ca="1">IFERROR(__xludf.DUMMYFUNCTION("""COMPUTED_VALUE"""),64.907)</f>
        <v>64.906999999999996</v>
      </c>
      <c r="F461" s="2">
        <f ca="1">IFERROR(__xludf.DUMMYFUNCTION("""COMPUTED_VALUE"""),73.296)</f>
        <v>73.296000000000006</v>
      </c>
      <c r="G461" s="2">
        <f ca="1">IFERROR(__xludf.DUMMYFUNCTION("""COMPUTED_VALUE"""),0.59595)</f>
        <v>0.59594999999999998</v>
      </c>
      <c r="H461" s="2">
        <f ca="1">IFERROR(__xludf.DUMMYFUNCTION("""COMPUTED_VALUE"""),49.076)</f>
        <v>49.076000000000001</v>
      </c>
      <c r="I461" s="2">
        <f ca="1">IFERROR(__xludf.DUMMYFUNCTION("""COMPUTED_VALUE"""),46.798)</f>
        <v>46.798000000000002</v>
      </c>
      <c r="J461" s="2">
        <f ca="1">IFERROR(__xludf.DUMMYFUNCTION("""COMPUTED_VALUE"""),38.122)</f>
        <v>38.122</v>
      </c>
      <c r="K461" s="2">
        <f ca="1">IFERROR(__xludf.DUMMYFUNCTION("""COMPUTED_VALUE"""),51.258)</f>
        <v>51.258000000000003</v>
      </c>
      <c r="L461" s="2">
        <f ca="1">IFERROR(__xludf.DUMMYFUNCTION("""COMPUTED_VALUE"""),9.8038)</f>
        <v>9.8038000000000007</v>
      </c>
      <c r="M461" s="2">
        <f ca="1">IFERROR(__xludf.DUMMYFUNCTION("""COMPUTED_VALUE"""),12.315)</f>
        <v>12.315</v>
      </c>
      <c r="U461" s="3" t="e">
        <f ca="1"/>
        <v>#NAME?</v>
      </c>
    </row>
    <row r="462" spans="3:21" ht="12.5" x14ac:dyDescent="0.25">
      <c r="C462" s="4">
        <f ca="1">IFERROR(__xludf.DUMMYFUNCTION("""COMPUTED_VALUE"""),40709.9986111111)</f>
        <v>40709.998611111099</v>
      </c>
      <c r="D462" s="2">
        <f ca="1">IFERROR(__xludf.DUMMYFUNCTION("""COMPUTED_VALUE"""),44.71)</f>
        <v>44.71</v>
      </c>
      <c r="E462" s="2">
        <f ca="1">IFERROR(__xludf.DUMMYFUNCTION("""COMPUTED_VALUE"""),64.287)</f>
        <v>64.287000000000006</v>
      </c>
      <c r="F462" s="2">
        <f ca="1">IFERROR(__xludf.DUMMYFUNCTION("""COMPUTED_VALUE"""),72.323)</f>
        <v>72.322999999999993</v>
      </c>
      <c r="G462" s="2">
        <f ca="1">IFERROR(__xludf.DUMMYFUNCTION("""COMPUTED_VALUE"""),0.5958)</f>
        <v>0.5958</v>
      </c>
      <c r="H462" s="2">
        <f ca="1">IFERROR(__xludf.DUMMYFUNCTION("""COMPUTED_VALUE"""),49.018)</f>
        <v>49.018000000000001</v>
      </c>
      <c r="I462" s="2">
        <f ca="1">IFERROR(__xludf.DUMMYFUNCTION("""COMPUTED_VALUE"""),46.799)</f>
        <v>46.798999999999999</v>
      </c>
      <c r="J462" s="2">
        <f ca="1">IFERROR(__xludf.DUMMYFUNCTION("""COMPUTED_VALUE"""),37.989)</f>
        <v>37.988999999999997</v>
      </c>
      <c r="K462" s="2">
        <f ca="1">IFERROR(__xludf.DUMMYFUNCTION("""COMPUTED_VALUE"""),51.113)</f>
        <v>51.113</v>
      </c>
      <c r="L462" s="2">
        <f ca="1">IFERROR(__xludf.DUMMYFUNCTION("""COMPUTED_VALUE"""),9.7823)</f>
        <v>9.7822999999999993</v>
      </c>
      <c r="M462" s="2">
        <f ca="1">IFERROR(__xludf.DUMMYFUNCTION("""COMPUTED_VALUE"""),12.321)</f>
        <v>12.321</v>
      </c>
      <c r="U462" s="3" t="e">
        <f ca="1"/>
        <v>#NAME?</v>
      </c>
    </row>
    <row r="463" spans="3:21" ht="12.5" x14ac:dyDescent="0.25">
      <c r="C463" s="4">
        <f ca="1">IFERROR(__xludf.DUMMYFUNCTION("""COMPUTED_VALUE"""),40710.9986111111)</f>
        <v>40710.998611111099</v>
      </c>
      <c r="D463" s="2">
        <f ca="1">IFERROR(__xludf.DUMMYFUNCTION("""COMPUTED_VALUE"""),44.8)</f>
        <v>44.8</v>
      </c>
      <c r="E463" s="2">
        <f ca="1">IFERROR(__xludf.DUMMYFUNCTION("""COMPUTED_VALUE"""),63.519)</f>
        <v>63.518999999999998</v>
      </c>
      <c r="F463" s="2">
        <f ca="1">IFERROR(__xludf.DUMMYFUNCTION("""COMPUTED_VALUE"""),72.289)</f>
        <v>72.289000000000001</v>
      </c>
      <c r="G463" s="2">
        <f ca="1">IFERROR(__xludf.DUMMYFUNCTION("""COMPUTED_VALUE"""),0.59928)</f>
        <v>0.59928000000000003</v>
      </c>
      <c r="H463" s="2">
        <f ca="1">IFERROR(__xludf.DUMMYFUNCTION("""COMPUTED_VALUE"""),48.698)</f>
        <v>48.698</v>
      </c>
      <c r="I463" s="2">
        <f ca="1">IFERROR(__xludf.DUMMYFUNCTION("""COMPUTED_VALUE"""),46.664)</f>
        <v>46.664000000000001</v>
      </c>
      <c r="J463" s="2">
        <f ca="1">IFERROR(__xludf.DUMMYFUNCTION("""COMPUTED_VALUE"""),37.865)</f>
        <v>37.865000000000002</v>
      </c>
      <c r="K463" s="2">
        <f ca="1">IFERROR(__xludf.DUMMYFUNCTION("""COMPUTED_VALUE"""),51.311)</f>
        <v>51.311</v>
      </c>
      <c r="L463" s="2">
        <f ca="1">IFERROR(__xludf.DUMMYFUNCTION("""COMPUTED_VALUE"""),9.7513)</f>
        <v>9.7513000000000005</v>
      </c>
      <c r="M463" s="2">
        <f ca="1">IFERROR(__xludf.DUMMYFUNCTION("""COMPUTED_VALUE"""),12.334)</f>
        <v>12.334</v>
      </c>
      <c r="U463" s="3" t="e">
        <f ca="1"/>
        <v>#NAME?</v>
      </c>
    </row>
    <row r="464" spans="3:21" ht="12.5" x14ac:dyDescent="0.25">
      <c r="C464" s="4">
        <f ca="1">IFERROR(__xludf.DUMMYFUNCTION("""COMPUTED_VALUE"""),40711.9986111111)</f>
        <v>40711.998611111099</v>
      </c>
      <c r="D464" s="2">
        <f ca="1">IFERROR(__xludf.DUMMYFUNCTION("""COMPUTED_VALUE"""),44.78)</f>
        <v>44.78</v>
      </c>
      <c r="E464" s="2">
        <f ca="1">IFERROR(__xludf.DUMMYFUNCTION("""COMPUTED_VALUE"""),63.672)</f>
        <v>63.671999999999997</v>
      </c>
      <c r="F464" s="2">
        <f ca="1">IFERROR(__xludf.DUMMYFUNCTION("""COMPUTED_VALUE"""),72.463)</f>
        <v>72.462999999999994</v>
      </c>
      <c r="G464" s="2">
        <f ca="1">IFERROR(__xludf.DUMMYFUNCTION("""COMPUTED_VALUE"""),0.60275)</f>
        <v>0.60275000000000001</v>
      </c>
      <c r="H464" s="2">
        <f ca="1">IFERROR(__xludf.DUMMYFUNCTION("""COMPUTED_VALUE"""),48.862)</f>
        <v>48.862000000000002</v>
      </c>
      <c r="I464" s="2">
        <f ca="1">IFERROR(__xludf.DUMMYFUNCTION("""COMPUTED_VALUE"""),46.732)</f>
        <v>46.731999999999999</v>
      </c>
      <c r="J464" s="2">
        <f ca="1">IFERROR(__xludf.DUMMYFUNCTION("""COMPUTED_VALUE"""),37.959)</f>
        <v>37.959000000000003</v>
      </c>
      <c r="K464" s="2">
        <f ca="1">IFERROR(__xludf.DUMMYFUNCTION("""COMPUTED_VALUE"""),51.834)</f>
        <v>51.834000000000003</v>
      </c>
      <c r="L464" s="2">
        <f ca="1">IFERROR(__xludf.DUMMYFUNCTION("""COMPUTED_VALUE"""),9.8377)</f>
        <v>9.8376999999999999</v>
      </c>
      <c r="M464" s="2">
        <f ca="1">IFERROR(__xludf.DUMMYFUNCTION("""COMPUTED_VALUE"""),12.445)</f>
        <v>12.445</v>
      </c>
      <c r="U464" s="3" t="e">
        <f ca="1"/>
        <v>#NAME?</v>
      </c>
    </row>
    <row r="465" spans="3:21" ht="12.5" x14ac:dyDescent="0.25">
      <c r="C465" s="4">
        <f ca="1">IFERROR(__xludf.DUMMYFUNCTION("""COMPUTED_VALUE"""),40712.9986111111)</f>
        <v>40712.998611111099</v>
      </c>
      <c r="D465" s="2">
        <f ca="1">IFERROR(__xludf.DUMMYFUNCTION("""COMPUTED_VALUE"""),44.763)</f>
        <v>44.762999999999998</v>
      </c>
      <c r="E465" s="2">
        <f ca="1">IFERROR(__xludf.DUMMYFUNCTION("""COMPUTED_VALUE"""),64.201)</f>
        <v>64.200999999999993</v>
      </c>
      <c r="F465" s="2">
        <f ca="1">IFERROR(__xludf.DUMMYFUNCTION("""COMPUTED_VALUE"""),72.442)</f>
        <v>72.441999999999993</v>
      </c>
      <c r="G465" s="2">
        <f ca="1">IFERROR(__xludf.DUMMYFUNCTION("""COMPUTED_VALUE"""),0.61045)</f>
        <v>0.61045000000000005</v>
      </c>
      <c r="H465" s="2">
        <f ca="1">IFERROR(__xludf.DUMMYFUNCTION("""COMPUTED_VALUE"""),48.613)</f>
        <v>48.613</v>
      </c>
      <c r="I465" s="2">
        <f ca="1">IFERROR(__xludf.DUMMYFUNCTION("""COMPUTED_VALUE"""),47.368)</f>
        <v>47.368000000000002</v>
      </c>
      <c r="J465" s="2">
        <f ca="1">IFERROR(__xludf.DUMMYFUNCTION("""COMPUTED_VALUE"""),38.101)</f>
        <v>38.100999999999999</v>
      </c>
      <c r="K465" s="2">
        <f ca="1">IFERROR(__xludf.DUMMYFUNCTION("""COMPUTED_VALUE"""),52.189)</f>
        <v>52.189</v>
      </c>
      <c r="L465" s="2">
        <f ca="1">IFERROR(__xludf.DUMMYFUNCTION("""COMPUTED_VALUE"""),9.6156)</f>
        <v>9.6156000000000006</v>
      </c>
      <c r="M465" s="2">
        <f ca="1">IFERROR(__xludf.DUMMYFUNCTION("""COMPUTED_VALUE"""),12.418)</f>
        <v>12.417999999999999</v>
      </c>
      <c r="U465" s="3" t="e">
        <f ca="1"/>
        <v>#NAME?</v>
      </c>
    </row>
    <row r="466" spans="3:21" ht="12.5" x14ac:dyDescent="0.25">
      <c r="C466" s="4">
        <f ca="1">IFERROR(__xludf.DUMMYFUNCTION("""COMPUTED_VALUE"""),40714.9986111111)</f>
        <v>40714.998611111099</v>
      </c>
      <c r="D466" s="2">
        <f ca="1">IFERROR(__xludf.DUMMYFUNCTION("""COMPUTED_VALUE"""),44.87)</f>
        <v>44.87</v>
      </c>
      <c r="E466" s="2">
        <f ca="1">IFERROR(__xludf.DUMMYFUNCTION("""COMPUTED_VALUE"""),65.064)</f>
        <v>65.063999999999993</v>
      </c>
      <c r="F466" s="2">
        <f ca="1">IFERROR(__xludf.DUMMYFUNCTION("""COMPUTED_VALUE"""),72.708)</f>
        <v>72.707999999999998</v>
      </c>
      <c r="G466" s="2">
        <f ca="1">IFERROR(__xludf.DUMMYFUNCTION("""COMPUTED_VALUE"""),0.61744)</f>
        <v>0.61743999999999999</v>
      </c>
      <c r="H466" s="2">
        <f ca="1">IFERROR(__xludf.DUMMYFUNCTION("""COMPUTED_VALUE"""),48.981)</f>
        <v>48.981000000000002</v>
      </c>
      <c r="I466" s="2">
        <f ca="1">IFERROR(__xludf.DUMMYFUNCTION("""COMPUTED_VALUE"""),47.944)</f>
        <v>47.944000000000003</v>
      </c>
      <c r="J466" s="2">
        <f ca="1">IFERROR(__xludf.DUMMYFUNCTION("""COMPUTED_VALUE"""),38.253)</f>
        <v>38.253</v>
      </c>
      <c r="K466" s="2">
        <f ca="1">IFERROR(__xludf.DUMMYFUNCTION("""COMPUTED_VALUE"""),52.908)</f>
        <v>52.908000000000001</v>
      </c>
      <c r="L466" s="2">
        <f ca="1">IFERROR(__xludf.DUMMYFUNCTION("""COMPUTED_VALUE"""),9.7796)</f>
        <v>9.7796000000000003</v>
      </c>
      <c r="M466" s="2">
        <f ca="1">IFERROR(__xludf.DUMMYFUNCTION("""COMPUTED_VALUE"""),12.432)</f>
        <v>12.432</v>
      </c>
      <c r="U466" s="3" t="e">
        <f ca="1"/>
        <v>#NAME?</v>
      </c>
    </row>
    <row r="467" spans="3:21" ht="12.5" x14ac:dyDescent="0.25">
      <c r="C467" s="4">
        <f ca="1">IFERROR(__xludf.DUMMYFUNCTION("""COMPUTED_VALUE"""),40715.9986111111)</f>
        <v>40715.998611111099</v>
      </c>
      <c r="D467" s="2">
        <f ca="1">IFERROR(__xludf.DUMMYFUNCTION("""COMPUTED_VALUE"""),44.76)</f>
        <v>44.76</v>
      </c>
      <c r="E467" s="2">
        <f ca="1">IFERROR(__xludf.DUMMYFUNCTION("""COMPUTED_VALUE"""),65.438)</f>
        <v>65.438000000000002</v>
      </c>
      <c r="F467" s="2">
        <f ca="1">IFERROR(__xludf.DUMMYFUNCTION("""COMPUTED_VALUE"""),72.713)</f>
        <v>72.712999999999994</v>
      </c>
      <c r="G467" s="2">
        <f ca="1">IFERROR(__xludf.DUMMYFUNCTION("""COMPUTED_VALUE"""),0.62065)</f>
        <v>0.62065000000000003</v>
      </c>
      <c r="H467" s="2">
        <f ca="1">IFERROR(__xludf.DUMMYFUNCTION("""COMPUTED_VALUE"""),48.844)</f>
        <v>48.844000000000001</v>
      </c>
      <c r="I467" s="2">
        <f ca="1">IFERROR(__xludf.DUMMYFUNCTION("""COMPUTED_VALUE"""),48.091)</f>
        <v>48.091000000000001</v>
      </c>
      <c r="J467" s="2">
        <f ca="1">IFERROR(__xludf.DUMMYFUNCTION("""COMPUTED_VALUE"""),38.225)</f>
        <v>38.225000000000001</v>
      </c>
      <c r="K467" s="2">
        <f ca="1">IFERROR(__xludf.DUMMYFUNCTION("""COMPUTED_VALUE"""),53.323)</f>
        <v>53.323</v>
      </c>
      <c r="L467" s="2">
        <f ca="1">IFERROR(__xludf.DUMMYFUNCTION("""COMPUTED_VALUE"""),9.7686)</f>
        <v>9.7685999999999993</v>
      </c>
      <c r="M467" s="2">
        <f ca="1">IFERROR(__xludf.DUMMYFUNCTION("""COMPUTED_VALUE"""),12.432)</f>
        <v>12.432</v>
      </c>
      <c r="U467" s="3" t="e">
        <f ca="1"/>
        <v>#NAME?</v>
      </c>
    </row>
    <row r="468" spans="3:21" ht="12.5" x14ac:dyDescent="0.25">
      <c r="C468" s="4">
        <f ca="1">IFERROR(__xludf.DUMMYFUNCTION("""COMPUTED_VALUE"""),40716.9986111111)</f>
        <v>40716.998611111099</v>
      </c>
      <c r="D468" s="2">
        <f ca="1">IFERROR(__xludf.DUMMYFUNCTION("""COMPUTED_VALUE"""),44.75)</f>
        <v>44.75</v>
      </c>
      <c r="E468" s="2">
        <f ca="1">IFERROR(__xludf.DUMMYFUNCTION("""COMPUTED_VALUE"""),66.002)</f>
        <v>66.001999999999995</v>
      </c>
      <c r="F468" s="2">
        <f ca="1">IFERROR(__xludf.DUMMYFUNCTION("""COMPUTED_VALUE"""),72.057)</f>
        <v>72.057000000000002</v>
      </c>
      <c r="G468" s="2">
        <f ca="1">IFERROR(__xludf.DUMMYFUNCTION("""COMPUTED_VALUE"""),0.61967)</f>
        <v>0.61967000000000005</v>
      </c>
      <c r="H468" s="2">
        <f ca="1">IFERROR(__xludf.DUMMYFUNCTION("""COMPUTED_VALUE"""),49.064)</f>
        <v>49.064</v>
      </c>
      <c r="I468" s="2">
        <f ca="1">IFERROR(__xludf.DUMMYFUNCTION("""COMPUTED_VALUE"""),48.272)</f>
        <v>48.271999999999998</v>
      </c>
      <c r="J468" s="2">
        <f ca="1">IFERROR(__xludf.DUMMYFUNCTION("""COMPUTED_VALUE"""),38.22)</f>
        <v>38.22</v>
      </c>
      <c r="K468" s="2">
        <f ca="1">IFERROR(__xludf.DUMMYFUNCTION("""COMPUTED_VALUE"""),52.822)</f>
        <v>52.822000000000003</v>
      </c>
      <c r="L468" s="2">
        <f ca="1">IFERROR(__xludf.DUMMYFUNCTION("""COMPUTED_VALUE"""),9.744)</f>
        <v>9.7439999999999998</v>
      </c>
      <c r="M468" s="2">
        <f ca="1">IFERROR(__xludf.DUMMYFUNCTION("""COMPUTED_VALUE"""),12.418)</f>
        <v>12.417999999999999</v>
      </c>
      <c r="U468" s="3" t="e">
        <f ca="1"/>
        <v>#NAME?</v>
      </c>
    </row>
    <row r="469" spans="3:21" ht="12.5" x14ac:dyDescent="0.25">
      <c r="C469" s="4">
        <f ca="1">IFERROR(__xludf.DUMMYFUNCTION("""COMPUTED_VALUE"""),40717.9986111111)</f>
        <v>40717.998611111099</v>
      </c>
      <c r="D469" s="2">
        <f ca="1">IFERROR(__xludf.DUMMYFUNCTION("""COMPUTED_VALUE"""),44.85)</f>
        <v>44.85</v>
      </c>
      <c r="E469" s="2">
        <f ca="1">IFERROR(__xludf.DUMMYFUNCTION("""COMPUTED_VALUE"""),65.044)</f>
        <v>65.043999999999997</v>
      </c>
      <c r="F469" s="2">
        <f ca="1">IFERROR(__xludf.DUMMYFUNCTION("""COMPUTED_VALUE"""),71.714)</f>
        <v>71.713999999999999</v>
      </c>
      <c r="G469" s="2">
        <f ca="1">IFERROR(__xludf.DUMMYFUNCTION("""COMPUTED_VALUE"""),0.61383)</f>
        <v>0.61382999999999999</v>
      </c>
      <c r="H469" s="2">
        <f ca="1">IFERROR(__xludf.DUMMYFUNCTION("""COMPUTED_VALUE"""),48.878)</f>
        <v>48.878</v>
      </c>
      <c r="I469" s="2">
        <f ca="1">IFERROR(__xludf.DUMMYFUNCTION("""COMPUTED_VALUE"""),48.16)</f>
        <v>48.16</v>
      </c>
      <c r="J469" s="2">
        <f ca="1">IFERROR(__xludf.DUMMYFUNCTION("""COMPUTED_VALUE"""),38.011)</f>
        <v>38.011000000000003</v>
      </c>
      <c r="K469" s="2">
        <f ca="1">IFERROR(__xludf.DUMMYFUNCTION("""COMPUTED_VALUE"""),52.73)</f>
        <v>52.73</v>
      </c>
      <c r="L469" s="2">
        <f ca="1">IFERROR(__xludf.DUMMYFUNCTION("""COMPUTED_VALUE"""),9.7084)</f>
        <v>9.7083999999999993</v>
      </c>
      <c r="M469" s="2">
        <f ca="1">IFERROR(__xludf.DUMMYFUNCTION("""COMPUTED_VALUE"""),12.401)</f>
        <v>12.401</v>
      </c>
      <c r="U469" s="3" t="e">
        <f ca="1"/>
        <v>#NAME?</v>
      </c>
    </row>
    <row r="470" spans="3:21" ht="12.5" x14ac:dyDescent="0.25">
      <c r="C470" s="4">
        <f ca="1">IFERROR(__xludf.DUMMYFUNCTION("""COMPUTED_VALUE"""),40718.9986111111)</f>
        <v>40718.998611111099</v>
      </c>
      <c r="D470" s="2">
        <f ca="1">IFERROR(__xludf.DUMMYFUNCTION("""COMPUTED_VALUE"""),44.988)</f>
        <v>44.988</v>
      </c>
      <c r="E470" s="2">
        <f ca="1">IFERROR(__xludf.DUMMYFUNCTION("""COMPUTED_VALUE"""),64.992)</f>
        <v>64.992000000000004</v>
      </c>
      <c r="F470" s="2">
        <f ca="1">IFERROR(__xludf.DUMMYFUNCTION("""COMPUTED_VALUE"""),71.814)</f>
        <v>71.813999999999993</v>
      </c>
      <c r="G470" s="2">
        <f ca="1">IFERROR(__xludf.DUMMYFUNCTION("""COMPUTED_VALUE"""),0.62318)</f>
        <v>0.62317999999999996</v>
      </c>
      <c r="H470" s="2">
        <f ca="1">IFERROR(__xludf.DUMMYFUNCTION("""COMPUTED_VALUE"""),48.701)</f>
        <v>48.701000000000001</v>
      </c>
      <c r="I470" s="2">
        <f ca="1">IFERROR(__xludf.DUMMYFUNCTION("""COMPUTED_VALUE"""),48.162)</f>
        <v>48.161999999999999</v>
      </c>
      <c r="J470" s="2">
        <f ca="1">IFERROR(__xludf.DUMMYFUNCTION("""COMPUTED_VALUE"""),37.732)</f>
        <v>37.731999999999999</v>
      </c>
      <c r="K470" s="2">
        <f ca="1">IFERROR(__xludf.DUMMYFUNCTION("""COMPUTED_VALUE"""),53.256)</f>
        <v>53.256</v>
      </c>
      <c r="L470" s="2">
        <f ca="1">IFERROR(__xludf.DUMMYFUNCTION("""COMPUTED_VALUE"""),9.7102)</f>
        <v>9.7102000000000004</v>
      </c>
      <c r="M470" s="2">
        <f ca="1">IFERROR(__xludf.DUMMYFUNCTION("""COMPUTED_VALUE"""),12.507)</f>
        <v>12.507</v>
      </c>
      <c r="U470" s="3" t="e">
        <f ca="1"/>
        <v>#NAME?</v>
      </c>
    </row>
    <row r="471" spans="3:21" ht="12.5" x14ac:dyDescent="0.25">
      <c r="C471" s="4">
        <f ca="1">IFERROR(__xludf.DUMMYFUNCTION("""COMPUTED_VALUE"""),40719.9986111111)</f>
        <v>40719.998611111099</v>
      </c>
      <c r="D471" s="2">
        <f ca="1">IFERROR(__xludf.DUMMYFUNCTION("""COMPUTED_VALUE"""),44.988)</f>
        <v>44.988</v>
      </c>
      <c r="E471" s="2">
        <f ca="1">IFERROR(__xludf.DUMMYFUNCTION("""COMPUTED_VALUE"""),65.658)</f>
        <v>65.658000000000001</v>
      </c>
      <c r="F471" s="2">
        <f ca="1">IFERROR(__xludf.DUMMYFUNCTION("""COMPUTED_VALUE"""),71.803)</f>
        <v>71.802999999999997</v>
      </c>
      <c r="G471" s="2">
        <f ca="1">IFERROR(__xludf.DUMMYFUNCTION("""COMPUTED_VALUE"""),0.62665)</f>
        <v>0.62665000000000004</v>
      </c>
      <c r="H471" s="2">
        <f ca="1">IFERROR(__xludf.DUMMYFUNCTION("""COMPUTED_VALUE"""),49.232)</f>
        <v>49.231999999999999</v>
      </c>
      <c r="I471" s="2">
        <f ca="1">IFERROR(__xludf.DUMMYFUNCTION("""COMPUTED_VALUE"""),48.302)</f>
        <v>48.302</v>
      </c>
      <c r="J471" s="2">
        <f ca="1">IFERROR(__xludf.DUMMYFUNCTION("""COMPUTED_VALUE"""),38.021)</f>
        <v>38.021000000000001</v>
      </c>
      <c r="K471" s="2">
        <f ca="1">IFERROR(__xludf.DUMMYFUNCTION("""COMPUTED_VALUE"""),53.106)</f>
        <v>53.106000000000002</v>
      </c>
      <c r="L471" s="2">
        <f ca="1">IFERROR(__xludf.DUMMYFUNCTION("""COMPUTED_VALUE"""),9.5807)</f>
        <v>9.5807000000000002</v>
      </c>
      <c r="M471" s="2">
        <f ca="1">IFERROR(__xludf.DUMMYFUNCTION("""COMPUTED_VALUE"""),12.527)</f>
        <v>12.526999999999999</v>
      </c>
      <c r="U471" s="3" t="e">
        <f ca="1"/>
        <v>#NAME?</v>
      </c>
    </row>
    <row r="472" spans="3:21" ht="12.5" x14ac:dyDescent="0.25">
      <c r="C472" s="4">
        <f ca="1">IFERROR(__xludf.DUMMYFUNCTION("""COMPUTED_VALUE"""),40721.9986111111)</f>
        <v>40721.998611111099</v>
      </c>
      <c r="D472" s="2">
        <f ca="1">IFERROR(__xludf.DUMMYFUNCTION("""COMPUTED_VALUE"""),44.95)</f>
        <v>44.95</v>
      </c>
      <c r="E472" s="2">
        <f ca="1">IFERROR(__xludf.DUMMYFUNCTION("""COMPUTED_VALUE"""),65.948)</f>
        <v>65.947999999999993</v>
      </c>
      <c r="F472" s="2">
        <f ca="1">IFERROR(__xludf.DUMMYFUNCTION("""COMPUTED_VALUE"""),71.828)</f>
        <v>71.828000000000003</v>
      </c>
      <c r="G472" s="2">
        <f ca="1">IFERROR(__xludf.DUMMYFUNCTION("""COMPUTED_VALUE"""),0.62947)</f>
        <v>0.62946999999999997</v>
      </c>
      <c r="H472" s="2">
        <f ca="1">IFERROR(__xludf.DUMMYFUNCTION("""COMPUTED_VALUE"""),48.87)</f>
        <v>48.87</v>
      </c>
      <c r="I472" s="2">
        <f ca="1">IFERROR(__xludf.DUMMYFUNCTION("""COMPUTED_VALUE"""),48.077)</f>
        <v>48.076999999999998</v>
      </c>
      <c r="J472" s="2">
        <f ca="1">IFERROR(__xludf.DUMMYFUNCTION("""COMPUTED_VALUE"""),37.671)</f>
        <v>37.670999999999999</v>
      </c>
      <c r="K472" s="2">
        <f ca="1">IFERROR(__xludf.DUMMYFUNCTION("""COMPUTED_VALUE"""),53.548)</f>
        <v>53.548000000000002</v>
      </c>
      <c r="L472" s="2">
        <f ca="1">IFERROR(__xludf.DUMMYFUNCTION("""COMPUTED_VALUE"""),9.7171)</f>
        <v>9.7171000000000003</v>
      </c>
      <c r="M472" s="2">
        <f ca="1">IFERROR(__xludf.DUMMYFUNCTION("""COMPUTED_VALUE"""),12.552)</f>
        <v>12.552</v>
      </c>
      <c r="U472" s="3" t="e">
        <f ca="1"/>
        <v>#NAME?</v>
      </c>
    </row>
    <row r="473" spans="3:21" ht="12.5" x14ac:dyDescent="0.25">
      <c r="C473" s="4">
        <f ca="1">IFERROR(__xludf.DUMMYFUNCTION("""COMPUTED_VALUE"""),40722.9986111111)</f>
        <v>40722.998611111099</v>
      </c>
      <c r="D473" s="2">
        <f ca="1">IFERROR(__xludf.DUMMYFUNCTION("""COMPUTED_VALUE"""),44.94)</f>
        <v>44.94</v>
      </c>
      <c r="E473" s="2">
        <f ca="1">IFERROR(__xludf.DUMMYFUNCTION("""COMPUTED_VALUE"""),66.456)</f>
        <v>66.456000000000003</v>
      </c>
      <c r="F473" s="2">
        <f ca="1">IFERROR(__xludf.DUMMYFUNCTION("""COMPUTED_VALUE"""),71.851)</f>
        <v>71.850999999999999</v>
      </c>
      <c r="G473" s="2">
        <f ca="1">IFERROR(__xludf.DUMMYFUNCTION("""COMPUTED_VALUE"""),0.64772)</f>
        <v>0.64771999999999996</v>
      </c>
      <c r="H473" s="2">
        <f ca="1">IFERROR(__xludf.DUMMYFUNCTION("""COMPUTED_VALUE"""),48.247)</f>
        <v>48.247</v>
      </c>
      <c r="I473" s="2">
        <f ca="1">IFERROR(__xludf.DUMMYFUNCTION("""COMPUTED_VALUE"""),47.839)</f>
        <v>47.838999999999999</v>
      </c>
      <c r="J473" s="2">
        <f ca="1">IFERROR(__xludf.DUMMYFUNCTION("""COMPUTED_VALUE"""),37.757)</f>
        <v>37.756999999999998</v>
      </c>
      <c r="K473" s="2">
        <f ca="1">IFERROR(__xludf.DUMMYFUNCTION("""COMPUTED_VALUE"""),53.652)</f>
        <v>53.652000000000001</v>
      </c>
      <c r="L473" s="2">
        <f ca="1">IFERROR(__xludf.DUMMYFUNCTION("""COMPUTED_VALUE"""),9.7221)</f>
        <v>9.7220999999999993</v>
      </c>
      <c r="M473" s="2">
        <f ca="1">IFERROR(__xludf.DUMMYFUNCTION("""COMPUTED_VALUE"""),12.566)</f>
        <v>12.566000000000001</v>
      </c>
      <c r="U473" s="3" t="e">
        <f ca="1"/>
        <v>#NAME?</v>
      </c>
    </row>
    <row r="474" spans="3:21" ht="12.5" x14ac:dyDescent="0.25">
      <c r="C474" s="4">
        <f ca="1">IFERROR(__xludf.DUMMYFUNCTION("""COMPUTED_VALUE"""),40723.9986111111)</f>
        <v>40723.998611111099</v>
      </c>
      <c r="D474" s="2">
        <f ca="1">IFERROR(__xludf.DUMMYFUNCTION("""COMPUTED_VALUE"""),44.76)</f>
        <v>44.76</v>
      </c>
      <c r="E474" s="2">
        <f ca="1">IFERROR(__xludf.DUMMYFUNCTION("""COMPUTED_VALUE"""),66.615)</f>
        <v>66.614999999999995</v>
      </c>
      <c r="F474" s="2">
        <f ca="1">IFERROR(__xludf.DUMMYFUNCTION("""COMPUTED_VALUE"""),71.903)</f>
        <v>71.903000000000006</v>
      </c>
      <c r="G474" s="2">
        <f ca="1">IFERROR(__xludf.DUMMYFUNCTION("""COMPUTED_VALUE"""),0.64599)</f>
        <v>0.64598999999999995</v>
      </c>
      <c r="H474" s="2">
        <f ca="1">IFERROR(__xludf.DUMMYFUNCTION("""COMPUTED_VALUE"""),48.212)</f>
        <v>48.212000000000003</v>
      </c>
      <c r="I474" s="2">
        <f ca="1">IFERROR(__xludf.DUMMYFUNCTION("""COMPUTED_VALUE"""),47.942)</f>
        <v>47.942</v>
      </c>
      <c r="J474" s="2">
        <f ca="1">IFERROR(__xludf.DUMMYFUNCTION("""COMPUTED_VALUE"""),38.037)</f>
        <v>38.036999999999999</v>
      </c>
      <c r="K474" s="2">
        <f ca="1">IFERROR(__xludf.DUMMYFUNCTION("""COMPUTED_VALUE"""),53.392)</f>
        <v>53.392000000000003</v>
      </c>
      <c r="L474" s="2">
        <f ca="1">IFERROR(__xludf.DUMMYFUNCTION("""COMPUTED_VALUE"""),9.725)</f>
        <v>9.7249999999999996</v>
      </c>
      <c r="M474" s="2">
        <f ca="1">IFERROR(__xludf.DUMMYFUNCTION("""COMPUTED_VALUE"""),12.566)</f>
        <v>12.566000000000001</v>
      </c>
      <c r="U474" s="3" t="e">
        <f ca="1"/>
        <v>#NAME?</v>
      </c>
    </row>
    <row r="475" spans="3:21" ht="12.5" x14ac:dyDescent="0.25">
      <c r="C475" s="4">
        <f ca="1">IFERROR(__xludf.DUMMYFUNCTION("""COMPUTED_VALUE"""),40724.9986111111)</f>
        <v>40724.998611111099</v>
      </c>
      <c r="D475" s="2">
        <f ca="1">IFERROR(__xludf.DUMMYFUNCTION("""COMPUTED_VALUE"""),44.593)</f>
        <v>44.593000000000004</v>
      </c>
      <c r="E475" s="2">
        <f ca="1">IFERROR(__xludf.DUMMYFUNCTION("""COMPUTED_VALUE"""),66.625)</f>
        <v>66.625</v>
      </c>
      <c r="F475" s="2">
        <f ca="1">IFERROR(__xludf.DUMMYFUNCTION("""COMPUTED_VALUE"""),71.608)</f>
        <v>71.608000000000004</v>
      </c>
      <c r="G475" s="2">
        <f ca="1">IFERROR(__xludf.DUMMYFUNCTION("""COMPUTED_VALUE"""),0.64416)</f>
        <v>0.64415999999999995</v>
      </c>
      <c r="H475" s="2">
        <f ca="1">IFERROR(__xludf.DUMMYFUNCTION("""COMPUTED_VALUE"""),48.216)</f>
        <v>48.216000000000001</v>
      </c>
      <c r="I475" s="2">
        <f ca="1">IFERROR(__xludf.DUMMYFUNCTION("""COMPUTED_VALUE"""),47.935)</f>
        <v>47.935000000000002</v>
      </c>
      <c r="J475" s="2">
        <f ca="1">IFERROR(__xludf.DUMMYFUNCTION("""COMPUTED_VALUE"""),38.043)</f>
        <v>38.042999999999999</v>
      </c>
      <c r="K475" s="2">
        <f ca="1">IFERROR(__xludf.DUMMYFUNCTION("""COMPUTED_VALUE"""),53.328)</f>
        <v>53.328000000000003</v>
      </c>
      <c r="L475" s="2">
        <f ca="1">IFERROR(__xludf.DUMMYFUNCTION("""COMPUTED_VALUE"""),9.7765)</f>
        <v>9.7765000000000004</v>
      </c>
      <c r="M475" s="2">
        <f ca="1">IFERROR(__xludf.DUMMYFUNCTION("""COMPUTED_VALUE"""),12.484)</f>
        <v>12.484</v>
      </c>
      <c r="U475" s="3" t="e">
        <f ca="1"/>
        <v>#NAME?</v>
      </c>
    </row>
    <row r="476" spans="3:21" ht="12.5" x14ac:dyDescent="0.25">
      <c r="C476" s="4">
        <f ca="1">IFERROR(__xludf.DUMMYFUNCTION("""COMPUTED_VALUE"""),40725.9986111111)</f>
        <v>40725.998611111099</v>
      </c>
      <c r="D476" s="2">
        <f ca="1">IFERROR(__xludf.DUMMYFUNCTION("""COMPUTED_VALUE"""),44.47)</f>
        <v>44.47</v>
      </c>
      <c r="E476" s="2">
        <f ca="1">IFERROR(__xludf.DUMMYFUNCTION("""COMPUTED_VALUE"""),66.49)</f>
        <v>66.489999999999995</v>
      </c>
      <c r="F476" s="2">
        <f ca="1">IFERROR(__xludf.DUMMYFUNCTION("""COMPUTED_VALUE"""),71.513)</f>
        <v>71.513000000000005</v>
      </c>
      <c r="G476" s="2">
        <f ca="1">IFERROR(__xludf.DUMMYFUNCTION("""COMPUTED_VALUE"""),0.6461)</f>
        <v>0.64610000000000001</v>
      </c>
      <c r="H476" s="2">
        <f ca="1">IFERROR(__xludf.DUMMYFUNCTION("""COMPUTED_VALUE"""),48.249)</f>
        <v>48.249000000000002</v>
      </c>
      <c r="I476" s="2">
        <f ca="1">IFERROR(__xludf.DUMMYFUNCTION("""COMPUTED_VALUE"""),47.83)</f>
        <v>47.83</v>
      </c>
      <c r="J476" s="2">
        <f ca="1">IFERROR(__xludf.DUMMYFUNCTION("""COMPUTED_VALUE"""),38.012)</f>
        <v>38.012</v>
      </c>
      <c r="K476" s="2">
        <f ca="1">IFERROR(__xludf.DUMMYFUNCTION("""COMPUTED_VALUE"""),53.401)</f>
        <v>53.401000000000003</v>
      </c>
      <c r="L476" s="2">
        <f ca="1">IFERROR(__xludf.DUMMYFUNCTION("""COMPUTED_VALUE"""),9.761)</f>
        <v>9.7609999999999992</v>
      </c>
      <c r="M476" s="2">
        <f ca="1">IFERROR(__xludf.DUMMYFUNCTION("""COMPUTED_VALUE"""),12.509)</f>
        <v>12.509</v>
      </c>
      <c r="U476" s="3" t="e">
        <f ca="1"/>
        <v>#NAME?</v>
      </c>
    </row>
    <row r="477" spans="3:21" ht="12.5" x14ac:dyDescent="0.25">
      <c r="C477" s="4">
        <f ca="1">IFERROR(__xludf.DUMMYFUNCTION("""COMPUTED_VALUE"""),40726.9986111111)</f>
        <v>40726.998611111099</v>
      </c>
      <c r="D477" s="2">
        <f ca="1">IFERROR(__xludf.DUMMYFUNCTION("""COMPUTED_VALUE"""),44.623)</f>
        <v>44.622999999999998</v>
      </c>
      <c r="E477" s="2">
        <f ca="1">IFERROR(__xludf.DUMMYFUNCTION("""COMPUTED_VALUE"""),66.354)</f>
        <v>66.353999999999999</v>
      </c>
      <c r="F477" s="2">
        <f ca="1">IFERROR(__xludf.DUMMYFUNCTION("""COMPUTED_VALUE"""),71.713)</f>
        <v>71.712999999999994</v>
      </c>
      <c r="G477" s="2">
        <f ca="1">IFERROR(__xludf.DUMMYFUNCTION("""COMPUTED_VALUE"""),0.63613)</f>
        <v>0.63612999999999997</v>
      </c>
      <c r="H477" s="2">
        <f ca="1">IFERROR(__xludf.DUMMYFUNCTION("""COMPUTED_VALUE"""),48.329)</f>
        <v>48.329000000000001</v>
      </c>
      <c r="I477" s="2">
        <f ca="1">IFERROR(__xludf.DUMMYFUNCTION("""COMPUTED_VALUE"""),47.848)</f>
        <v>47.847999999999999</v>
      </c>
      <c r="J477" s="2">
        <f ca="1">IFERROR(__xludf.DUMMYFUNCTION("""COMPUTED_VALUE"""),38.115)</f>
        <v>38.115000000000002</v>
      </c>
      <c r="K477" s="2">
        <f ca="1">IFERROR(__xludf.DUMMYFUNCTION("""COMPUTED_VALUE"""),53.019)</f>
        <v>53.018999999999998</v>
      </c>
      <c r="L477" s="2">
        <f ca="1">IFERROR(__xludf.DUMMYFUNCTION("""COMPUTED_VALUE"""),9.761)</f>
        <v>9.7609999999999992</v>
      </c>
      <c r="M477" s="2">
        <f ca="1">IFERROR(__xludf.DUMMYFUNCTION("""COMPUTED_VALUE"""),12.454)</f>
        <v>12.454000000000001</v>
      </c>
      <c r="U477" s="3" t="e">
        <f ca="1"/>
        <v>#NAME?</v>
      </c>
    </row>
    <row r="478" spans="3:21" ht="12.5" x14ac:dyDescent="0.25">
      <c r="C478" s="4">
        <f ca="1">IFERROR(__xludf.DUMMYFUNCTION("""COMPUTED_VALUE"""),40728.9986111111)</f>
        <v>40728.998611111099</v>
      </c>
      <c r="D478" s="2">
        <f ca="1">IFERROR(__xludf.DUMMYFUNCTION("""COMPUTED_VALUE"""),44.42)</f>
        <v>44.42</v>
      </c>
      <c r="E478" s="2">
        <f ca="1">IFERROR(__xludf.DUMMYFUNCTION("""COMPUTED_VALUE"""),66.059)</f>
        <v>66.058999999999997</v>
      </c>
      <c r="F478" s="2">
        <f ca="1">IFERROR(__xludf.DUMMYFUNCTION("""COMPUTED_VALUE"""),71.521)</f>
        <v>71.521000000000001</v>
      </c>
      <c r="G478" s="2">
        <f ca="1">IFERROR(__xludf.DUMMYFUNCTION("""COMPUTED_VALUE"""),0.63666)</f>
        <v>0.63666</v>
      </c>
      <c r="H478" s="2">
        <f ca="1">IFERROR(__xludf.DUMMYFUNCTION("""COMPUTED_VALUE"""),47.743)</f>
        <v>47.743000000000002</v>
      </c>
      <c r="I478" s="2">
        <f ca="1">IFERROR(__xludf.DUMMYFUNCTION("""COMPUTED_VALUE"""),47.266)</f>
        <v>47.265999999999998</v>
      </c>
      <c r="J478" s="2">
        <f ca="1">IFERROR(__xludf.DUMMYFUNCTION("""COMPUTED_VALUE"""),37.636)</f>
        <v>37.636000000000003</v>
      </c>
      <c r="K478" s="2">
        <f ca="1">IFERROR(__xludf.DUMMYFUNCTION("""COMPUTED_VALUE"""),53.104)</f>
        <v>53.103999999999999</v>
      </c>
      <c r="L478" s="2">
        <f ca="1">IFERROR(__xludf.DUMMYFUNCTION("""COMPUTED_VALUE"""),9.7148)</f>
        <v>9.7148000000000003</v>
      </c>
      <c r="M478" s="2">
        <f ca="1">IFERROR(__xludf.DUMMYFUNCTION("""COMPUTED_VALUE"""),12.442)</f>
        <v>12.442</v>
      </c>
      <c r="U478" s="3" t="e">
        <f ca="1"/>
        <v>#NAME?</v>
      </c>
    </row>
    <row r="479" spans="3:21" ht="12.5" x14ac:dyDescent="0.25">
      <c r="C479" s="4">
        <f ca="1">IFERROR(__xludf.DUMMYFUNCTION("""COMPUTED_VALUE"""),40729.9986111111)</f>
        <v>40729.998611111099</v>
      </c>
      <c r="D479" s="2">
        <f ca="1">IFERROR(__xludf.DUMMYFUNCTION("""COMPUTED_VALUE"""),44.34)</f>
        <v>44.34</v>
      </c>
      <c r="E479" s="2">
        <f ca="1">IFERROR(__xludf.DUMMYFUNCTION("""COMPUTED_VALUE"""),66.413)</f>
        <v>66.412999999999997</v>
      </c>
      <c r="F479" s="2">
        <f ca="1">IFERROR(__xludf.DUMMYFUNCTION("""COMPUTED_VALUE"""),71.17)</f>
        <v>71.17</v>
      </c>
      <c r="G479" s="2">
        <f ca="1">IFERROR(__xludf.DUMMYFUNCTION("""COMPUTED_VALUE"""),0.63689)</f>
        <v>0.63688999999999996</v>
      </c>
      <c r="H479" s="2">
        <f ca="1">IFERROR(__xludf.DUMMYFUNCTION("""COMPUTED_VALUE"""),47.82)</f>
        <v>47.82</v>
      </c>
      <c r="I479" s="2">
        <f ca="1">IFERROR(__xludf.DUMMYFUNCTION("""COMPUTED_VALUE"""),47.211)</f>
        <v>47.210999999999999</v>
      </c>
      <c r="J479" s="2">
        <f ca="1">IFERROR(__xludf.DUMMYFUNCTION("""COMPUTED_VALUE"""),37.73)</f>
        <v>37.729999999999997</v>
      </c>
      <c r="K479" s="2">
        <f ca="1">IFERROR(__xludf.DUMMYFUNCTION("""COMPUTED_VALUE"""),53.121)</f>
        <v>53.121000000000002</v>
      </c>
      <c r="L479" s="2">
        <f ca="1">IFERROR(__xludf.DUMMYFUNCTION("""COMPUTED_VALUE"""),9.7194)</f>
        <v>9.7194000000000003</v>
      </c>
      <c r="M479" s="2">
        <f ca="1">IFERROR(__xludf.DUMMYFUNCTION("""COMPUTED_VALUE"""),12.445)</f>
        <v>12.445</v>
      </c>
      <c r="U479" s="3" t="e">
        <f ca="1"/>
        <v>#NAME?</v>
      </c>
    </row>
    <row r="480" spans="3:21" ht="12.5" x14ac:dyDescent="0.25">
      <c r="C480" s="4">
        <f ca="1">IFERROR(__xludf.DUMMYFUNCTION("""COMPUTED_VALUE"""),40730.9986111111)</f>
        <v>40730.998611111099</v>
      </c>
      <c r="D480" s="2">
        <f ca="1">IFERROR(__xludf.DUMMYFUNCTION("""COMPUTED_VALUE"""),44.33)</f>
        <v>44.33</v>
      </c>
      <c r="E480" s="2">
        <f ca="1">IFERROR(__xludf.DUMMYFUNCTION("""COMPUTED_VALUE"""),65.678)</f>
        <v>65.677999999999997</v>
      </c>
      <c r="F480" s="2">
        <f ca="1">IFERROR(__xludf.DUMMYFUNCTION("""COMPUTED_VALUE"""),70.91)</f>
        <v>70.91</v>
      </c>
      <c r="G480" s="2">
        <f ca="1">IFERROR(__xludf.DUMMYFUNCTION("""COMPUTED_VALUE"""),0.63672)</f>
        <v>0.63671999999999995</v>
      </c>
      <c r="H480" s="2">
        <f ca="1">IFERROR(__xludf.DUMMYFUNCTION("""COMPUTED_VALUE"""),47.391)</f>
        <v>47.390999999999998</v>
      </c>
      <c r="I480" s="2">
        <f ca="1">IFERROR(__xludf.DUMMYFUNCTION("""COMPUTED_VALUE"""),46.719)</f>
        <v>46.719000000000001</v>
      </c>
      <c r="J480" s="2">
        <f ca="1">IFERROR(__xludf.DUMMYFUNCTION("""COMPUTED_VALUE"""),37.526)</f>
        <v>37.526000000000003</v>
      </c>
      <c r="K480" s="2">
        <f ca="1">IFERROR(__xludf.DUMMYFUNCTION("""COMPUTED_VALUE"""),53.534)</f>
        <v>53.533999999999999</v>
      </c>
      <c r="L480" s="2">
        <f ca="1">IFERROR(__xludf.DUMMYFUNCTION("""COMPUTED_VALUE"""),9.7243)</f>
        <v>9.7242999999999995</v>
      </c>
      <c r="M480" s="2">
        <f ca="1">IFERROR(__xludf.DUMMYFUNCTION("""COMPUTED_VALUE"""),12.452)</f>
        <v>12.452</v>
      </c>
      <c r="U480" s="3" t="e">
        <f ca="1"/>
        <v>#NAME?</v>
      </c>
    </row>
    <row r="481" spans="3:21" ht="12.5" x14ac:dyDescent="0.25">
      <c r="C481" s="4">
        <f ca="1">IFERROR(__xludf.DUMMYFUNCTION("""COMPUTED_VALUE"""),40731.9986111111)</f>
        <v>40731.998611111099</v>
      </c>
      <c r="D481" s="2">
        <f ca="1">IFERROR(__xludf.DUMMYFUNCTION("""COMPUTED_VALUE"""),44.33)</f>
        <v>44.33</v>
      </c>
      <c r="E481" s="2">
        <f ca="1">IFERROR(__xludf.DUMMYFUNCTION("""COMPUTED_VALUE"""),64.775)</f>
        <v>64.775000000000006</v>
      </c>
      <c r="F481" s="2">
        <f ca="1">IFERROR(__xludf.DUMMYFUNCTION("""COMPUTED_VALUE"""),70.786)</f>
        <v>70.786000000000001</v>
      </c>
      <c r="G481" s="2">
        <f ca="1">IFERROR(__xludf.DUMMYFUNCTION("""COMPUTED_VALUE"""),0.64053)</f>
        <v>0.64053000000000004</v>
      </c>
      <c r="H481" s="2">
        <f ca="1">IFERROR(__xludf.DUMMYFUNCTION("""COMPUTED_VALUE"""),46.818)</f>
        <v>46.817999999999998</v>
      </c>
      <c r="I481" s="2">
        <f ca="1">IFERROR(__xludf.DUMMYFUNCTION("""COMPUTED_VALUE"""),46.624)</f>
        <v>46.624000000000002</v>
      </c>
      <c r="J481" s="2">
        <f ca="1">IFERROR(__xludf.DUMMYFUNCTION("""COMPUTED_VALUE"""),37.238)</f>
        <v>37.238</v>
      </c>
      <c r="K481" s="2">
        <f ca="1">IFERROR(__xludf.DUMMYFUNCTION("""COMPUTED_VALUE"""),52.916)</f>
        <v>52.915999999999997</v>
      </c>
      <c r="L481" s="2">
        <f ca="1">IFERROR(__xludf.DUMMYFUNCTION("""COMPUTED_VALUE"""),9.7014)</f>
        <v>9.7013999999999996</v>
      </c>
      <c r="M481" s="2">
        <f ca="1">IFERROR(__xludf.DUMMYFUNCTION("""COMPUTED_VALUE"""),12.452)</f>
        <v>12.452</v>
      </c>
      <c r="U481" s="3" t="e">
        <f ca="1"/>
        <v>#NAME?</v>
      </c>
    </row>
    <row r="482" spans="3:21" ht="12.5" x14ac:dyDescent="0.25">
      <c r="C482" s="4">
        <f ca="1">IFERROR(__xludf.DUMMYFUNCTION("""COMPUTED_VALUE"""),40732.9986111111)</f>
        <v>40732.998611111099</v>
      </c>
      <c r="D482" s="2">
        <f ca="1">IFERROR(__xludf.DUMMYFUNCTION("""COMPUTED_VALUE"""),44.3)</f>
        <v>44.3</v>
      </c>
      <c r="E482" s="2">
        <f ca="1">IFERROR(__xludf.DUMMYFUNCTION("""COMPUTED_VALUE"""),64.049)</f>
        <v>64.049000000000007</v>
      </c>
      <c r="F482" s="2">
        <f ca="1">IFERROR(__xludf.DUMMYFUNCTION("""COMPUTED_VALUE"""),71.068)</f>
        <v>71.067999999999998</v>
      </c>
      <c r="G482" s="2">
        <f ca="1">IFERROR(__xludf.DUMMYFUNCTION("""COMPUTED_VALUE"""),0.64185)</f>
        <v>0.64185000000000003</v>
      </c>
      <c r="H482" s="2">
        <f ca="1">IFERROR(__xludf.DUMMYFUNCTION("""COMPUTED_VALUE"""),47.166)</f>
        <v>47.165999999999997</v>
      </c>
      <c r="I482" s="2">
        <f ca="1">IFERROR(__xludf.DUMMYFUNCTION("""COMPUTED_VALUE"""),46.821)</f>
        <v>46.820999999999998</v>
      </c>
      <c r="J482" s="2">
        <f ca="1">IFERROR(__xludf.DUMMYFUNCTION("""COMPUTED_VALUE"""),37.691)</f>
        <v>37.691000000000003</v>
      </c>
      <c r="K482" s="2">
        <f ca="1">IFERROR(__xludf.DUMMYFUNCTION("""COMPUTED_VALUE"""),52.421)</f>
        <v>52.420999999999999</v>
      </c>
      <c r="L482" s="2">
        <f ca="1">IFERROR(__xludf.DUMMYFUNCTION("""COMPUTED_VALUE"""),9.6958)</f>
        <v>9.6958000000000002</v>
      </c>
      <c r="M482" s="2">
        <f ca="1">IFERROR(__xludf.DUMMYFUNCTION("""COMPUTED_VALUE"""),12.52)</f>
        <v>12.52</v>
      </c>
      <c r="U482" s="3" t="e">
        <f ca="1"/>
        <v>#NAME?</v>
      </c>
    </row>
    <row r="483" spans="3:21" ht="12.5" x14ac:dyDescent="0.25">
      <c r="C483" s="4">
        <f ca="1">IFERROR(__xludf.DUMMYFUNCTION("""COMPUTED_VALUE"""),40734.9986111111)</f>
        <v>40734.998611111099</v>
      </c>
      <c r="D483" s="2">
        <f ca="1">IFERROR(__xludf.DUMMYFUNCTION("""COMPUTED_VALUE"""),44.413)</f>
        <v>44.412999999999997</v>
      </c>
      <c r="E483" s="2">
        <f ca="1">IFERROR(__xludf.DUMMYFUNCTION("""COMPUTED_VALUE"""),65.587)</f>
        <v>65.587000000000003</v>
      </c>
      <c r="F483" s="2">
        <f ca="1">IFERROR(__xludf.DUMMYFUNCTION("""COMPUTED_VALUE"""),71.325)</f>
        <v>71.325000000000003</v>
      </c>
      <c r="G483" s="2">
        <f ca="1">IFERROR(__xludf.DUMMYFUNCTION("""COMPUTED_VALUE"""),0.64036)</f>
        <v>0.64036000000000004</v>
      </c>
      <c r="H483" s="2">
        <f ca="1">IFERROR(__xludf.DUMMYFUNCTION("""COMPUTED_VALUE"""),47.451)</f>
        <v>47.451000000000001</v>
      </c>
      <c r="I483" s="2">
        <f ca="1">IFERROR(__xludf.DUMMYFUNCTION("""COMPUTED_VALUE"""),47.255)</f>
        <v>47.255000000000003</v>
      </c>
      <c r="J483" s="2">
        <f ca="1">IFERROR(__xludf.DUMMYFUNCTION("""COMPUTED_VALUE"""),37.713)</f>
        <v>37.713000000000001</v>
      </c>
      <c r="K483" s="2">
        <f ca="1">IFERROR(__xludf.DUMMYFUNCTION("""COMPUTED_VALUE"""),52.587)</f>
        <v>52.587000000000003</v>
      </c>
      <c r="L483" s="2">
        <f ca="1">IFERROR(__xludf.DUMMYFUNCTION("""COMPUTED_VALUE"""),9.6958)</f>
        <v>9.6958000000000002</v>
      </c>
      <c r="M483" s="2">
        <f ca="1">IFERROR(__xludf.DUMMYFUNCTION("""COMPUTED_VALUE"""),12.535)</f>
        <v>12.535</v>
      </c>
      <c r="U483" s="3" t="e">
        <f ca="1"/>
        <v>#NAME?</v>
      </c>
    </row>
    <row r="484" spans="3:21" ht="12.5" x14ac:dyDescent="0.25">
      <c r="C484" s="4">
        <f ca="1">IFERROR(__xludf.DUMMYFUNCTION("""COMPUTED_VALUE"""),40735.9986111111)</f>
        <v>40735.998611111099</v>
      </c>
      <c r="D484" s="2">
        <f ca="1">IFERROR(__xludf.DUMMYFUNCTION("""COMPUTED_VALUE"""),44.35)</f>
        <v>44.35</v>
      </c>
      <c r="E484" s="2">
        <f ca="1">IFERROR(__xludf.DUMMYFUNCTION("""COMPUTED_VALUE"""),65.873)</f>
        <v>65.873000000000005</v>
      </c>
      <c r="F484" s="2">
        <f ca="1">IFERROR(__xludf.DUMMYFUNCTION("""COMPUTED_VALUE"""),70.556)</f>
        <v>70.555999999999997</v>
      </c>
      <c r="G484" s="2">
        <f ca="1">IFERROR(__xludf.DUMMYFUNCTION("""COMPUTED_VALUE"""),0.63998)</f>
        <v>0.63997999999999999</v>
      </c>
      <c r="H484" s="2">
        <f ca="1">IFERROR(__xludf.DUMMYFUNCTION("""COMPUTED_VALUE"""),47.804)</f>
        <v>47.804000000000002</v>
      </c>
      <c r="I484" s="2">
        <f ca="1">IFERROR(__xludf.DUMMYFUNCTION("""COMPUTED_VALUE"""),47.212)</f>
        <v>47.212000000000003</v>
      </c>
      <c r="J484" s="2">
        <f ca="1">IFERROR(__xludf.DUMMYFUNCTION("""COMPUTED_VALUE"""),37.736)</f>
        <v>37.735999999999997</v>
      </c>
      <c r="K484" s="2">
        <f ca="1">IFERROR(__xludf.DUMMYFUNCTION("""COMPUTED_VALUE"""),52.919)</f>
        <v>52.918999999999997</v>
      </c>
      <c r="L484" s="2">
        <f ca="1">IFERROR(__xludf.DUMMYFUNCTION("""COMPUTED_VALUE"""),9.6961)</f>
        <v>9.6960999999999995</v>
      </c>
      <c r="M484" s="2">
        <f ca="1">IFERROR(__xludf.DUMMYFUNCTION("""COMPUTED_VALUE"""),12.535)</f>
        <v>12.535</v>
      </c>
      <c r="U484" s="3" t="e">
        <f ca="1"/>
        <v>#NAME?</v>
      </c>
    </row>
    <row r="485" spans="3:21" ht="12.5" x14ac:dyDescent="0.25">
      <c r="C485" s="4">
        <f ca="1">IFERROR(__xludf.DUMMYFUNCTION("""COMPUTED_VALUE"""),40736.9986111111)</f>
        <v>40736.998611111099</v>
      </c>
      <c r="D485" s="2">
        <f ca="1">IFERROR(__xludf.DUMMYFUNCTION("""COMPUTED_VALUE"""),44.56)</f>
        <v>44.56</v>
      </c>
      <c r="E485" s="2">
        <f ca="1">IFERROR(__xludf.DUMMYFUNCTION("""COMPUTED_VALUE"""),65.567)</f>
        <v>65.566999999999993</v>
      </c>
      <c r="F485" s="2">
        <f ca="1">IFERROR(__xludf.DUMMYFUNCTION("""COMPUTED_VALUE"""),70.922)</f>
        <v>70.921999999999997</v>
      </c>
      <c r="G485" s="2">
        <f ca="1">IFERROR(__xludf.DUMMYFUNCTION("""COMPUTED_VALUE"""),0.63746)</f>
        <v>0.63746000000000003</v>
      </c>
      <c r="H485" s="2">
        <f ca="1">IFERROR(__xludf.DUMMYFUNCTION("""COMPUTED_VALUE"""),47.845)</f>
        <v>47.844999999999999</v>
      </c>
      <c r="I485" s="2">
        <f ca="1">IFERROR(__xludf.DUMMYFUNCTION("""COMPUTED_VALUE"""),47.163)</f>
        <v>47.162999999999997</v>
      </c>
      <c r="J485" s="2">
        <f ca="1">IFERROR(__xludf.DUMMYFUNCTION("""COMPUTED_VALUE"""),37.728)</f>
        <v>37.728000000000002</v>
      </c>
      <c r="K485" s="2">
        <f ca="1">IFERROR(__xludf.DUMMYFUNCTION("""COMPUTED_VALUE"""),52.735)</f>
        <v>52.734999999999999</v>
      </c>
      <c r="L485" s="2">
        <f ca="1">IFERROR(__xludf.DUMMYFUNCTION("""COMPUTED_VALUE"""),9.7028)</f>
        <v>9.7027999999999999</v>
      </c>
      <c r="M485" s="2">
        <f ca="1">IFERROR(__xludf.DUMMYFUNCTION("""COMPUTED_VALUE"""),12.559)</f>
        <v>12.558999999999999</v>
      </c>
      <c r="U485" s="3" t="e">
        <f ca="1"/>
        <v>#NAME?</v>
      </c>
    </row>
    <row r="486" spans="3:21" ht="12.5" x14ac:dyDescent="0.25">
      <c r="C486" s="4">
        <f ca="1">IFERROR(__xludf.DUMMYFUNCTION("""COMPUTED_VALUE"""),40737.9986111111)</f>
        <v>40737.998611111099</v>
      </c>
      <c r="D486" s="2">
        <f ca="1">IFERROR(__xludf.DUMMYFUNCTION("""COMPUTED_VALUE"""),44.45)</f>
        <v>44.45</v>
      </c>
      <c r="E486" s="2">
        <f ca="1">IFERROR(__xludf.DUMMYFUNCTION("""COMPUTED_VALUE"""),65.996)</f>
        <v>65.995999999999995</v>
      </c>
      <c r="F486" s="2">
        <f ca="1">IFERROR(__xludf.DUMMYFUNCTION("""COMPUTED_VALUE"""),71.722)</f>
        <v>71.721999999999994</v>
      </c>
      <c r="G486" s="2">
        <f ca="1">IFERROR(__xludf.DUMMYFUNCTION("""COMPUTED_VALUE"""),0.64205)</f>
        <v>0.64205000000000001</v>
      </c>
      <c r="H486" s="2">
        <f ca="1">IFERROR(__xludf.DUMMYFUNCTION("""COMPUTED_VALUE"""),48.072)</f>
        <v>48.072000000000003</v>
      </c>
      <c r="I486" s="2">
        <f ca="1">IFERROR(__xludf.DUMMYFUNCTION("""COMPUTED_VALUE"""),47.306)</f>
        <v>47.305999999999997</v>
      </c>
      <c r="J486" s="2">
        <f ca="1">IFERROR(__xludf.DUMMYFUNCTION("""COMPUTED_VALUE"""),38.021)</f>
        <v>38.021000000000001</v>
      </c>
      <c r="K486" s="2">
        <f ca="1">IFERROR(__xludf.DUMMYFUNCTION("""COMPUTED_VALUE"""),53.269)</f>
        <v>53.268999999999998</v>
      </c>
      <c r="L486" s="2">
        <f ca="1">IFERROR(__xludf.DUMMYFUNCTION("""COMPUTED_VALUE"""),9.7042)</f>
        <v>9.7042000000000002</v>
      </c>
      <c r="M486" s="2">
        <f ca="1">IFERROR(__xludf.DUMMYFUNCTION("""COMPUTED_VALUE"""),12.663)</f>
        <v>12.663</v>
      </c>
      <c r="U486" s="3" t="e">
        <f ca="1"/>
        <v>#NAME?</v>
      </c>
    </row>
    <row r="487" spans="3:21" ht="12.5" x14ac:dyDescent="0.25">
      <c r="C487" s="4">
        <f ca="1">IFERROR(__xludf.DUMMYFUNCTION("""COMPUTED_VALUE"""),40738.9986111111)</f>
        <v>40738.998611111099</v>
      </c>
      <c r="D487" s="2">
        <f ca="1">IFERROR(__xludf.DUMMYFUNCTION("""COMPUTED_VALUE"""),44.4)</f>
        <v>44.4</v>
      </c>
      <c r="E487" s="2">
        <f ca="1">IFERROR(__xludf.DUMMYFUNCTION("""COMPUTED_VALUE"""),66.724)</f>
        <v>66.724000000000004</v>
      </c>
      <c r="F487" s="2">
        <f ca="1">IFERROR(__xludf.DUMMYFUNCTION("""COMPUTED_VALUE"""),71.609)</f>
        <v>71.608999999999995</v>
      </c>
      <c r="G487" s="2">
        <f ca="1">IFERROR(__xludf.DUMMYFUNCTION("""COMPUTED_VALUE"""),0.63607)</f>
        <v>0.63607000000000002</v>
      </c>
      <c r="H487" s="2">
        <f ca="1">IFERROR(__xludf.DUMMYFUNCTION("""COMPUTED_VALUE"""),48.745)</f>
        <v>48.744999999999997</v>
      </c>
      <c r="I487" s="2">
        <f ca="1">IFERROR(__xludf.DUMMYFUNCTION("""COMPUTED_VALUE"""),47.49)</f>
        <v>47.49</v>
      </c>
      <c r="J487" s="2">
        <f ca="1">IFERROR(__xludf.DUMMYFUNCTION("""COMPUTED_VALUE"""),38.204)</f>
        <v>38.204000000000001</v>
      </c>
      <c r="K487" s="2">
        <f ca="1">IFERROR(__xludf.DUMMYFUNCTION("""COMPUTED_VALUE"""),53.241)</f>
        <v>53.241</v>
      </c>
      <c r="L487" s="2">
        <f ca="1">IFERROR(__xludf.DUMMYFUNCTION("""COMPUTED_VALUE"""),9.6848)</f>
        <v>9.6847999999999992</v>
      </c>
      <c r="M487" s="2">
        <f ca="1">IFERROR(__xludf.DUMMYFUNCTION("""COMPUTED_VALUE"""),12.663)</f>
        <v>12.663</v>
      </c>
      <c r="U487" s="3" t="e">
        <f ca="1"/>
        <v>#NAME?</v>
      </c>
    </row>
    <row r="488" spans="3:21" ht="12.5" x14ac:dyDescent="0.25">
      <c r="C488" s="4">
        <f ca="1">IFERROR(__xludf.DUMMYFUNCTION("""COMPUTED_VALUE"""),40739.9986111111)</f>
        <v>40739.998611111099</v>
      </c>
      <c r="D488" s="2">
        <f ca="1">IFERROR(__xludf.DUMMYFUNCTION("""COMPUTED_VALUE"""),44.45)</f>
        <v>44.45</v>
      </c>
      <c r="E488" s="2">
        <f ca="1">IFERROR(__xludf.DUMMYFUNCTION("""COMPUTED_VALUE"""),66.03)</f>
        <v>66.03</v>
      </c>
      <c r="F488" s="2">
        <f ca="1">IFERROR(__xludf.DUMMYFUNCTION("""COMPUTED_VALUE"""),71.76)</f>
        <v>71.760000000000005</v>
      </c>
      <c r="G488" s="2">
        <f ca="1">IFERROR(__xludf.DUMMYFUNCTION("""COMPUTED_VALUE"""),0.63171)</f>
        <v>0.63170999999999999</v>
      </c>
      <c r="H488" s="2">
        <f ca="1">IFERROR(__xludf.DUMMYFUNCTION("""COMPUTED_VALUE"""),48.183)</f>
        <v>48.183</v>
      </c>
      <c r="I488" s="2">
        <f ca="1">IFERROR(__xludf.DUMMYFUNCTION("""COMPUTED_VALUE"""),46.996)</f>
        <v>46.996000000000002</v>
      </c>
      <c r="J488" s="2">
        <f ca="1">IFERROR(__xludf.DUMMYFUNCTION("""COMPUTED_VALUE"""),37.707)</f>
        <v>37.707000000000001</v>
      </c>
      <c r="K488" s="2">
        <f ca="1">IFERROR(__xludf.DUMMYFUNCTION("""COMPUTED_VALUE"""),53.465)</f>
        <v>53.465000000000003</v>
      </c>
      <c r="L488" s="2">
        <f ca="1">IFERROR(__xludf.DUMMYFUNCTION("""COMPUTED_VALUE"""),9.6741)</f>
        <v>9.6740999999999993</v>
      </c>
      <c r="M488" s="2">
        <f ca="1">IFERROR(__xludf.DUMMYFUNCTION("""COMPUTED_VALUE"""),12.7)</f>
        <v>12.7</v>
      </c>
      <c r="U488" s="3" t="e">
        <f ca="1"/>
        <v>#NAME?</v>
      </c>
    </row>
    <row r="489" spans="3:21" ht="12.5" x14ac:dyDescent="0.25">
      <c r="C489" s="4">
        <f ca="1">IFERROR(__xludf.DUMMYFUNCTION("""COMPUTED_VALUE"""),40740.9986111111)</f>
        <v>40740.998611111099</v>
      </c>
      <c r="D489" s="2">
        <f ca="1">IFERROR(__xludf.DUMMYFUNCTION("""COMPUTED_VALUE"""),44.508)</f>
        <v>44.508000000000003</v>
      </c>
      <c r="E489" s="2">
        <f ca="1">IFERROR(__xludf.DUMMYFUNCTION("""COMPUTED_VALUE"""),67.52)</f>
        <v>67.52</v>
      </c>
      <c r="F489" s="2">
        <f ca="1">IFERROR(__xludf.DUMMYFUNCTION("""COMPUTED_VALUE"""),71.822)</f>
        <v>71.822000000000003</v>
      </c>
      <c r="G489" s="2">
        <f ca="1">IFERROR(__xludf.DUMMYFUNCTION("""COMPUTED_VALUE"""),0.63291)</f>
        <v>0.63290999999999997</v>
      </c>
      <c r="H489" s="2">
        <f ca="1">IFERROR(__xludf.DUMMYFUNCTION("""COMPUTED_VALUE"""),49.761)</f>
        <v>49.761000000000003</v>
      </c>
      <c r="I489" s="2">
        <f ca="1">IFERROR(__xludf.DUMMYFUNCTION("""COMPUTED_VALUE"""),48.172)</f>
        <v>48.171999999999997</v>
      </c>
      <c r="J489" s="2">
        <f ca="1">IFERROR(__xludf.DUMMYFUNCTION("""COMPUTED_VALUE"""),38.392)</f>
        <v>38.392000000000003</v>
      </c>
      <c r="K489" s="2">
        <f ca="1">IFERROR(__xludf.DUMMYFUNCTION("""COMPUTED_VALUE"""),53.568)</f>
        <v>53.567999999999998</v>
      </c>
      <c r="L489" s="2">
        <f ca="1">IFERROR(__xludf.DUMMYFUNCTION("""COMPUTED_VALUE"""),9.6741)</f>
        <v>9.6740999999999993</v>
      </c>
      <c r="M489" s="2">
        <f ca="1">IFERROR(__xludf.DUMMYFUNCTION("""COMPUTED_VALUE"""),12.839)</f>
        <v>12.839</v>
      </c>
      <c r="U489" s="3" t="e">
        <f ca="1"/>
        <v>#NAME?</v>
      </c>
    </row>
    <row r="490" spans="3:21" ht="12.5" x14ac:dyDescent="0.25">
      <c r="C490" s="4">
        <f ca="1">IFERROR(__xludf.DUMMYFUNCTION("""COMPUTED_VALUE"""),40742.9986111111)</f>
        <v>40742.998611111099</v>
      </c>
      <c r="D490" s="2">
        <f ca="1">IFERROR(__xludf.DUMMYFUNCTION("""COMPUTED_VALUE"""),44.5)</f>
        <v>44.5</v>
      </c>
      <c r="E490" s="2">
        <f ca="1">IFERROR(__xludf.DUMMYFUNCTION("""COMPUTED_VALUE"""),67.518)</f>
        <v>67.518000000000001</v>
      </c>
      <c r="F490" s="2">
        <f ca="1">IFERROR(__xludf.DUMMYFUNCTION("""COMPUTED_VALUE"""),71.405)</f>
        <v>71.405000000000001</v>
      </c>
      <c r="G490" s="2">
        <f ca="1">IFERROR(__xludf.DUMMYFUNCTION("""COMPUTED_VALUE"""),0.6396)</f>
        <v>0.63959999999999995</v>
      </c>
      <c r="H490" s="2">
        <f ca="1">IFERROR(__xludf.DUMMYFUNCTION("""COMPUTED_VALUE"""),49.884)</f>
        <v>49.884</v>
      </c>
      <c r="I490" s="2">
        <f ca="1">IFERROR(__xludf.DUMMYFUNCTION("""COMPUTED_VALUE"""),48.025)</f>
        <v>48.024999999999999</v>
      </c>
      <c r="J490" s="2">
        <f ca="1">IFERROR(__xludf.DUMMYFUNCTION("""COMPUTED_VALUE"""),38.398)</f>
        <v>38.398000000000003</v>
      </c>
      <c r="K490" s="2">
        <f ca="1">IFERROR(__xludf.DUMMYFUNCTION("""COMPUTED_VALUE"""),53.654)</f>
        <v>53.654000000000003</v>
      </c>
      <c r="L490" s="2">
        <f ca="1">IFERROR(__xludf.DUMMYFUNCTION("""COMPUTED_VALUE"""),9.4794)</f>
        <v>9.4794</v>
      </c>
      <c r="M490" s="2">
        <f ca="1">IFERROR(__xludf.DUMMYFUNCTION("""COMPUTED_VALUE"""),12.921)</f>
        <v>12.920999999999999</v>
      </c>
      <c r="U490" s="3" t="e">
        <f ca="1"/>
        <v>#NAME?</v>
      </c>
    </row>
    <row r="491" spans="3:21" ht="12.5" x14ac:dyDescent="0.25">
      <c r="C491" s="4">
        <f ca="1">IFERROR(__xludf.DUMMYFUNCTION("""COMPUTED_VALUE"""),40743.9986111111)</f>
        <v>40743.998611111099</v>
      </c>
      <c r="D491" s="2">
        <f ca="1">IFERROR(__xludf.DUMMYFUNCTION("""COMPUTED_VALUE"""),44.41)</f>
        <v>44.41</v>
      </c>
      <c r="E491" s="2">
        <f ca="1">IFERROR(__xludf.DUMMYFUNCTION("""COMPUTED_VALUE"""),67.732)</f>
        <v>67.731999999999999</v>
      </c>
      <c r="F491" s="2">
        <f ca="1">IFERROR(__xludf.DUMMYFUNCTION("""COMPUTED_VALUE"""),71.62)</f>
        <v>71.62</v>
      </c>
      <c r="G491" s="2">
        <f ca="1">IFERROR(__xludf.DUMMYFUNCTION("""COMPUTED_VALUE"""),0.63281)</f>
        <v>0.63280999999999998</v>
      </c>
      <c r="H491" s="2">
        <f ca="1">IFERROR(__xludf.DUMMYFUNCTION("""COMPUTED_VALUE"""),50.425)</f>
        <v>50.424999999999997</v>
      </c>
      <c r="I491" s="2">
        <f ca="1">IFERROR(__xludf.DUMMYFUNCTION("""COMPUTED_VALUE"""),48.224)</f>
        <v>48.223999999999997</v>
      </c>
      <c r="J491" s="2">
        <f ca="1">IFERROR(__xludf.DUMMYFUNCTION("""COMPUTED_VALUE"""),38.636)</f>
        <v>38.636000000000003</v>
      </c>
      <c r="K491" s="2">
        <f ca="1">IFERROR(__xludf.DUMMYFUNCTION("""COMPUTED_VALUE"""),53.474)</f>
        <v>53.473999999999997</v>
      </c>
      <c r="L491" s="2">
        <f ca="1">IFERROR(__xludf.DUMMYFUNCTION("""COMPUTED_VALUE"""),9.6562)</f>
        <v>9.6562000000000001</v>
      </c>
      <c r="M491" s="2">
        <f ca="1">IFERROR(__xludf.DUMMYFUNCTION("""COMPUTED_VALUE"""),12.949)</f>
        <v>12.949</v>
      </c>
      <c r="U491" s="3" t="e">
        <f ca="1"/>
        <v>#NAME?</v>
      </c>
    </row>
    <row r="492" spans="3:21" ht="12.5" x14ac:dyDescent="0.25">
      <c r="C492" s="4">
        <f ca="1">IFERROR(__xludf.DUMMYFUNCTION("""COMPUTED_VALUE"""),40744.9986111111)</f>
        <v>40744.998611111099</v>
      </c>
      <c r="D492" s="2">
        <f ca="1">IFERROR(__xludf.DUMMYFUNCTION("""COMPUTED_VALUE"""),44.37)</f>
        <v>44.37</v>
      </c>
      <c r="E492" s="2">
        <f ca="1">IFERROR(__xludf.DUMMYFUNCTION("""COMPUTED_VALUE"""),67.766)</f>
        <v>67.766000000000005</v>
      </c>
      <c r="F492" s="2">
        <f ca="1">IFERROR(__xludf.DUMMYFUNCTION("""COMPUTED_VALUE"""),71.658)</f>
        <v>71.658000000000001</v>
      </c>
      <c r="G492" s="2">
        <f ca="1">IFERROR(__xludf.DUMMYFUNCTION("""COMPUTED_VALUE"""),0.63202)</f>
        <v>0.63202000000000003</v>
      </c>
      <c r="H492" s="2">
        <f ca="1">IFERROR(__xludf.DUMMYFUNCTION("""COMPUTED_VALUE"""),50.338)</f>
        <v>50.338000000000001</v>
      </c>
      <c r="I492" s="2">
        <f ca="1">IFERROR(__xludf.DUMMYFUNCTION("""COMPUTED_VALUE"""),48.39)</f>
        <v>48.39</v>
      </c>
      <c r="J492" s="2">
        <f ca="1">IFERROR(__xludf.DUMMYFUNCTION("""COMPUTED_VALUE"""),38.643)</f>
        <v>38.643000000000001</v>
      </c>
      <c r="K492" s="2">
        <f ca="1">IFERROR(__xludf.DUMMYFUNCTION("""COMPUTED_VALUE"""),53.771)</f>
        <v>53.771000000000001</v>
      </c>
      <c r="L492" s="2">
        <f ca="1">IFERROR(__xludf.DUMMYFUNCTION("""COMPUTED_VALUE"""),9.6426)</f>
        <v>9.6425999999999998</v>
      </c>
      <c r="M492" s="2">
        <f ca="1">IFERROR(__xludf.DUMMYFUNCTION("""COMPUTED_VALUE"""),12.932)</f>
        <v>12.932</v>
      </c>
      <c r="U492" s="3" t="e">
        <f ca="1"/>
        <v>#NAME?</v>
      </c>
    </row>
    <row r="493" spans="3:21" ht="12.5" x14ac:dyDescent="0.25">
      <c r="C493" s="4">
        <f ca="1">IFERROR(__xludf.DUMMYFUNCTION("""COMPUTED_VALUE"""),40745.9986111111)</f>
        <v>40745.998611111099</v>
      </c>
      <c r="D493" s="2">
        <f ca="1">IFERROR(__xludf.DUMMYFUNCTION("""COMPUTED_VALUE"""),44.3)</f>
        <v>44.3</v>
      </c>
      <c r="E493" s="2">
        <f ca="1">IFERROR(__xludf.DUMMYFUNCTION("""COMPUTED_VALUE"""),67.277)</f>
        <v>67.277000000000001</v>
      </c>
      <c r="F493" s="2">
        <f ca="1">IFERROR(__xludf.DUMMYFUNCTION("""COMPUTED_VALUE"""),72.222)</f>
        <v>72.221999999999994</v>
      </c>
      <c r="G493" s="2">
        <f ca="1">IFERROR(__xludf.DUMMYFUNCTION("""COMPUTED_VALUE"""),0.63643)</f>
        <v>0.63643000000000005</v>
      </c>
      <c r="H493" s="2">
        <f ca="1">IFERROR(__xludf.DUMMYFUNCTION("""COMPUTED_VALUE"""),49.87)</f>
        <v>49.87</v>
      </c>
      <c r="I493" s="2">
        <f ca="1">IFERROR(__xludf.DUMMYFUNCTION("""COMPUTED_VALUE"""),47.957)</f>
        <v>47.957000000000001</v>
      </c>
      <c r="J493" s="2">
        <f ca="1">IFERROR(__xludf.DUMMYFUNCTION("""COMPUTED_VALUE"""),38.448)</f>
        <v>38.448</v>
      </c>
      <c r="K493" s="2">
        <f ca="1">IFERROR(__xludf.DUMMYFUNCTION("""COMPUTED_VALUE"""),54.014)</f>
        <v>54.014000000000003</v>
      </c>
      <c r="L493" s="2">
        <f ca="1">IFERROR(__xludf.DUMMYFUNCTION("""COMPUTED_VALUE"""),9.6458)</f>
        <v>9.6457999999999995</v>
      </c>
      <c r="M493" s="2">
        <f ca="1">IFERROR(__xludf.DUMMYFUNCTION("""COMPUTED_VALUE"""),12.842)</f>
        <v>12.842000000000001</v>
      </c>
      <c r="U493" s="3" t="e">
        <f ca="1"/>
        <v>#NAME?</v>
      </c>
    </row>
    <row r="494" spans="3:21" ht="12.5" x14ac:dyDescent="0.25">
      <c r="C494" s="4">
        <f ca="1">IFERROR(__xludf.DUMMYFUNCTION("""COMPUTED_VALUE"""),40746.9986111111)</f>
        <v>40746.998611111099</v>
      </c>
      <c r="D494" s="2">
        <f ca="1">IFERROR(__xludf.DUMMYFUNCTION("""COMPUTED_VALUE"""),44.33)</f>
        <v>44.33</v>
      </c>
      <c r="E494" s="2">
        <f ca="1">IFERROR(__xludf.DUMMYFUNCTION("""COMPUTED_VALUE"""),67.88)</f>
        <v>67.88</v>
      </c>
      <c r="F494" s="2">
        <f ca="1">IFERROR(__xludf.DUMMYFUNCTION("""COMPUTED_VALUE"""),72.245)</f>
        <v>72.245000000000005</v>
      </c>
      <c r="G494" s="2">
        <f ca="1">IFERROR(__xludf.DUMMYFUNCTION("""COMPUTED_VALUE"""),0.64135)</f>
        <v>0.64134999999999998</v>
      </c>
      <c r="H494" s="2">
        <f ca="1">IFERROR(__xludf.DUMMYFUNCTION("""COMPUTED_VALUE"""),50.604)</f>
        <v>50.603999999999999</v>
      </c>
      <c r="I494" s="2">
        <f ca="1">IFERROR(__xludf.DUMMYFUNCTION("""COMPUTED_VALUE"""),48.523)</f>
        <v>48.523000000000003</v>
      </c>
      <c r="J494" s="2">
        <f ca="1">IFERROR(__xludf.DUMMYFUNCTION("""COMPUTED_VALUE"""),38.888)</f>
        <v>38.887999999999998</v>
      </c>
      <c r="K494" s="2">
        <f ca="1">IFERROR(__xludf.DUMMYFUNCTION("""COMPUTED_VALUE"""),53.602)</f>
        <v>53.601999999999997</v>
      </c>
      <c r="L494" s="2">
        <f ca="1">IFERROR(__xludf.DUMMYFUNCTION("""COMPUTED_VALUE"""),9.6403)</f>
        <v>9.6402999999999999</v>
      </c>
      <c r="M494" s="2">
        <f ca="1">IFERROR(__xludf.DUMMYFUNCTION("""COMPUTED_VALUE"""),12.842)</f>
        <v>12.842000000000001</v>
      </c>
      <c r="U494" s="3" t="e">
        <f ca="1"/>
        <v>#NAME?</v>
      </c>
    </row>
    <row r="495" spans="3:21" ht="12.5" x14ac:dyDescent="0.25">
      <c r="C495" s="4">
        <f ca="1">IFERROR(__xludf.DUMMYFUNCTION("""COMPUTED_VALUE"""),40748.9986111111)</f>
        <v>40748.998611111099</v>
      </c>
      <c r="D495" s="2">
        <f ca="1">IFERROR(__xludf.DUMMYFUNCTION("""COMPUTED_VALUE"""),44.343)</f>
        <v>44.343000000000004</v>
      </c>
      <c r="E495" s="2">
        <f ca="1">IFERROR(__xludf.DUMMYFUNCTION("""COMPUTED_VALUE"""),67.379)</f>
        <v>67.379000000000005</v>
      </c>
      <c r="F495" s="2">
        <f ca="1">IFERROR(__xludf.DUMMYFUNCTION("""COMPUTED_VALUE"""),72.357)</f>
        <v>72.356999999999999</v>
      </c>
      <c r="G495" s="2">
        <f ca="1">IFERROR(__xludf.DUMMYFUNCTION("""COMPUTED_VALUE"""),0.63806)</f>
        <v>0.63805999999999996</v>
      </c>
      <c r="H495" s="2">
        <f ca="1">IFERROR(__xludf.DUMMYFUNCTION("""COMPUTED_VALUE"""),50.1)</f>
        <v>50.1</v>
      </c>
      <c r="I495" s="2">
        <f ca="1">IFERROR(__xludf.DUMMYFUNCTION("""COMPUTED_VALUE"""),48.044)</f>
        <v>48.043999999999997</v>
      </c>
      <c r="J495" s="2">
        <f ca="1">IFERROR(__xludf.DUMMYFUNCTION("""COMPUTED_VALUE"""),38.654)</f>
        <v>38.654000000000003</v>
      </c>
      <c r="K495" s="2">
        <f ca="1">IFERROR(__xludf.DUMMYFUNCTION("""COMPUTED_VALUE"""),53.014)</f>
        <v>53.014000000000003</v>
      </c>
      <c r="L495" s="2">
        <f ca="1">IFERROR(__xludf.DUMMYFUNCTION("""COMPUTED_VALUE"""),9.6762)</f>
        <v>9.6761999999999997</v>
      </c>
      <c r="M495" s="2">
        <f ca="1">IFERROR(__xludf.DUMMYFUNCTION("""COMPUTED_VALUE"""),12.842)</f>
        <v>12.842000000000001</v>
      </c>
      <c r="U495" s="3" t="e">
        <f ca="1"/>
        <v>#NAME?</v>
      </c>
    </row>
    <row r="496" spans="3:21" ht="12.5" x14ac:dyDescent="0.25">
      <c r="C496" s="4">
        <f ca="1">IFERROR(__xludf.DUMMYFUNCTION("""COMPUTED_VALUE"""),40749.9986111111)</f>
        <v>40749.998611111099</v>
      </c>
      <c r="D496" s="2">
        <f ca="1">IFERROR(__xludf.DUMMYFUNCTION("""COMPUTED_VALUE"""),44.31)</f>
        <v>44.31</v>
      </c>
      <c r="E496" s="2">
        <f ca="1">IFERROR(__xludf.DUMMYFUNCTION("""COMPUTED_VALUE"""),68.678)</f>
        <v>68.677999999999997</v>
      </c>
      <c r="F496" s="2">
        <f ca="1">IFERROR(__xludf.DUMMYFUNCTION("""COMPUTED_VALUE"""),72.164)</f>
        <v>72.164000000000001</v>
      </c>
      <c r="G496" s="2">
        <f ca="1">IFERROR(__xludf.DUMMYFUNCTION("""COMPUTED_VALUE"""),0.64893)</f>
        <v>0.64893000000000001</v>
      </c>
      <c r="H496" s="2">
        <f ca="1">IFERROR(__xludf.DUMMYFUNCTION("""COMPUTED_VALUE"""),51.163)</f>
        <v>51.162999999999997</v>
      </c>
      <c r="I496" s="2">
        <f ca="1">IFERROR(__xludf.DUMMYFUNCTION("""COMPUTED_VALUE"""),49.176)</f>
        <v>49.176000000000002</v>
      </c>
      <c r="J496" s="2">
        <f ca="1">IFERROR(__xludf.DUMMYFUNCTION("""COMPUTED_VALUE"""),39.177)</f>
        <v>39.177</v>
      </c>
      <c r="K496" s="2">
        <f ca="1">IFERROR(__xludf.DUMMYFUNCTION("""COMPUTED_VALUE"""),52.407)</f>
        <v>52.406999999999996</v>
      </c>
      <c r="L496" s="2">
        <f ca="1">IFERROR(__xludf.DUMMYFUNCTION("""COMPUTED_VALUE"""),9.5603)</f>
        <v>9.5602999999999998</v>
      </c>
      <c r="M496" s="2">
        <f ca="1">IFERROR(__xludf.DUMMYFUNCTION("""COMPUTED_VALUE"""),12.993)</f>
        <v>12.993</v>
      </c>
      <c r="U496" s="3" t="e">
        <f ca="1"/>
        <v>#NAME?</v>
      </c>
    </row>
    <row r="497" spans="3:21" ht="12.5" x14ac:dyDescent="0.25">
      <c r="C497" s="4">
        <f ca="1">IFERROR(__xludf.DUMMYFUNCTION("""COMPUTED_VALUE"""),40750.9986111111)</f>
        <v>40750.998611111099</v>
      </c>
      <c r="D497" s="2">
        <f ca="1">IFERROR(__xludf.DUMMYFUNCTION("""COMPUTED_VALUE"""),44.05)</f>
        <v>44.05</v>
      </c>
      <c r="E497" s="2">
        <f ca="1">IFERROR(__xludf.DUMMYFUNCTION("""COMPUTED_VALUE"""),69.076)</f>
        <v>69.075999999999993</v>
      </c>
      <c r="F497" s="2">
        <f ca="1">IFERROR(__xludf.DUMMYFUNCTION("""COMPUTED_VALUE"""),72.201)</f>
        <v>72.200999999999993</v>
      </c>
      <c r="G497" s="2">
        <f ca="1">IFERROR(__xludf.DUMMYFUNCTION("""COMPUTED_VALUE"""),0.65262)</f>
        <v>0.65261999999999998</v>
      </c>
      <c r="H497" s="2">
        <f ca="1">IFERROR(__xludf.DUMMYFUNCTION("""COMPUTED_VALUE"""),51.479)</f>
        <v>51.478999999999999</v>
      </c>
      <c r="I497" s="2">
        <f ca="1">IFERROR(__xludf.DUMMYFUNCTION("""COMPUTED_VALUE"""),49.266)</f>
        <v>49.265999999999998</v>
      </c>
      <c r="J497" s="2">
        <f ca="1">IFERROR(__xludf.DUMMYFUNCTION("""COMPUTED_VALUE"""),39.063)</f>
        <v>39.063000000000002</v>
      </c>
      <c r="K497" s="2">
        <f ca="1">IFERROR(__xludf.DUMMYFUNCTION("""COMPUTED_VALUE"""),52.611)</f>
        <v>52.610999999999997</v>
      </c>
      <c r="L497" s="2">
        <f ca="1">IFERROR(__xludf.DUMMYFUNCTION("""COMPUTED_VALUE"""),9.5026)</f>
        <v>9.5025999999999993</v>
      </c>
      <c r="M497" s="2">
        <f ca="1">IFERROR(__xludf.DUMMYFUNCTION("""COMPUTED_VALUE"""),13.044)</f>
        <v>13.044</v>
      </c>
      <c r="U497" s="3" t="e">
        <f ca="1"/>
        <v>#NAME?</v>
      </c>
    </row>
    <row r="498" spans="3:21" ht="12.5" x14ac:dyDescent="0.25">
      <c r="C498" s="4">
        <f ca="1">IFERROR(__xludf.DUMMYFUNCTION("""COMPUTED_VALUE"""),40751.9986111111)</f>
        <v>40751.998611111099</v>
      </c>
      <c r="D498" s="2">
        <f ca="1">IFERROR(__xludf.DUMMYFUNCTION("""COMPUTED_VALUE"""),44.03)</f>
        <v>44.03</v>
      </c>
      <c r="E498" s="2">
        <f ca="1">IFERROR(__xludf.DUMMYFUNCTION("""COMPUTED_VALUE"""),69.234)</f>
        <v>69.233999999999995</v>
      </c>
      <c r="F498" s="2">
        <f ca="1">IFERROR(__xludf.DUMMYFUNCTION("""COMPUTED_VALUE"""),71.97)</f>
        <v>71.97</v>
      </c>
      <c r="G498" s="2">
        <f ca="1">IFERROR(__xludf.DUMMYFUNCTION("""COMPUTED_VALUE"""),0.6547)</f>
        <v>0.65469999999999995</v>
      </c>
      <c r="H498" s="2">
        <f ca="1">IFERROR(__xludf.DUMMYFUNCTION("""COMPUTED_VALUE"""),51.464)</f>
        <v>51.463999999999999</v>
      </c>
      <c r="I498" s="2">
        <f ca="1">IFERROR(__xludf.DUMMYFUNCTION("""COMPUTED_VALUE"""),49.484)</f>
        <v>49.484000000000002</v>
      </c>
      <c r="J498" s="2">
        <f ca="1">IFERROR(__xludf.DUMMYFUNCTION("""COMPUTED_VALUE"""),39.141)</f>
        <v>39.140999999999998</v>
      </c>
      <c r="K498" s="2">
        <f ca="1">IFERROR(__xludf.DUMMYFUNCTION("""COMPUTED_VALUE"""),52.296)</f>
        <v>52.295999999999999</v>
      </c>
      <c r="L498" s="2">
        <f ca="1">IFERROR(__xludf.DUMMYFUNCTION("""COMPUTED_VALUE"""),9.481)</f>
        <v>9.4809999999999999</v>
      </c>
      <c r="M498" s="2">
        <f ca="1">IFERROR(__xludf.DUMMYFUNCTION("""COMPUTED_VALUE"""),13.125)</f>
        <v>13.125</v>
      </c>
      <c r="U498" s="3" t="e">
        <f ca="1"/>
        <v>#NAME?</v>
      </c>
    </row>
    <row r="499" spans="3:21" ht="12.5" x14ac:dyDescent="0.25">
      <c r="C499" s="4">
        <f ca="1">IFERROR(__xludf.DUMMYFUNCTION("""COMPUTED_VALUE"""),40752.9986111111)</f>
        <v>40752.998611111099</v>
      </c>
      <c r="D499" s="2">
        <f ca="1">IFERROR(__xludf.DUMMYFUNCTION("""COMPUTED_VALUE"""),44.01)</f>
        <v>44.01</v>
      </c>
      <c r="E499" s="2">
        <f ca="1">IFERROR(__xludf.DUMMYFUNCTION("""COMPUTED_VALUE"""),69.028)</f>
        <v>69.028000000000006</v>
      </c>
      <c r="F499" s="2">
        <f ca="1">IFERROR(__xludf.DUMMYFUNCTION("""COMPUTED_VALUE"""),71.913)</f>
        <v>71.912999999999997</v>
      </c>
      <c r="G499" s="2">
        <f ca="1">IFERROR(__xludf.DUMMYFUNCTION("""COMPUTED_VALUE"""),0.65142)</f>
        <v>0.65142</v>
      </c>
      <c r="H499" s="2">
        <f ca="1">IFERROR(__xludf.DUMMYFUNCTION("""COMPUTED_VALUE"""),51.926)</f>
        <v>51.926000000000002</v>
      </c>
      <c r="I499" s="2">
        <f ca="1">IFERROR(__xludf.DUMMYFUNCTION("""COMPUTED_VALUE"""),49.372)</f>
        <v>49.372</v>
      </c>
      <c r="J499" s="2">
        <f ca="1">IFERROR(__xludf.DUMMYFUNCTION("""COMPUTED_VALUE"""),39.218)</f>
        <v>39.218000000000004</v>
      </c>
      <c r="K499" s="2">
        <f ca="1">IFERROR(__xludf.DUMMYFUNCTION("""COMPUTED_VALUE"""),52.704)</f>
        <v>52.704000000000001</v>
      </c>
      <c r="L499" s="2">
        <f ca="1">IFERROR(__xludf.DUMMYFUNCTION("""COMPUTED_VALUE"""),9.4685)</f>
        <v>9.4685000000000006</v>
      </c>
      <c r="M499" s="2">
        <f ca="1">IFERROR(__xludf.DUMMYFUNCTION("""COMPUTED_VALUE"""),13.469)</f>
        <v>13.468999999999999</v>
      </c>
      <c r="U499" s="3" t="e">
        <f ca="1"/>
        <v>#NAME?</v>
      </c>
    </row>
    <row r="500" spans="3:21" ht="12.5" x14ac:dyDescent="0.25">
      <c r="C500" s="4">
        <f ca="1">IFERROR(__xludf.DUMMYFUNCTION("""COMPUTED_VALUE"""),40753.9986111111)</f>
        <v>40753.998611111099</v>
      </c>
      <c r="D500" s="2">
        <f ca="1">IFERROR(__xludf.DUMMYFUNCTION("""COMPUTED_VALUE"""),44.06)</f>
        <v>44.06</v>
      </c>
      <c r="E500" s="2">
        <f ca="1">IFERROR(__xludf.DUMMYFUNCTION("""COMPUTED_VALUE"""),68.712)</f>
        <v>68.712000000000003</v>
      </c>
      <c r="F500" s="2">
        <f ca="1">IFERROR(__xludf.DUMMYFUNCTION("""COMPUTED_VALUE"""),72.437)</f>
        <v>72.436999999999998</v>
      </c>
      <c r="G500" s="2">
        <f ca="1">IFERROR(__xludf.DUMMYFUNCTION("""COMPUTED_VALUE"""),0.65064)</f>
        <v>0.65064</v>
      </c>
      <c r="H500" s="2">
        <f ca="1">IFERROR(__xludf.DUMMYFUNCTION("""COMPUTED_VALUE"""),51.517)</f>
        <v>51.517000000000003</v>
      </c>
      <c r="I500" s="2">
        <f ca="1">IFERROR(__xludf.DUMMYFUNCTION("""COMPUTED_VALUE"""),48.644)</f>
        <v>48.643999999999998</v>
      </c>
      <c r="J500" s="2">
        <f ca="1">IFERROR(__xludf.DUMMYFUNCTION("""COMPUTED_VALUE"""),39.115)</f>
        <v>39.115000000000002</v>
      </c>
      <c r="K500" s="2">
        <f ca="1">IFERROR(__xludf.DUMMYFUNCTION("""COMPUTED_VALUE"""),52.816)</f>
        <v>52.816000000000003</v>
      </c>
      <c r="L500" s="2">
        <f ca="1">IFERROR(__xludf.DUMMYFUNCTION("""COMPUTED_VALUE"""),9.5036)</f>
        <v>9.5036000000000005</v>
      </c>
      <c r="M500" s="2">
        <f ca="1">IFERROR(__xludf.DUMMYFUNCTION("""COMPUTED_VALUE"""),13.434)</f>
        <v>13.433999999999999</v>
      </c>
      <c r="U500" s="3" t="e">
        <f ca="1"/>
        <v>#NAME?</v>
      </c>
    </row>
    <row r="501" spans="3:21" ht="12.5" x14ac:dyDescent="0.25">
      <c r="C501" s="4">
        <f ca="1">IFERROR(__xludf.DUMMYFUNCTION("""COMPUTED_VALUE"""),40754.9986111111)</f>
        <v>40754.998611111099</v>
      </c>
      <c r="D501" s="2">
        <f ca="1">IFERROR(__xludf.DUMMYFUNCTION("""COMPUTED_VALUE"""),44.203)</f>
        <v>44.203000000000003</v>
      </c>
      <c r="E501" s="2">
        <f ca="1">IFERROR(__xludf.DUMMYFUNCTION("""COMPUTED_VALUE"""),68.638)</f>
        <v>68.638000000000005</v>
      </c>
      <c r="F501" s="2">
        <f ca="1">IFERROR(__xludf.DUMMYFUNCTION("""COMPUTED_VALUE"""),72.568)</f>
        <v>72.567999999999998</v>
      </c>
      <c r="G501" s="2">
        <f ca="1">IFERROR(__xludf.DUMMYFUNCTION("""COMPUTED_VALUE"""),0.64787)</f>
        <v>0.64786999999999995</v>
      </c>
      <c r="H501" s="2">
        <f ca="1">IFERROR(__xludf.DUMMYFUNCTION("""COMPUTED_VALUE"""),51.33)</f>
        <v>51.33</v>
      </c>
      <c r="I501" s="2">
        <f ca="1">IFERROR(__xludf.DUMMYFUNCTION("""COMPUTED_VALUE"""),49.1)</f>
        <v>49.1</v>
      </c>
      <c r="J501" s="2">
        <f ca="1">IFERROR(__xludf.DUMMYFUNCTION("""COMPUTED_VALUE"""),38.82)</f>
        <v>38.82</v>
      </c>
      <c r="K501" s="2">
        <f ca="1">IFERROR(__xludf.DUMMYFUNCTION("""COMPUTED_VALUE"""),52.449)</f>
        <v>52.448999999999998</v>
      </c>
      <c r="L501" s="2">
        <f ca="1">IFERROR(__xludf.DUMMYFUNCTION("""COMPUTED_VALUE"""),9.3378)</f>
        <v>9.3377999999999997</v>
      </c>
      <c r="M501" s="2">
        <f ca="1">IFERROR(__xludf.DUMMYFUNCTION("""COMPUTED_VALUE"""),13.434)</f>
        <v>13.433999999999999</v>
      </c>
      <c r="U501" s="3" t="e">
        <f ca="1"/>
        <v>#NAME?</v>
      </c>
    </row>
    <row r="502" spans="3:21" ht="12.5" x14ac:dyDescent="0.25">
      <c r="C502" s="4">
        <f ca="1">IFERROR(__xludf.DUMMYFUNCTION("""COMPUTED_VALUE"""),40756.9986111111)</f>
        <v>40756.998611111099</v>
      </c>
      <c r="D502" s="2">
        <f ca="1">IFERROR(__xludf.DUMMYFUNCTION("""COMPUTED_VALUE"""),44.063)</f>
        <v>44.063000000000002</v>
      </c>
      <c r="E502" s="2">
        <f ca="1">IFERROR(__xludf.DUMMYFUNCTION("""COMPUTED_VALUE"""),70.741)</f>
        <v>70.741</v>
      </c>
      <c r="F502" s="2">
        <f ca="1">IFERROR(__xludf.DUMMYFUNCTION("""COMPUTED_VALUE"""),71.717)</f>
        <v>71.716999999999999</v>
      </c>
      <c r="G502" s="2">
        <f ca="1">IFERROR(__xludf.DUMMYFUNCTION("""COMPUTED_VALUE"""),0.65537)</f>
        <v>0.65537000000000001</v>
      </c>
      <c r="H502" s="2">
        <f ca="1">IFERROR(__xludf.DUMMYFUNCTION("""COMPUTED_VALUE"""),53.412)</f>
        <v>53.411999999999999</v>
      </c>
      <c r="I502" s="2">
        <f ca="1">IFERROR(__xludf.DUMMYFUNCTION("""COMPUTED_VALUE"""),50.25)</f>
        <v>50.25</v>
      </c>
      <c r="J502" s="2">
        <f ca="1">IFERROR(__xludf.DUMMYFUNCTION("""COMPUTED_VALUE"""),40.095)</f>
        <v>40.094999999999999</v>
      </c>
      <c r="K502" s="2">
        <f ca="1">IFERROR(__xludf.DUMMYFUNCTION("""COMPUTED_VALUE"""),52.921)</f>
        <v>52.920999999999999</v>
      </c>
      <c r="L502" s="2">
        <f ca="1">IFERROR(__xludf.DUMMYFUNCTION("""COMPUTED_VALUE"""),9.4501)</f>
        <v>9.4501000000000008</v>
      </c>
      <c r="M502" s="2">
        <f ca="1">IFERROR(__xludf.DUMMYFUNCTION("""COMPUTED_VALUE"""),13.434)</f>
        <v>13.433999999999999</v>
      </c>
      <c r="U502" s="3" t="e">
        <f ca="1"/>
        <v>#NAME?</v>
      </c>
    </row>
    <row r="503" spans="3:21" ht="12.5" x14ac:dyDescent="0.25">
      <c r="C503" s="4">
        <f ca="1">IFERROR(__xludf.DUMMYFUNCTION("""COMPUTED_VALUE"""),40757.9986111111)</f>
        <v>40757.998611111099</v>
      </c>
      <c r="D503" s="2">
        <f ca="1">IFERROR(__xludf.DUMMYFUNCTION("""COMPUTED_VALUE"""),44.263)</f>
        <v>44.262999999999998</v>
      </c>
      <c r="E503" s="2">
        <f ca="1">IFERROR(__xludf.DUMMYFUNCTION("""COMPUTED_VALUE"""),68.784)</f>
        <v>68.784000000000006</v>
      </c>
      <c r="F503" s="2">
        <f ca="1">IFERROR(__xludf.DUMMYFUNCTION("""COMPUTED_VALUE"""),72.088)</f>
        <v>72.087999999999994</v>
      </c>
      <c r="G503" s="2">
        <f ca="1">IFERROR(__xludf.DUMMYFUNCTION("""COMPUTED_VALUE"""),0.64163)</f>
        <v>0.64163000000000003</v>
      </c>
      <c r="H503" s="2">
        <f ca="1">IFERROR(__xludf.DUMMYFUNCTION("""COMPUTED_VALUE"""),52.031)</f>
        <v>52.030999999999999</v>
      </c>
      <c r="I503" s="2">
        <f ca="1">IFERROR(__xludf.DUMMYFUNCTION("""COMPUTED_VALUE"""),48.899)</f>
        <v>48.899000000000001</v>
      </c>
      <c r="J503" s="2">
        <f ca="1">IFERROR(__xludf.DUMMYFUNCTION("""COMPUTED_VALUE"""),39.137)</f>
        <v>39.137</v>
      </c>
      <c r="K503" s="2">
        <f ca="1">IFERROR(__xludf.DUMMYFUNCTION("""COMPUTED_VALUE"""),53.113)</f>
        <v>53.113</v>
      </c>
      <c r="L503" s="2">
        <f ca="1">IFERROR(__xludf.DUMMYFUNCTION("""COMPUTED_VALUE"""),9.4801)</f>
        <v>9.4801000000000002</v>
      </c>
      <c r="M503" s="2">
        <f ca="1">IFERROR(__xludf.DUMMYFUNCTION("""COMPUTED_VALUE"""),13.449)</f>
        <v>13.449</v>
      </c>
      <c r="U503" s="3" t="e">
        <f ca="1"/>
        <v>#NAME?</v>
      </c>
    </row>
    <row r="504" spans="3:21" ht="12.5" x14ac:dyDescent="0.25">
      <c r="C504" s="4">
        <f ca="1">IFERROR(__xludf.DUMMYFUNCTION("""COMPUTED_VALUE"""),40758.9986111111)</f>
        <v>40758.998611111099</v>
      </c>
      <c r="D504" s="2">
        <f ca="1">IFERROR(__xludf.DUMMYFUNCTION("""COMPUTED_VALUE"""),44.313)</f>
        <v>44.313000000000002</v>
      </c>
      <c r="E504" s="2">
        <f ca="1">IFERROR(__xludf.DUMMYFUNCTION("""COMPUTED_VALUE"""),67.727)</f>
        <v>67.727000000000004</v>
      </c>
      <c r="F504" s="2">
        <f ca="1">IFERROR(__xludf.DUMMYFUNCTION("""COMPUTED_VALUE"""),72.656)</f>
        <v>72.656000000000006</v>
      </c>
      <c r="G504" s="2">
        <f ca="1">IFERROR(__xludf.DUMMYFUNCTION("""COMPUTED_VALUE"""),0.62367)</f>
        <v>0.62366999999999995</v>
      </c>
      <c r="H504" s="2">
        <f ca="1">IFERROR(__xludf.DUMMYFUNCTION("""COMPUTED_VALUE"""),51.458)</f>
        <v>51.457999999999998</v>
      </c>
      <c r="I504" s="2">
        <f ca="1">IFERROR(__xludf.DUMMYFUNCTION("""COMPUTED_VALUE"""),48.801)</f>
        <v>48.801000000000002</v>
      </c>
      <c r="J504" s="2">
        <f ca="1">IFERROR(__xludf.DUMMYFUNCTION("""COMPUTED_VALUE"""),38.783)</f>
        <v>38.783000000000001</v>
      </c>
      <c r="K504" s="2">
        <f ca="1">IFERROR(__xludf.DUMMYFUNCTION("""COMPUTED_VALUE"""),53.069)</f>
        <v>53.069000000000003</v>
      </c>
      <c r="L504" s="2">
        <f ca="1">IFERROR(__xludf.DUMMYFUNCTION("""COMPUTED_VALUE"""),9.4988)</f>
        <v>9.4987999999999992</v>
      </c>
      <c r="M504" s="2">
        <f ca="1">IFERROR(__xludf.DUMMYFUNCTION("""COMPUTED_VALUE"""),13.289)</f>
        <v>13.289</v>
      </c>
      <c r="U504" s="3" t="e">
        <f ca="1"/>
        <v>#NAME?</v>
      </c>
    </row>
    <row r="505" spans="3:21" ht="12.5" x14ac:dyDescent="0.25">
      <c r="C505" s="4">
        <f ca="1">IFERROR(__xludf.DUMMYFUNCTION("""COMPUTED_VALUE"""),40759.9986111111)</f>
        <v>40759.998611111099</v>
      </c>
      <c r="D505" s="2">
        <f ca="1">IFERROR(__xludf.DUMMYFUNCTION("""COMPUTED_VALUE"""),44.563)</f>
        <v>44.563000000000002</v>
      </c>
      <c r="E505" s="2">
        <f ca="1">IFERROR(__xludf.DUMMYFUNCTION("""COMPUTED_VALUE"""),67.319)</f>
        <v>67.319000000000003</v>
      </c>
      <c r="F505" s="2">
        <f ca="1">IFERROR(__xludf.DUMMYFUNCTION("""COMPUTED_VALUE"""),72.717)</f>
        <v>72.716999999999999</v>
      </c>
      <c r="G505" s="2">
        <f ca="1">IFERROR(__xludf.DUMMYFUNCTION("""COMPUTED_VALUE"""),0.62819)</f>
        <v>0.62819000000000003</v>
      </c>
      <c r="H505" s="2">
        <f ca="1">IFERROR(__xludf.DUMMYFUNCTION("""COMPUTED_VALUE"""),50.795)</f>
        <v>50.795000000000002</v>
      </c>
      <c r="I505" s="2">
        <f ca="1">IFERROR(__xludf.DUMMYFUNCTION("""COMPUTED_VALUE"""),48.295)</f>
        <v>48.295000000000002</v>
      </c>
      <c r="J505" s="2">
        <f ca="1">IFERROR(__xludf.DUMMYFUNCTION("""COMPUTED_VALUE"""),38.433)</f>
        <v>38.433</v>
      </c>
      <c r="K505" s="2">
        <f ca="1">IFERROR(__xludf.DUMMYFUNCTION("""COMPUTED_VALUE"""),53.606)</f>
        <v>53.606000000000002</v>
      </c>
      <c r="L505" s="2">
        <f ca="1">IFERROR(__xludf.DUMMYFUNCTION("""COMPUTED_VALUE"""),9.4945)</f>
        <v>9.4945000000000004</v>
      </c>
      <c r="M505" s="2">
        <f ca="1">IFERROR(__xludf.DUMMYFUNCTION("""COMPUTED_VALUE"""),13.273)</f>
        <v>13.273</v>
      </c>
      <c r="U505" s="3" t="e">
        <f ca="1"/>
        <v>#NAME?</v>
      </c>
    </row>
    <row r="506" spans="3:21" ht="12.5" x14ac:dyDescent="0.25">
      <c r="C506" s="4">
        <f ca="1">IFERROR(__xludf.DUMMYFUNCTION("""COMPUTED_VALUE"""),40760.9986111111)</f>
        <v>40760.998611111099</v>
      </c>
      <c r="D506" s="2">
        <f ca="1">IFERROR(__xludf.DUMMYFUNCTION("""COMPUTED_VALUE"""),44.733)</f>
        <v>44.732999999999997</v>
      </c>
      <c r="E506" s="2">
        <f ca="1">IFERROR(__xludf.DUMMYFUNCTION("""COMPUTED_VALUE"""),67.382)</f>
        <v>67.382000000000005</v>
      </c>
      <c r="F506" s="2">
        <f ca="1">IFERROR(__xludf.DUMMYFUNCTION("""COMPUTED_VALUE"""),73.219)</f>
        <v>73.218999999999994</v>
      </c>
      <c r="G506" s="2">
        <f ca="1">IFERROR(__xludf.DUMMYFUNCTION("""COMPUTED_VALUE"""),0.62795)</f>
        <v>0.62795000000000001</v>
      </c>
      <c r="H506" s="2">
        <f ca="1">IFERROR(__xludf.DUMMYFUNCTION("""COMPUTED_VALUE"""),50.614)</f>
        <v>50.613999999999997</v>
      </c>
      <c r="I506" s="2">
        <f ca="1">IFERROR(__xludf.DUMMYFUNCTION("""COMPUTED_VALUE"""),48.352)</f>
        <v>48.351999999999997</v>
      </c>
      <c r="J506" s="2">
        <f ca="1">IFERROR(__xludf.DUMMYFUNCTION("""COMPUTED_VALUE"""),38.49)</f>
        <v>38.49</v>
      </c>
      <c r="K506" s="2">
        <f ca="1">IFERROR(__xludf.DUMMYFUNCTION("""COMPUTED_VALUE"""),54.55)</f>
        <v>54.55</v>
      </c>
      <c r="L506" s="2">
        <f ca="1">IFERROR(__xludf.DUMMYFUNCTION("""COMPUTED_VALUE"""),9.4871)</f>
        <v>9.4870999999999999</v>
      </c>
      <c r="M506" s="2">
        <f ca="1">IFERROR(__xludf.DUMMYFUNCTION("""COMPUTED_VALUE"""),13.303)</f>
        <v>13.303000000000001</v>
      </c>
      <c r="U506" s="3" t="e">
        <f ca="1"/>
        <v>#NAME?</v>
      </c>
    </row>
    <row r="507" spans="3:21" ht="12.5" x14ac:dyDescent="0.25">
      <c r="C507" s="4">
        <f ca="1">IFERROR(__xludf.DUMMYFUNCTION("""COMPUTED_VALUE"""),40761.9986111111)</f>
        <v>40761.998611111099</v>
      </c>
      <c r="D507" s="2">
        <f ca="1">IFERROR(__xludf.DUMMYFUNCTION("""COMPUTED_VALUE"""),44.733)</f>
        <v>44.732999999999997</v>
      </c>
      <c r="E507" s="2">
        <f ca="1">IFERROR(__xludf.DUMMYFUNCTION("""COMPUTED_VALUE"""),67.557)</f>
        <v>67.557000000000002</v>
      </c>
      <c r="F507" s="2">
        <f ca="1">IFERROR(__xludf.DUMMYFUNCTION("""COMPUTED_VALUE"""),73.326)</f>
        <v>73.325999999999993</v>
      </c>
      <c r="G507" s="2">
        <f ca="1">IFERROR(__xludf.DUMMYFUNCTION("""COMPUTED_VALUE"""),0.62847)</f>
        <v>0.62846999999999997</v>
      </c>
      <c r="H507" s="2">
        <f ca="1">IFERROR(__xludf.DUMMYFUNCTION("""COMPUTED_VALUE"""),50.873)</f>
        <v>50.872999999999998</v>
      </c>
      <c r="I507" s="2">
        <f ca="1">IFERROR(__xludf.DUMMYFUNCTION("""COMPUTED_VALUE"""),48.508)</f>
        <v>48.508000000000003</v>
      </c>
      <c r="J507" s="2">
        <f ca="1">IFERROR(__xludf.DUMMYFUNCTION("""COMPUTED_VALUE"""),38.613)</f>
        <v>38.613</v>
      </c>
      <c r="K507" s="2">
        <f ca="1">IFERROR(__xludf.DUMMYFUNCTION("""COMPUTED_VALUE"""),54.347)</f>
        <v>54.347000000000001</v>
      </c>
      <c r="L507" s="2">
        <f ca="1">IFERROR(__xludf.DUMMYFUNCTION("""COMPUTED_VALUE"""),9.4469)</f>
        <v>9.4468999999999994</v>
      </c>
      <c r="M507" s="2">
        <f ca="1">IFERROR(__xludf.DUMMYFUNCTION("""COMPUTED_VALUE"""),13.354)</f>
        <v>13.353999999999999</v>
      </c>
      <c r="U507" s="3" t="e">
        <f ca="1"/>
        <v>#NAME?</v>
      </c>
    </row>
    <row r="508" spans="3:21" ht="12.5" x14ac:dyDescent="0.25">
      <c r="C508" s="4">
        <f ca="1">IFERROR(__xludf.DUMMYFUNCTION("""COMPUTED_VALUE"""),40763.9986111111)</f>
        <v>40763.998611111099</v>
      </c>
      <c r="D508" s="2">
        <f ca="1">IFERROR(__xludf.DUMMYFUNCTION("""COMPUTED_VALUE"""),45.003)</f>
        <v>45.003</v>
      </c>
      <c r="E508" s="2">
        <f ca="1">IFERROR(__xludf.DUMMYFUNCTION("""COMPUTED_VALUE"""),67.524)</f>
        <v>67.524000000000001</v>
      </c>
      <c r="F508" s="2">
        <f ca="1">IFERROR(__xludf.DUMMYFUNCTION("""COMPUTED_VALUE"""),73.544)</f>
        <v>73.543999999999997</v>
      </c>
      <c r="G508" s="2">
        <f ca="1">IFERROR(__xludf.DUMMYFUNCTION("""COMPUTED_VALUE"""),0.62624)</f>
        <v>0.62624000000000002</v>
      </c>
      <c r="H508" s="2">
        <f ca="1">IFERROR(__xludf.DUMMYFUNCTION("""COMPUTED_VALUE"""),50.876)</f>
        <v>50.875999999999998</v>
      </c>
      <c r="I508" s="2">
        <f ca="1">IFERROR(__xludf.DUMMYFUNCTION("""COMPUTED_VALUE"""),48.16)</f>
        <v>48.16</v>
      </c>
      <c r="J508" s="2">
        <f ca="1">IFERROR(__xludf.DUMMYFUNCTION("""COMPUTED_VALUE"""),38.662)</f>
        <v>38.661999999999999</v>
      </c>
      <c r="K508" s="2">
        <f ca="1">IFERROR(__xludf.DUMMYFUNCTION("""COMPUTED_VALUE"""),54.517)</f>
        <v>54.517000000000003</v>
      </c>
      <c r="L508" s="2">
        <f ca="1">IFERROR(__xludf.DUMMYFUNCTION("""COMPUTED_VALUE"""),9.4432)</f>
        <v>9.4431999999999992</v>
      </c>
      <c r="M508" s="2">
        <f ca="1">IFERROR(__xludf.DUMMYFUNCTION("""COMPUTED_VALUE"""),13.354)</f>
        <v>13.353999999999999</v>
      </c>
      <c r="U508" s="3" t="e">
        <f ca="1"/>
        <v>#NAME?</v>
      </c>
    </row>
    <row r="509" spans="3:21" ht="12.5" x14ac:dyDescent="0.25">
      <c r="C509" s="4">
        <f ca="1">IFERROR(__xludf.DUMMYFUNCTION("""COMPUTED_VALUE"""),40764.9986111111)</f>
        <v>40764.998611111099</v>
      </c>
      <c r="D509" s="2">
        <f ca="1">IFERROR(__xludf.DUMMYFUNCTION("""COMPUTED_VALUE"""),45.203)</f>
        <v>45.203000000000003</v>
      </c>
      <c r="E509" s="2">
        <f ca="1">IFERROR(__xludf.DUMMYFUNCTION("""COMPUTED_VALUE"""),67.275)</f>
        <v>67.275000000000006</v>
      </c>
      <c r="F509" s="2">
        <f ca="1">IFERROR(__xludf.DUMMYFUNCTION("""COMPUTED_VALUE"""),73.216)</f>
        <v>73.215999999999994</v>
      </c>
      <c r="G509" s="2">
        <f ca="1">IFERROR(__xludf.DUMMYFUNCTION("""COMPUTED_VALUE"""),0.62338)</f>
        <v>0.62338000000000005</v>
      </c>
      <c r="H509" s="2">
        <f ca="1">IFERROR(__xludf.DUMMYFUNCTION("""COMPUTED_VALUE"""),50.628)</f>
        <v>50.628</v>
      </c>
      <c r="I509" s="2">
        <f ca="1">IFERROR(__xludf.DUMMYFUNCTION("""COMPUTED_VALUE"""),47.995)</f>
        <v>47.994999999999997</v>
      </c>
      <c r="J509" s="2">
        <f ca="1">IFERROR(__xludf.DUMMYFUNCTION("""COMPUTED_VALUE"""),38.655)</f>
        <v>38.655000000000001</v>
      </c>
      <c r="K509" s="2">
        <f ca="1">IFERROR(__xludf.DUMMYFUNCTION("""COMPUTED_VALUE"""),54.776)</f>
        <v>54.776000000000003</v>
      </c>
      <c r="L509" s="2">
        <f ca="1">IFERROR(__xludf.DUMMYFUNCTION("""COMPUTED_VALUE"""),9.4045)</f>
        <v>9.4045000000000005</v>
      </c>
      <c r="M509" s="2">
        <f ca="1">IFERROR(__xludf.DUMMYFUNCTION("""COMPUTED_VALUE"""),13.354)</f>
        <v>13.353999999999999</v>
      </c>
      <c r="U509" s="3" t="e">
        <f ca="1"/>
        <v>#NAME?</v>
      </c>
    </row>
    <row r="510" spans="3:21" ht="12.5" x14ac:dyDescent="0.25">
      <c r="C510" s="4">
        <f ca="1">IFERROR(__xludf.DUMMYFUNCTION("""COMPUTED_VALUE"""),40765.9986111111)</f>
        <v>40765.998611111099</v>
      </c>
      <c r="D510" s="2">
        <f ca="1">IFERROR(__xludf.DUMMYFUNCTION("""COMPUTED_VALUE"""),45.248)</f>
        <v>45.247999999999998</v>
      </c>
      <c r="E510" s="2">
        <f ca="1">IFERROR(__xludf.DUMMYFUNCTION("""COMPUTED_VALUE"""),67.387)</f>
        <v>67.387</v>
      </c>
      <c r="F510" s="2">
        <f ca="1">IFERROR(__xludf.DUMMYFUNCTION("""COMPUTED_VALUE"""),73.519)</f>
        <v>73.519000000000005</v>
      </c>
      <c r="G510" s="2">
        <f ca="1">IFERROR(__xludf.DUMMYFUNCTION("""COMPUTED_VALUE"""),0.62653)</f>
        <v>0.62653000000000003</v>
      </c>
      <c r="H510" s="2">
        <f ca="1">IFERROR(__xludf.DUMMYFUNCTION("""COMPUTED_VALUE"""),50.764)</f>
        <v>50.764000000000003</v>
      </c>
      <c r="I510" s="2">
        <f ca="1">IFERROR(__xludf.DUMMYFUNCTION("""COMPUTED_VALUE"""),48.286)</f>
        <v>48.286000000000001</v>
      </c>
      <c r="J510" s="2">
        <f ca="1">IFERROR(__xludf.DUMMYFUNCTION("""COMPUTED_VALUE"""),38.56)</f>
        <v>38.56</v>
      </c>
      <c r="K510" s="2">
        <f ca="1">IFERROR(__xludf.DUMMYFUNCTION("""COMPUTED_VALUE"""),54.391)</f>
        <v>54.390999999999998</v>
      </c>
      <c r="L510" s="2">
        <f ca="1">IFERROR(__xludf.DUMMYFUNCTION("""COMPUTED_VALUE"""),9.404)</f>
        <v>9.4039999999999999</v>
      </c>
      <c r="M510" s="2">
        <f ca="1">IFERROR(__xludf.DUMMYFUNCTION("""COMPUTED_VALUE"""),13.368)</f>
        <v>13.368</v>
      </c>
      <c r="U510" s="3" t="e">
        <f ca="1"/>
        <v>#NAME?</v>
      </c>
    </row>
    <row r="511" spans="3:21" ht="12.5" x14ac:dyDescent="0.25">
      <c r="C511" s="4">
        <f ca="1">IFERROR(__xludf.DUMMYFUNCTION("""COMPUTED_VALUE"""),40766.9986111111)</f>
        <v>40766.998611111099</v>
      </c>
      <c r="D511" s="2">
        <f ca="1">IFERROR(__xludf.DUMMYFUNCTION("""COMPUTED_VALUE"""),45.293)</f>
        <v>45.292999999999999</v>
      </c>
      <c r="E511" s="2">
        <f ca="1">IFERROR(__xludf.DUMMYFUNCTION("""COMPUTED_VALUE"""),68.23)</f>
        <v>68.23</v>
      </c>
      <c r="F511" s="2">
        <f ca="1">IFERROR(__xludf.DUMMYFUNCTION("""COMPUTED_VALUE"""),73.438)</f>
        <v>73.438000000000002</v>
      </c>
      <c r="G511" s="2">
        <f ca="1">IFERROR(__xludf.DUMMYFUNCTION("""COMPUTED_VALUE"""),0.6346)</f>
        <v>0.63460000000000005</v>
      </c>
      <c r="H511" s="2">
        <f ca="1">IFERROR(__xludf.DUMMYFUNCTION("""COMPUTED_VALUE"""),51.186)</f>
        <v>51.186</v>
      </c>
      <c r="I511" s="2">
        <f ca="1">IFERROR(__xludf.DUMMYFUNCTION("""COMPUTED_VALUE"""),48.821)</f>
        <v>48.820999999999998</v>
      </c>
      <c r="J511" s="2">
        <f ca="1">IFERROR(__xludf.DUMMYFUNCTION("""COMPUTED_VALUE"""),38.962)</f>
        <v>38.962000000000003</v>
      </c>
      <c r="K511" s="2">
        <f ca="1">IFERROR(__xludf.DUMMYFUNCTION("""COMPUTED_VALUE"""),53.883)</f>
        <v>53.883000000000003</v>
      </c>
      <c r="L511" s="2">
        <f ca="1">IFERROR(__xludf.DUMMYFUNCTION("""COMPUTED_VALUE"""),9.3662)</f>
        <v>9.3661999999999992</v>
      </c>
      <c r="M511" s="2">
        <f ca="1">IFERROR(__xludf.DUMMYFUNCTION("""COMPUTED_VALUE"""),13.423)</f>
        <v>13.423</v>
      </c>
      <c r="U511" s="3" t="e">
        <f ca="1"/>
        <v>#NAME?</v>
      </c>
    </row>
    <row r="512" spans="3:21" ht="12.5" x14ac:dyDescent="0.25">
      <c r="C512" s="4">
        <f ca="1">IFERROR(__xludf.DUMMYFUNCTION("""COMPUTED_VALUE"""),40767.9986111111)</f>
        <v>40767.998611111099</v>
      </c>
      <c r="D512" s="2">
        <f ca="1">IFERROR(__xludf.DUMMYFUNCTION("""COMPUTED_VALUE"""),45.345)</f>
        <v>45.344999999999999</v>
      </c>
      <c r="E512" s="2">
        <f ca="1">IFERROR(__xludf.DUMMYFUNCTION("""COMPUTED_VALUE"""),68.038)</f>
        <v>68.037999999999997</v>
      </c>
      <c r="F512" s="2">
        <f ca="1">IFERROR(__xludf.DUMMYFUNCTION("""COMPUTED_VALUE"""),73.77)</f>
        <v>73.77</v>
      </c>
      <c r="G512" s="2">
        <f ca="1">IFERROR(__xludf.DUMMYFUNCTION("""COMPUTED_VALUE"""),0.64365)</f>
        <v>0.64365000000000006</v>
      </c>
      <c r="H512" s="2">
        <f ca="1">IFERROR(__xludf.DUMMYFUNCTION("""COMPUTED_VALUE"""),50.996)</f>
        <v>50.996000000000002</v>
      </c>
      <c r="I512" s="2">
        <f ca="1">IFERROR(__xludf.DUMMYFUNCTION("""COMPUTED_VALUE"""),49.161)</f>
        <v>49.161000000000001</v>
      </c>
      <c r="J512" s="2">
        <f ca="1">IFERROR(__xludf.DUMMYFUNCTION("""COMPUTED_VALUE"""),38.974)</f>
        <v>38.973999999999997</v>
      </c>
      <c r="K512" s="2">
        <f ca="1">IFERROR(__xludf.DUMMYFUNCTION("""COMPUTED_VALUE"""),54.153)</f>
        <v>54.152999999999999</v>
      </c>
      <c r="L512" s="2">
        <f ca="1">IFERROR(__xludf.DUMMYFUNCTION("""COMPUTED_VALUE"""),9.4285)</f>
        <v>9.4284999999999997</v>
      </c>
      <c r="M512" s="2">
        <f ca="1">IFERROR(__xludf.DUMMYFUNCTION("""COMPUTED_VALUE"""),13.382)</f>
        <v>13.382</v>
      </c>
      <c r="U512" s="3" t="e">
        <f ca="1"/>
        <v>#NAME?</v>
      </c>
    </row>
    <row r="513" spans="3:21" ht="12.5" x14ac:dyDescent="0.25">
      <c r="C513" s="4">
        <f ca="1">IFERROR(__xludf.DUMMYFUNCTION("""COMPUTED_VALUE"""),40770.9986111111)</f>
        <v>40770.998611111099</v>
      </c>
      <c r="D513" s="2">
        <f ca="1">IFERROR(__xludf.DUMMYFUNCTION("""COMPUTED_VALUE"""),45.233)</f>
        <v>45.232999999999997</v>
      </c>
      <c r="E513" s="2">
        <f ca="1">IFERROR(__xludf.DUMMYFUNCTION("""COMPUTED_VALUE"""),68.033)</f>
        <v>68.033000000000001</v>
      </c>
      <c r="F513" s="2">
        <f ca="1">IFERROR(__xludf.DUMMYFUNCTION("""COMPUTED_VALUE"""),74.091)</f>
        <v>74.090999999999994</v>
      </c>
      <c r="G513" s="2">
        <f ca="1">IFERROR(__xludf.DUMMYFUNCTION("""COMPUTED_VALUE"""),0.64358)</f>
        <v>0.64358000000000004</v>
      </c>
      <c r="H513" s="2">
        <f ca="1">IFERROR(__xludf.DUMMYFUNCTION("""COMPUTED_VALUE"""),50.744)</f>
        <v>50.744</v>
      </c>
      <c r="I513" s="2">
        <f ca="1">IFERROR(__xludf.DUMMYFUNCTION("""COMPUTED_VALUE"""),49.132)</f>
        <v>49.131999999999998</v>
      </c>
      <c r="J513" s="2">
        <f ca="1">IFERROR(__xludf.DUMMYFUNCTION("""COMPUTED_VALUE"""),38.732)</f>
        <v>38.731999999999999</v>
      </c>
      <c r="K513" s="2">
        <f ca="1">IFERROR(__xludf.DUMMYFUNCTION("""COMPUTED_VALUE"""),54.187)</f>
        <v>54.186999999999998</v>
      </c>
      <c r="L513" s="2">
        <f ca="1">IFERROR(__xludf.DUMMYFUNCTION("""COMPUTED_VALUE"""),9.4408)</f>
        <v>9.4407999999999994</v>
      </c>
      <c r="M513" s="2">
        <f ca="1">IFERROR(__xludf.DUMMYFUNCTION("""COMPUTED_VALUE"""),13.351)</f>
        <v>13.351000000000001</v>
      </c>
      <c r="U513" s="3" t="e">
        <f ca="1"/>
        <v>#NAME?</v>
      </c>
    </row>
    <row r="514" spans="3:21" ht="12.5" x14ac:dyDescent="0.25">
      <c r="C514" s="4">
        <f ca="1">IFERROR(__xludf.DUMMYFUNCTION("""COMPUTED_VALUE"""),40771.9986111111)</f>
        <v>40771.998611111099</v>
      </c>
      <c r="D514" s="2">
        <f ca="1">IFERROR(__xludf.DUMMYFUNCTION("""COMPUTED_VALUE"""),45.253)</f>
        <v>45.253</v>
      </c>
      <c r="E514" s="2">
        <f ca="1">IFERROR(__xludf.DUMMYFUNCTION("""COMPUTED_VALUE"""),68.432)</f>
        <v>68.432000000000002</v>
      </c>
      <c r="F514" s="2">
        <f ca="1">IFERROR(__xludf.DUMMYFUNCTION("""COMPUTED_VALUE"""),74.394)</f>
        <v>74.394000000000005</v>
      </c>
      <c r="G514" s="2">
        <f ca="1">IFERROR(__xludf.DUMMYFUNCTION("""COMPUTED_VALUE"""),0.64444)</f>
        <v>0.64444000000000001</v>
      </c>
      <c r="H514" s="2">
        <f ca="1">IFERROR(__xludf.DUMMYFUNCTION("""COMPUTED_VALUE"""),51.144)</f>
        <v>51.143999999999998</v>
      </c>
      <c r="I514" s="2">
        <f ca="1">IFERROR(__xludf.DUMMYFUNCTION("""COMPUTED_VALUE"""),49.132)</f>
        <v>49.131999999999998</v>
      </c>
      <c r="J514" s="2">
        <f ca="1">IFERROR(__xludf.DUMMYFUNCTION("""COMPUTED_VALUE"""),38.803)</f>
        <v>38.802999999999997</v>
      </c>
      <c r="K514" s="2">
        <f ca="1">IFERROR(__xludf.DUMMYFUNCTION("""COMPUTED_VALUE"""),54.116)</f>
        <v>54.116</v>
      </c>
      <c r="L514" s="2">
        <f ca="1">IFERROR(__xludf.DUMMYFUNCTION("""COMPUTED_VALUE"""),9.399)</f>
        <v>9.3989999999999991</v>
      </c>
      <c r="M514" s="2">
        <f ca="1">IFERROR(__xludf.DUMMYFUNCTION("""COMPUTED_VALUE"""),13.33)</f>
        <v>13.33</v>
      </c>
      <c r="U514" s="3" t="e">
        <f ca="1"/>
        <v>#NAME?</v>
      </c>
    </row>
    <row r="515" spans="3:21" ht="12.5" x14ac:dyDescent="0.25">
      <c r="C515" s="4">
        <f ca="1">IFERROR(__xludf.DUMMYFUNCTION("""COMPUTED_VALUE"""),40772.9986111111)</f>
        <v>40772.998611111099</v>
      </c>
      <c r="D515" s="2">
        <f ca="1">IFERROR(__xludf.DUMMYFUNCTION("""COMPUTED_VALUE"""),45.303)</f>
        <v>45.302999999999997</v>
      </c>
      <c r="E515" s="2">
        <f ca="1">IFERROR(__xludf.DUMMYFUNCTION("""COMPUTED_VALUE"""),68.866)</f>
        <v>68.866</v>
      </c>
      <c r="F515" s="2">
        <f ca="1">IFERROR(__xludf.DUMMYFUNCTION("""COMPUTED_VALUE"""),75.022)</f>
        <v>75.022000000000006</v>
      </c>
      <c r="G515" s="2">
        <f ca="1">IFERROR(__xludf.DUMMYFUNCTION("""COMPUTED_VALUE"""),0.64956)</f>
        <v>0.64956000000000003</v>
      </c>
      <c r="H515" s="2">
        <f ca="1">IFERROR(__xludf.DUMMYFUNCTION("""COMPUTED_VALUE"""),51.558)</f>
        <v>51.558</v>
      </c>
      <c r="I515" s="2">
        <f ca="1">IFERROR(__xludf.DUMMYFUNCTION("""COMPUTED_VALUE"""),49.37)</f>
        <v>49.37</v>
      </c>
      <c r="J515" s="2">
        <f ca="1">IFERROR(__xludf.DUMMYFUNCTION("""COMPUTED_VALUE"""),39.018)</f>
        <v>39.018000000000001</v>
      </c>
      <c r="K515" s="2">
        <f ca="1">IFERROR(__xludf.DUMMYFUNCTION("""COMPUTED_VALUE"""),54.222)</f>
        <v>54.222000000000001</v>
      </c>
      <c r="L515" s="2">
        <f ca="1">IFERROR(__xludf.DUMMYFUNCTION("""COMPUTED_VALUE"""),9.3544)</f>
        <v>9.3544</v>
      </c>
      <c r="M515" s="2">
        <f ca="1">IFERROR(__xludf.DUMMYFUNCTION("""COMPUTED_VALUE"""),13.33)</f>
        <v>13.33</v>
      </c>
      <c r="U515" s="3" t="e">
        <f ca="1"/>
        <v>#NAME?</v>
      </c>
    </row>
    <row r="516" spans="3:21" ht="12.5" x14ac:dyDescent="0.25">
      <c r="C516" s="4">
        <f ca="1">IFERROR(__xludf.DUMMYFUNCTION("""COMPUTED_VALUE"""),40773.9986111111)</f>
        <v>40773.998611111099</v>
      </c>
      <c r="D516" s="2">
        <f ca="1">IFERROR(__xludf.DUMMYFUNCTION("""COMPUTED_VALUE"""),45.71)</f>
        <v>45.71</v>
      </c>
      <c r="E516" s="2">
        <f ca="1">IFERROR(__xludf.DUMMYFUNCTION("""COMPUTED_VALUE"""),68.543)</f>
        <v>68.543000000000006</v>
      </c>
      <c r="F516" s="2">
        <f ca="1">IFERROR(__xludf.DUMMYFUNCTION("""COMPUTED_VALUE"""),75.266)</f>
        <v>75.266000000000005</v>
      </c>
      <c r="G516" s="2">
        <f ca="1">IFERROR(__xludf.DUMMYFUNCTION("""COMPUTED_VALUE"""),0.65329)</f>
        <v>0.65329000000000004</v>
      </c>
      <c r="H516" s="2">
        <f ca="1">IFERROR(__xludf.DUMMYFUNCTION("""COMPUTED_VALUE"""),51.285)</f>
        <v>51.284999999999997</v>
      </c>
      <c r="I516" s="2">
        <f ca="1">IFERROR(__xludf.DUMMYFUNCTION("""COMPUTED_VALUE"""),49.447)</f>
        <v>49.447000000000003</v>
      </c>
      <c r="J516" s="2">
        <f ca="1">IFERROR(__xludf.DUMMYFUNCTION("""COMPUTED_VALUE"""),38.983)</f>
        <v>38.982999999999997</v>
      </c>
      <c r="K516" s="2">
        <f ca="1">IFERROR(__xludf.DUMMYFUNCTION("""COMPUTED_VALUE"""),54.969)</f>
        <v>54.969000000000001</v>
      </c>
      <c r="L516" s="2">
        <f ca="1">IFERROR(__xludf.DUMMYFUNCTION("""COMPUTED_VALUE"""),9.3044)</f>
        <v>9.3043999999999993</v>
      </c>
      <c r="M516" s="2">
        <f ca="1">IFERROR(__xludf.DUMMYFUNCTION("""COMPUTED_VALUE"""),13.311)</f>
        <v>13.311</v>
      </c>
      <c r="U516" s="3" t="e">
        <f ca="1"/>
        <v>#NAME?</v>
      </c>
    </row>
    <row r="517" spans="3:21" ht="12.5" x14ac:dyDescent="0.25">
      <c r="C517" s="4">
        <f ca="1">IFERROR(__xludf.DUMMYFUNCTION("""COMPUTED_VALUE"""),40774.9986111111)</f>
        <v>40774.998611111099</v>
      </c>
      <c r="D517" s="2">
        <f ca="1">IFERROR(__xludf.DUMMYFUNCTION("""COMPUTED_VALUE"""),45.61)</f>
        <v>45.61</v>
      </c>
      <c r="E517" s="2">
        <f ca="1">IFERROR(__xludf.DUMMYFUNCTION("""COMPUTED_VALUE"""),68.322)</f>
        <v>68.322000000000003</v>
      </c>
      <c r="F517" s="2">
        <f ca="1">IFERROR(__xludf.DUMMYFUNCTION("""COMPUTED_VALUE"""),75.462)</f>
        <v>75.462000000000003</v>
      </c>
      <c r="G517" s="2">
        <f ca="1">IFERROR(__xludf.DUMMYFUNCTION("""COMPUTED_VALUE"""),0.65666)</f>
        <v>0.65666000000000002</v>
      </c>
      <c r="H517" s="2">
        <f ca="1">IFERROR(__xludf.DUMMYFUNCTION("""COMPUTED_VALUE"""),51.261)</f>
        <v>51.261000000000003</v>
      </c>
      <c r="I517" s="2">
        <f ca="1">IFERROR(__xludf.DUMMYFUNCTION("""COMPUTED_VALUE"""),49.378)</f>
        <v>49.378</v>
      </c>
      <c r="J517" s="2">
        <f ca="1">IFERROR(__xludf.DUMMYFUNCTION("""COMPUTED_VALUE"""),39.084)</f>
        <v>39.084000000000003</v>
      </c>
      <c r="K517" s="2">
        <f ca="1">IFERROR(__xludf.DUMMYFUNCTION("""COMPUTED_VALUE"""),54.884)</f>
        <v>54.884</v>
      </c>
      <c r="L517" s="2">
        <f ca="1">IFERROR(__xludf.DUMMYFUNCTION("""COMPUTED_VALUE"""),9.2769)</f>
        <v>9.2768999999999995</v>
      </c>
      <c r="M517" s="2">
        <f ca="1">IFERROR(__xludf.DUMMYFUNCTION("""COMPUTED_VALUE"""),13.29)</f>
        <v>13.29</v>
      </c>
      <c r="U517" s="3" t="e">
        <f ca="1"/>
        <v>#NAME?</v>
      </c>
    </row>
    <row r="518" spans="3:21" ht="12.5" x14ac:dyDescent="0.25">
      <c r="C518" s="4">
        <f ca="1">IFERROR(__xludf.DUMMYFUNCTION("""COMPUTED_VALUE"""),40775.9986111111)</f>
        <v>40775.998611111099</v>
      </c>
      <c r="D518" s="2">
        <f ca="1">IFERROR(__xludf.DUMMYFUNCTION("""COMPUTED_VALUE"""),45.663)</f>
        <v>45.662999999999997</v>
      </c>
      <c r="E518" s="2">
        <f ca="1">IFERROR(__xludf.DUMMYFUNCTION("""COMPUTED_VALUE"""),68.313)</f>
        <v>68.313000000000002</v>
      </c>
      <c r="F518" s="2">
        <f ca="1">IFERROR(__xludf.DUMMYFUNCTION("""COMPUTED_VALUE"""),75.547)</f>
        <v>75.546999999999997</v>
      </c>
      <c r="G518" s="2">
        <f ca="1">IFERROR(__xludf.DUMMYFUNCTION("""COMPUTED_VALUE"""),0.65708)</f>
        <v>0.65708</v>
      </c>
      <c r="H518" s="2">
        <f ca="1">IFERROR(__xludf.DUMMYFUNCTION("""COMPUTED_VALUE"""),51.29)</f>
        <v>51.29</v>
      </c>
      <c r="I518" s="2">
        <f ca="1">IFERROR(__xludf.DUMMYFUNCTION("""COMPUTED_VALUE"""),49.57)</f>
        <v>49.57</v>
      </c>
      <c r="J518" s="2">
        <f ca="1">IFERROR(__xludf.DUMMYFUNCTION("""COMPUTED_VALUE"""),39.174)</f>
        <v>39.173999999999999</v>
      </c>
      <c r="K518" s="2">
        <f ca="1">IFERROR(__xludf.DUMMYFUNCTION("""COMPUTED_VALUE"""),54.787)</f>
        <v>54.786999999999999</v>
      </c>
      <c r="L518" s="2">
        <f ca="1">IFERROR(__xludf.DUMMYFUNCTION("""COMPUTED_VALUE"""),9.3456)</f>
        <v>9.3455999999999992</v>
      </c>
      <c r="M518" s="2">
        <f ca="1">IFERROR(__xludf.DUMMYFUNCTION("""COMPUTED_VALUE"""),13.406)</f>
        <v>13.406000000000001</v>
      </c>
      <c r="U518" s="3" t="e">
        <f ca="1"/>
        <v>#NAME?</v>
      </c>
    </row>
    <row r="519" spans="3:21" ht="12.5" x14ac:dyDescent="0.25">
      <c r="C519" s="4">
        <f ca="1">IFERROR(__xludf.DUMMYFUNCTION("""COMPUTED_VALUE"""),40777.9986111111)</f>
        <v>40777.998611111099</v>
      </c>
      <c r="D519" s="2">
        <f ca="1">IFERROR(__xludf.DUMMYFUNCTION("""COMPUTED_VALUE"""),45.61)</f>
        <v>45.61</v>
      </c>
      <c r="E519" s="2">
        <f ca="1">IFERROR(__xludf.DUMMYFUNCTION("""COMPUTED_VALUE"""),68.824)</f>
        <v>68.823999999999998</v>
      </c>
      <c r="F519" s="2">
        <f ca="1">IFERROR(__xludf.DUMMYFUNCTION("""COMPUTED_VALUE"""),75.111)</f>
        <v>75.111000000000004</v>
      </c>
      <c r="G519" s="2">
        <f ca="1">IFERROR(__xludf.DUMMYFUNCTION("""COMPUTED_VALUE"""),0.66111)</f>
        <v>0.66110999999999998</v>
      </c>
      <c r="H519" s="2">
        <f ca="1">IFERROR(__xludf.DUMMYFUNCTION("""COMPUTED_VALUE"""),51.172)</f>
        <v>51.171999999999997</v>
      </c>
      <c r="I519" s="2">
        <f ca="1">IFERROR(__xludf.DUMMYFUNCTION("""COMPUTED_VALUE"""),49.773)</f>
        <v>49.773000000000003</v>
      </c>
      <c r="J519" s="2">
        <f ca="1">IFERROR(__xludf.DUMMYFUNCTION("""COMPUTED_VALUE"""),39.359)</f>
        <v>39.359000000000002</v>
      </c>
      <c r="K519" s="2">
        <f ca="1">IFERROR(__xludf.DUMMYFUNCTION("""COMPUTED_VALUE"""),54.858)</f>
        <v>54.857999999999997</v>
      </c>
      <c r="L519" s="2">
        <f ca="1">IFERROR(__xludf.DUMMYFUNCTION("""COMPUTED_VALUE"""),9.3566)</f>
        <v>9.3566000000000003</v>
      </c>
      <c r="M519" s="2">
        <f ca="1">IFERROR(__xludf.DUMMYFUNCTION("""COMPUTED_VALUE"""),13.316)</f>
        <v>13.316000000000001</v>
      </c>
      <c r="U519" s="3" t="e">
        <f ca="1"/>
        <v>#NAME?</v>
      </c>
    </row>
    <row r="520" spans="3:21" ht="12.5" x14ac:dyDescent="0.25">
      <c r="C520" s="4">
        <f ca="1">IFERROR(__xludf.DUMMYFUNCTION("""COMPUTED_VALUE"""),40778.9986111111)</f>
        <v>40778.998611111099</v>
      </c>
      <c r="D520" s="2">
        <f ca="1">IFERROR(__xludf.DUMMYFUNCTION("""COMPUTED_VALUE"""),45.54)</f>
        <v>45.54</v>
      </c>
      <c r="E520" s="2">
        <f ca="1">IFERROR(__xludf.DUMMYFUNCTION("""COMPUTED_VALUE"""),69.181)</f>
        <v>69.180999999999997</v>
      </c>
      <c r="F520" s="2">
        <f ca="1">IFERROR(__xludf.DUMMYFUNCTION("""COMPUTED_VALUE"""),75.061)</f>
        <v>75.061000000000007</v>
      </c>
      <c r="G520" s="2">
        <f ca="1">IFERROR(__xludf.DUMMYFUNCTION("""COMPUTED_VALUE"""),0.66514)</f>
        <v>0.66513999999999995</v>
      </c>
      <c r="H520" s="2">
        <f ca="1">IFERROR(__xludf.DUMMYFUNCTION("""COMPUTED_VALUE"""),51.35)</f>
        <v>51.35</v>
      </c>
      <c r="I520" s="2">
        <f ca="1">IFERROR(__xludf.DUMMYFUNCTION("""COMPUTED_VALUE"""),49.857)</f>
        <v>49.856999999999999</v>
      </c>
      <c r="J520" s="2">
        <f ca="1">IFERROR(__xludf.DUMMYFUNCTION("""COMPUTED_VALUE"""),39.468)</f>
        <v>39.468000000000004</v>
      </c>
      <c r="K520" s="2">
        <f ca="1">IFERROR(__xludf.DUMMYFUNCTION("""COMPUTED_VALUE"""),55.859)</f>
        <v>55.859000000000002</v>
      </c>
      <c r="L520" s="2">
        <f ca="1">IFERROR(__xludf.DUMMYFUNCTION("""COMPUTED_VALUE"""),9.3761)</f>
        <v>9.3760999999999992</v>
      </c>
      <c r="M520" s="2">
        <f ca="1">IFERROR(__xludf.DUMMYFUNCTION("""COMPUTED_VALUE"""),13.395)</f>
        <v>13.395</v>
      </c>
      <c r="U520" s="3" t="e">
        <f ca="1"/>
        <v>#NAME?</v>
      </c>
    </row>
    <row r="521" spans="3:21" ht="12.5" x14ac:dyDescent="0.25">
      <c r="C521" s="4">
        <f ca="1">IFERROR(__xludf.DUMMYFUNCTION("""COMPUTED_VALUE"""),40779.9986111111)</f>
        <v>40779.998611111099</v>
      </c>
      <c r="D521" s="2">
        <f ca="1">IFERROR(__xludf.DUMMYFUNCTION("""COMPUTED_VALUE"""),45.94)</f>
        <v>45.94</v>
      </c>
      <c r="E521" s="2">
        <f ca="1">IFERROR(__xludf.DUMMYFUNCTION("""COMPUTED_VALUE"""),69.188)</f>
        <v>69.188000000000002</v>
      </c>
      <c r="F521" s="2">
        <f ca="1">IFERROR(__xludf.DUMMYFUNCTION("""COMPUTED_VALUE"""),75.188)</f>
        <v>75.188000000000002</v>
      </c>
      <c r="G521" s="2">
        <f ca="1">IFERROR(__xludf.DUMMYFUNCTION("""COMPUTED_VALUE"""),0.66517)</f>
        <v>0.66517000000000004</v>
      </c>
      <c r="H521" s="2">
        <f ca="1">IFERROR(__xludf.DUMMYFUNCTION("""COMPUTED_VALUE"""),51.214)</f>
        <v>51.213999999999999</v>
      </c>
      <c r="I521" s="2">
        <f ca="1">IFERROR(__xludf.DUMMYFUNCTION("""COMPUTED_VALUE"""),49.869)</f>
        <v>49.869</v>
      </c>
      <c r="J521" s="2">
        <f ca="1">IFERROR(__xludf.DUMMYFUNCTION("""COMPUTED_VALUE"""),39.475)</f>
        <v>39.475000000000001</v>
      </c>
      <c r="K521" s="2">
        <f ca="1">IFERROR(__xludf.DUMMYFUNCTION("""COMPUTED_VALUE"""),56.019)</f>
        <v>56.018999999999998</v>
      </c>
      <c r="L521" s="2">
        <f ca="1">IFERROR(__xludf.DUMMYFUNCTION("""COMPUTED_VALUE"""),9.3442)</f>
        <v>9.3442000000000007</v>
      </c>
      <c r="M521" s="2">
        <f ca="1">IFERROR(__xludf.DUMMYFUNCTION("""COMPUTED_VALUE"""),13.3)</f>
        <v>13.3</v>
      </c>
      <c r="U521" s="3" t="e">
        <f ca="1"/>
        <v>#NAME?</v>
      </c>
    </row>
    <row r="522" spans="3:21" ht="12.5" x14ac:dyDescent="0.25">
      <c r="C522" s="4">
        <f ca="1">IFERROR(__xludf.DUMMYFUNCTION("""COMPUTED_VALUE"""),40780.9986111111)</f>
        <v>40780.998611111099</v>
      </c>
      <c r="D522" s="2">
        <f ca="1">IFERROR(__xludf.DUMMYFUNCTION("""COMPUTED_VALUE"""),46.01)</f>
        <v>46.01</v>
      </c>
      <c r="E522" s="2">
        <f ca="1">IFERROR(__xludf.DUMMYFUNCTION("""COMPUTED_VALUE"""),70.334)</f>
        <v>70.334000000000003</v>
      </c>
      <c r="F522" s="2">
        <f ca="1">IFERROR(__xludf.DUMMYFUNCTION("""COMPUTED_VALUE"""),74.937)</f>
        <v>74.936999999999998</v>
      </c>
      <c r="G522" s="2">
        <f ca="1">IFERROR(__xludf.DUMMYFUNCTION("""COMPUTED_VALUE"""),0.67569)</f>
        <v>0.67569000000000001</v>
      </c>
      <c r="H522" s="2">
        <f ca="1">IFERROR(__xludf.DUMMYFUNCTION("""COMPUTED_VALUE"""),51.185)</f>
        <v>51.185000000000002</v>
      </c>
      <c r="I522" s="2">
        <f ca="1">IFERROR(__xludf.DUMMYFUNCTION("""COMPUTED_VALUE"""),50.067)</f>
        <v>50.067</v>
      </c>
      <c r="J522" s="2">
        <f ca="1">IFERROR(__xludf.DUMMYFUNCTION("""COMPUTED_VALUE"""),39.922)</f>
        <v>39.921999999999997</v>
      </c>
      <c r="K522" s="2">
        <f ca="1">IFERROR(__xludf.DUMMYFUNCTION("""COMPUTED_VALUE"""),56.327)</f>
        <v>56.326999999999998</v>
      </c>
      <c r="L522" s="2">
        <f ca="1">IFERROR(__xludf.DUMMYFUNCTION("""COMPUTED_VALUE"""),9.3554)</f>
        <v>9.3553999999999995</v>
      </c>
      <c r="M522" s="2">
        <f ca="1">IFERROR(__xludf.DUMMYFUNCTION("""COMPUTED_VALUE"""),13.311)</f>
        <v>13.311</v>
      </c>
      <c r="U522" s="3" t="e">
        <f ca="1"/>
        <v>#NAME?</v>
      </c>
    </row>
    <row r="523" spans="3:21" ht="12.5" x14ac:dyDescent="0.25">
      <c r="C523" s="4">
        <f ca="1">IFERROR(__xludf.DUMMYFUNCTION("""COMPUTED_VALUE"""),40781.9986111111)</f>
        <v>40781.998611111099</v>
      </c>
      <c r="D523" s="2">
        <f ca="1">IFERROR(__xludf.DUMMYFUNCTION("""COMPUTED_VALUE"""),46.1)</f>
        <v>46.1</v>
      </c>
      <c r="E523" s="2">
        <f ca="1">IFERROR(__xludf.DUMMYFUNCTION("""COMPUTED_VALUE"""),70.786)</f>
        <v>70.786000000000001</v>
      </c>
      <c r="F523" s="2">
        <f ca="1">IFERROR(__xludf.DUMMYFUNCTION("""COMPUTED_VALUE"""),75.369)</f>
        <v>75.369</v>
      </c>
      <c r="G523" s="2">
        <f ca="1">IFERROR(__xludf.DUMMYFUNCTION("""COMPUTED_VALUE"""),0.68037)</f>
        <v>0.68037000000000003</v>
      </c>
      <c r="H523" s="2">
        <f ca="1">IFERROR(__xludf.DUMMYFUNCTION("""COMPUTED_VALUE"""),51.546)</f>
        <v>51.545999999999999</v>
      </c>
      <c r="I523" s="2">
        <f ca="1">IFERROR(__xludf.DUMMYFUNCTION("""COMPUTED_VALUE"""),50.548)</f>
        <v>50.548000000000002</v>
      </c>
      <c r="J523" s="2">
        <f ca="1">IFERROR(__xludf.DUMMYFUNCTION("""COMPUTED_VALUE"""),40.267)</f>
        <v>40.267000000000003</v>
      </c>
      <c r="K523" s="2">
        <f ca="1">IFERROR(__xludf.DUMMYFUNCTION("""COMPUTED_VALUE"""),57.31)</f>
        <v>57.31</v>
      </c>
      <c r="L523" s="2">
        <f ca="1">IFERROR(__xludf.DUMMYFUNCTION("""COMPUTED_VALUE"""),9.3554)</f>
        <v>9.3553999999999995</v>
      </c>
      <c r="M523" s="2">
        <f ca="1">IFERROR(__xludf.DUMMYFUNCTION("""COMPUTED_VALUE"""),13.311)</f>
        <v>13.311</v>
      </c>
      <c r="U523" s="3" t="e">
        <f ca="1"/>
        <v>#NAME?</v>
      </c>
    </row>
    <row r="524" spans="3:21" ht="12.5" x14ac:dyDescent="0.25">
      <c r="C524" s="4">
        <f ca="1">IFERROR(__xludf.DUMMYFUNCTION("""COMPUTED_VALUE"""),40782.9986111111)</f>
        <v>40782.998611111099</v>
      </c>
      <c r="D524" s="2">
        <f ca="1">IFERROR(__xludf.DUMMYFUNCTION("""COMPUTED_VALUE"""),46.153)</f>
        <v>46.152999999999999</v>
      </c>
      <c r="E524" s="2">
        <f ca="1">IFERROR(__xludf.DUMMYFUNCTION("""COMPUTED_VALUE"""),69.696)</f>
        <v>69.695999999999998</v>
      </c>
      <c r="F524" s="2">
        <f ca="1">IFERROR(__xludf.DUMMYFUNCTION("""COMPUTED_VALUE"""),75.181)</f>
        <v>75.180999999999997</v>
      </c>
      <c r="G524" s="2">
        <f ca="1">IFERROR(__xludf.DUMMYFUNCTION("""COMPUTED_VALUE"""),0.67435)</f>
        <v>0.67435</v>
      </c>
      <c r="H524" s="2">
        <f ca="1">IFERROR(__xludf.DUMMYFUNCTION("""COMPUTED_VALUE"""),50.565)</f>
        <v>50.564999999999998</v>
      </c>
      <c r="I524" s="2">
        <f ca="1">IFERROR(__xludf.DUMMYFUNCTION("""COMPUTED_VALUE"""),49.765)</f>
        <v>49.765000000000001</v>
      </c>
      <c r="J524" s="2">
        <f ca="1">IFERROR(__xludf.DUMMYFUNCTION("""COMPUTED_VALUE"""),39.833)</f>
        <v>39.832999999999998</v>
      </c>
      <c r="K524" s="2">
        <f ca="1">IFERROR(__xludf.DUMMYFUNCTION("""COMPUTED_VALUE"""),57.779)</f>
        <v>57.779000000000003</v>
      </c>
      <c r="L524" s="2">
        <f ca="1">IFERROR(__xludf.DUMMYFUNCTION("""COMPUTED_VALUE"""),9.3712)</f>
        <v>9.3712</v>
      </c>
      <c r="M524" s="2">
        <f ca="1">IFERROR(__xludf.DUMMYFUNCTION("""COMPUTED_VALUE"""),13.313)</f>
        <v>13.313000000000001</v>
      </c>
      <c r="U524" s="3" t="e">
        <f ca="1"/>
        <v>#NAME?</v>
      </c>
    </row>
    <row r="525" spans="3:21" ht="12.5" x14ac:dyDescent="0.25">
      <c r="C525" s="4">
        <f ca="1">IFERROR(__xludf.DUMMYFUNCTION("""COMPUTED_VALUE"""),40784.9986111111)</f>
        <v>40784.998611111099</v>
      </c>
      <c r="D525" s="2">
        <f ca="1">IFERROR(__xludf.DUMMYFUNCTION("""COMPUTED_VALUE"""),45.85)</f>
        <v>45.85</v>
      </c>
      <c r="E525" s="2">
        <f ca="1">IFERROR(__xludf.DUMMYFUNCTION("""COMPUTED_VALUE"""),69.38)</f>
        <v>69.38</v>
      </c>
      <c r="F525" s="2">
        <f ca="1">IFERROR(__xludf.DUMMYFUNCTION("""COMPUTED_VALUE"""),75.137)</f>
        <v>75.137</v>
      </c>
      <c r="G525" s="2">
        <f ca="1">IFERROR(__xludf.DUMMYFUNCTION("""COMPUTED_VALUE"""),0.67464)</f>
        <v>0.67464000000000002</v>
      </c>
      <c r="H525" s="2">
        <f ca="1">IFERROR(__xludf.DUMMYFUNCTION("""COMPUTED_VALUE"""),50.637)</f>
        <v>50.637</v>
      </c>
      <c r="I525" s="2">
        <f ca="1">IFERROR(__xludf.DUMMYFUNCTION("""COMPUTED_VALUE"""),49.664)</f>
        <v>49.664000000000001</v>
      </c>
      <c r="J525" s="2">
        <f ca="1">IFERROR(__xludf.DUMMYFUNCTION("""COMPUTED_VALUE"""),39.754)</f>
        <v>39.753999999999998</v>
      </c>
      <c r="K525" s="2">
        <f ca="1">IFERROR(__xludf.DUMMYFUNCTION("""COMPUTED_VALUE"""),57.974)</f>
        <v>57.973999999999997</v>
      </c>
      <c r="L525" s="2">
        <f ca="1">IFERROR(__xludf.DUMMYFUNCTION("""COMPUTED_VALUE"""),9.3767)</f>
        <v>9.3766999999999996</v>
      </c>
      <c r="M525" s="2">
        <f ca="1">IFERROR(__xludf.DUMMYFUNCTION("""COMPUTED_VALUE"""),13.406)</f>
        <v>13.406000000000001</v>
      </c>
      <c r="U525" s="3" t="e">
        <f ca="1"/>
        <v>#NAME?</v>
      </c>
    </row>
    <row r="526" spans="3:21" ht="12.5" x14ac:dyDescent="0.25">
      <c r="C526" s="4">
        <f ca="1">IFERROR(__xludf.DUMMYFUNCTION("""COMPUTED_VALUE"""),40785.9986111111)</f>
        <v>40785.998611111099</v>
      </c>
      <c r="D526" s="2">
        <f ca="1">IFERROR(__xludf.DUMMYFUNCTION("""COMPUTED_VALUE"""),45.94)</f>
        <v>45.94</v>
      </c>
      <c r="E526" s="2">
        <f ca="1">IFERROR(__xludf.DUMMYFUNCTION("""COMPUTED_VALUE"""),69.104)</f>
        <v>69.103999999999999</v>
      </c>
      <c r="F526" s="2">
        <f ca="1">IFERROR(__xludf.DUMMYFUNCTION("""COMPUTED_VALUE"""),74.854)</f>
        <v>74.853999999999999</v>
      </c>
      <c r="G526" s="2">
        <f ca="1">IFERROR(__xludf.DUMMYFUNCTION("""COMPUTED_VALUE"""),0.67181)</f>
        <v>0.67181000000000002</v>
      </c>
      <c r="H526" s="2">
        <f ca="1">IFERROR(__xludf.DUMMYFUNCTION("""COMPUTED_VALUE"""),50.799)</f>
        <v>50.798999999999999</v>
      </c>
      <c r="I526" s="2">
        <f ca="1">IFERROR(__xludf.DUMMYFUNCTION("""COMPUTED_VALUE"""),49.76)</f>
        <v>49.76</v>
      </c>
      <c r="J526" s="2">
        <f ca="1">IFERROR(__xludf.DUMMYFUNCTION("""COMPUTED_VALUE"""),39.765)</f>
        <v>39.765000000000001</v>
      </c>
      <c r="K526" s="2">
        <f ca="1">IFERROR(__xludf.DUMMYFUNCTION("""COMPUTED_VALUE"""),58.696)</f>
        <v>58.695999999999998</v>
      </c>
      <c r="L526" s="2">
        <f ca="1">IFERROR(__xludf.DUMMYFUNCTION("""COMPUTED_VALUE"""),9.3785)</f>
        <v>9.3785000000000007</v>
      </c>
      <c r="M526" s="2">
        <f ca="1">IFERROR(__xludf.DUMMYFUNCTION("""COMPUTED_VALUE"""),13.343)</f>
        <v>13.343</v>
      </c>
      <c r="U526" s="3" t="e">
        <f ca="1"/>
        <v>#NAME?</v>
      </c>
    </row>
    <row r="527" spans="3:21" ht="12.5" x14ac:dyDescent="0.25">
      <c r="C527" s="4">
        <f ca="1">IFERROR(__xludf.DUMMYFUNCTION("""COMPUTED_VALUE"""),40786.9986111111)</f>
        <v>40786.998611111099</v>
      </c>
      <c r="D527" s="2">
        <f ca="1">IFERROR(__xludf.DUMMYFUNCTION("""COMPUTED_VALUE"""),45.74)</f>
        <v>45.74</v>
      </c>
      <c r="E527" s="2">
        <f ca="1">IFERROR(__xludf.DUMMYFUNCTION("""COMPUTED_VALUE"""),69.096)</f>
        <v>69.096000000000004</v>
      </c>
      <c r="F527" s="2">
        <f ca="1">IFERROR(__xludf.DUMMYFUNCTION("""COMPUTED_VALUE"""),74.337)</f>
        <v>74.337000000000003</v>
      </c>
      <c r="G527" s="2">
        <f ca="1">IFERROR(__xludf.DUMMYFUNCTION("""COMPUTED_VALUE"""),0.67188)</f>
        <v>0.67188000000000003</v>
      </c>
      <c r="H527" s="2">
        <f ca="1">IFERROR(__xludf.DUMMYFUNCTION("""COMPUTED_VALUE"""),50.769)</f>
        <v>50.768999999999998</v>
      </c>
      <c r="I527" s="2">
        <f ca="1">IFERROR(__xludf.DUMMYFUNCTION("""COMPUTED_VALUE"""),49.734)</f>
        <v>49.734000000000002</v>
      </c>
      <c r="J527" s="2">
        <f ca="1">IFERROR(__xludf.DUMMYFUNCTION("""COMPUTED_VALUE"""),39.758)</f>
        <v>39.758000000000003</v>
      </c>
      <c r="K527" s="2">
        <f ca="1">IFERROR(__xludf.DUMMYFUNCTION("""COMPUTED_VALUE"""),58.766)</f>
        <v>58.765999999999998</v>
      </c>
      <c r="L527" s="2">
        <f ca="1">IFERROR(__xludf.DUMMYFUNCTION("""COMPUTED_VALUE"""),9.4068)</f>
        <v>9.4068000000000005</v>
      </c>
      <c r="M527" s="2">
        <f ca="1">IFERROR(__xludf.DUMMYFUNCTION("""COMPUTED_VALUE"""),13.575)</f>
        <v>13.574999999999999</v>
      </c>
      <c r="U527" s="3" t="e">
        <f ca="1"/>
        <v>#NAME?</v>
      </c>
    </row>
    <row r="528" spans="3:21" ht="12.5" x14ac:dyDescent="0.25">
      <c r="C528" s="4">
        <f ca="1">IFERROR(__xludf.DUMMYFUNCTION("""COMPUTED_VALUE"""),40787.9986111111)</f>
        <v>40787.998611111099</v>
      </c>
      <c r="D528" s="2">
        <f ca="1">IFERROR(__xludf.DUMMYFUNCTION("""COMPUTED_VALUE"""),45.7)</f>
        <v>45.7</v>
      </c>
      <c r="E528" s="2">
        <f ca="1">IFERROR(__xludf.DUMMYFUNCTION("""COMPUTED_VALUE"""),69.096)</f>
        <v>69.096000000000004</v>
      </c>
      <c r="F528" s="2">
        <f ca="1">IFERROR(__xludf.DUMMYFUNCTION("""COMPUTED_VALUE"""),73.972)</f>
        <v>73.971999999999994</v>
      </c>
      <c r="G528" s="2">
        <f ca="1">IFERROR(__xludf.DUMMYFUNCTION("""COMPUTED_VALUE"""),0.67142)</f>
        <v>0.67142000000000002</v>
      </c>
      <c r="H528" s="2">
        <f ca="1">IFERROR(__xludf.DUMMYFUNCTION("""COMPUTED_VALUE"""),50.7)</f>
        <v>50.7</v>
      </c>
      <c r="I528" s="2">
        <f ca="1">IFERROR(__xludf.DUMMYFUNCTION("""COMPUTED_VALUE"""),49.734)</f>
        <v>49.734000000000002</v>
      </c>
      <c r="J528" s="2">
        <f ca="1">IFERROR(__xludf.DUMMYFUNCTION("""COMPUTED_VALUE"""),39.758)</f>
        <v>39.758000000000003</v>
      </c>
      <c r="K528" s="2">
        <f ca="1">IFERROR(__xludf.DUMMYFUNCTION("""COMPUTED_VALUE"""),59.427)</f>
        <v>59.427</v>
      </c>
      <c r="L528" s="2">
        <f ca="1">IFERROR(__xludf.DUMMYFUNCTION("""COMPUTED_VALUE"""),9.3564)</f>
        <v>9.3564000000000007</v>
      </c>
      <c r="M528" s="2">
        <f ca="1">IFERROR(__xludf.DUMMYFUNCTION("""COMPUTED_VALUE"""),13.531)</f>
        <v>13.531000000000001</v>
      </c>
      <c r="U528" s="3" t="e">
        <f ca="1"/>
        <v>#NAME?</v>
      </c>
    </row>
    <row r="529" spans="3:21" ht="12.5" x14ac:dyDescent="0.25">
      <c r="C529" s="4">
        <f ca="1">IFERROR(__xludf.DUMMYFUNCTION("""COMPUTED_VALUE"""),40788.9986111111)</f>
        <v>40788.998611111099</v>
      </c>
      <c r="D529" s="2">
        <f ca="1">IFERROR(__xludf.DUMMYFUNCTION("""COMPUTED_VALUE"""),45.71)</f>
        <v>45.71</v>
      </c>
      <c r="E529" s="2">
        <f ca="1">IFERROR(__xludf.DUMMYFUNCTION("""COMPUTED_VALUE"""),68.4731)</f>
        <v>68.473100000000002</v>
      </c>
      <c r="F529" s="2">
        <f ca="1">IFERROR(__xludf.DUMMYFUNCTION("""COMPUTED_VALUE"""),74.091)</f>
        <v>74.090999999999994</v>
      </c>
      <c r="G529" s="2">
        <f ca="1">IFERROR(__xludf.DUMMYFUNCTION("""COMPUTED_VALUE"""),0.65963)</f>
        <v>0.65963000000000005</v>
      </c>
      <c r="H529" s="2">
        <f ca="1">IFERROR(__xludf.DUMMYFUNCTION("""COMPUTED_VALUE"""),50.939)</f>
        <v>50.939</v>
      </c>
      <c r="I529" s="2">
        <f ca="1">IFERROR(__xludf.DUMMYFUNCTION("""COMPUTED_VALUE"""),49.687)</f>
        <v>49.686999999999998</v>
      </c>
      <c r="J529" s="2">
        <f ca="1">IFERROR(__xludf.DUMMYFUNCTION("""COMPUTED_VALUE"""),39.514)</f>
        <v>39.514000000000003</v>
      </c>
      <c r="K529" s="2">
        <f ca="1">IFERROR(__xludf.DUMMYFUNCTION("""COMPUTED_VALUE"""),61.84)</f>
        <v>61.84</v>
      </c>
      <c r="L529" s="2">
        <f ca="1">IFERROR(__xludf.DUMMYFUNCTION("""COMPUTED_VALUE"""),9.3355)</f>
        <v>9.3354999999999997</v>
      </c>
      <c r="M529" s="2">
        <f ca="1">IFERROR(__xludf.DUMMYFUNCTION("""COMPUTED_VALUE"""),13.565)</f>
        <v>13.565</v>
      </c>
      <c r="U529" s="3" t="e">
        <f ca="1"/>
        <v>#NAME?</v>
      </c>
    </row>
    <row r="530" spans="3:21" ht="12.5" x14ac:dyDescent="0.25">
      <c r="C530" s="4">
        <f ca="1">IFERROR(__xludf.DUMMYFUNCTION("""COMPUTED_VALUE"""),40789.9986111111)</f>
        <v>40789.998611111099</v>
      </c>
      <c r="D530" s="2">
        <f ca="1">IFERROR(__xludf.DUMMYFUNCTION("""COMPUTED_VALUE"""),45.738)</f>
        <v>45.738</v>
      </c>
      <c r="E530" s="2">
        <f ca="1">IFERROR(__xludf.DUMMYFUNCTION("""COMPUTED_VALUE"""),69.169)</f>
        <v>69.168999999999997</v>
      </c>
      <c r="F530" s="2">
        <f ca="1">IFERROR(__xludf.DUMMYFUNCTION("""COMPUTED_VALUE"""),74.155)</f>
        <v>74.155000000000001</v>
      </c>
      <c r="G530" s="2">
        <f ca="1">IFERROR(__xludf.DUMMYFUNCTION("""COMPUTED_VALUE"""),0.66588)</f>
        <v>0.66588000000000003</v>
      </c>
      <c r="H530" s="2">
        <f ca="1">IFERROR(__xludf.DUMMYFUNCTION("""COMPUTED_VALUE"""),51.922)</f>
        <v>51.921999999999997</v>
      </c>
      <c r="I530" s="2">
        <f ca="1">IFERROR(__xludf.DUMMYFUNCTION("""COMPUTED_VALUE"""),50.335)</f>
        <v>50.335000000000001</v>
      </c>
      <c r="J530" s="2">
        <f ca="1">IFERROR(__xludf.DUMMYFUNCTION("""COMPUTED_VALUE"""),40.045)</f>
        <v>40.045000000000002</v>
      </c>
      <c r="K530" s="2">
        <f ca="1">IFERROR(__xludf.DUMMYFUNCTION("""COMPUTED_VALUE"""),61.974)</f>
        <v>61.973999999999997</v>
      </c>
      <c r="L530" s="2">
        <f ca="1">IFERROR(__xludf.DUMMYFUNCTION("""COMPUTED_VALUE"""),9.2943)</f>
        <v>9.2942999999999998</v>
      </c>
      <c r="M530" s="2">
        <f ca="1">IFERROR(__xludf.DUMMYFUNCTION("""COMPUTED_VALUE"""),13.565)</f>
        <v>13.565</v>
      </c>
      <c r="U530" s="3" t="e">
        <f ca="1"/>
        <v>#NAME?</v>
      </c>
    </row>
    <row r="531" spans="3:21" ht="12.5" x14ac:dyDescent="0.25">
      <c r="C531" s="4">
        <f ca="1">IFERROR(__xludf.DUMMYFUNCTION("""COMPUTED_VALUE"""),40791.9986111111)</f>
        <v>40791.998611111099</v>
      </c>
      <c r="D531" s="2">
        <f ca="1">IFERROR(__xludf.DUMMYFUNCTION("""COMPUTED_VALUE"""),45.984)</f>
        <v>45.984000000000002</v>
      </c>
      <c r="E531" s="2">
        <f ca="1">IFERROR(__xludf.DUMMYFUNCTION("""COMPUTED_VALUE"""),69.592)</f>
        <v>69.591999999999999</v>
      </c>
      <c r="F531" s="2">
        <f ca="1">IFERROR(__xludf.DUMMYFUNCTION("""COMPUTED_VALUE"""),74.172)</f>
        <v>74.171999999999997</v>
      </c>
      <c r="G531" s="2">
        <f ca="1">IFERROR(__xludf.DUMMYFUNCTION("""COMPUTED_VALUE"""),0.66685)</f>
        <v>0.66685000000000005</v>
      </c>
      <c r="H531" s="2">
        <f ca="1">IFERROR(__xludf.DUMMYFUNCTION("""COMPUTED_VALUE"""),53.013)</f>
        <v>53.012999999999998</v>
      </c>
      <c r="I531" s="2">
        <f ca="1">IFERROR(__xludf.DUMMYFUNCTION("""COMPUTED_VALUE"""),50.765)</f>
        <v>50.765000000000001</v>
      </c>
      <c r="J531" s="2">
        <f ca="1">IFERROR(__xludf.DUMMYFUNCTION("""COMPUTED_VALUE"""),40.338)</f>
        <v>40.338000000000001</v>
      </c>
      <c r="K531" s="2">
        <f ca="1">IFERROR(__xludf.DUMMYFUNCTION("""COMPUTED_VALUE"""),59.832)</f>
        <v>59.832000000000001</v>
      </c>
      <c r="L531" s="2">
        <f ca="1">IFERROR(__xludf.DUMMYFUNCTION("""COMPUTED_VALUE"""),9.2847)</f>
        <v>9.2847000000000008</v>
      </c>
      <c r="M531" s="2">
        <f ca="1">IFERROR(__xludf.DUMMYFUNCTION("""COMPUTED_VALUE"""),13.49)</f>
        <v>13.49</v>
      </c>
      <c r="U531" s="3" t="e">
        <f ca="1"/>
        <v>#NAME?</v>
      </c>
    </row>
    <row r="532" spans="3:21" ht="12.5" x14ac:dyDescent="0.25">
      <c r="C532" s="4">
        <f ca="1">IFERROR(__xludf.DUMMYFUNCTION("""COMPUTED_VALUE"""),40792.9986111111)</f>
        <v>40792.998611111099</v>
      </c>
      <c r="D532" s="2">
        <f ca="1">IFERROR(__xludf.DUMMYFUNCTION("""COMPUTED_VALUE"""),46.04)</f>
        <v>46.04</v>
      </c>
      <c r="E532" s="2">
        <f ca="1">IFERROR(__xludf.DUMMYFUNCTION("""COMPUTED_VALUE"""),69.174)</f>
        <v>69.174000000000007</v>
      </c>
      <c r="F532" s="2">
        <f ca="1">IFERROR(__xludf.DUMMYFUNCTION("""COMPUTED_VALUE"""),73.42)</f>
        <v>73.42</v>
      </c>
      <c r="G532" s="2">
        <f ca="1">IFERROR(__xludf.DUMMYFUNCTION("""COMPUTED_VALUE"""),0.66002)</f>
        <v>0.66002000000000005</v>
      </c>
      <c r="H532" s="2">
        <f ca="1">IFERROR(__xludf.DUMMYFUNCTION("""COMPUTED_VALUE"""),52.497)</f>
        <v>52.497</v>
      </c>
      <c r="I532" s="2">
        <f ca="1">IFERROR(__xludf.DUMMYFUNCTION("""COMPUTED_VALUE"""),50.577)</f>
        <v>50.576999999999998</v>
      </c>
      <c r="J532" s="2">
        <f ca="1">IFERROR(__xludf.DUMMYFUNCTION("""COMPUTED_VALUE"""),40.008)</f>
        <v>40.008000000000003</v>
      </c>
      <c r="K532" s="2">
        <f ca="1">IFERROR(__xludf.DUMMYFUNCTION("""COMPUTED_VALUE"""),57.578)</f>
        <v>57.578000000000003</v>
      </c>
      <c r="L532" s="2">
        <f ca="1">IFERROR(__xludf.DUMMYFUNCTION("""COMPUTED_VALUE"""),9.2809)</f>
        <v>9.2809000000000008</v>
      </c>
      <c r="M532" s="2">
        <f ca="1">IFERROR(__xludf.DUMMYFUNCTION("""COMPUTED_VALUE"""),13.452)</f>
        <v>13.452</v>
      </c>
      <c r="U532" s="3" t="e">
        <f ca="1"/>
        <v>#NAME?</v>
      </c>
    </row>
    <row r="533" spans="3:21" ht="12.5" x14ac:dyDescent="0.25">
      <c r="C533" s="4">
        <f ca="1">IFERROR(__xludf.DUMMYFUNCTION("""COMPUTED_VALUE"""),40793.9986111111)</f>
        <v>40793.998611111099</v>
      </c>
      <c r="D533" s="2">
        <f ca="1">IFERROR(__xludf.DUMMYFUNCTION("""COMPUTED_VALUE"""),46.04)</f>
        <v>46.04</v>
      </c>
      <c r="E533" s="2">
        <f ca="1">IFERROR(__xludf.DUMMYFUNCTION("""COMPUTED_VALUE"""),68.326)</f>
        <v>68.325999999999993</v>
      </c>
      <c r="F533" s="2">
        <f ca="1">IFERROR(__xludf.DUMMYFUNCTION("""COMPUTED_VALUE"""),73.616)</f>
        <v>73.616</v>
      </c>
      <c r="G533" s="2">
        <f ca="1">IFERROR(__xludf.DUMMYFUNCTION("""COMPUTED_VALUE"""),0.65512)</f>
        <v>0.65512000000000004</v>
      </c>
      <c r="H533" s="2">
        <f ca="1">IFERROR(__xludf.DUMMYFUNCTION("""COMPUTED_VALUE"""),52.184)</f>
        <v>52.183999999999997</v>
      </c>
      <c r="I533" s="2">
        <f ca="1">IFERROR(__xludf.DUMMYFUNCTION("""COMPUTED_VALUE"""),50.096)</f>
        <v>50.095999999999997</v>
      </c>
      <c r="J533" s="2">
        <f ca="1">IFERROR(__xludf.DUMMYFUNCTION("""COMPUTED_VALUE"""),39.74)</f>
        <v>39.74</v>
      </c>
      <c r="K533" s="2">
        <f ca="1">IFERROR(__xludf.DUMMYFUNCTION("""COMPUTED_VALUE"""),57.106)</f>
        <v>57.106000000000002</v>
      </c>
      <c r="L533" s="2">
        <f ca="1">IFERROR(__xludf.DUMMYFUNCTION("""COMPUTED_VALUE"""),9.2809)</f>
        <v>9.2809000000000008</v>
      </c>
      <c r="M533" s="2">
        <f ca="1">IFERROR(__xludf.DUMMYFUNCTION("""COMPUTED_VALUE"""),13.439)</f>
        <v>13.439</v>
      </c>
      <c r="U533" s="3" t="e">
        <f ca="1"/>
        <v>#NAME?</v>
      </c>
    </row>
    <row r="534" spans="3:21" ht="12.5" x14ac:dyDescent="0.25">
      <c r="C534" s="4">
        <f ca="1">IFERROR(__xludf.DUMMYFUNCTION("""COMPUTED_VALUE"""),40794.9986111111)</f>
        <v>40794.998611111099</v>
      </c>
      <c r="D534" s="2">
        <f ca="1">IFERROR(__xludf.DUMMYFUNCTION("""COMPUTED_VALUE"""),46.13)</f>
        <v>46.13</v>
      </c>
      <c r="E534" s="2">
        <f ca="1">IFERROR(__xludf.DUMMYFUNCTION("""COMPUTED_VALUE"""),67.9959)</f>
        <v>67.995900000000006</v>
      </c>
      <c r="F534" s="2">
        <f ca="1">IFERROR(__xludf.DUMMYFUNCTION("""COMPUTED_VALUE"""),73.864)</f>
        <v>73.864000000000004</v>
      </c>
      <c r="G534" s="2">
        <f ca="1">IFERROR(__xludf.DUMMYFUNCTION("""COMPUTED_VALUE"""),0.65043)</f>
        <v>0.65042999999999995</v>
      </c>
      <c r="H534" s="2">
        <f ca="1">IFERROR(__xludf.DUMMYFUNCTION("""COMPUTED_VALUE"""),51.716)</f>
        <v>51.716000000000001</v>
      </c>
      <c r="I534" s="2">
        <f ca="1">IFERROR(__xludf.DUMMYFUNCTION("""COMPUTED_VALUE"""),49.811)</f>
        <v>49.811</v>
      </c>
      <c r="J534" s="2">
        <f ca="1">IFERROR(__xludf.DUMMYFUNCTION("""COMPUTED_VALUE"""),39.482)</f>
        <v>39.481999999999999</v>
      </c>
      <c r="K534" s="2">
        <f ca="1">IFERROR(__xludf.DUMMYFUNCTION("""COMPUTED_VALUE"""),57.392)</f>
        <v>57.392000000000003</v>
      </c>
      <c r="L534" s="2">
        <f ca="1">IFERROR(__xludf.DUMMYFUNCTION("""COMPUTED_VALUE"""),9.3091)</f>
        <v>9.3091000000000008</v>
      </c>
      <c r="M534" s="2">
        <f ca="1">IFERROR(__xludf.DUMMYFUNCTION("""COMPUTED_VALUE"""),13.556)</f>
        <v>13.555999999999999</v>
      </c>
      <c r="U534" s="3" t="e">
        <f ca="1"/>
        <v>#NAME?</v>
      </c>
    </row>
    <row r="535" spans="3:21" ht="12.5" x14ac:dyDescent="0.25">
      <c r="C535" s="4">
        <f ca="1">IFERROR(__xludf.DUMMYFUNCTION("""COMPUTED_VALUE"""),40795.9986111111)</f>
        <v>40795.998611111099</v>
      </c>
      <c r="D535" s="2">
        <f ca="1">IFERROR(__xludf.DUMMYFUNCTION("""COMPUTED_VALUE"""),46.51)</f>
        <v>46.51</v>
      </c>
      <c r="E535" s="2">
        <f ca="1">IFERROR(__xludf.DUMMYFUNCTION("""COMPUTED_VALUE"""),68.33)</f>
        <v>68.33</v>
      </c>
      <c r="F535" s="2">
        <f ca="1">IFERROR(__xludf.DUMMYFUNCTION("""COMPUTED_VALUE"""),73.861)</f>
        <v>73.861000000000004</v>
      </c>
      <c r="G535" s="2">
        <f ca="1">IFERROR(__xludf.DUMMYFUNCTION("""COMPUTED_VALUE"""),0.6556)</f>
        <v>0.65559999999999996</v>
      </c>
      <c r="H535" s="2">
        <f ca="1">IFERROR(__xludf.DUMMYFUNCTION("""COMPUTED_VALUE"""),52.172)</f>
        <v>52.171999999999997</v>
      </c>
      <c r="I535" s="2">
        <f ca="1">IFERROR(__xludf.DUMMYFUNCTION("""COMPUTED_VALUE"""),50.228)</f>
        <v>50.228000000000002</v>
      </c>
      <c r="J535" s="2">
        <f ca="1">IFERROR(__xludf.DUMMYFUNCTION("""COMPUTED_VALUE"""),39.773)</f>
        <v>39.773000000000003</v>
      </c>
      <c r="K535" s="2">
        <f ca="1">IFERROR(__xludf.DUMMYFUNCTION("""COMPUTED_VALUE"""),57.716)</f>
        <v>57.716000000000001</v>
      </c>
      <c r="L535" s="2">
        <f ca="1">IFERROR(__xludf.DUMMYFUNCTION("""COMPUTED_VALUE"""),9.2967)</f>
        <v>9.2966999999999995</v>
      </c>
      <c r="M535" s="2">
        <f ca="1">IFERROR(__xludf.DUMMYFUNCTION("""COMPUTED_VALUE"""),13.232)</f>
        <v>13.231999999999999</v>
      </c>
      <c r="U535" s="3" t="e">
        <f ca="1"/>
        <v>#NAME?</v>
      </c>
    </row>
    <row r="536" spans="3:21" ht="12.5" x14ac:dyDescent="0.25">
      <c r="C536" s="4">
        <f ca="1">IFERROR(__xludf.DUMMYFUNCTION("""COMPUTED_VALUE"""),40797.9986111111)</f>
        <v>40797.998611111099</v>
      </c>
      <c r="D536" s="2">
        <f ca="1">IFERROR(__xludf.DUMMYFUNCTION("""COMPUTED_VALUE"""),46.643)</f>
        <v>46.643000000000001</v>
      </c>
      <c r="E536" s="2">
        <f ca="1">IFERROR(__xludf.DUMMYFUNCTION("""COMPUTED_VALUE"""),68.571)</f>
        <v>68.570999999999998</v>
      </c>
      <c r="F536" s="2">
        <f ca="1">IFERROR(__xludf.DUMMYFUNCTION("""COMPUTED_VALUE"""),74.081)</f>
        <v>74.081000000000003</v>
      </c>
      <c r="G536" s="2">
        <f ca="1">IFERROR(__xludf.DUMMYFUNCTION("""COMPUTED_VALUE"""),0.65831)</f>
        <v>0.65830999999999995</v>
      </c>
      <c r="H536" s="2">
        <f ca="1">IFERROR(__xludf.DUMMYFUNCTION("""COMPUTED_VALUE"""),52.539)</f>
        <v>52.539000000000001</v>
      </c>
      <c r="I536" s="2">
        <f ca="1">IFERROR(__xludf.DUMMYFUNCTION("""COMPUTED_VALUE"""),50.317)</f>
        <v>50.317</v>
      </c>
      <c r="J536" s="2">
        <f ca="1">IFERROR(__xludf.DUMMYFUNCTION("""COMPUTED_VALUE"""),39.958)</f>
        <v>39.957999999999998</v>
      </c>
      <c r="K536" s="2">
        <f ca="1">IFERROR(__xludf.DUMMYFUNCTION("""COMPUTED_VALUE"""),57.984)</f>
        <v>57.984000000000002</v>
      </c>
      <c r="L536" s="2">
        <f ca="1">IFERROR(__xludf.DUMMYFUNCTION("""COMPUTED_VALUE"""),9.2901)</f>
        <v>9.2901000000000007</v>
      </c>
      <c r="M536" s="2">
        <f ca="1">IFERROR(__xludf.DUMMYFUNCTION("""COMPUTED_VALUE"""),13.232)</f>
        <v>13.231999999999999</v>
      </c>
      <c r="U536" s="3" t="e">
        <f ca="1"/>
        <v>#NAME?</v>
      </c>
    </row>
    <row r="537" spans="3:21" ht="12.5" x14ac:dyDescent="0.25">
      <c r="C537" s="4">
        <f ca="1">IFERROR(__xludf.DUMMYFUNCTION("""COMPUTED_VALUE"""),40798.9986111111)</f>
        <v>40798.998611111099</v>
      </c>
      <c r="D537" s="2">
        <f ca="1">IFERROR(__xludf.DUMMYFUNCTION("""COMPUTED_VALUE"""),47.16)</f>
        <v>47.16</v>
      </c>
      <c r="E537" s="2">
        <f ca="1">IFERROR(__xludf.DUMMYFUNCTION("""COMPUTED_VALUE"""),68.63)</f>
        <v>68.63</v>
      </c>
      <c r="F537" s="2">
        <f ca="1">IFERROR(__xludf.DUMMYFUNCTION("""COMPUTED_VALUE"""),74.607)</f>
        <v>74.606999999999999</v>
      </c>
      <c r="G537" s="2">
        <f ca="1">IFERROR(__xludf.DUMMYFUNCTION("""COMPUTED_VALUE"""),0.65884)</f>
        <v>0.65883999999999998</v>
      </c>
      <c r="H537" s="2">
        <f ca="1">IFERROR(__xludf.DUMMYFUNCTION("""COMPUTED_VALUE"""),52.457)</f>
        <v>52.457000000000001</v>
      </c>
      <c r="I537" s="2">
        <f ca="1">IFERROR(__xludf.DUMMYFUNCTION("""COMPUTED_VALUE"""),50.725)</f>
        <v>50.725000000000001</v>
      </c>
      <c r="J537" s="2">
        <f ca="1">IFERROR(__xludf.DUMMYFUNCTION("""COMPUTED_VALUE"""),39.914)</f>
        <v>39.914000000000001</v>
      </c>
      <c r="K537" s="2">
        <f ca="1">IFERROR(__xludf.DUMMYFUNCTION("""COMPUTED_VALUE"""),58.043)</f>
        <v>58.042999999999999</v>
      </c>
      <c r="L537" s="2">
        <f ca="1">IFERROR(__xludf.DUMMYFUNCTION("""COMPUTED_VALUE"""),9.3012)</f>
        <v>9.3011999999999997</v>
      </c>
      <c r="M537" s="2">
        <f ca="1">IFERROR(__xludf.DUMMYFUNCTION("""COMPUTED_VALUE"""),13.239)</f>
        <v>13.239000000000001</v>
      </c>
      <c r="U537" s="3" t="e">
        <f ca="1"/>
        <v>#NAME?</v>
      </c>
    </row>
    <row r="538" spans="3:21" ht="12.5" x14ac:dyDescent="0.25">
      <c r="C538" s="4">
        <f ca="1">IFERROR(__xludf.DUMMYFUNCTION("""COMPUTED_VALUE"""),40799.9986111111)</f>
        <v>40799.998611111099</v>
      </c>
      <c r="D538" s="2">
        <f ca="1">IFERROR(__xludf.DUMMYFUNCTION("""COMPUTED_VALUE"""),47.46)</f>
        <v>47.46</v>
      </c>
      <c r="E538" s="2">
        <f ca="1">IFERROR(__xludf.DUMMYFUNCTION("""COMPUTED_VALUE"""),69.181)</f>
        <v>69.180999999999997</v>
      </c>
      <c r="F538" s="2">
        <f ca="1">IFERROR(__xludf.DUMMYFUNCTION("""COMPUTED_VALUE"""),75.078)</f>
        <v>75.078000000000003</v>
      </c>
      <c r="G538" s="2">
        <f ca="1">IFERROR(__xludf.DUMMYFUNCTION("""COMPUTED_VALUE"""),0.66444)</f>
        <v>0.66444000000000003</v>
      </c>
      <c r="H538" s="2">
        <f ca="1">IFERROR(__xludf.DUMMYFUNCTION("""COMPUTED_VALUE"""),53.035)</f>
        <v>53.034999999999997</v>
      </c>
      <c r="I538" s="2">
        <f ca="1">IFERROR(__xludf.DUMMYFUNCTION("""COMPUTED_VALUE"""),51.045)</f>
        <v>51.045000000000002</v>
      </c>
      <c r="J538" s="2">
        <f ca="1">IFERROR(__xludf.DUMMYFUNCTION("""COMPUTED_VALUE"""),40.193)</f>
        <v>40.192999999999998</v>
      </c>
      <c r="K538" s="2">
        <f ca="1">IFERROR(__xludf.DUMMYFUNCTION("""COMPUTED_VALUE"""),57.736)</f>
        <v>57.735999999999997</v>
      </c>
      <c r="L538" s="2">
        <f ca="1">IFERROR(__xludf.DUMMYFUNCTION("""COMPUTED_VALUE"""),9.3581)</f>
        <v>9.3581000000000003</v>
      </c>
      <c r="M538" s="2">
        <f ca="1">IFERROR(__xludf.DUMMYFUNCTION("""COMPUTED_VALUE"""),13.252)</f>
        <v>13.252000000000001</v>
      </c>
      <c r="U538" s="3" t="e">
        <f ca="1"/>
        <v>#NAME?</v>
      </c>
    </row>
    <row r="539" spans="3:21" ht="12.5" x14ac:dyDescent="0.25">
      <c r="C539" s="4">
        <f ca="1">IFERROR(__xludf.DUMMYFUNCTION("""COMPUTED_VALUE"""),40800.9986111111)</f>
        <v>40800.998611111099</v>
      </c>
      <c r="D539" s="2">
        <f ca="1">IFERROR(__xludf.DUMMYFUNCTION("""COMPUTED_VALUE"""),47.56)</f>
        <v>47.56</v>
      </c>
      <c r="E539" s="2">
        <f ca="1">IFERROR(__xludf.DUMMYFUNCTION("""COMPUTED_VALUE"""),68.872)</f>
        <v>68.872</v>
      </c>
      <c r="F539" s="2">
        <f ca="1">IFERROR(__xludf.DUMMYFUNCTION("""COMPUTED_VALUE"""),75.01)</f>
        <v>75.010000000000005</v>
      </c>
      <c r="G539" s="2">
        <f ca="1">IFERROR(__xludf.DUMMYFUNCTION("""COMPUTED_VALUE"""),0.66525)</f>
        <v>0.66525000000000001</v>
      </c>
      <c r="H539" s="2">
        <f ca="1">IFERROR(__xludf.DUMMYFUNCTION("""COMPUTED_VALUE"""),52.603)</f>
        <v>52.603000000000002</v>
      </c>
      <c r="I539" s="2">
        <f ca="1">IFERROR(__xludf.DUMMYFUNCTION("""COMPUTED_VALUE"""),50.567)</f>
        <v>50.567</v>
      </c>
      <c r="J539" s="2">
        <f ca="1">IFERROR(__xludf.DUMMYFUNCTION("""COMPUTED_VALUE"""),39.904)</f>
        <v>39.904000000000003</v>
      </c>
      <c r="K539" s="2">
        <f ca="1">IFERROR(__xludf.DUMMYFUNCTION("""COMPUTED_VALUE"""),57.598)</f>
        <v>57.597999999999999</v>
      </c>
      <c r="L539" s="2">
        <f ca="1">IFERROR(__xludf.DUMMYFUNCTION("""COMPUTED_VALUE"""),9.3105)</f>
        <v>9.3104999999999993</v>
      </c>
      <c r="M539" s="2">
        <f ca="1">IFERROR(__xludf.DUMMYFUNCTION("""COMPUTED_VALUE"""),13.411)</f>
        <v>13.411</v>
      </c>
      <c r="U539" s="3" t="e">
        <f ca="1"/>
        <v>#NAME?</v>
      </c>
    </row>
    <row r="540" spans="3:21" ht="12.5" x14ac:dyDescent="0.25">
      <c r="C540" s="4">
        <f ca="1">IFERROR(__xludf.DUMMYFUNCTION("""COMPUTED_VALUE"""),40801.9986111111)</f>
        <v>40801.998611111099</v>
      </c>
      <c r="D540" s="2">
        <f ca="1">IFERROR(__xludf.DUMMYFUNCTION("""COMPUTED_VALUE"""),47.5)</f>
        <v>47.5</v>
      </c>
      <c r="E540" s="2">
        <f ca="1">IFERROR(__xludf.DUMMYFUNCTION("""COMPUTED_VALUE"""),69.416)</f>
        <v>69.415999999999997</v>
      </c>
      <c r="F540" s="2">
        <f ca="1">IFERROR(__xludf.DUMMYFUNCTION("""COMPUTED_VALUE"""),75.093)</f>
        <v>75.093000000000004</v>
      </c>
      <c r="G540" s="2">
        <f ca="1">IFERROR(__xludf.DUMMYFUNCTION("""COMPUTED_VALUE"""),0.66877)</f>
        <v>0.66876999999999998</v>
      </c>
      <c r="H540" s="2">
        <f ca="1">IFERROR(__xludf.DUMMYFUNCTION("""COMPUTED_VALUE"""),52.991)</f>
        <v>52.991</v>
      </c>
      <c r="I540" s="2">
        <f ca="1">IFERROR(__xludf.DUMMYFUNCTION("""COMPUTED_VALUE"""),50.948)</f>
        <v>50.948</v>
      </c>
      <c r="J540" s="2">
        <f ca="1">IFERROR(__xludf.DUMMYFUNCTION("""COMPUTED_VALUE"""),40.145)</f>
        <v>40.145000000000003</v>
      </c>
      <c r="K540" s="2">
        <f ca="1">IFERROR(__xludf.DUMMYFUNCTION("""COMPUTED_VALUE"""),57.739)</f>
        <v>57.738999999999997</v>
      </c>
      <c r="L540" s="2">
        <f ca="1">IFERROR(__xludf.DUMMYFUNCTION("""COMPUTED_VALUE"""),9.3516)</f>
        <v>9.3515999999999995</v>
      </c>
      <c r="M540" s="2">
        <f ca="1">IFERROR(__xludf.DUMMYFUNCTION("""COMPUTED_VALUE"""),13.369)</f>
        <v>13.369</v>
      </c>
      <c r="U540" s="3" t="e">
        <f ca="1"/>
        <v>#NAME?</v>
      </c>
    </row>
    <row r="541" spans="3:21" ht="12.5" x14ac:dyDescent="0.25">
      <c r="C541" s="4">
        <f ca="1">IFERROR(__xludf.DUMMYFUNCTION("""COMPUTED_VALUE"""),40802.9986111111)</f>
        <v>40802.998611111099</v>
      </c>
      <c r="D541" s="2">
        <f ca="1">IFERROR(__xludf.DUMMYFUNCTION("""COMPUTED_VALUE"""),47.17)</f>
        <v>47.17</v>
      </c>
      <c r="E541" s="2">
        <f ca="1">IFERROR(__xludf.DUMMYFUNCTION("""COMPUTED_VALUE"""),69.263)</f>
        <v>69.263000000000005</v>
      </c>
      <c r="F541" s="2">
        <f ca="1">IFERROR(__xludf.DUMMYFUNCTION("""COMPUTED_VALUE"""),74.482)</f>
        <v>74.481999999999999</v>
      </c>
      <c r="G541" s="2">
        <f ca="1">IFERROR(__xludf.DUMMYFUNCTION("""COMPUTED_VALUE"""),0.66776)</f>
        <v>0.66776000000000002</v>
      </c>
      <c r="H541" s="2">
        <f ca="1">IFERROR(__xludf.DUMMYFUNCTION("""COMPUTED_VALUE"""),52.796)</f>
        <v>52.795999999999999</v>
      </c>
      <c r="I541" s="2">
        <f ca="1">IFERROR(__xludf.DUMMYFUNCTION("""COMPUTED_VALUE"""),50.768)</f>
        <v>50.768000000000001</v>
      </c>
      <c r="J541" s="2">
        <f ca="1">IFERROR(__xludf.DUMMYFUNCTION("""COMPUTED_VALUE"""),40.062)</f>
        <v>40.061999999999998</v>
      </c>
      <c r="K541" s="2">
        <f ca="1">IFERROR(__xludf.DUMMYFUNCTION("""COMPUTED_VALUE"""),58.029)</f>
        <v>58.029000000000003</v>
      </c>
      <c r="L541" s="2">
        <f ca="1">IFERROR(__xludf.DUMMYFUNCTION("""COMPUTED_VALUE"""),9.3374)</f>
        <v>9.3374000000000006</v>
      </c>
      <c r="M541" s="2">
        <f ca="1">IFERROR(__xludf.DUMMYFUNCTION("""COMPUTED_VALUE"""),13.351)</f>
        <v>13.351000000000001</v>
      </c>
      <c r="U541" s="3" t="e">
        <f ca="1"/>
        <v>#NAME?</v>
      </c>
    </row>
    <row r="542" spans="3:21" ht="12.5" x14ac:dyDescent="0.25">
      <c r="C542" s="4">
        <f ca="1">IFERROR(__xludf.DUMMYFUNCTION("""COMPUTED_VALUE"""),40805.9986111111)</f>
        <v>40805.998611111099</v>
      </c>
      <c r="D542" s="2">
        <f ca="1">IFERROR(__xludf.DUMMYFUNCTION("""COMPUTED_VALUE"""),47.723)</f>
        <v>47.722999999999999</v>
      </c>
      <c r="E542" s="2">
        <f ca="1">IFERROR(__xludf.DUMMYFUNCTION("""COMPUTED_VALUE"""),69.444)</f>
        <v>69.444000000000003</v>
      </c>
      <c r="F542" s="2">
        <f ca="1">IFERROR(__xludf.DUMMYFUNCTION("""COMPUTED_VALUE"""),74.739)</f>
        <v>74.739000000000004</v>
      </c>
      <c r="G542" s="2">
        <f ca="1">IFERROR(__xludf.DUMMYFUNCTION("""COMPUTED_VALUE"""),0.676)</f>
        <v>0.67600000000000005</v>
      </c>
      <c r="H542" s="2">
        <f ca="1">IFERROR(__xludf.DUMMYFUNCTION("""COMPUTED_VALUE"""),53.025)</f>
        <v>53.024999999999999</v>
      </c>
      <c r="I542" s="2">
        <f ca="1">IFERROR(__xludf.DUMMYFUNCTION("""COMPUTED_VALUE"""),51.301)</f>
        <v>51.301000000000002</v>
      </c>
      <c r="J542" s="2">
        <f ca="1">IFERROR(__xludf.DUMMYFUNCTION("""COMPUTED_VALUE"""),40.483)</f>
        <v>40.482999999999997</v>
      </c>
      <c r="K542" s="2">
        <f ca="1">IFERROR(__xludf.DUMMYFUNCTION("""COMPUTED_VALUE"""),57.029)</f>
        <v>57.029000000000003</v>
      </c>
      <c r="L542" s="2">
        <f ca="1">IFERROR(__xludf.DUMMYFUNCTION("""COMPUTED_VALUE"""),9.3163)</f>
        <v>9.3163</v>
      </c>
      <c r="M542" s="2">
        <f ca="1">IFERROR(__xludf.DUMMYFUNCTION("""COMPUTED_VALUE"""),13.327)</f>
        <v>13.327</v>
      </c>
      <c r="U542" s="3" t="e">
        <f ca="1"/>
        <v>#NAME?</v>
      </c>
    </row>
    <row r="543" spans="3:21" ht="12.5" x14ac:dyDescent="0.25">
      <c r="C543" s="4">
        <f ca="1">IFERROR(__xludf.DUMMYFUNCTION("""COMPUTED_VALUE"""),40806.9986111111)</f>
        <v>40806.998611111099</v>
      </c>
      <c r="D543" s="2">
        <f ca="1">IFERROR(__xludf.DUMMYFUNCTION("""COMPUTED_VALUE"""),47.91)</f>
        <v>47.91</v>
      </c>
      <c r="E543" s="2">
        <f ca="1">IFERROR(__xludf.DUMMYFUNCTION("""COMPUTED_VALUE"""),69.208)</f>
        <v>69.207999999999998</v>
      </c>
      <c r="F543" s="2">
        <f ca="1">IFERROR(__xludf.DUMMYFUNCTION("""COMPUTED_VALUE"""),75.391)</f>
        <v>75.391000000000005</v>
      </c>
      <c r="G543" s="2">
        <f ca="1">IFERROR(__xludf.DUMMYFUNCTION("""COMPUTED_VALUE"""),0.68087)</f>
        <v>0.68086999999999998</v>
      </c>
      <c r="H543" s="2">
        <f ca="1">IFERROR(__xludf.DUMMYFUNCTION("""COMPUTED_VALUE"""),53.137)</f>
        <v>53.137</v>
      </c>
      <c r="I543" s="2">
        <f ca="1">IFERROR(__xludf.DUMMYFUNCTION("""COMPUTED_VALUE"""),51.363)</f>
        <v>51.363</v>
      </c>
      <c r="J543" s="2">
        <f ca="1">IFERROR(__xludf.DUMMYFUNCTION("""COMPUTED_VALUE"""),40.693)</f>
        <v>40.692999999999998</v>
      </c>
      <c r="K543" s="2">
        <f ca="1">IFERROR(__xludf.DUMMYFUNCTION("""COMPUTED_VALUE"""),57.224)</f>
        <v>57.223999999999997</v>
      </c>
      <c r="L543" s="2">
        <f ca="1">IFERROR(__xludf.DUMMYFUNCTION("""COMPUTED_VALUE"""),9.3539)</f>
        <v>9.3538999999999994</v>
      </c>
      <c r="M543" s="2">
        <f ca="1">IFERROR(__xludf.DUMMYFUNCTION("""COMPUTED_VALUE"""),13.339)</f>
        <v>13.339</v>
      </c>
      <c r="U543" s="3" t="e">
        <f ca="1"/>
        <v>#NAME?</v>
      </c>
    </row>
    <row r="544" spans="3:21" ht="12.5" x14ac:dyDescent="0.25">
      <c r="C544" s="4">
        <f ca="1">IFERROR(__xludf.DUMMYFUNCTION("""COMPUTED_VALUE"""),40807.9986111111)</f>
        <v>40807.998611111099</v>
      </c>
      <c r="D544" s="2">
        <f ca="1">IFERROR(__xludf.DUMMYFUNCTION("""COMPUTED_VALUE"""),48.21)</f>
        <v>48.21</v>
      </c>
      <c r="E544" s="2">
        <f ca="1">IFERROR(__xludf.DUMMYFUNCTION("""COMPUTED_VALUE"""),69.708)</f>
        <v>69.707999999999998</v>
      </c>
      <c r="F544" s="2">
        <f ca="1">IFERROR(__xludf.DUMMYFUNCTION("""COMPUTED_VALUE"""),75.106)</f>
        <v>75.105999999999995</v>
      </c>
      <c r="G544" s="2">
        <f ca="1">IFERROR(__xludf.DUMMYFUNCTION("""COMPUTED_VALUE"""),0.6882)</f>
        <v>0.68820000000000003</v>
      </c>
      <c r="H544" s="2">
        <f ca="1">IFERROR(__xludf.DUMMYFUNCTION("""COMPUTED_VALUE"""),53.21)</f>
        <v>53.21</v>
      </c>
      <c r="I544" s="2">
        <f ca="1">IFERROR(__xludf.DUMMYFUNCTION("""COMPUTED_VALUE"""),51.663)</f>
        <v>51.662999999999997</v>
      </c>
      <c r="J544" s="2">
        <f ca="1">IFERROR(__xludf.DUMMYFUNCTION("""COMPUTED_VALUE"""),40.98)</f>
        <v>40.98</v>
      </c>
      <c r="K544" s="2">
        <f ca="1">IFERROR(__xludf.DUMMYFUNCTION("""COMPUTED_VALUE"""),56.076)</f>
        <v>56.076000000000001</v>
      </c>
      <c r="L544" s="2">
        <f ca="1">IFERROR(__xludf.DUMMYFUNCTION("""COMPUTED_VALUE"""),9.2819)</f>
        <v>9.2819000000000003</v>
      </c>
      <c r="M544" s="2">
        <f ca="1">IFERROR(__xludf.DUMMYFUNCTION("""COMPUTED_VALUE"""),13.339)</f>
        <v>13.339</v>
      </c>
      <c r="U544" s="3" t="e">
        <f ca="1"/>
        <v>#NAME?</v>
      </c>
    </row>
    <row r="545" spans="3:21" ht="12.5" x14ac:dyDescent="0.25">
      <c r="C545" s="4">
        <f ca="1">IFERROR(__xludf.DUMMYFUNCTION("""COMPUTED_VALUE"""),40808.9986111111)</f>
        <v>40808.998611111099</v>
      </c>
      <c r="D545" s="2">
        <f ca="1">IFERROR(__xludf.DUMMYFUNCTION("""COMPUTED_VALUE"""),49.473)</f>
        <v>49.472999999999999</v>
      </c>
      <c r="E545" s="2">
        <f ca="1">IFERROR(__xludf.DUMMYFUNCTION("""COMPUTED_VALUE"""),69.26)</f>
        <v>69.260000000000005</v>
      </c>
      <c r="F545" s="2">
        <f ca="1">IFERROR(__xludf.DUMMYFUNCTION("""COMPUTED_VALUE"""),76.243)</f>
        <v>76.242999999999995</v>
      </c>
      <c r="G545" s="2">
        <f ca="1">IFERROR(__xludf.DUMMYFUNCTION("""COMPUTED_VALUE"""),0.68303)</f>
        <v>0.68303000000000003</v>
      </c>
      <c r="H545" s="2">
        <f ca="1">IFERROR(__xludf.DUMMYFUNCTION("""COMPUTED_VALUE"""),52.782)</f>
        <v>52.781999999999996</v>
      </c>
      <c r="I545" s="2">
        <f ca="1">IFERROR(__xludf.DUMMYFUNCTION("""COMPUTED_VALUE"""),51.421)</f>
        <v>51.420999999999999</v>
      </c>
      <c r="J545" s="2">
        <f ca="1">IFERROR(__xludf.DUMMYFUNCTION("""COMPUTED_VALUE"""),40.701)</f>
        <v>40.701000000000001</v>
      </c>
      <c r="K545" s="2">
        <f ca="1">IFERROR(__xludf.DUMMYFUNCTION("""COMPUTED_VALUE"""),56.103)</f>
        <v>56.103000000000002</v>
      </c>
      <c r="L545" s="2">
        <f ca="1">IFERROR(__xludf.DUMMYFUNCTION("""COMPUTED_VALUE"""),9.2865)</f>
        <v>9.2865000000000002</v>
      </c>
      <c r="M545" s="2">
        <f ca="1">IFERROR(__xludf.DUMMYFUNCTION("""COMPUTED_VALUE"""),13.316)</f>
        <v>13.316000000000001</v>
      </c>
      <c r="U545" s="3" t="e">
        <f ca="1"/>
        <v>#NAME?</v>
      </c>
    </row>
    <row r="546" spans="3:21" ht="12.5" x14ac:dyDescent="0.25">
      <c r="C546" s="4">
        <f ca="1">IFERROR(__xludf.DUMMYFUNCTION("""COMPUTED_VALUE"""),40809.9986111111)</f>
        <v>40809.998611111099</v>
      </c>
      <c r="D546" s="2">
        <f ca="1">IFERROR(__xludf.DUMMYFUNCTION("""COMPUTED_VALUE"""),49.343)</f>
        <v>49.343000000000004</v>
      </c>
      <c r="E546" s="2">
        <f ca="1">IFERROR(__xludf.DUMMYFUNCTION("""COMPUTED_VALUE"""),68.271)</f>
        <v>68.271000000000001</v>
      </c>
      <c r="F546" s="2">
        <f ca="1">IFERROR(__xludf.DUMMYFUNCTION("""COMPUTED_VALUE"""),76.23)</f>
        <v>76.23</v>
      </c>
      <c r="G546" s="2">
        <f ca="1">IFERROR(__xludf.DUMMYFUNCTION("""COMPUTED_VALUE"""),0.67485)</f>
        <v>0.67484999999999995</v>
      </c>
      <c r="H546" s="2">
        <f ca="1">IFERROR(__xludf.DUMMYFUNCTION("""COMPUTED_VALUE"""),52.202)</f>
        <v>52.201999999999998</v>
      </c>
      <c r="I546" s="2">
        <f ca="1">IFERROR(__xludf.DUMMYFUNCTION("""COMPUTED_VALUE"""),50.481)</f>
        <v>50.481000000000002</v>
      </c>
      <c r="J546" s="2">
        <f ca="1">IFERROR(__xludf.DUMMYFUNCTION("""COMPUTED_VALUE"""),40.245)</f>
        <v>40.244999999999997</v>
      </c>
      <c r="K546" s="2">
        <f ca="1">IFERROR(__xludf.DUMMYFUNCTION("""COMPUTED_VALUE"""),56.704)</f>
        <v>56.704000000000001</v>
      </c>
      <c r="L546" s="2">
        <f ca="1">IFERROR(__xludf.DUMMYFUNCTION("""COMPUTED_VALUE"""),9.3083)</f>
        <v>9.3082999999999991</v>
      </c>
      <c r="M546" s="2">
        <f ca="1">IFERROR(__xludf.DUMMYFUNCTION("""COMPUTED_VALUE"""),13.425)</f>
        <v>13.425000000000001</v>
      </c>
      <c r="U546" s="3" t="e">
        <f ca="1"/>
        <v>#NAME?</v>
      </c>
    </row>
    <row r="547" spans="3:21" ht="12.5" x14ac:dyDescent="0.25">
      <c r="C547" s="4">
        <f ca="1">IFERROR(__xludf.DUMMYFUNCTION("""COMPUTED_VALUE"""),40810.9986111111)</f>
        <v>40810.998611111099</v>
      </c>
      <c r="D547" s="2">
        <f ca="1">IFERROR(__xludf.DUMMYFUNCTION("""COMPUTED_VALUE"""),49.343)</f>
        <v>49.343000000000004</v>
      </c>
      <c r="E547" s="2">
        <f ca="1">IFERROR(__xludf.DUMMYFUNCTION("""COMPUTED_VALUE"""),68.493)</f>
        <v>68.492999999999995</v>
      </c>
      <c r="F547" s="2">
        <f ca="1">IFERROR(__xludf.DUMMYFUNCTION("""COMPUTED_VALUE"""),76.322)</f>
        <v>76.322000000000003</v>
      </c>
      <c r="G547" s="2">
        <f ca="1">IFERROR(__xludf.DUMMYFUNCTION("""COMPUTED_VALUE"""),0.67585)</f>
        <v>0.67584999999999995</v>
      </c>
      <c r="H547" s="2">
        <f ca="1">IFERROR(__xludf.DUMMYFUNCTION("""COMPUTED_VALUE"""),52.362)</f>
        <v>52.362000000000002</v>
      </c>
      <c r="I547" s="2">
        <f ca="1">IFERROR(__xludf.DUMMYFUNCTION("""COMPUTED_VALUE"""),50.601)</f>
        <v>50.600999999999999</v>
      </c>
      <c r="J547" s="2">
        <f ca="1">IFERROR(__xludf.DUMMYFUNCTION("""COMPUTED_VALUE"""),40.194)</f>
        <v>40.194000000000003</v>
      </c>
      <c r="K547" s="2">
        <f ca="1">IFERROR(__xludf.DUMMYFUNCTION("""COMPUTED_VALUE"""),57.459)</f>
        <v>57.459000000000003</v>
      </c>
      <c r="L547" s="2">
        <f ca="1">IFERROR(__xludf.DUMMYFUNCTION("""COMPUTED_VALUE"""),9.4063)</f>
        <v>9.4062999999999999</v>
      </c>
      <c r="M547" s="2">
        <f ca="1">IFERROR(__xludf.DUMMYFUNCTION("""COMPUTED_VALUE"""),13.626)</f>
        <v>13.625999999999999</v>
      </c>
      <c r="U547" s="3" t="e">
        <f ca="1"/>
        <v>#NAME?</v>
      </c>
    </row>
    <row r="548" spans="3:21" ht="12.5" x14ac:dyDescent="0.25">
      <c r="C548" s="4">
        <f ca="1">IFERROR(__xludf.DUMMYFUNCTION("""COMPUTED_VALUE"""),40812.9986111111)</f>
        <v>40812.998611111099</v>
      </c>
      <c r="D548" s="2">
        <f ca="1">IFERROR(__xludf.DUMMYFUNCTION("""COMPUTED_VALUE"""),49.4)</f>
        <v>49.4</v>
      </c>
      <c r="E548" s="2">
        <f ca="1">IFERROR(__xludf.DUMMYFUNCTION("""COMPUTED_VALUE"""),68.56)</f>
        <v>68.56</v>
      </c>
      <c r="F548" s="2">
        <f ca="1">IFERROR(__xludf.DUMMYFUNCTION("""COMPUTED_VALUE"""),76.708)</f>
        <v>76.707999999999998</v>
      </c>
      <c r="G548" s="2">
        <f ca="1">IFERROR(__xludf.DUMMYFUNCTION("""COMPUTED_VALUE"""),0.67599)</f>
        <v>0.67598999999999998</v>
      </c>
      <c r="H548" s="2">
        <f ca="1">IFERROR(__xludf.DUMMYFUNCTION("""COMPUTED_VALUE"""),52.261)</f>
        <v>52.261000000000003</v>
      </c>
      <c r="I548" s="2">
        <f ca="1">IFERROR(__xludf.DUMMYFUNCTION("""COMPUTED_VALUE"""),50.844)</f>
        <v>50.844000000000001</v>
      </c>
      <c r="J548" s="2">
        <f ca="1">IFERROR(__xludf.DUMMYFUNCTION("""COMPUTED_VALUE"""),40.326)</f>
        <v>40.326000000000001</v>
      </c>
      <c r="K548" s="2">
        <f ca="1">IFERROR(__xludf.DUMMYFUNCTION("""COMPUTED_VALUE"""),58.035)</f>
        <v>58.034999999999997</v>
      </c>
      <c r="L548" s="2">
        <f ca="1">IFERROR(__xludf.DUMMYFUNCTION("""COMPUTED_VALUE"""),9.411)</f>
        <v>9.4109999999999996</v>
      </c>
      <c r="M548" s="2">
        <f ca="1">IFERROR(__xludf.DUMMYFUNCTION("""COMPUTED_VALUE"""),13.602)</f>
        <v>13.602</v>
      </c>
      <c r="U548" s="3" t="e">
        <f ca="1"/>
        <v>#NAME?</v>
      </c>
    </row>
    <row r="549" spans="3:21" ht="12.5" x14ac:dyDescent="0.25">
      <c r="C549" s="4">
        <f ca="1">IFERROR(__xludf.DUMMYFUNCTION("""COMPUTED_VALUE"""),40813.9986111111)</f>
        <v>40813.998611111099</v>
      </c>
      <c r="D549" s="2">
        <f ca="1">IFERROR(__xludf.DUMMYFUNCTION("""COMPUTED_VALUE"""),48.81)</f>
        <v>48.81</v>
      </c>
      <c r="E549" s="2">
        <f ca="1">IFERROR(__xludf.DUMMYFUNCTION("""COMPUTED_VALUE"""),68.952)</f>
        <v>68.951999999999998</v>
      </c>
      <c r="F549" s="2">
        <f ca="1">IFERROR(__xludf.DUMMYFUNCTION("""COMPUTED_VALUE"""),76.309)</f>
        <v>76.308999999999997</v>
      </c>
      <c r="G549" s="2">
        <f ca="1">IFERROR(__xludf.DUMMYFUNCTION("""COMPUTED_VALUE"""),0.67772)</f>
        <v>0.67771999999999999</v>
      </c>
      <c r="H549" s="2">
        <f ca="1">IFERROR(__xludf.DUMMYFUNCTION("""COMPUTED_VALUE"""),53.129)</f>
        <v>53.128999999999998</v>
      </c>
      <c r="I549" s="2">
        <f ca="1">IFERROR(__xludf.DUMMYFUNCTION("""COMPUTED_VALUE"""),51.253)</f>
        <v>51.253</v>
      </c>
      <c r="J549" s="2">
        <f ca="1">IFERROR(__xludf.DUMMYFUNCTION("""COMPUTED_VALUE"""),40.64)</f>
        <v>40.64</v>
      </c>
      <c r="K549" s="2">
        <f ca="1">IFERROR(__xludf.DUMMYFUNCTION("""COMPUTED_VALUE"""),58.1)</f>
        <v>58.1</v>
      </c>
      <c r="L549" s="2">
        <f ca="1">IFERROR(__xludf.DUMMYFUNCTION("""COMPUTED_VALUE"""),9.411)</f>
        <v>9.4109999999999996</v>
      </c>
      <c r="M549" s="2">
        <f ca="1">IFERROR(__xludf.DUMMYFUNCTION("""COMPUTED_VALUE"""),13.553)</f>
        <v>13.553000000000001</v>
      </c>
      <c r="U549" s="3" t="e">
        <f ca="1"/>
        <v>#NAME?</v>
      </c>
    </row>
    <row r="550" spans="3:21" ht="12.5" x14ac:dyDescent="0.25">
      <c r="C550" s="4">
        <f ca="1">IFERROR(__xludf.DUMMYFUNCTION("""COMPUTED_VALUE"""),40814.9986111111)</f>
        <v>40814.998611111099</v>
      </c>
      <c r="D550" s="2">
        <f ca="1">IFERROR(__xludf.DUMMYFUNCTION("""COMPUTED_VALUE"""),48.75)</f>
        <v>48.75</v>
      </c>
      <c r="E550" s="2">
        <f ca="1">IFERROR(__xludf.DUMMYFUNCTION("""COMPUTED_VALUE"""),68.239)</f>
        <v>68.239000000000004</v>
      </c>
      <c r="F550" s="2">
        <f ca="1">IFERROR(__xludf.DUMMYFUNCTION("""COMPUTED_VALUE"""),76.026)</f>
        <v>76.025999999999996</v>
      </c>
      <c r="G550" s="2">
        <f ca="1">IFERROR(__xludf.DUMMYFUNCTION("""COMPUTED_VALUE"""),0.67097)</f>
        <v>0.67096999999999996</v>
      </c>
      <c r="H550" s="2">
        <f ca="1">IFERROR(__xludf.DUMMYFUNCTION("""COMPUTED_VALUE"""),52.694)</f>
        <v>52.694000000000003</v>
      </c>
      <c r="I550" s="2">
        <f ca="1">IFERROR(__xludf.DUMMYFUNCTION("""COMPUTED_VALUE"""),50.883)</f>
        <v>50.883000000000003</v>
      </c>
      <c r="J550" s="2">
        <f ca="1">IFERROR(__xludf.DUMMYFUNCTION("""COMPUTED_VALUE"""),40.327)</f>
        <v>40.326999999999998</v>
      </c>
      <c r="K550" s="2">
        <f ca="1">IFERROR(__xludf.DUMMYFUNCTION("""COMPUTED_VALUE"""),58.575)</f>
        <v>58.575000000000003</v>
      </c>
      <c r="L550" s="2">
        <f ca="1">IFERROR(__xludf.DUMMYFUNCTION("""COMPUTED_VALUE"""),9.3576)</f>
        <v>9.3575999999999997</v>
      </c>
      <c r="M550" s="2">
        <f ca="1">IFERROR(__xludf.DUMMYFUNCTION("""COMPUTED_VALUE"""),13.553)</f>
        <v>13.553000000000001</v>
      </c>
      <c r="U550" s="3" t="e">
        <f ca="1"/>
        <v>#NAME?</v>
      </c>
    </row>
    <row r="551" spans="3:21" ht="12.5" x14ac:dyDescent="0.25">
      <c r="C551" s="4">
        <f ca="1">IFERROR(__xludf.DUMMYFUNCTION("""COMPUTED_VALUE"""),40815.9986111111)</f>
        <v>40815.998611111099</v>
      </c>
      <c r="D551" s="2">
        <f ca="1">IFERROR(__xludf.DUMMYFUNCTION("""COMPUTED_VALUE"""),48.86)</f>
        <v>48.86</v>
      </c>
      <c r="E551" s="2">
        <f ca="1">IFERROR(__xludf.DUMMYFUNCTION("""COMPUTED_VALUE"""),68.499)</f>
        <v>68.498999999999995</v>
      </c>
      <c r="F551" s="2">
        <f ca="1">IFERROR(__xludf.DUMMYFUNCTION("""COMPUTED_VALUE"""),76.448)</f>
        <v>76.447999999999993</v>
      </c>
      <c r="G551" s="2">
        <f ca="1">IFERROR(__xludf.DUMMYFUNCTION("""COMPUTED_VALUE"""),0.67161)</f>
        <v>0.67161000000000004</v>
      </c>
      <c r="H551" s="2">
        <f ca="1">IFERROR(__xludf.DUMMYFUNCTION("""COMPUTED_VALUE"""),53.203)</f>
        <v>53.203000000000003</v>
      </c>
      <c r="I551" s="2">
        <f ca="1">IFERROR(__xludf.DUMMYFUNCTION("""COMPUTED_VALUE"""),51.445)</f>
        <v>51.445</v>
      </c>
      <c r="J551" s="2">
        <f ca="1">IFERROR(__xludf.DUMMYFUNCTION("""COMPUTED_VALUE"""),40.597)</f>
        <v>40.597000000000001</v>
      </c>
      <c r="K551" s="2">
        <f ca="1">IFERROR(__xludf.DUMMYFUNCTION("""COMPUTED_VALUE"""),53.423)</f>
        <v>53.423000000000002</v>
      </c>
      <c r="L551" s="2">
        <f ca="1">IFERROR(__xludf.DUMMYFUNCTION("""COMPUTED_VALUE"""),9.4058)</f>
        <v>9.4057999999999993</v>
      </c>
      <c r="M551" s="2">
        <f ca="1">IFERROR(__xludf.DUMMYFUNCTION("""COMPUTED_VALUE"""),13.622)</f>
        <v>13.622</v>
      </c>
      <c r="U551" s="3" t="e">
        <f ca="1"/>
        <v>#NAME?</v>
      </c>
    </row>
    <row r="552" spans="3:21" ht="12.5" x14ac:dyDescent="0.25">
      <c r="C552" s="4">
        <f ca="1">IFERROR(__xludf.DUMMYFUNCTION("""COMPUTED_VALUE"""),40816.9986111111)</f>
        <v>40816.998611111099</v>
      </c>
      <c r="D552" s="2">
        <f ca="1">IFERROR(__xludf.DUMMYFUNCTION("""COMPUTED_VALUE"""),49.05)</f>
        <v>49.05</v>
      </c>
      <c r="E552" s="2">
        <f ca="1">IFERROR(__xludf.DUMMYFUNCTION("""COMPUTED_VALUE"""),68.742)</f>
        <v>68.742000000000004</v>
      </c>
      <c r="F552" s="2">
        <f ca="1">IFERROR(__xludf.DUMMYFUNCTION("""COMPUTED_VALUE"""),76.445)</f>
        <v>76.444999999999993</v>
      </c>
      <c r="G552" s="2">
        <f ca="1">IFERROR(__xludf.DUMMYFUNCTION("""COMPUTED_VALUE"""),0.67521)</f>
        <v>0.67520999999999998</v>
      </c>
      <c r="H552" s="2">
        <f ca="1">IFERROR(__xludf.DUMMYFUNCTION("""COMPUTED_VALUE"""),53.482)</f>
        <v>53.481999999999999</v>
      </c>
      <c r="I552" s="2">
        <f ca="1">IFERROR(__xludf.DUMMYFUNCTION("""COMPUTED_VALUE"""),51.688)</f>
        <v>51.688000000000002</v>
      </c>
      <c r="J552" s="2">
        <f ca="1">IFERROR(__xludf.DUMMYFUNCTION("""COMPUTED_VALUE"""),40.731)</f>
        <v>40.731000000000002</v>
      </c>
      <c r="K552" s="2">
        <f ca="1">IFERROR(__xludf.DUMMYFUNCTION("""COMPUTED_VALUE"""),53.669)</f>
        <v>53.668999999999997</v>
      </c>
      <c r="L552" s="2">
        <f ca="1">IFERROR(__xludf.DUMMYFUNCTION("""COMPUTED_VALUE"""),9.3895)</f>
        <v>9.3895</v>
      </c>
      <c r="M552" s="2">
        <f ca="1">IFERROR(__xludf.DUMMYFUNCTION("""COMPUTED_VALUE"""),13.713)</f>
        <v>13.712999999999999</v>
      </c>
      <c r="U552" s="3" t="e">
        <f ca="1"/>
        <v>#NAME?</v>
      </c>
    </row>
    <row r="553" spans="3:21" ht="12.5" x14ac:dyDescent="0.25">
      <c r="C553" s="4">
        <f ca="1">IFERROR(__xludf.DUMMYFUNCTION("""COMPUTED_VALUE"""),40819.9986111111)</f>
        <v>40819.998611111099</v>
      </c>
      <c r="D553" s="2">
        <f ca="1">IFERROR(__xludf.DUMMYFUNCTION("""COMPUTED_VALUE"""),49.1)</f>
        <v>49.1</v>
      </c>
      <c r="E553" s="2">
        <f ca="1">IFERROR(__xludf.DUMMYFUNCTION("""COMPUTED_VALUE"""),68.866)</f>
        <v>68.866</v>
      </c>
      <c r="F553" s="2">
        <f ca="1">IFERROR(__xludf.DUMMYFUNCTION("""COMPUTED_VALUE"""),75.869)</f>
        <v>75.869</v>
      </c>
      <c r="G553" s="2">
        <f ca="1">IFERROR(__xludf.DUMMYFUNCTION("""COMPUTED_VALUE"""),0.67541)</f>
        <v>0.67540999999999995</v>
      </c>
      <c r="H553" s="2">
        <f ca="1">IFERROR(__xludf.DUMMYFUNCTION("""COMPUTED_VALUE"""),53.572)</f>
        <v>53.572000000000003</v>
      </c>
      <c r="I553" s="2">
        <f ca="1">IFERROR(__xludf.DUMMYFUNCTION("""COMPUTED_VALUE"""),51.74)</f>
        <v>51.74</v>
      </c>
      <c r="J553" s="2">
        <f ca="1">IFERROR(__xludf.DUMMYFUNCTION("""COMPUTED_VALUE"""),40.841)</f>
        <v>40.841000000000001</v>
      </c>
      <c r="K553" s="2">
        <f ca="1">IFERROR(__xludf.DUMMYFUNCTION("""COMPUTED_VALUE"""),52.906)</f>
        <v>52.905999999999999</v>
      </c>
      <c r="L553" s="2">
        <f ca="1">IFERROR(__xludf.DUMMYFUNCTION("""COMPUTED_VALUE"""),9.3882)</f>
        <v>9.3881999999999994</v>
      </c>
      <c r="M553" s="2">
        <f ca="1">IFERROR(__xludf.DUMMYFUNCTION("""COMPUTED_VALUE"""),13.782)</f>
        <v>13.782</v>
      </c>
      <c r="U553" s="3" t="e">
        <f ca="1"/>
        <v>#NAME?</v>
      </c>
    </row>
    <row r="554" spans="3:21" ht="12.5" x14ac:dyDescent="0.25">
      <c r="C554" s="4">
        <f ca="1">IFERROR(__xludf.DUMMYFUNCTION("""COMPUTED_VALUE"""),40820.9986111111)</f>
        <v>40820.998611111099</v>
      </c>
      <c r="D554" s="2">
        <f ca="1">IFERROR(__xludf.DUMMYFUNCTION("""COMPUTED_VALUE"""),49.303)</f>
        <v>49.302999999999997</v>
      </c>
      <c r="E554" s="2">
        <f ca="1">IFERROR(__xludf.DUMMYFUNCTION("""COMPUTED_VALUE"""),68.882)</f>
        <v>68.882000000000005</v>
      </c>
      <c r="F554" s="2">
        <f ca="1">IFERROR(__xludf.DUMMYFUNCTION("""COMPUTED_VALUE"""),76.291)</f>
        <v>76.290999999999997</v>
      </c>
      <c r="G554" s="2">
        <f ca="1">IFERROR(__xludf.DUMMYFUNCTION("""COMPUTED_VALUE"""),0.67633)</f>
        <v>0.67632999999999999</v>
      </c>
      <c r="H554" s="2">
        <f ca="1">IFERROR(__xludf.DUMMYFUNCTION("""COMPUTED_VALUE"""),53.562)</f>
        <v>53.561999999999998</v>
      </c>
      <c r="I554" s="2">
        <f ca="1">IFERROR(__xludf.DUMMYFUNCTION("""COMPUTED_VALUE"""),51.73)</f>
        <v>51.73</v>
      </c>
      <c r="J554" s="2">
        <f ca="1">IFERROR(__xludf.DUMMYFUNCTION("""COMPUTED_VALUE"""),40.774)</f>
        <v>40.774000000000001</v>
      </c>
      <c r="K554" s="2">
        <f ca="1">IFERROR(__xludf.DUMMYFUNCTION("""COMPUTED_VALUE"""),52.625)</f>
        <v>52.625</v>
      </c>
      <c r="L554" s="2">
        <f ca="1">IFERROR(__xludf.DUMMYFUNCTION("""COMPUTED_VALUE"""),9.4029)</f>
        <v>9.4029000000000007</v>
      </c>
      <c r="M554" s="2">
        <f ca="1">IFERROR(__xludf.DUMMYFUNCTION("""COMPUTED_VALUE"""),13.793)</f>
        <v>13.792999999999999</v>
      </c>
      <c r="U554" s="3" t="e">
        <f ca="1"/>
        <v>#NAME?</v>
      </c>
    </row>
    <row r="555" spans="3:21" ht="12.5" x14ac:dyDescent="0.25">
      <c r="C555" s="4">
        <f ca="1">IFERROR(__xludf.DUMMYFUNCTION("""COMPUTED_VALUE"""),40821.9986111111)</f>
        <v>40821.998611111099</v>
      </c>
      <c r="D555" s="2">
        <f ca="1">IFERROR(__xludf.DUMMYFUNCTION("""COMPUTED_VALUE"""),49.15)</f>
        <v>49.15</v>
      </c>
      <c r="E555" s="2">
        <f ca="1">IFERROR(__xludf.DUMMYFUNCTION("""COMPUTED_VALUE"""),69.064)</f>
        <v>69.063999999999993</v>
      </c>
      <c r="F555" s="2">
        <f ca="1">IFERROR(__xludf.DUMMYFUNCTION("""COMPUTED_VALUE"""),76.005)</f>
        <v>76.004999999999995</v>
      </c>
      <c r="G555" s="2">
        <f ca="1">IFERROR(__xludf.DUMMYFUNCTION("""COMPUTED_VALUE"""),0.67883)</f>
        <v>0.67883000000000004</v>
      </c>
      <c r="H555" s="2">
        <f ca="1">IFERROR(__xludf.DUMMYFUNCTION("""COMPUTED_VALUE"""),53.677)</f>
        <v>53.677</v>
      </c>
      <c r="I555" s="2">
        <f ca="1">IFERROR(__xludf.DUMMYFUNCTION("""COMPUTED_VALUE"""),51.87)</f>
        <v>51.87</v>
      </c>
      <c r="J555" s="2">
        <f ca="1">IFERROR(__xludf.DUMMYFUNCTION("""COMPUTED_VALUE"""),40.798)</f>
        <v>40.798000000000002</v>
      </c>
      <c r="K555" s="2">
        <f ca="1">IFERROR(__xludf.DUMMYFUNCTION("""COMPUTED_VALUE"""),52.711)</f>
        <v>52.710999999999999</v>
      </c>
      <c r="L555" s="2">
        <f ca="1">IFERROR(__xludf.DUMMYFUNCTION("""COMPUTED_VALUE"""),9.403)</f>
        <v>9.4030000000000005</v>
      </c>
      <c r="M555" s="2">
        <f ca="1">IFERROR(__xludf.DUMMYFUNCTION("""COMPUTED_VALUE"""),13.871)</f>
        <v>13.871</v>
      </c>
      <c r="U555" s="3" t="e">
        <f ca="1"/>
        <v>#NAME?</v>
      </c>
    </row>
    <row r="556" spans="3:21" ht="12.5" x14ac:dyDescent="0.25">
      <c r="C556" s="4">
        <f ca="1">IFERROR(__xludf.DUMMYFUNCTION("""COMPUTED_VALUE"""),40822.9986111111)</f>
        <v>40822.998611111099</v>
      </c>
      <c r="D556" s="2">
        <f ca="1">IFERROR(__xludf.DUMMYFUNCTION("""COMPUTED_VALUE"""),49.04)</f>
        <v>49.04</v>
      </c>
      <c r="E556" s="2">
        <f ca="1">IFERROR(__xludf.DUMMYFUNCTION("""COMPUTED_VALUE"""),68.374)</f>
        <v>68.373999999999995</v>
      </c>
      <c r="F556" s="2">
        <f ca="1">IFERROR(__xludf.DUMMYFUNCTION("""COMPUTED_VALUE"""),75.701)</f>
        <v>75.700999999999993</v>
      </c>
      <c r="G556" s="2">
        <f ca="1">IFERROR(__xludf.DUMMYFUNCTION("""COMPUTED_VALUE"""),0.6783)</f>
        <v>0.67830000000000001</v>
      </c>
      <c r="H556" s="2">
        <f ca="1">IFERROR(__xludf.DUMMYFUNCTION("""COMPUTED_VALUE"""),53.349)</f>
        <v>53.348999999999997</v>
      </c>
      <c r="I556" s="2">
        <f ca="1">IFERROR(__xludf.DUMMYFUNCTION("""COMPUTED_VALUE"""),51.611)</f>
        <v>51.610999999999997</v>
      </c>
      <c r="J556" s="2">
        <f ca="1">IFERROR(__xludf.DUMMYFUNCTION("""COMPUTED_VALUE"""),40.707)</f>
        <v>40.707000000000001</v>
      </c>
      <c r="K556" s="2">
        <f ca="1">IFERROR(__xludf.DUMMYFUNCTION("""COMPUTED_VALUE"""),53.317)</f>
        <v>53.317</v>
      </c>
      <c r="L556" s="2">
        <f ca="1">IFERROR(__xludf.DUMMYFUNCTION("""COMPUTED_VALUE"""),9.4144)</f>
        <v>9.4144000000000005</v>
      </c>
      <c r="M556" s="2">
        <f ca="1">IFERROR(__xludf.DUMMYFUNCTION("""COMPUTED_VALUE"""),13.947)</f>
        <v>13.946999999999999</v>
      </c>
      <c r="U556" s="3" t="e">
        <f ca="1"/>
        <v>#NAME?</v>
      </c>
    </row>
    <row r="557" spans="3:21" ht="12.5" x14ac:dyDescent="0.25">
      <c r="C557" s="4">
        <f ca="1">IFERROR(__xludf.DUMMYFUNCTION("""COMPUTED_VALUE"""),40823.9986111111)</f>
        <v>40823.998611111099</v>
      </c>
      <c r="D557" s="2">
        <f ca="1">IFERROR(__xludf.DUMMYFUNCTION("""COMPUTED_VALUE"""),48.96)</f>
        <v>48.96</v>
      </c>
      <c r="E557" s="2">
        <f ca="1">IFERROR(__xludf.DUMMYFUNCTION("""COMPUTED_VALUE"""),68.709)</f>
        <v>68.709000000000003</v>
      </c>
      <c r="F557" s="2">
        <f ca="1">IFERROR(__xludf.DUMMYFUNCTION("""COMPUTED_VALUE"""),76.155)</f>
        <v>76.155000000000001</v>
      </c>
      <c r="G557" s="2">
        <f ca="1">IFERROR(__xludf.DUMMYFUNCTION("""COMPUTED_VALUE"""),0.68284)</f>
        <v>0.68284</v>
      </c>
      <c r="H557" s="2">
        <f ca="1">IFERROR(__xludf.DUMMYFUNCTION("""COMPUTED_VALUE"""),53.754)</f>
        <v>53.753999999999998</v>
      </c>
      <c r="I557" s="2">
        <f ca="1">IFERROR(__xludf.DUMMYFUNCTION("""COMPUTED_VALUE"""),51.905)</f>
        <v>51.905000000000001</v>
      </c>
      <c r="J557" s="2">
        <f ca="1">IFERROR(__xludf.DUMMYFUNCTION("""COMPUTED_VALUE"""),40.741)</f>
        <v>40.741</v>
      </c>
      <c r="K557" s="2">
        <f ca="1">IFERROR(__xludf.DUMMYFUNCTION("""COMPUTED_VALUE"""),54.045)</f>
        <v>54.045000000000002</v>
      </c>
      <c r="L557" s="2">
        <f ca="1">IFERROR(__xludf.DUMMYFUNCTION("""COMPUTED_VALUE"""),9.4589)</f>
        <v>9.4588999999999999</v>
      </c>
      <c r="M557" s="2">
        <f ca="1">IFERROR(__xludf.DUMMYFUNCTION("""COMPUTED_VALUE"""),13.947)</f>
        <v>13.946999999999999</v>
      </c>
      <c r="U557" s="3" t="e">
        <f ca="1"/>
        <v>#NAME?</v>
      </c>
    </row>
    <row r="558" spans="3:21" ht="12.5" x14ac:dyDescent="0.25">
      <c r="C558" s="4">
        <f ca="1">IFERROR(__xludf.DUMMYFUNCTION("""COMPUTED_VALUE"""),40825.9986111111)</f>
        <v>40825.998611111099</v>
      </c>
      <c r="D558" s="2">
        <f ca="1">IFERROR(__xludf.DUMMYFUNCTION("""COMPUTED_VALUE"""),48.893)</f>
        <v>48.893000000000001</v>
      </c>
      <c r="E558" s="2">
        <f ca="1">IFERROR(__xludf.DUMMYFUNCTION("""COMPUTED_VALUE"""),68.678)</f>
        <v>68.677999999999997</v>
      </c>
      <c r="F558" s="2">
        <f ca="1">IFERROR(__xludf.DUMMYFUNCTION("""COMPUTED_VALUE"""),76.08)</f>
        <v>76.08</v>
      </c>
      <c r="G558" s="2">
        <f ca="1">IFERROR(__xludf.DUMMYFUNCTION("""COMPUTED_VALUE"""),0.68796)</f>
        <v>0.68796000000000002</v>
      </c>
      <c r="H558" s="2">
        <f ca="1">IFERROR(__xludf.DUMMYFUNCTION("""COMPUTED_VALUE"""),54.272)</f>
        <v>54.271999999999998</v>
      </c>
      <c r="I558" s="2">
        <f ca="1">IFERROR(__xludf.DUMMYFUNCTION("""COMPUTED_VALUE"""),52.166)</f>
        <v>52.165999999999997</v>
      </c>
      <c r="J558" s="2">
        <f ca="1">IFERROR(__xludf.DUMMYFUNCTION("""COMPUTED_VALUE"""),40.873)</f>
        <v>40.872999999999998</v>
      </c>
      <c r="K558" s="2">
        <f ca="1">IFERROR(__xludf.DUMMYFUNCTION("""COMPUTED_VALUE"""),54.338)</f>
        <v>54.338000000000001</v>
      </c>
      <c r="L558" s="2">
        <f ca="1">IFERROR(__xludf.DUMMYFUNCTION("""COMPUTED_VALUE"""),9.4586)</f>
        <v>9.4586000000000006</v>
      </c>
      <c r="M558" s="2">
        <f ca="1">IFERROR(__xludf.DUMMYFUNCTION("""COMPUTED_VALUE"""),13.947)</f>
        <v>13.946999999999999</v>
      </c>
      <c r="U558" s="3" t="e">
        <f ca="1"/>
        <v>#NAME?</v>
      </c>
    </row>
    <row r="559" spans="3:21" ht="12.5" x14ac:dyDescent="0.25">
      <c r="C559" s="4">
        <f ca="1">IFERROR(__xludf.DUMMYFUNCTION("""COMPUTED_VALUE"""),40826.9986111111)</f>
        <v>40826.998611111099</v>
      </c>
      <c r="D559" s="2">
        <f ca="1">IFERROR(__xludf.DUMMYFUNCTION("""COMPUTED_VALUE"""),48.813)</f>
        <v>48.813000000000002</v>
      </c>
      <c r="E559" s="2">
        <f ca="1">IFERROR(__xludf.DUMMYFUNCTION("""COMPUTED_VALUE"""),68.693)</f>
        <v>68.692999999999998</v>
      </c>
      <c r="F559" s="2">
        <f ca="1">IFERROR(__xludf.DUMMYFUNCTION("""COMPUTED_VALUE"""),76.533)</f>
        <v>76.533000000000001</v>
      </c>
      <c r="G559" s="2">
        <f ca="1">IFERROR(__xludf.DUMMYFUNCTION("""COMPUTED_VALUE"""),0.68851)</f>
        <v>0.68850999999999996</v>
      </c>
      <c r="H559" s="2">
        <f ca="1">IFERROR(__xludf.DUMMYFUNCTION("""COMPUTED_VALUE"""),54.108)</f>
        <v>54.107999999999997</v>
      </c>
      <c r="I559" s="2">
        <f ca="1">IFERROR(__xludf.DUMMYFUNCTION("""COMPUTED_VALUE"""),51.887)</f>
        <v>51.887</v>
      </c>
      <c r="J559" s="2">
        <f ca="1">IFERROR(__xludf.DUMMYFUNCTION("""COMPUTED_VALUE"""),40.885)</f>
        <v>40.884999999999998</v>
      </c>
      <c r="K559" s="2">
        <f ca="1">IFERROR(__xludf.DUMMYFUNCTION("""COMPUTED_VALUE"""),54.673)</f>
        <v>54.673000000000002</v>
      </c>
      <c r="L559" s="2">
        <f ca="1">IFERROR(__xludf.DUMMYFUNCTION("""COMPUTED_VALUE"""),9.4457)</f>
        <v>9.4457000000000004</v>
      </c>
      <c r="M559" s="2">
        <f ca="1">IFERROR(__xludf.DUMMYFUNCTION("""COMPUTED_VALUE"""),14.173)</f>
        <v>14.173</v>
      </c>
      <c r="U559" s="3" t="e">
        <f ca="1"/>
        <v>#NAME?</v>
      </c>
    </row>
    <row r="560" spans="3:21" ht="12.5" x14ac:dyDescent="0.25">
      <c r="C560" s="4">
        <f ca="1">IFERROR(__xludf.DUMMYFUNCTION("""COMPUTED_VALUE"""),40827.9986111111)</f>
        <v>40827.998611111099</v>
      </c>
      <c r="D560" s="2">
        <f ca="1">IFERROR(__xludf.DUMMYFUNCTION("""COMPUTED_VALUE"""),49.238)</f>
        <v>49.238</v>
      </c>
      <c r="E560" s="2">
        <f ca="1">IFERROR(__xludf.DUMMYFUNCTION("""COMPUTED_VALUE"""),68.794)</f>
        <v>68.793999999999997</v>
      </c>
      <c r="F560" s="2">
        <f ca="1">IFERROR(__xludf.DUMMYFUNCTION("""COMPUTED_VALUE"""),76.706)</f>
        <v>76.706000000000003</v>
      </c>
      <c r="G560" s="2">
        <f ca="1">IFERROR(__xludf.DUMMYFUNCTION("""COMPUTED_VALUE"""),0.69227)</f>
        <v>0.69227000000000005</v>
      </c>
      <c r="H560" s="2">
        <f ca="1">IFERROR(__xludf.DUMMYFUNCTION("""COMPUTED_VALUE"""),54.417)</f>
        <v>54.417000000000002</v>
      </c>
      <c r="I560" s="2">
        <f ca="1">IFERROR(__xludf.DUMMYFUNCTION("""COMPUTED_VALUE"""),52.153)</f>
        <v>52.152999999999999</v>
      </c>
      <c r="J560" s="2">
        <f ca="1">IFERROR(__xludf.DUMMYFUNCTION("""COMPUTED_VALUE"""),41.027)</f>
        <v>41.027000000000001</v>
      </c>
      <c r="K560" s="2">
        <f ca="1">IFERROR(__xludf.DUMMYFUNCTION("""COMPUTED_VALUE"""),53.809)</f>
        <v>53.808999999999997</v>
      </c>
      <c r="L560" s="2">
        <f ca="1">IFERROR(__xludf.DUMMYFUNCTION("""COMPUTED_VALUE"""),9.2778)</f>
        <v>9.2777999999999992</v>
      </c>
      <c r="M560" s="2">
        <f ca="1">IFERROR(__xludf.DUMMYFUNCTION("""COMPUTED_VALUE"""),14.289)</f>
        <v>14.289</v>
      </c>
      <c r="U560" s="3" t="e">
        <f ca="1"/>
        <v>#NAME?</v>
      </c>
    </row>
    <row r="561" spans="3:21" ht="12.5" x14ac:dyDescent="0.25">
      <c r="C561" s="4">
        <f ca="1">IFERROR(__xludf.DUMMYFUNCTION("""COMPUTED_VALUE"""),40828.9986111111)</f>
        <v>40828.998611111099</v>
      </c>
      <c r="D561" s="2">
        <f ca="1">IFERROR(__xludf.DUMMYFUNCTION("""COMPUTED_VALUE"""),48.91)</f>
        <v>48.91</v>
      </c>
      <c r="E561" s="2">
        <f ca="1">IFERROR(__xludf.DUMMYFUNCTION("""COMPUTED_VALUE"""),69.235)</f>
        <v>69.234999999999999</v>
      </c>
      <c r="F561" s="2">
        <f ca="1">IFERROR(__xludf.DUMMYFUNCTION("""COMPUTED_VALUE"""),77.136)</f>
        <v>77.135999999999996</v>
      </c>
      <c r="G561" s="2">
        <f ca="1">IFERROR(__xludf.DUMMYFUNCTION("""COMPUTED_VALUE"""),0.6917)</f>
        <v>0.69169999999999998</v>
      </c>
      <c r="H561" s="2">
        <f ca="1">IFERROR(__xludf.DUMMYFUNCTION("""COMPUTED_VALUE"""),55.039)</f>
        <v>55.039000000000001</v>
      </c>
      <c r="I561" s="2">
        <f ca="1">IFERROR(__xludf.DUMMYFUNCTION("""COMPUTED_VALUE"""),52.483)</f>
        <v>52.482999999999997</v>
      </c>
      <c r="J561" s="2">
        <f ca="1">IFERROR(__xludf.DUMMYFUNCTION("""COMPUTED_VALUE"""),41.319)</f>
        <v>41.319000000000003</v>
      </c>
      <c r="K561" s="2">
        <f ca="1">IFERROR(__xludf.DUMMYFUNCTION("""COMPUTED_VALUE"""),53.91)</f>
        <v>53.91</v>
      </c>
      <c r="L561" s="2">
        <f ca="1">IFERROR(__xludf.DUMMYFUNCTION("""COMPUTED_VALUE"""),9.4471)</f>
        <v>9.4471000000000007</v>
      </c>
      <c r="M561" s="2">
        <f ca="1">IFERROR(__xludf.DUMMYFUNCTION("""COMPUTED_VALUE"""),14.228)</f>
        <v>14.228</v>
      </c>
      <c r="U561" s="3" t="e">
        <f ca="1"/>
        <v>#NAME?</v>
      </c>
    </row>
    <row r="562" spans="3:21" ht="12.5" x14ac:dyDescent="0.25">
      <c r="C562" s="4">
        <f ca="1">IFERROR(__xludf.DUMMYFUNCTION("""COMPUTED_VALUE"""),40829.9986111111)</f>
        <v>40829.998611111099</v>
      </c>
      <c r="D562" s="2">
        <f ca="1">IFERROR(__xludf.DUMMYFUNCTION("""COMPUTED_VALUE"""),49.2)</f>
        <v>49.2</v>
      </c>
      <c r="E562" s="2">
        <f ca="1">IFERROR(__xludf.DUMMYFUNCTION("""COMPUTED_VALUE"""),68.271)</f>
        <v>68.271000000000001</v>
      </c>
      <c r="F562" s="2">
        <f ca="1">IFERROR(__xludf.DUMMYFUNCTION("""COMPUTED_VALUE"""),77.406)</f>
        <v>77.406000000000006</v>
      </c>
      <c r="G562" s="2">
        <f ca="1">IFERROR(__xludf.DUMMYFUNCTION("""COMPUTED_VALUE"""),0.68848)</f>
        <v>0.68847999999999998</v>
      </c>
      <c r="H562" s="2">
        <f ca="1">IFERROR(__xludf.DUMMYFUNCTION("""COMPUTED_VALUE"""),54.632)</f>
        <v>54.631999999999998</v>
      </c>
      <c r="I562" s="2">
        <f ca="1">IFERROR(__xludf.DUMMYFUNCTION("""COMPUTED_VALUE"""),52.1)</f>
        <v>52.1</v>
      </c>
      <c r="J562" s="2">
        <f ca="1">IFERROR(__xludf.DUMMYFUNCTION("""COMPUTED_VALUE"""),41.007)</f>
        <v>41.006999999999998</v>
      </c>
      <c r="K562" s="2">
        <f ca="1">IFERROR(__xludf.DUMMYFUNCTION("""COMPUTED_VALUE"""),53.897)</f>
        <v>53.896999999999998</v>
      </c>
      <c r="L562" s="2">
        <f ca="1">IFERROR(__xludf.DUMMYFUNCTION("""COMPUTED_VALUE"""),9.47)</f>
        <v>9.4700000000000006</v>
      </c>
      <c r="M562" s="2">
        <f ca="1">IFERROR(__xludf.DUMMYFUNCTION("""COMPUTED_VALUE"""),14.175)</f>
        <v>14.175000000000001</v>
      </c>
      <c r="U562" s="3" t="e">
        <f ca="1"/>
        <v>#NAME?</v>
      </c>
    </row>
    <row r="563" spans="3:21" ht="12.5" x14ac:dyDescent="0.25">
      <c r="C563" s="4">
        <f ca="1">IFERROR(__xludf.DUMMYFUNCTION("""COMPUTED_VALUE"""),40830.9986111111)</f>
        <v>40830.998611111099</v>
      </c>
      <c r="D563" s="2">
        <f ca="1">IFERROR(__xludf.DUMMYFUNCTION("""COMPUTED_VALUE"""),48.85)</f>
        <v>48.85</v>
      </c>
      <c r="E563" s="2">
        <f ca="1">IFERROR(__xludf.DUMMYFUNCTION("""COMPUTED_VALUE"""),67.464)</f>
        <v>67.463999999999999</v>
      </c>
      <c r="F563" s="2">
        <f ca="1">IFERROR(__xludf.DUMMYFUNCTION("""COMPUTED_VALUE"""),77.277)</f>
        <v>77.277000000000001</v>
      </c>
      <c r="G563" s="2">
        <f ca="1">IFERROR(__xludf.DUMMYFUNCTION("""COMPUTED_VALUE"""),0.68404)</f>
        <v>0.68403999999999998</v>
      </c>
      <c r="H563" s="2">
        <f ca="1">IFERROR(__xludf.DUMMYFUNCTION("""COMPUTED_VALUE"""),54.148)</f>
        <v>54.148000000000003</v>
      </c>
      <c r="I563" s="2">
        <f ca="1">IFERROR(__xludf.DUMMYFUNCTION("""COMPUTED_VALUE"""),51.736)</f>
        <v>51.735999999999997</v>
      </c>
      <c r="J563" s="2">
        <f ca="1">IFERROR(__xludf.DUMMYFUNCTION("""COMPUTED_VALUE"""),40.842)</f>
        <v>40.841999999999999</v>
      </c>
      <c r="K563" s="2">
        <f ca="1">IFERROR(__xludf.DUMMYFUNCTION("""COMPUTED_VALUE"""),53.903)</f>
        <v>53.902999999999999</v>
      </c>
      <c r="L563" s="2">
        <f ca="1">IFERROR(__xludf.DUMMYFUNCTION("""COMPUTED_VALUE"""),9.4678)</f>
        <v>9.4678000000000004</v>
      </c>
      <c r="M563" s="2">
        <f ca="1">IFERROR(__xludf.DUMMYFUNCTION("""COMPUTED_VALUE"""),14.22)</f>
        <v>14.22</v>
      </c>
      <c r="U563" s="3" t="e">
        <f ca="1"/>
        <v>#NAME?</v>
      </c>
    </row>
    <row r="564" spans="3:21" ht="12.5" x14ac:dyDescent="0.25">
      <c r="C564" s="4">
        <f ca="1">IFERROR(__xludf.DUMMYFUNCTION("""COMPUTED_VALUE"""),40831.9986111111)</f>
        <v>40831.998611111099</v>
      </c>
      <c r="D564" s="2">
        <f ca="1">IFERROR(__xludf.DUMMYFUNCTION("""COMPUTED_VALUE"""),48.893)</f>
        <v>48.893000000000001</v>
      </c>
      <c r="E564" s="2">
        <f ca="1">IFERROR(__xludf.DUMMYFUNCTION("""COMPUTED_VALUE"""),66.922)</f>
        <v>66.921999999999997</v>
      </c>
      <c r="F564" s="2">
        <f ca="1">IFERROR(__xludf.DUMMYFUNCTION("""COMPUTED_VALUE"""),77.288)</f>
        <v>77.287999999999997</v>
      </c>
      <c r="G564" s="2">
        <f ca="1">IFERROR(__xludf.DUMMYFUNCTION("""COMPUTED_VALUE"""),0.68351)</f>
        <v>0.68350999999999995</v>
      </c>
      <c r="H564" s="2">
        <f ca="1">IFERROR(__xludf.DUMMYFUNCTION("""COMPUTED_VALUE"""),53.804)</f>
        <v>53.804000000000002</v>
      </c>
      <c r="I564" s="2">
        <f ca="1">IFERROR(__xludf.DUMMYFUNCTION("""COMPUTED_VALUE"""),51.194)</f>
        <v>51.194000000000003</v>
      </c>
      <c r="J564" s="2">
        <f ca="1">IFERROR(__xludf.DUMMYFUNCTION("""COMPUTED_VALUE"""),40.66)</f>
        <v>40.659999999999997</v>
      </c>
      <c r="K564" s="2">
        <f ca="1">IFERROR(__xludf.DUMMYFUNCTION("""COMPUTED_VALUE"""),54.457)</f>
        <v>54.457000000000001</v>
      </c>
      <c r="L564" s="2">
        <f ca="1">IFERROR(__xludf.DUMMYFUNCTION("""COMPUTED_VALUE"""),9.4381)</f>
        <v>9.4381000000000004</v>
      </c>
      <c r="M564" s="2">
        <f ca="1">IFERROR(__xludf.DUMMYFUNCTION("""COMPUTED_VALUE"""),14.22)</f>
        <v>14.22</v>
      </c>
      <c r="U564" s="3" t="e">
        <f ca="1"/>
        <v>#NAME?</v>
      </c>
    </row>
    <row r="565" spans="3:21" ht="12.5" x14ac:dyDescent="0.25">
      <c r="C565" s="4">
        <f ca="1">IFERROR(__xludf.DUMMYFUNCTION("""COMPUTED_VALUE"""),40833.9986111111)</f>
        <v>40833.998611111099</v>
      </c>
      <c r="D565" s="2">
        <f ca="1">IFERROR(__xludf.DUMMYFUNCTION("""COMPUTED_VALUE"""),48.9)</f>
        <v>48.9</v>
      </c>
      <c r="E565" s="2">
        <f ca="1">IFERROR(__xludf.DUMMYFUNCTION("""COMPUTED_VALUE"""),66.955)</f>
        <v>66.954999999999998</v>
      </c>
      <c r="F565" s="2">
        <f ca="1">IFERROR(__xludf.DUMMYFUNCTION("""COMPUTED_VALUE"""),77.069)</f>
        <v>77.069000000000003</v>
      </c>
      <c r="G565" s="2">
        <f ca="1">IFERROR(__xludf.DUMMYFUNCTION("""COMPUTED_VALUE"""),0.68408)</f>
        <v>0.68408000000000002</v>
      </c>
      <c r="H565" s="2">
        <f ca="1">IFERROR(__xludf.DUMMYFUNCTION("""COMPUTED_VALUE"""),53.857)</f>
        <v>53.856999999999999</v>
      </c>
      <c r="I565" s="2">
        <f ca="1">IFERROR(__xludf.DUMMYFUNCTION("""COMPUTED_VALUE"""),51.425)</f>
        <v>51.424999999999997</v>
      </c>
      <c r="J565" s="2">
        <f ca="1">IFERROR(__xludf.DUMMYFUNCTION("""COMPUTED_VALUE"""),40.68)</f>
        <v>40.68</v>
      </c>
      <c r="K565" s="2">
        <f ca="1">IFERROR(__xludf.DUMMYFUNCTION("""COMPUTED_VALUE"""),54.556)</f>
        <v>54.555999999999997</v>
      </c>
      <c r="L565" s="2">
        <f ca="1">IFERROR(__xludf.DUMMYFUNCTION("""COMPUTED_VALUE"""),9.4384)</f>
        <v>9.4383999999999997</v>
      </c>
      <c r="M565" s="2">
        <f ca="1">IFERROR(__xludf.DUMMYFUNCTION("""COMPUTED_VALUE"""),14.22)</f>
        <v>14.22</v>
      </c>
      <c r="U565" s="3" t="e">
        <f ca="1"/>
        <v>#NAME?</v>
      </c>
    </row>
    <row r="566" spans="3:21" ht="12.5" x14ac:dyDescent="0.25">
      <c r="C566" s="4">
        <f ca="1">IFERROR(__xludf.DUMMYFUNCTION("""COMPUTED_VALUE"""),40834.9986111111)</f>
        <v>40834.998611111099</v>
      </c>
      <c r="D566" s="2">
        <f ca="1">IFERROR(__xludf.DUMMYFUNCTION("""COMPUTED_VALUE"""),49.24)</f>
        <v>49.24</v>
      </c>
      <c r="E566" s="2">
        <f ca="1">IFERROR(__xludf.DUMMYFUNCTION("""COMPUTED_VALUE"""),66.871)</f>
        <v>66.870999999999995</v>
      </c>
      <c r="F566" s="2">
        <f ca="1">IFERROR(__xludf.DUMMYFUNCTION("""COMPUTED_VALUE"""),77.528)</f>
        <v>77.528000000000006</v>
      </c>
      <c r="G566" s="2">
        <f ca="1">IFERROR(__xludf.DUMMYFUNCTION("""COMPUTED_VALUE"""),0.68145)</f>
        <v>0.68145</v>
      </c>
      <c r="H566" s="2">
        <f ca="1">IFERROR(__xludf.DUMMYFUNCTION("""COMPUTED_VALUE"""),53.627)</f>
        <v>53.627000000000002</v>
      </c>
      <c r="I566" s="2">
        <f ca="1">IFERROR(__xludf.DUMMYFUNCTION("""COMPUTED_VALUE"""),51.17)</f>
        <v>51.17</v>
      </c>
      <c r="J566" s="2">
        <f ca="1">IFERROR(__xludf.DUMMYFUNCTION("""COMPUTED_VALUE"""),40.439)</f>
        <v>40.439</v>
      </c>
      <c r="K566" s="2">
        <f ca="1">IFERROR(__xludf.DUMMYFUNCTION("""COMPUTED_VALUE"""),54.546)</f>
        <v>54.545999999999999</v>
      </c>
      <c r="L566" s="2">
        <f ca="1">IFERROR(__xludf.DUMMYFUNCTION("""COMPUTED_VALUE"""),9.4723)</f>
        <v>9.4723000000000006</v>
      </c>
      <c r="M566" s="2">
        <f ca="1">IFERROR(__xludf.DUMMYFUNCTION("""COMPUTED_VALUE"""),14.142)</f>
        <v>14.141999999999999</v>
      </c>
      <c r="U566" s="3" t="e">
        <f ca="1"/>
        <v>#NAME?</v>
      </c>
    </row>
    <row r="567" spans="3:21" ht="12.5" x14ac:dyDescent="0.25">
      <c r="C567" s="4">
        <f ca="1">IFERROR(__xludf.DUMMYFUNCTION("""COMPUTED_VALUE"""),40835.9986111111)</f>
        <v>40835.998611111099</v>
      </c>
      <c r="D567" s="2">
        <f ca="1">IFERROR(__xludf.DUMMYFUNCTION("""COMPUTED_VALUE"""),49.01)</f>
        <v>49.01</v>
      </c>
      <c r="E567" s="2">
        <f ca="1">IFERROR(__xludf.DUMMYFUNCTION("""COMPUTED_VALUE"""),65.892)</f>
        <v>65.891999999999996</v>
      </c>
      <c r="F567" s="2">
        <f ca="1">IFERROR(__xludf.DUMMYFUNCTION("""COMPUTED_VALUE"""),77.274)</f>
        <v>77.274000000000001</v>
      </c>
      <c r="G567" s="2">
        <f ca="1">IFERROR(__xludf.DUMMYFUNCTION("""COMPUTED_VALUE"""),0.67148)</f>
        <v>0.67147999999999997</v>
      </c>
      <c r="H567" s="2">
        <f ca="1">IFERROR(__xludf.DUMMYFUNCTION("""COMPUTED_VALUE"""),53.196)</f>
        <v>53.195999999999998</v>
      </c>
      <c r="I567" s="2">
        <f ca="1">IFERROR(__xludf.DUMMYFUNCTION("""COMPUTED_VALUE"""),50.737)</f>
        <v>50.737000000000002</v>
      </c>
      <c r="J567" s="2">
        <f ca="1">IFERROR(__xludf.DUMMYFUNCTION("""COMPUTED_VALUE"""),40.022)</f>
        <v>40.021999999999998</v>
      </c>
      <c r="K567" s="2">
        <f ca="1">IFERROR(__xludf.DUMMYFUNCTION("""COMPUTED_VALUE"""),54.546)</f>
        <v>54.545999999999999</v>
      </c>
      <c r="L567" s="2">
        <f ca="1">IFERROR(__xludf.DUMMYFUNCTION("""COMPUTED_VALUE"""),9.4533)</f>
        <v>9.4533000000000005</v>
      </c>
      <c r="M567" s="2">
        <f ca="1">IFERROR(__xludf.DUMMYFUNCTION("""COMPUTED_VALUE"""),14.132)</f>
        <v>14.132</v>
      </c>
      <c r="U567" s="3" t="e">
        <f ca="1"/>
        <v>#NAME?</v>
      </c>
    </row>
    <row r="568" spans="3:21" ht="12.5" x14ac:dyDescent="0.25">
      <c r="C568" s="4">
        <f ca="1">IFERROR(__xludf.DUMMYFUNCTION("""COMPUTED_VALUE"""),40836.9986111111)</f>
        <v>40836.998611111099</v>
      </c>
      <c r="D568" s="2">
        <f ca="1">IFERROR(__xludf.DUMMYFUNCTION("""COMPUTED_VALUE"""),49.86)</f>
        <v>49.86</v>
      </c>
      <c r="E568" s="2">
        <f ca="1">IFERROR(__xludf.DUMMYFUNCTION("""COMPUTED_VALUE"""),65.706)</f>
        <v>65.706000000000003</v>
      </c>
      <c r="F568" s="2">
        <f ca="1">IFERROR(__xludf.DUMMYFUNCTION("""COMPUTED_VALUE"""),78.739)</f>
        <v>78.739000000000004</v>
      </c>
      <c r="G568" s="2">
        <f ca="1">IFERROR(__xludf.DUMMYFUNCTION("""COMPUTED_VALUE"""),0.67323)</f>
        <v>0.67323</v>
      </c>
      <c r="H568" s="2">
        <f ca="1">IFERROR(__xludf.DUMMYFUNCTION("""COMPUTED_VALUE"""),53.305)</f>
        <v>53.305</v>
      </c>
      <c r="I568" s="2">
        <f ca="1">IFERROR(__xludf.DUMMYFUNCTION("""COMPUTED_VALUE"""),50.743)</f>
        <v>50.743000000000002</v>
      </c>
      <c r="J568" s="2">
        <f ca="1">IFERROR(__xludf.DUMMYFUNCTION("""COMPUTED_VALUE"""),40.044)</f>
        <v>40.043999999999997</v>
      </c>
      <c r="K568" s="2">
        <f ca="1">IFERROR(__xludf.DUMMYFUNCTION("""COMPUTED_VALUE"""),54.439)</f>
        <v>54.439</v>
      </c>
      <c r="L568" s="2">
        <f ca="1">IFERROR(__xludf.DUMMYFUNCTION("""COMPUTED_VALUE"""),9.4474)</f>
        <v>9.4474</v>
      </c>
      <c r="M568" s="2">
        <f ca="1">IFERROR(__xludf.DUMMYFUNCTION("""COMPUTED_VALUE"""),14.084)</f>
        <v>14.084</v>
      </c>
      <c r="U568" s="3" t="e">
        <f ca="1"/>
        <v>#NAME?</v>
      </c>
    </row>
    <row r="569" spans="3:21" ht="12.5" x14ac:dyDescent="0.25">
      <c r="C569" s="4">
        <f ca="1">IFERROR(__xludf.DUMMYFUNCTION("""COMPUTED_VALUE"""),40837.9986111111)</f>
        <v>40837.998611111099</v>
      </c>
      <c r="D569" s="2">
        <f ca="1">IFERROR(__xludf.DUMMYFUNCTION("""COMPUTED_VALUE"""),49.7)</f>
        <v>49.7</v>
      </c>
      <c r="E569" s="2">
        <f ca="1">IFERROR(__xludf.DUMMYFUNCTION("""COMPUTED_VALUE"""),66.033)</f>
        <v>66.033000000000001</v>
      </c>
      <c r="F569" s="2">
        <f ca="1">IFERROR(__xludf.DUMMYFUNCTION("""COMPUTED_VALUE"""),79.328)</f>
        <v>79.328000000000003</v>
      </c>
      <c r="G569" s="2">
        <f ca="1">IFERROR(__xludf.DUMMYFUNCTION("""COMPUTED_VALUE"""),0.67052)</f>
        <v>0.67052</v>
      </c>
      <c r="H569" s="2">
        <f ca="1">IFERROR(__xludf.DUMMYFUNCTION("""COMPUTED_VALUE"""),53.102)</f>
        <v>53.101999999999997</v>
      </c>
      <c r="I569" s="2">
        <f ca="1">IFERROR(__xludf.DUMMYFUNCTION("""COMPUTED_VALUE"""),50.534)</f>
        <v>50.533999999999999</v>
      </c>
      <c r="J569" s="2">
        <f ca="1">IFERROR(__xludf.DUMMYFUNCTION("""COMPUTED_VALUE"""),39.892)</f>
        <v>39.892000000000003</v>
      </c>
      <c r="K569" s="2">
        <f ca="1">IFERROR(__xludf.DUMMYFUNCTION("""COMPUTED_VALUE"""),54.233)</f>
        <v>54.232999999999997</v>
      </c>
      <c r="L569" s="2">
        <f ca="1">IFERROR(__xludf.DUMMYFUNCTION("""COMPUTED_VALUE"""),9.4741)</f>
        <v>9.4741</v>
      </c>
      <c r="M569" s="2">
        <f ca="1">IFERROR(__xludf.DUMMYFUNCTION("""COMPUTED_VALUE"""),13.949)</f>
        <v>13.949</v>
      </c>
      <c r="U569" s="3" t="e">
        <f ca="1"/>
        <v>#NAME?</v>
      </c>
    </row>
    <row r="570" spans="3:21" ht="12.5" x14ac:dyDescent="0.25">
      <c r="C570" s="4">
        <f ca="1">IFERROR(__xludf.DUMMYFUNCTION("""COMPUTED_VALUE"""),40838.9986111111)</f>
        <v>40838.998611111099</v>
      </c>
      <c r="D570" s="2">
        <f ca="1">IFERROR(__xludf.DUMMYFUNCTION("""COMPUTED_VALUE"""),49.823)</f>
        <v>49.823</v>
      </c>
      <c r="E570" s="2">
        <f ca="1">IFERROR(__xludf.DUMMYFUNCTION("""COMPUTED_VALUE"""),65.163)</f>
        <v>65.162999999999997</v>
      </c>
      <c r="F570" s="2">
        <f ca="1">IFERROR(__xludf.DUMMYFUNCTION("""COMPUTED_VALUE"""),79.485)</f>
        <v>79.484999999999999</v>
      </c>
      <c r="G570" s="2">
        <f ca="1">IFERROR(__xludf.DUMMYFUNCTION("""COMPUTED_VALUE"""),0.66801)</f>
        <v>0.66800999999999999</v>
      </c>
      <c r="H570" s="2">
        <f ca="1">IFERROR(__xludf.DUMMYFUNCTION("""COMPUTED_VALUE"""),52.897)</f>
        <v>52.896999999999998</v>
      </c>
      <c r="I570" s="2">
        <f ca="1">IFERROR(__xludf.DUMMYFUNCTION("""COMPUTED_VALUE"""),50.183)</f>
        <v>50.183</v>
      </c>
      <c r="J570" s="2">
        <f ca="1">IFERROR(__xludf.DUMMYFUNCTION("""COMPUTED_VALUE"""),39.742)</f>
        <v>39.741999999999997</v>
      </c>
      <c r="K570" s="2">
        <f ca="1">IFERROR(__xludf.DUMMYFUNCTION("""COMPUTED_VALUE"""),54.468)</f>
        <v>54.468000000000004</v>
      </c>
      <c r="L570" s="2">
        <f ca="1">IFERROR(__xludf.DUMMYFUNCTION("""COMPUTED_VALUE"""),9.4565)</f>
        <v>9.4565000000000001</v>
      </c>
      <c r="M570" s="2">
        <f ca="1">IFERROR(__xludf.DUMMYFUNCTION("""COMPUTED_VALUE"""),13.899)</f>
        <v>13.898999999999999</v>
      </c>
      <c r="U570" s="3" t="e">
        <f ca="1"/>
        <v>#NAME?</v>
      </c>
    </row>
    <row r="571" spans="3:21" ht="12.5" x14ac:dyDescent="0.25">
      <c r="C571" s="4">
        <f ca="1">IFERROR(__xludf.DUMMYFUNCTION("""COMPUTED_VALUE"""),40840.9986111111)</f>
        <v>40840.998611111099</v>
      </c>
      <c r="D571" s="2">
        <f ca="1">IFERROR(__xludf.DUMMYFUNCTION("""COMPUTED_VALUE"""),49.55)</f>
        <v>49.55</v>
      </c>
      <c r="E571" s="2">
        <f ca="1">IFERROR(__xludf.DUMMYFUNCTION("""COMPUTED_VALUE"""),65.212)</f>
        <v>65.212000000000003</v>
      </c>
      <c r="F571" s="2">
        <f ca="1">IFERROR(__xludf.DUMMYFUNCTION("""COMPUTED_VALUE"""),79.231)</f>
        <v>79.230999999999995</v>
      </c>
      <c r="G571" s="2">
        <f ca="1">IFERROR(__xludf.DUMMYFUNCTION("""COMPUTED_VALUE"""),0.66879)</f>
        <v>0.66879</v>
      </c>
      <c r="H571" s="2">
        <f ca="1">IFERROR(__xludf.DUMMYFUNCTION("""COMPUTED_VALUE"""),52.94)</f>
        <v>52.94</v>
      </c>
      <c r="I571" s="2">
        <f ca="1">IFERROR(__xludf.DUMMYFUNCTION("""COMPUTED_VALUE"""),50.284)</f>
        <v>50.283999999999999</v>
      </c>
      <c r="J571" s="2">
        <f ca="1">IFERROR(__xludf.DUMMYFUNCTION("""COMPUTED_VALUE"""),39.784)</f>
        <v>39.783999999999999</v>
      </c>
      <c r="K571" s="2">
        <f ca="1">IFERROR(__xludf.DUMMYFUNCTION("""COMPUTED_VALUE"""),54.022)</f>
        <v>54.021999999999998</v>
      </c>
      <c r="L571" s="2">
        <f ca="1">IFERROR(__xludf.DUMMYFUNCTION("""COMPUTED_VALUE"""),9.4461)</f>
        <v>9.4460999999999995</v>
      </c>
      <c r="M571" s="2">
        <f ca="1">IFERROR(__xludf.DUMMYFUNCTION("""COMPUTED_VALUE"""),13.899)</f>
        <v>13.898999999999999</v>
      </c>
      <c r="U571" s="3" t="e">
        <f ca="1"/>
        <v>#NAME?</v>
      </c>
    </row>
    <row r="572" spans="3:21" ht="12.5" x14ac:dyDescent="0.25">
      <c r="C572" s="4">
        <f ca="1">IFERROR(__xludf.DUMMYFUNCTION("""COMPUTED_VALUE"""),40841.9986111111)</f>
        <v>40841.998611111099</v>
      </c>
      <c r="D572" s="2">
        <f ca="1">IFERROR(__xludf.DUMMYFUNCTION("""COMPUTED_VALUE"""),49.41)</f>
        <v>49.41</v>
      </c>
      <c r="E572" s="2">
        <f ca="1">IFERROR(__xludf.DUMMYFUNCTION("""COMPUTED_VALUE"""),65.023)</f>
        <v>65.022999999999996</v>
      </c>
      <c r="F572" s="2">
        <f ca="1">IFERROR(__xludf.DUMMYFUNCTION("""COMPUTED_VALUE"""),79.043)</f>
        <v>79.043000000000006</v>
      </c>
      <c r="G572" s="2">
        <f ca="1">IFERROR(__xludf.DUMMYFUNCTION("""COMPUTED_VALUE"""),0.66839)</f>
        <v>0.66839000000000004</v>
      </c>
      <c r="H572" s="2">
        <f ca="1">IFERROR(__xludf.DUMMYFUNCTION("""COMPUTED_VALUE"""),52.986)</f>
        <v>52.985999999999997</v>
      </c>
      <c r="I572" s="2">
        <f ca="1">IFERROR(__xludf.DUMMYFUNCTION("""COMPUTED_VALUE"""),50.417)</f>
        <v>50.417000000000002</v>
      </c>
      <c r="J572" s="2">
        <f ca="1">IFERROR(__xludf.DUMMYFUNCTION("""COMPUTED_VALUE"""),39.757)</f>
        <v>39.756999999999998</v>
      </c>
      <c r="K572" s="2">
        <f ca="1">IFERROR(__xludf.DUMMYFUNCTION("""COMPUTED_VALUE"""),53.35)</f>
        <v>53.35</v>
      </c>
      <c r="L572" s="2">
        <f ca="1">IFERROR(__xludf.DUMMYFUNCTION("""COMPUTED_VALUE"""),9.4417)</f>
        <v>9.4417000000000009</v>
      </c>
      <c r="M572" s="2">
        <f ca="1">IFERROR(__xludf.DUMMYFUNCTION("""COMPUTED_VALUE"""),13.913)</f>
        <v>13.913</v>
      </c>
      <c r="U572" s="3" t="e">
        <f ca="1"/>
        <v>#NAME?</v>
      </c>
    </row>
    <row r="573" spans="3:21" ht="12.5" x14ac:dyDescent="0.25">
      <c r="C573" s="4">
        <f ca="1">IFERROR(__xludf.DUMMYFUNCTION("""COMPUTED_VALUE"""),40842.9986111111)</f>
        <v>40842.998611111099</v>
      </c>
      <c r="D573" s="2">
        <f ca="1">IFERROR(__xludf.DUMMYFUNCTION("""COMPUTED_VALUE"""),49.36)</f>
        <v>49.36</v>
      </c>
      <c r="E573" s="2">
        <f ca="1">IFERROR(__xludf.DUMMYFUNCTION("""COMPUTED_VALUE"""),64.538)</f>
        <v>64.537999999999997</v>
      </c>
      <c r="F573" s="2">
        <f ca="1">IFERROR(__xludf.DUMMYFUNCTION("""COMPUTED_VALUE"""),78.793)</f>
        <v>78.793000000000006</v>
      </c>
      <c r="G573" s="2">
        <f ca="1">IFERROR(__xludf.DUMMYFUNCTION("""COMPUTED_VALUE"""),0.65931)</f>
        <v>0.65930999999999995</v>
      </c>
      <c r="H573" s="2">
        <f ca="1">IFERROR(__xludf.DUMMYFUNCTION("""COMPUTED_VALUE"""),52.567)</f>
        <v>52.567</v>
      </c>
      <c r="I573" s="2">
        <f ca="1">IFERROR(__xludf.DUMMYFUNCTION("""COMPUTED_VALUE"""),49.892)</f>
        <v>49.892000000000003</v>
      </c>
      <c r="J573" s="2">
        <f ca="1">IFERROR(__xludf.DUMMYFUNCTION("""COMPUTED_VALUE"""),39.415)</f>
        <v>39.414999999999999</v>
      </c>
      <c r="K573" s="2">
        <f ca="1">IFERROR(__xludf.DUMMYFUNCTION("""COMPUTED_VALUE"""),53.793)</f>
        <v>53.792999999999999</v>
      </c>
      <c r="L573" s="2">
        <f ca="1">IFERROR(__xludf.DUMMYFUNCTION("""COMPUTED_VALUE"""),9.442)</f>
        <v>9.4420000000000002</v>
      </c>
      <c r="M573" s="2">
        <f ca="1">IFERROR(__xludf.DUMMYFUNCTION("""COMPUTED_VALUE"""),13.94)</f>
        <v>13.94</v>
      </c>
      <c r="U573" s="3" t="e">
        <f ca="1"/>
        <v>#NAME?</v>
      </c>
    </row>
    <row r="574" spans="3:21" ht="12.5" x14ac:dyDescent="0.25">
      <c r="C574" s="4">
        <f ca="1">IFERROR(__xludf.DUMMYFUNCTION("""COMPUTED_VALUE"""),40843.9986111111)</f>
        <v>40843.998611111099</v>
      </c>
      <c r="D574" s="2">
        <f ca="1">IFERROR(__xludf.DUMMYFUNCTION("""COMPUTED_VALUE"""),49.79)</f>
        <v>49.79</v>
      </c>
      <c r="E574" s="2">
        <f ca="1">IFERROR(__xludf.DUMMYFUNCTION("""COMPUTED_VALUE"""),64.717)</f>
        <v>64.716999999999999</v>
      </c>
      <c r="F574" s="2">
        <f ca="1">IFERROR(__xludf.DUMMYFUNCTION("""COMPUTED_VALUE"""),80.239)</f>
        <v>80.239000000000004</v>
      </c>
      <c r="G574" s="2">
        <f ca="1">IFERROR(__xludf.DUMMYFUNCTION("""COMPUTED_VALUE"""),0.6556)</f>
        <v>0.65559999999999996</v>
      </c>
      <c r="H574" s="2">
        <f ca="1">IFERROR(__xludf.DUMMYFUNCTION("""COMPUTED_VALUE"""),52.444)</f>
        <v>52.444000000000003</v>
      </c>
      <c r="I574" s="2">
        <f ca="1">IFERROR(__xludf.DUMMYFUNCTION("""COMPUTED_VALUE"""),49.713)</f>
        <v>49.713000000000001</v>
      </c>
      <c r="J574" s="2">
        <f ca="1">IFERROR(__xludf.DUMMYFUNCTION("""COMPUTED_VALUE"""),39.41)</f>
        <v>39.409999999999997</v>
      </c>
      <c r="K574" s="2">
        <f ca="1">IFERROR(__xludf.DUMMYFUNCTION("""COMPUTED_VALUE"""),53.211)</f>
        <v>53.210999999999999</v>
      </c>
      <c r="L574" s="2">
        <f ca="1">IFERROR(__xludf.DUMMYFUNCTION("""COMPUTED_VALUE"""),9.4423)</f>
        <v>9.4422999999999995</v>
      </c>
      <c r="M574" s="2">
        <f ca="1">IFERROR(__xludf.DUMMYFUNCTION("""COMPUTED_VALUE"""),13.94)</f>
        <v>13.94</v>
      </c>
      <c r="U574" s="3" t="e">
        <f ca="1"/>
        <v>#NAME?</v>
      </c>
    </row>
    <row r="575" spans="3:21" ht="12.5" x14ac:dyDescent="0.25">
      <c r="C575" s="4">
        <f ca="1">IFERROR(__xludf.DUMMYFUNCTION("""COMPUTED_VALUE"""),40844.9986111111)</f>
        <v>40844.998611111099</v>
      </c>
      <c r="D575" s="2">
        <f ca="1">IFERROR(__xludf.DUMMYFUNCTION("""COMPUTED_VALUE"""),48.6)</f>
        <v>48.6</v>
      </c>
      <c r="E575" s="2">
        <f ca="1">IFERROR(__xludf.DUMMYFUNCTION("""COMPUTED_VALUE"""),65.212)</f>
        <v>65.212000000000003</v>
      </c>
      <c r="F575" s="2">
        <f ca="1">IFERROR(__xludf.DUMMYFUNCTION("""COMPUTED_VALUE"""),78.333)</f>
        <v>78.332999999999998</v>
      </c>
      <c r="G575" s="2">
        <f ca="1">IFERROR(__xludf.DUMMYFUNCTION("""COMPUTED_VALUE"""),0.65231)</f>
        <v>0.65230999999999995</v>
      </c>
      <c r="H575" s="2">
        <f ca="1">IFERROR(__xludf.DUMMYFUNCTION("""COMPUTED_VALUE"""),52.398)</f>
        <v>52.398000000000003</v>
      </c>
      <c r="I575" s="2">
        <f ca="1">IFERROR(__xludf.DUMMYFUNCTION("""COMPUTED_VALUE"""),49.736)</f>
        <v>49.735999999999997</v>
      </c>
      <c r="J575" s="2">
        <f ca="1">IFERROR(__xludf.DUMMYFUNCTION("""COMPUTED_VALUE"""),39.56)</f>
        <v>39.56</v>
      </c>
      <c r="K575" s="2">
        <f ca="1">IFERROR(__xludf.DUMMYFUNCTION("""COMPUTED_VALUE"""),53.284)</f>
        <v>53.283999999999999</v>
      </c>
      <c r="L575" s="2">
        <f ca="1">IFERROR(__xludf.DUMMYFUNCTION("""COMPUTED_VALUE"""),9.4256)</f>
        <v>9.4255999999999993</v>
      </c>
      <c r="M575" s="2">
        <f ca="1">IFERROR(__xludf.DUMMYFUNCTION("""COMPUTED_VALUE"""),14.048)</f>
        <v>14.048</v>
      </c>
      <c r="U575" s="3" t="e">
        <f ca="1"/>
        <v>#NAME?</v>
      </c>
    </row>
    <row r="576" spans="3:21" ht="12.5" x14ac:dyDescent="0.25">
      <c r="C576" s="4">
        <f ca="1">IFERROR(__xludf.DUMMYFUNCTION("""COMPUTED_VALUE"""),40847.9986111111)</f>
        <v>40847.998611111099</v>
      </c>
      <c r="D576" s="2">
        <f ca="1">IFERROR(__xludf.DUMMYFUNCTION("""COMPUTED_VALUE"""),48.673)</f>
        <v>48.673000000000002</v>
      </c>
      <c r="E576" s="2">
        <f ca="1">IFERROR(__xludf.DUMMYFUNCTION("""COMPUTED_VALUE"""),64.941)</f>
        <v>64.941000000000003</v>
      </c>
      <c r="F576" s="2">
        <f ca="1">IFERROR(__xludf.DUMMYFUNCTION("""COMPUTED_VALUE"""),78.624)</f>
        <v>78.623999999999995</v>
      </c>
      <c r="G576" s="2">
        <f ca="1">IFERROR(__xludf.DUMMYFUNCTION("""COMPUTED_VALUE"""),0.65224)</f>
        <v>0.65224000000000004</v>
      </c>
      <c r="H576" s="2">
        <f ca="1">IFERROR(__xludf.DUMMYFUNCTION("""COMPUTED_VALUE"""),52.645)</f>
        <v>52.645000000000003</v>
      </c>
      <c r="I576" s="2">
        <f ca="1">IFERROR(__xludf.DUMMYFUNCTION("""COMPUTED_VALUE"""),49.558)</f>
        <v>49.558</v>
      </c>
      <c r="J576" s="2">
        <f ca="1">IFERROR(__xludf.DUMMYFUNCTION("""COMPUTED_VALUE"""),39.469)</f>
        <v>39.469000000000001</v>
      </c>
      <c r="K576" s="2">
        <f ca="1">IFERROR(__xludf.DUMMYFUNCTION("""COMPUTED_VALUE"""),52.851)</f>
        <v>52.850999999999999</v>
      </c>
      <c r="L576" s="2">
        <f ca="1">IFERROR(__xludf.DUMMYFUNCTION("""COMPUTED_VALUE"""),9.4665)</f>
        <v>9.4664999999999999</v>
      </c>
      <c r="M576" s="2">
        <f ca="1">IFERROR(__xludf.DUMMYFUNCTION("""COMPUTED_VALUE"""),14.076)</f>
        <v>14.076000000000001</v>
      </c>
      <c r="U576" s="3" t="e">
        <f ca="1"/>
        <v>#NAME?</v>
      </c>
    </row>
    <row r="577" spans="3:21" ht="12.5" x14ac:dyDescent="0.25">
      <c r="C577" s="4">
        <f ca="1">IFERROR(__xludf.DUMMYFUNCTION("""COMPUTED_VALUE"""),40848.9986111111)</f>
        <v>40848.998611111099</v>
      </c>
      <c r="D577" s="2">
        <f ca="1">IFERROR(__xludf.DUMMYFUNCTION("""COMPUTED_VALUE"""),49.258)</f>
        <v>49.258000000000003</v>
      </c>
      <c r="E577" s="2">
        <f ca="1">IFERROR(__xludf.DUMMYFUNCTION("""COMPUTED_VALUE"""),65.024)</f>
        <v>65.024000000000001</v>
      </c>
      <c r="F577" s="2">
        <f ca="1">IFERROR(__xludf.DUMMYFUNCTION("""COMPUTED_VALUE"""),78.463)</f>
        <v>78.462999999999994</v>
      </c>
      <c r="G577" s="2">
        <f ca="1">IFERROR(__xludf.DUMMYFUNCTION("""COMPUTED_VALUE"""),0.65237)</f>
        <v>0.65237000000000001</v>
      </c>
      <c r="H577" s="2">
        <f ca="1">IFERROR(__xludf.DUMMYFUNCTION("""COMPUTED_VALUE"""),52.588)</f>
        <v>52.588000000000001</v>
      </c>
      <c r="I577" s="2">
        <f ca="1">IFERROR(__xludf.DUMMYFUNCTION("""COMPUTED_VALUE"""),49.593)</f>
        <v>49.593000000000004</v>
      </c>
      <c r="J577" s="2">
        <f ca="1">IFERROR(__xludf.DUMMYFUNCTION("""COMPUTED_VALUE"""),39.488)</f>
        <v>39.488</v>
      </c>
      <c r="K577" s="2">
        <f ca="1">IFERROR(__xludf.DUMMYFUNCTION("""COMPUTED_VALUE"""),53.349)</f>
        <v>53.348999999999997</v>
      </c>
      <c r="L577" s="2">
        <f ca="1">IFERROR(__xludf.DUMMYFUNCTION("""COMPUTED_VALUE"""),9.4256)</f>
        <v>9.4255999999999993</v>
      </c>
      <c r="M577" s="2">
        <f ca="1">IFERROR(__xludf.DUMMYFUNCTION("""COMPUTED_VALUE"""),14.127)</f>
        <v>14.127000000000001</v>
      </c>
      <c r="U577" s="3" t="e">
        <f ca="1"/>
        <v>#NAME?</v>
      </c>
    </row>
    <row r="578" spans="3:21" ht="12.5" x14ac:dyDescent="0.25">
      <c r="C578" s="4">
        <f ca="1">IFERROR(__xludf.DUMMYFUNCTION("""COMPUTED_VALUE"""),40849.9986111111)</f>
        <v>40849.998611111099</v>
      </c>
      <c r="D578" s="2">
        <f ca="1">IFERROR(__xludf.DUMMYFUNCTION("""COMPUTED_VALUE"""),49.123)</f>
        <v>49.122999999999998</v>
      </c>
      <c r="E578" s="2">
        <f ca="1">IFERROR(__xludf.DUMMYFUNCTION("""COMPUTED_VALUE"""),64.937)</f>
        <v>64.936999999999998</v>
      </c>
      <c r="F578" s="2">
        <f ca="1">IFERROR(__xludf.DUMMYFUNCTION("""COMPUTED_VALUE"""),78.66)</f>
        <v>78.66</v>
      </c>
      <c r="G578" s="2">
        <f ca="1">IFERROR(__xludf.DUMMYFUNCTION("""COMPUTED_VALUE"""),0.64748)</f>
        <v>0.64748000000000006</v>
      </c>
      <c r="H578" s="2">
        <f ca="1">IFERROR(__xludf.DUMMYFUNCTION("""COMPUTED_VALUE"""),52.503)</f>
        <v>52.503</v>
      </c>
      <c r="I578" s="2">
        <f ca="1">IFERROR(__xludf.DUMMYFUNCTION("""COMPUTED_VALUE"""),49.459)</f>
        <v>49.459000000000003</v>
      </c>
      <c r="J578" s="2">
        <f ca="1">IFERROR(__xludf.DUMMYFUNCTION("""COMPUTED_VALUE"""),39.349)</f>
        <v>39.348999999999997</v>
      </c>
      <c r="K578" s="2">
        <f ca="1">IFERROR(__xludf.DUMMYFUNCTION("""COMPUTED_VALUE"""),54.025)</f>
        <v>54.024999999999999</v>
      </c>
      <c r="L578" s="2">
        <f ca="1">IFERROR(__xludf.DUMMYFUNCTION("""COMPUTED_VALUE"""),9.4088)</f>
        <v>9.4087999999999994</v>
      </c>
      <c r="M578" s="2">
        <f ca="1">IFERROR(__xludf.DUMMYFUNCTION("""COMPUTED_VALUE"""),14.121)</f>
        <v>14.121</v>
      </c>
      <c r="U578" s="3" t="e">
        <f ca="1"/>
        <v>#NAME?</v>
      </c>
    </row>
    <row r="579" spans="3:21" ht="12.5" x14ac:dyDescent="0.25">
      <c r="C579" s="4">
        <f ca="1">IFERROR(__xludf.DUMMYFUNCTION("""COMPUTED_VALUE"""),40850.9986111111)</f>
        <v>40850.998611111099</v>
      </c>
      <c r="D579" s="2">
        <f ca="1">IFERROR(__xludf.DUMMYFUNCTION("""COMPUTED_VALUE"""),49.048)</f>
        <v>49.048000000000002</v>
      </c>
      <c r="E579" s="2">
        <f ca="1">IFERROR(__xludf.DUMMYFUNCTION("""COMPUTED_VALUE"""),65.08)</f>
        <v>65.08</v>
      </c>
      <c r="F579" s="2">
        <f ca="1">IFERROR(__xludf.DUMMYFUNCTION("""COMPUTED_VALUE"""),78.567)</f>
        <v>78.566999999999993</v>
      </c>
      <c r="G579" s="2">
        <f ca="1">IFERROR(__xludf.DUMMYFUNCTION("""COMPUTED_VALUE"""),0.64346)</f>
        <v>0.64346000000000003</v>
      </c>
      <c r="H579" s="2">
        <f ca="1">IFERROR(__xludf.DUMMYFUNCTION("""COMPUTED_VALUE"""),52.375)</f>
        <v>52.375</v>
      </c>
      <c r="I579" s="2">
        <f ca="1">IFERROR(__xludf.DUMMYFUNCTION("""COMPUTED_VALUE"""),49.5)</f>
        <v>49.5</v>
      </c>
      <c r="J579" s="2">
        <f ca="1">IFERROR(__xludf.DUMMYFUNCTION("""COMPUTED_VALUE"""),39.396)</f>
        <v>39.396000000000001</v>
      </c>
      <c r="K579" s="2">
        <f ca="1">IFERROR(__xludf.DUMMYFUNCTION("""COMPUTED_VALUE"""),53.287)</f>
        <v>53.286999999999999</v>
      </c>
      <c r="L579" s="2">
        <f ca="1">IFERROR(__xludf.DUMMYFUNCTION("""COMPUTED_VALUE"""),9.4529)</f>
        <v>9.4528999999999996</v>
      </c>
      <c r="M579" s="2">
        <f ca="1">IFERROR(__xludf.DUMMYFUNCTION("""COMPUTED_VALUE"""),14.121)</f>
        <v>14.121</v>
      </c>
      <c r="U579" s="3" t="e">
        <f ca="1"/>
        <v>#NAME?</v>
      </c>
    </row>
    <row r="580" spans="3:21" ht="12.5" x14ac:dyDescent="0.25">
      <c r="C580" s="4">
        <f ca="1">IFERROR(__xludf.DUMMYFUNCTION("""COMPUTED_VALUE"""),40851.9986111111)</f>
        <v>40851.998611111099</v>
      </c>
      <c r="D580" s="2">
        <f ca="1">IFERROR(__xludf.DUMMYFUNCTION("""COMPUTED_VALUE"""),48.95)</f>
        <v>48.95</v>
      </c>
      <c r="E580" s="2">
        <f ca="1">IFERROR(__xludf.DUMMYFUNCTION("""COMPUTED_VALUE"""),65.553)</f>
        <v>65.552999999999997</v>
      </c>
      <c r="F580" s="2">
        <f ca="1">IFERROR(__xludf.DUMMYFUNCTION("""COMPUTED_VALUE"""),78.594)</f>
        <v>78.593999999999994</v>
      </c>
      <c r="G580" s="2">
        <f ca="1">IFERROR(__xludf.DUMMYFUNCTION("""COMPUTED_VALUE"""),0.64337)</f>
        <v>0.64337</v>
      </c>
      <c r="H580" s="2">
        <f ca="1">IFERROR(__xludf.DUMMYFUNCTION("""COMPUTED_VALUE"""),53.025)</f>
        <v>53.024999999999999</v>
      </c>
      <c r="I580" s="2">
        <f ca="1">IFERROR(__xludf.DUMMYFUNCTION("""COMPUTED_VALUE"""),49.798)</f>
        <v>49.798000000000002</v>
      </c>
      <c r="J580" s="2">
        <f ca="1">IFERROR(__xludf.DUMMYFUNCTION("""COMPUTED_VALUE"""),39.645)</f>
        <v>39.645000000000003</v>
      </c>
      <c r="K580" s="2">
        <f ca="1">IFERROR(__xludf.DUMMYFUNCTION("""COMPUTED_VALUE"""),54.72)</f>
        <v>54.72</v>
      </c>
      <c r="L580" s="2">
        <f ca="1">IFERROR(__xludf.DUMMYFUNCTION("""COMPUTED_VALUE"""),9.4776)</f>
        <v>9.4776000000000007</v>
      </c>
      <c r="M580" s="2">
        <f ca="1">IFERROR(__xludf.DUMMYFUNCTION("""COMPUTED_VALUE"""),14.335)</f>
        <v>14.335000000000001</v>
      </c>
      <c r="U580" s="3" t="e">
        <f ca="1"/>
        <v>#NAME?</v>
      </c>
    </row>
    <row r="581" spans="3:21" ht="12.5" x14ac:dyDescent="0.25">
      <c r="C581" s="4">
        <f ca="1">IFERROR(__xludf.DUMMYFUNCTION("""COMPUTED_VALUE"""),40852.9986111111)</f>
        <v>40852.998611111099</v>
      </c>
      <c r="D581" s="2">
        <f ca="1">IFERROR(__xludf.DUMMYFUNCTION("""COMPUTED_VALUE"""),48.993)</f>
        <v>48.993000000000002</v>
      </c>
      <c r="E581" s="2">
        <f ca="1">IFERROR(__xludf.DUMMYFUNCTION("""COMPUTED_VALUE"""),64.682)</f>
        <v>64.682000000000002</v>
      </c>
      <c r="F581" s="2">
        <f ca="1">IFERROR(__xludf.DUMMYFUNCTION("""COMPUTED_VALUE"""),78.472)</f>
        <v>78.471999999999994</v>
      </c>
      <c r="G581" s="2">
        <f ca="1">IFERROR(__xludf.DUMMYFUNCTION("""COMPUTED_VALUE"""),0.63745)</f>
        <v>0.63744999999999996</v>
      </c>
      <c r="H581" s="2">
        <f ca="1">IFERROR(__xludf.DUMMYFUNCTION("""COMPUTED_VALUE"""),52.413)</f>
        <v>52.412999999999997</v>
      </c>
      <c r="I581" s="2">
        <f ca="1">IFERROR(__xludf.DUMMYFUNCTION("""COMPUTED_VALUE"""),49.295)</f>
        <v>49.295000000000002</v>
      </c>
      <c r="J581" s="2">
        <f ca="1">IFERROR(__xludf.DUMMYFUNCTION("""COMPUTED_VALUE"""),39.252)</f>
        <v>39.252000000000002</v>
      </c>
      <c r="K581" s="2">
        <f ca="1">IFERROR(__xludf.DUMMYFUNCTION("""COMPUTED_VALUE"""),54.624)</f>
        <v>54.624000000000002</v>
      </c>
      <c r="L581" s="2">
        <f ca="1">IFERROR(__xludf.DUMMYFUNCTION("""COMPUTED_VALUE"""),9.5159)</f>
        <v>9.5159000000000002</v>
      </c>
      <c r="M581" s="2">
        <f ca="1">IFERROR(__xludf.DUMMYFUNCTION("""COMPUTED_VALUE"""),14.457)</f>
        <v>14.457000000000001</v>
      </c>
      <c r="U581" s="3" t="e">
        <f ca="1"/>
        <v>#NAME?</v>
      </c>
    </row>
    <row r="582" spans="3:21" ht="12.5" x14ac:dyDescent="0.25">
      <c r="C582" s="4">
        <f ca="1">IFERROR(__xludf.DUMMYFUNCTION("""COMPUTED_VALUE"""),40854.9986111111)</f>
        <v>40854.998611111099</v>
      </c>
      <c r="D582" s="2">
        <f ca="1">IFERROR(__xludf.DUMMYFUNCTION("""COMPUTED_VALUE"""),48.91)</f>
        <v>48.91</v>
      </c>
      <c r="E582" s="2">
        <f ca="1">IFERROR(__xludf.DUMMYFUNCTION("""COMPUTED_VALUE"""),65.072)</f>
        <v>65.072000000000003</v>
      </c>
      <c r="F582" s="2">
        <f ca="1">IFERROR(__xludf.DUMMYFUNCTION("""COMPUTED_VALUE"""),78.481)</f>
        <v>78.480999999999995</v>
      </c>
      <c r="G582" s="2">
        <f ca="1">IFERROR(__xludf.DUMMYFUNCTION("""COMPUTED_VALUE"""),0.64163)</f>
        <v>0.64163000000000003</v>
      </c>
      <c r="H582" s="2">
        <f ca="1">IFERROR(__xludf.DUMMYFUNCTION("""COMPUTED_VALUE"""),52.423)</f>
        <v>52.423000000000002</v>
      </c>
      <c r="I582" s="2">
        <f ca="1">IFERROR(__xludf.DUMMYFUNCTION("""COMPUTED_VALUE"""),49.148)</f>
        <v>49.148000000000003</v>
      </c>
      <c r="J582" s="2">
        <f ca="1">IFERROR(__xludf.DUMMYFUNCTION("""COMPUTED_VALUE"""),39.321)</f>
        <v>39.320999999999998</v>
      </c>
      <c r="K582" s="2">
        <f ca="1">IFERROR(__xludf.DUMMYFUNCTION("""COMPUTED_VALUE"""),54.66)</f>
        <v>54.66</v>
      </c>
      <c r="L582" s="2">
        <f ca="1">IFERROR(__xludf.DUMMYFUNCTION("""COMPUTED_VALUE"""),9.5253)</f>
        <v>9.5252999999999997</v>
      </c>
      <c r="M582" s="2">
        <f ca="1">IFERROR(__xludf.DUMMYFUNCTION("""COMPUTED_VALUE"""),14.623)</f>
        <v>14.622999999999999</v>
      </c>
      <c r="U582" s="3" t="e">
        <f ca="1"/>
        <v>#NAME?</v>
      </c>
    </row>
    <row r="583" spans="3:21" ht="12.5" x14ac:dyDescent="0.25">
      <c r="C583" s="4">
        <f ca="1">IFERROR(__xludf.DUMMYFUNCTION("""COMPUTED_VALUE"""),40855.9986111111)</f>
        <v>40855.998611111099</v>
      </c>
      <c r="D583" s="2">
        <f ca="1">IFERROR(__xludf.DUMMYFUNCTION("""COMPUTED_VALUE"""),49.31)</f>
        <v>49.31</v>
      </c>
      <c r="E583" s="2">
        <f ca="1">IFERROR(__xludf.DUMMYFUNCTION("""COMPUTED_VALUE"""),65.291)</f>
        <v>65.290999999999997</v>
      </c>
      <c r="F583" s="2">
        <f ca="1">IFERROR(__xludf.DUMMYFUNCTION("""COMPUTED_VALUE"""),79.473)</f>
        <v>79.472999999999999</v>
      </c>
      <c r="G583" s="2">
        <f ca="1">IFERROR(__xludf.DUMMYFUNCTION("""COMPUTED_VALUE"""),0.64412)</f>
        <v>0.64412000000000003</v>
      </c>
      <c r="H583" s="2">
        <f ca="1">IFERROR(__xludf.DUMMYFUNCTION("""COMPUTED_VALUE"""),52.583)</f>
        <v>52.582999999999998</v>
      </c>
      <c r="I583" s="2">
        <f ca="1">IFERROR(__xludf.DUMMYFUNCTION("""COMPUTED_VALUE"""),49.302)</f>
        <v>49.302</v>
      </c>
      <c r="J583" s="2">
        <f ca="1">IFERROR(__xludf.DUMMYFUNCTION("""COMPUTED_VALUE"""),39.468)</f>
        <v>39.468000000000004</v>
      </c>
      <c r="K583" s="2">
        <f ca="1">IFERROR(__xludf.DUMMYFUNCTION("""COMPUTED_VALUE"""),54.773)</f>
        <v>54.773000000000003</v>
      </c>
      <c r="L583" s="2">
        <f ca="1">IFERROR(__xludf.DUMMYFUNCTION("""COMPUTED_VALUE"""),9.5239)</f>
        <v>9.5238999999999994</v>
      </c>
      <c r="M583" s="2">
        <f ca="1">IFERROR(__xludf.DUMMYFUNCTION("""COMPUTED_VALUE"""),14.487)</f>
        <v>14.487</v>
      </c>
      <c r="U583" s="3" t="e">
        <f ca="1"/>
        <v>#NAME?</v>
      </c>
    </row>
    <row r="584" spans="3:21" ht="12.5" x14ac:dyDescent="0.25">
      <c r="C584" s="4">
        <f ca="1">IFERROR(__xludf.DUMMYFUNCTION("""COMPUTED_VALUE"""),40856.9986111111)</f>
        <v>40856.998611111099</v>
      </c>
      <c r="D584" s="2">
        <f ca="1">IFERROR(__xludf.DUMMYFUNCTION("""COMPUTED_VALUE"""),50.05)</f>
        <v>50.05</v>
      </c>
      <c r="E584" s="2">
        <f ca="1">IFERROR(__xludf.DUMMYFUNCTION("""COMPUTED_VALUE"""),65.095)</f>
        <v>65.094999999999999</v>
      </c>
      <c r="F584" s="2">
        <f ca="1">IFERROR(__xludf.DUMMYFUNCTION("""COMPUTED_VALUE"""),79.854)</f>
        <v>79.853999999999999</v>
      </c>
      <c r="G584" s="2">
        <f ca="1">IFERROR(__xludf.DUMMYFUNCTION("""COMPUTED_VALUE"""),0.64855)</f>
        <v>0.64854999999999996</v>
      </c>
      <c r="H584" s="2">
        <f ca="1">IFERROR(__xludf.DUMMYFUNCTION("""COMPUTED_VALUE"""),52.483)</f>
        <v>52.482999999999997</v>
      </c>
      <c r="I584" s="2">
        <f ca="1">IFERROR(__xludf.DUMMYFUNCTION("""COMPUTED_VALUE"""),49.438)</f>
        <v>49.438000000000002</v>
      </c>
      <c r="J584" s="2">
        <f ca="1">IFERROR(__xludf.DUMMYFUNCTION("""COMPUTED_VALUE"""),39.376)</f>
        <v>39.375999999999998</v>
      </c>
      <c r="K584" s="2">
        <f ca="1">IFERROR(__xludf.DUMMYFUNCTION("""COMPUTED_VALUE"""),54.476)</f>
        <v>54.475999999999999</v>
      </c>
      <c r="L584" s="2">
        <f ca="1">IFERROR(__xludf.DUMMYFUNCTION("""COMPUTED_VALUE"""),9.5181)</f>
        <v>9.5181000000000004</v>
      </c>
      <c r="M584" s="2">
        <f ca="1">IFERROR(__xludf.DUMMYFUNCTION("""COMPUTED_VALUE"""),14.293)</f>
        <v>14.292999999999999</v>
      </c>
      <c r="U584" s="3" t="e">
        <f ca="1"/>
        <v>#NAME?</v>
      </c>
    </row>
    <row r="585" spans="3:21" ht="12.5" x14ac:dyDescent="0.25">
      <c r="C585" s="4">
        <f ca="1">IFERROR(__xludf.DUMMYFUNCTION("""COMPUTED_VALUE"""),40857.9986111111)</f>
        <v>40857.998611111099</v>
      </c>
      <c r="D585" s="2">
        <f ca="1">IFERROR(__xludf.DUMMYFUNCTION("""COMPUTED_VALUE"""),49.96)</f>
        <v>49.96</v>
      </c>
      <c r="E585" s="2">
        <f ca="1">IFERROR(__xludf.DUMMYFUNCTION("""COMPUTED_VALUE"""),64.781)</f>
        <v>64.781000000000006</v>
      </c>
      <c r="F585" s="2">
        <f ca="1">IFERROR(__xludf.DUMMYFUNCTION("""COMPUTED_VALUE"""),79.701)</f>
        <v>79.700999999999993</v>
      </c>
      <c r="G585" s="2">
        <f ca="1">IFERROR(__xludf.DUMMYFUNCTION("""COMPUTED_VALUE"""),0.64948)</f>
        <v>0.64947999999999995</v>
      </c>
      <c r="H585" s="2">
        <f ca="1">IFERROR(__xludf.DUMMYFUNCTION("""COMPUTED_VALUE"""),52.551)</f>
        <v>52.551000000000002</v>
      </c>
      <c r="I585" s="2">
        <f ca="1">IFERROR(__xludf.DUMMYFUNCTION("""COMPUTED_VALUE"""),49.38)</f>
        <v>49.38</v>
      </c>
      <c r="J585" s="2">
        <f ca="1">IFERROR(__xludf.DUMMYFUNCTION("""COMPUTED_VALUE"""),39.373)</f>
        <v>39.372999999999998</v>
      </c>
      <c r="K585" s="2">
        <f ca="1">IFERROR(__xludf.DUMMYFUNCTION("""COMPUTED_VALUE"""),54.901)</f>
        <v>54.901000000000003</v>
      </c>
      <c r="L585" s="2">
        <f ca="1">IFERROR(__xludf.DUMMYFUNCTION("""COMPUTED_VALUE"""),9.5174)</f>
        <v>9.5174000000000003</v>
      </c>
      <c r="M585" s="2">
        <f ca="1">IFERROR(__xludf.DUMMYFUNCTION("""COMPUTED_VALUE"""),14.293)</f>
        <v>14.292999999999999</v>
      </c>
      <c r="U585" s="3" t="e">
        <f ca="1"/>
        <v>#NAME?</v>
      </c>
    </row>
    <row r="586" spans="3:21" ht="12.5" x14ac:dyDescent="0.25">
      <c r="C586" s="4">
        <f ca="1">IFERROR(__xludf.DUMMYFUNCTION("""COMPUTED_VALUE"""),40858.9986111111)</f>
        <v>40858.998611111099</v>
      </c>
      <c r="D586" s="2">
        <f ca="1">IFERROR(__xludf.DUMMYFUNCTION("""COMPUTED_VALUE"""),49.78)</f>
        <v>49.78</v>
      </c>
      <c r="E586" s="2">
        <f ca="1">IFERROR(__xludf.DUMMYFUNCTION("""COMPUTED_VALUE"""),64.48)</f>
        <v>64.48</v>
      </c>
      <c r="F586" s="2">
        <f ca="1">IFERROR(__xludf.DUMMYFUNCTION("""COMPUTED_VALUE"""),79.947)</f>
        <v>79.947000000000003</v>
      </c>
      <c r="G586" s="2">
        <f ca="1">IFERROR(__xludf.DUMMYFUNCTION("""COMPUTED_VALUE"""),0.64296)</f>
        <v>0.64295999999999998</v>
      </c>
      <c r="H586" s="2">
        <f ca="1">IFERROR(__xludf.DUMMYFUNCTION("""COMPUTED_VALUE"""),52.428)</f>
        <v>52.427999999999997</v>
      </c>
      <c r="I586" s="2">
        <f ca="1">IFERROR(__xludf.DUMMYFUNCTION("""COMPUTED_VALUE"""),49.067)</f>
        <v>49.067</v>
      </c>
      <c r="J586" s="2">
        <f ca="1">IFERROR(__xludf.DUMMYFUNCTION("""COMPUTED_VALUE"""),39.165)</f>
        <v>39.164999999999999</v>
      </c>
      <c r="K586" s="2">
        <f ca="1">IFERROR(__xludf.DUMMYFUNCTION("""COMPUTED_VALUE"""),54.272)</f>
        <v>54.271999999999998</v>
      </c>
      <c r="L586" s="2">
        <f ca="1">IFERROR(__xludf.DUMMYFUNCTION("""COMPUTED_VALUE"""),9.5076)</f>
        <v>9.5076000000000001</v>
      </c>
      <c r="M586" s="2">
        <f ca="1">IFERROR(__xludf.DUMMYFUNCTION("""COMPUTED_VALUE"""),14.292)</f>
        <v>14.292</v>
      </c>
      <c r="U586" s="3" t="e">
        <f ca="1"/>
        <v>#NAME?</v>
      </c>
    </row>
    <row r="587" spans="3:21" ht="12.5" x14ac:dyDescent="0.25">
      <c r="C587" s="4">
        <f ca="1">IFERROR(__xludf.DUMMYFUNCTION("""COMPUTED_VALUE"""),40860.9986111111)</f>
        <v>40860.998611111099</v>
      </c>
      <c r="D587" s="2">
        <f ca="1">IFERROR(__xludf.DUMMYFUNCTION("""COMPUTED_VALUE"""),50.033)</f>
        <v>50.033000000000001</v>
      </c>
      <c r="E587" s="2">
        <f ca="1">IFERROR(__xludf.DUMMYFUNCTION("""COMPUTED_VALUE"""),64.401)</f>
        <v>64.400999999999996</v>
      </c>
      <c r="F587" s="2">
        <f ca="1">IFERROR(__xludf.DUMMYFUNCTION("""COMPUTED_VALUE"""),80.445)</f>
        <v>80.444999999999993</v>
      </c>
      <c r="G587" s="2">
        <f ca="1">IFERROR(__xludf.DUMMYFUNCTION("""COMPUTED_VALUE"""),0.64368)</f>
        <v>0.64368000000000003</v>
      </c>
      <c r="H587" s="2">
        <f ca="1">IFERROR(__xludf.DUMMYFUNCTION("""COMPUTED_VALUE"""),52.462)</f>
        <v>52.462000000000003</v>
      </c>
      <c r="I587" s="2">
        <f ca="1">IFERROR(__xludf.DUMMYFUNCTION("""COMPUTED_VALUE"""),49.006)</f>
        <v>49.006</v>
      </c>
      <c r="J587" s="2">
        <f ca="1">IFERROR(__xludf.DUMMYFUNCTION("""COMPUTED_VALUE"""),39.287)</f>
        <v>39.286999999999999</v>
      </c>
      <c r="K587" s="2">
        <f ca="1">IFERROR(__xludf.DUMMYFUNCTION("""COMPUTED_VALUE"""),55.774)</f>
        <v>55.774000000000001</v>
      </c>
      <c r="L587" s="2">
        <f ca="1">IFERROR(__xludf.DUMMYFUNCTION("""COMPUTED_VALUE"""),9.4867)</f>
        <v>9.4867000000000008</v>
      </c>
      <c r="M587" s="2">
        <f ca="1">IFERROR(__xludf.DUMMYFUNCTION("""COMPUTED_VALUE"""),14.348)</f>
        <v>14.348000000000001</v>
      </c>
      <c r="U587" s="3" t="e">
        <f ca="1"/>
        <v>#NAME?</v>
      </c>
    </row>
    <row r="588" spans="3:21" ht="12.5" x14ac:dyDescent="0.25">
      <c r="C588" s="4">
        <f ca="1">IFERROR(__xludf.DUMMYFUNCTION("""COMPUTED_VALUE"""),40861.9986111111)</f>
        <v>40861.998611111099</v>
      </c>
      <c r="D588" s="2">
        <f ca="1">IFERROR(__xludf.DUMMYFUNCTION("""COMPUTED_VALUE"""),50.368)</f>
        <v>50.368000000000002</v>
      </c>
      <c r="E588" s="2">
        <f ca="1">IFERROR(__xludf.DUMMYFUNCTION("""COMPUTED_VALUE"""),63.825)</f>
        <v>63.825000000000003</v>
      </c>
      <c r="F588" s="2">
        <f ca="1">IFERROR(__xludf.DUMMYFUNCTION("""COMPUTED_VALUE"""),80.065)</f>
        <v>80.064999999999998</v>
      </c>
      <c r="G588" s="2">
        <f ca="1">IFERROR(__xludf.DUMMYFUNCTION("""COMPUTED_VALUE"""),0.63407)</f>
        <v>0.63407000000000002</v>
      </c>
      <c r="H588" s="2">
        <f ca="1">IFERROR(__xludf.DUMMYFUNCTION("""COMPUTED_VALUE"""),52.301)</f>
        <v>52.301000000000002</v>
      </c>
      <c r="I588" s="2">
        <f ca="1">IFERROR(__xludf.DUMMYFUNCTION("""COMPUTED_VALUE"""),48.86)</f>
        <v>48.86</v>
      </c>
      <c r="J588" s="2">
        <f ca="1">IFERROR(__xludf.DUMMYFUNCTION("""COMPUTED_VALUE"""),39.109)</f>
        <v>39.109000000000002</v>
      </c>
      <c r="K588" s="2">
        <f ca="1">IFERROR(__xludf.DUMMYFUNCTION("""COMPUTED_VALUE"""),56.349)</f>
        <v>56.348999999999997</v>
      </c>
      <c r="L588" s="2">
        <f ca="1">IFERROR(__xludf.DUMMYFUNCTION("""COMPUTED_VALUE"""),9.4867)</f>
        <v>9.4867000000000008</v>
      </c>
      <c r="M588" s="2">
        <f ca="1">IFERROR(__xludf.DUMMYFUNCTION("""COMPUTED_VALUE"""),14.351)</f>
        <v>14.351000000000001</v>
      </c>
      <c r="U588" s="3" t="e">
        <f ca="1"/>
        <v>#NAME?</v>
      </c>
    </row>
    <row r="589" spans="3:21" ht="12.5" x14ac:dyDescent="0.25">
      <c r="C589" s="4">
        <f ca="1">IFERROR(__xludf.DUMMYFUNCTION("""COMPUTED_VALUE"""),40862.9986111111)</f>
        <v>40862.998611111099</v>
      </c>
      <c r="D589" s="2">
        <f ca="1">IFERROR(__xludf.DUMMYFUNCTION("""COMPUTED_VALUE"""),50.623)</f>
        <v>50.622999999999998</v>
      </c>
      <c r="E589" s="2">
        <f ca="1">IFERROR(__xludf.DUMMYFUNCTION("""COMPUTED_VALUE"""),63.695)</f>
        <v>63.695</v>
      </c>
      <c r="F589" s="2">
        <f ca="1">IFERROR(__xludf.DUMMYFUNCTION("""COMPUTED_VALUE"""),80.019)</f>
        <v>80.019000000000005</v>
      </c>
      <c r="G589" s="2">
        <f ca="1">IFERROR(__xludf.DUMMYFUNCTION("""COMPUTED_VALUE"""),0.6357)</f>
        <v>0.63570000000000004</v>
      </c>
      <c r="H589" s="2">
        <f ca="1">IFERROR(__xludf.DUMMYFUNCTION("""COMPUTED_VALUE"""),52.301)</f>
        <v>52.301000000000002</v>
      </c>
      <c r="I589" s="2">
        <f ca="1">IFERROR(__xludf.DUMMYFUNCTION("""COMPUTED_VALUE"""),48.862)</f>
        <v>48.862000000000002</v>
      </c>
      <c r="J589" s="2">
        <f ca="1">IFERROR(__xludf.DUMMYFUNCTION("""COMPUTED_VALUE"""),39.178)</f>
        <v>39.177999999999997</v>
      </c>
      <c r="K589" s="2">
        <f ca="1">IFERROR(__xludf.DUMMYFUNCTION("""COMPUTED_VALUE"""),56.467)</f>
        <v>56.466999999999999</v>
      </c>
      <c r="L589" s="2">
        <f ca="1">IFERROR(__xludf.DUMMYFUNCTION("""COMPUTED_VALUE"""),9.4663)</f>
        <v>9.4663000000000004</v>
      </c>
      <c r="M589" s="2">
        <f ca="1">IFERROR(__xludf.DUMMYFUNCTION("""COMPUTED_VALUE"""),14.264)</f>
        <v>14.263999999999999</v>
      </c>
      <c r="U589" s="3" t="e">
        <f ca="1"/>
        <v>#NAME?</v>
      </c>
    </row>
    <row r="590" spans="3:21" ht="12.5" x14ac:dyDescent="0.25">
      <c r="C590" s="4">
        <f ca="1">IFERROR(__xludf.DUMMYFUNCTION("""COMPUTED_VALUE"""),40863.9986111111)</f>
        <v>40863.998611111099</v>
      </c>
      <c r="D590" s="2">
        <f ca="1">IFERROR(__xludf.DUMMYFUNCTION("""COMPUTED_VALUE"""),50.703)</f>
        <v>50.703000000000003</v>
      </c>
      <c r="E590" s="2">
        <f ca="1">IFERROR(__xludf.DUMMYFUNCTION("""COMPUTED_VALUE"""),63.695)</f>
        <v>63.695</v>
      </c>
      <c r="F590" s="2">
        <f ca="1">IFERROR(__xludf.DUMMYFUNCTION("""COMPUTED_VALUE"""),80.022)</f>
        <v>80.022000000000006</v>
      </c>
      <c r="G590" s="2">
        <f ca="1">IFERROR(__xludf.DUMMYFUNCTION("""COMPUTED_VALUE"""),0.63974)</f>
        <v>0.63973999999999998</v>
      </c>
      <c r="H590" s="2">
        <f ca="1">IFERROR(__xludf.DUMMYFUNCTION("""COMPUTED_VALUE"""),52.301)</f>
        <v>52.301000000000002</v>
      </c>
      <c r="I590" s="2">
        <f ca="1">IFERROR(__xludf.DUMMYFUNCTION("""COMPUTED_VALUE"""),48.862)</f>
        <v>48.862000000000002</v>
      </c>
      <c r="J590" s="2">
        <f ca="1">IFERROR(__xludf.DUMMYFUNCTION("""COMPUTED_VALUE"""),39.221)</f>
        <v>39.220999999999997</v>
      </c>
      <c r="K590" s="2">
        <f ca="1">IFERROR(__xludf.DUMMYFUNCTION("""COMPUTED_VALUE"""),56.24)</f>
        <v>56.24</v>
      </c>
      <c r="L590" s="2">
        <f ca="1">IFERROR(__xludf.DUMMYFUNCTION("""COMPUTED_VALUE"""),9.4828)</f>
        <v>9.4827999999999992</v>
      </c>
      <c r="M590" s="2">
        <f ca="1">IFERROR(__xludf.DUMMYFUNCTION("""COMPUTED_VALUE"""),14.296)</f>
        <v>14.295999999999999</v>
      </c>
      <c r="U590" s="3" t="e">
        <f ca="1"/>
        <v>#NAME?</v>
      </c>
    </row>
    <row r="591" spans="3:21" ht="12.5" x14ac:dyDescent="0.25">
      <c r="C591" s="4">
        <f ca="1">IFERROR(__xludf.DUMMYFUNCTION("""COMPUTED_VALUE"""),40864.9986111111)</f>
        <v>40864.998611111099</v>
      </c>
      <c r="D591" s="2">
        <f ca="1">IFERROR(__xludf.DUMMYFUNCTION("""COMPUTED_VALUE"""),50.948)</f>
        <v>50.948</v>
      </c>
      <c r="E591" s="2">
        <f ca="1">IFERROR(__xludf.DUMMYFUNCTION("""COMPUTED_VALUE"""),64.279)</f>
        <v>64.278999999999996</v>
      </c>
      <c r="F591" s="2">
        <f ca="1">IFERROR(__xludf.DUMMYFUNCTION("""COMPUTED_VALUE"""),80.363)</f>
        <v>80.363</v>
      </c>
      <c r="G591" s="2">
        <f ca="1">IFERROR(__xludf.DUMMYFUNCTION("""COMPUTED_VALUE"""),0.6397)</f>
        <v>0.63970000000000005</v>
      </c>
      <c r="H591" s="2">
        <f ca="1">IFERROR(__xludf.DUMMYFUNCTION("""COMPUTED_VALUE"""),52.516)</f>
        <v>52.515999999999998</v>
      </c>
      <c r="I591" s="2">
        <f ca="1">IFERROR(__xludf.DUMMYFUNCTION("""COMPUTED_VALUE"""),49.177)</f>
        <v>49.177</v>
      </c>
      <c r="J591" s="2">
        <f ca="1">IFERROR(__xludf.DUMMYFUNCTION("""COMPUTED_VALUE"""),39.438)</f>
        <v>39.438000000000002</v>
      </c>
      <c r="K591" s="2">
        <f ca="1">IFERROR(__xludf.DUMMYFUNCTION("""COMPUTED_VALUE"""),56.278)</f>
        <v>56.277999999999999</v>
      </c>
      <c r="L591" s="2">
        <f ca="1">IFERROR(__xludf.DUMMYFUNCTION("""COMPUTED_VALUE"""),9.4884)</f>
        <v>9.4884000000000004</v>
      </c>
      <c r="M591" s="2">
        <f ca="1">IFERROR(__xludf.DUMMYFUNCTION("""COMPUTED_VALUE"""),14.351)</f>
        <v>14.351000000000001</v>
      </c>
      <c r="U591" s="3" t="e">
        <f ca="1"/>
        <v>#NAME?</v>
      </c>
    </row>
    <row r="592" spans="3:21" ht="12.5" x14ac:dyDescent="0.25">
      <c r="C592" s="4">
        <f ca="1">IFERROR(__xludf.DUMMYFUNCTION("""COMPUTED_VALUE"""),40865.9986111111)</f>
        <v>40865.998611111099</v>
      </c>
      <c r="D592" s="2">
        <f ca="1">IFERROR(__xludf.DUMMYFUNCTION("""COMPUTED_VALUE"""),51.228)</f>
        <v>51.228000000000002</v>
      </c>
      <c r="E592" s="2">
        <f ca="1">IFERROR(__xludf.DUMMYFUNCTION("""COMPUTED_VALUE"""),65.07)</f>
        <v>65.069999999999993</v>
      </c>
      <c r="F592" s="2">
        <f ca="1">IFERROR(__xludf.DUMMYFUNCTION("""COMPUTED_VALUE"""),80.833)</f>
        <v>80.832999999999998</v>
      </c>
      <c r="G592" s="2">
        <f ca="1">IFERROR(__xludf.DUMMYFUNCTION("""COMPUTED_VALUE"""),0.63715)</f>
        <v>0.63714999999999999</v>
      </c>
      <c r="H592" s="2">
        <f ca="1">IFERROR(__xludf.DUMMYFUNCTION("""COMPUTED_VALUE"""),53.032)</f>
        <v>53.031999999999996</v>
      </c>
      <c r="I592" s="2">
        <f ca="1">IFERROR(__xludf.DUMMYFUNCTION("""COMPUTED_VALUE"""),49.359)</f>
        <v>49.359000000000002</v>
      </c>
      <c r="J592" s="2">
        <f ca="1">IFERROR(__xludf.DUMMYFUNCTION("""COMPUTED_VALUE"""),39.383)</f>
        <v>39.383000000000003</v>
      </c>
      <c r="K592" s="2">
        <f ca="1">IFERROR(__xludf.DUMMYFUNCTION("""COMPUTED_VALUE"""),55.961)</f>
        <v>55.960999999999999</v>
      </c>
      <c r="L592" s="2">
        <f ca="1">IFERROR(__xludf.DUMMYFUNCTION("""COMPUTED_VALUE"""),9.4938)</f>
        <v>9.4938000000000002</v>
      </c>
      <c r="M592" s="2">
        <f ca="1">IFERROR(__xludf.DUMMYFUNCTION("""COMPUTED_VALUE"""),14.37)</f>
        <v>14.37</v>
      </c>
      <c r="U592" s="3" t="e">
        <f ca="1"/>
        <v>#NAME?</v>
      </c>
    </row>
    <row r="593" spans="3:21" ht="12.5" x14ac:dyDescent="0.25">
      <c r="C593" s="4">
        <f ca="1">IFERROR(__xludf.DUMMYFUNCTION("""COMPUTED_VALUE"""),40866.9986111111)</f>
        <v>40866.998611111099</v>
      </c>
      <c r="D593" s="2">
        <f ca="1">IFERROR(__xludf.DUMMYFUNCTION("""COMPUTED_VALUE"""),51.228)</f>
        <v>51.228000000000002</v>
      </c>
      <c r="E593" s="2">
        <f ca="1">IFERROR(__xludf.DUMMYFUNCTION("""COMPUTED_VALUE"""),65.063)</f>
        <v>65.063000000000002</v>
      </c>
      <c r="F593" s="2">
        <f ca="1">IFERROR(__xludf.DUMMYFUNCTION("""COMPUTED_VALUE"""),80.917)</f>
        <v>80.917000000000002</v>
      </c>
      <c r="G593" s="2">
        <f ca="1">IFERROR(__xludf.DUMMYFUNCTION("""COMPUTED_VALUE"""),0.63681)</f>
        <v>0.63680999999999999</v>
      </c>
      <c r="H593" s="2">
        <f ca="1">IFERROR(__xludf.DUMMYFUNCTION("""COMPUTED_VALUE"""),52.979)</f>
        <v>52.978999999999999</v>
      </c>
      <c r="I593" s="2">
        <f ca="1">IFERROR(__xludf.DUMMYFUNCTION("""COMPUTED_VALUE"""),49.283)</f>
        <v>49.283000000000001</v>
      </c>
      <c r="J593" s="2">
        <f ca="1">IFERROR(__xludf.DUMMYFUNCTION("""COMPUTED_VALUE"""),39.601)</f>
        <v>39.600999999999999</v>
      </c>
      <c r="K593" s="2">
        <f ca="1">IFERROR(__xludf.DUMMYFUNCTION("""COMPUTED_VALUE"""),57.931)</f>
        <v>57.930999999999997</v>
      </c>
      <c r="L593" s="2">
        <f ca="1">IFERROR(__xludf.DUMMYFUNCTION("""COMPUTED_VALUE"""),9.4968)</f>
        <v>9.4968000000000004</v>
      </c>
      <c r="M593" s="2">
        <f ca="1">IFERROR(__xludf.DUMMYFUNCTION("""COMPUTED_VALUE"""),14.37)</f>
        <v>14.37</v>
      </c>
      <c r="U593" s="3" t="e">
        <f ca="1"/>
        <v>#NAME?</v>
      </c>
    </row>
    <row r="594" spans="3:21" ht="12.5" x14ac:dyDescent="0.25">
      <c r="C594" s="4">
        <f ca="1">IFERROR(__xludf.DUMMYFUNCTION("""COMPUTED_VALUE"""),40868.9986111111)</f>
        <v>40868.998611111099</v>
      </c>
      <c r="D594" s="2">
        <f ca="1">IFERROR(__xludf.DUMMYFUNCTION("""COMPUTED_VALUE"""),52.058)</f>
        <v>52.058</v>
      </c>
      <c r="E594" s="2">
        <f ca="1">IFERROR(__xludf.DUMMYFUNCTION("""COMPUTED_VALUE"""),65.659)</f>
        <v>65.659000000000006</v>
      </c>
      <c r="F594" s="2">
        <f ca="1">IFERROR(__xludf.DUMMYFUNCTION("""COMPUTED_VALUE"""),81.427)</f>
        <v>81.427000000000007</v>
      </c>
      <c r="G594" s="2">
        <f ca="1">IFERROR(__xludf.DUMMYFUNCTION("""COMPUTED_VALUE"""),0.63587)</f>
        <v>0.63587000000000005</v>
      </c>
      <c r="H594" s="2">
        <f ca="1">IFERROR(__xludf.DUMMYFUNCTION("""COMPUTED_VALUE"""),53.278)</f>
        <v>53.277999999999999</v>
      </c>
      <c r="I594" s="2">
        <f ca="1">IFERROR(__xludf.DUMMYFUNCTION("""COMPUTED_VALUE"""),49.661)</f>
        <v>49.661000000000001</v>
      </c>
      <c r="J594" s="2">
        <f ca="1">IFERROR(__xludf.DUMMYFUNCTION("""COMPUTED_VALUE"""),39.087)</f>
        <v>39.087000000000003</v>
      </c>
      <c r="K594" s="2">
        <f ca="1">IFERROR(__xludf.DUMMYFUNCTION("""COMPUTED_VALUE"""),56.364)</f>
        <v>56.363999999999997</v>
      </c>
      <c r="L594" s="2">
        <f ca="1">IFERROR(__xludf.DUMMYFUNCTION("""COMPUTED_VALUE"""),9.4934)</f>
        <v>9.4933999999999994</v>
      </c>
      <c r="M594" s="2">
        <f ca="1">IFERROR(__xludf.DUMMYFUNCTION("""COMPUTED_VALUE"""),14.347)</f>
        <v>14.347</v>
      </c>
      <c r="U594" s="3" t="e">
        <f ca="1"/>
        <v>#NAME?</v>
      </c>
    </row>
    <row r="595" spans="3:21" ht="12.5" x14ac:dyDescent="0.25">
      <c r="C595" s="4">
        <f ca="1">IFERROR(__xludf.DUMMYFUNCTION("""COMPUTED_VALUE"""),40869.9986111111)</f>
        <v>40869.998611111099</v>
      </c>
      <c r="D595" s="2">
        <f ca="1">IFERROR(__xludf.DUMMYFUNCTION("""COMPUTED_VALUE"""),52.483)</f>
        <v>52.482999999999997</v>
      </c>
      <c r="E595" s="2">
        <f ca="1">IFERROR(__xludf.DUMMYFUNCTION("""COMPUTED_VALUE"""),65.061)</f>
        <v>65.061000000000007</v>
      </c>
      <c r="F595" s="2">
        <f ca="1">IFERROR(__xludf.DUMMYFUNCTION("""COMPUTED_VALUE"""),82.091)</f>
        <v>82.090999999999994</v>
      </c>
      <c r="G595" s="2">
        <f ca="1">IFERROR(__xludf.DUMMYFUNCTION("""COMPUTED_VALUE"""),0.6353)</f>
        <v>0.63529999999999998</v>
      </c>
      <c r="H595" s="2">
        <f ca="1">IFERROR(__xludf.DUMMYFUNCTION("""COMPUTED_VALUE"""),52.639)</f>
        <v>52.639000000000003</v>
      </c>
      <c r="I595" s="2">
        <f ca="1">IFERROR(__xludf.DUMMYFUNCTION("""COMPUTED_VALUE"""),49.211)</f>
        <v>49.210999999999999</v>
      </c>
      <c r="J595" s="2">
        <f ca="1">IFERROR(__xludf.DUMMYFUNCTION("""COMPUTED_VALUE"""),39.127)</f>
        <v>39.127000000000002</v>
      </c>
      <c r="K595" s="2">
        <f ca="1">IFERROR(__xludf.DUMMYFUNCTION("""COMPUTED_VALUE"""),55.651)</f>
        <v>55.651000000000003</v>
      </c>
      <c r="L595" s="2">
        <f ca="1">IFERROR(__xludf.DUMMYFUNCTION("""COMPUTED_VALUE"""),9.5225)</f>
        <v>9.5225000000000009</v>
      </c>
      <c r="M595" s="2">
        <f ca="1">IFERROR(__xludf.DUMMYFUNCTION("""COMPUTED_VALUE"""),14.389)</f>
        <v>14.388999999999999</v>
      </c>
      <c r="U595" s="3" t="e">
        <f ca="1"/>
        <v>#NAME?</v>
      </c>
    </row>
    <row r="596" spans="3:21" ht="12.5" x14ac:dyDescent="0.25">
      <c r="C596" s="4">
        <f ca="1">IFERROR(__xludf.DUMMYFUNCTION("""COMPUTED_VALUE"""),40870.9986111111)</f>
        <v>40870.998611111099</v>
      </c>
      <c r="D596" s="2">
        <f ca="1">IFERROR(__xludf.DUMMYFUNCTION("""COMPUTED_VALUE"""),52.258)</f>
        <v>52.258000000000003</v>
      </c>
      <c r="E596" s="2">
        <f ca="1">IFERROR(__xludf.DUMMYFUNCTION("""COMPUTED_VALUE"""),65.134)</f>
        <v>65.134</v>
      </c>
      <c r="F596" s="2">
        <f ca="1">IFERROR(__xludf.DUMMYFUNCTION("""COMPUTED_VALUE"""),81.308)</f>
        <v>81.308000000000007</v>
      </c>
      <c r="G596" s="2">
        <f ca="1">IFERROR(__xludf.DUMMYFUNCTION("""COMPUTED_VALUE"""),0.63563)</f>
        <v>0.63563000000000003</v>
      </c>
      <c r="H596" s="2">
        <f ca="1">IFERROR(__xludf.DUMMYFUNCTION("""COMPUTED_VALUE"""),52.679)</f>
        <v>52.679000000000002</v>
      </c>
      <c r="I596" s="2">
        <f ca="1">IFERROR(__xludf.DUMMYFUNCTION("""COMPUTED_VALUE"""),49.277)</f>
        <v>49.277000000000001</v>
      </c>
      <c r="J596" s="2">
        <f ca="1">IFERROR(__xludf.DUMMYFUNCTION("""COMPUTED_VALUE"""),39.082)</f>
        <v>39.082000000000001</v>
      </c>
      <c r="K596" s="2">
        <f ca="1">IFERROR(__xludf.DUMMYFUNCTION("""COMPUTED_VALUE"""),55.3)</f>
        <v>55.3</v>
      </c>
      <c r="L596" s="2">
        <f ca="1">IFERROR(__xludf.DUMMYFUNCTION("""COMPUTED_VALUE"""),9.5086)</f>
        <v>9.5085999999999995</v>
      </c>
      <c r="M596" s="2">
        <f ca="1">IFERROR(__xludf.DUMMYFUNCTION("""COMPUTED_VALUE"""),14.392)</f>
        <v>14.391999999999999</v>
      </c>
      <c r="U596" s="3" t="e">
        <f ca="1"/>
        <v>#NAME?</v>
      </c>
    </row>
    <row r="597" spans="3:21" ht="12.5" x14ac:dyDescent="0.25">
      <c r="C597" s="4">
        <f ca="1">IFERROR(__xludf.DUMMYFUNCTION("""COMPUTED_VALUE"""),40871.9986111111)</f>
        <v>40871.998611111099</v>
      </c>
      <c r="D597" s="2">
        <f ca="1">IFERROR(__xludf.DUMMYFUNCTION("""COMPUTED_VALUE"""),52.063)</f>
        <v>52.063000000000002</v>
      </c>
      <c r="E597" s="2">
        <f ca="1">IFERROR(__xludf.DUMMYFUNCTION("""COMPUTED_VALUE"""),65.06)</f>
        <v>65.06</v>
      </c>
      <c r="F597" s="2">
        <f ca="1">IFERROR(__xludf.DUMMYFUNCTION("""COMPUTED_VALUE"""),80.901)</f>
        <v>80.900999999999996</v>
      </c>
      <c r="G597" s="2">
        <f ca="1">IFERROR(__xludf.DUMMYFUNCTION("""COMPUTED_VALUE"""),0.63415)</f>
        <v>0.63414999999999999</v>
      </c>
      <c r="H597" s="2">
        <f ca="1">IFERROR(__xludf.DUMMYFUNCTION("""COMPUTED_VALUE"""),52.638)</f>
        <v>52.637999999999998</v>
      </c>
      <c r="I597" s="2">
        <f ca="1">IFERROR(__xludf.DUMMYFUNCTION("""COMPUTED_VALUE"""),49.21)</f>
        <v>49.21</v>
      </c>
      <c r="J597" s="2">
        <f ca="1">IFERROR(__xludf.DUMMYFUNCTION("""COMPUTED_VALUE"""),39.054)</f>
        <v>39.054000000000002</v>
      </c>
      <c r="K597" s="2">
        <f ca="1">IFERROR(__xludf.DUMMYFUNCTION("""COMPUTED_VALUE"""),55.447)</f>
        <v>55.447000000000003</v>
      </c>
      <c r="L597" s="2">
        <f ca="1">IFERROR(__xludf.DUMMYFUNCTION("""COMPUTED_VALUE"""),9.5118)</f>
        <v>9.5117999999999991</v>
      </c>
      <c r="M597" s="2">
        <f ca="1">IFERROR(__xludf.DUMMYFUNCTION("""COMPUTED_VALUE"""),14.429)</f>
        <v>14.429</v>
      </c>
      <c r="U597" s="3" t="e">
        <f ca="1"/>
        <v>#NAME?</v>
      </c>
    </row>
    <row r="598" spans="3:21" ht="12.5" x14ac:dyDescent="0.25">
      <c r="C598" s="4">
        <f ca="1">IFERROR(__xludf.DUMMYFUNCTION("""COMPUTED_VALUE"""),40872.9986111111)</f>
        <v>40872.998611111099</v>
      </c>
      <c r="D598" s="2">
        <f ca="1">IFERROR(__xludf.DUMMYFUNCTION("""COMPUTED_VALUE"""),52.228)</f>
        <v>52.228000000000002</v>
      </c>
      <c r="E598" s="2">
        <f ca="1">IFERROR(__xludf.DUMMYFUNCTION("""COMPUTED_VALUE"""),64.629)</f>
        <v>64.629000000000005</v>
      </c>
      <c r="F598" s="2">
        <f ca="1">IFERROR(__xludf.DUMMYFUNCTION("""COMPUTED_VALUE"""),80.802)</f>
        <v>80.802000000000007</v>
      </c>
      <c r="G598" s="2">
        <f ca="1">IFERROR(__xludf.DUMMYFUNCTION("""COMPUTED_VALUE"""),0.62879)</f>
        <v>0.62878999999999996</v>
      </c>
      <c r="H598" s="2">
        <f ca="1">IFERROR(__xludf.DUMMYFUNCTION("""COMPUTED_VALUE"""),52.6)</f>
        <v>52.6</v>
      </c>
      <c r="I598" s="2">
        <f ca="1">IFERROR(__xludf.DUMMYFUNCTION("""COMPUTED_VALUE"""),49.092)</f>
        <v>49.091999999999999</v>
      </c>
      <c r="J598" s="2">
        <f ca="1">IFERROR(__xludf.DUMMYFUNCTION("""COMPUTED_VALUE"""),39.021)</f>
        <v>39.021000000000001</v>
      </c>
      <c r="K598" s="2">
        <f ca="1">IFERROR(__xludf.DUMMYFUNCTION("""COMPUTED_VALUE"""),55.621)</f>
        <v>55.621000000000002</v>
      </c>
      <c r="L598" s="2">
        <f ca="1">IFERROR(__xludf.DUMMYFUNCTION("""COMPUTED_VALUE"""),9.5046)</f>
        <v>9.5045999999999999</v>
      </c>
      <c r="M598" s="2">
        <f ca="1">IFERROR(__xludf.DUMMYFUNCTION("""COMPUTED_VALUE"""),14.426)</f>
        <v>14.426</v>
      </c>
      <c r="U598" s="3" t="e">
        <f ca="1"/>
        <v>#NAME?</v>
      </c>
    </row>
    <row r="599" spans="3:21" ht="12.5" x14ac:dyDescent="0.25">
      <c r="C599" s="4">
        <f ca="1">IFERROR(__xludf.DUMMYFUNCTION("""COMPUTED_VALUE"""),40873.9986111111)</f>
        <v>40873.998611111099</v>
      </c>
      <c r="D599" s="2">
        <f ca="1">IFERROR(__xludf.DUMMYFUNCTION("""COMPUTED_VALUE"""),52.228)</f>
        <v>52.228000000000002</v>
      </c>
      <c r="E599" s="2">
        <f ca="1">IFERROR(__xludf.DUMMYFUNCTION("""COMPUTED_VALUE"""),64.763)</f>
        <v>64.763000000000005</v>
      </c>
      <c r="F599" s="2">
        <f ca="1">IFERROR(__xludf.DUMMYFUNCTION("""COMPUTED_VALUE"""),80.773)</f>
        <v>80.772999999999996</v>
      </c>
      <c r="G599" s="2">
        <f ca="1">IFERROR(__xludf.DUMMYFUNCTION("""COMPUTED_VALUE"""),0.62724)</f>
        <v>0.62724000000000002</v>
      </c>
      <c r="H599" s="2">
        <f ca="1">IFERROR(__xludf.DUMMYFUNCTION("""COMPUTED_VALUE"""),52.762)</f>
        <v>52.762</v>
      </c>
      <c r="I599" s="2">
        <f ca="1">IFERROR(__xludf.DUMMYFUNCTION("""COMPUTED_VALUE"""),49.37)</f>
        <v>49.37</v>
      </c>
      <c r="J599" s="2">
        <f ca="1">IFERROR(__xludf.DUMMYFUNCTION("""COMPUTED_VALUE"""),38.951)</f>
        <v>38.951000000000001</v>
      </c>
      <c r="K599" s="2">
        <f ca="1">IFERROR(__xludf.DUMMYFUNCTION("""COMPUTED_VALUE"""),55.317)</f>
        <v>55.317</v>
      </c>
      <c r="L599" s="2">
        <f ca="1">IFERROR(__xludf.DUMMYFUNCTION("""COMPUTED_VALUE"""),9.5253)</f>
        <v>9.5252999999999997</v>
      </c>
      <c r="M599" s="2">
        <f ca="1">IFERROR(__xludf.DUMMYFUNCTION("""COMPUTED_VALUE"""),14.432)</f>
        <v>14.432</v>
      </c>
      <c r="U599" s="3" t="e">
        <f ca="1"/>
        <v>#NAME?</v>
      </c>
    </row>
    <row r="600" spans="3:21" ht="12.5" x14ac:dyDescent="0.25">
      <c r="C600" s="4">
        <f ca="1">IFERROR(__xludf.DUMMYFUNCTION("""COMPUTED_VALUE"""),40874.9986111111)</f>
        <v>40874.998611111099</v>
      </c>
      <c r="D600" s="2">
        <f ca="1">IFERROR(__xludf.DUMMYFUNCTION("""COMPUTED_VALUE"""),52.228)</f>
        <v>52.228000000000002</v>
      </c>
      <c r="E600" s="2">
        <f ca="1">IFERROR(__xludf.DUMMYFUNCTION("""COMPUTED_VALUE"""),64.295)</f>
        <v>64.295000000000002</v>
      </c>
      <c r="F600" s="2">
        <f ca="1">IFERROR(__xludf.DUMMYFUNCTION("""COMPUTED_VALUE"""),80.773)</f>
        <v>80.772999999999996</v>
      </c>
      <c r="G600" s="2">
        <f ca="1">IFERROR(__xludf.DUMMYFUNCTION("""COMPUTED_VALUE"""),0.62471)</f>
        <v>0.62470999999999999</v>
      </c>
      <c r="H600" s="2">
        <f ca="1">IFERROR(__xludf.DUMMYFUNCTION("""COMPUTED_VALUE"""),52.64)</f>
        <v>52.64</v>
      </c>
      <c r="I600" s="2">
        <f ca="1">IFERROR(__xludf.DUMMYFUNCTION("""COMPUTED_VALUE"""),49.214)</f>
        <v>49.213999999999999</v>
      </c>
      <c r="J600" s="2">
        <f ca="1">IFERROR(__xludf.DUMMYFUNCTION("""COMPUTED_VALUE"""),39.014)</f>
        <v>39.014000000000003</v>
      </c>
      <c r="K600" s="2">
        <f ca="1">IFERROR(__xludf.DUMMYFUNCTION("""COMPUTED_VALUE"""),55.069)</f>
        <v>55.069000000000003</v>
      </c>
      <c r="L600" s="2">
        <f ca="1">IFERROR(__xludf.DUMMYFUNCTION("""COMPUTED_VALUE"""),9.5277)</f>
        <v>9.5276999999999994</v>
      </c>
      <c r="M600" s="2">
        <f ca="1">IFERROR(__xludf.DUMMYFUNCTION("""COMPUTED_VALUE"""),14.432)</f>
        <v>14.432</v>
      </c>
      <c r="U600" s="3" t="e">
        <f ca="1"/>
        <v>#NAME?</v>
      </c>
    </row>
    <row r="601" spans="3:21" ht="12.5" x14ac:dyDescent="0.25">
      <c r="C601" s="4">
        <f ca="1">IFERROR(__xludf.DUMMYFUNCTION("""COMPUTED_VALUE"""),40875.9986111111)</f>
        <v>40875.998611111099</v>
      </c>
      <c r="D601" s="2">
        <f ca="1">IFERROR(__xludf.DUMMYFUNCTION("""COMPUTED_VALUE"""),51.943)</f>
        <v>51.942999999999998</v>
      </c>
      <c r="E601" s="2">
        <f ca="1">IFERROR(__xludf.DUMMYFUNCTION("""COMPUTED_VALUE"""),64.625)</f>
        <v>64.625</v>
      </c>
      <c r="F601" s="2">
        <f ca="1">IFERROR(__xludf.DUMMYFUNCTION("""COMPUTED_VALUE"""),80.582)</f>
        <v>80.581999999999994</v>
      </c>
      <c r="G601" s="2">
        <f ca="1">IFERROR(__xludf.DUMMYFUNCTION("""COMPUTED_VALUE"""),0.62024)</f>
        <v>0.62024000000000001</v>
      </c>
      <c r="H601" s="2">
        <f ca="1">IFERROR(__xludf.DUMMYFUNCTION("""COMPUTED_VALUE"""),52.902)</f>
        <v>52.902000000000001</v>
      </c>
      <c r="I601" s="2">
        <f ca="1">IFERROR(__xludf.DUMMYFUNCTION("""COMPUTED_VALUE"""),49.377)</f>
        <v>49.377000000000002</v>
      </c>
      <c r="J601" s="2">
        <f ca="1">IFERROR(__xludf.DUMMYFUNCTION("""COMPUTED_VALUE"""),39.169)</f>
        <v>39.168999999999997</v>
      </c>
      <c r="K601" s="2">
        <f ca="1">IFERROR(__xludf.DUMMYFUNCTION("""COMPUTED_VALUE"""),54.272)</f>
        <v>54.271999999999998</v>
      </c>
      <c r="L601" s="2">
        <f ca="1">IFERROR(__xludf.DUMMYFUNCTION("""COMPUTED_VALUE"""),9.5176)</f>
        <v>9.5175999999999998</v>
      </c>
      <c r="M601" s="2">
        <f ca="1">IFERROR(__xludf.DUMMYFUNCTION("""COMPUTED_VALUE"""),14.51)</f>
        <v>14.51</v>
      </c>
      <c r="U601" s="3" t="e">
        <f ca="1"/>
        <v>#NAME?</v>
      </c>
    </row>
    <row r="602" spans="3:21" ht="12.5" x14ac:dyDescent="0.25">
      <c r="C602" s="4">
        <f ca="1">IFERROR(__xludf.DUMMYFUNCTION("""COMPUTED_VALUE"""),40876.9986111111)</f>
        <v>40876.998611111099</v>
      </c>
      <c r="D602" s="2">
        <f ca="1">IFERROR(__xludf.DUMMYFUNCTION("""COMPUTED_VALUE"""),51.903)</f>
        <v>51.902999999999999</v>
      </c>
      <c r="E602" s="2">
        <f ca="1">IFERROR(__xludf.DUMMYFUNCTION("""COMPUTED_VALUE"""),64.826)</f>
        <v>64.825999999999993</v>
      </c>
      <c r="F602" s="2">
        <f ca="1">IFERROR(__xludf.DUMMYFUNCTION("""COMPUTED_VALUE"""),81.104)</f>
        <v>81.103999999999999</v>
      </c>
      <c r="G602" s="2">
        <f ca="1">IFERROR(__xludf.DUMMYFUNCTION("""COMPUTED_VALUE"""),0.61932)</f>
        <v>0.61931999999999998</v>
      </c>
      <c r="H602" s="2">
        <f ca="1">IFERROR(__xludf.DUMMYFUNCTION("""COMPUTED_VALUE"""),52.795)</f>
        <v>52.795000000000002</v>
      </c>
      <c r="I602" s="2">
        <f ca="1">IFERROR(__xludf.DUMMYFUNCTION("""COMPUTED_VALUE"""),49.476)</f>
        <v>49.475999999999999</v>
      </c>
      <c r="J602" s="2">
        <f ca="1">IFERROR(__xludf.DUMMYFUNCTION("""COMPUTED_VALUE"""),39.176)</f>
        <v>39.176000000000002</v>
      </c>
      <c r="K602" s="2">
        <f ca="1">IFERROR(__xludf.DUMMYFUNCTION("""COMPUTED_VALUE"""),55.111)</f>
        <v>55.110999999999997</v>
      </c>
      <c r="L602" s="2">
        <f ca="1">IFERROR(__xludf.DUMMYFUNCTION("""COMPUTED_VALUE"""),9.503)</f>
        <v>9.5030000000000001</v>
      </c>
      <c r="M602" s="2">
        <f ca="1">IFERROR(__xludf.DUMMYFUNCTION("""COMPUTED_VALUE"""),14.444)</f>
        <v>14.444000000000001</v>
      </c>
      <c r="U602" s="3" t="e">
        <f ca="1"/>
        <v>#NAME?</v>
      </c>
    </row>
    <row r="603" spans="3:21" ht="12.5" x14ac:dyDescent="0.25">
      <c r="C603" s="4">
        <f ca="1">IFERROR(__xludf.DUMMYFUNCTION("""COMPUTED_VALUE"""),40877.9986111111)</f>
        <v>40877.998611111099</v>
      </c>
      <c r="D603" s="2">
        <f ca="1">IFERROR(__xludf.DUMMYFUNCTION("""COMPUTED_VALUE"""),51.73)</f>
        <v>51.73</v>
      </c>
      <c r="E603" s="2">
        <f ca="1">IFERROR(__xludf.DUMMYFUNCTION("""COMPUTED_VALUE"""),64.801)</f>
        <v>64.801000000000002</v>
      </c>
      <c r="F603" s="2">
        <f ca="1">IFERROR(__xludf.DUMMYFUNCTION("""COMPUTED_VALUE"""),81.252)</f>
        <v>81.251999999999995</v>
      </c>
      <c r="G603" s="2">
        <f ca="1">IFERROR(__xludf.DUMMYFUNCTION("""COMPUTED_VALUE"""),0.62024)</f>
        <v>0.62024000000000001</v>
      </c>
      <c r="H603" s="2">
        <f ca="1">IFERROR(__xludf.DUMMYFUNCTION("""COMPUTED_VALUE"""),52.799)</f>
        <v>52.798999999999999</v>
      </c>
      <c r="I603" s="2">
        <f ca="1">IFERROR(__xludf.DUMMYFUNCTION("""COMPUTED_VALUE"""),49.409)</f>
        <v>49.408999999999999</v>
      </c>
      <c r="J603" s="2">
        <f ca="1">IFERROR(__xludf.DUMMYFUNCTION("""COMPUTED_VALUE"""),39.177)</f>
        <v>39.177</v>
      </c>
      <c r="K603" s="2">
        <f ca="1">IFERROR(__xludf.DUMMYFUNCTION("""COMPUTED_VALUE"""),55.238)</f>
        <v>55.238</v>
      </c>
      <c r="L603" s="2">
        <f ca="1">IFERROR(__xludf.DUMMYFUNCTION("""COMPUTED_VALUE"""),9.5081)</f>
        <v>9.5081000000000007</v>
      </c>
      <c r="M603" s="2">
        <f ca="1">IFERROR(__xludf.DUMMYFUNCTION("""COMPUTED_VALUE"""),14.389)</f>
        <v>14.388999999999999</v>
      </c>
      <c r="U603" s="3" t="e">
        <f ca="1"/>
        <v>#NAME?</v>
      </c>
    </row>
    <row r="604" spans="3:21" ht="12.5" x14ac:dyDescent="0.25">
      <c r="C604" s="4">
        <f ca="1">IFERROR(__xludf.DUMMYFUNCTION("""COMPUTED_VALUE"""),40878.9986111111)</f>
        <v>40878.998611111099</v>
      </c>
      <c r="D604" s="2">
        <f ca="1">IFERROR(__xludf.DUMMYFUNCTION("""COMPUTED_VALUE"""),51.3)</f>
        <v>51.3</v>
      </c>
      <c r="E604" s="2">
        <f ca="1">IFERROR(__xludf.DUMMYFUNCTION("""COMPUTED_VALUE"""),64.803)</f>
        <v>64.802999999999997</v>
      </c>
      <c r="F604" s="2">
        <f ca="1">IFERROR(__xludf.DUMMYFUNCTION("""COMPUTED_VALUE"""),80.505)</f>
        <v>80.504999999999995</v>
      </c>
      <c r="G604" s="2">
        <f ca="1">IFERROR(__xludf.DUMMYFUNCTION("""COMPUTED_VALUE"""),0.61695)</f>
        <v>0.61695</v>
      </c>
      <c r="H604" s="2">
        <f ca="1">IFERROR(__xludf.DUMMYFUNCTION("""COMPUTED_VALUE"""),52.8)</f>
        <v>52.8</v>
      </c>
      <c r="I604" s="2">
        <f ca="1">IFERROR(__xludf.DUMMYFUNCTION("""COMPUTED_VALUE"""),49.41)</f>
        <v>49.41</v>
      </c>
      <c r="J604" s="2">
        <f ca="1">IFERROR(__xludf.DUMMYFUNCTION("""COMPUTED_VALUE"""),39.111)</f>
        <v>39.110999999999997</v>
      </c>
      <c r="K604" s="2">
        <f ca="1">IFERROR(__xludf.DUMMYFUNCTION("""COMPUTED_VALUE"""),55.182)</f>
        <v>55.182000000000002</v>
      </c>
      <c r="L604" s="2">
        <f ca="1">IFERROR(__xludf.DUMMYFUNCTION("""COMPUTED_VALUE"""),9.5355)</f>
        <v>9.5355000000000008</v>
      </c>
      <c r="M604" s="2">
        <f ca="1">IFERROR(__xludf.DUMMYFUNCTION("""COMPUTED_VALUE"""),14.364)</f>
        <v>14.364000000000001</v>
      </c>
      <c r="U604" s="3" t="e">
        <f ca="1"/>
        <v>#NAME?</v>
      </c>
    </row>
    <row r="605" spans="3:21" ht="12.5" x14ac:dyDescent="0.25">
      <c r="C605" s="4">
        <f ca="1">IFERROR(__xludf.DUMMYFUNCTION("""COMPUTED_VALUE"""),40879.9986111111)</f>
        <v>40879.998611111099</v>
      </c>
      <c r="D605" s="2">
        <f ca="1">IFERROR(__xludf.DUMMYFUNCTION("""COMPUTED_VALUE"""),51.05)</f>
        <v>51.05</v>
      </c>
      <c r="E605" s="2">
        <f ca="1">IFERROR(__xludf.DUMMYFUNCTION("""COMPUTED_VALUE"""),64.812)</f>
        <v>64.811999999999998</v>
      </c>
      <c r="F605" s="2">
        <f ca="1">IFERROR(__xludf.DUMMYFUNCTION("""COMPUTED_VALUE"""),79.594)</f>
        <v>79.593999999999994</v>
      </c>
      <c r="G605" s="2">
        <f ca="1">IFERROR(__xludf.DUMMYFUNCTION("""COMPUTED_VALUE"""),0.61689)</f>
        <v>0.61689000000000005</v>
      </c>
      <c r="H605" s="2">
        <f ca="1">IFERROR(__xludf.DUMMYFUNCTION("""COMPUTED_VALUE"""),52.727)</f>
        <v>52.726999999999997</v>
      </c>
      <c r="I605" s="2">
        <f ca="1">IFERROR(__xludf.DUMMYFUNCTION("""COMPUTED_VALUE"""),49.315)</f>
        <v>49.314999999999998</v>
      </c>
      <c r="J605" s="2">
        <f ca="1">IFERROR(__xludf.DUMMYFUNCTION("""COMPUTED_VALUE"""),39.193)</f>
        <v>39.192999999999998</v>
      </c>
      <c r="K605" s="2">
        <f ca="1">IFERROR(__xludf.DUMMYFUNCTION("""COMPUTED_VALUE"""),55.794)</f>
        <v>55.793999999999997</v>
      </c>
      <c r="L605" s="2">
        <f ca="1">IFERROR(__xludf.DUMMYFUNCTION("""COMPUTED_VALUE"""),9.5345)</f>
        <v>9.5344999999999995</v>
      </c>
      <c r="M605" s="2">
        <f ca="1">IFERROR(__xludf.DUMMYFUNCTION("""COMPUTED_VALUE"""),14.323)</f>
        <v>14.323</v>
      </c>
      <c r="U605" s="3" t="e">
        <f ca="1"/>
        <v>#NAME?</v>
      </c>
    </row>
    <row r="606" spans="3:21" ht="12.5" x14ac:dyDescent="0.25">
      <c r="C606" s="4">
        <f ca="1">IFERROR(__xludf.DUMMYFUNCTION("""COMPUTED_VALUE"""),40881.9986111111)</f>
        <v>40881.998611111099</v>
      </c>
      <c r="D606" s="2">
        <f ca="1">IFERROR(__xludf.DUMMYFUNCTION("""COMPUTED_VALUE"""),51.103)</f>
        <v>51.103000000000002</v>
      </c>
      <c r="E606" s="2">
        <f ca="1">IFERROR(__xludf.DUMMYFUNCTION("""COMPUTED_VALUE"""),65.213)</f>
        <v>65.212999999999994</v>
      </c>
      <c r="F606" s="2">
        <f ca="1">IFERROR(__xludf.DUMMYFUNCTION("""COMPUTED_VALUE"""),79.093)</f>
        <v>79.093000000000004</v>
      </c>
      <c r="G606" s="2">
        <f ca="1">IFERROR(__xludf.DUMMYFUNCTION("""COMPUTED_VALUE"""),0.61261)</f>
        <v>0.61260999999999999</v>
      </c>
      <c r="H606" s="2">
        <f ca="1">IFERROR(__xludf.DUMMYFUNCTION("""COMPUTED_VALUE"""),52.54)</f>
        <v>52.54</v>
      </c>
      <c r="I606" s="2">
        <f ca="1">IFERROR(__xludf.DUMMYFUNCTION("""COMPUTED_VALUE"""),49.403)</f>
        <v>49.402999999999999</v>
      </c>
      <c r="J606" s="2">
        <f ca="1">IFERROR(__xludf.DUMMYFUNCTION("""COMPUTED_VALUE"""),39.079)</f>
        <v>39.079000000000001</v>
      </c>
      <c r="K606" s="2">
        <f ca="1">IFERROR(__xludf.DUMMYFUNCTION("""COMPUTED_VALUE"""),55.805)</f>
        <v>55.805</v>
      </c>
      <c r="L606" s="2">
        <f ca="1">IFERROR(__xludf.DUMMYFUNCTION("""COMPUTED_VALUE"""),9.4581)</f>
        <v>9.4581</v>
      </c>
      <c r="M606" s="2">
        <f ca="1">IFERROR(__xludf.DUMMYFUNCTION("""COMPUTED_VALUE"""),14.34)</f>
        <v>14.34</v>
      </c>
      <c r="U606" s="3" t="e">
        <f ca="1"/>
        <v>#NAME?</v>
      </c>
    </row>
    <row r="607" spans="3:21" ht="12.5" x14ac:dyDescent="0.25">
      <c r="C607" s="4">
        <f ca="1">IFERROR(__xludf.DUMMYFUNCTION("""COMPUTED_VALUE"""),40882.9986111111)</f>
        <v>40882.998611111099</v>
      </c>
      <c r="D607" s="2">
        <f ca="1">IFERROR(__xludf.DUMMYFUNCTION("""COMPUTED_VALUE"""),51.2)</f>
        <v>51.2</v>
      </c>
      <c r="E607" s="2">
        <f ca="1">IFERROR(__xludf.DUMMYFUNCTION("""COMPUTED_VALUE"""),65.143)</f>
        <v>65.143000000000001</v>
      </c>
      <c r="F607" s="2">
        <f ca="1">IFERROR(__xludf.DUMMYFUNCTION("""COMPUTED_VALUE"""),79.611)</f>
        <v>79.611000000000004</v>
      </c>
      <c r="G607" s="2">
        <f ca="1">IFERROR(__xludf.DUMMYFUNCTION("""COMPUTED_VALUE"""),0.61348)</f>
        <v>0.61348000000000003</v>
      </c>
      <c r="H607" s="2">
        <f ca="1">IFERROR(__xludf.DUMMYFUNCTION("""COMPUTED_VALUE"""),52.244)</f>
        <v>52.244</v>
      </c>
      <c r="I607" s="2">
        <f ca="1">IFERROR(__xludf.DUMMYFUNCTION("""COMPUTED_VALUE"""),49.162)</f>
        <v>49.161999999999999</v>
      </c>
      <c r="J607" s="2">
        <f ca="1">IFERROR(__xludf.DUMMYFUNCTION("""COMPUTED_VALUE"""),39.152)</f>
        <v>39.152000000000001</v>
      </c>
      <c r="K607" s="2">
        <f ca="1">IFERROR(__xludf.DUMMYFUNCTION("""COMPUTED_VALUE"""),55.454)</f>
        <v>55.454000000000001</v>
      </c>
      <c r="L607" s="2">
        <f ca="1">IFERROR(__xludf.DUMMYFUNCTION("""COMPUTED_VALUE"""),9.4733)</f>
        <v>9.4733000000000001</v>
      </c>
      <c r="M607" s="2">
        <f ca="1">IFERROR(__xludf.DUMMYFUNCTION("""COMPUTED_VALUE"""),14.34)</f>
        <v>14.34</v>
      </c>
      <c r="U607" s="3" t="e">
        <f ca="1"/>
        <v>#NAME?</v>
      </c>
    </row>
    <row r="608" spans="3:21" ht="12.5" x14ac:dyDescent="0.25">
      <c r="C608" s="4">
        <f ca="1">IFERROR(__xludf.DUMMYFUNCTION("""COMPUTED_VALUE"""),40883.9986111111)</f>
        <v>40883.998611111099</v>
      </c>
      <c r="D608" s="2">
        <f ca="1">IFERROR(__xludf.DUMMYFUNCTION("""COMPUTED_VALUE"""),51.2)</f>
        <v>51.2</v>
      </c>
      <c r="E608" s="2">
        <f ca="1">IFERROR(__xludf.DUMMYFUNCTION("""COMPUTED_VALUE"""),65.574)</f>
        <v>65.573999999999998</v>
      </c>
      <c r="F608" s="2">
        <f ca="1">IFERROR(__xludf.DUMMYFUNCTION("""COMPUTED_VALUE"""),80.093)</f>
        <v>80.093000000000004</v>
      </c>
      <c r="G608" s="2">
        <f ca="1">IFERROR(__xludf.DUMMYFUNCTION("""COMPUTED_VALUE"""),0.60358)</f>
        <v>0.60358000000000001</v>
      </c>
      <c r="H608" s="2">
        <f ca="1">IFERROR(__xludf.DUMMYFUNCTION("""COMPUTED_VALUE"""),52.607)</f>
        <v>52.606999999999999</v>
      </c>
      <c r="I608" s="2">
        <f ca="1">IFERROR(__xludf.DUMMYFUNCTION("""COMPUTED_VALUE"""),49.168)</f>
        <v>49.167999999999999</v>
      </c>
      <c r="J608" s="2">
        <f ca="1">IFERROR(__xludf.DUMMYFUNCTION("""COMPUTED_VALUE"""),38.986)</f>
        <v>38.985999999999997</v>
      </c>
      <c r="K608" s="2">
        <f ca="1">IFERROR(__xludf.DUMMYFUNCTION("""COMPUTED_VALUE"""),55.061)</f>
        <v>55.061</v>
      </c>
      <c r="L608" s="2">
        <f ca="1">IFERROR(__xludf.DUMMYFUNCTION("""COMPUTED_VALUE"""),9.45)</f>
        <v>9.4499999999999993</v>
      </c>
      <c r="M608" s="2">
        <f ca="1">IFERROR(__xludf.DUMMYFUNCTION("""COMPUTED_VALUE"""),14.261)</f>
        <v>14.260999999999999</v>
      </c>
      <c r="U608" s="3" t="e">
        <f ca="1"/>
        <v>#NAME?</v>
      </c>
    </row>
    <row r="609" spans="3:21" ht="12.5" x14ac:dyDescent="0.25">
      <c r="C609" s="4">
        <f ca="1">IFERROR(__xludf.DUMMYFUNCTION("""COMPUTED_VALUE"""),40884.9986111111)</f>
        <v>40884.998611111099</v>
      </c>
      <c r="D609" s="2">
        <f ca="1">IFERROR(__xludf.DUMMYFUNCTION("""COMPUTED_VALUE"""),51.6)</f>
        <v>51.6</v>
      </c>
      <c r="E609" s="2">
        <f ca="1">IFERROR(__xludf.DUMMYFUNCTION("""COMPUTED_VALUE"""),65.935)</f>
        <v>65.935000000000002</v>
      </c>
      <c r="F609" s="2">
        <f ca="1">IFERROR(__xludf.DUMMYFUNCTION("""COMPUTED_VALUE"""),79.852)</f>
        <v>79.852000000000004</v>
      </c>
      <c r="G609" s="2">
        <f ca="1">IFERROR(__xludf.DUMMYFUNCTION("""COMPUTED_VALUE"""),0.60515)</f>
        <v>0.60514999999999997</v>
      </c>
      <c r="H609" s="2">
        <f ca="1">IFERROR(__xludf.DUMMYFUNCTION("""COMPUTED_VALUE"""),52.358)</f>
        <v>52.357999999999997</v>
      </c>
      <c r="I609" s="2">
        <f ca="1">IFERROR(__xludf.DUMMYFUNCTION("""COMPUTED_VALUE"""),48.976)</f>
        <v>48.975999999999999</v>
      </c>
      <c r="J609" s="2">
        <f ca="1">IFERROR(__xludf.DUMMYFUNCTION("""COMPUTED_VALUE"""),38.986)</f>
        <v>38.985999999999997</v>
      </c>
      <c r="K609" s="2">
        <f ca="1">IFERROR(__xludf.DUMMYFUNCTION("""COMPUTED_VALUE"""),55.16)</f>
        <v>55.16</v>
      </c>
      <c r="L609" s="2">
        <f ca="1">IFERROR(__xludf.DUMMYFUNCTION("""COMPUTED_VALUE"""),9.4883)</f>
        <v>9.4883000000000006</v>
      </c>
      <c r="M609" s="2">
        <f ca="1">IFERROR(__xludf.DUMMYFUNCTION("""COMPUTED_VALUE"""),14.049)</f>
        <v>14.048999999999999</v>
      </c>
      <c r="U609" s="3" t="e">
        <f ca="1"/>
        <v>#NAME?</v>
      </c>
    </row>
    <row r="610" spans="3:21" ht="12.5" x14ac:dyDescent="0.25">
      <c r="C610" s="4">
        <f ca="1">IFERROR(__xludf.DUMMYFUNCTION("""COMPUTED_VALUE"""),40885.9986111111)</f>
        <v>40885.998611111099</v>
      </c>
      <c r="D610" s="2">
        <f ca="1">IFERROR(__xludf.DUMMYFUNCTION("""COMPUTED_VALUE"""),51.7)</f>
        <v>51.7</v>
      </c>
      <c r="E610" s="2">
        <f ca="1">IFERROR(__xludf.DUMMYFUNCTION("""COMPUTED_VALUE"""),65.904)</f>
        <v>65.903999999999996</v>
      </c>
      <c r="F610" s="2">
        <f ca="1">IFERROR(__xludf.DUMMYFUNCTION("""COMPUTED_VALUE"""),81.039)</f>
        <v>81.039000000000001</v>
      </c>
      <c r="G610" s="2">
        <f ca="1">IFERROR(__xludf.DUMMYFUNCTION("""COMPUTED_VALUE"""),0.61033)</f>
        <v>0.61033000000000004</v>
      </c>
      <c r="H610" s="2">
        <f ca="1">IFERROR(__xludf.DUMMYFUNCTION("""COMPUTED_VALUE"""),52.414)</f>
        <v>52.414000000000001</v>
      </c>
      <c r="I610" s="2">
        <f ca="1">IFERROR(__xludf.DUMMYFUNCTION("""COMPUTED_VALUE"""),48.975)</f>
        <v>48.975000000000001</v>
      </c>
      <c r="J610" s="2">
        <f ca="1">IFERROR(__xludf.DUMMYFUNCTION("""COMPUTED_VALUE"""),38.986)</f>
        <v>38.985999999999997</v>
      </c>
      <c r="K610" s="2">
        <f ca="1">IFERROR(__xludf.DUMMYFUNCTION("""COMPUTED_VALUE"""),55.526)</f>
        <v>55.526000000000003</v>
      </c>
      <c r="L610" s="2">
        <f ca="1">IFERROR(__xludf.DUMMYFUNCTION("""COMPUTED_VALUE"""),9.483)</f>
        <v>9.4830000000000005</v>
      </c>
      <c r="M610" s="2">
        <f ca="1">IFERROR(__xludf.DUMMYFUNCTION("""COMPUTED_VALUE"""),14.089)</f>
        <v>14.089</v>
      </c>
      <c r="U610" s="3" t="e">
        <f ca="1"/>
        <v>#NAME?</v>
      </c>
    </row>
    <row r="611" spans="3:21" ht="12.5" x14ac:dyDescent="0.25">
      <c r="C611" s="4">
        <f ca="1">IFERROR(__xludf.DUMMYFUNCTION("""COMPUTED_VALUE"""),40886.9986111111)</f>
        <v>40886.998611111099</v>
      </c>
      <c r="D611" s="2">
        <f ca="1">IFERROR(__xludf.DUMMYFUNCTION("""COMPUTED_VALUE"""),51.89)</f>
        <v>51.89</v>
      </c>
      <c r="E611" s="2">
        <f ca="1">IFERROR(__xludf.DUMMYFUNCTION("""COMPUTED_VALUE"""),65.842)</f>
        <v>65.841999999999999</v>
      </c>
      <c r="F611" s="2">
        <f ca="1">IFERROR(__xludf.DUMMYFUNCTION("""COMPUTED_VALUE"""),80.772)</f>
        <v>80.772000000000006</v>
      </c>
      <c r="G611" s="2">
        <f ca="1">IFERROR(__xludf.DUMMYFUNCTION("""COMPUTED_VALUE"""),0.60885)</f>
        <v>0.60885</v>
      </c>
      <c r="H611" s="2">
        <f ca="1">IFERROR(__xludf.DUMMYFUNCTION("""COMPUTED_VALUE"""),52.824)</f>
        <v>52.823999999999998</v>
      </c>
      <c r="I611" s="2">
        <f ca="1">IFERROR(__xludf.DUMMYFUNCTION("""COMPUTED_VALUE"""),48.975)</f>
        <v>48.975000000000001</v>
      </c>
      <c r="J611" s="2">
        <f ca="1">IFERROR(__xludf.DUMMYFUNCTION("""COMPUTED_VALUE"""),39.135)</f>
        <v>39.134999999999998</v>
      </c>
      <c r="K611" s="2">
        <f ca="1">IFERROR(__xludf.DUMMYFUNCTION("""COMPUTED_VALUE"""),55.861)</f>
        <v>55.860999999999997</v>
      </c>
      <c r="L611" s="2">
        <f ca="1">IFERROR(__xludf.DUMMYFUNCTION("""COMPUTED_VALUE"""),9.5609)</f>
        <v>9.5609000000000002</v>
      </c>
      <c r="M611" s="2">
        <f ca="1">IFERROR(__xludf.DUMMYFUNCTION("""COMPUTED_VALUE"""),14.008)</f>
        <v>14.007999999999999</v>
      </c>
      <c r="U611" s="3" t="e">
        <f ca="1"/>
        <v>#NAME?</v>
      </c>
    </row>
    <row r="612" spans="3:21" ht="12.5" x14ac:dyDescent="0.25">
      <c r="C612" s="4">
        <f ca="1">IFERROR(__xludf.DUMMYFUNCTION("""COMPUTED_VALUE"""),40887.9986111111)</f>
        <v>40887.998611111099</v>
      </c>
      <c r="D612" s="2">
        <f ca="1">IFERROR(__xludf.DUMMYFUNCTION("""COMPUTED_VALUE"""),51.868)</f>
        <v>51.868000000000002</v>
      </c>
      <c r="E612" s="2">
        <f ca="1">IFERROR(__xludf.DUMMYFUNCTION("""COMPUTED_VALUE"""),66.029)</f>
        <v>66.028999999999996</v>
      </c>
      <c r="F612" s="2">
        <f ca="1">IFERROR(__xludf.DUMMYFUNCTION("""COMPUTED_VALUE"""),81.217)</f>
        <v>81.216999999999999</v>
      </c>
      <c r="G612" s="2">
        <f ca="1">IFERROR(__xludf.DUMMYFUNCTION("""COMPUTED_VALUE"""),0.60186)</f>
        <v>0.60185999999999995</v>
      </c>
      <c r="H612" s="2">
        <f ca="1">IFERROR(__xludf.DUMMYFUNCTION("""COMPUTED_VALUE"""),52.878)</f>
        <v>52.878</v>
      </c>
      <c r="I612" s="2">
        <f ca="1">IFERROR(__xludf.DUMMYFUNCTION("""COMPUTED_VALUE"""),49.203)</f>
        <v>49.203000000000003</v>
      </c>
      <c r="J612" s="2">
        <f ca="1">IFERROR(__xludf.DUMMYFUNCTION("""COMPUTED_VALUE"""),39.253)</f>
        <v>39.253</v>
      </c>
      <c r="K612" s="2">
        <f ca="1">IFERROR(__xludf.DUMMYFUNCTION("""COMPUTED_VALUE"""),55.858)</f>
        <v>55.857999999999997</v>
      </c>
      <c r="L612" s="2">
        <f ca="1">IFERROR(__xludf.DUMMYFUNCTION("""COMPUTED_VALUE"""),9.6342)</f>
        <v>9.6341999999999999</v>
      </c>
      <c r="M612" s="2">
        <f ca="1">IFERROR(__xludf.DUMMYFUNCTION("""COMPUTED_VALUE"""),13.994)</f>
        <v>13.994</v>
      </c>
      <c r="U612" s="3" t="e">
        <f ca="1"/>
        <v>#NAME?</v>
      </c>
    </row>
    <row r="613" spans="3:21" ht="12.5" x14ac:dyDescent="0.25">
      <c r="C613" s="4">
        <f ca="1">IFERROR(__xludf.DUMMYFUNCTION("""COMPUTED_VALUE"""),40889.9986111111)</f>
        <v>40889.998611111099</v>
      </c>
      <c r="D613" s="2">
        <f ca="1">IFERROR(__xludf.DUMMYFUNCTION("""COMPUTED_VALUE"""),52.65)</f>
        <v>52.65</v>
      </c>
      <c r="E613" s="2">
        <f ca="1">IFERROR(__xludf.DUMMYFUNCTION("""COMPUTED_VALUE"""),65.194)</f>
        <v>65.194000000000003</v>
      </c>
      <c r="F613" s="2">
        <f ca="1">IFERROR(__xludf.DUMMYFUNCTION("""COMPUTED_VALUE"""),81.19)</f>
        <v>81.19</v>
      </c>
      <c r="G613" s="2">
        <f ca="1">IFERROR(__xludf.DUMMYFUNCTION("""COMPUTED_VALUE"""),0.6066)</f>
        <v>0.60660000000000003</v>
      </c>
      <c r="H613" s="2">
        <f ca="1">IFERROR(__xludf.DUMMYFUNCTION("""COMPUTED_VALUE"""),52.559)</f>
        <v>52.558999999999997</v>
      </c>
      <c r="I613" s="2">
        <f ca="1">IFERROR(__xludf.DUMMYFUNCTION("""COMPUTED_VALUE"""),49.297)</f>
        <v>49.296999999999997</v>
      </c>
      <c r="J613" s="2">
        <f ca="1">IFERROR(__xludf.DUMMYFUNCTION("""COMPUTED_VALUE"""),39.114)</f>
        <v>39.113999999999997</v>
      </c>
      <c r="K613" s="2">
        <f ca="1">IFERROR(__xludf.DUMMYFUNCTION("""COMPUTED_VALUE"""),56.791)</f>
        <v>56.790999999999997</v>
      </c>
      <c r="L613" s="2">
        <f ca="1">IFERROR(__xludf.DUMMYFUNCTION("""COMPUTED_VALUE"""),9.6141)</f>
        <v>9.6141000000000005</v>
      </c>
      <c r="M613" s="2">
        <f ca="1">IFERROR(__xludf.DUMMYFUNCTION("""COMPUTED_VALUE"""),14.003)</f>
        <v>14.003</v>
      </c>
      <c r="U613" s="3" t="e">
        <f ca="1"/>
        <v>#NAME?</v>
      </c>
    </row>
    <row r="614" spans="3:21" ht="12.5" x14ac:dyDescent="0.25">
      <c r="C614" s="4">
        <f ca="1">IFERROR(__xludf.DUMMYFUNCTION("""COMPUTED_VALUE"""),40890.9986111111)</f>
        <v>40890.998611111099</v>
      </c>
      <c r="D614" s="2">
        <f ca="1">IFERROR(__xludf.DUMMYFUNCTION("""COMPUTED_VALUE"""),53.1)</f>
        <v>53.1</v>
      </c>
      <c r="E614" s="2">
        <f ca="1">IFERROR(__xludf.DUMMYFUNCTION("""COMPUTED_VALUE"""),65.514)</f>
        <v>65.513999999999996</v>
      </c>
      <c r="F614" s="2">
        <f ca="1">IFERROR(__xludf.DUMMYFUNCTION("""COMPUTED_VALUE"""),82.055)</f>
        <v>82.055000000000007</v>
      </c>
      <c r="G614" s="2">
        <f ca="1">IFERROR(__xludf.DUMMYFUNCTION("""COMPUTED_VALUE"""),0.60547)</f>
        <v>0.60546999999999995</v>
      </c>
      <c r="H614" s="2">
        <f ca="1">IFERROR(__xludf.DUMMYFUNCTION("""COMPUTED_VALUE"""),53.141)</f>
        <v>53.140999999999998</v>
      </c>
      <c r="I614" s="2">
        <f ca="1">IFERROR(__xludf.DUMMYFUNCTION("""COMPUTED_VALUE"""),49.493)</f>
        <v>49.493000000000002</v>
      </c>
      <c r="J614" s="2">
        <f ca="1">IFERROR(__xludf.DUMMYFUNCTION("""COMPUTED_VALUE"""),39.395)</f>
        <v>39.395000000000003</v>
      </c>
      <c r="K614" s="2">
        <f ca="1">IFERROR(__xludf.DUMMYFUNCTION("""COMPUTED_VALUE"""),57.335)</f>
        <v>57.335000000000001</v>
      </c>
      <c r="L614" s="2">
        <f ca="1">IFERROR(__xludf.DUMMYFUNCTION("""COMPUTED_VALUE"""),9.5997)</f>
        <v>9.5997000000000003</v>
      </c>
      <c r="M614" s="2">
        <f ca="1">IFERROR(__xludf.DUMMYFUNCTION("""COMPUTED_VALUE"""),14.003)</f>
        <v>14.003</v>
      </c>
      <c r="U614" s="3" t="e">
        <f ca="1"/>
        <v>#NAME?</v>
      </c>
    </row>
    <row r="615" spans="3:21" ht="12.5" x14ac:dyDescent="0.25">
      <c r="C615" s="4">
        <f ca="1">IFERROR(__xludf.DUMMYFUNCTION("""COMPUTED_VALUE"""),40891.9986111111)</f>
        <v>40891.998611111099</v>
      </c>
      <c r="D615" s="2">
        <f ca="1">IFERROR(__xludf.DUMMYFUNCTION("""COMPUTED_VALUE"""),53.71)</f>
        <v>53.71</v>
      </c>
      <c r="E615" s="2">
        <f ca="1">IFERROR(__xludf.DUMMYFUNCTION("""COMPUTED_VALUE"""),65.376)</f>
        <v>65.376000000000005</v>
      </c>
      <c r="F615" s="2">
        <f ca="1">IFERROR(__xludf.DUMMYFUNCTION("""COMPUTED_VALUE"""),82.199)</f>
        <v>82.198999999999998</v>
      </c>
      <c r="G615" s="2">
        <f ca="1">IFERROR(__xludf.DUMMYFUNCTION("""COMPUTED_VALUE"""),0.60547)</f>
        <v>0.60546999999999995</v>
      </c>
      <c r="H615" s="2">
        <f ca="1">IFERROR(__xludf.DUMMYFUNCTION("""COMPUTED_VALUE"""),53.085)</f>
        <v>53.085000000000001</v>
      </c>
      <c r="I615" s="2">
        <f ca="1">IFERROR(__xludf.DUMMYFUNCTION("""COMPUTED_VALUE"""),49.917)</f>
        <v>49.917000000000002</v>
      </c>
      <c r="J615" s="2">
        <f ca="1">IFERROR(__xludf.DUMMYFUNCTION("""COMPUTED_VALUE"""),39.508)</f>
        <v>39.508000000000003</v>
      </c>
      <c r="K615" s="2">
        <f ca="1">IFERROR(__xludf.DUMMYFUNCTION("""COMPUTED_VALUE"""),56.746)</f>
        <v>56.746000000000002</v>
      </c>
      <c r="L615" s="2">
        <f ca="1">IFERROR(__xludf.DUMMYFUNCTION("""COMPUTED_VALUE"""),9.5807)</f>
        <v>9.5807000000000002</v>
      </c>
      <c r="M615" s="2">
        <f ca="1">IFERROR(__xludf.DUMMYFUNCTION("""COMPUTED_VALUE"""),13.989)</f>
        <v>13.989000000000001</v>
      </c>
      <c r="U615" s="3" t="e">
        <f ca="1"/>
        <v>#NAME?</v>
      </c>
    </row>
    <row r="616" spans="3:21" ht="12.5" x14ac:dyDescent="0.25">
      <c r="C616" s="4">
        <f ca="1">IFERROR(__xludf.DUMMYFUNCTION("""COMPUTED_VALUE"""),40892.9986111111)</f>
        <v>40892.998611111099</v>
      </c>
      <c r="D616" s="2">
        <f ca="1">IFERROR(__xludf.DUMMYFUNCTION("""COMPUTED_VALUE"""),53.21)</f>
        <v>53.21</v>
      </c>
      <c r="E616" s="2">
        <f ca="1">IFERROR(__xludf.DUMMYFUNCTION("""COMPUTED_VALUE"""),65.374)</f>
        <v>65.373999999999995</v>
      </c>
      <c r="F616" s="2">
        <f ca="1">IFERROR(__xludf.DUMMYFUNCTION("""COMPUTED_VALUE"""),83.079)</f>
        <v>83.078999999999994</v>
      </c>
      <c r="G616" s="2">
        <f ca="1">IFERROR(__xludf.DUMMYFUNCTION("""COMPUTED_VALUE"""),0.60547)</f>
        <v>0.60546999999999995</v>
      </c>
      <c r="H616" s="2">
        <f ca="1">IFERROR(__xludf.DUMMYFUNCTION("""COMPUTED_VALUE"""),53.065)</f>
        <v>53.064999999999998</v>
      </c>
      <c r="I616" s="2">
        <f ca="1">IFERROR(__xludf.DUMMYFUNCTION("""COMPUTED_VALUE"""),50.051)</f>
        <v>50.051000000000002</v>
      </c>
      <c r="J616" s="2">
        <f ca="1">IFERROR(__xludf.DUMMYFUNCTION("""COMPUTED_VALUE"""),39.505)</f>
        <v>39.505000000000003</v>
      </c>
      <c r="K616" s="2">
        <f ca="1">IFERROR(__xludf.DUMMYFUNCTION("""COMPUTED_VALUE"""),56.567)</f>
        <v>56.567</v>
      </c>
      <c r="L616" s="2">
        <f ca="1">IFERROR(__xludf.DUMMYFUNCTION("""COMPUTED_VALUE"""),9.5816)</f>
        <v>9.5815999999999999</v>
      </c>
      <c r="M616" s="2">
        <f ca="1">IFERROR(__xludf.DUMMYFUNCTION("""COMPUTED_VALUE"""),13.79)</f>
        <v>13.79</v>
      </c>
      <c r="U616" s="3" t="e">
        <f ca="1"/>
        <v>#NAME?</v>
      </c>
    </row>
    <row r="617" spans="3:21" ht="12.5" x14ac:dyDescent="0.25">
      <c r="C617" s="4">
        <f ca="1">IFERROR(__xludf.DUMMYFUNCTION("""COMPUTED_VALUE"""),40893.9986111111)</f>
        <v>40893.998611111099</v>
      </c>
      <c r="D617" s="2">
        <f ca="1">IFERROR(__xludf.DUMMYFUNCTION("""COMPUTED_VALUE"""),52.5)</f>
        <v>52.5</v>
      </c>
      <c r="E617" s="2">
        <f ca="1">IFERROR(__xludf.DUMMYFUNCTION("""COMPUTED_VALUE"""),65.373)</f>
        <v>65.373000000000005</v>
      </c>
      <c r="F617" s="2">
        <f ca="1">IFERROR(__xludf.DUMMYFUNCTION("""COMPUTED_VALUE"""),82.534)</f>
        <v>82.534000000000006</v>
      </c>
      <c r="G617" s="2">
        <f ca="1">IFERROR(__xludf.DUMMYFUNCTION("""COMPUTED_VALUE"""),0.61059)</f>
        <v>0.61058999999999997</v>
      </c>
      <c r="H617" s="2">
        <f ca="1">IFERROR(__xludf.DUMMYFUNCTION("""COMPUTED_VALUE"""),53.065)</f>
        <v>53.064999999999998</v>
      </c>
      <c r="I617" s="2">
        <f ca="1">IFERROR(__xludf.DUMMYFUNCTION("""COMPUTED_VALUE"""),50.041)</f>
        <v>50.040999999999997</v>
      </c>
      <c r="J617" s="2">
        <f ca="1">IFERROR(__xludf.DUMMYFUNCTION("""COMPUTED_VALUE"""),39.505)</f>
        <v>39.505000000000003</v>
      </c>
      <c r="K617" s="2">
        <f ca="1">IFERROR(__xludf.DUMMYFUNCTION("""COMPUTED_VALUE"""),56.161)</f>
        <v>56.161000000000001</v>
      </c>
      <c r="L617" s="2">
        <f ca="1">IFERROR(__xludf.DUMMYFUNCTION("""COMPUTED_VALUE"""),9.6005)</f>
        <v>9.6005000000000003</v>
      </c>
      <c r="M617" s="2">
        <f ca="1">IFERROR(__xludf.DUMMYFUNCTION("""COMPUTED_VALUE"""),13.711)</f>
        <v>13.711</v>
      </c>
      <c r="U617" s="3" t="e">
        <f ca="1"/>
        <v>#NAME?</v>
      </c>
    </row>
    <row r="618" spans="3:21" ht="12.5" x14ac:dyDescent="0.25">
      <c r="C618" s="4">
        <f ca="1">IFERROR(__xludf.DUMMYFUNCTION("""COMPUTED_VALUE"""),40895.9986111111)</f>
        <v>40895.998611111099</v>
      </c>
      <c r="D618" s="2">
        <f ca="1">IFERROR(__xludf.DUMMYFUNCTION("""COMPUTED_VALUE"""),52.493)</f>
        <v>52.493000000000002</v>
      </c>
      <c r="E618" s="2">
        <f ca="1">IFERROR(__xludf.DUMMYFUNCTION("""COMPUTED_VALUE"""),65.828)</f>
        <v>65.828000000000003</v>
      </c>
      <c r="F618" s="2">
        <f ca="1">IFERROR(__xludf.DUMMYFUNCTION("""COMPUTED_VALUE"""),81.344)</f>
        <v>81.343999999999994</v>
      </c>
      <c r="G618" s="2">
        <f ca="1">IFERROR(__xludf.DUMMYFUNCTION("""COMPUTED_VALUE"""),0.62324)</f>
        <v>0.62324000000000002</v>
      </c>
      <c r="H618" s="2">
        <f ca="1">IFERROR(__xludf.DUMMYFUNCTION("""COMPUTED_VALUE"""),53.142)</f>
        <v>53.142000000000003</v>
      </c>
      <c r="I618" s="2">
        <f ca="1">IFERROR(__xludf.DUMMYFUNCTION("""COMPUTED_VALUE"""),50.041)</f>
        <v>50.040999999999997</v>
      </c>
      <c r="J618" s="2">
        <f ca="1">IFERROR(__xludf.DUMMYFUNCTION("""COMPUTED_VALUE"""),39.607)</f>
        <v>39.606999999999999</v>
      </c>
      <c r="K618" s="2">
        <f ca="1">IFERROR(__xludf.DUMMYFUNCTION("""COMPUTED_VALUE"""),56.164)</f>
        <v>56.164000000000001</v>
      </c>
      <c r="L618" s="2">
        <f ca="1">IFERROR(__xludf.DUMMYFUNCTION("""COMPUTED_VALUE"""),9.5962)</f>
        <v>9.5961999999999996</v>
      </c>
      <c r="M618" s="2">
        <f ca="1">IFERROR(__xludf.DUMMYFUNCTION("""COMPUTED_VALUE"""),13.695)</f>
        <v>13.695</v>
      </c>
      <c r="U618" s="3" t="e">
        <f ca="1"/>
        <v>#NAME?</v>
      </c>
    </row>
    <row r="619" spans="3:21" ht="12.5" x14ac:dyDescent="0.25">
      <c r="C619" s="4">
        <f ca="1">IFERROR(__xludf.DUMMYFUNCTION("""COMPUTED_VALUE"""),40896.9986111111)</f>
        <v>40896.998611111099</v>
      </c>
      <c r="D619" s="2">
        <f ca="1">IFERROR(__xludf.DUMMYFUNCTION("""COMPUTED_VALUE"""),52.7)</f>
        <v>52.7</v>
      </c>
      <c r="E619" s="2">
        <f ca="1">IFERROR(__xludf.DUMMYFUNCTION("""COMPUTED_VALUE"""),65.972)</f>
        <v>65.971999999999994</v>
      </c>
      <c r="F619" s="2">
        <f ca="1">IFERROR(__xludf.DUMMYFUNCTION("""COMPUTED_VALUE"""),81.61)</f>
        <v>81.61</v>
      </c>
      <c r="G619" s="2">
        <f ca="1">IFERROR(__xludf.DUMMYFUNCTION("""COMPUTED_VALUE"""),0.6178)</f>
        <v>0.61780000000000002</v>
      </c>
      <c r="H619" s="2">
        <f ca="1">IFERROR(__xludf.DUMMYFUNCTION("""COMPUTED_VALUE"""),53.084)</f>
        <v>53.084000000000003</v>
      </c>
      <c r="I619" s="2">
        <f ca="1">IFERROR(__xludf.DUMMYFUNCTION("""COMPUTED_VALUE"""),50.078)</f>
        <v>50.078000000000003</v>
      </c>
      <c r="J619" s="2">
        <f ca="1">IFERROR(__xludf.DUMMYFUNCTION("""COMPUTED_VALUE"""),39.782)</f>
        <v>39.781999999999996</v>
      </c>
      <c r="K619" s="2">
        <f ca="1">IFERROR(__xludf.DUMMYFUNCTION("""COMPUTED_VALUE"""),56.164)</f>
        <v>56.164000000000001</v>
      </c>
      <c r="L619" s="2">
        <f ca="1">IFERROR(__xludf.DUMMYFUNCTION("""COMPUTED_VALUE"""),9.6071)</f>
        <v>9.6071000000000009</v>
      </c>
      <c r="M619" s="2">
        <f ca="1">IFERROR(__xludf.DUMMYFUNCTION("""COMPUTED_VALUE"""),13.667)</f>
        <v>13.667</v>
      </c>
      <c r="U619" s="3" t="e">
        <f ca="1"/>
        <v>#NAME?</v>
      </c>
    </row>
    <row r="620" spans="3:21" ht="12.5" x14ac:dyDescent="0.25">
      <c r="C620" s="4">
        <f ca="1">IFERROR(__xludf.DUMMYFUNCTION("""COMPUTED_VALUE"""),40897.9986111111)</f>
        <v>40897.998611111099</v>
      </c>
      <c r="D620" s="2">
        <f ca="1">IFERROR(__xludf.DUMMYFUNCTION("""COMPUTED_VALUE"""),52.71)</f>
        <v>52.71</v>
      </c>
      <c r="E620" s="2">
        <f ca="1">IFERROR(__xludf.DUMMYFUNCTION("""COMPUTED_VALUE"""),66.02)</f>
        <v>66.02</v>
      </c>
      <c r="F620" s="2">
        <f ca="1">IFERROR(__xludf.DUMMYFUNCTION("""COMPUTED_VALUE"""),81.816)</f>
        <v>81.816000000000003</v>
      </c>
      <c r="G620" s="2">
        <f ca="1">IFERROR(__xludf.DUMMYFUNCTION("""COMPUTED_VALUE"""),0.61296)</f>
        <v>0.61295999999999995</v>
      </c>
      <c r="H620" s="2">
        <f ca="1">IFERROR(__xludf.DUMMYFUNCTION("""COMPUTED_VALUE"""),53.09)</f>
        <v>53.09</v>
      </c>
      <c r="I620" s="2">
        <f ca="1">IFERROR(__xludf.DUMMYFUNCTION("""COMPUTED_VALUE"""),50.222)</f>
        <v>50.222000000000001</v>
      </c>
      <c r="J620" s="2">
        <f ca="1">IFERROR(__xludf.DUMMYFUNCTION("""COMPUTED_VALUE"""),39.897)</f>
        <v>39.896999999999998</v>
      </c>
      <c r="K620" s="2">
        <f ca="1">IFERROR(__xludf.DUMMYFUNCTION("""COMPUTED_VALUE"""),55.719)</f>
        <v>55.719000000000001</v>
      </c>
      <c r="L620" s="2">
        <f ca="1">IFERROR(__xludf.DUMMYFUNCTION("""COMPUTED_VALUE"""),9.6052)</f>
        <v>9.6052</v>
      </c>
      <c r="M620" s="2">
        <f ca="1">IFERROR(__xludf.DUMMYFUNCTION("""COMPUTED_VALUE"""),13.673)</f>
        <v>13.673</v>
      </c>
      <c r="U620" s="3" t="e">
        <f ca="1"/>
        <v>#NAME?</v>
      </c>
    </row>
    <row r="621" spans="3:21" ht="12.5" x14ac:dyDescent="0.25">
      <c r="C621" s="4">
        <f ca="1">IFERROR(__xludf.DUMMYFUNCTION("""COMPUTED_VALUE"""),40898.9986111111)</f>
        <v>40898.998611111099</v>
      </c>
      <c r="D621" s="2">
        <f ca="1">IFERROR(__xludf.DUMMYFUNCTION("""COMPUTED_VALUE"""),52.393)</f>
        <v>52.393000000000001</v>
      </c>
      <c r="E621" s="2">
        <f ca="1">IFERROR(__xludf.DUMMYFUNCTION("""COMPUTED_VALUE"""),66.386)</f>
        <v>66.385999999999996</v>
      </c>
      <c r="F621" s="2">
        <f ca="1">IFERROR(__xludf.DUMMYFUNCTION("""COMPUTED_VALUE"""),82.586)</f>
        <v>82.585999999999999</v>
      </c>
      <c r="G621" s="2">
        <f ca="1">IFERROR(__xludf.DUMMYFUNCTION("""COMPUTED_VALUE"""),0.60362)</f>
        <v>0.60362000000000005</v>
      </c>
      <c r="H621" s="2">
        <f ca="1">IFERROR(__xludf.DUMMYFUNCTION("""COMPUTED_VALUE"""),53.24)</f>
        <v>53.24</v>
      </c>
      <c r="I621" s="2">
        <f ca="1">IFERROR(__xludf.DUMMYFUNCTION("""COMPUTED_VALUE"""),50.312)</f>
        <v>50.311999999999998</v>
      </c>
      <c r="J621" s="2">
        <f ca="1">IFERROR(__xludf.DUMMYFUNCTION("""COMPUTED_VALUE"""),39.963)</f>
        <v>39.963000000000001</v>
      </c>
      <c r="K621" s="2">
        <f ca="1">IFERROR(__xludf.DUMMYFUNCTION("""COMPUTED_VALUE"""),56.378)</f>
        <v>56.378</v>
      </c>
      <c r="L621" s="2">
        <f ca="1">IFERROR(__xludf.DUMMYFUNCTION("""COMPUTED_VALUE"""),9.6075)</f>
        <v>9.6074999999999999</v>
      </c>
      <c r="M621" s="2">
        <f ca="1">IFERROR(__xludf.DUMMYFUNCTION("""COMPUTED_VALUE"""),13.673)</f>
        <v>13.673</v>
      </c>
      <c r="U621" s="3" t="e">
        <f ca="1"/>
        <v>#NAME?</v>
      </c>
    </row>
    <row r="622" spans="3:21" ht="12.5" x14ac:dyDescent="0.25">
      <c r="C622" s="4">
        <f ca="1">IFERROR(__xludf.DUMMYFUNCTION("""COMPUTED_VALUE"""),40899.9986111111)</f>
        <v>40899.998611111099</v>
      </c>
      <c r="D622" s="2">
        <f ca="1">IFERROR(__xludf.DUMMYFUNCTION("""COMPUTED_VALUE"""),52.51)</f>
        <v>52.51</v>
      </c>
      <c r="E622" s="2">
        <f ca="1">IFERROR(__xludf.DUMMYFUNCTION("""COMPUTED_VALUE"""),65.296)</f>
        <v>65.296000000000006</v>
      </c>
      <c r="F622" s="2">
        <f ca="1">IFERROR(__xludf.DUMMYFUNCTION("""COMPUTED_VALUE"""),82.059)</f>
        <v>82.058999999999997</v>
      </c>
      <c r="G622" s="2">
        <f ca="1">IFERROR(__xludf.DUMMYFUNCTION("""COMPUTED_VALUE"""),0.60596)</f>
        <v>0.60596000000000005</v>
      </c>
      <c r="H622" s="2">
        <f ca="1">IFERROR(__xludf.DUMMYFUNCTION("""COMPUTED_VALUE"""),52.619)</f>
        <v>52.619</v>
      </c>
      <c r="I622" s="2">
        <f ca="1">IFERROR(__xludf.DUMMYFUNCTION("""COMPUTED_VALUE"""),50.487)</f>
        <v>50.487000000000002</v>
      </c>
      <c r="J622" s="2">
        <f ca="1">IFERROR(__xludf.DUMMYFUNCTION("""COMPUTED_VALUE"""),39.664)</f>
        <v>39.664000000000001</v>
      </c>
      <c r="K622" s="2">
        <f ca="1">IFERROR(__xludf.DUMMYFUNCTION("""COMPUTED_VALUE"""),56.809)</f>
        <v>56.808999999999997</v>
      </c>
      <c r="L622" s="2">
        <f ca="1">IFERROR(__xludf.DUMMYFUNCTION("""COMPUTED_VALUE"""),9.6037)</f>
        <v>9.6036999999999999</v>
      </c>
      <c r="M622" s="2">
        <f ca="1">IFERROR(__xludf.DUMMYFUNCTION("""COMPUTED_VALUE"""),13.569)</f>
        <v>13.569000000000001</v>
      </c>
      <c r="U622" s="3" t="e">
        <f ca="1"/>
        <v>#NAME?</v>
      </c>
    </row>
    <row r="623" spans="3:21" ht="12.5" x14ac:dyDescent="0.25">
      <c r="C623" s="4">
        <f ca="1">IFERROR(__xludf.DUMMYFUNCTION("""COMPUTED_VALUE"""),40900.9986111111)</f>
        <v>40900.998611111099</v>
      </c>
      <c r="D623" s="2">
        <f ca="1">IFERROR(__xludf.DUMMYFUNCTION("""COMPUTED_VALUE"""),52.71)</f>
        <v>52.71</v>
      </c>
      <c r="E623" s="2">
        <f ca="1">IFERROR(__xludf.DUMMYFUNCTION("""COMPUTED_VALUE"""),65.735)</f>
        <v>65.734999999999999</v>
      </c>
      <c r="F623" s="2">
        <f ca="1">IFERROR(__xludf.DUMMYFUNCTION("""COMPUTED_VALUE"""),82.333)</f>
        <v>82.332999999999998</v>
      </c>
      <c r="G623" s="2">
        <f ca="1">IFERROR(__xludf.DUMMYFUNCTION("""COMPUTED_VALUE"""),0.60101)</f>
        <v>0.60101000000000004</v>
      </c>
      <c r="H623" s="2">
        <f ca="1">IFERROR(__xludf.DUMMYFUNCTION("""COMPUTED_VALUE"""),52.575)</f>
        <v>52.575000000000003</v>
      </c>
      <c r="I623" s="2">
        <f ca="1">IFERROR(__xludf.DUMMYFUNCTION("""COMPUTED_VALUE"""),50.23)</f>
        <v>50.23</v>
      </c>
      <c r="J623" s="2">
        <f ca="1">IFERROR(__xludf.DUMMYFUNCTION("""COMPUTED_VALUE"""),39.713)</f>
        <v>39.713000000000001</v>
      </c>
      <c r="K623" s="2">
        <f ca="1">IFERROR(__xludf.DUMMYFUNCTION("""COMPUTED_VALUE"""),56.007)</f>
        <v>56.006999999999998</v>
      </c>
      <c r="L623" s="2">
        <f ca="1">IFERROR(__xludf.DUMMYFUNCTION("""COMPUTED_VALUE"""),9.6175)</f>
        <v>9.6174999999999997</v>
      </c>
      <c r="M623" s="2">
        <f ca="1">IFERROR(__xludf.DUMMYFUNCTION("""COMPUTED_VALUE"""),13.613)</f>
        <v>13.613</v>
      </c>
      <c r="U623" s="3" t="e">
        <f ca="1"/>
        <v>#NAME?</v>
      </c>
    </row>
    <row r="624" spans="3:21" ht="12.5" x14ac:dyDescent="0.25">
      <c r="C624" s="4">
        <f ca="1">IFERROR(__xludf.DUMMYFUNCTION("""COMPUTED_VALUE"""),40901.9986111111)</f>
        <v>40901.998611111099</v>
      </c>
      <c r="D624" s="2">
        <f ca="1">IFERROR(__xludf.DUMMYFUNCTION("""COMPUTED_VALUE"""),52.783)</f>
        <v>52.783000000000001</v>
      </c>
      <c r="E624" s="2">
        <f ca="1">IFERROR(__xludf.DUMMYFUNCTION("""COMPUTED_VALUE"""),65.196)</f>
        <v>65.195999999999998</v>
      </c>
      <c r="F624" s="2">
        <f ca="1">IFERROR(__xludf.DUMMYFUNCTION("""COMPUTED_VALUE"""),82.183)</f>
        <v>82.183000000000007</v>
      </c>
      <c r="G624" s="2">
        <f ca="1">IFERROR(__xludf.DUMMYFUNCTION("""COMPUTED_VALUE"""),0.59437)</f>
        <v>0.59436999999999995</v>
      </c>
      <c r="H624" s="2">
        <f ca="1">IFERROR(__xludf.DUMMYFUNCTION("""COMPUTED_VALUE"""),52.531)</f>
        <v>52.530999999999999</v>
      </c>
      <c r="I624" s="2">
        <f ca="1">IFERROR(__xludf.DUMMYFUNCTION("""COMPUTED_VALUE"""),50.345)</f>
        <v>50.344999999999999</v>
      </c>
      <c r="J624" s="2">
        <f ca="1">IFERROR(__xludf.DUMMYFUNCTION("""COMPUTED_VALUE"""),39.616)</f>
        <v>39.616</v>
      </c>
      <c r="K624" s="2">
        <f ca="1">IFERROR(__xludf.DUMMYFUNCTION("""COMPUTED_VALUE"""),55.403)</f>
        <v>55.402999999999999</v>
      </c>
      <c r="L624" s="2">
        <f ca="1">IFERROR(__xludf.DUMMYFUNCTION("""COMPUTED_VALUE"""),9.6601)</f>
        <v>9.6600999999999999</v>
      </c>
      <c r="M624" s="2">
        <f ca="1">IFERROR(__xludf.DUMMYFUNCTION("""COMPUTED_VALUE"""),13.613)</f>
        <v>13.613</v>
      </c>
      <c r="U624" s="3" t="e">
        <f ca="1"/>
        <v>#NAME?</v>
      </c>
    </row>
    <row r="625" spans="3:21" ht="12.5" x14ac:dyDescent="0.25">
      <c r="C625" s="4">
        <f ca="1">IFERROR(__xludf.DUMMYFUNCTION("""COMPUTED_VALUE"""),40903.9986111111)</f>
        <v>40903.998611111099</v>
      </c>
      <c r="D625" s="2">
        <f ca="1">IFERROR(__xludf.DUMMYFUNCTION("""COMPUTED_VALUE"""),52.7)</f>
        <v>52.7</v>
      </c>
      <c r="E625" s="2">
        <f ca="1">IFERROR(__xludf.DUMMYFUNCTION("""COMPUTED_VALUE"""),64.902)</f>
        <v>64.902000000000001</v>
      </c>
      <c r="F625" s="2">
        <f ca="1">IFERROR(__xludf.DUMMYFUNCTION("""COMPUTED_VALUE"""),82.278)</f>
        <v>82.278000000000006</v>
      </c>
      <c r="G625" s="2">
        <f ca="1">IFERROR(__xludf.DUMMYFUNCTION("""COMPUTED_VALUE"""),0.60249)</f>
        <v>0.60248999999999997</v>
      </c>
      <c r="H625" s="2">
        <f ca="1">IFERROR(__xludf.DUMMYFUNCTION("""COMPUTED_VALUE"""),52.021)</f>
        <v>52.021000000000001</v>
      </c>
      <c r="I625" s="2">
        <f ca="1">IFERROR(__xludf.DUMMYFUNCTION("""COMPUTED_VALUE"""),50.439)</f>
        <v>50.439</v>
      </c>
      <c r="J625" s="2">
        <f ca="1">IFERROR(__xludf.DUMMYFUNCTION("""COMPUTED_VALUE"""),39.273)</f>
        <v>39.273000000000003</v>
      </c>
      <c r="K625" s="2">
        <f ca="1">IFERROR(__xludf.DUMMYFUNCTION("""COMPUTED_VALUE"""),55.114)</f>
        <v>55.113999999999997</v>
      </c>
      <c r="L625" s="2">
        <f ca="1">IFERROR(__xludf.DUMMYFUNCTION("""COMPUTED_VALUE"""),9.6948)</f>
        <v>9.6948000000000008</v>
      </c>
      <c r="M625" s="2">
        <f ca="1">IFERROR(__xludf.DUMMYFUNCTION("""COMPUTED_VALUE"""),13.438)</f>
        <v>13.438000000000001</v>
      </c>
      <c r="U625" s="3" t="e">
        <f ca="1"/>
        <v>#NAME?</v>
      </c>
    </row>
    <row r="626" spans="3:21" ht="12.5" x14ac:dyDescent="0.25">
      <c r="C626" s="4">
        <f ca="1">IFERROR(__xludf.DUMMYFUNCTION("""COMPUTED_VALUE"""),40904.9986111111)</f>
        <v>40904.998611111099</v>
      </c>
      <c r="D626" s="2">
        <f ca="1">IFERROR(__xludf.DUMMYFUNCTION("""COMPUTED_VALUE"""),52.85)</f>
        <v>52.85</v>
      </c>
      <c r="E626" s="2">
        <f ca="1">IFERROR(__xludf.DUMMYFUNCTION("""COMPUTED_VALUE"""),65.798)</f>
        <v>65.798000000000002</v>
      </c>
      <c r="F626" s="2">
        <f ca="1">IFERROR(__xludf.DUMMYFUNCTION("""COMPUTED_VALUE"""),82.37)</f>
        <v>82.37</v>
      </c>
      <c r="G626" s="2">
        <f ca="1">IFERROR(__xludf.DUMMYFUNCTION("""COMPUTED_VALUE"""),0.60072)</f>
        <v>0.60072000000000003</v>
      </c>
      <c r="H626" s="2">
        <f ca="1">IFERROR(__xludf.DUMMYFUNCTION("""COMPUTED_VALUE"""),52.927)</f>
        <v>52.927</v>
      </c>
      <c r="I626" s="2">
        <f ca="1">IFERROR(__xludf.DUMMYFUNCTION("""COMPUTED_VALUE"""),50.159)</f>
        <v>50.158999999999999</v>
      </c>
      <c r="J626" s="2">
        <f ca="1">IFERROR(__xludf.DUMMYFUNCTION("""COMPUTED_VALUE"""),39.823)</f>
        <v>39.823</v>
      </c>
      <c r="K626" s="2">
        <f ca="1">IFERROR(__xludf.DUMMYFUNCTION("""COMPUTED_VALUE"""),55.366)</f>
        <v>55.366</v>
      </c>
      <c r="L626" s="2">
        <f ca="1">IFERROR(__xludf.DUMMYFUNCTION("""COMPUTED_VALUE"""),9.6915)</f>
        <v>9.6914999999999996</v>
      </c>
      <c r="M626" s="2">
        <f ca="1">IFERROR(__xludf.DUMMYFUNCTION("""COMPUTED_VALUE"""),13.395)</f>
        <v>13.395</v>
      </c>
      <c r="U626" s="3" t="e">
        <f ca="1"/>
        <v>#NAME?</v>
      </c>
    </row>
    <row r="627" spans="3:21" ht="12.5" x14ac:dyDescent="0.25">
      <c r="C627" s="4">
        <f ca="1">IFERROR(__xludf.DUMMYFUNCTION("""COMPUTED_VALUE"""),40905.9986111111)</f>
        <v>40905.998611111099</v>
      </c>
      <c r="D627" s="2">
        <f ca="1">IFERROR(__xludf.DUMMYFUNCTION("""COMPUTED_VALUE"""),52.86)</f>
        <v>52.86</v>
      </c>
      <c r="E627" s="2">
        <f ca="1">IFERROR(__xludf.DUMMYFUNCTION("""COMPUTED_VALUE"""),65.981)</f>
        <v>65.980999999999995</v>
      </c>
      <c r="F627" s="2">
        <f ca="1">IFERROR(__xludf.DUMMYFUNCTION("""COMPUTED_VALUE"""),82.81)</f>
        <v>82.81</v>
      </c>
      <c r="G627" s="2">
        <f ca="1">IFERROR(__xludf.DUMMYFUNCTION("""COMPUTED_VALUE"""),0.60086)</f>
        <v>0.60085999999999995</v>
      </c>
      <c r="H627" s="2">
        <f ca="1">IFERROR(__xludf.DUMMYFUNCTION("""COMPUTED_VALUE"""),53.111)</f>
        <v>53.110999999999997</v>
      </c>
      <c r="I627" s="2">
        <f ca="1">IFERROR(__xludf.DUMMYFUNCTION("""COMPUTED_VALUE"""),50.708)</f>
        <v>50.707999999999998</v>
      </c>
      <c r="J627" s="2">
        <f ca="1">IFERROR(__xludf.DUMMYFUNCTION("""COMPUTED_VALUE"""),39.866)</f>
        <v>39.866</v>
      </c>
      <c r="K627" s="2">
        <f ca="1">IFERROR(__xludf.DUMMYFUNCTION("""COMPUTED_VALUE"""),55.6)</f>
        <v>55.6</v>
      </c>
      <c r="L627" s="2">
        <f ca="1">IFERROR(__xludf.DUMMYFUNCTION("""COMPUTED_VALUE"""),9.6927)</f>
        <v>9.6927000000000003</v>
      </c>
      <c r="M627" s="2">
        <f ca="1">IFERROR(__xludf.DUMMYFUNCTION("""COMPUTED_VALUE"""),13.446)</f>
        <v>13.446</v>
      </c>
      <c r="U627" s="3" t="e">
        <f ca="1"/>
        <v>#NAME?</v>
      </c>
    </row>
    <row r="628" spans="3:21" ht="12.5" x14ac:dyDescent="0.25">
      <c r="C628" s="4">
        <f ca="1">IFERROR(__xludf.DUMMYFUNCTION("""COMPUTED_VALUE"""),40906.9986111111)</f>
        <v>40906.998611111099</v>
      </c>
      <c r="D628" s="2">
        <f ca="1">IFERROR(__xludf.DUMMYFUNCTION("""COMPUTED_VALUE"""),53)</f>
        <v>53</v>
      </c>
      <c r="E628" s="2">
        <f ca="1">IFERROR(__xludf.DUMMYFUNCTION("""COMPUTED_VALUE"""),65.982)</f>
        <v>65.981999999999999</v>
      </c>
      <c r="F628" s="2">
        <f ca="1">IFERROR(__xludf.DUMMYFUNCTION("""COMPUTED_VALUE"""),81.679)</f>
        <v>81.679000000000002</v>
      </c>
      <c r="G628" s="2">
        <f ca="1">IFERROR(__xludf.DUMMYFUNCTION("""COMPUTED_VALUE"""),0.60186)</f>
        <v>0.60185999999999995</v>
      </c>
      <c r="H628" s="2">
        <f ca="1">IFERROR(__xludf.DUMMYFUNCTION("""COMPUTED_VALUE"""),53.111)</f>
        <v>53.110999999999997</v>
      </c>
      <c r="I628" s="2">
        <f ca="1">IFERROR(__xludf.DUMMYFUNCTION("""COMPUTED_VALUE"""),50.545)</f>
        <v>50.545000000000002</v>
      </c>
      <c r="J628" s="2">
        <f ca="1">IFERROR(__xludf.DUMMYFUNCTION("""COMPUTED_VALUE"""),39.866)</f>
        <v>39.866</v>
      </c>
      <c r="K628" s="2">
        <f ca="1">IFERROR(__xludf.DUMMYFUNCTION("""COMPUTED_VALUE"""),55.28)</f>
        <v>55.28</v>
      </c>
      <c r="L628" s="2">
        <f ca="1">IFERROR(__xludf.DUMMYFUNCTION("""COMPUTED_VALUE"""),9.7485)</f>
        <v>9.7484999999999999</v>
      </c>
      <c r="M628" s="2">
        <f ca="1">IFERROR(__xludf.DUMMYFUNCTION("""COMPUTED_VALUE"""),13.446)</f>
        <v>13.446</v>
      </c>
      <c r="U628" s="3" t="e">
        <f ca="1"/>
        <v>#NAME?</v>
      </c>
    </row>
    <row r="629" spans="3:21" ht="12.5" x14ac:dyDescent="0.25">
      <c r="C629" s="4">
        <f ca="1">IFERROR(__xludf.DUMMYFUNCTION("""COMPUTED_VALUE"""),40907.9986111111)</f>
        <v>40907.998611111099</v>
      </c>
      <c r="D629" s="2">
        <f ca="1">IFERROR(__xludf.DUMMYFUNCTION("""COMPUTED_VALUE"""),52.99)</f>
        <v>52.99</v>
      </c>
      <c r="E629" s="2">
        <f ca="1">IFERROR(__xludf.DUMMYFUNCTION("""COMPUTED_VALUE"""),65.982)</f>
        <v>65.981999999999999</v>
      </c>
      <c r="F629" s="2">
        <f ca="1">IFERROR(__xludf.DUMMYFUNCTION("""COMPUTED_VALUE"""),81.705)</f>
        <v>81.704999999999998</v>
      </c>
      <c r="G629" s="2">
        <f ca="1">IFERROR(__xludf.DUMMYFUNCTION("""COMPUTED_VALUE"""),0.60163)</f>
        <v>0.60163</v>
      </c>
      <c r="H629" s="2">
        <f ca="1">IFERROR(__xludf.DUMMYFUNCTION("""COMPUTED_VALUE"""),53.181)</f>
        <v>53.180999999999997</v>
      </c>
      <c r="I629" s="2">
        <f ca="1">IFERROR(__xludf.DUMMYFUNCTION("""COMPUTED_VALUE"""),50.495)</f>
        <v>50.494999999999997</v>
      </c>
      <c r="J629" s="2">
        <f ca="1">IFERROR(__xludf.DUMMYFUNCTION("""COMPUTED_VALUE"""),39.929)</f>
        <v>39.929000000000002</v>
      </c>
      <c r="K629" s="2">
        <f ca="1">IFERROR(__xludf.DUMMYFUNCTION("""COMPUTED_VALUE"""),55.848)</f>
        <v>55.847999999999999</v>
      </c>
      <c r="L629" s="2">
        <f ca="1">IFERROR(__xludf.DUMMYFUNCTION("""COMPUTED_VALUE"""),9.7977)</f>
        <v>9.7977000000000007</v>
      </c>
      <c r="M629" s="2">
        <f ca="1">IFERROR(__xludf.DUMMYFUNCTION("""COMPUTED_VALUE"""),13.521)</f>
        <v>13.521000000000001</v>
      </c>
      <c r="U629" s="3" t="e">
        <f ca="1"/>
        <v>#NAME?</v>
      </c>
    </row>
    <row r="630" spans="3:21" ht="12.5" x14ac:dyDescent="0.25">
      <c r="C630" s="4">
        <f ca="1">IFERROR(__xludf.DUMMYFUNCTION("""COMPUTED_VALUE"""),40908.9986111111)</f>
        <v>40908.998611111099</v>
      </c>
      <c r="D630" s="2">
        <f ca="1">IFERROR(__xludf.DUMMYFUNCTION("""COMPUTED_VALUE"""),53.008)</f>
        <v>53.008000000000003</v>
      </c>
      <c r="E630" s="2">
        <f ca="1">IFERROR(__xludf.DUMMYFUNCTION("""COMPUTED_VALUE"""),66.388)</f>
        <v>66.388000000000005</v>
      </c>
      <c r="F630" s="2">
        <f ca="1">IFERROR(__xludf.DUMMYFUNCTION("""COMPUTED_VALUE"""),82.188)</f>
        <v>82.188000000000002</v>
      </c>
      <c r="G630" s="2">
        <f ca="1">IFERROR(__xludf.DUMMYFUNCTION("""COMPUTED_VALUE"""),0.60762)</f>
        <v>0.60762000000000005</v>
      </c>
      <c r="H630" s="2">
        <f ca="1">IFERROR(__xludf.DUMMYFUNCTION("""COMPUTED_VALUE"""),52.743)</f>
        <v>52.743000000000002</v>
      </c>
      <c r="I630" s="2">
        <f ca="1">IFERROR(__xludf.DUMMYFUNCTION("""COMPUTED_VALUE"""),50.495)</f>
        <v>50.494999999999997</v>
      </c>
      <c r="J630" s="2">
        <f ca="1">IFERROR(__xludf.DUMMYFUNCTION("""COMPUTED_VALUE"""),39.831)</f>
        <v>39.831000000000003</v>
      </c>
      <c r="K630" s="2">
        <f ca="1">IFERROR(__xludf.DUMMYFUNCTION("""COMPUTED_VALUE"""),55.768)</f>
        <v>55.768000000000001</v>
      </c>
      <c r="L630" s="2">
        <f ca="1">IFERROR(__xludf.DUMMYFUNCTION("""COMPUTED_VALUE"""),9.7952)</f>
        <v>9.7951999999999995</v>
      </c>
      <c r="M630" s="2">
        <f ca="1">IFERROR(__xludf.DUMMYFUNCTION("""COMPUTED_VALUE"""),13.476)</f>
        <v>13.476000000000001</v>
      </c>
      <c r="U630" s="3" t="e">
        <f ca="1"/>
        <v>#NAME?</v>
      </c>
    </row>
    <row r="631" spans="3:21" ht="12.5" x14ac:dyDescent="0.25">
      <c r="C631" s="4">
        <f ca="1">IFERROR(__xludf.DUMMYFUNCTION("""COMPUTED_VALUE"""),40910.9986111111)</f>
        <v>40910.998611111099</v>
      </c>
      <c r="D631" s="2">
        <f ca="1">IFERROR(__xludf.DUMMYFUNCTION("""COMPUTED_VALUE"""),53.298)</f>
        <v>53.298000000000002</v>
      </c>
      <c r="E631" s="2">
        <f ca="1">IFERROR(__xludf.DUMMYFUNCTION("""COMPUTED_VALUE"""),66.628)</f>
        <v>66.628</v>
      </c>
      <c r="F631" s="2">
        <f ca="1">IFERROR(__xludf.DUMMYFUNCTION("""COMPUTED_VALUE"""),82.287)</f>
        <v>82.287000000000006</v>
      </c>
      <c r="G631" s="2">
        <f ca="1">IFERROR(__xludf.DUMMYFUNCTION("""COMPUTED_VALUE"""),0.61898)</f>
        <v>0.61897999999999997</v>
      </c>
      <c r="H631" s="2">
        <f ca="1">IFERROR(__xludf.DUMMYFUNCTION("""COMPUTED_VALUE"""),52.882)</f>
        <v>52.881999999999998</v>
      </c>
      <c r="I631" s="2">
        <f ca="1">IFERROR(__xludf.DUMMYFUNCTION("""COMPUTED_VALUE"""),50.806)</f>
        <v>50.805999999999997</v>
      </c>
      <c r="J631" s="2">
        <f ca="1">IFERROR(__xludf.DUMMYFUNCTION("""COMPUTED_VALUE"""),39.98)</f>
        <v>39.979999999999997</v>
      </c>
      <c r="K631" s="2">
        <f ca="1">IFERROR(__xludf.DUMMYFUNCTION("""COMPUTED_VALUE"""),56.101)</f>
        <v>56.100999999999999</v>
      </c>
      <c r="L631" s="2">
        <f ca="1">IFERROR(__xludf.DUMMYFUNCTION("""COMPUTED_VALUE"""),9.8126)</f>
        <v>9.8125999999999998</v>
      </c>
      <c r="M631" s="2">
        <f ca="1">IFERROR(__xludf.DUMMYFUNCTION("""COMPUTED_VALUE"""),13.343)</f>
        <v>13.343</v>
      </c>
      <c r="U631" s="3" t="e">
        <f ca="1"/>
        <v>#NAME?</v>
      </c>
    </row>
    <row r="632" spans="3:21" ht="12.5" x14ac:dyDescent="0.25">
      <c r="C632" s="4">
        <f ca="1">IFERROR(__xludf.DUMMYFUNCTION("""COMPUTED_VALUE"""),40911.9986111111)</f>
        <v>40911.998611111099</v>
      </c>
      <c r="D632" s="2">
        <f ca="1">IFERROR(__xludf.DUMMYFUNCTION("""COMPUTED_VALUE"""),53.05)</f>
        <v>53.05</v>
      </c>
      <c r="E632" s="2">
        <f ca="1">IFERROR(__xludf.DUMMYFUNCTION("""COMPUTED_VALUE"""),66.832)</f>
        <v>66.831999999999994</v>
      </c>
      <c r="F632" s="2">
        <f ca="1">IFERROR(__xludf.DUMMYFUNCTION("""COMPUTED_VALUE"""),82.502)</f>
        <v>82.501999999999995</v>
      </c>
      <c r="G632" s="2">
        <f ca="1">IFERROR(__xludf.DUMMYFUNCTION("""COMPUTED_VALUE"""),0.62135)</f>
        <v>0.62134999999999996</v>
      </c>
      <c r="H632" s="2">
        <f ca="1">IFERROR(__xludf.DUMMYFUNCTION("""COMPUTED_VALUE"""),53.169)</f>
        <v>53.168999999999997</v>
      </c>
      <c r="I632" s="2">
        <f ca="1">IFERROR(__xludf.DUMMYFUNCTION("""COMPUTED_VALUE"""),50.778)</f>
        <v>50.777999999999999</v>
      </c>
      <c r="J632" s="2">
        <f ca="1">IFERROR(__xludf.DUMMYFUNCTION("""COMPUTED_VALUE"""),40.406)</f>
        <v>40.405999999999999</v>
      </c>
      <c r="K632" s="2">
        <f ca="1">IFERROR(__xludf.DUMMYFUNCTION("""COMPUTED_VALUE"""),56.045)</f>
        <v>56.045000000000002</v>
      </c>
      <c r="L632" s="2">
        <f ca="1">IFERROR(__xludf.DUMMYFUNCTION("""COMPUTED_VALUE"""),9.8603)</f>
        <v>9.8603000000000005</v>
      </c>
      <c r="M632" s="2">
        <f ca="1">IFERROR(__xludf.DUMMYFUNCTION("""COMPUTED_VALUE"""),13.341)</f>
        <v>13.340999999999999</v>
      </c>
      <c r="U632" s="3" t="e">
        <f ca="1"/>
        <v>#NAME?</v>
      </c>
    </row>
    <row r="633" spans="3:21" ht="12.5" x14ac:dyDescent="0.25">
      <c r="C633" s="4">
        <f ca="1">IFERROR(__xludf.DUMMYFUNCTION("""COMPUTED_VALUE"""),40912.9986111111)</f>
        <v>40912.998611111099</v>
      </c>
      <c r="D633" s="2">
        <f ca="1">IFERROR(__xludf.DUMMYFUNCTION("""COMPUTED_VALUE"""),52.85)</f>
        <v>52.85</v>
      </c>
      <c r="E633" s="2">
        <f ca="1">IFERROR(__xludf.DUMMYFUNCTION("""COMPUTED_VALUE"""),67.456)</f>
        <v>67.456000000000003</v>
      </c>
      <c r="F633" s="2">
        <f ca="1">IFERROR(__xludf.DUMMYFUNCTION("""COMPUTED_VALUE"""),83.007)</f>
        <v>83.007000000000005</v>
      </c>
      <c r="G633" s="2">
        <f ca="1">IFERROR(__xludf.DUMMYFUNCTION("""COMPUTED_VALUE"""),0.62139)</f>
        <v>0.62139</v>
      </c>
      <c r="H633" s="2">
        <f ca="1">IFERROR(__xludf.DUMMYFUNCTION("""COMPUTED_VALUE"""),53.491)</f>
        <v>53.491</v>
      </c>
      <c r="I633" s="2">
        <f ca="1">IFERROR(__xludf.DUMMYFUNCTION("""COMPUTED_VALUE"""),50.96)</f>
        <v>50.96</v>
      </c>
      <c r="J633" s="2">
        <f ca="1">IFERROR(__xludf.DUMMYFUNCTION("""COMPUTED_VALUE"""),40.533)</f>
        <v>40.533000000000001</v>
      </c>
      <c r="K633" s="2">
        <f ca="1">IFERROR(__xludf.DUMMYFUNCTION("""COMPUTED_VALUE"""),56.181)</f>
        <v>56.180999999999997</v>
      </c>
      <c r="L633" s="2">
        <f ca="1">IFERROR(__xludf.DUMMYFUNCTION("""COMPUTED_VALUE"""),9.8351)</f>
        <v>9.8351000000000006</v>
      </c>
      <c r="M633" s="2">
        <f ca="1">IFERROR(__xludf.DUMMYFUNCTION("""COMPUTED_VALUE"""),13.221)</f>
        <v>13.221</v>
      </c>
      <c r="U633" s="3" t="e">
        <f ca="1"/>
        <v>#NAME?</v>
      </c>
    </row>
    <row r="634" spans="3:21" ht="12.5" x14ac:dyDescent="0.25">
      <c r="C634" s="4">
        <f ca="1">IFERROR(__xludf.DUMMYFUNCTION("""COMPUTED_VALUE"""),40913.9986111111)</f>
        <v>40913.998611111099</v>
      </c>
      <c r="D634" s="2">
        <f ca="1">IFERROR(__xludf.DUMMYFUNCTION("""COMPUTED_VALUE"""),52.76)</f>
        <v>52.76</v>
      </c>
      <c r="E634" s="2">
        <f ca="1">IFERROR(__xludf.DUMMYFUNCTION("""COMPUTED_VALUE"""),67.899)</f>
        <v>67.899000000000001</v>
      </c>
      <c r="F634" s="2">
        <f ca="1">IFERROR(__xludf.DUMMYFUNCTION("""COMPUTED_VALUE"""),82.555)</f>
        <v>82.555000000000007</v>
      </c>
      <c r="G634" s="2">
        <f ca="1">IFERROR(__xludf.DUMMYFUNCTION("""COMPUTED_VALUE"""),0.61119)</f>
        <v>0.61119000000000001</v>
      </c>
      <c r="H634" s="2">
        <f ca="1">IFERROR(__xludf.DUMMYFUNCTION("""COMPUTED_VALUE"""),53.49)</f>
        <v>53.49</v>
      </c>
      <c r="I634" s="2">
        <f ca="1">IFERROR(__xludf.DUMMYFUNCTION("""COMPUTED_VALUE"""),51.163)</f>
        <v>51.162999999999997</v>
      </c>
      <c r="J634" s="2">
        <f ca="1">IFERROR(__xludf.DUMMYFUNCTION("""COMPUTED_VALUE"""),40.532)</f>
        <v>40.531999999999996</v>
      </c>
      <c r="K634" s="2">
        <f ca="1">IFERROR(__xludf.DUMMYFUNCTION("""COMPUTED_VALUE"""),56.133)</f>
        <v>56.133000000000003</v>
      </c>
      <c r="L634" s="2">
        <f ca="1">IFERROR(__xludf.DUMMYFUNCTION("""COMPUTED_VALUE"""),9.7791)</f>
        <v>9.7790999999999997</v>
      </c>
      <c r="M634" s="2">
        <f ca="1">IFERROR(__xludf.DUMMYFUNCTION("""COMPUTED_VALUE"""),13.246)</f>
        <v>13.246</v>
      </c>
      <c r="U634" s="3" t="e">
        <f ca="1"/>
        <v>#NAME?</v>
      </c>
    </row>
    <row r="635" spans="3:21" ht="12.5" x14ac:dyDescent="0.25">
      <c r="C635" s="4">
        <f ca="1">IFERROR(__xludf.DUMMYFUNCTION("""COMPUTED_VALUE"""),40914.9986111111)</f>
        <v>40914.998611111099</v>
      </c>
      <c r="D635" s="2">
        <f ca="1">IFERROR(__xludf.DUMMYFUNCTION("""COMPUTED_VALUE"""),52.61)</f>
        <v>52.61</v>
      </c>
      <c r="E635" s="2">
        <f ca="1">IFERROR(__xludf.DUMMYFUNCTION("""COMPUTED_VALUE"""),67.814)</f>
        <v>67.813999999999993</v>
      </c>
      <c r="F635" s="2">
        <f ca="1">IFERROR(__xludf.DUMMYFUNCTION("""COMPUTED_VALUE"""),81.749)</f>
        <v>81.748999999999995</v>
      </c>
      <c r="G635" s="2">
        <f ca="1">IFERROR(__xludf.DUMMYFUNCTION("""COMPUTED_VALUE"""),0.61524)</f>
        <v>0.61524000000000001</v>
      </c>
      <c r="H635" s="2">
        <f ca="1">IFERROR(__xludf.DUMMYFUNCTION("""COMPUTED_VALUE"""),52.671)</f>
        <v>52.670999999999999</v>
      </c>
      <c r="I635" s="2">
        <f ca="1">IFERROR(__xludf.DUMMYFUNCTION("""COMPUTED_VALUE"""),51.273)</f>
        <v>51.273000000000003</v>
      </c>
      <c r="J635" s="2">
        <f ca="1">IFERROR(__xludf.DUMMYFUNCTION("""COMPUTED_VALUE"""),39.906)</f>
        <v>39.905999999999999</v>
      </c>
      <c r="K635" s="2">
        <f ca="1">IFERROR(__xludf.DUMMYFUNCTION("""COMPUTED_VALUE"""),56.359)</f>
        <v>56.359000000000002</v>
      </c>
      <c r="L635" s="2">
        <f ca="1">IFERROR(__xludf.DUMMYFUNCTION("""COMPUTED_VALUE"""),9.7866)</f>
        <v>9.7866</v>
      </c>
      <c r="M635" s="2">
        <f ca="1">IFERROR(__xludf.DUMMYFUNCTION("""COMPUTED_VALUE"""),13.246)</f>
        <v>13.246</v>
      </c>
      <c r="U635" s="3" t="e">
        <f ca="1"/>
        <v>#NAME?</v>
      </c>
    </row>
    <row r="636" spans="3:21" ht="12.5" x14ac:dyDescent="0.25">
      <c r="C636" s="4">
        <f ca="1">IFERROR(__xludf.DUMMYFUNCTION("""COMPUTED_VALUE"""),40915.9986111111)</f>
        <v>40915.998611111099</v>
      </c>
      <c r="D636" s="2">
        <f ca="1">IFERROR(__xludf.DUMMYFUNCTION("""COMPUTED_VALUE"""),52.673)</f>
        <v>52.673000000000002</v>
      </c>
      <c r="E636" s="2">
        <f ca="1">IFERROR(__xludf.DUMMYFUNCTION("""COMPUTED_VALUE"""),66.766)</f>
        <v>66.766000000000005</v>
      </c>
      <c r="F636" s="2">
        <f ca="1">IFERROR(__xludf.DUMMYFUNCTION("""COMPUTED_VALUE"""),81.172)</f>
        <v>81.171999999999997</v>
      </c>
      <c r="G636" s="2">
        <f ca="1">IFERROR(__xludf.DUMMYFUNCTION("""COMPUTED_VALUE"""),0.60894)</f>
        <v>0.60894000000000004</v>
      </c>
      <c r="H636" s="2">
        <f ca="1">IFERROR(__xludf.DUMMYFUNCTION("""COMPUTED_VALUE"""),53.66)</f>
        <v>53.66</v>
      </c>
      <c r="I636" s="2">
        <f ca="1">IFERROR(__xludf.DUMMYFUNCTION("""COMPUTED_VALUE"""),51.146)</f>
        <v>51.146000000000001</v>
      </c>
      <c r="J636" s="2">
        <f ca="1">IFERROR(__xludf.DUMMYFUNCTION("""COMPUTED_VALUE"""),40.552)</f>
        <v>40.552</v>
      </c>
      <c r="K636" s="2">
        <f ca="1">IFERROR(__xludf.DUMMYFUNCTION("""COMPUTED_VALUE"""),56.606)</f>
        <v>56.606000000000002</v>
      </c>
      <c r="L636" s="2">
        <f ca="1">IFERROR(__xludf.DUMMYFUNCTION("""COMPUTED_VALUE"""),9.7719)</f>
        <v>9.7719000000000005</v>
      </c>
      <c r="M636" s="2">
        <f ca="1">IFERROR(__xludf.DUMMYFUNCTION("""COMPUTED_VALUE"""),13.355)</f>
        <v>13.355</v>
      </c>
      <c r="U636" s="3" t="e">
        <f ca="1"/>
        <v>#NAME?</v>
      </c>
    </row>
    <row r="637" spans="3:21" ht="12.5" x14ac:dyDescent="0.25">
      <c r="C637" s="4">
        <f ca="1">IFERROR(__xludf.DUMMYFUNCTION("""COMPUTED_VALUE"""),40917.9986111111)</f>
        <v>40917.998611111099</v>
      </c>
      <c r="D637" s="2">
        <f ca="1">IFERROR(__xludf.DUMMYFUNCTION("""COMPUTED_VALUE"""),52.38)</f>
        <v>52.38</v>
      </c>
      <c r="E637" s="2">
        <f ca="1">IFERROR(__xludf.DUMMYFUNCTION("""COMPUTED_VALUE"""),68.086)</f>
        <v>68.085999999999999</v>
      </c>
      <c r="F637" s="2">
        <f ca="1">IFERROR(__xludf.DUMMYFUNCTION("""COMPUTED_VALUE"""),81.177)</f>
        <v>81.177000000000007</v>
      </c>
      <c r="G637" s="2">
        <f ca="1">IFERROR(__xludf.DUMMYFUNCTION("""COMPUTED_VALUE"""),0.6119)</f>
        <v>0.6119</v>
      </c>
      <c r="H637" s="2">
        <f ca="1">IFERROR(__xludf.DUMMYFUNCTION("""COMPUTED_VALUE"""),52.901)</f>
        <v>52.901000000000003</v>
      </c>
      <c r="I637" s="2">
        <f ca="1">IFERROR(__xludf.DUMMYFUNCTION("""COMPUTED_VALUE"""),50.355)</f>
        <v>50.354999999999997</v>
      </c>
      <c r="J637" s="2">
        <f ca="1">IFERROR(__xludf.DUMMYFUNCTION("""COMPUTED_VALUE"""),40.277)</f>
        <v>40.277000000000001</v>
      </c>
      <c r="K637" s="2">
        <f ca="1">IFERROR(__xludf.DUMMYFUNCTION("""COMPUTED_VALUE"""),55.942)</f>
        <v>55.942</v>
      </c>
      <c r="L637" s="2">
        <f ca="1">IFERROR(__xludf.DUMMYFUNCTION("""COMPUTED_VALUE"""),9.7733)</f>
        <v>9.7733000000000008</v>
      </c>
      <c r="M637" s="2">
        <f ca="1">IFERROR(__xludf.DUMMYFUNCTION("""COMPUTED_VALUE"""),13.386)</f>
        <v>13.385999999999999</v>
      </c>
      <c r="U637" s="3" t="e">
        <f ca="1"/>
        <v>#NAME?</v>
      </c>
    </row>
    <row r="638" spans="3:21" ht="12.5" x14ac:dyDescent="0.25">
      <c r="C638" s="4">
        <f ca="1">IFERROR(__xludf.DUMMYFUNCTION("""COMPUTED_VALUE"""),40918.9986111111)</f>
        <v>40918.998611111099</v>
      </c>
      <c r="D638" s="2">
        <f ca="1">IFERROR(__xludf.DUMMYFUNCTION("""COMPUTED_VALUE"""),51.6)</f>
        <v>51.6</v>
      </c>
      <c r="E638" s="2">
        <f ca="1">IFERROR(__xludf.DUMMYFUNCTION("""COMPUTED_VALUE"""),67.443)</f>
        <v>67.442999999999998</v>
      </c>
      <c r="F638" s="2">
        <f ca="1">IFERROR(__xludf.DUMMYFUNCTION("""COMPUTED_VALUE"""),80.989)</f>
        <v>80.989000000000004</v>
      </c>
      <c r="G638" s="2">
        <f ca="1">IFERROR(__xludf.DUMMYFUNCTION("""COMPUTED_VALUE"""),0.62249)</f>
        <v>0.62248999999999999</v>
      </c>
      <c r="H638" s="2">
        <f ca="1">IFERROR(__xludf.DUMMYFUNCTION("""COMPUTED_VALUE"""),52.713)</f>
        <v>52.713000000000001</v>
      </c>
      <c r="I638" s="2">
        <f ca="1">IFERROR(__xludf.DUMMYFUNCTION("""COMPUTED_VALUE"""),51.419)</f>
        <v>51.418999999999997</v>
      </c>
      <c r="J638" s="2">
        <f ca="1">IFERROR(__xludf.DUMMYFUNCTION("""COMPUTED_VALUE"""),40.323)</f>
        <v>40.323</v>
      </c>
      <c r="K638" s="2">
        <f ca="1">IFERROR(__xludf.DUMMYFUNCTION("""COMPUTED_VALUE"""),56.067)</f>
        <v>56.067</v>
      </c>
      <c r="L638" s="2">
        <f ca="1">IFERROR(__xludf.DUMMYFUNCTION("""COMPUTED_VALUE"""),9.7858)</f>
        <v>9.7858000000000001</v>
      </c>
      <c r="M638" s="2">
        <f ca="1">IFERROR(__xludf.DUMMYFUNCTION("""COMPUTED_VALUE"""),13.381)</f>
        <v>13.381</v>
      </c>
      <c r="U638" s="3" t="e">
        <f ca="1"/>
        <v>#NAME?</v>
      </c>
    </row>
    <row r="639" spans="3:21" ht="12.5" x14ac:dyDescent="0.25">
      <c r="C639" s="4">
        <f ca="1">IFERROR(__xludf.DUMMYFUNCTION("""COMPUTED_VALUE"""),40919.9986111111)</f>
        <v>40919.998611111099</v>
      </c>
      <c r="D639" s="2">
        <f ca="1">IFERROR(__xludf.DUMMYFUNCTION("""COMPUTED_VALUE"""),51.75)</f>
        <v>51.75</v>
      </c>
      <c r="E639" s="2">
        <f ca="1">IFERROR(__xludf.DUMMYFUNCTION("""COMPUTED_VALUE"""),67.539)</f>
        <v>67.539000000000001</v>
      </c>
      <c r="F639" s="2">
        <f ca="1">IFERROR(__xludf.DUMMYFUNCTION("""COMPUTED_VALUE"""),79.887)</f>
        <v>79.887</v>
      </c>
      <c r="G639" s="2">
        <f ca="1">IFERROR(__xludf.DUMMYFUNCTION("""COMPUTED_VALUE"""),0.61431)</f>
        <v>0.61431000000000002</v>
      </c>
      <c r="H639" s="2">
        <f ca="1">IFERROR(__xludf.DUMMYFUNCTION("""COMPUTED_VALUE"""),53.321)</f>
        <v>53.320999999999998</v>
      </c>
      <c r="I639" s="2">
        <f ca="1">IFERROR(__xludf.DUMMYFUNCTION("""COMPUTED_VALUE"""),50.85)</f>
        <v>50.85</v>
      </c>
      <c r="J639" s="2">
        <f ca="1">IFERROR(__xludf.DUMMYFUNCTION("""COMPUTED_VALUE"""),40.824)</f>
        <v>40.823999999999998</v>
      </c>
      <c r="K639" s="2">
        <f ca="1">IFERROR(__xludf.DUMMYFUNCTION("""COMPUTED_VALUE"""),56.264)</f>
        <v>56.264000000000003</v>
      </c>
      <c r="L639" s="2">
        <f ca="1">IFERROR(__xludf.DUMMYFUNCTION("""COMPUTED_VALUE"""),9.748)</f>
        <v>9.7479999999999993</v>
      </c>
      <c r="M639" s="2">
        <f ca="1">IFERROR(__xludf.DUMMYFUNCTION("""COMPUTED_VALUE"""),13.473)</f>
        <v>13.473000000000001</v>
      </c>
      <c r="U639" s="3" t="e">
        <f ca="1"/>
        <v>#NAME?</v>
      </c>
    </row>
    <row r="640" spans="3:21" ht="12.5" x14ac:dyDescent="0.25">
      <c r="C640" s="4">
        <f ca="1">IFERROR(__xludf.DUMMYFUNCTION("""COMPUTED_VALUE"""),40920.9986111111)</f>
        <v>40920.998611111099</v>
      </c>
      <c r="D640" s="2">
        <f ca="1">IFERROR(__xludf.DUMMYFUNCTION("""COMPUTED_VALUE"""),51.45)</f>
        <v>51.45</v>
      </c>
      <c r="E640" s="2">
        <f ca="1">IFERROR(__xludf.DUMMYFUNCTION("""COMPUTED_VALUE"""),68.309)</f>
        <v>68.308999999999997</v>
      </c>
      <c r="F640" s="2">
        <f ca="1">IFERROR(__xludf.DUMMYFUNCTION("""COMPUTED_VALUE"""),79.302)</f>
        <v>79.302000000000007</v>
      </c>
      <c r="G640" s="2">
        <f ca="1">IFERROR(__xludf.DUMMYFUNCTION("""COMPUTED_VALUE"""),0.61431)</f>
        <v>0.61431000000000002</v>
      </c>
      <c r="H640" s="2">
        <f ca="1">IFERROR(__xludf.DUMMYFUNCTION("""COMPUTED_VALUE"""),52.606)</f>
        <v>52.606000000000002</v>
      </c>
      <c r="I640" s="2">
        <f ca="1">IFERROR(__xludf.DUMMYFUNCTION("""COMPUTED_VALUE"""),50.817)</f>
        <v>50.817</v>
      </c>
      <c r="J640" s="2">
        <f ca="1">IFERROR(__xludf.DUMMYFUNCTION("""COMPUTED_VALUE"""),40.4)</f>
        <v>40.4</v>
      </c>
      <c r="K640" s="2">
        <f ca="1">IFERROR(__xludf.DUMMYFUNCTION("""COMPUTED_VALUE"""),56.632)</f>
        <v>56.631999999999998</v>
      </c>
      <c r="L640" s="2">
        <f ca="1">IFERROR(__xludf.DUMMYFUNCTION("""COMPUTED_VALUE"""),9.7559)</f>
        <v>9.7559000000000005</v>
      </c>
      <c r="M640" s="2">
        <f ca="1">IFERROR(__xludf.DUMMYFUNCTION("""COMPUTED_VALUE"""),13.437)</f>
        <v>13.436999999999999</v>
      </c>
      <c r="U640" s="3" t="e">
        <f ca="1"/>
        <v>#NAME?</v>
      </c>
    </row>
    <row r="641" spans="3:21" ht="12.5" x14ac:dyDescent="0.25">
      <c r="C641" s="4">
        <f ca="1">IFERROR(__xludf.DUMMYFUNCTION("""COMPUTED_VALUE"""),40921.9986111111)</f>
        <v>40921.998611111099</v>
      </c>
      <c r="D641" s="2">
        <f ca="1">IFERROR(__xludf.DUMMYFUNCTION("""COMPUTED_VALUE"""),51.4)</f>
        <v>51.4</v>
      </c>
      <c r="E641" s="2">
        <f ca="1">IFERROR(__xludf.DUMMYFUNCTION("""COMPUTED_VALUE"""),67.873)</f>
        <v>67.873000000000005</v>
      </c>
      <c r="F641" s="2">
        <f ca="1">IFERROR(__xludf.DUMMYFUNCTION("""COMPUTED_VALUE"""),78.918)</f>
        <v>78.918000000000006</v>
      </c>
      <c r="G641" s="2">
        <f ca="1">IFERROR(__xludf.DUMMYFUNCTION("""COMPUTED_VALUE"""),0.61883)</f>
        <v>0.61882999999999999</v>
      </c>
      <c r="H641" s="2">
        <f ca="1">IFERROR(__xludf.DUMMYFUNCTION("""COMPUTED_VALUE"""),52.606)</f>
        <v>52.606000000000002</v>
      </c>
      <c r="I641" s="2">
        <f ca="1">IFERROR(__xludf.DUMMYFUNCTION("""COMPUTED_VALUE"""),51.525)</f>
        <v>51.524999999999999</v>
      </c>
      <c r="J641" s="2">
        <f ca="1">IFERROR(__xludf.DUMMYFUNCTION("""COMPUTED_VALUE"""),40.4)</f>
        <v>40.4</v>
      </c>
      <c r="K641" s="2">
        <f ca="1">IFERROR(__xludf.DUMMYFUNCTION("""COMPUTED_VALUE"""),55.802)</f>
        <v>55.802</v>
      </c>
      <c r="L641" s="2">
        <f ca="1">IFERROR(__xludf.DUMMYFUNCTION("""COMPUTED_VALUE"""),9.7687)</f>
        <v>9.7687000000000008</v>
      </c>
      <c r="M641" s="2">
        <f ca="1">IFERROR(__xludf.DUMMYFUNCTION("""COMPUTED_VALUE"""),13.437)</f>
        <v>13.436999999999999</v>
      </c>
      <c r="U641" s="3" t="e">
        <f ca="1"/>
        <v>#NAME?</v>
      </c>
    </row>
    <row r="642" spans="3:21" ht="12.5" x14ac:dyDescent="0.25">
      <c r="C642" s="4">
        <f ca="1">IFERROR(__xludf.DUMMYFUNCTION("""COMPUTED_VALUE"""),40922.9986111111)</f>
        <v>40922.998611111099</v>
      </c>
      <c r="D642" s="2">
        <f ca="1">IFERROR(__xludf.DUMMYFUNCTION("""COMPUTED_VALUE"""),51.433)</f>
        <v>51.433</v>
      </c>
      <c r="E642" s="2">
        <f ca="1">IFERROR(__xludf.DUMMYFUNCTION("""COMPUTED_VALUE"""),67.863)</f>
        <v>67.863</v>
      </c>
      <c r="F642" s="2">
        <f ca="1">IFERROR(__xludf.DUMMYFUNCTION("""COMPUTED_VALUE"""),78.608)</f>
        <v>78.608000000000004</v>
      </c>
      <c r="G642" s="2">
        <f ca="1">IFERROR(__xludf.DUMMYFUNCTION("""COMPUTED_VALUE"""),0.6099)</f>
        <v>0.6099</v>
      </c>
      <c r="H642" s="2">
        <f ca="1">IFERROR(__xludf.DUMMYFUNCTION("""COMPUTED_VALUE"""),52.606)</f>
        <v>52.606000000000002</v>
      </c>
      <c r="I642" s="2">
        <f ca="1">IFERROR(__xludf.DUMMYFUNCTION("""COMPUTED_VALUE"""),50.949)</f>
        <v>50.948999999999998</v>
      </c>
      <c r="J642" s="2">
        <f ca="1">IFERROR(__xludf.DUMMYFUNCTION("""COMPUTED_VALUE"""),40.4)</f>
        <v>40.4</v>
      </c>
      <c r="K642" s="2">
        <f ca="1">IFERROR(__xludf.DUMMYFUNCTION("""COMPUTED_VALUE"""),56.07)</f>
        <v>56.07</v>
      </c>
      <c r="L642" s="2">
        <f ca="1">IFERROR(__xludf.DUMMYFUNCTION("""COMPUTED_VALUE"""),9.8229)</f>
        <v>9.8229000000000006</v>
      </c>
      <c r="M642" s="2">
        <f ca="1">IFERROR(__xludf.DUMMYFUNCTION("""COMPUTED_VALUE"""),13.437)</f>
        <v>13.436999999999999</v>
      </c>
      <c r="U642" s="3" t="e">
        <f ca="1"/>
        <v>#NAME?</v>
      </c>
    </row>
    <row r="643" spans="3:21" ht="12.5" x14ac:dyDescent="0.25">
      <c r="C643" s="4">
        <f ca="1">IFERROR(__xludf.DUMMYFUNCTION("""COMPUTED_VALUE"""),40924.9986111111)</f>
        <v>40924.998611111099</v>
      </c>
      <c r="D643" s="2">
        <f ca="1">IFERROR(__xludf.DUMMYFUNCTION("""COMPUTED_VALUE"""),51.38)</f>
        <v>51.38</v>
      </c>
      <c r="E643" s="2">
        <f ca="1">IFERROR(__xludf.DUMMYFUNCTION("""COMPUTED_VALUE"""),67.708)</f>
        <v>67.707999999999998</v>
      </c>
      <c r="F643" s="2">
        <f ca="1">IFERROR(__xludf.DUMMYFUNCTION("""COMPUTED_VALUE"""),78.783)</f>
        <v>78.783000000000001</v>
      </c>
      <c r="G643" s="2">
        <f ca="1">IFERROR(__xludf.DUMMYFUNCTION("""COMPUTED_VALUE"""),0.61973)</f>
        <v>0.61973</v>
      </c>
      <c r="H643" s="2">
        <f ca="1">IFERROR(__xludf.DUMMYFUNCTION("""COMPUTED_VALUE"""),52.947)</f>
        <v>52.947000000000003</v>
      </c>
      <c r="I643" s="2">
        <f ca="1">IFERROR(__xludf.DUMMYFUNCTION("""COMPUTED_VALUE"""),50.988)</f>
        <v>50.988</v>
      </c>
      <c r="J643" s="2">
        <f ca="1">IFERROR(__xludf.DUMMYFUNCTION("""COMPUTED_VALUE"""),40.546)</f>
        <v>40.545999999999999</v>
      </c>
      <c r="K643" s="2">
        <f ca="1">IFERROR(__xludf.DUMMYFUNCTION("""COMPUTED_VALUE"""),56.248)</f>
        <v>56.247999999999998</v>
      </c>
      <c r="L643" s="2">
        <f ca="1">IFERROR(__xludf.DUMMYFUNCTION("""COMPUTED_VALUE"""),9.8165)</f>
        <v>9.8164999999999996</v>
      </c>
      <c r="M643" s="2">
        <f ca="1">IFERROR(__xludf.DUMMYFUNCTION("""COMPUTED_VALUE"""),13.392)</f>
        <v>13.391999999999999</v>
      </c>
      <c r="U643" s="3" t="e">
        <f ca="1"/>
        <v>#NAME?</v>
      </c>
    </row>
    <row r="644" spans="3:21" ht="12.5" x14ac:dyDescent="0.25">
      <c r="C644" s="4">
        <f ca="1">IFERROR(__xludf.DUMMYFUNCTION("""COMPUTED_VALUE"""),40925.9986111111)</f>
        <v>40925.998611111099</v>
      </c>
      <c r="D644" s="2">
        <f ca="1">IFERROR(__xludf.DUMMYFUNCTION("""COMPUTED_VALUE"""),50.65)</f>
        <v>50.65</v>
      </c>
      <c r="E644" s="2">
        <f ca="1">IFERROR(__xludf.DUMMYFUNCTION("""COMPUTED_VALUE"""),66.808)</f>
        <v>66.808000000000007</v>
      </c>
      <c r="F644" s="2">
        <f ca="1">IFERROR(__xludf.DUMMYFUNCTION("""COMPUTED_VALUE"""),78.676)</f>
        <v>78.676000000000002</v>
      </c>
      <c r="G644" s="2">
        <f ca="1">IFERROR(__xludf.DUMMYFUNCTION("""COMPUTED_VALUE"""),0.61952)</f>
        <v>0.61951999999999996</v>
      </c>
      <c r="H644" s="2">
        <f ca="1">IFERROR(__xludf.DUMMYFUNCTION("""COMPUTED_VALUE"""),52.13)</f>
        <v>52.13</v>
      </c>
      <c r="I644" s="2">
        <f ca="1">IFERROR(__xludf.DUMMYFUNCTION("""COMPUTED_VALUE"""),51.306)</f>
        <v>51.305999999999997</v>
      </c>
      <c r="J644" s="2">
        <f ca="1">IFERROR(__xludf.DUMMYFUNCTION("""COMPUTED_VALUE"""),40.201)</f>
        <v>40.201000000000001</v>
      </c>
      <c r="K644" s="2">
        <f ca="1">IFERROR(__xludf.DUMMYFUNCTION("""COMPUTED_VALUE"""),56.305)</f>
        <v>56.305</v>
      </c>
      <c r="L644" s="2">
        <f ca="1">IFERROR(__xludf.DUMMYFUNCTION("""COMPUTED_VALUE"""),9.8265)</f>
        <v>9.8264999999999993</v>
      </c>
      <c r="M644" s="2">
        <f ca="1">IFERROR(__xludf.DUMMYFUNCTION("""COMPUTED_VALUE"""),13.438)</f>
        <v>13.438000000000001</v>
      </c>
      <c r="U644" s="3" t="e">
        <f ca="1"/>
        <v>#NAME?</v>
      </c>
    </row>
    <row r="645" spans="3:21" ht="12.5" x14ac:dyDescent="0.25">
      <c r="C645" s="4">
        <f ca="1">IFERROR(__xludf.DUMMYFUNCTION("""COMPUTED_VALUE"""),40926.9986111111)</f>
        <v>40926.998611111099</v>
      </c>
      <c r="D645" s="2">
        <f ca="1">IFERROR(__xludf.DUMMYFUNCTION("""COMPUTED_VALUE"""),50.36)</f>
        <v>50.36</v>
      </c>
      <c r="E645" s="2">
        <f ca="1">IFERROR(__xludf.DUMMYFUNCTION("""COMPUTED_VALUE"""),67.09)</f>
        <v>67.09</v>
      </c>
      <c r="F645" s="2">
        <f ca="1">IFERROR(__xludf.DUMMYFUNCTION("""COMPUTED_VALUE"""),77.667)</f>
        <v>77.667000000000002</v>
      </c>
      <c r="G645" s="2">
        <f ca="1">IFERROR(__xludf.DUMMYFUNCTION("""COMPUTED_VALUE"""),0.62565)</f>
        <v>0.62565000000000004</v>
      </c>
      <c r="H645" s="2">
        <f ca="1">IFERROR(__xludf.DUMMYFUNCTION("""COMPUTED_VALUE"""),52.463)</f>
        <v>52.463000000000001</v>
      </c>
      <c r="I645" s="2">
        <f ca="1">IFERROR(__xludf.DUMMYFUNCTION("""COMPUTED_VALUE"""),50.95)</f>
        <v>50.95</v>
      </c>
      <c r="J645" s="2">
        <f ca="1">IFERROR(__xludf.DUMMYFUNCTION("""COMPUTED_VALUE"""),40.562)</f>
        <v>40.561999999999998</v>
      </c>
      <c r="K645" s="2">
        <f ca="1">IFERROR(__xludf.DUMMYFUNCTION("""COMPUTED_VALUE"""),56.358)</f>
        <v>56.357999999999997</v>
      </c>
      <c r="L645" s="2">
        <f ca="1">IFERROR(__xludf.DUMMYFUNCTION("""COMPUTED_VALUE"""),9.8482)</f>
        <v>9.8482000000000003</v>
      </c>
      <c r="M645" s="2">
        <f ca="1">IFERROR(__xludf.DUMMYFUNCTION("""COMPUTED_VALUE"""),13.418)</f>
        <v>13.417999999999999</v>
      </c>
      <c r="U645" s="3" t="e">
        <f ca="1"/>
        <v>#NAME?</v>
      </c>
    </row>
    <row r="646" spans="3:21" ht="12.5" x14ac:dyDescent="0.25">
      <c r="C646" s="4">
        <f ca="1">IFERROR(__xludf.DUMMYFUNCTION("""COMPUTED_VALUE"""),40927.9986111111)</f>
        <v>40927.998611111099</v>
      </c>
      <c r="D646" s="2">
        <f ca="1">IFERROR(__xludf.DUMMYFUNCTION("""COMPUTED_VALUE"""),50.303)</f>
        <v>50.302999999999997</v>
      </c>
      <c r="E646" s="2">
        <f ca="1">IFERROR(__xludf.DUMMYFUNCTION("""COMPUTED_VALUE"""),66.61)</f>
        <v>66.61</v>
      </c>
      <c r="F646" s="2">
        <f ca="1">IFERROR(__xludf.DUMMYFUNCTION("""COMPUTED_VALUE"""),77.681)</f>
        <v>77.680999999999997</v>
      </c>
      <c r="G646" s="2">
        <f ca="1">IFERROR(__xludf.DUMMYFUNCTION("""COMPUTED_VALUE"""),0.61945)</f>
        <v>0.61944999999999995</v>
      </c>
      <c r="H646" s="2">
        <f ca="1">IFERROR(__xludf.DUMMYFUNCTION("""COMPUTED_VALUE"""),52.561)</f>
        <v>52.561</v>
      </c>
      <c r="I646" s="2">
        <f ca="1">IFERROR(__xludf.DUMMYFUNCTION("""COMPUTED_VALUE"""),51.257)</f>
        <v>51.256999999999998</v>
      </c>
      <c r="J646" s="2">
        <f ca="1">IFERROR(__xludf.DUMMYFUNCTION("""COMPUTED_VALUE"""),40.468)</f>
        <v>40.468000000000004</v>
      </c>
      <c r="K646" s="2">
        <f ca="1">IFERROR(__xludf.DUMMYFUNCTION("""COMPUTED_VALUE"""),56.569)</f>
        <v>56.569000000000003</v>
      </c>
      <c r="L646" s="2">
        <f ca="1">IFERROR(__xludf.DUMMYFUNCTION("""COMPUTED_VALUE"""),9.8854)</f>
        <v>9.8854000000000006</v>
      </c>
      <c r="M646" s="2">
        <f ca="1">IFERROR(__xludf.DUMMYFUNCTION("""COMPUTED_VALUE"""),13.418)</f>
        <v>13.417999999999999</v>
      </c>
      <c r="U646" s="3" t="e">
        <f ca="1"/>
        <v>#NAME?</v>
      </c>
    </row>
    <row r="647" spans="3:21" ht="12.5" x14ac:dyDescent="0.25">
      <c r="C647" s="4">
        <f ca="1">IFERROR(__xludf.DUMMYFUNCTION("""COMPUTED_VALUE"""),40928.9986111111)</f>
        <v>40928.998611111099</v>
      </c>
      <c r="D647" s="2">
        <f ca="1">IFERROR(__xludf.DUMMYFUNCTION("""COMPUTED_VALUE"""),50.2)</f>
        <v>50.2</v>
      </c>
      <c r="E647" s="2">
        <f ca="1">IFERROR(__xludf.DUMMYFUNCTION("""COMPUTED_VALUE"""),66.611)</f>
        <v>66.611000000000004</v>
      </c>
      <c r="F647" s="2">
        <f ca="1">IFERROR(__xludf.DUMMYFUNCTION("""COMPUTED_VALUE"""),77.906)</f>
        <v>77.906000000000006</v>
      </c>
      <c r="G647" s="2">
        <f ca="1">IFERROR(__xludf.DUMMYFUNCTION("""COMPUTED_VALUE"""),0.61945)</f>
        <v>0.61944999999999995</v>
      </c>
      <c r="H647" s="2">
        <f ca="1">IFERROR(__xludf.DUMMYFUNCTION("""COMPUTED_VALUE"""),52.552)</f>
        <v>52.552</v>
      </c>
      <c r="I647" s="2">
        <f ca="1">IFERROR(__xludf.DUMMYFUNCTION("""COMPUTED_VALUE"""),51.331)</f>
        <v>51.331000000000003</v>
      </c>
      <c r="J647" s="2">
        <f ca="1">IFERROR(__xludf.DUMMYFUNCTION("""COMPUTED_VALUE"""),40.466)</f>
        <v>40.466000000000001</v>
      </c>
      <c r="K647" s="2">
        <f ca="1">IFERROR(__xludf.DUMMYFUNCTION("""COMPUTED_VALUE"""),56.061)</f>
        <v>56.061</v>
      </c>
      <c r="L647" s="2">
        <f ca="1">IFERROR(__xludf.DUMMYFUNCTION("""COMPUTED_VALUE"""),9.812)</f>
        <v>9.8119999999999994</v>
      </c>
      <c r="M647" s="2">
        <f ca="1">IFERROR(__xludf.DUMMYFUNCTION("""COMPUTED_VALUE"""),13.427)</f>
        <v>13.427</v>
      </c>
      <c r="U647" s="3" t="e">
        <f ca="1"/>
        <v>#NAME?</v>
      </c>
    </row>
    <row r="648" spans="3:21" ht="12.5" x14ac:dyDescent="0.25">
      <c r="C648" s="4">
        <f ca="1">IFERROR(__xludf.DUMMYFUNCTION("""COMPUTED_VALUE"""),40929.9986111111)</f>
        <v>40929.998611111099</v>
      </c>
      <c r="D648" s="2">
        <f ca="1">IFERROR(__xludf.DUMMYFUNCTION("""COMPUTED_VALUE"""),50.223)</f>
        <v>50.222999999999999</v>
      </c>
      <c r="E648" s="2">
        <f ca="1">IFERROR(__xludf.DUMMYFUNCTION("""COMPUTED_VALUE"""),66.609)</f>
        <v>66.608999999999995</v>
      </c>
      <c r="F648" s="2">
        <f ca="1">IFERROR(__xludf.DUMMYFUNCTION("""COMPUTED_VALUE"""),78.172)</f>
        <v>78.171999999999997</v>
      </c>
      <c r="G648" s="2">
        <f ca="1">IFERROR(__xludf.DUMMYFUNCTION("""COMPUTED_VALUE"""),0.62537)</f>
        <v>0.62536999999999998</v>
      </c>
      <c r="H648" s="2">
        <f ca="1">IFERROR(__xludf.DUMMYFUNCTION("""COMPUTED_VALUE"""),52.507)</f>
        <v>52.506999999999998</v>
      </c>
      <c r="I648" s="2">
        <f ca="1">IFERROR(__xludf.DUMMYFUNCTION("""COMPUTED_VALUE"""),51.169)</f>
        <v>51.168999999999997</v>
      </c>
      <c r="J648" s="2">
        <f ca="1">IFERROR(__xludf.DUMMYFUNCTION("""COMPUTED_VALUE"""),40.468)</f>
        <v>40.468000000000004</v>
      </c>
      <c r="K648" s="2">
        <f ca="1">IFERROR(__xludf.DUMMYFUNCTION("""COMPUTED_VALUE"""),56.383)</f>
        <v>56.383000000000003</v>
      </c>
      <c r="L648" s="2">
        <f ca="1">IFERROR(__xludf.DUMMYFUNCTION("""COMPUTED_VALUE"""),9.805)</f>
        <v>9.8049999999999997</v>
      </c>
      <c r="M648" s="2">
        <f ca="1">IFERROR(__xludf.DUMMYFUNCTION("""COMPUTED_VALUE"""),13.427)</f>
        <v>13.427</v>
      </c>
      <c r="U648" s="3" t="e">
        <f ca="1"/>
        <v>#NAME?</v>
      </c>
    </row>
    <row r="649" spans="3:21" ht="12.5" x14ac:dyDescent="0.25">
      <c r="C649" s="4">
        <f ca="1">IFERROR(__xludf.DUMMYFUNCTION("""COMPUTED_VALUE"""),40931.9986111111)</f>
        <v>40931.998611111099</v>
      </c>
      <c r="D649" s="2">
        <f ca="1">IFERROR(__xludf.DUMMYFUNCTION("""COMPUTED_VALUE"""),49.84)</f>
        <v>49.84</v>
      </c>
      <c r="E649" s="2">
        <f ca="1">IFERROR(__xludf.DUMMYFUNCTION("""COMPUTED_VALUE"""),66.61)</f>
        <v>66.61</v>
      </c>
      <c r="F649" s="2">
        <f ca="1">IFERROR(__xludf.DUMMYFUNCTION("""COMPUTED_VALUE"""),78.049)</f>
        <v>78.049000000000007</v>
      </c>
      <c r="G649" s="2">
        <f ca="1">IFERROR(__xludf.DUMMYFUNCTION("""COMPUTED_VALUE"""),0.63737)</f>
        <v>0.63736999999999999</v>
      </c>
      <c r="H649" s="2">
        <f ca="1">IFERROR(__xludf.DUMMYFUNCTION("""COMPUTED_VALUE"""),52.508)</f>
        <v>52.508000000000003</v>
      </c>
      <c r="I649" s="2">
        <f ca="1">IFERROR(__xludf.DUMMYFUNCTION("""COMPUTED_VALUE"""),51.324)</f>
        <v>51.323999999999998</v>
      </c>
      <c r="J649" s="2">
        <f ca="1">IFERROR(__xludf.DUMMYFUNCTION("""COMPUTED_VALUE"""),40.468)</f>
        <v>40.468000000000004</v>
      </c>
      <c r="K649" s="2">
        <f ca="1">IFERROR(__xludf.DUMMYFUNCTION("""COMPUTED_VALUE"""),56.493)</f>
        <v>56.493000000000002</v>
      </c>
      <c r="L649" s="2">
        <f ca="1">IFERROR(__xludf.DUMMYFUNCTION("""COMPUTED_VALUE"""),9.8049)</f>
        <v>9.8048999999999999</v>
      </c>
      <c r="M649" s="2">
        <f ca="1">IFERROR(__xludf.DUMMYFUNCTION("""COMPUTED_VALUE"""),13.427)</f>
        <v>13.427</v>
      </c>
      <c r="U649" s="3" t="e">
        <f ca="1"/>
        <v>#NAME?</v>
      </c>
    </row>
    <row r="650" spans="3:21" ht="12.5" x14ac:dyDescent="0.25">
      <c r="C650" s="4">
        <f ca="1">IFERROR(__xludf.DUMMYFUNCTION("""COMPUTED_VALUE"""),40932.9986111111)</f>
        <v>40932.998611111099</v>
      </c>
      <c r="D650" s="2">
        <f ca="1">IFERROR(__xludf.DUMMYFUNCTION("""COMPUTED_VALUE"""),50)</f>
        <v>50</v>
      </c>
      <c r="E650" s="2">
        <f ca="1">IFERROR(__xludf.DUMMYFUNCTION("""COMPUTED_VALUE"""),66.994)</f>
        <v>66.994</v>
      </c>
      <c r="F650" s="2">
        <f ca="1">IFERROR(__xludf.DUMMYFUNCTION("""COMPUTED_VALUE"""),77.614)</f>
        <v>77.614000000000004</v>
      </c>
      <c r="G650" s="2">
        <f ca="1">IFERROR(__xludf.DUMMYFUNCTION("""COMPUTED_VALUE"""),0.63484)</f>
        <v>0.63483999999999996</v>
      </c>
      <c r="H650" s="2">
        <f ca="1">IFERROR(__xludf.DUMMYFUNCTION("""COMPUTED_VALUE"""),52.655)</f>
        <v>52.655000000000001</v>
      </c>
      <c r="I650" s="2">
        <f ca="1">IFERROR(__xludf.DUMMYFUNCTION("""COMPUTED_VALUE"""),51.324)</f>
        <v>51.323999999999998</v>
      </c>
      <c r="J650" s="2">
        <f ca="1">IFERROR(__xludf.DUMMYFUNCTION("""COMPUTED_VALUE"""),40.567)</f>
        <v>40.567</v>
      </c>
      <c r="K650" s="2">
        <f ca="1">IFERROR(__xludf.DUMMYFUNCTION("""COMPUTED_VALUE"""),56.398)</f>
        <v>56.398000000000003</v>
      </c>
      <c r="L650" s="2">
        <f ca="1">IFERROR(__xludf.DUMMYFUNCTION("""COMPUTED_VALUE"""),9.835)</f>
        <v>9.8350000000000009</v>
      </c>
      <c r="M650" s="2">
        <f ca="1">IFERROR(__xludf.DUMMYFUNCTION("""COMPUTED_VALUE"""),13.381)</f>
        <v>13.381</v>
      </c>
      <c r="U650" s="3" t="e">
        <f ca="1"/>
        <v>#NAME?</v>
      </c>
    </row>
    <row r="651" spans="3:21" ht="12.5" x14ac:dyDescent="0.25">
      <c r="C651" s="4">
        <f ca="1">IFERROR(__xludf.DUMMYFUNCTION("""COMPUTED_VALUE"""),40933.9986111111)</f>
        <v>40933.998611111099</v>
      </c>
      <c r="D651" s="2">
        <f ca="1">IFERROR(__xludf.DUMMYFUNCTION("""COMPUTED_VALUE"""),50)</f>
        <v>50</v>
      </c>
      <c r="E651" s="2">
        <f ca="1">IFERROR(__xludf.DUMMYFUNCTION("""COMPUTED_VALUE"""),67.243)</f>
        <v>67.242999999999995</v>
      </c>
      <c r="F651" s="2">
        <f ca="1">IFERROR(__xludf.DUMMYFUNCTION("""COMPUTED_VALUE"""),78.021)</f>
        <v>78.021000000000001</v>
      </c>
      <c r="G651" s="2">
        <f ca="1">IFERROR(__xludf.DUMMYFUNCTION("""COMPUTED_VALUE"""),0.63243)</f>
        <v>0.63243000000000005</v>
      </c>
      <c r="H651" s="2">
        <f ca="1">IFERROR(__xludf.DUMMYFUNCTION("""COMPUTED_VALUE"""),52.649)</f>
        <v>52.649000000000001</v>
      </c>
      <c r="I651" s="2">
        <f ca="1">IFERROR(__xludf.DUMMYFUNCTION("""COMPUTED_VALUE"""),51.214)</f>
        <v>51.213999999999999</v>
      </c>
      <c r="J651" s="2">
        <f ca="1">IFERROR(__xludf.DUMMYFUNCTION("""COMPUTED_VALUE"""),40.731)</f>
        <v>40.731000000000002</v>
      </c>
      <c r="K651" s="2">
        <f ca="1">IFERROR(__xludf.DUMMYFUNCTION("""COMPUTED_VALUE"""),56.609)</f>
        <v>56.609000000000002</v>
      </c>
      <c r="L651" s="2">
        <f ca="1">IFERROR(__xludf.DUMMYFUNCTION("""COMPUTED_VALUE"""),9.763)</f>
        <v>9.7629999999999999</v>
      </c>
      <c r="M651" s="2">
        <f ca="1">IFERROR(__xludf.DUMMYFUNCTION("""COMPUTED_VALUE"""),13.423)</f>
        <v>13.423</v>
      </c>
      <c r="U651" s="3" t="e">
        <f ca="1"/>
        <v>#NAME?</v>
      </c>
    </row>
    <row r="652" spans="3:21" ht="12.5" x14ac:dyDescent="0.25">
      <c r="C652" s="4">
        <f ca="1">IFERROR(__xludf.DUMMYFUNCTION("""COMPUTED_VALUE"""),40934.9986111111)</f>
        <v>40934.998611111099</v>
      </c>
      <c r="D652" s="2">
        <f ca="1">IFERROR(__xludf.DUMMYFUNCTION("""COMPUTED_VALUE"""),49.36)</f>
        <v>49.36</v>
      </c>
      <c r="E652" s="2">
        <f ca="1">IFERROR(__xludf.DUMMYFUNCTION("""COMPUTED_VALUE"""),67.377)</f>
        <v>67.376999999999995</v>
      </c>
      <c r="F652" s="2">
        <f ca="1">IFERROR(__xludf.DUMMYFUNCTION("""COMPUTED_VALUE"""),78.34)</f>
        <v>78.34</v>
      </c>
      <c r="G652" s="2">
        <f ca="1">IFERROR(__xludf.DUMMYFUNCTION("""COMPUTED_VALUE"""),0.63704)</f>
        <v>0.63704000000000005</v>
      </c>
      <c r="H652" s="2">
        <f ca="1">IFERROR(__xludf.DUMMYFUNCTION("""COMPUTED_VALUE"""),52.938)</f>
        <v>52.938000000000002</v>
      </c>
      <c r="I652" s="2">
        <f ca="1">IFERROR(__xludf.DUMMYFUNCTION("""COMPUTED_VALUE"""),51.18)</f>
        <v>51.18</v>
      </c>
      <c r="J652" s="2">
        <f ca="1">IFERROR(__xludf.DUMMYFUNCTION("""COMPUTED_VALUE"""),40.836)</f>
        <v>40.835999999999999</v>
      </c>
      <c r="K652" s="2">
        <f ca="1">IFERROR(__xludf.DUMMYFUNCTION("""COMPUTED_VALUE"""),56.911)</f>
        <v>56.911000000000001</v>
      </c>
      <c r="L652" s="2">
        <f ca="1">IFERROR(__xludf.DUMMYFUNCTION("""COMPUTED_VALUE"""),9.7806)</f>
        <v>9.7805999999999997</v>
      </c>
      <c r="M652" s="2">
        <f ca="1">IFERROR(__xludf.DUMMYFUNCTION("""COMPUTED_VALUE"""),13.4)</f>
        <v>13.4</v>
      </c>
      <c r="U652" s="3" t="e">
        <f ca="1"/>
        <v>#NAME?</v>
      </c>
    </row>
    <row r="653" spans="3:21" ht="12.5" x14ac:dyDescent="0.25">
      <c r="C653" s="4">
        <f ca="1">IFERROR(__xludf.DUMMYFUNCTION("""COMPUTED_VALUE"""),40935.9986111111)</f>
        <v>40935.998611111099</v>
      </c>
      <c r="D653" s="2">
        <f ca="1">IFERROR(__xludf.DUMMYFUNCTION("""COMPUTED_VALUE"""),49.2)</f>
        <v>49.2</v>
      </c>
      <c r="E653" s="2">
        <f ca="1">IFERROR(__xludf.DUMMYFUNCTION("""COMPUTED_VALUE"""),67.468)</f>
        <v>67.468000000000004</v>
      </c>
      <c r="F653" s="2">
        <f ca="1">IFERROR(__xludf.DUMMYFUNCTION("""COMPUTED_VALUE"""),77.453)</f>
        <v>77.453000000000003</v>
      </c>
      <c r="G653" s="2">
        <f ca="1">IFERROR(__xludf.DUMMYFUNCTION("""COMPUTED_VALUE"""),0.63629)</f>
        <v>0.63629000000000002</v>
      </c>
      <c r="H653" s="2">
        <f ca="1">IFERROR(__xludf.DUMMYFUNCTION("""COMPUTED_VALUE"""),53.393)</f>
        <v>53.393000000000001</v>
      </c>
      <c r="I653" s="2">
        <f ca="1">IFERROR(__xludf.DUMMYFUNCTION("""COMPUTED_VALUE"""),51.198)</f>
        <v>51.198</v>
      </c>
      <c r="J653" s="2">
        <f ca="1">IFERROR(__xludf.DUMMYFUNCTION("""COMPUTED_VALUE"""),40.861)</f>
        <v>40.860999999999997</v>
      </c>
      <c r="K653" s="2">
        <f ca="1">IFERROR(__xludf.DUMMYFUNCTION("""COMPUTED_VALUE"""),56.058)</f>
        <v>56.058</v>
      </c>
      <c r="L653" s="2">
        <f ca="1">IFERROR(__xludf.DUMMYFUNCTION("""COMPUTED_VALUE"""),9.8189)</f>
        <v>9.8188999999999993</v>
      </c>
      <c r="M653" s="2">
        <f ca="1">IFERROR(__xludf.DUMMYFUNCTION("""COMPUTED_VALUE"""),13.366)</f>
        <v>13.366</v>
      </c>
      <c r="U653" s="3" t="e">
        <f ca="1"/>
        <v>#NAME?</v>
      </c>
    </row>
    <row r="654" spans="3:21" ht="12.5" x14ac:dyDescent="0.25">
      <c r="C654" s="4">
        <f ca="1">IFERROR(__xludf.DUMMYFUNCTION("""COMPUTED_VALUE"""),40936.9986111111)</f>
        <v>40936.998611111099</v>
      </c>
      <c r="D654" s="2">
        <f ca="1">IFERROR(__xludf.DUMMYFUNCTION("""COMPUTED_VALUE"""),49.388)</f>
        <v>49.387999999999998</v>
      </c>
      <c r="E654" s="2">
        <f ca="1">IFERROR(__xludf.DUMMYFUNCTION("""COMPUTED_VALUE"""),67.336)</f>
        <v>67.335999999999999</v>
      </c>
      <c r="F654" s="2">
        <f ca="1">IFERROR(__xludf.DUMMYFUNCTION("""COMPUTED_VALUE"""),77.404)</f>
        <v>77.403999999999996</v>
      </c>
      <c r="G654" s="2">
        <f ca="1">IFERROR(__xludf.DUMMYFUNCTION("""COMPUTED_VALUE"""),0.6292)</f>
        <v>0.62919999999999998</v>
      </c>
      <c r="H654" s="2">
        <f ca="1">IFERROR(__xludf.DUMMYFUNCTION("""COMPUTED_VALUE"""),53.412)</f>
        <v>53.411999999999999</v>
      </c>
      <c r="I654" s="2">
        <f ca="1">IFERROR(__xludf.DUMMYFUNCTION("""COMPUTED_VALUE"""),51.439)</f>
        <v>51.439</v>
      </c>
      <c r="J654" s="2">
        <f ca="1">IFERROR(__xludf.DUMMYFUNCTION("""COMPUTED_VALUE"""),41.296)</f>
        <v>41.295999999999999</v>
      </c>
      <c r="K654" s="2">
        <f ca="1">IFERROR(__xludf.DUMMYFUNCTION("""COMPUTED_VALUE"""),55.397)</f>
        <v>55.396999999999998</v>
      </c>
      <c r="L654" s="2">
        <f ca="1">IFERROR(__xludf.DUMMYFUNCTION("""COMPUTED_VALUE"""),9.6673)</f>
        <v>9.6672999999999991</v>
      </c>
      <c r="M654" s="2">
        <f ca="1">IFERROR(__xludf.DUMMYFUNCTION("""COMPUTED_VALUE"""),13.342)</f>
        <v>13.342000000000001</v>
      </c>
      <c r="U654" s="3" t="e">
        <f ca="1"/>
        <v>#NAME?</v>
      </c>
    </row>
    <row r="655" spans="3:21" ht="12.5" x14ac:dyDescent="0.25">
      <c r="C655" s="4">
        <f ca="1">IFERROR(__xludf.DUMMYFUNCTION("""COMPUTED_VALUE"""),40938.9986111111)</f>
        <v>40938.998611111099</v>
      </c>
      <c r="D655" s="2">
        <f ca="1">IFERROR(__xludf.DUMMYFUNCTION("""COMPUTED_VALUE"""),49.663)</f>
        <v>49.662999999999997</v>
      </c>
      <c r="E655" s="2">
        <f ca="1">IFERROR(__xludf.DUMMYFUNCTION("""COMPUTED_VALUE"""),67.335)</f>
        <v>67.334999999999994</v>
      </c>
      <c r="F655" s="2">
        <f ca="1">IFERROR(__xludf.DUMMYFUNCTION("""COMPUTED_VALUE"""),77.626)</f>
        <v>77.626000000000005</v>
      </c>
      <c r="G655" s="2">
        <f ca="1">IFERROR(__xludf.DUMMYFUNCTION("""COMPUTED_VALUE"""),0.64192)</f>
        <v>0.64192000000000005</v>
      </c>
      <c r="H655" s="2">
        <f ca="1">IFERROR(__xludf.DUMMYFUNCTION("""COMPUTED_VALUE"""),53.536)</f>
        <v>53.536000000000001</v>
      </c>
      <c r="I655" s="2">
        <f ca="1">IFERROR(__xludf.DUMMYFUNCTION("""COMPUTED_VALUE"""),51.574)</f>
        <v>51.573999999999998</v>
      </c>
      <c r="J655" s="2">
        <f ca="1">IFERROR(__xludf.DUMMYFUNCTION("""COMPUTED_VALUE"""),41.247)</f>
        <v>41.247</v>
      </c>
      <c r="K655" s="2">
        <f ca="1">IFERROR(__xludf.DUMMYFUNCTION("""COMPUTED_VALUE"""),55.085)</f>
        <v>55.085000000000001</v>
      </c>
      <c r="L655" s="2">
        <f ca="1">IFERROR(__xludf.DUMMYFUNCTION("""COMPUTED_VALUE"""),9.8547)</f>
        <v>9.8546999999999993</v>
      </c>
      <c r="M655" s="2">
        <f ca="1">IFERROR(__xludf.DUMMYFUNCTION("""COMPUTED_VALUE"""),13.342)</f>
        <v>13.342000000000001</v>
      </c>
      <c r="U655" s="3" t="e">
        <f ca="1"/>
        <v>#NAME?</v>
      </c>
    </row>
    <row r="656" spans="3:21" ht="12.5" x14ac:dyDescent="0.25">
      <c r="C656" s="4">
        <f ca="1">IFERROR(__xludf.DUMMYFUNCTION("""COMPUTED_VALUE"""),40939.9986111111)</f>
        <v>40939.998611111099</v>
      </c>
      <c r="D656" s="2">
        <f ca="1">IFERROR(__xludf.DUMMYFUNCTION("""COMPUTED_VALUE"""),49.5)</f>
        <v>49.5</v>
      </c>
      <c r="E656" s="2">
        <f ca="1">IFERROR(__xludf.DUMMYFUNCTION("""COMPUTED_VALUE"""),67.333)</f>
        <v>67.332999999999998</v>
      </c>
      <c r="F656" s="2">
        <f ca="1">IFERROR(__xludf.DUMMYFUNCTION("""COMPUTED_VALUE"""),77.79)</f>
        <v>77.790000000000006</v>
      </c>
      <c r="G656" s="2">
        <f ca="1">IFERROR(__xludf.DUMMYFUNCTION("""COMPUTED_VALUE"""),0.63502)</f>
        <v>0.63502000000000003</v>
      </c>
      <c r="H656" s="2">
        <f ca="1">IFERROR(__xludf.DUMMYFUNCTION("""COMPUTED_VALUE"""),52.839)</f>
        <v>52.838999999999999</v>
      </c>
      <c r="I656" s="2">
        <f ca="1">IFERROR(__xludf.DUMMYFUNCTION("""COMPUTED_VALUE"""),51.515)</f>
        <v>51.515000000000001</v>
      </c>
      <c r="J656" s="2">
        <f ca="1">IFERROR(__xludf.DUMMYFUNCTION("""COMPUTED_VALUE"""),41.245)</f>
        <v>41.244999999999997</v>
      </c>
      <c r="K656" s="2">
        <f ca="1">IFERROR(__xludf.DUMMYFUNCTION("""COMPUTED_VALUE"""),55.059)</f>
        <v>55.058999999999997</v>
      </c>
      <c r="L656" s="2">
        <f ca="1">IFERROR(__xludf.DUMMYFUNCTION("""COMPUTED_VALUE"""),9.9205)</f>
        <v>9.9205000000000005</v>
      </c>
      <c r="M656" s="2">
        <f ca="1">IFERROR(__xludf.DUMMYFUNCTION("""COMPUTED_VALUE"""),13.342)</f>
        <v>13.342000000000001</v>
      </c>
      <c r="U656" s="3" t="e">
        <f ca="1"/>
        <v>#NAME?</v>
      </c>
    </row>
    <row r="657" spans="3:21" ht="12.5" x14ac:dyDescent="0.25">
      <c r="C657" s="4">
        <f ca="1">IFERROR(__xludf.DUMMYFUNCTION("""COMPUTED_VALUE"""),40940.9986111111)</f>
        <v>40940.998611111099</v>
      </c>
      <c r="D657" s="2">
        <f ca="1">IFERROR(__xludf.DUMMYFUNCTION("""COMPUTED_VALUE"""),49.01)</f>
        <v>49.01</v>
      </c>
      <c r="E657" s="2">
        <f ca="1">IFERROR(__xludf.DUMMYFUNCTION("""COMPUTED_VALUE"""),67.803)</f>
        <v>67.802999999999997</v>
      </c>
      <c r="F657" s="2">
        <f ca="1">IFERROR(__xludf.DUMMYFUNCTION("""COMPUTED_VALUE"""),78.024)</f>
        <v>78.024000000000001</v>
      </c>
      <c r="G657" s="2">
        <f ca="1">IFERROR(__xludf.DUMMYFUNCTION("""COMPUTED_VALUE"""),0.63608)</f>
        <v>0.63607999999999998</v>
      </c>
      <c r="H657" s="2">
        <f ca="1">IFERROR(__xludf.DUMMYFUNCTION("""COMPUTED_VALUE"""),53.483)</f>
        <v>53.482999999999997</v>
      </c>
      <c r="I657" s="2">
        <f ca="1">IFERROR(__xludf.DUMMYFUNCTION("""COMPUTED_VALUE"""),51.513)</f>
        <v>51.512999999999998</v>
      </c>
      <c r="J657" s="2">
        <f ca="1">IFERROR(__xludf.DUMMYFUNCTION("""COMPUTED_VALUE"""),41.299)</f>
        <v>41.298999999999999</v>
      </c>
      <c r="K657" s="2">
        <f ca="1">IFERROR(__xludf.DUMMYFUNCTION("""COMPUTED_VALUE"""),55.175)</f>
        <v>55.174999999999997</v>
      </c>
      <c r="L657" s="2">
        <f ca="1">IFERROR(__xludf.DUMMYFUNCTION("""COMPUTED_VALUE"""),9.8779)</f>
        <v>9.8779000000000003</v>
      </c>
      <c r="M657" s="2">
        <f ca="1">IFERROR(__xludf.DUMMYFUNCTION("""COMPUTED_VALUE"""),13.385)</f>
        <v>13.385</v>
      </c>
      <c r="U657" s="3" t="e">
        <f ca="1"/>
        <v>#NAME?</v>
      </c>
    </row>
    <row r="658" spans="3:21" ht="12.5" x14ac:dyDescent="0.25">
      <c r="C658" s="4">
        <f ca="1">IFERROR(__xludf.DUMMYFUNCTION("""COMPUTED_VALUE"""),40941.9986111111)</f>
        <v>40941.998611111099</v>
      </c>
      <c r="D658" s="2">
        <f ca="1">IFERROR(__xludf.DUMMYFUNCTION("""COMPUTED_VALUE"""),49)</f>
        <v>49</v>
      </c>
      <c r="E658" s="2">
        <f ca="1">IFERROR(__xludf.DUMMYFUNCTION("""COMPUTED_VALUE"""),67.525)</f>
        <v>67.525000000000006</v>
      </c>
      <c r="F658" s="2">
        <f ca="1">IFERROR(__xludf.DUMMYFUNCTION("""COMPUTED_VALUE"""),77.581)</f>
        <v>77.581000000000003</v>
      </c>
      <c r="G658" s="2">
        <f ca="1">IFERROR(__xludf.DUMMYFUNCTION("""COMPUTED_VALUE"""),0.63762)</f>
        <v>0.63761999999999996</v>
      </c>
      <c r="H658" s="2">
        <f ca="1">IFERROR(__xludf.DUMMYFUNCTION("""COMPUTED_VALUE"""),53.492)</f>
        <v>53.491999999999997</v>
      </c>
      <c r="I658" s="2">
        <f ca="1">IFERROR(__xludf.DUMMYFUNCTION("""COMPUTED_VALUE"""),51.644)</f>
        <v>51.643999999999998</v>
      </c>
      <c r="J658" s="2">
        <f ca="1">IFERROR(__xludf.DUMMYFUNCTION("""COMPUTED_VALUE"""),41.191)</f>
        <v>41.191000000000003</v>
      </c>
      <c r="K658" s="2">
        <f ca="1">IFERROR(__xludf.DUMMYFUNCTION("""COMPUTED_VALUE"""),54.352)</f>
        <v>54.351999999999997</v>
      </c>
      <c r="L658" s="2">
        <f ca="1">IFERROR(__xludf.DUMMYFUNCTION("""COMPUTED_VALUE"""),9.8648)</f>
        <v>9.8648000000000007</v>
      </c>
      <c r="M658" s="2">
        <f ca="1">IFERROR(__xludf.DUMMYFUNCTION("""COMPUTED_VALUE"""),13.359)</f>
        <v>13.359</v>
      </c>
      <c r="U658" s="3" t="e">
        <f ca="1"/>
        <v>#NAME?</v>
      </c>
    </row>
    <row r="659" spans="3:21" ht="12.5" x14ac:dyDescent="0.25">
      <c r="C659" s="4">
        <f ca="1">IFERROR(__xludf.DUMMYFUNCTION("""COMPUTED_VALUE"""),40942.9986111111)</f>
        <v>40942.998611111099</v>
      </c>
      <c r="D659" s="2">
        <f ca="1">IFERROR(__xludf.DUMMYFUNCTION("""COMPUTED_VALUE"""),48.56)</f>
        <v>48.56</v>
      </c>
      <c r="E659" s="2">
        <f ca="1">IFERROR(__xludf.DUMMYFUNCTION("""COMPUTED_VALUE"""),67.841)</f>
        <v>67.840999999999994</v>
      </c>
      <c r="F659" s="2">
        <f ca="1">IFERROR(__xludf.DUMMYFUNCTION("""COMPUTED_VALUE"""),77.434)</f>
        <v>77.433999999999997</v>
      </c>
      <c r="G659" s="2">
        <f ca="1">IFERROR(__xludf.DUMMYFUNCTION("""COMPUTED_VALUE"""),0.63848)</f>
        <v>0.63848000000000005</v>
      </c>
      <c r="H659" s="2">
        <f ca="1">IFERROR(__xludf.DUMMYFUNCTION("""COMPUTED_VALUE"""),53.557)</f>
        <v>53.557000000000002</v>
      </c>
      <c r="I659" s="2">
        <f ca="1">IFERROR(__xludf.DUMMYFUNCTION("""COMPUTED_VALUE"""),51.966)</f>
        <v>51.966000000000001</v>
      </c>
      <c r="J659" s="2">
        <f ca="1">IFERROR(__xludf.DUMMYFUNCTION("""COMPUTED_VALUE"""),41.344)</f>
        <v>41.344000000000001</v>
      </c>
      <c r="K659" s="2">
        <f ca="1">IFERROR(__xludf.DUMMYFUNCTION("""COMPUTED_VALUE"""),54.18)</f>
        <v>54.18</v>
      </c>
      <c r="L659" s="2">
        <f ca="1">IFERROR(__xludf.DUMMYFUNCTION("""COMPUTED_VALUE"""),9.8223)</f>
        <v>9.8223000000000003</v>
      </c>
      <c r="M659" s="2">
        <f ca="1">IFERROR(__xludf.DUMMYFUNCTION("""COMPUTED_VALUE"""),13.341)</f>
        <v>13.340999999999999</v>
      </c>
      <c r="U659" s="3" t="e">
        <f ca="1"/>
        <v>#NAME?</v>
      </c>
    </row>
    <row r="660" spans="3:21" ht="12.5" x14ac:dyDescent="0.25">
      <c r="C660" s="4">
        <f ca="1">IFERROR(__xludf.DUMMYFUNCTION("""COMPUTED_VALUE"""),40943.9986111111)</f>
        <v>40943.998611111099</v>
      </c>
      <c r="D660" s="2">
        <f ca="1">IFERROR(__xludf.DUMMYFUNCTION("""COMPUTED_VALUE"""),48.653)</f>
        <v>48.652999999999999</v>
      </c>
      <c r="E660" s="2">
        <f ca="1">IFERROR(__xludf.DUMMYFUNCTION("""COMPUTED_VALUE"""),68.452)</f>
        <v>68.451999999999998</v>
      </c>
      <c r="F660" s="2">
        <f ca="1">IFERROR(__xludf.DUMMYFUNCTION("""COMPUTED_VALUE"""),76.822)</f>
        <v>76.822000000000003</v>
      </c>
      <c r="G660" s="2">
        <f ca="1">IFERROR(__xludf.DUMMYFUNCTION("""COMPUTED_VALUE"""),0.63844)</f>
        <v>0.63844000000000001</v>
      </c>
      <c r="H660" s="2">
        <f ca="1">IFERROR(__xludf.DUMMYFUNCTION("""COMPUTED_VALUE"""),53.863)</f>
        <v>53.863</v>
      </c>
      <c r="I660" s="2">
        <f ca="1">IFERROR(__xludf.DUMMYFUNCTION("""COMPUTED_VALUE"""),52.187)</f>
        <v>52.186999999999998</v>
      </c>
      <c r="J660" s="2">
        <f ca="1">IFERROR(__xludf.DUMMYFUNCTION("""COMPUTED_VALUE"""),41.639)</f>
        <v>41.639000000000003</v>
      </c>
      <c r="K660" s="2">
        <f ca="1">IFERROR(__xludf.DUMMYFUNCTION("""COMPUTED_VALUE"""),54.64)</f>
        <v>54.64</v>
      </c>
      <c r="L660" s="2">
        <f ca="1">IFERROR(__xludf.DUMMYFUNCTION("""COMPUTED_VALUE"""),9.8087)</f>
        <v>9.8087</v>
      </c>
      <c r="M660" s="2">
        <f ca="1">IFERROR(__xludf.DUMMYFUNCTION("""COMPUTED_VALUE"""),13.395)</f>
        <v>13.395</v>
      </c>
      <c r="U660" s="3" t="e">
        <f ca="1"/>
        <v>#NAME?</v>
      </c>
    </row>
    <row r="661" spans="3:21" ht="12.5" x14ac:dyDescent="0.25">
      <c r="C661" s="4">
        <f ca="1">IFERROR(__xludf.DUMMYFUNCTION("""COMPUTED_VALUE"""),40945.9986111111)</f>
        <v>40945.998611111099</v>
      </c>
      <c r="D661" s="2">
        <f ca="1">IFERROR(__xludf.DUMMYFUNCTION("""COMPUTED_VALUE"""),49.053)</f>
        <v>49.052999999999997</v>
      </c>
      <c r="E661" s="2">
        <f ca="1">IFERROR(__xludf.DUMMYFUNCTION("""COMPUTED_VALUE"""),68.756)</f>
        <v>68.756</v>
      </c>
      <c r="F661" s="2">
        <f ca="1">IFERROR(__xludf.DUMMYFUNCTION("""COMPUTED_VALUE"""),76.974)</f>
        <v>76.974000000000004</v>
      </c>
      <c r="G661" s="2">
        <f ca="1">IFERROR(__xludf.DUMMYFUNCTION("""COMPUTED_VALUE"""),0.64627)</f>
        <v>0.64627000000000001</v>
      </c>
      <c r="H661" s="2">
        <f ca="1">IFERROR(__xludf.DUMMYFUNCTION("""COMPUTED_VALUE"""),54.002)</f>
        <v>54.002000000000002</v>
      </c>
      <c r="I661" s="2">
        <f ca="1">IFERROR(__xludf.DUMMYFUNCTION("""COMPUTED_VALUE"""),52.343)</f>
        <v>52.343000000000004</v>
      </c>
      <c r="J661" s="2">
        <f ca="1">IFERROR(__xludf.DUMMYFUNCTION("""COMPUTED_VALUE"""),41.673)</f>
        <v>41.673000000000002</v>
      </c>
      <c r="K661" s="2">
        <f ca="1">IFERROR(__xludf.DUMMYFUNCTION("""COMPUTED_VALUE"""),53.904)</f>
        <v>53.904000000000003</v>
      </c>
      <c r="L661" s="2">
        <f ca="1">IFERROR(__xludf.DUMMYFUNCTION("""COMPUTED_VALUE"""),9.8086)</f>
        <v>9.8086000000000002</v>
      </c>
      <c r="M661" s="2">
        <f ca="1">IFERROR(__xludf.DUMMYFUNCTION("""COMPUTED_VALUE"""),13.482)</f>
        <v>13.481999999999999</v>
      </c>
      <c r="U661" s="3" t="e">
        <f ca="1"/>
        <v>#NAME?</v>
      </c>
    </row>
    <row r="662" spans="3:21" ht="12.5" x14ac:dyDescent="0.25">
      <c r="C662" s="4">
        <f ca="1">IFERROR(__xludf.DUMMYFUNCTION("""COMPUTED_VALUE"""),40946.9986111111)</f>
        <v>40946.998611111099</v>
      </c>
      <c r="D662" s="2">
        <f ca="1">IFERROR(__xludf.DUMMYFUNCTION("""COMPUTED_VALUE"""),49.168)</f>
        <v>49.167999999999999</v>
      </c>
      <c r="E662" s="2">
        <f ca="1">IFERROR(__xludf.DUMMYFUNCTION("""COMPUTED_VALUE"""),68.756)</f>
        <v>68.756</v>
      </c>
      <c r="F662" s="2">
        <f ca="1">IFERROR(__xludf.DUMMYFUNCTION("""COMPUTED_VALUE"""),77.477)</f>
        <v>77.477000000000004</v>
      </c>
      <c r="G662" s="2">
        <f ca="1">IFERROR(__xludf.DUMMYFUNCTION("""COMPUTED_VALUE"""),0.64683)</f>
        <v>0.64683000000000002</v>
      </c>
      <c r="H662" s="2">
        <f ca="1">IFERROR(__xludf.DUMMYFUNCTION("""COMPUTED_VALUE"""),54.002)</f>
        <v>54.002000000000002</v>
      </c>
      <c r="I662" s="2">
        <f ca="1">IFERROR(__xludf.DUMMYFUNCTION("""COMPUTED_VALUE"""),52.413)</f>
        <v>52.412999999999997</v>
      </c>
      <c r="J662" s="2">
        <f ca="1">IFERROR(__xludf.DUMMYFUNCTION("""COMPUTED_VALUE"""),41.673)</f>
        <v>41.673000000000002</v>
      </c>
      <c r="K662" s="2">
        <f ca="1">IFERROR(__xludf.DUMMYFUNCTION("""COMPUTED_VALUE"""),53.942)</f>
        <v>53.942</v>
      </c>
      <c r="L662" s="2">
        <f ca="1">IFERROR(__xludf.DUMMYFUNCTION("""COMPUTED_VALUE"""),9.8033)</f>
        <v>9.8033000000000001</v>
      </c>
      <c r="M662" s="2">
        <f ca="1">IFERROR(__xludf.DUMMYFUNCTION("""COMPUTED_VALUE"""),13.482)</f>
        <v>13.481999999999999</v>
      </c>
      <c r="U662" s="3" t="e">
        <f ca="1"/>
        <v>#NAME?</v>
      </c>
    </row>
    <row r="663" spans="3:21" ht="12.5" x14ac:dyDescent="0.25">
      <c r="C663" s="4">
        <f ca="1">IFERROR(__xludf.DUMMYFUNCTION("""COMPUTED_VALUE"""),40947.9986111111)</f>
        <v>40947.998611111099</v>
      </c>
      <c r="D663" s="2">
        <f ca="1">IFERROR(__xludf.DUMMYFUNCTION("""COMPUTED_VALUE"""),49.148)</f>
        <v>49.148000000000003</v>
      </c>
      <c r="E663" s="2">
        <f ca="1">IFERROR(__xludf.DUMMYFUNCTION("""COMPUTED_VALUE"""),68.757)</f>
        <v>68.757000000000005</v>
      </c>
      <c r="F663" s="2">
        <f ca="1">IFERROR(__xludf.DUMMYFUNCTION("""COMPUTED_VALUE"""),78.036)</f>
        <v>78.036000000000001</v>
      </c>
      <c r="G663" s="2">
        <f ca="1">IFERROR(__xludf.DUMMYFUNCTION("""COMPUTED_VALUE"""),0.64551)</f>
        <v>0.64551000000000003</v>
      </c>
      <c r="H663" s="2">
        <f ca="1">IFERROR(__xludf.DUMMYFUNCTION("""COMPUTED_VALUE"""),54.052)</f>
        <v>54.052</v>
      </c>
      <c r="I663" s="2">
        <f ca="1">IFERROR(__xludf.DUMMYFUNCTION("""COMPUTED_VALUE"""),52.413)</f>
        <v>52.412999999999997</v>
      </c>
      <c r="J663" s="2">
        <f ca="1">IFERROR(__xludf.DUMMYFUNCTION("""COMPUTED_VALUE"""),41.668)</f>
        <v>41.667999999999999</v>
      </c>
      <c r="K663" s="2">
        <f ca="1">IFERROR(__xludf.DUMMYFUNCTION("""COMPUTED_VALUE"""),53.776)</f>
        <v>53.776000000000003</v>
      </c>
      <c r="L663" s="2">
        <f ca="1">IFERROR(__xludf.DUMMYFUNCTION("""COMPUTED_VALUE"""),9.8159)</f>
        <v>9.8158999999999992</v>
      </c>
      <c r="M663" s="2">
        <f ca="1">IFERROR(__xludf.DUMMYFUNCTION("""COMPUTED_VALUE"""),13.482)</f>
        <v>13.481999999999999</v>
      </c>
      <c r="U663" s="3" t="e">
        <f ca="1"/>
        <v>#NAME?</v>
      </c>
    </row>
    <row r="664" spans="3:21" ht="12.5" x14ac:dyDescent="0.25">
      <c r="C664" s="4">
        <f ca="1">IFERROR(__xludf.DUMMYFUNCTION("""COMPUTED_VALUE"""),40948.9986111111)</f>
        <v>40948.998611111099</v>
      </c>
      <c r="D664" s="2">
        <f ca="1">IFERROR(__xludf.DUMMYFUNCTION("""COMPUTED_VALUE"""),49.488)</f>
        <v>49.488</v>
      </c>
      <c r="E664" s="2">
        <f ca="1">IFERROR(__xludf.DUMMYFUNCTION("""COMPUTED_VALUE"""),68.99)</f>
        <v>68.989999999999995</v>
      </c>
      <c r="F664" s="2">
        <f ca="1">IFERROR(__xludf.DUMMYFUNCTION("""COMPUTED_VALUE"""),77.645)</f>
        <v>77.644999999999996</v>
      </c>
      <c r="G664" s="2">
        <f ca="1">IFERROR(__xludf.DUMMYFUNCTION("""COMPUTED_VALUE"""),0.64583)</f>
        <v>0.64583000000000002</v>
      </c>
      <c r="H664" s="2">
        <f ca="1">IFERROR(__xludf.DUMMYFUNCTION("""COMPUTED_VALUE"""),54.123)</f>
        <v>54.122999999999998</v>
      </c>
      <c r="I664" s="2">
        <f ca="1">IFERROR(__xludf.DUMMYFUNCTION("""COMPUTED_VALUE"""),52.414)</f>
        <v>52.414000000000001</v>
      </c>
      <c r="J664" s="2">
        <f ca="1">IFERROR(__xludf.DUMMYFUNCTION("""COMPUTED_VALUE"""),42.032)</f>
        <v>42.031999999999996</v>
      </c>
      <c r="K664" s="2">
        <f ca="1">IFERROR(__xludf.DUMMYFUNCTION("""COMPUTED_VALUE"""),53.352)</f>
        <v>53.351999999999997</v>
      </c>
      <c r="L664" s="2">
        <f ca="1">IFERROR(__xludf.DUMMYFUNCTION("""COMPUTED_VALUE"""),9.8147)</f>
        <v>9.8147000000000002</v>
      </c>
      <c r="M664" s="2">
        <f ca="1">IFERROR(__xludf.DUMMYFUNCTION("""COMPUTED_VALUE"""),13.567)</f>
        <v>13.567</v>
      </c>
      <c r="U664" s="3" t="e">
        <f ca="1"/>
        <v>#NAME?</v>
      </c>
    </row>
    <row r="665" spans="3:21" ht="12.5" x14ac:dyDescent="0.25">
      <c r="C665" s="4">
        <f ca="1">IFERROR(__xludf.DUMMYFUNCTION("""COMPUTED_VALUE"""),40949.9986111111)</f>
        <v>40949.998611111099</v>
      </c>
      <c r="D665" s="2">
        <f ca="1">IFERROR(__xludf.DUMMYFUNCTION("""COMPUTED_VALUE"""),49.353)</f>
        <v>49.353000000000002</v>
      </c>
      <c r="E665" s="2">
        <f ca="1">IFERROR(__xludf.DUMMYFUNCTION("""COMPUTED_VALUE"""),69.46)</f>
        <v>69.459999999999994</v>
      </c>
      <c r="F665" s="2">
        <f ca="1">IFERROR(__xludf.DUMMYFUNCTION("""COMPUTED_VALUE"""),78.172)</f>
        <v>78.171999999999997</v>
      </c>
      <c r="G665" s="2">
        <f ca="1">IFERROR(__xludf.DUMMYFUNCTION("""COMPUTED_VALUE"""),0.65456)</f>
        <v>0.65456000000000003</v>
      </c>
      <c r="H665" s="2">
        <f ca="1">IFERROR(__xludf.DUMMYFUNCTION("""COMPUTED_VALUE"""),54.344)</f>
        <v>54.344000000000001</v>
      </c>
      <c r="I665" s="2">
        <f ca="1">IFERROR(__xludf.DUMMYFUNCTION("""COMPUTED_VALUE"""),52.925)</f>
        <v>52.924999999999997</v>
      </c>
      <c r="J665" s="2">
        <f ca="1">IFERROR(__xludf.DUMMYFUNCTION("""COMPUTED_VALUE"""),42.239)</f>
        <v>42.238999999999997</v>
      </c>
      <c r="K665" s="2">
        <f ca="1">IFERROR(__xludf.DUMMYFUNCTION("""COMPUTED_VALUE"""),53.566)</f>
        <v>53.566000000000003</v>
      </c>
      <c r="L665" s="2">
        <f ca="1">IFERROR(__xludf.DUMMYFUNCTION("""COMPUTED_VALUE"""),9.784)</f>
        <v>9.7840000000000007</v>
      </c>
      <c r="M665" s="2">
        <f ca="1">IFERROR(__xludf.DUMMYFUNCTION("""COMPUTED_VALUE"""),13.71)</f>
        <v>13.71</v>
      </c>
      <c r="U665" s="3" t="e">
        <f ca="1"/>
        <v>#NAME?</v>
      </c>
    </row>
    <row r="666" spans="3:21" ht="12.5" x14ac:dyDescent="0.25">
      <c r="C666" s="4">
        <f ca="1">IFERROR(__xludf.DUMMYFUNCTION("""COMPUTED_VALUE"""),40950.9986111111)</f>
        <v>40950.998611111099</v>
      </c>
      <c r="D666" s="2">
        <f ca="1">IFERROR(__xludf.DUMMYFUNCTION("""COMPUTED_VALUE"""),49.353)</f>
        <v>49.353000000000002</v>
      </c>
      <c r="E666" s="2">
        <f ca="1">IFERROR(__xludf.DUMMYFUNCTION("""COMPUTED_VALUE"""),69.377)</f>
        <v>69.376999999999995</v>
      </c>
      <c r="F666" s="2">
        <f ca="1">IFERROR(__xludf.DUMMYFUNCTION("""COMPUTED_VALUE"""),77.703)</f>
        <v>77.703000000000003</v>
      </c>
      <c r="G666" s="2">
        <f ca="1">IFERROR(__xludf.DUMMYFUNCTION("""COMPUTED_VALUE"""),0.65448)</f>
        <v>0.65447999999999995</v>
      </c>
      <c r="H666" s="2">
        <f ca="1">IFERROR(__xludf.DUMMYFUNCTION("""COMPUTED_VALUE"""),54.337)</f>
        <v>54.337000000000003</v>
      </c>
      <c r="I666" s="2">
        <f ca="1">IFERROR(__xludf.DUMMYFUNCTION("""COMPUTED_VALUE"""),53.302)</f>
        <v>53.302</v>
      </c>
      <c r="J666" s="2">
        <f ca="1">IFERROR(__xludf.DUMMYFUNCTION("""COMPUTED_VALUE"""),42.219)</f>
        <v>42.219000000000001</v>
      </c>
      <c r="K666" s="2">
        <f ca="1">IFERROR(__xludf.DUMMYFUNCTION("""COMPUTED_VALUE"""),53.965)</f>
        <v>53.965000000000003</v>
      </c>
      <c r="L666" s="2">
        <f ca="1">IFERROR(__xludf.DUMMYFUNCTION("""COMPUTED_VALUE"""),9.7957)</f>
        <v>9.7957000000000001</v>
      </c>
      <c r="M666" s="2">
        <f ca="1">IFERROR(__xludf.DUMMYFUNCTION("""COMPUTED_VALUE"""),13.689)</f>
        <v>13.689</v>
      </c>
      <c r="U666" s="3" t="e">
        <f ca="1"/>
        <v>#NAME?</v>
      </c>
    </row>
    <row r="667" spans="3:21" ht="12.5" x14ac:dyDescent="0.25">
      <c r="C667" s="4">
        <f ca="1">IFERROR(__xludf.DUMMYFUNCTION("""COMPUTED_VALUE"""),40951.9986111111)</f>
        <v>40951.998611111099</v>
      </c>
      <c r="D667" s="2">
        <f ca="1">IFERROR(__xludf.DUMMYFUNCTION("""COMPUTED_VALUE"""),49.353)</f>
        <v>49.353000000000002</v>
      </c>
      <c r="E667" s="2">
        <f ca="1">IFERROR(__xludf.DUMMYFUNCTION("""COMPUTED_VALUE"""),69.004)</f>
        <v>69.004000000000005</v>
      </c>
      <c r="F667" s="2">
        <f ca="1">IFERROR(__xludf.DUMMYFUNCTION("""COMPUTED_VALUE"""),77.701)</f>
        <v>77.700999999999993</v>
      </c>
      <c r="G667" s="2">
        <f ca="1">IFERROR(__xludf.DUMMYFUNCTION("""COMPUTED_VALUE"""),0.65968)</f>
        <v>0.65968000000000004</v>
      </c>
      <c r="H667" s="2">
        <f ca="1">IFERROR(__xludf.DUMMYFUNCTION("""COMPUTED_VALUE"""),54.249)</f>
        <v>54.249000000000002</v>
      </c>
      <c r="I667" s="2">
        <f ca="1">IFERROR(__xludf.DUMMYFUNCTION("""COMPUTED_VALUE"""),53.367)</f>
        <v>53.366999999999997</v>
      </c>
      <c r="J667" s="2">
        <f ca="1">IFERROR(__xludf.DUMMYFUNCTION("""COMPUTED_VALUE"""),42.145)</f>
        <v>42.145000000000003</v>
      </c>
      <c r="K667" s="2">
        <f ca="1">IFERROR(__xludf.DUMMYFUNCTION("""COMPUTED_VALUE"""),53.744)</f>
        <v>53.744</v>
      </c>
      <c r="L667" s="2">
        <f ca="1">IFERROR(__xludf.DUMMYFUNCTION("""COMPUTED_VALUE"""),9.7698)</f>
        <v>9.7698</v>
      </c>
      <c r="M667" s="2">
        <f ca="1">IFERROR(__xludf.DUMMYFUNCTION("""COMPUTED_VALUE"""),13.633)</f>
        <v>13.632999999999999</v>
      </c>
      <c r="U667" s="3" t="e">
        <f ca="1"/>
        <v>#NAME?</v>
      </c>
    </row>
    <row r="668" spans="3:21" ht="12.5" x14ac:dyDescent="0.25">
      <c r="C668" s="4">
        <f ca="1">IFERROR(__xludf.DUMMYFUNCTION("""COMPUTED_VALUE"""),40952.9986111111)</f>
        <v>40952.998611111099</v>
      </c>
      <c r="D668" s="2">
        <f ca="1">IFERROR(__xludf.DUMMYFUNCTION("""COMPUTED_VALUE"""),49.188)</f>
        <v>49.188000000000002</v>
      </c>
      <c r="E668" s="2">
        <f ca="1">IFERROR(__xludf.DUMMYFUNCTION("""COMPUTED_VALUE"""),69.562)</f>
        <v>69.561999999999998</v>
      </c>
      <c r="F668" s="2">
        <f ca="1">IFERROR(__xludf.DUMMYFUNCTION("""COMPUTED_VALUE"""),77.739)</f>
        <v>77.739000000000004</v>
      </c>
      <c r="G668" s="2">
        <f ca="1">IFERROR(__xludf.DUMMYFUNCTION("""COMPUTED_VALUE"""),0.6554)</f>
        <v>0.65539999999999998</v>
      </c>
      <c r="H668" s="2">
        <f ca="1">IFERROR(__xludf.DUMMYFUNCTION("""COMPUTED_VALUE"""),54.953)</f>
        <v>54.953000000000003</v>
      </c>
      <c r="I668" s="2">
        <f ca="1">IFERROR(__xludf.DUMMYFUNCTION("""COMPUTED_VALUE"""),53.076)</f>
        <v>53.076000000000001</v>
      </c>
      <c r="J668" s="2">
        <f ca="1">IFERROR(__xludf.DUMMYFUNCTION("""COMPUTED_VALUE"""),42.415)</f>
        <v>42.414999999999999</v>
      </c>
      <c r="K668" s="2">
        <f ca="1">IFERROR(__xludf.DUMMYFUNCTION("""COMPUTED_VALUE"""),53.664)</f>
        <v>53.664000000000001</v>
      </c>
      <c r="L668" s="2">
        <f ca="1">IFERROR(__xludf.DUMMYFUNCTION("""COMPUTED_VALUE"""),9.7517)</f>
        <v>9.7516999999999996</v>
      </c>
      <c r="M668" s="2">
        <f ca="1">IFERROR(__xludf.DUMMYFUNCTION("""COMPUTED_VALUE"""),13.546)</f>
        <v>13.545999999999999</v>
      </c>
      <c r="U668" s="3" t="e">
        <f ca="1"/>
        <v>#NAME?</v>
      </c>
    </row>
    <row r="669" spans="3:21" ht="12.5" x14ac:dyDescent="0.25">
      <c r="C669" s="4">
        <f ca="1">IFERROR(__xludf.DUMMYFUNCTION("""COMPUTED_VALUE"""),40953.9986111111)</f>
        <v>40953.998611111099</v>
      </c>
      <c r="D669" s="2">
        <f ca="1">IFERROR(__xludf.DUMMYFUNCTION("""COMPUTED_VALUE"""),49.358)</f>
        <v>49.357999999999997</v>
      </c>
      <c r="E669" s="2">
        <f ca="1">IFERROR(__xludf.DUMMYFUNCTION("""COMPUTED_VALUE"""),69.562)</f>
        <v>69.561999999999998</v>
      </c>
      <c r="F669" s="2">
        <f ca="1">IFERROR(__xludf.DUMMYFUNCTION("""COMPUTED_VALUE"""),77.252)</f>
        <v>77.251999999999995</v>
      </c>
      <c r="G669" s="2">
        <f ca="1">IFERROR(__xludf.DUMMYFUNCTION("""COMPUTED_VALUE"""),0.66027)</f>
        <v>0.66027000000000002</v>
      </c>
      <c r="H669" s="2">
        <f ca="1">IFERROR(__xludf.DUMMYFUNCTION("""COMPUTED_VALUE"""),54.953)</f>
        <v>54.953000000000003</v>
      </c>
      <c r="I669" s="2">
        <f ca="1">IFERROR(__xludf.DUMMYFUNCTION("""COMPUTED_VALUE"""),53.526)</f>
        <v>53.526000000000003</v>
      </c>
      <c r="J669" s="2">
        <f ca="1">IFERROR(__xludf.DUMMYFUNCTION("""COMPUTED_VALUE"""),42.415)</f>
        <v>42.414999999999999</v>
      </c>
      <c r="K669" s="2">
        <f ca="1">IFERROR(__xludf.DUMMYFUNCTION("""COMPUTED_VALUE"""),53.765)</f>
        <v>53.765000000000001</v>
      </c>
      <c r="L669" s="2">
        <f ca="1">IFERROR(__xludf.DUMMYFUNCTION("""COMPUTED_VALUE"""),9.7689)</f>
        <v>9.7689000000000004</v>
      </c>
      <c r="M669" s="2">
        <f ca="1">IFERROR(__xludf.DUMMYFUNCTION("""COMPUTED_VALUE"""),13.546)</f>
        <v>13.545999999999999</v>
      </c>
      <c r="U669" s="3" t="e">
        <f ca="1"/>
        <v>#NAME?</v>
      </c>
    </row>
    <row r="670" spans="3:21" ht="12.5" x14ac:dyDescent="0.25">
      <c r="C670" s="4">
        <f ca="1">IFERROR(__xludf.DUMMYFUNCTION("""COMPUTED_VALUE"""),40954.9986111111)</f>
        <v>40954.998611111099</v>
      </c>
      <c r="D670" s="2">
        <f ca="1">IFERROR(__xludf.DUMMYFUNCTION("""COMPUTED_VALUE"""),49.283)</f>
        <v>49.283000000000001</v>
      </c>
      <c r="E670" s="2">
        <f ca="1">IFERROR(__xludf.DUMMYFUNCTION("""COMPUTED_VALUE"""),69.563)</f>
        <v>69.563000000000002</v>
      </c>
      <c r="F670" s="2">
        <f ca="1">IFERROR(__xludf.DUMMYFUNCTION("""COMPUTED_VALUE"""),77.381)</f>
        <v>77.381</v>
      </c>
      <c r="G670" s="2">
        <f ca="1">IFERROR(__xludf.DUMMYFUNCTION("""COMPUTED_VALUE"""),0.66497)</f>
        <v>0.66496999999999995</v>
      </c>
      <c r="H670" s="2">
        <f ca="1">IFERROR(__xludf.DUMMYFUNCTION("""COMPUTED_VALUE"""),54.956)</f>
        <v>54.956000000000003</v>
      </c>
      <c r="I670" s="2">
        <f ca="1">IFERROR(__xludf.DUMMYFUNCTION("""COMPUTED_VALUE"""),53.526)</f>
        <v>53.526000000000003</v>
      </c>
      <c r="J670" s="2">
        <f ca="1">IFERROR(__xludf.DUMMYFUNCTION("""COMPUTED_VALUE"""),42.416)</f>
        <v>42.415999999999997</v>
      </c>
      <c r="K670" s="2">
        <f ca="1">IFERROR(__xludf.DUMMYFUNCTION("""COMPUTED_VALUE"""),53.841)</f>
        <v>53.841000000000001</v>
      </c>
      <c r="L670" s="2">
        <f ca="1">IFERROR(__xludf.DUMMYFUNCTION("""COMPUTED_VALUE"""),9.7525)</f>
        <v>9.7524999999999995</v>
      </c>
      <c r="M670" s="2">
        <f ca="1">IFERROR(__xludf.DUMMYFUNCTION("""COMPUTED_VALUE"""),13.546)</f>
        <v>13.545999999999999</v>
      </c>
      <c r="U670" s="3" t="e">
        <f ca="1"/>
        <v>#NAME?</v>
      </c>
    </row>
    <row r="671" spans="3:21" ht="12.5" x14ac:dyDescent="0.25">
      <c r="C671" s="4">
        <f ca="1">IFERROR(__xludf.DUMMYFUNCTION("""COMPUTED_VALUE"""),40955.9986111111)</f>
        <v>40955.998611111099</v>
      </c>
      <c r="D671" s="2">
        <f ca="1">IFERROR(__xludf.DUMMYFUNCTION("""COMPUTED_VALUE"""),49.283)</f>
        <v>49.283000000000001</v>
      </c>
      <c r="E671" s="2">
        <f ca="1">IFERROR(__xludf.DUMMYFUNCTION("""COMPUTED_VALUE"""),69.647)</f>
        <v>69.647000000000006</v>
      </c>
      <c r="F671" s="2">
        <f ca="1">IFERROR(__xludf.DUMMYFUNCTION("""COMPUTED_VALUE"""),77.251)</f>
        <v>77.251000000000005</v>
      </c>
      <c r="G671" s="2">
        <f ca="1">IFERROR(__xludf.DUMMYFUNCTION("""COMPUTED_VALUE"""),0.6694)</f>
        <v>0.6694</v>
      </c>
      <c r="H671" s="2">
        <f ca="1">IFERROR(__xludf.DUMMYFUNCTION("""COMPUTED_VALUE"""),54.869)</f>
        <v>54.869</v>
      </c>
      <c r="I671" s="2">
        <f ca="1">IFERROR(__xludf.DUMMYFUNCTION("""COMPUTED_VALUE"""),53.527)</f>
        <v>53.527000000000001</v>
      </c>
      <c r="J671" s="2">
        <f ca="1">IFERROR(__xludf.DUMMYFUNCTION("""COMPUTED_VALUE"""),42.521)</f>
        <v>42.521000000000001</v>
      </c>
      <c r="K671" s="2">
        <f ca="1">IFERROR(__xludf.DUMMYFUNCTION("""COMPUTED_VALUE"""),54.252)</f>
        <v>54.252000000000002</v>
      </c>
      <c r="L671" s="2">
        <f ca="1">IFERROR(__xludf.DUMMYFUNCTION("""COMPUTED_VALUE"""),9.747)</f>
        <v>9.7469999999999999</v>
      </c>
      <c r="M671" s="2">
        <f ca="1">IFERROR(__xludf.DUMMYFUNCTION("""COMPUTED_VALUE"""),13.604)</f>
        <v>13.603999999999999</v>
      </c>
      <c r="U671" s="3" t="e">
        <f ca="1"/>
        <v>#NAME?</v>
      </c>
    </row>
    <row r="672" spans="3:21" ht="12.5" x14ac:dyDescent="0.25">
      <c r="C672" s="4">
        <f ca="1">IFERROR(__xludf.DUMMYFUNCTION("""COMPUTED_VALUE"""),40956.9986111111)</f>
        <v>40956.998611111099</v>
      </c>
      <c r="D672" s="2">
        <f ca="1">IFERROR(__xludf.DUMMYFUNCTION("""COMPUTED_VALUE"""),49.318)</f>
        <v>49.317999999999998</v>
      </c>
      <c r="E672" s="2">
        <f ca="1">IFERROR(__xludf.DUMMYFUNCTION("""COMPUTED_VALUE"""),69.476)</f>
        <v>69.475999999999999</v>
      </c>
      <c r="F672" s="2">
        <f ca="1">IFERROR(__xludf.DUMMYFUNCTION("""COMPUTED_VALUE"""),77.798)</f>
        <v>77.798000000000002</v>
      </c>
      <c r="G672" s="2">
        <f ca="1">IFERROR(__xludf.DUMMYFUNCTION("""COMPUTED_VALUE"""),0.66407)</f>
        <v>0.66407000000000005</v>
      </c>
      <c r="H672" s="2">
        <f ca="1">IFERROR(__xludf.DUMMYFUNCTION("""COMPUTED_VALUE"""),54.357)</f>
        <v>54.356999999999999</v>
      </c>
      <c r="I672" s="2">
        <f ca="1">IFERROR(__xludf.DUMMYFUNCTION("""COMPUTED_VALUE"""),53.335)</f>
        <v>53.335000000000001</v>
      </c>
      <c r="J672" s="2">
        <f ca="1">IFERROR(__xludf.DUMMYFUNCTION("""COMPUTED_VALUE"""),42.503)</f>
        <v>42.503</v>
      </c>
      <c r="K672" s="2">
        <f ca="1">IFERROR(__xludf.DUMMYFUNCTION("""COMPUTED_VALUE"""),53.62)</f>
        <v>53.62</v>
      </c>
      <c r="L672" s="2">
        <f ca="1">IFERROR(__xludf.DUMMYFUNCTION("""COMPUTED_VALUE"""),9.7716)</f>
        <v>9.7715999999999994</v>
      </c>
      <c r="M672" s="2">
        <f ca="1">IFERROR(__xludf.DUMMYFUNCTION("""COMPUTED_VALUE"""),13.567)</f>
        <v>13.567</v>
      </c>
      <c r="U672" s="3" t="e">
        <f ca="1"/>
        <v>#NAME?</v>
      </c>
    </row>
    <row r="673" spans="3:21" ht="12.5" x14ac:dyDescent="0.25">
      <c r="C673" s="4">
        <f ca="1">IFERROR(__xludf.DUMMYFUNCTION("""COMPUTED_VALUE"""),40957.9986111111)</f>
        <v>40957.998611111099</v>
      </c>
      <c r="D673" s="2">
        <f ca="1">IFERROR(__xludf.DUMMYFUNCTION("""COMPUTED_VALUE"""),49.318)</f>
        <v>49.317999999999998</v>
      </c>
      <c r="E673" s="2">
        <f ca="1">IFERROR(__xludf.DUMMYFUNCTION("""COMPUTED_VALUE"""),69.588)</f>
        <v>69.587999999999994</v>
      </c>
      <c r="F673" s="2">
        <f ca="1">IFERROR(__xludf.DUMMYFUNCTION("""COMPUTED_VALUE"""),77.993)</f>
        <v>77.992999999999995</v>
      </c>
      <c r="G673" s="2">
        <f ca="1">IFERROR(__xludf.DUMMYFUNCTION("""COMPUTED_VALUE"""),0.6694)</f>
        <v>0.6694</v>
      </c>
      <c r="H673" s="2">
        <f ca="1">IFERROR(__xludf.DUMMYFUNCTION("""COMPUTED_VALUE"""),54.564)</f>
        <v>54.564</v>
      </c>
      <c r="I673" s="2">
        <f ca="1">IFERROR(__xludf.DUMMYFUNCTION("""COMPUTED_VALUE"""),53.337)</f>
        <v>53.337000000000003</v>
      </c>
      <c r="J673" s="2">
        <f ca="1">IFERROR(__xludf.DUMMYFUNCTION("""COMPUTED_VALUE"""),42.668)</f>
        <v>42.667999999999999</v>
      </c>
      <c r="K673" s="2">
        <f ca="1">IFERROR(__xludf.DUMMYFUNCTION("""COMPUTED_VALUE"""),53.95)</f>
        <v>53.95</v>
      </c>
      <c r="L673" s="2">
        <f ca="1">IFERROR(__xludf.DUMMYFUNCTION("""COMPUTED_VALUE"""),9.7602)</f>
        <v>9.7601999999999993</v>
      </c>
      <c r="M673" s="2">
        <f ca="1">IFERROR(__xludf.DUMMYFUNCTION("""COMPUTED_VALUE"""),13.588)</f>
        <v>13.587999999999999</v>
      </c>
      <c r="U673" s="3" t="e">
        <f ca="1"/>
        <v>#NAME?</v>
      </c>
    </row>
    <row r="674" spans="3:21" ht="12.5" x14ac:dyDescent="0.25">
      <c r="C674" s="4">
        <f ca="1">IFERROR(__xludf.DUMMYFUNCTION("""COMPUTED_VALUE"""),40958.9986111111)</f>
        <v>40958.998611111099</v>
      </c>
      <c r="D674" s="2">
        <f ca="1">IFERROR(__xludf.DUMMYFUNCTION("""COMPUTED_VALUE"""),49.318)</f>
        <v>49.317999999999998</v>
      </c>
      <c r="E674" s="2">
        <f ca="1">IFERROR(__xludf.DUMMYFUNCTION("""COMPUTED_VALUE"""),70.158)</f>
        <v>70.158000000000001</v>
      </c>
      <c r="F674" s="2">
        <f ca="1">IFERROR(__xludf.DUMMYFUNCTION("""COMPUTED_VALUE"""),77.946)</f>
        <v>77.945999999999998</v>
      </c>
      <c r="G674" s="2">
        <f ca="1">IFERROR(__xludf.DUMMYFUNCTION("""COMPUTED_VALUE"""),0.66144)</f>
        <v>0.66144000000000003</v>
      </c>
      <c r="H674" s="2">
        <f ca="1">IFERROR(__xludf.DUMMYFUNCTION("""COMPUTED_VALUE"""),54.738)</f>
        <v>54.738</v>
      </c>
      <c r="I674" s="2">
        <f ca="1">IFERROR(__xludf.DUMMYFUNCTION("""COMPUTED_VALUE"""),53.612)</f>
        <v>53.612000000000002</v>
      </c>
      <c r="J674" s="2">
        <f ca="1">IFERROR(__xludf.DUMMYFUNCTION("""COMPUTED_VALUE"""),42.898)</f>
        <v>42.898000000000003</v>
      </c>
      <c r="K674" s="2">
        <f ca="1">IFERROR(__xludf.DUMMYFUNCTION("""COMPUTED_VALUE"""),54.11)</f>
        <v>54.11</v>
      </c>
      <c r="L674" s="2">
        <f ca="1">IFERROR(__xludf.DUMMYFUNCTION("""COMPUTED_VALUE"""),9.714)</f>
        <v>9.7140000000000004</v>
      </c>
      <c r="M674" s="2">
        <f ca="1">IFERROR(__xludf.DUMMYFUNCTION("""COMPUTED_VALUE"""),13.716)</f>
        <v>13.715999999999999</v>
      </c>
      <c r="U674" s="3" t="e">
        <f ca="1"/>
        <v>#NAME?</v>
      </c>
    </row>
    <row r="675" spans="3:21" ht="12.5" x14ac:dyDescent="0.25">
      <c r="C675" s="4">
        <f ca="1">IFERROR(__xludf.DUMMYFUNCTION("""COMPUTED_VALUE"""),40959.9986111111)</f>
        <v>40959.998611111099</v>
      </c>
      <c r="D675" s="2">
        <f ca="1">IFERROR(__xludf.DUMMYFUNCTION("""COMPUTED_VALUE"""),49.148)</f>
        <v>49.148000000000003</v>
      </c>
      <c r="E675" s="2">
        <f ca="1">IFERROR(__xludf.DUMMYFUNCTION("""COMPUTED_VALUE"""),69.958)</f>
        <v>69.957999999999998</v>
      </c>
      <c r="F675" s="2">
        <f ca="1">IFERROR(__xludf.DUMMYFUNCTION("""COMPUTED_VALUE"""),78.069)</f>
        <v>78.069000000000003</v>
      </c>
      <c r="G675" s="2">
        <f ca="1">IFERROR(__xludf.DUMMYFUNCTION("""COMPUTED_VALUE"""),0.66428)</f>
        <v>0.66427999999999998</v>
      </c>
      <c r="H675" s="2">
        <f ca="1">IFERROR(__xludf.DUMMYFUNCTION("""COMPUTED_VALUE"""),54.398)</f>
        <v>54.398000000000003</v>
      </c>
      <c r="I675" s="2">
        <f ca="1">IFERROR(__xludf.DUMMYFUNCTION("""COMPUTED_VALUE"""),53.968)</f>
        <v>53.968000000000004</v>
      </c>
      <c r="J675" s="2">
        <f ca="1">IFERROR(__xludf.DUMMYFUNCTION("""COMPUTED_VALUE"""),42.963)</f>
        <v>42.963000000000001</v>
      </c>
      <c r="K675" s="2">
        <f ca="1">IFERROR(__xludf.DUMMYFUNCTION("""COMPUTED_VALUE"""),54)</f>
        <v>54</v>
      </c>
      <c r="L675" s="2">
        <f ca="1">IFERROR(__xludf.DUMMYFUNCTION("""COMPUTED_VALUE"""),9.7305)</f>
        <v>9.7304999999999993</v>
      </c>
      <c r="M675" s="2">
        <f ca="1">IFERROR(__xludf.DUMMYFUNCTION("""COMPUTED_VALUE"""),13.649)</f>
        <v>13.648999999999999</v>
      </c>
      <c r="U675" s="3" t="e">
        <f ca="1"/>
        <v>#NAME?</v>
      </c>
    </row>
    <row r="676" spans="3:21" ht="12.5" x14ac:dyDescent="0.25">
      <c r="C676" s="4">
        <f ca="1">IFERROR(__xludf.DUMMYFUNCTION("""COMPUTED_VALUE"""),40960.9986111111)</f>
        <v>40960.998611111099</v>
      </c>
      <c r="D676" s="2">
        <f ca="1">IFERROR(__xludf.DUMMYFUNCTION("""COMPUTED_VALUE"""),49.303)</f>
        <v>49.302999999999997</v>
      </c>
      <c r="E676" s="2">
        <f ca="1">IFERROR(__xludf.DUMMYFUNCTION("""COMPUTED_VALUE"""),69.3454)</f>
        <v>69.345399999999998</v>
      </c>
      <c r="F676" s="2">
        <f ca="1">IFERROR(__xludf.DUMMYFUNCTION("""COMPUTED_VALUE"""),77.689)</f>
        <v>77.688999999999993</v>
      </c>
      <c r="G676" s="2">
        <f ca="1">IFERROR(__xludf.DUMMYFUNCTION("""COMPUTED_VALUE"""),0.67509)</f>
        <v>0.67508999999999997</v>
      </c>
      <c r="H676" s="2">
        <f ca="1">IFERROR(__xludf.DUMMYFUNCTION("""COMPUTED_VALUE"""),53.946)</f>
        <v>53.945999999999998</v>
      </c>
      <c r="I676" s="2">
        <f ca="1">IFERROR(__xludf.DUMMYFUNCTION("""COMPUTED_VALUE"""),53.688)</f>
        <v>53.688000000000002</v>
      </c>
      <c r="J676" s="2">
        <f ca="1">IFERROR(__xludf.DUMMYFUNCTION("""COMPUTED_VALUE"""),42.585)</f>
        <v>42.585000000000001</v>
      </c>
      <c r="K676" s="2">
        <f ca="1">IFERROR(__xludf.DUMMYFUNCTION("""COMPUTED_VALUE"""),53.792)</f>
        <v>53.792000000000002</v>
      </c>
      <c r="L676" s="2">
        <f ca="1">IFERROR(__xludf.DUMMYFUNCTION("""COMPUTED_VALUE"""),9.787)</f>
        <v>9.7870000000000008</v>
      </c>
      <c r="M676" s="2">
        <f ca="1">IFERROR(__xludf.DUMMYFUNCTION("""COMPUTED_VALUE"""),13.649)</f>
        <v>13.648999999999999</v>
      </c>
      <c r="U676" s="3" t="e">
        <f ca="1"/>
        <v>#NAME?</v>
      </c>
    </row>
    <row r="677" spans="3:21" ht="12.5" x14ac:dyDescent="0.25">
      <c r="C677" s="4">
        <f ca="1">IFERROR(__xludf.DUMMYFUNCTION("""COMPUTED_VALUE"""),40961.9986111111)</f>
        <v>40961.998611111099</v>
      </c>
      <c r="D677" s="2">
        <f ca="1">IFERROR(__xludf.DUMMYFUNCTION("""COMPUTED_VALUE"""),49.218)</f>
        <v>49.218000000000004</v>
      </c>
      <c r="E677" s="2">
        <f ca="1">IFERROR(__xludf.DUMMYFUNCTION("""COMPUTED_VALUE"""),69.955)</f>
        <v>69.954999999999998</v>
      </c>
      <c r="F677" s="2">
        <f ca="1">IFERROR(__xludf.DUMMYFUNCTION("""COMPUTED_VALUE"""),77.752)</f>
        <v>77.751999999999995</v>
      </c>
      <c r="G677" s="2">
        <f ca="1">IFERROR(__xludf.DUMMYFUNCTION("""COMPUTED_VALUE"""),0.66604)</f>
        <v>0.66603999999999997</v>
      </c>
      <c r="H677" s="2">
        <f ca="1">IFERROR(__xludf.DUMMYFUNCTION("""COMPUTED_VALUE"""),54.398)</f>
        <v>54.398000000000003</v>
      </c>
      <c r="I677" s="2">
        <f ca="1">IFERROR(__xludf.DUMMYFUNCTION("""COMPUTED_VALUE"""),53.261)</f>
        <v>53.261000000000003</v>
      </c>
      <c r="J677" s="2">
        <f ca="1">IFERROR(__xludf.DUMMYFUNCTION("""COMPUTED_VALUE"""),42.96)</f>
        <v>42.96</v>
      </c>
      <c r="K677" s="2">
        <f ca="1">IFERROR(__xludf.DUMMYFUNCTION("""COMPUTED_VALUE"""),53.51)</f>
        <v>53.51</v>
      </c>
      <c r="L677" s="2">
        <f ca="1">IFERROR(__xludf.DUMMYFUNCTION("""COMPUTED_VALUE"""),9.7855)</f>
        <v>9.7855000000000008</v>
      </c>
      <c r="M677" s="2">
        <f ca="1">IFERROR(__xludf.DUMMYFUNCTION("""COMPUTED_VALUE"""),13.649)</f>
        <v>13.648999999999999</v>
      </c>
      <c r="U677" s="3" t="e">
        <f ca="1"/>
        <v>#NAME?</v>
      </c>
    </row>
    <row r="678" spans="3:21" ht="12.5" x14ac:dyDescent="0.25">
      <c r="C678" s="4">
        <f ca="1">IFERROR(__xludf.DUMMYFUNCTION("""COMPUTED_VALUE"""),40962.9986111111)</f>
        <v>40962.998611111099</v>
      </c>
      <c r="D678" s="2">
        <f ca="1">IFERROR(__xludf.DUMMYFUNCTION("""COMPUTED_VALUE"""),49.093)</f>
        <v>49.093000000000004</v>
      </c>
      <c r="E678" s="2">
        <f ca="1">IFERROR(__xludf.DUMMYFUNCTION("""COMPUTED_VALUE"""),69.005)</f>
        <v>69.004999999999995</v>
      </c>
      <c r="F678" s="2">
        <f ca="1">IFERROR(__xludf.DUMMYFUNCTION("""COMPUTED_VALUE"""),77.013)</f>
        <v>77.013000000000005</v>
      </c>
      <c r="G678" s="2">
        <f ca="1">IFERROR(__xludf.DUMMYFUNCTION("""COMPUTED_VALUE"""),0.67081)</f>
        <v>0.67081000000000002</v>
      </c>
      <c r="H678" s="2">
        <f ca="1">IFERROR(__xludf.DUMMYFUNCTION("""COMPUTED_VALUE"""),53.98)</f>
        <v>53.98</v>
      </c>
      <c r="I678" s="2">
        <f ca="1">IFERROR(__xludf.DUMMYFUNCTION("""COMPUTED_VALUE"""),53.723)</f>
        <v>53.722999999999999</v>
      </c>
      <c r="J678" s="2">
        <f ca="1">IFERROR(__xludf.DUMMYFUNCTION("""COMPUTED_VALUE"""),42.431)</f>
        <v>42.430999999999997</v>
      </c>
      <c r="K678" s="2">
        <f ca="1">IFERROR(__xludf.DUMMYFUNCTION("""COMPUTED_VALUE"""),53.426)</f>
        <v>53.426000000000002</v>
      </c>
      <c r="L678" s="2">
        <f ca="1">IFERROR(__xludf.DUMMYFUNCTION("""COMPUTED_VALUE"""),9.7771)</f>
        <v>9.7771000000000008</v>
      </c>
      <c r="M678" s="2">
        <f ca="1">IFERROR(__xludf.DUMMYFUNCTION("""COMPUTED_VALUE"""),13.675)</f>
        <v>13.675000000000001</v>
      </c>
      <c r="U678" s="3" t="e">
        <f ca="1"/>
        <v>#NAME?</v>
      </c>
    </row>
    <row r="679" spans="3:21" ht="12.5" x14ac:dyDescent="0.25">
      <c r="C679" s="4">
        <f ca="1">IFERROR(__xludf.DUMMYFUNCTION("""COMPUTED_VALUE"""),40963.9986111111)</f>
        <v>40963.998611111099</v>
      </c>
      <c r="D679" s="2">
        <f ca="1">IFERROR(__xludf.DUMMYFUNCTION("""COMPUTED_VALUE"""),49.008)</f>
        <v>49.008000000000003</v>
      </c>
      <c r="E679" s="2">
        <f ca="1">IFERROR(__xludf.DUMMYFUNCTION("""COMPUTED_VALUE"""),68.937)</f>
        <v>68.936999999999998</v>
      </c>
      <c r="F679" s="2">
        <f ca="1">IFERROR(__xludf.DUMMYFUNCTION("""COMPUTED_VALUE"""),77.225)</f>
        <v>77.224999999999994</v>
      </c>
      <c r="G679" s="2">
        <f ca="1">IFERROR(__xludf.DUMMYFUNCTION("""COMPUTED_VALUE"""),0.67098)</f>
        <v>0.67098000000000002</v>
      </c>
      <c r="H679" s="2">
        <f ca="1">IFERROR(__xludf.DUMMYFUNCTION("""COMPUTED_VALUE"""),53.567)</f>
        <v>53.567</v>
      </c>
      <c r="I679" s="2">
        <f ca="1">IFERROR(__xludf.DUMMYFUNCTION("""COMPUTED_VALUE"""),53.228)</f>
        <v>53.228000000000002</v>
      </c>
      <c r="J679" s="2">
        <f ca="1">IFERROR(__xludf.DUMMYFUNCTION("""COMPUTED_VALUE"""),42.514)</f>
        <v>42.514000000000003</v>
      </c>
      <c r="K679" s="2">
        <f ca="1">IFERROR(__xludf.DUMMYFUNCTION("""COMPUTED_VALUE"""),52.865)</f>
        <v>52.865000000000002</v>
      </c>
      <c r="L679" s="2">
        <f ca="1">IFERROR(__xludf.DUMMYFUNCTION("""COMPUTED_VALUE"""),9.8052)</f>
        <v>9.8051999999999992</v>
      </c>
      <c r="M679" s="2">
        <f ca="1">IFERROR(__xludf.DUMMYFUNCTION("""COMPUTED_VALUE"""),13.718)</f>
        <v>13.718</v>
      </c>
      <c r="U679" s="3" t="e">
        <f ca="1"/>
        <v>#NAME?</v>
      </c>
    </row>
    <row r="680" spans="3:21" ht="12.5" x14ac:dyDescent="0.25">
      <c r="C680" s="4">
        <f ca="1">IFERROR(__xludf.DUMMYFUNCTION("""COMPUTED_VALUE"""),40964.9986111111)</f>
        <v>40964.998611111099</v>
      </c>
      <c r="D680" s="2">
        <f ca="1">IFERROR(__xludf.DUMMYFUNCTION("""COMPUTED_VALUE"""),49.008)</f>
        <v>49.008000000000003</v>
      </c>
      <c r="E680" s="2">
        <f ca="1">IFERROR(__xludf.DUMMYFUNCTION("""COMPUTED_VALUE"""),69.545)</f>
        <v>69.545000000000002</v>
      </c>
      <c r="F680" s="2">
        <f ca="1">IFERROR(__xludf.DUMMYFUNCTION("""COMPUTED_VALUE"""),77.808)</f>
        <v>77.808000000000007</v>
      </c>
      <c r="G680" s="2">
        <f ca="1">IFERROR(__xludf.DUMMYFUNCTION("""COMPUTED_VALUE"""),0.67027)</f>
        <v>0.67027000000000003</v>
      </c>
      <c r="H680" s="2">
        <f ca="1">IFERROR(__xludf.DUMMYFUNCTION("""COMPUTED_VALUE"""),54.023)</f>
        <v>54.023000000000003</v>
      </c>
      <c r="I680" s="2">
        <f ca="1">IFERROR(__xludf.DUMMYFUNCTION("""COMPUTED_VALUE"""),53.097)</f>
        <v>53.097000000000001</v>
      </c>
      <c r="J680" s="2">
        <f ca="1">IFERROR(__xludf.DUMMYFUNCTION("""COMPUTED_VALUE"""),42.901)</f>
        <v>42.901000000000003</v>
      </c>
      <c r="K680" s="2">
        <f ca="1">IFERROR(__xludf.DUMMYFUNCTION("""COMPUTED_VALUE"""),52.948)</f>
        <v>52.948</v>
      </c>
      <c r="L680" s="2">
        <f ca="1">IFERROR(__xludf.DUMMYFUNCTION("""COMPUTED_VALUE"""),9.6603)</f>
        <v>9.6602999999999994</v>
      </c>
      <c r="M680" s="2">
        <f ca="1">IFERROR(__xludf.DUMMYFUNCTION("""COMPUTED_VALUE"""),13.784)</f>
        <v>13.784000000000001</v>
      </c>
      <c r="U680" s="3" t="e">
        <f ca="1"/>
        <v>#NAME?</v>
      </c>
    </row>
    <row r="681" spans="3:21" ht="12.5" x14ac:dyDescent="0.25">
      <c r="C681" s="4">
        <f ca="1">IFERROR(__xludf.DUMMYFUNCTION("""COMPUTED_VALUE"""),40966.9986111111)</f>
        <v>40966.998611111099</v>
      </c>
      <c r="D681" s="2">
        <f ca="1">IFERROR(__xludf.DUMMYFUNCTION("""COMPUTED_VALUE"""),49.163)</f>
        <v>49.162999999999997</v>
      </c>
      <c r="E681" s="2">
        <f ca="1">IFERROR(__xludf.DUMMYFUNCTION("""COMPUTED_VALUE"""),68.823)</f>
        <v>68.822999999999993</v>
      </c>
      <c r="F681" s="2">
        <f ca="1">IFERROR(__xludf.DUMMYFUNCTION("""COMPUTED_VALUE"""),77.852)</f>
        <v>77.852000000000004</v>
      </c>
      <c r="G681" s="2">
        <f ca="1">IFERROR(__xludf.DUMMYFUNCTION("""COMPUTED_VALUE"""),0.67489)</f>
        <v>0.67488999999999999</v>
      </c>
      <c r="H681" s="2">
        <f ca="1">IFERROR(__xludf.DUMMYFUNCTION("""COMPUTED_VALUE"""),53.531)</f>
        <v>53.530999999999999</v>
      </c>
      <c r="I681" s="2">
        <f ca="1">IFERROR(__xludf.DUMMYFUNCTION("""COMPUTED_VALUE"""),53.637)</f>
        <v>53.637</v>
      </c>
      <c r="J681" s="2">
        <f ca="1">IFERROR(__xludf.DUMMYFUNCTION("""COMPUTED_VALUE"""),42.502)</f>
        <v>42.502000000000002</v>
      </c>
      <c r="K681" s="2">
        <f ca="1">IFERROR(__xludf.DUMMYFUNCTION("""COMPUTED_VALUE"""),53.287)</f>
        <v>53.286999999999999</v>
      </c>
      <c r="L681" s="2">
        <f ca="1">IFERROR(__xludf.DUMMYFUNCTION("""COMPUTED_VALUE"""),9.8032)</f>
        <v>9.8032000000000004</v>
      </c>
      <c r="M681" s="2">
        <f ca="1">IFERROR(__xludf.DUMMYFUNCTION("""COMPUTED_VALUE"""),13.918)</f>
        <v>13.917999999999999</v>
      </c>
      <c r="U681" s="3" t="e">
        <f ca="1"/>
        <v>#NAME?</v>
      </c>
    </row>
    <row r="682" spans="3:21" ht="12.5" x14ac:dyDescent="0.25">
      <c r="C682" s="4">
        <f ca="1">IFERROR(__xludf.DUMMYFUNCTION("""COMPUTED_VALUE"""),40967.9986111111)</f>
        <v>40967.998611111099</v>
      </c>
      <c r="D682" s="2">
        <f ca="1">IFERROR(__xludf.DUMMYFUNCTION("""COMPUTED_VALUE"""),49.068)</f>
        <v>49.067999999999998</v>
      </c>
      <c r="E682" s="2">
        <f ca="1">IFERROR(__xludf.DUMMYFUNCTION("""COMPUTED_VALUE"""),69.282)</f>
        <v>69.281999999999996</v>
      </c>
      <c r="F682" s="2">
        <f ca="1">IFERROR(__xludf.DUMMYFUNCTION("""COMPUTED_VALUE"""),77.749)</f>
        <v>77.748999999999995</v>
      </c>
      <c r="G682" s="2">
        <f ca="1">IFERROR(__xludf.DUMMYFUNCTION("""COMPUTED_VALUE"""),0.66967)</f>
        <v>0.66966999999999999</v>
      </c>
      <c r="H682" s="2">
        <f ca="1">IFERROR(__xludf.DUMMYFUNCTION("""COMPUTED_VALUE"""),53.675)</f>
        <v>53.674999999999997</v>
      </c>
      <c r="I682" s="2">
        <f ca="1">IFERROR(__xludf.DUMMYFUNCTION("""COMPUTED_VALUE"""),53.047)</f>
        <v>53.046999999999997</v>
      </c>
      <c r="J682" s="2">
        <f ca="1">IFERROR(__xludf.DUMMYFUNCTION("""COMPUTED_VALUE"""),42.808)</f>
        <v>42.808</v>
      </c>
      <c r="K682" s="2">
        <f ca="1">IFERROR(__xludf.DUMMYFUNCTION("""COMPUTED_VALUE"""),53.834)</f>
        <v>53.834000000000003</v>
      </c>
      <c r="L682" s="2">
        <f ca="1">IFERROR(__xludf.DUMMYFUNCTION("""COMPUTED_VALUE"""),9.8461)</f>
        <v>9.8460999999999999</v>
      </c>
      <c r="M682" s="2">
        <f ca="1">IFERROR(__xludf.DUMMYFUNCTION("""COMPUTED_VALUE"""),13.931)</f>
        <v>13.930999999999999</v>
      </c>
      <c r="U682" s="3" t="e">
        <f ca="1"/>
        <v>#NAME?</v>
      </c>
    </row>
    <row r="683" spans="3:21" ht="12.5" x14ac:dyDescent="0.25">
      <c r="C683" s="4">
        <f ca="1">IFERROR(__xludf.DUMMYFUNCTION("""COMPUTED_VALUE"""),40968.9986111111)</f>
        <v>40968.998611111099</v>
      </c>
      <c r="D683" s="2">
        <f ca="1">IFERROR(__xludf.DUMMYFUNCTION("""COMPUTED_VALUE"""),49.003)</f>
        <v>49.003</v>
      </c>
      <c r="E683" s="2">
        <f ca="1">IFERROR(__xludf.DUMMYFUNCTION("""COMPUTED_VALUE"""),69.266)</f>
        <v>69.266000000000005</v>
      </c>
      <c r="F683" s="2">
        <f ca="1">IFERROR(__xludf.DUMMYFUNCTION("""COMPUTED_VALUE"""),77.982)</f>
        <v>77.981999999999999</v>
      </c>
      <c r="G683" s="2">
        <f ca="1">IFERROR(__xludf.DUMMYFUNCTION("""COMPUTED_VALUE"""),0.67711)</f>
        <v>0.67710999999999999</v>
      </c>
      <c r="H683" s="2">
        <f ca="1">IFERROR(__xludf.DUMMYFUNCTION("""COMPUTED_VALUE"""),53.676)</f>
        <v>53.676000000000002</v>
      </c>
      <c r="I683" s="2">
        <f ca="1">IFERROR(__xludf.DUMMYFUNCTION("""COMPUTED_VALUE"""),53.58)</f>
        <v>53.58</v>
      </c>
      <c r="J683" s="2">
        <f ca="1">IFERROR(__xludf.DUMMYFUNCTION("""COMPUTED_VALUE"""),42.763)</f>
        <v>42.762999999999998</v>
      </c>
      <c r="K683" s="2">
        <f ca="1">IFERROR(__xludf.DUMMYFUNCTION("""COMPUTED_VALUE"""),53.772)</f>
        <v>53.771999999999998</v>
      </c>
      <c r="L683" s="2">
        <f ca="1">IFERROR(__xludf.DUMMYFUNCTION("""COMPUTED_VALUE"""),9.8459)</f>
        <v>9.8459000000000003</v>
      </c>
      <c r="M683" s="2">
        <f ca="1">IFERROR(__xludf.DUMMYFUNCTION("""COMPUTED_VALUE"""),13.931)</f>
        <v>13.930999999999999</v>
      </c>
      <c r="U683" s="3" t="e">
        <f ca="1"/>
        <v>#NAME?</v>
      </c>
    </row>
    <row r="684" spans="3:21" ht="12.5" x14ac:dyDescent="0.25">
      <c r="C684" s="4">
        <f ca="1">IFERROR(__xludf.DUMMYFUNCTION("""COMPUTED_VALUE"""),40969.9986111111)</f>
        <v>40969.998611111099</v>
      </c>
      <c r="D684" s="2">
        <f ca="1">IFERROR(__xludf.DUMMYFUNCTION("""COMPUTED_VALUE"""),49.198)</f>
        <v>49.198</v>
      </c>
      <c r="E684" s="2">
        <f ca="1">IFERROR(__xludf.DUMMYFUNCTION("""COMPUTED_VALUE"""),69.085)</f>
        <v>69.084999999999994</v>
      </c>
      <c r="F684" s="2">
        <f ca="1">IFERROR(__xludf.DUMMYFUNCTION("""COMPUTED_VALUE"""),77.932)</f>
        <v>77.932000000000002</v>
      </c>
      <c r="G684" s="2">
        <f ca="1">IFERROR(__xludf.DUMMYFUNCTION("""COMPUTED_VALUE"""),0.6856)</f>
        <v>0.68559999999999999</v>
      </c>
      <c r="H684" s="2">
        <f ca="1">IFERROR(__xludf.DUMMYFUNCTION("""COMPUTED_VALUE"""),53.642)</f>
        <v>53.642000000000003</v>
      </c>
      <c r="I684" s="2">
        <f ca="1">IFERROR(__xludf.DUMMYFUNCTION("""COMPUTED_VALUE"""),53.531)</f>
        <v>53.530999999999999</v>
      </c>
      <c r="J684" s="2">
        <f ca="1">IFERROR(__xludf.DUMMYFUNCTION("""COMPUTED_VALUE"""),42.756)</f>
        <v>42.756</v>
      </c>
      <c r="K684" s="2">
        <f ca="1">IFERROR(__xludf.DUMMYFUNCTION("""COMPUTED_VALUE"""),54.213)</f>
        <v>54.213000000000001</v>
      </c>
      <c r="L684" s="2">
        <f ca="1">IFERROR(__xludf.DUMMYFUNCTION("""COMPUTED_VALUE"""),9.8448)</f>
        <v>9.8447999999999993</v>
      </c>
      <c r="M684" s="2">
        <f ca="1">IFERROR(__xludf.DUMMYFUNCTION("""COMPUTED_VALUE"""),13.931)</f>
        <v>13.930999999999999</v>
      </c>
      <c r="U684" s="3" t="e">
        <f ca="1"/>
        <v>#NAME?</v>
      </c>
    </row>
    <row r="685" spans="3:21" ht="12.5" x14ac:dyDescent="0.25">
      <c r="C685" s="4">
        <f ca="1">IFERROR(__xludf.DUMMYFUNCTION("""COMPUTED_VALUE"""),40970.9986111111)</f>
        <v>40970.998611111099</v>
      </c>
      <c r="D685" s="2">
        <f ca="1">IFERROR(__xludf.DUMMYFUNCTION("""COMPUTED_VALUE"""),49.518)</f>
        <v>49.518000000000001</v>
      </c>
      <c r="E685" s="2">
        <f ca="1">IFERROR(__xludf.DUMMYFUNCTION("""COMPUTED_VALUE"""),69.163)</f>
        <v>69.162999999999997</v>
      </c>
      <c r="F685" s="2">
        <f ca="1">IFERROR(__xludf.DUMMYFUNCTION("""COMPUTED_VALUE"""),78.496)</f>
        <v>78.495999999999995</v>
      </c>
      <c r="G685" s="2">
        <f ca="1">IFERROR(__xludf.DUMMYFUNCTION("""COMPUTED_VALUE"""),0.68826)</f>
        <v>0.68825999999999998</v>
      </c>
      <c r="H685" s="2">
        <f ca="1">IFERROR(__xludf.DUMMYFUNCTION("""COMPUTED_VALUE"""),53.745)</f>
        <v>53.744999999999997</v>
      </c>
      <c r="I685" s="2">
        <f ca="1">IFERROR(__xludf.DUMMYFUNCTION("""COMPUTED_VALUE"""),53.486)</f>
        <v>53.485999999999997</v>
      </c>
      <c r="J685" s="2">
        <f ca="1">IFERROR(__xludf.DUMMYFUNCTION("""COMPUTED_VALUE"""),42.855)</f>
        <v>42.854999999999997</v>
      </c>
      <c r="K685" s="2">
        <f ca="1">IFERROR(__xludf.DUMMYFUNCTION("""COMPUTED_VALUE"""),53.846)</f>
        <v>53.845999999999997</v>
      </c>
      <c r="L685" s="2">
        <f ca="1">IFERROR(__xludf.DUMMYFUNCTION("""COMPUTED_VALUE"""),9.84)</f>
        <v>9.84</v>
      </c>
      <c r="M685" s="2">
        <f ca="1">IFERROR(__xludf.DUMMYFUNCTION("""COMPUTED_VALUE"""),13.891)</f>
        <v>13.891</v>
      </c>
      <c r="U685" s="3" t="e">
        <f ca="1"/>
        <v>#NAME?</v>
      </c>
    </row>
    <row r="686" spans="3:21" ht="12.5" x14ac:dyDescent="0.25">
      <c r="C686" s="4">
        <f ca="1">IFERROR(__xludf.DUMMYFUNCTION("""COMPUTED_VALUE"""),40971.9986111111)</f>
        <v>40971.998611111099</v>
      </c>
      <c r="D686" s="2">
        <f ca="1">IFERROR(__xludf.DUMMYFUNCTION("""COMPUTED_VALUE"""),49.518)</f>
        <v>49.518000000000001</v>
      </c>
      <c r="E686" s="2">
        <f ca="1">IFERROR(__xludf.DUMMYFUNCTION("""COMPUTED_VALUE"""),68.433)</f>
        <v>68.433000000000007</v>
      </c>
      <c r="F686" s="2">
        <f ca="1">IFERROR(__xludf.DUMMYFUNCTION("""COMPUTED_VALUE"""),78.325)</f>
        <v>78.325000000000003</v>
      </c>
      <c r="G686" s="2">
        <f ca="1">IFERROR(__xludf.DUMMYFUNCTION("""COMPUTED_VALUE"""),0.68829)</f>
        <v>0.68828999999999996</v>
      </c>
      <c r="H686" s="2">
        <f ca="1">IFERROR(__xludf.DUMMYFUNCTION("""COMPUTED_VALUE"""),53.416)</f>
        <v>53.415999999999997</v>
      </c>
      <c r="I686" s="2">
        <f ca="1">IFERROR(__xludf.DUMMYFUNCTION("""COMPUTED_VALUE"""),53.756)</f>
        <v>53.756</v>
      </c>
      <c r="J686" s="2">
        <f ca="1">IFERROR(__xludf.DUMMYFUNCTION("""COMPUTED_VALUE"""),42.591)</f>
        <v>42.591000000000001</v>
      </c>
      <c r="K686" s="2">
        <f ca="1">IFERROR(__xludf.DUMMYFUNCTION("""COMPUTED_VALUE"""),53.799)</f>
        <v>53.798999999999999</v>
      </c>
      <c r="L686" s="2">
        <f ca="1">IFERROR(__xludf.DUMMYFUNCTION("""COMPUTED_VALUE"""),9.8007)</f>
        <v>9.8007000000000009</v>
      </c>
      <c r="M686" s="2">
        <f ca="1">IFERROR(__xludf.DUMMYFUNCTION("""COMPUTED_VALUE"""),13.797)</f>
        <v>13.797000000000001</v>
      </c>
      <c r="U686" s="3" t="e">
        <f ca="1"/>
        <v>#NAME?</v>
      </c>
    </row>
    <row r="687" spans="3:21" ht="12.5" x14ac:dyDescent="0.25">
      <c r="C687" s="4">
        <f ca="1">IFERROR(__xludf.DUMMYFUNCTION("""COMPUTED_VALUE"""),40972.9986111111)</f>
        <v>40972.998611111099</v>
      </c>
      <c r="D687" s="2">
        <f ca="1">IFERROR(__xludf.DUMMYFUNCTION("""COMPUTED_VALUE"""),49.518)</f>
        <v>49.518000000000001</v>
      </c>
      <c r="E687" s="2">
        <f ca="1">IFERROR(__xludf.DUMMYFUNCTION("""COMPUTED_VALUE"""),69.249)</f>
        <v>69.248999999999995</v>
      </c>
      <c r="F687" s="2">
        <f ca="1">IFERROR(__xludf.DUMMYFUNCTION("""COMPUTED_VALUE"""),78.4)</f>
        <v>78.400000000000006</v>
      </c>
      <c r="G687" s="2">
        <f ca="1">IFERROR(__xludf.DUMMYFUNCTION("""COMPUTED_VALUE"""),0.69298)</f>
        <v>0.69298000000000004</v>
      </c>
      <c r="H687" s="2">
        <f ca="1">IFERROR(__xludf.DUMMYFUNCTION("""COMPUTED_VALUE"""),54.008)</f>
        <v>54.008000000000003</v>
      </c>
      <c r="I687" s="2">
        <f ca="1">IFERROR(__xludf.DUMMYFUNCTION("""COMPUTED_VALUE"""),53.38)</f>
        <v>53.38</v>
      </c>
      <c r="J687" s="2">
        <f ca="1">IFERROR(__xludf.DUMMYFUNCTION("""COMPUTED_VALUE"""),42.95)</f>
        <v>42.95</v>
      </c>
      <c r="K687" s="2">
        <f ca="1">IFERROR(__xludf.DUMMYFUNCTION("""COMPUTED_VALUE"""),53.802)</f>
        <v>53.802</v>
      </c>
      <c r="L687" s="2">
        <f ca="1">IFERROR(__xludf.DUMMYFUNCTION("""COMPUTED_VALUE"""),9.6806)</f>
        <v>9.6806000000000001</v>
      </c>
      <c r="M687" s="2">
        <f ca="1">IFERROR(__xludf.DUMMYFUNCTION("""COMPUTED_VALUE"""),13.823)</f>
        <v>13.823</v>
      </c>
      <c r="U687" s="3" t="e">
        <f ca="1"/>
        <v>#NAME?</v>
      </c>
    </row>
    <row r="688" spans="3:21" ht="12.5" x14ac:dyDescent="0.25">
      <c r="C688" s="4">
        <f ca="1">IFERROR(__xludf.DUMMYFUNCTION("""COMPUTED_VALUE"""),40973.9986111111)</f>
        <v>40973.998611111099</v>
      </c>
      <c r="D688" s="2">
        <f ca="1">IFERROR(__xludf.DUMMYFUNCTION("""COMPUTED_VALUE"""),49.833)</f>
        <v>49.832999999999998</v>
      </c>
      <c r="E688" s="2">
        <f ca="1">IFERROR(__xludf.DUMMYFUNCTION("""COMPUTED_VALUE"""),69.057)</f>
        <v>69.057000000000002</v>
      </c>
      <c r="F688" s="2">
        <f ca="1">IFERROR(__xludf.DUMMYFUNCTION("""COMPUTED_VALUE"""),78.397)</f>
        <v>78.397000000000006</v>
      </c>
      <c r="G688" s="2">
        <f ca="1">IFERROR(__xludf.DUMMYFUNCTION("""COMPUTED_VALUE"""),0.69192)</f>
        <v>0.69191999999999998</v>
      </c>
      <c r="H688" s="2">
        <f ca="1">IFERROR(__xludf.DUMMYFUNCTION("""COMPUTED_VALUE"""),53.789)</f>
        <v>53.789000000000001</v>
      </c>
      <c r="I688" s="2">
        <f ca="1">IFERROR(__xludf.DUMMYFUNCTION("""COMPUTED_VALUE"""),53.771)</f>
        <v>53.771000000000001</v>
      </c>
      <c r="J688" s="2">
        <f ca="1">IFERROR(__xludf.DUMMYFUNCTION("""COMPUTED_VALUE"""),42.769)</f>
        <v>42.768999999999998</v>
      </c>
      <c r="K688" s="2">
        <f ca="1">IFERROR(__xludf.DUMMYFUNCTION("""COMPUTED_VALUE"""),53.482)</f>
        <v>53.481999999999999</v>
      </c>
      <c r="L688" s="2">
        <f ca="1">IFERROR(__xludf.DUMMYFUNCTION("""COMPUTED_VALUE"""),9.8021)</f>
        <v>9.8020999999999994</v>
      </c>
      <c r="M688" s="2">
        <f ca="1">IFERROR(__xludf.DUMMYFUNCTION("""COMPUTED_VALUE"""),13.993)</f>
        <v>13.993</v>
      </c>
      <c r="U688" s="3" t="e">
        <f ca="1"/>
        <v>#NAME?</v>
      </c>
    </row>
    <row r="689" spans="3:21" ht="12.5" x14ac:dyDescent="0.25">
      <c r="C689" s="4">
        <f ca="1">IFERROR(__xludf.DUMMYFUNCTION("""COMPUTED_VALUE"""),40974.9986111111)</f>
        <v>40974.998611111099</v>
      </c>
      <c r="D689" s="2">
        <f ca="1">IFERROR(__xludf.DUMMYFUNCTION("""COMPUTED_VALUE"""),50.358)</f>
        <v>50.357999999999997</v>
      </c>
      <c r="E689" s="2">
        <f ca="1">IFERROR(__xludf.DUMMYFUNCTION("""COMPUTED_VALUE"""),69.464)</f>
        <v>69.463999999999999</v>
      </c>
      <c r="F689" s="2">
        <f ca="1">IFERROR(__xludf.DUMMYFUNCTION("""COMPUTED_VALUE"""),79.01)</f>
        <v>79.010000000000005</v>
      </c>
      <c r="G689" s="2">
        <f ca="1">IFERROR(__xludf.DUMMYFUNCTION("""COMPUTED_VALUE"""),0.70353)</f>
        <v>0.70352999999999999</v>
      </c>
      <c r="H689" s="2">
        <f ca="1">IFERROR(__xludf.DUMMYFUNCTION("""COMPUTED_VALUE"""),53.529)</f>
        <v>53.529000000000003</v>
      </c>
      <c r="I689" s="2">
        <f ca="1">IFERROR(__xludf.DUMMYFUNCTION("""COMPUTED_VALUE"""),53.384)</f>
        <v>53.384</v>
      </c>
      <c r="J689" s="2">
        <f ca="1">IFERROR(__xludf.DUMMYFUNCTION("""COMPUTED_VALUE"""),42.657)</f>
        <v>42.656999999999996</v>
      </c>
      <c r="K689" s="2">
        <f ca="1">IFERROR(__xludf.DUMMYFUNCTION("""COMPUTED_VALUE"""),53.625)</f>
        <v>53.625</v>
      </c>
      <c r="L689" s="2">
        <f ca="1">IFERROR(__xludf.DUMMYFUNCTION("""COMPUTED_VALUE"""),9.7752)</f>
        <v>9.7751999999999999</v>
      </c>
      <c r="M689" s="2">
        <f ca="1">IFERROR(__xludf.DUMMYFUNCTION("""COMPUTED_VALUE"""),13.849)</f>
        <v>13.849</v>
      </c>
      <c r="U689" s="3" t="e">
        <f ca="1"/>
        <v>#NAME?</v>
      </c>
    </row>
    <row r="690" spans="3:21" ht="12.5" x14ac:dyDescent="0.25">
      <c r="C690" s="4">
        <f ca="1">IFERROR(__xludf.DUMMYFUNCTION("""COMPUTED_VALUE"""),40975.9986111111)</f>
        <v>40975.998611111099</v>
      </c>
      <c r="D690" s="2">
        <f ca="1">IFERROR(__xludf.DUMMYFUNCTION("""COMPUTED_VALUE"""),50.278)</f>
        <v>50.277999999999999</v>
      </c>
      <c r="E690" s="2">
        <f ca="1">IFERROR(__xludf.DUMMYFUNCTION("""COMPUTED_VALUE"""),69.5)</f>
        <v>69.5</v>
      </c>
      <c r="F690" s="2">
        <f ca="1">IFERROR(__xludf.DUMMYFUNCTION("""COMPUTED_VALUE"""),79.061)</f>
        <v>79.061000000000007</v>
      </c>
      <c r="G690" s="2">
        <f ca="1">IFERROR(__xludf.DUMMYFUNCTION("""COMPUTED_VALUE"""),0.69879)</f>
        <v>0.69879000000000002</v>
      </c>
      <c r="H690" s="2">
        <f ca="1">IFERROR(__xludf.DUMMYFUNCTION("""COMPUTED_VALUE"""),53.515)</f>
        <v>53.515000000000001</v>
      </c>
      <c r="I690" s="2">
        <f ca="1">IFERROR(__xludf.DUMMYFUNCTION("""COMPUTED_VALUE"""),53.182)</f>
        <v>53.182000000000002</v>
      </c>
      <c r="J690" s="2">
        <f ca="1">IFERROR(__xludf.DUMMYFUNCTION("""COMPUTED_VALUE"""),42.638)</f>
        <v>42.637999999999998</v>
      </c>
      <c r="K690" s="2">
        <f ca="1">IFERROR(__xludf.DUMMYFUNCTION("""COMPUTED_VALUE"""),53.269)</f>
        <v>53.268999999999998</v>
      </c>
      <c r="L690" s="2">
        <f ca="1">IFERROR(__xludf.DUMMYFUNCTION("""COMPUTED_VALUE"""),9.8021)</f>
        <v>9.8020999999999994</v>
      </c>
      <c r="M690" s="2">
        <f ca="1">IFERROR(__xludf.DUMMYFUNCTION("""COMPUTED_VALUE"""),13.849)</f>
        <v>13.849</v>
      </c>
      <c r="U690" s="3" t="e">
        <f ca="1"/>
        <v>#NAME?</v>
      </c>
    </row>
    <row r="691" spans="3:21" ht="12.5" x14ac:dyDescent="0.25">
      <c r="C691" s="4">
        <f ca="1">IFERROR(__xludf.DUMMYFUNCTION("""COMPUTED_VALUE"""),40976.9986111111)</f>
        <v>40976.998611111099</v>
      </c>
      <c r="D691" s="2">
        <f ca="1">IFERROR(__xludf.DUMMYFUNCTION("""COMPUTED_VALUE"""),50.073)</f>
        <v>50.073</v>
      </c>
      <c r="E691" s="2">
        <f ca="1">IFERROR(__xludf.DUMMYFUNCTION("""COMPUTED_VALUE"""),70.434)</f>
        <v>70.433999999999997</v>
      </c>
      <c r="F691" s="2">
        <f ca="1">IFERROR(__xludf.DUMMYFUNCTION("""COMPUTED_VALUE"""),79.027)</f>
        <v>79.027000000000001</v>
      </c>
      <c r="G691" s="2">
        <f ca="1">IFERROR(__xludf.DUMMYFUNCTION("""COMPUTED_VALUE"""),0.69481)</f>
        <v>0.69481000000000004</v>
      </c>
      <c r="H691" s="2">
        <f ca="1">IFERROR(__xludf.DUMMYFUNCTION("""COMPUTED_VALUE"""),53.515)</f>
        <v>53.515000000000001</v>
      </c>
      <c r="I691" s="2">
        <f ca="1">IFERROR(__xludf.DUMMYFUNCTION("""COMPUTED_VALUE"""),53.185)</f>
        <v>53.185000000000002</v>
      </c>
      <c r="J691" s="2">
        <f ca="1">IFERROR(__xludf.DUMMYFUNCTION("""COMPUTED_VALUE"""),43.319)</f>
        <v>43.319000000000003</v>
      </c>
      <c r="K691" s="2">
        <f ca="1">IFERROR(__xludf.DUMMYFUNCTION("""COMPUTED_VALUE"""),53.544)</f>
        <v>53.543999999999997</v>
      </c>
      <c r="L691" s="2">
        <f ca="1">IFERROR(__xludf.DUMMYFUNCTION("""COMPUTED_VALUE"""),9.7967)</f>
        <v>9.7966999999999995</v>
      </c>
      <c r="M691" s="2">
        <f ca="1">IFERROR(__xludf.DUMMYFUNCTION("""COMPUTED_VALUE"""),13.849)</f>
        <v>13.849</v>
      </c>
      <c r="U691" s="3" t="e">
        <f ca="1"/>
        <v>#NAME?</v>
      </c>
    </row>
    <row r="692" spans="3:21" ht="12.5" x14ac:dyDescent="0.25">
      <c r="C692" s="4">
        <f ca="1">IFERROR(__xludf.DUMMYFUNCTION("""COMPUTED_VALUE"""),40977.9986111111)</f>
        <v>40977.998611111099</v>
      </c>
      <c r="D692" s="2">
        <f ca="1">IFERROR(__xludf.DUMMYFUNCTION("""COMPUTED_VALUE"""),49.753)</f>
        <v>49.753</v>
      </c>
      <c r="E692" s="2">
        <f ca="1">IFERROR(__xludf.DUMMYFUNCTION("""COMPUTED_VALUE"""),70.13)</f>
        <v>70.13</v>
      </c>
      <c r="F692" s="2">
        <f ca="1">IFERROR(__xludf.DUMMYFUNCTION("""COMPUTED_VALUE"""),79.154)</f>
        <v>79.153999999999996</v>
      </c>
      <c r="G692" s="2">
        <f ca="1">IFERROR(__xludf.DUMMYFUNCTION("""COMPUTED_VALUE"""),0.69484)</f>
        <v>0.69484000000000001</v>
      </c>
      <c r="H692" s="2">
        <f ca="1">IFERROR(__xludf.DUMMYFUNCTION("""COMPUTED_VALUE"""),54.505)</f>
        <v>54.505000000000003</v>
      </c>
      <c r="I692" s="2">
        <f ca="1">IFERROR(__xludf.DUMMYFUNCTION("""COMPUTED_VALUE"""),53.185)</f>
        <v>53.185000000000002</v>
      </c>
      <c r="J692" s="2">
        <f ca="1">IFERROR(__xludf.DUMMYFUNCTION("""COMPUTED_VALUE"""),43.385)</f>
        <v>43.384999999999998</v>
      </c>
      <c r="K692" s="2">
        <f ca="1">IFERROR(__xludf.DUMMYFUNCTION("""COMPUTED_VALUE"""),53.607)</f>
        <v>53.606999999999999</v>
      </c>
      <c r="L692" s="2">
        <f ca="1">IFERROR(__xludf.DUMMYFUNCTION("""COMPUTED_VALUE"""),9.7866)</f>
        <v>9.7866</v>
      </c>
      <c r="M692" s="2">
        <f ca="1">IFERROR(__xludf.DUMMYFUNCTION("""COMPUTED_VALUE"""),13.85)</f>
        <v>13.85</v>
      </c>
      <c r="U692" s="3" t="e">
        <f ca="1"/>
        <v>#NAME?</v>
      </c>
    </row>
    <row r="693" spans="3:21" ht="12.5" x14ac:dyDescent="0.25">
      <c r="C693" s="4">
        <f ca="1">IFERROR(__xludf.DUMMYFUNCTION("""COMPUTED_VALUE"""),40980.9986111111)</f>
        <v>40980.998611111099</v>
      </c>
      <c r="D693" s="2">
        <f ca="1">IFERROR(__xludf.DUMMYFUNCTION("""COMPUTED_VALUE"""),49.968)</f>
        <v>49.968000000000004</v>
      </c>
      <c r="E693" s="2">
        <f ca="1">IFERROR(__xludf.DUMMYFUNCTION("""COMPUTED_VALUE"""),70.455)</f>
        <v>70.454999999999998</v>
      </c>
      <c r="F693" s="2">
        <f ca="1">IFERROR(__xludf.DUMMYFUNCTION("""COMPUTED_VALUE"""),77.904)</f>
        <v>77.903999999999996</v>
      </c>
      <c r="G693" s="2">
        <f ca="1">IFERROR(__xludf.DUMMYFUNCTION("""COMPUTED_VALUE"""),0.69485)</f>
        <v>0.69484999999999997</v>
      </c>
      <c r="H693" s="2">
        <f ca="1">IFERROR(__xludf.DUMMYFUNCTION("""COMPUTED_VALUE"""),54.184)</f>
        <v>54.183999999999997</v>
      </c>
      <c r="I693" s="2">
        <f ca="1">IFERROR(__xludf.DUMMYFUNCTION("""COMPUTED_VALUE"""),54.024)</f>
        <v>54.024000000000001</v>
      </c>
      <c r="J693" s="2">
        <f ca="1">IFERROR(__xludf.DUMMYFUNCTION("""COMPUTED_VALUE"""),43.849)</f>
        <v>43.848999999999997</v>
      </c>
      <c r="K693" s="2">
        <f ca="1">IFERROR(__xludf.DUMMYFUNCTION("""COMPUTED_VALUE"""),53.607)</f>
        <v>53.606999999999999</v>
      </c>
      <c r="L693" s="2">
        <f ca="1">IFERROR(__xludf.DUMMYFUNCTION("""COMPUTED_VALUE"""),9.7645)</f>
        <v>9.7645</v>
      </c>
      <c r="M693" s="2">
        <f ca="1">IFERROR(__xludf.DUMMYFUNCTION("""COMPUTED_VALUE"""),13.681)</f>
        <v>13.680999999999999</v>
      </c>
      <c r="U693" s="3" t="e">
        <f ca="1"/>
        <v>#NAME?</v>
      </c>
    </row>
    <row r="694" spans="3:21" ht="12.5" x14ac:dyDescent="0.25">
      <c r="C694" s="4">
        <f ca="1">IFERROR(__xludf.DUMMYFUNCTION("""COMPUTED_VALUE"""),40981.9986111111)</f>
        <v>40981.998611111099</v>
      </c>
      <c r="D694" s="2">
        <f ca="1">IFERROR(__xludf.DUMMYFUNCTION("""COMPUTED_VALUE"""),49.83)</f>
        <v>49.83</v>
      </c>
      <c r="E694" s="2">
        <f ca="1">IFERROR(__xludf.DUMMYFUNCTION("""COMPUTED_VALUE"""),69.711)</f>
        <v>69.710999999999999</v>
      </c>
      <c r="F694" s="2">
        <f ca="1">IFERROR(__xludf.DUMMYFUNCTION("""COMPUTED_VALUE"""),77.904)</f>
        <v>77.903999999999996</v>
      </c>
      <c r="G694" s="2">
        <f ca="1">IFERROR(__xludf.DUMMYFUNCTION("""COMPUTED_VALUE"""),0.69965)</f>
        <v>0.69964999999999999</v>
      </c>
      <c r="H694" s="2">
        <f ca="1">IFERROR(__xludf.DUMMYFUNCTION("""COMPUTED_VALUE"""),54.608)</f>
        <v>54.607999999999997</v>
      </c>
      <c r="I694" s="2">
        <f ca="1">IFERROR(__xludf.DUMMYFUNCTION("""COMPUTED_VALUE"""),54.175)</f>
        <v>54.174999999999997</v>
      </c>
      <c r="J694" s="2">
        <f ca="1">IFERROR(__xludf.DUMMYFUNCTION("""COMPUTED_VALUE"""),43.541)</f>
        <v>43.540999999999997</v>
      </c>
      <c r="K694" s="2">
        <f ca="1">IFERROR(__xludf.DUMMYFUNCTION("""COMPUTED_VALUE"""),53.665)</f>
        <v>53.664999999999999</v>
      </c>
      <c r="L694" s="2">
        <f ca="1">IFERROR(__xludf.DUMMYFUNCTION("""COMPUTED_VALUE"""),9.7339)</f>
        <v>9.7339000000000002</v>
      </c>
      <c r="M694" s="2">
        <f ca="1">IFERROR(__xludf.DUMMYFUNCTION("""COMPUTED_VALUE"""),13.915)</f>
        <v>13.914999999999999</v>
      </c>
      <c r="U694" s="3" t="e">
        <f ca="1"/>
        <v>#NAME?</v>
      </c>
    </row>
    <row r="695" spans="3:21" ht="12.5" x14ac:dyDescent="0.25">
      <c r="C695" s="4">
        <f ca="1">IFERROR(__xludf.DUMMYFUNCTION("""COMPUTED_VALUE"""),40982.9986111111)</f>
        <v>40982.998611111099</v>
      </c>
      <c r="D695" s="2">
        <f ca="1">IFERROR(__xludf.DUMMYFUNCTION("""COMPUTED_VALUE"""),49.908)</f>
        <v>49.908000000000001</v>
      </c>
      <c r="E695" s="2">
        <f ca="1">IFERROR(__xludf.DUMMYFUNCTION("""COMPUTED_VALUE"""),69.303)</f>
        <v>69.302999999999997</v>
      </c>
      <c r="F695" s="2">
        <f ca="1">IFERROR(__xludf.DUMMYFUNCTION("""COMPUTED_VALUE"""),77.904)</f>
        <v>77.903999999999996</v>
      </c>
      <c r="G695" s="2">
        <f ca="1">IFERROR(__xludf.DUMMYFUNCTION("""COMPUTED_VALUE"""),0.71014)</f>
        <v>0.71013999999999999</v>
      </c>
      <c r="H695" s="2">
        <f ca="1">IFERROR(__xludf.DUMMYFUNCTION("""COMPUTED_VALUE"""),54.276)</f>
        <v>54.276000000000003</v>
      </c>
      <c r="I695" s="2">
        <f ca="1">IFERROR(__xludf.DUMMYFUNCTION("""COMPUTED_VALUE"""),54.604)</f>
        <v>54.603999999999999</v>
      </c>
      <c r="J695" s="2">
        <f ca="1">IFERROR(__xludf.DUMMYFUNCTION("""COMPUTED_VALUE"""),43.206)</f>
        <v>43.206000000000003</v>
      </c>
      <c r="K695" s="2">
        <f ca="1">IFERROR(__xludf.DUMMYFUNCTION("""COMPUTED_VALUE"""),53.703)</f>
        <v>53.703000000000003</v>
      </c>
      <c r="L695" s="2">
        <f ca="1">IFERROR(__xludf.DUMMYFUNCTION("""COMPUTED_VALUE"""),9.7274)</f>
        <v>9.7273999999999994</v>
      </c>
      <c r="M695" s="2">
        <f ca="1">IFERROR(__xludf.DUMMYFUNCTION("""COMPUTED_VALUE"""),13.894)</f>
        <v>13.894</v>
      </c>
      <c r="U695" s="3" t="e">
        <f ca="1"/>
        <v>#NAME?</v>
      </c>
    </row>
    <row r="696" spans="3:21" ht="12.5" x14ac:dyDescent="0.25">
      <c r="C696" s="4">
        <f ca="1">IFERROR(__xludf.DUMMYFUNCTION("""COMPUTED_VALUE"""),40983.9986111111)</f>
        <v>40983.998611111099</v>
      </c>
      <c r="D696" s="2">
        <f ca="1">IFERROR(__xludf.DUMMYFUNCTION("""COMPUTED_VALUE"""),50.378)</f>
        <v>50.378</v>
      </c>
      <c r="E696" s="2">
        <f ca="1">IFERROR(__xludf.DUMMYFUNCTION("""COMPUTED_VALUE"""),69.307)</f>
        <v>69.307000000000002</v>
      </c>
      <c r="F696" s="2">
        <f ca="1">IFERROR(__xludf.DUMMYFUNCTION("""COMPUTED_VALUE"""),78.131)</f>
        <v>78.131</v>
      </c>
      <c r="G696" s="2">
        <f ca="1">IFERROR(__xludf.DUMMYFUNCTION("""COMPUTED_VALUE"""),0.71496)</f>
        <v>0.71496000000000004</v>
      </c>
      <c r="H696" s="2">
        <f ca="1">IFERROR(__xludf.DUMMYFUNCTION("""COMPUTED_VALUE"""),53.979)</f>
        <v>53.978999999999999</v>
      </c>
      <c r="I696" s="2">
        <f ca="1">IFERROR(__xludf.DUMMYFUNCTION("""COMPUTED_VALUE"""),54.153)</f>
        <v>54.152999999999999</v>
      </c>
      <c r="J696" s="2">
        <f ca="1">IFERROR(__xludf.DUMMYFUNCTION("""COMPUTED_VALUE"""),43.169)</f>
        <v>43.168999999999997</v>
      </c>
      <c r="K696" s="2">
        <f ca="1">IFERROR(__xludf.DUMMYFUNCTION("""COMPUTED_VALUE"""),53.998)</f>
        <v>53.997999999999998</v>
      </c>
      <c r="L696" s="2">
        <f ca="1">IFERROR(__xludf.DUMMYFUNCTION("""COMPUTED_VALUE"""),9.743)</f>
        <v>9.7430000000000003</v>
      </c>
      <c r="M696" s="2">
        <f ca="1">IFERROR(__xludf.DUMMYFUNCTION("""COMPUTED_VALUE"""),13.885)</f>
        <v>13.885</v>
      </c>
      <c r="U696" s="3" t="e">
        <f ca="1"/>
        <v>#NAME?</v>
      </c>
    </row>
    <row r="697" spans="3:21" ht="12.5" x14ac:dyDescent="0.25">
      <c r="C697" s="4">
        <f ca="1">IFERROR(__xludf.DUMMYFUNCTION("""COMPUTED_VALUE"""),40984.9986111111)</f>
        <v>40984.998611111099</v>
      </c>
      <c r="D697" s="2">
        <f ca="1">IFERROR(__xludf.DUMMYFUNCTION("""COMPUTED_VALUE"""),50.133)</f>
        <v>50.133000000000003</v>
      </c>
      <c r="E697" s="2">
        <f ca="1">IFERROR(__xludf.DUMMYFUNCTION("""COMPUTED_VALUE"""),69.429)</f>
        <v>69.429000000000002</v>
      </c>
      <c r="F697" s="2">
        <f ca="1">IFERROR(__xludf.DUMMYFUNCTION("""COMPUTED_VALUE"""),78.317)</f>
        <v>78.316999999999993</v>
      </c>
      <c r="G697" s="2">
        <f ca="1">IFERROR(__xludf.DUMMYFUNCTION("""COMPUTED_VALUE"""),0.71108)</f>
        <v>0.71108000000000005</v>
      </c>
      <c r="H697" s="2">
        <f ca="1">IFERROR(__xludf.DUMMYFUNCTION("""COMPUTED_VALUE"""),53.979)</f>
        <v>53.978999999999999</v>
      </c>
      <c r="I697" s="2">
        <f ca="1">IFERROR(__xludf.DUMMYFUNCTION("""COMPUTED_VALUE"""),53.742)</f>
        <v>53.741999999999997</v>
      </c>
      <c r="J697" s="2">
        <f ca="1">IFERROR(__xludf.DUMMYFUNCTION("""COMPUTED_VALUE"""),43.247)</f>
        <v>43.247</v>
      </c>
      <c r="K697" s="2">
        <f ca="1">IFERROR(__xludf.DUMMYFUNCTION("""COMPUTED_VALUE"""),53.983)</f>
        <v>53.982999999999997</v>
      </c>
      <c r="L697" s="2">
        <f ca="1">IFERROR(__xludf.DUMMYFUNCTION("""COMPUTED_VALUE"""),9.74)</f>
        <v>9.74</v>
      </c>
      <c r="M697" s="2">
        <f ca="1">IFERROR(__xludf.DUMMYFUNCTION("""COMPUTED_VALUE"""),13.894)</f>
        <v>13.894</v>
      </c>
      <c r="U697" s="3" t="e">
        <f ca="1"/>
        <v>#NAME?</v>
      </c>
    </row>
    <row r="698" spans="3:21" ht="12.5" x14ac:dyDescent="0.25">
      <c r="C698" s="4">
        <f ca="1">IFERROR(__xludf.DUMMYFUNCTION("""COMPUTED_VALUE"""),40985.9986111111)</f>
        <v>40985.998611111099</v>
      </c>
      <c r="D698" s="2">
        <f ca="1">IFERROR(__xludf.DUMMYFUNCTION("""COMPUTED_VALUE"""),50.133)</f>
        <v>50.133000000000003</v>
      </c>
      <c r="E698" s="2">
        <f ca="1">IFERROR(__xludf.DUMMYFUNCTION("""COMPUTED_VALUE"""),69.386)</f>
        <v>69.385999999999996</v>
      </c>
      <c r="F698" s="2">
        <f ca="1">IFERROR(__xludf.DUMMYFUNCTION("""COMPUTED_VALUE"""),78.057)</f>
        <v>78.057000000000002</v>
      </c>
      <c r="G698" s="2">
        <f ca="1">IFERROR(__xludf.DUMMYFUNCTION("""COMPUTED_VALUE"""),0.71207)</f>
        <v>0.71206999999999998</v>
      </c>
      <c r="H698" s="2">
        <f ca="1">IFERROR(__xludf.DUMMYFUNCTION("""COMPUTED_VALUE"""),53.98)</f>
        <v>53.98</v>
      </c>
      <c r="I698" s="2">
        <f ca="1">IFERROR(__xludf.DUMMYFUNCTION("""COMPUTED_VALUE"""),53.742)</f>
        <v>53.741999999999997</v>
      </c>
      <c r="J698" s="2">
        <f ca="1">IFERROR(__xludf.DUMMYFUNCTION("""COMPUTED_VALUE"""),43.478)</f>
        <v>43.478000000000002</v>
      </c>
      <c r="K698" s="2">
        <f ca="1">IFERROR(__xludf.DUMMYFUNCTION("""COMPUTED_VALUE"""),54.411)</f>
        <v>54.411000000000001</v>
      </c>
      <c r="L698" s="2">
        <f ca="1">IFERROR(__xludf.DUMMYFUNCTION("""COMPUTED_VALUE"""),9.6346)</f>
        <v>9.6346000000000007</v>
      </c>
      <c r="M698" s="2">
        <f ca="1">IFERROR(__xludf.DUMMYFUNCTION("""COMPUTED_VALUE"""),13.894)</f>
        <v>13.894</v>
      </c>
      <c r="U698" s="3" t="e">
        <f ca="1"/>
        <v>#NAME?</v>
      </c>
    </row>
    <row r="699" spans="3:21" ht="12.5" x14ac:dyDescent="0.25">
      <c r="C699" s="4">
        <f ca="1">IFERROR(__xludf.DUMMYFUNCTION("""COMPUTED_VALUE"""),40987.9986111111)</f>
        <v>40987.998611111099</v>
      </c>
      <c r="D699" s="2">
        <f ca="1">IFERROR(__xludf.DUMMYFUNCTION("""COMPUTED_VALUE"""),50.228)</f>
        <v>50.228000000000002</v>
      </c>
      <c r="E699" s="2">
        <f ca="1">IFERROR(__xludf.DUMMYFUNCTION("""COMPUTED_VALUE"""),69.441)</f>
        <v>69.441000000000003</v>
      </c>
      <c r="F699" s="2">
        <f ca="1">IFERROR(__xludf.DUMMYFUNCTION("""COMPUTED_VALUE"""),79.03)</f>
        <v>79.03</v>
      </c>
      <c r="G699" s="2">
        <f ca="1">IFERROR(__xludf.DUMMYFUNCTION("""COMPUTED_VALUE"""),0.70944)</f>
        <v>0.70943999999999996</v>
      </c>
      <c r="H699" s="2">
        <f ca="1">IFERROR(__xludf.DUMMYFUNCTION("""COMPUTED_VALUE"""),54.407)</f>
        <v>54.406999999999996</v>
      </c>
      <c r="I699" s="2">
        <f ca="1">IFERROR(__xludf.DUMMYFUNCTION("""COMPUTED_VALUE"""),53.748)</f>
        <v>53.747999999999998</v>
      </c>
      <c r="J699" s="2">
        <f ca="1">IFERROR(__xludf.DUMMYFUNCTION("""COMPUTED_VALUE"""),43.586)</f>
        <v>43.585999999999999</v>
      </c>
      <c r="K699" s="2">
        <f ca="1">IFERROR(__xludf.DUMMYFUNCTION("""COMPUTED_VALUE"""),54.69)</f>
        <v>54.69</v>
      </c>
      <c r="L699" s="2">
        <f ca="1">IFERROR(__xludf.DUMMYFUNCTION("""COMPUTED_VALUE"""),9.7145)</f>
        <v>9.7144999999999992</v>
      </c>
      <c r="M699" s="2">
        <f ca="1">IFERROR(__xludf.DUMMYFUNCTION("""COMPUTED_VALUE"""),13.899)</f>
        <v>13.898999999999999</v>
      </c>
      <c r="U699" s="3" t="e">
        <f ca="1"/>
        <v>#NAME?</v>
      </c>
    </row>
    <row r="700" spans="3:21" ht="12.5" x14ac:dyDescent="0.25">
      <c r="C700" s="4">
        <f ca="1">IFERROR(__xludf.DUMMYFUNCTION("""COMPUTED_VALUE"""),40988.9986111111)</f>
        <v>40988.998611111099</v>
      </c>
      <c r="D700" s="2">
        <f ca="1">IFERROR(__xludf.DUMMYFUNCTION("""COMPUTED_VALUE"""),50.388)</f>
        <v>50.387999999999998</v>
      </c>
      <c r="E700" s="2">
        <f ca="1">IFERROR(__xludf.DUMMYFUNCTION("""COMPUTED_VALUE"""),69.256)</f>
        <v>69.256</v>
      </c>
      <c r="F700" s="2">
        <f ca="1">IFERROR(__xludf.DUMMYFUNCTION("""COMPUTED_VALUE"""),79.352)</f>
        <v>79.352000000000004</v>
      </c>
      <c r="G700" s="2">
        <f ca="1">IFERROR(__xludf.DUMMYFUNCTION("""COMPUTED_VALUE"""),0.70563)</f>
        <v>0.70562999999999998</v>
      </c>
      <c r="H700" s="2">
        <f ca="1">IFERROR(__xludf.DUMMYFUNCTION("""COMPUTED_VALUE"""),54.656)</f>
        <v>54.655999999999999</v>
      </c>
      <c r="I700" s="2">
        <f ca="1">IFERROR(__xludf.DUMMYFUNCTION("""COMPUTED_VALUE"""),53.943)</f>
        <v>53.942999999999998</v>
      </c>
      <c r="J700" s="2">
        <f ca="1">IFERROR(__xludf.DUMMYFUNCTION("""COMPUTED_VALUE"""),43.484)</f>
        <v>43.484000000000002</v>
      </c>
      <c r="K700" s="2">
        <f ca="1">IFERROR(__xludf.DUMMYFUNCTION("""COMPUTED_VALUE"""),54.735)</f>
        <v>54.734999999999999</v>
      </c>
      <c r="L700" s="2">
        <f ca="1">IFERROR(__xludf.DUMMYFUNCTION("""COMPUTED_VALUE"""),9.7148)</f>
        <v>9.7148000000000003</v>
      </c>
      <c r="M700" s="2">
        <f ca="1">IFERROR(__xludf.DUMMYFUNCTION("""COMPUTED_VALUE"""),14.014)</f>
        <v>14.013999999999999</v>
      </c>
      <c r="U700" s="3" t="e">
        <f ca="1"/>
        <v>#NAME?</v>
      </c>
    </row>
    <row r="701" spans="3:21" ht="12.5" x14ac:dyDescent="0.25">
      <c r="C701" s="4">
        <f ca="1">IFERROR(__xludf.DUMMYFUNCTION("""COMPUTED_VALUE"""),40989.9986111111)</f>
        <v>40989.998611111099</v>
      </c>
      <c r="D701" s="2">
        <f ca="1">IFERROR(__xludf.DUMMYFUNCTION("""COMPUTED_VALUE"""),50.628)</f>
        <v>50.628</v>
      </c>
      <c r="E701" s="2">
        <f ca="1">IFERROR(__xludf.DUMMYFUNCTION("""COMPUTED_VALUE"""),68.982)</f>
        <v>68.981999999999999</v>
      </c>
      <c r="F701" s="2">
        <f ca="1">IFERROR(__xludf.DUMMYFUNCTION("""COMPUTED_VALUE"""),79.352)</f>
        <v>79.352000000000004</v>
      </c>
      <c r="G701" s="2">
        <f ca="1">IFERROR(__xludf.DUMMYFUNCTION("""COMPUTED_VALUE"""),0.69712)</f>
        <v>0.69711999999999996</v>
      </c>
      <c r="H701" s="2">
        <f ca="1">IFERROR(__xludf.DUMMYFUNCTION("""COMPUTED_VALUE"""),54.489)</f>
        <v>54.488999999999997</v>
      </c>
      <c r="I701" s="2">
        <f ca="1">IFERROR(__xludf.DUMMYFUNCTION("""COMPUTED_VALUE"""),54.344)</f>
        <v>54.344000000000001</v>
      </c>
      <c r="J701" s="2">
        <f ca="1">IFERROR(__xludf.DUMMYFUNCTION("""COMPUTED_VALUE"""),42.919)</f>
        <v>42.918999999999997</v>
      </c>
      <c r="K701" s="2">
        <f ca="1">IFERROR(__xludf.DUMMYFUNCTION("""COMPUTED_VALUE"""),54.642)</f>
        <v>54.642000000000003</v>
      </c>
      <c r="L701" s="2">
        <f ca="1">IFERROR(__xludf.DUMMYFUNCTION("""COMPUTED_VALUE"""),9.7441)</f>
        <v>9.7440999999999995</v>
      </c>
      <c r="M701" s="2">
        <f ca="1">IFERROR(__xludf.DUMMYFUNCTION("""COMPUTED_VALUE"""),14)</f>
        <v>14</v>
      </c>
      <c r="U701" s="3" t="e">
        <f ca="1"/>
        <v>#NAME?</v>
      </c>
    </row>
    <row r="702" spans="3:21" ht="12.5" x14ac:dyDescent="0.25">
      <c r="C702" s="4">
        <f ca="1">IFERROR(__xludf.DUMMYFUNCTION("""COMPUTED_VALUE"""),40990.9986111111)</f>
        <v>40990.998611111099</v>
      </c>
      <c r="D702" s="2">
        <f ca="1">IFERROR(__xludf.DUMMYFUNCTION("""COMPUTED_VALUE"""),51.12)</f>
        <v>51.12</v>
      </c>
      <c r="E702" s="2">
        <f ca="1">IFERROR(__xludf.DUMMYFUNCTION("""COMPUTED_VALUE"""),68.984)</f>
        <v>68.983999999999995</v>
      </c>
      <c r="F702" s="2">
        <f ca="1">IFERROR(__xludf.DUMMYFUNCTION("""COMPUTED_VALUE"""),79.352)</f>
        <v>79.352000000000004</v>
      </c>
      <c r="G702" s="2">
        <f ca="1">IFERROR(__xludf.DUMMYFUNCTION("""COMPUTED_VALUE"""),0.68895)</f>
        <v>0.68894999999999995</v>
      </c>
      <c r="H702" s="2">
        <f ca="1">IFERROR(__xludf.DUMMYFUNCTION("""COMPUTED_VALUE"""),54.461)</f>
        <v>54.460999999999999</v>
      </c>
      <c r="I702" s="2">
        <f ca="1">IFERROR(__xludf.DUMMYFUNCTION("""COMPUTED_VALUE"""),54.519)</f>
        <v>54.518999999999998</v>
      </c>
      <c r="J702" s="2">
        <f ca="1">IFERROR(__xludf.DUMMYFUNCTION("""COMPUTED_VALUE"""),42.919)</f>
        <v>42.918999999999997</v>
      </c>
      <c r="K702" s="2">
        <f ca="1">IFERROR(__xludf.DUMMYFUNCTION("""COMPUTED_VALUE"""),54.784)</f>
        <v>54.783999999999999</v>
      </c>
      <c r="L702" s="2">
        <f ca="1">IFERROR(__xludf.DUMMYFUNCTION("""COMPUTED_VALUE"""),9.7441)</f>
        <v>9.7440999999999995</v>
      </c>
      <c r="M702" s="2">
        <f ca="1">IFERROR(__xludf.DUMMYFUNCTION("""COMPUTED_VALUE"""),13.947)</f>
        <v>13.946999999999999</v>
      </c>
      <c r="U702" s="3" t="e">
        <f ca="1"/>
        <v>#NAME?</v>
      </c>
    </row>
    <row r="703" spans="3:21" ht="12.5" x14ac:dyDescent="0.25">
      <c r="C703" s="4">
        <f ca="1">IFERROR(__xludf.DUMMYFUNCTION("""COMPUTED_VALUE"""),40991.9986111111)</f>
        <v>40991.998611111099</v>
      </c>
      <c r="D703" s="2">
        <f ca="1">IFERROR(__xludf.DUMMYFUNCTION("""COMPUTED_VALUE"""),51.168)</f>
        <v>51.167999999999999</v>
      </c>
      <c r="E703" s="2">
        <f ca="1">IFERROR(__xludf.DUMMYFUNCTION("""COMPUTED_VALUE"""),69.5)</f>
        <v>69.5</v>
      </c>
      <c r="F703" s="2">
        <f ca="1">IFERROR(__xludf.DUMMYFUNCTION("""COMPUTED_VALUE"""),79.717)</f>
        <v>79.716999999999999</v>
      </c>
      <c r="G703" s="2">
        <f ca="1">IFERROR(__xludf.DUMMYFUNCTION("""COMPUTED_VALUE"""),0.69653)</f>
        <v>0.69652999999999998</v>
      </c>
      <c r="H703" s="2">
        <f ca="1">IFERROR(__xludf.DUMMYFUNCTION("""COMPUTED_VALUE"""),53.808)</f>
        <v>53.808</v>
      </c>
      <c r="I703" s="2">
        <f ca="1">IFERROR(__xludf.DUMMYFUNCTION("""COMPUTED_VALUE"""),54.25)</f>
        <v>54.25</v>
      </c>
      <c r="J703" s="2">
        <f ca="1">IFERROR(__xludf.DUMMYFUNCTION("""COMPUTED_VALUE"""),43.211)</f>
        <v>43.210999999999999</v>
      </c>
      <c r="K703" s="2">
        <f ca="1">IFERROR(__xludf.DUMMYFUNCTION("""COMPUTED_VALUE"""),54.091)</f>
        <v>54.091000000000001</v>
      </c>
      <c r="L703" s="2">
        <f ca="1">IFERROR(__xludf.DUMMYFUNCTION("""COMPUTED_VALUE"""),9.7282)</f>
        <v>9.7281999999999993</v>
      </c>
      <c r="M703" s="2">
        <f ca="1">IFERROR(__xludf.DUMMYFUNCTION("""COMPUTED_VALUE"""),14.033)</f>
        <v>14.032999999999999</v>
      </c>
      <c r="U703" s="3" t="e">
        <f ca="1"/>
        <v>#NAME?</v>
      </c>
    </row>
    <row r="704" spans="3:21" ht="12.5" x14ac:dyDescent="0.25">
      <c r="C704" s="4">
        <f ca="1">IFERROR(__xludf.DUMMYFUNCTION("""COMPUTED_VALUE"""),40992.9986111111)</f>
        <v>40992.998611111099</v>
      </c>
      <c r="D704" s="2">
        <f ca="1">IFERROR(__xludf.DUMMYFUNCTION("""COMPUTED_VALUE"""),51.168)</f>
        <v>51.167999999999999</v>
      </c>
      <c r="E704" s="2">
        <f ca="1">IFERROR(__xludf.DUMMYFUNCTION("""COMPUTED_VALUE"""),69.159)</f>
        <v>69.159000000000006</v>
      </c>
      <c r="F704" s="2">
        <f ca="1">IFERROR(__xludf.DUMMYFUNCTION("""COMPUTED_VALUE"""),79.837)</f>
        <v>79.837000000000003</v>
      </c>
      <c r="G704" s="2">
        <f ca="1">IFERROR(__xludf.DUMMYFUNCTION("""COMPUTED_VALUE"""),0.68495)</f>
        <v>0.68494999999999995</v>
      </c>
      <c r="H704" s="2">
        <f ca="1">IFERROR(__xludf.DUMMYFUNCTION("""COMPUTED_VALUE"""),53.809)</f>
        <v>53.808999999999997</v>
      </c>
      <c r="I704" s="2">
        <f ca="1">IFERROR(__xludf.DUMMYFUNCTION("""COMPUTED_VALUE"""),53.289)</f>
        <v>53.289000000000001</v>
      </c>
      <c r="J704" s="2">
        <f ca="1">IFERROR(__xludf.DUMMYFUNCTION("""COMPUTED_VALUE"""),43.187)</f>
        <v>43.186999999999998</v>
      </c>
      <c r="K704" s="2">
        <f ca="1">IFERROR(__xludf.DUMMYFUNCTION("""COMPUTED_VALUE"""),54.314)</f>
        <v>54.314</v>
      </c>
      <c r="L704" s="2">
        <f ca="1">IFERROR(__xludf.DUMMYFUNCTION("""COMPUTED_VALUE"""),9.7493)</f>
        <v>9.7492999999999999</v>
      </c>
      <c r="M704" s="2">
        <f ca="1">IFERROR(__xludf.DUMMYFUNCTION("""COMPUTED_VALUE"""),14.033)</f>
        <v>14.032999999999999</v>
      </c>
      <c r="U704" s="3" t="e">
        <f ca="1"/>
        <v>#NAME?</v>
      </c>
    </row>
    <row r="705" spans="3:21" ht="12.5" x14ac:dyDescent="0.25">
      <c r="C705" s="4">
        <f ca="1">IFERROR(__xludf.DUMMYFUNCTION("""COMPUTED_VALUE"""),40994.9986111111)</f>
        <v>40994.998611111099</v>
      </c>
      <c r="D705" s="2">
        <f ca="1">IFERROR(__xludf.DUMMYFUNCTION("""COMPUTED_VALUE"""),51.023)</f>
        <v>51.023000000000003</v>
      </c>
      <c r="E705" s="2">
        <f ca="1">IFERROR(__xludf.DUMMYFUNCTION("""COMPUTED_VALUE"""),69.55)</f>
        <v>69.55</v>
      </c>
      <c r="F705" s="2">
        <f ca="1">IFERROR(__xludf.DUMMYFUNCTION("""COMPUTED_VALUE"""),80.255)</f>
        <v>80.254999999999995</v>
      </c>
      <c r="G705" s="2">
        <f ca="1">IFERROR(__xludf.DUMMYFUNCTION("""COMPUTED_VALUE"""),0.69704)</f>
        <v>0.69703999999999999</v>
      </c>
      <c r="H705" s="2">
        <f ca="1">IFERROR(__xludf.DUMMYFUNCTION("""COMPUTED_VALUE"""),54.095)</f>
        <v>54.094999999999999</v>
      </c>
      <c r="I705" s="2">
        <f ca="1">IFERROR(__xludf.DUMMYFUNCTION("""COMPUTED_VALUE"""),53.285)</f>
        <v>53.284999999999997</v>
      </c>
      <c r="J705" s="2">
        <f ca="1">IFERROR(__xludf.DUMMYFUNCTION("""COMPUTED_VALUE"""),43.421)</f>
        <v>43.420999999999999</v>
      </c>
      <c r="K705" s="2">
        <f ca="1">IFERROR(__xludf.DUMMYFUNCTION("""COMPUTED_VALUE"""),54.174)</f>
        <v>54.173999999999999</v>
      </c>
      <c r="L705" s="2">
        <f ca="1">IFERROR(__xludf.DUMMYFUNCTION("""COMPUTED_VALUE"""),9.713)</f>
        <v>9.7129999999999992</v>
      </c>
      <c r="M705" s="2">
        <f ca="1">IFERROR(__xludf.DUMMYFUNCTION("""COMPUTED_VALUE"""),14.033)</f>
        <v>14.032999999999999</v>
      </c>
      <c r="U705" s="3" t="e">
        <f ca="1"/>
        <v>#NAME?</v>
      </c>
    </row>
    <row r="706" spans="3:21" ht="12.5" x14ac:dyDescent="0.25">
      <c r="C706" s="4">
        <f ca="1">IFERROR(__xludf.DUMMYFUNCTION("""COMPUTED_VALUE"""),40995.9986111111)</f>
        <v>40995.998611111099</v>
      </c>
      <c r="D706" s="2">
        <f ca="1">IFERROR(__xludf.DUMMYFUNCTION("""COMPUTED_VALUE"""),50.678)</f>
        <v>50.677999999999997</v>
      </c>
      <c r="E706" s="2">
        <f ca="1">IFERROR(__xludf.DUMMYFUNCTION("""COMPUTED_VALUE"""),68.986)</f>
        <v>68.986000000000004</v>
      </c>
      <c r="F706" s="2">
        <f ca="1">IFERROR(__xludf.DUMMYFUNCTION("""COMPUTED_VALUE"""),80.889)</f>
        <v>80.888999999999996</v>
      </c>
      <c r="G706" s="2">
        <f ca="1">IFERROR(__xludf.DUMMYFUNCTION("""COMPUTED_VALUE"""),0.7023)</f>
        <v>0.70230000000000004</v>
      </c>
      <c r="H706" s="2">
        <f ca="1">IFERROR(__xludf.DUMMYFUNCTION("""COMPUTED_VALUE"""),54.13)</f>
        <v>54.13</v>
      </c>
      <c r="I706" s="2">
        <f ca="1">IFERROR(__xludf.DUMMYFUNCTION("""COMPUTED_VALUE"""),53.497)</f>
        <v>53.497</v>
      </c>
      <c r="J706" s="2">
        <f ca="1">IFERROR(__xludf.DUMMYFUNCTION("""COMPUTED_VALUE"""),42.962)</f>
        <v>42.962000000000003</v>
      </c>
      <c r="K706" s="2">
        <f ca="1">IFERROR(__xludf.DUMMYFUNCTION("""COMPUTED_VALUE"""),54.149)</f>
        <v>54.149000000000001</v>
      </c>
      <c r="L706" s="2">
        <f ca="1">IFERROR(__xludf.DUMMYFUNCTION("""COMPUTED_VALUE"""),9.7171)</f>
        <v>9.7171000000000003</v>
      </c>
      <c r="M706" s="2">
        <f ca="1">IFERROR(__xludf.DUMMYFUNCTION("""COMPUTED_VALUE"""),14.067)</f>
        <v>14.067</v>
      </c>
      <c r="U706" s="3" t="e">
        <f ca="1"/>
        <v>#NAME?</v>
      </c>
    </row>
    <row r="707" spans="3:21" ht="12.5" x14ac:dyDescent="0.25">
      <c r="C707" s="4">
        <f ca="1">IFERROR(__xludf.DUMMYFUNCTION("""COMPUTED_VALUE"""),40996.9986111111)</f>
        <v>40996.998611111099</v>
      </c>
      <c r="D707" s="2">
        <f ca="1">IFERROR(__xludf.DUMMYFUNCTION("""COMPUTED_VALUE"""),50.773)</f>
        <v>50.773000000000003</v>
      </c>
      <c r="E707" s="2">
        <f ca="1">IFERROR(__xludf.DUMMYFUNCTION("""COMPUTED_VALUE"""),69.297)</f>
        <v>69.296999999999997</v>
      </c>
      <c r="F707" s="2">
        <f ca="1">IFERROR(__xludf.DUMMYFUNCTION("""COMPUTED_VALUE"""),81.204)</f>
        <v>81.203999999999994</v>
      </c>
      <c r="G707" s="2">
        <f ca="1">IFERROR(__xludf.DUMMYFUNCTION("""COMPUTED_VALUE"""),0.7)</f>
        <v>0.7</v>
      </c>
      <c r="H707" s="2">
        <f ca="1">IFERROR(__xludf.DUMMYFUNCTION("""COMPUTED_VALUE"""),54.827)</f>
        <v>54.826999999999998</v>
      </c>
      <c r="I707" s="2">
        <f ca="1">IFERROR(__xludf.DUMMYFUNCTION("""COMPUTED_VALUE"""),53.531)</f>
        <v>53.530999999999999</v>
      </c>
      <c r="J707" s="2">
        <f ca="1">IFERROR(__xludf.DUMMYFUNCTION("""COMPUTED_VALUE"""),43.144)</f>
        <v>43.143999999999998</v>
      </c>
      <c r="K707" s="2">
        <f ca="1">IFERROR(__xludf.DUMMYFUNCTION("""COMPUTED_VALUE"""),54.147)</f>
        <v>54.146999999999998</v>
      </c>
      <c r="L707" s="2">
        <f ca="1">IFERROR(__xludf.DUMMYFUNCTION("""COMPUTED_VALUE"""),9.728)</f>
        <v>9.7279999999999998</v>
      </c>
      <c r="M707" s="2">
        <f ca="1">IFERROR(__xludf.DUMMYFUNCTION("""COMPUTED_VALUE"""),14.013)</f>
        <v>14.013</v>
      </c>
      <c r="U707" s="3" t="e">
        <f ca="1"/>
        <v>#NAME?</v>
      </c>
    </row>
    <row r="708" spans="3:21" ht="12.5" x14ac:dyDescent="0.25">
      <c r="C708" s="4">
        <f ca="1">IFERROR(__xludf.DUMMYFUNCTION("""COMPUTED_VALUE"""),40997.9986111111)</f>
        <v>40997.998611111099</v>
      </c>
      <c r="D708" s="2">
        <f ca="1">IFERROR(__xludf.DUMMYFUNCTION("""COMPUTED_VALUE"""),51.398)</f>
        <v>51.398000000000003</v>
      </c>
      <c r="E708" s="2">
        <f ca="1">IFERROR(__xludf.DUMMYFUNCTION("""COMPUTED_VALUE"""),69.296)</f>
        <v>69.296000000000006</v>
      </c>
      <c r="F708" s="2">
        <f ca="1">IFERROR(__xludf.DUMMYFUNCTION("""COMPUTED_VALUE"""),81.117)</f>
        <v>81.117000000000004</v>
      </c>
      <c r="G708" s="2">
        <f ca="1">IFERROR(__xludf.DUMMYFUNCTION("""COMPUTED_VALUE"""),0.70014)</f>
        <v>0.70013999999999998</v>
      </c>
      <c r="H708" s="2">
        <f ca="1">IFERROR(__xludf.DUMMYFUNCTION("""COMPUTED_VALUE"""),54.345)</f>
        <v>54.344999999999999</v>
      </c>
      <c r="I708" s="2">
        <f ca="1">IFERROR(__xludf.DUMMYFUNCTION("""COMPUTED_VALUE"""),53.806)</f>
        <v>53.805999999999997</v>
      </c>
      <c r="J708" s="2">
        <f ca="1">IFERROR(__xludf.DUMMYFUNCTION("""COMPUTED_VALUE"""),43.142)</f>
        <v>43.142000000000003</v>
      </c>
      <c r="K708" s="2">
        <f ca="1">IFERROR(__xludf.DUMMYFUNCTION("""COMPUTED_VALUE"""),54.583)</f>
        <v>54.582999999999998</v>
      </c>
      <c r="L708" s="2">
        <f ca="1">IFERROR(__xludf.DUMMYFUNCTION("""COMPUTED_VALUE"""),9.725)</f>
        <v>9.7249999999999996</v>
      </c>
      <c r="M708" s="2">
        <f ca="1">IFERROR(__xludf.DUMMYFUNCTION("""COMPUTED_VALUE"""),14.1)</f>
        <v>14.1</v>
      </c>
      <c r="U708" s="3" t="e">
        <f ca="1"/>
        <v>#NAME?</v>
      </c>
    </row>
    <row r="709" spans="3:21" ht="12.5" x14ac:dyDescent="0.25">
      <c r="C709" s="4">
        <f ca="1">IFERROR(__xludf.DUMMYFUNCTION("""COMPUTED_VALUE"""),40998.9986111111)</f>
        <v>40998.998611111099</v>
      </c>
      <c r="D709" s="2">
        <f ca="1">IFERROR(__xludf.DUMMYFUNCTION("""COMPUTED_VALUE"""),50.868)</f>
        <v>50.868000000000002</v>
      </c>
      <c r="E709" s="2">
        <f ca="1">IFERROR(__xludf.DUMMYFUNCTION("""COMPUTED_VALUE"""),69.298)</f>
        <v>69.298000000000002</v>
      </c>
      <c r="F709" s="2">
        <f ca="1">IFERROR(__xludf.DUMMYFUNCTION("""COMPUTED_VALUE"""),79.864)</f>
        <v>79.864000000000004</v>
      </c>
      <c r="G709" s="2">
        <f ca="1">IFERROR(__xludf.DUMMYFUNCTION("""COMPUTED_VALUE"""),0.70167)</f>
        <v>0.70167000000000002</v>
      </c>
      <c r="H709" s="2">
        <f ca="1">IFERROR(__xludf.DUMMYFUNCTION("""COMPUTED_VALUE"""),54.89)</f>
        <v>54.89</v>
      </c>
      <c r="I709" s="2">
        <f ca="1">IFERROR(__xludf.DUMMYFUNCTION("""COMPUTED_VALUE"""),53.416)</f>
        <v>53.415999999999997</v>
      </c>
      <c r="J709" s="2">
        <f ca="1">IFERROR(__xludf.DUMMYFUNCTION("""COMPUTED_VALUE"""),43.144)</f>
        <v>43.143999999999998</v>
      </c>
      <c r="K709" s="2">
        <f ca="1">IFERROR(__xludf.DUMMYFUNCTION("""COMPUTED_VALUE"""),54.753)</f>
        <v>54.753</v>
      </c>
      <c r="L709" s="2">
        <f ca="1">IFERROR(__xludf.DUMMYFUNCTION("""COMPUTED_VALUE"""),9.6851)</f>
        <v>9.6851000000000003</v>
      </c>
      <c r="M709" s="2">
        <f ca="1">IFERROR(__xludf.DUMMYFUNCTION("""COMPUTED_VALUE"""),14.195)</f>
        <v>14.195</v>
      </c>
      <c r="U709" s="3" t="e">
        <f ca="1"/>
        <v>#NAME?</v>
      </c>
    </row>
    <row r="710" spans="3:21" ht="12.5" x14ac:dyDescent="0.25">
      <c r="C710" s="4">
        <f ca="1">IFERROR(__xludf.DUMMYFUNCTION("""COMPUTED_VALUE"""),40999.9986111111)</f>
        <v>40999.998611111099</v>
      </c>
      <c r="D710" s="2">
        <f ca="1">IFERROR(__xludf.DUMMYFUNCTION("""COMPUTED_VALUE"""),50.868)</f>
        <v>50.868000000000002</v>
      </c>
      <c r="E710" s="2">
        <f ca="1">IFERROR(__xludf.DUMMYFUNCTION("""COMPUTED_VALUE"""),69.42)</f>
        <v>69.42</v>
      </c>
      <c r="F710" s="2">
        <f ca="1">IFERROR(__xludf.DUMMYFUNCTION("""COMPUTED_VALUE"""),81.345)</f>
        <v>81.344999999999999</v>
      </c>
      <c r="G710" s="2">
        <f ca="1">IFERROR(__xludf.DUMMYFUNCTION("""COMPUTED_VALUE"""),0.70352)</f>
        <v>0.70352000000000003</v>
      </c>
      <c r="H710" s="2">
        <f ca="1">IFERROR(__xludf.DUMMYFUNCTION("""COMPUTED_VALUE"""),54.888)</f>
        <v>54.887999999999998</v>
      </c>
      <c r="I710" s="2">
        <f ca="1">IFERROR(__xludf.DUMMYFUNCTION("""COMPUTED_VALUE"""),53.923)</f>
        <v>53.923000000000002</v>
      </c>
      <c r="J710" s="2">
        <f ca="1">IFERROR(__xludf.DUMMYFUNCTION("""COMPUTED_VALUE"""),43.283)</f>
        <v>43.283000000000001</v>
      </c>
      <c r="K710" s="2">
        <f ca="1">IFERROR(__xludf.DUMMYFUNCTION("""COMPUTED_VALUE"""),54.778)</f>
        <v>54.777999999999999</v>
      </c>
      <c r="L710" s="2">
        <f ca="1">IFERROR(__xludf.DUMMYFUNCTION("""COMPUTED_VALUE"""),9.6952)</f>
        <v>9.6951999999999998</v>
      </c>
      <c r="M710" s="2">
        <f ca="1">IFERROR(__xludf.DUMMYFUNCTION("""COMPUTED_VALUE"""),14.176)</f>
        <v>14.176</v>
      </c>
      <c r="U710" s="3" t="e">
        <f ca="1"/>
        <v>#NAME?</v>
      </c>
    </row>
    <row r="711" spans="3:21" ht="12.5" x14ac:dyDescent="0.25">
      <c r="C711" s="4">
        <f ca="1">IFERROR(__xludf.DUMMYFUNCTION("""COMPUTED_VALUE"""),41001.9986111111)</f>
        <v>41001.998611111099</v>
      </c>
      <c r="D711" s="2">
        <f ca="1">IFERROR(__xludf.DUMMYFUNCTION("""COMPUTED_VALUE"""),50.868)</f>
        <v>50.868000000000002</v>
      </c>
      <c r="E711" s="2">
        <f ca="1">IFERROR(__xludf.DUMMYFUNCTION("""COMPUTED_VALUE"""),69.749)</f>
        <v>69.748999999999995</v>
      </c>
      <c r="F711" s="2">
        <f ca="1">IFERROR(__xludf.DUMMYFUNCTION("""COMPUTED_VALUE"""),80.751)</f>
        <v>80.751000000000005</v>
      </c>
      <c r="G711" s="2">
        <f ca="1">IFERROR(__xludf.DUMMYFUNCTION("""COMPUTED_VALUE"""),0.70287)</f>
        <v>0.70286999999999999</v>
      </c>
      <c r="H711" s="2">
        <f ca="1">IFERROR(__xludf.DUMMYFUNCTION("""COMPUTED_VALUE"""),54.89)</f>
        <v>54.89</v>
      </c>
      <c r="I711" s="2">
        <f ca="1">IFERROR(__xludf.DUMMYFUNCTION("""COMPUTED_VALUE"""),53.921)</f>
        <v>53.920999999999999</v>
      </c>
      <c r="J711" s="2">
        <f ca="1">IFERROR(__xludf.DUMMYFUNCTION("""COMPUTED_VALUE"""),43.507)</f>
        <v>43.506999999999998</v>
      </c>
      <c r="K711" s="2">
        <f ca="1">IFERROR(__xludf.DUMMYFUNCTION("""COMPUTED_VALUE"""),55.067)</f>
        <v>55.067</v>
      </c>
      <c r="L711" s="2">
        <f ca="1">IFERROR(__xludf.DUMMYFUNCTION("""COMPUTED_VALUE"""),9.6873)</f>
        <v>9.6873000000000005</v>
      </c>
      <c r="M711" s="2">
        <f ca="1">IFERROR(__xludf.DUMMYFUNCTION("""COMPUTED_VALUE"""),14.176)</f>
        <v>14.176</v>
      </c>
      <c r="U711" s="3" t="e">
        <f ca="1"/>
        <v>#NAME?</v>
      </c>
    </row>
    <row r="712" spans="3:21" ht="12.5" x14ac:dyDescent="0.25">
      <c r="C712" s="4">
        <f ca="1">IFERROR(__xludf.DUMMYFUNCTION("""COMPUTED_VALUE"""),41002.9986111111)</f>
        <v>41002.998611111099</v>
      </c>
      <c r="D712" s="2">
        <f ca="1">IFERROR(__xludf.DUMMYFUNCTION("""COMPUTED_VALUE"""),50.25)</f>
        <v>50.25</v>
      </c>
      <c r="E712" s="2">
        <f ca="1">IFERROR(__xludf.DUMMYFUNCTION("""COMPUTED_VALUE"""),69.919)</f>
        <v>69.918999999999997</v>
      </c>
      <c r="F712" s="2">
        <f ca="1">IFERROR(__xludf.DUMMYFUNCTION("""COMPUTED_VALUE"""),80.581)</f>
        <v>80.581000000000003</v>
      </c>
      <c r="G712" s="2">
        <f ca="1">IFERROR(__xludf.DUMMYFUNCTION("""COMPUTED_VALUE"""),0.70629)</f>
        <v>0.70628999999999997</v>
      </c>
      <c r="H712" s="2">
        <f ca="1">IFERROR(__xludf.DUMMYFUNCTION("""COMPUTED_VALUE"""),54.908)</f>
        <v>54.908000000000001</v>
      </c>
      <c r="I712" s="2">
        <f ca="1">IFERROR(__xludf.DUMMYFUNCTION("""COMPUTED_VALUE"""),54.006)</f>
        <v>54.006</v>
      </c>
      <c r="J712" s="2">
        <f ca="1">IFERROR(__xludf.DUMMYFUNCTION("""COMPUTED_VALUE"""),43.423)</f>
        <v>43.423000000000002</v>
      </c>
      <c r="K712" s="2">
        <f ca="1">IFERROR(__xludf.DUMMYFUNCTION("""COMPUTED_VALUE"""),54.153)</f>
        <v>54.152999999999999</v>
      </c>
      <c r="L712" s="2">
        <f ca="1">IFERROR(__xludf.DUMMYFUNCTION("""COMPUTED_VALUE"""),9.7322)</f>
        <v>9.7322000000000006</v>
      </c>
      <c r="M712" s="2">
        <f ca="1">IFERROR(__xludf.DUMMYFUNCTION("""COMPUTED_VALUE"""),14.176)</f>
        <v>14.176</v>
      </c>
      <c r="U712" s="3" t="e">
        <f ca="1"/>
        <v>#NAME?</v>
      </c>
    </row>
    <row r="713" spans="3:21" ht="12.5" x14ac:dyDescent="0.25">
      <c r="C713" s="4">
        <f ca="1">IFERROR(__xludf.DUMMYFUNCTION("""COMPUTED_VALUE"""),41003.9986111111)</f>
        <v>41003.998611111099</v>
      </c>
      <c r="D713" s="2">
        <f ca="1">IFERROR(__xludf.DUMMYFUNCTION("""COMPUTED_VALUE"""),51.108)</f>
        <v>51.107999999999997</v>
      </c>
      <c r="E713" s="2">
        <f ca="1">IFERROR(__xludf.DUMMYFUNCTION("""COMPUTED_VALUE"""),70.396)</f>
        <v>70.396000000000001</v>
      </c>
      <c r="F713" s="2">
        <f ca="1">IFERROR(__xludf.DUMMYFUNCTION("""COMPUTED_VALUE"""),81.917)</f>
        <v>81.917000000000002</v>
      </c>
      <c r="G713" s="2">
        <f ca="1">IFERROR(__xludf.DUMMYFUNCTION("""COMPUTED_VALUE"""),0.7073)</f>
        <v>0.70730000000000004</v>
      </c>
      <c r="H713" s="2">
        <f ca="1">IFERROR(__xludf.DUMMYFUNCTION("""COMPUTED_VALUE"""),55.548)</f>
        <v>55.548000000000002</v>
      </c>
      <c r="I713" s="2">
        <f ca="1">IFERROR(__xludf.DUMMYFUNCTION("""COMPUTED_VALUE"""),53.982)</f>
        <v>53.981999999999999</v>
      </c>
      <c r="J713" s="2">
        <f ca="1">IFERROR(__xludf.DUMMYFUNCTION("""COMPUTED_VALUE"""),43.608)</f>
        <v>43.607999999999997</v>
      </c>
      <c r="K713" s="2">
        <f ca="1">IFERROR(__xludf.DUMMYFUNCTION("""COMPUTED_VALUE"""),54.527)</f>
        <v>54.527000000000001</v>
      </c>
      <c r="L713" s="2">
        <f ca="1">IFERROR(__xludf.DUMMYFUNCTION("""COMPUTED_VALUE"""),9.7123)</f>
        <v>9.7123000000000008</v>
      </c>
      <c r="M713" s="2">
        <f ca="1">IFERROR(__xludf.DUMMYFUNCTION("""COMPUTED_VALUE"""),14.293)</f>
        <v>14.292999999999999</v>
      </c>
      <c r="U713" s="3" t="e">
        <f ca="1"/>
        <v>#NAME?</v>
      </c>
    </row>
    <row r="714" spans="3:21" ht="12.5" x14ac:dyDescent="0.25">
      <c r="C714" s="4">
        <f ca="1">IFERROR(__xludf.DUMMYFUNCTION("""COMPUTED_VALUE"""),41004.9986111111)</f>
        <v>41004.998611111099</v>
      </c>
      <c r="D714" s="2">
        <f ca="1">IFERROR(__xludf.DUMMYFUNCTION("""COMPUTED_VALUE"""),51.033)</f>
        <v>51.033000000000001</v>
      </c>
      <c r="E714" s="2">
        <f ca="1">IFERROR(__xludf.DUMMYFUNCTION("""COMPUTED_VALUE"""),70.021)</f>
        <v>70.021000000000001</v>
      </c>
      <c r="F714" s="2">
        <f ca="1">IFERROR(__xludf.DUMMYFUNCTION("""COMPUTED_VALUE"""),81.397)</f>
        <v>81.397000000000006</v>
      </c>
      <c r="G714" s="2">
        <f ca="1">IFERROR(__xludf.DUMMYFUNCTION("""COMPUTED_VALUE"""),0.70564)</f>
        <v>0.70564000000000004</v>
      </c>
      <c r="H714" s="2">
        <f ca="1">IFERROR(__xludf.DUMMYFUNCTION("""COMPUTED_VALUE"""),55.342)</f>
        <v>55.341999999999999</v>
      </c>
      <c r="I714" s="2">
        <f ca="1">IFERROR(__xludf.DUMMYFUNCTION("""COMPUTED_VALUE"""),54.364)</f>
        <v>54.363999999999997</v>
      </c>
      <c r="J714" s="2">
        <f ca="1">IFERROR(__xludf.DUMMYFUNCTION("""COMPUTED_VALUE"""),43.547)</f>
        <v>43.546999999999997</v>
      </c>
      <c r="K714" s="2">
        <f ca="1">IFERROR(__xludf.DUMMYFUNCTION("""COMPUTED_VALUE"""),53.96)</f>
        <v>53.96</v>
      </c>
      <c r="L714" s="2">
        <f ca="1">IFERROR(__xludf.DUMMYFUNCTION("""COMPUTED_VALUE"""),9.7231)</f>
        <v>9.7231000000000005</v>
      </c>
      <c r="M714" s="2">
        <f ca="1">IFERROR(__xludf.DUMMYFUNCTION("""COMPUTED_VALUE"""),14.341)</f>
        <v>14.340999999999999</v>
      </c>
      <c r="U714" s="3" t="e">
        <f ca="1"/>
        <v>#NAME?</v>
      </c>
    </row>
    <row r="715" spans="3:21" ht="12.5" x14ac:dyDescent="0.25">
      <c r="C715" s="4">
        <f ca="1">IFERROR(__xludf.DUMMYFUNCTION("""COMPUTED_VALUE"""),41005.9986111111)</f>
        <v>41005.998611111099</v>
      </c>
      <c r="D715" s="2">
        <f ca="1">IFERROR(__xludf.DUMMYFUNCTION("""COMPUTED_VALUE"""),51)</f>
        <v>51</v>
      </c>
      <c r="E715" s="2">
        <f ca="1">IFERROR(__xludf.DUMMYFUNCTION("""COMPUTED_VALUE"""),69.925)</f>
        <v>69.924999999999997</v>
      </c>
      <c r="F715" s="2">
        <f ca="1">IFERROR(__xludf.DUMMYFUNCTION("""COMPUTED_VALUE"""),81.386)</f>
        <v>81.385999999999996</v>
      </c>
      <c r="G715" s="2">
        <f ca="1">IFERROR(__xludf.DUMMYFUNCTION("""COMPUTED_VALUE"""),0.70097)</f>
        <v>0.70096999999999998</v>
      </c>
      <c r="H715" s="2">
        <f ca="1">IFERROR(__xludf.DUMMYFUNCTION("""COMPUTED_VALUE"""),55.9)</f>
        <v>55.9</v>
      </c>
      <c r="I715" s="2">
        <f ca="1">IFERROR(__xludf.DUMMYFUNCTION("""COMPUTED_VALUE"""),54.067)</f>
        <v>54.067</v>
      </c>
      <c r="J715" s="2">
        <f ca="1">IFERROR(__xludf.DUMMYFUNCTION("""COMPUTED_VALUE"""),43.545)</f>
        <v>43.545000000000002</v>
      </c>
      <c r="K715" s="2">
        <f ca="1">IFERROR(__xludf.DUMMYFUNCTION("""COMPUTED_VALUE"""),53.509)</f>
        <v>53.509</v>
      </c>
      <c r="L715" s="2">
        <f ca="1">IFERROR(__xludf.DUMMYFUNCTION("""COMPUTED_VALUE"""),9.7607)</f>
        <v>9.7606999999999999</v>
      </c>
      <c r="M715" s="2">
        <f ca="1">IFERROR(__xludf.DUMMYFUNCTION("""COMPUTED_VALUE"""),14.304)</f>
        <v>14.304</v>
      </c>
      <c r="U715" s="3" t="e">
        <f ca="1"/>
        <v>#NAME?</v>
      </c>
    </row>
    <row r="716" spans="3:21" ht="12.5" x14ac:dyDescent="0.25">
      <c r="C716" s="4">
        <f ca="1">IFERROR(__xludf.DUMMYFUNCTION("""COMPUTED_VALUE"""),41006.9986111111)</f>
        <v>41006.998611111099</v>
      </c>
      <c r="D716" s="2">
        <f ca="1">IFERROR(__xludf.DUMMYFUNCTION("""COMPUTED_VALUE"""),51.033)</f>
        <v>51.033000000000001</v>
      </c>
      <c r="E716" s="2">
        <f ca="1">IFERROR(__xludf.DUMMYFUNCTION("""COMPUTED_VALUE"""),69.925)</f>
        <v>69.924999999999997</v>
      </c>
      <c r="F716" s="2">
        <f ca="1">IFERROR(__xludf.DUMMYFUNCTION("""COMPUTED_VALUE"""),81.464)</f>
        <v>81.463999999999999</v>
      </c>
      <c r="G716" s="2">
        <f ca="1">IFERROR(__xludf.DUMMYFUNCTION("""COMPUTED_VALUE"""),0.7096)</f>
        <v>0.70960000000000001</v>
      </c>
      <c r="H716" s="2">
        <f ca="1">IFERROR(__xludf.DUMMYFUNCTION("""COMPUTED_VALUE"""),55.831)</f>
        <v>55.831000000000003</v>
      </c>
      <c r="I716" s="2">
        <f ca="1">IFERROR(__xludf.DUMMYFUNCTION("""COMPUTED_VALUE"""),54.476)</f>
        <v>54.475999999999999</v>
      </c>
      <c r="J716" s="2">
        <f ca="1">IFERROR(__xludf.DUMMYFUNCTION("""COMPUTED_VALUE"""),43.545)</f>
        <v>43.545000000000002</v>
      </c>
      <c r="K716" s="2">
        <f ca="1">IFERROR(__xludf.DUMMYFUNCTION("""COMPUTED_VALUE"""),54.489)</f>
        <v>54.488999999999997</v>
      </c>
      <c r="L716" s="2">
        <f ca="1">IFERROR(__xludf.DUMMYFUNCTION("""COMPUTED_VALUE"""),9.7754)</f>
        <v>9.7753999999999994</v>
      </c>
      <c r="M716" s="2">
        <f ca="1">IFERROR(__xludf.DUMMYFUNCTION("""COMPUTED_VALUE"""),14.267)</f>
        <v>14.266999999999999</v>
      </c>
      <c r="U716" s="3" t="e">
        <f ca="1"/>
        <v>#NAME?</v>
      </c>
    </row>
    <row r="717" spans="3:21" ht="12.5" x14ac:dyDescent="0.25">
      <c r="C717" s="4">
        <f ca="1">IFERROR(__xludf.DUMMYFUNCTION("""COMPUTED_VALUE"""),41007.9986111111)</f>
        <v>41007.998611111099</v>
      </c>
      <c r="D717" s="2">
        <f ca="1">IFERROR(__xludf.DUMMYFUNCTION("""COMPUTED_VALUE"""),51.033)</f>
        <v>51.033000000000001</v>
      </c>
      <c r="E717" s="2">
        <f ca="1">IFERROR(__xludf.DUMMYFUNCTION("""COMPUTED_VALUE"""),70.258)</f>
        <v>70.257999999999996</v>
      </c>
      <c r="F717" s="2">
        <f ca="1">IFERROR(__xludf.DUMMYFUNCTION("""COMPUTED_VALUE"""),80.33)</f>
        <v>80.33</v>
      </c>
      <c r="G717" s="2">
        <f ca="1">IFERROR(__xludf.DUMMYFUNCTION("""COMPUTED_VALUE"""),0.7102)</f>
        <v>0.71020000000000005</v>
      </c>
      <c r="H717" s="2">
        <f ca="1">IFERROR(__xludf.DUMMYFUNCTION("""COMPUTED_VALUE"""),55.858)</f>
        <v>55.857999999999997</v>
      </c>
      <c r="I717" s="2">
        <f ca="1">IFERROR(__xludf.DUMMYFUNCTION("""COMPUTED_VALUE"""),54.217)</f>
        <v>54.216999999999999</v>
      </c>
      <c r="J717" s="2">
        <f ca="1">IFERROR(__xludf.DUMMYFUNCTION("""COMPUTED_VALUE"""),43.992)</f>
        <v>43.991999999999997</v>
      </c>
      <c r="K717" s="2">
        <f ca="1">IFERROR(__xludf.DUMMYFUNCTION("""COMPUTED_VALUE"""),54.763)</f>
        <v>54.762999999999998</v>
      </c>
      <c r="L717" s="2">
        <f ca="1">IFERROR(__xludf.DUMMYFUNCTION("""COMPUTED_VALUE"""),9.7711)</f>
        <v>9.7711000000000006</v>
      </c>
      <c r="M717" s="2">
        <f ca="1">IFERROR(__xludf.DUMMYFUNCTION("""COMPUTED_VALUE"""),14.304)</f>
        <v>14.304</v>
      </c>
      <c r="U717" s="3" t="e">
        <f ca="1"/>
        <v>#NAME?</v>
      </c>
    </row>
    <row r="718" spans="3:21" ht="12.5" x14ac:dyDescent="0.25">
      <c r="C718" s="4">
        <f ca="1">IFERROR(__xludf.DUMMYFUNCTION("""COMPUTED_VALUE"""),41008.9986111111)</f>
        <v>41008.998611111099</v>
      </c>
      <c r="D718" s="2">
        <f ca="1">IFERROR(__xludf.DUMMYFUNCTION("""COMPUTED_VALUE"""),51.05)</f>
        <v>51.05</v>
      </c>
      <c r="E718" s="2">
        <f ca="1">IFERROR(__xludf.DUMMYFUNCTION("""COMPUTED_VALUE"""),70.921)</f>
        <v>70.921000000000006</v>
      </c>
      <c r="F718" s="2">
        <f ca="1">IFERROR(__xludf.DUMMYFUNCTION("""COMPUTED_VALUE"""),81.141)</f>
        <v>81.141000000000005</v>
      </c>
      <c r="G718" s="2">
        <f ca="1">IFERROR(__xludf.DUMMYFUNCTION("""COMPUTED_VALUE"""),0.7102)</f>
        <v>0.71020000000000005</v>
      </c>
      <c r="H718" s="2">
        <f ca="1">IFERROR(__xludf.DUMMYFUNCTION("""COMPUTED_VALUE"""),55.858)</f>
        <v>55.857999999999997</v>
      </c>
      <c r="I718" s="2">
        <f ca="1">IFERROR(__xludf.DUMMYFUNCTION("""COMPUTED_VALUE"""),54.173)</f>
        <v>54.173000000000002</v>
      </c>
      <c r="J718" s="2">
        <f ca="1">IFERROR(__xludf.DUMMYFUNCTION("""COMPUTED_VALUE"""),44.148)</f>
        <v>44.148000000000003</v>
      </c>
      <c r="K718" s="2">
        <f ca="1">IFERROR(__xludf.DUMMYFUNCTION("""COMPUTED_VALUE"""),54.774)</f>
        <v>54.774000000000001</v>
      </c>
      <c r="L718" s="2">
        <f ca="1">IFERROR(__xludf.DUMMYFUNCTION("""COMPUTED_VALUE"""),9.798)</f>
        <v>9.798</v>
      </c>
      <c r="M718" s="2">
        <f ca="1">IFERROR(__xludf.DUMMYFUNCTION("""COMPUTED_VALUE"""),14.304)</f>
        <v>14.304</v>
      </c>
      <c r="U718" s="3" t="e">
        <f ca="1"/>
        <v>#NAME?</v>
      </c>
    </row>
    <row r="719" spans="3:21" ht="12.5" x14ac:dyDescent="0.25">
      <c r="C719" s="4">
        <f ca="1">IFERROR(__xludf.DUMMYFUNCTION("""COMPUTED_VALUE"""),41009.9986111111)</f>
        <v>41009.998611111099</v>
      </c>
      <c r="D719" s="2">
        <f ca="1">IFERROR(__xludf.DUMMYFUNCTION("""COMPUTED_VALUE"""),51.473)</f>
        <v>51.472999999999999</v>
      </c>
      <c r="E719" s="2">
        <f ca="1">IFERROR(__xludf.DUMMYFUNCTION("""COMPUTED_VALUE"""),71.189)</f>
        <v>71.188999999999993</v>
      </c>
      <c r="F719" s="2">
        <f ca="1">IFERROR(__xludf.DUMMYFUNCTION("""COMPUTED_VALUE"""),80.7)</f>
        <v>80.7</v>
      </c>
      <c r="G719" s="2">
        <f ca="1">IFERROR(__xludf.DUMMYFUNCTION("""COMPUTED_VALUE"""),0.71532)</f>
        <v>0.71531999999999996</v>
      </c>
      <c r="H719" s="2">
        <f ca="1">IFERROR(__xludf.DUMMYFUNCTION("""COMPUTED_VALUE"""),56.487)</f>
        <v>56.487000000000002</v>
      </c>
      <c r="I719" s="2">
        <f ca="1">IFERROR(__xludf.DUMMYFUNCTION("""COMPUTED_VALUE"""),54.173)</f>
        <v>54.173000000000002</v>
      </c>
      <c r="J719" s="2">
        <f ca="1">IFERROR(__xludf.DUMMYFUNCTION("""COMPUTED_VALUE"""),44.203)</f>
        <v>44.203000000000003</v>
      </c>
      <c r="K719" s="2">
        <f ca="1">IFERROR(__xludf.DUMMYFUNCTION("""COMPUTED_VALUE"""),55.037)</f>
        <v>55.036999999999999</v>
      </c>
      <c r="L719" s="2">
        <f ca="1">IFERROR(__xludf.DUMMYFUNCTION("""COMPUTED_VALUE"""),9.8012)</f>
        <v>9.8011999999999997</v>
      </c>
      <c r="M719" s="2">
        <f ca="1">IFERROR(__xludf.DUMMYFUNCTION("""COMPUTED_VALUE"""),14.304)</f>
        <v>14.304</v>
      </c>
      <c r="U719" s="3" t="e">
        <f ca="1"/>
        <v>#NAME?</v>
      </c>
    </row>
    <row r="720" spans="3:21" ht="12.5" x14ac:dyDescent="0.25">
      <c r="C720" s="4">
        <f ca="1">IFERROR(__xludf.DUMMYFUNCTION("""COMPUTED_VALUE"""),41010.9986111111)</f>
        <v>41010.998611111099</v>
      </c>
      <c r="D720" s="2">
        <f ca="1">IFERROR(__xludf.DUMMYFUNCTION("""COMPUTED_VALUE"""),51.418)</f>
        <v>51.417999999999999</v>
      </c>
      <c r="E720" s="2">
        <f ca="1">IFERROR(__xludf.DUMMYFUNCTION("""COMPUTED_VALUE"""),70.563)</f>
        <v>70.563000000000002</v>
      </c>
      <c r="F720" s="2">
        <f ca="1">IFERROR(__xludf.DUMMYFUNCTION("""COMPUTED_VALUE"""),80.701)</f>
        <v>80.700999999999993</v>
      </c>
      <c r="G720" s="2">
        <f ca="1">IFERROR(__xludf.DUMMYFUNCTION("""COMPUTED_VALUE"""),0.71628)</f>
        <v>0.71628000000000003</v>
      </c>
      <c r="H720" s="2">
        <f ca="1">IFERROR(__xludf.DUMMYFUNCTION("""COMPUTED_VALUE"""),56.956)</f>
        <v>56.956000000000003</v>
      </c>
      <c r="I720" s="2">
        <f ca="1">IFERROR(__xludf.DUMMYFUNCTION("""COMPUTED_VALUE"""),54.584)</f>
        <v>54.584000000000003</v>
      </c>
      <c r="J720" s="2">
        <f ca="1">IFERROR(__xludf.DUMMYFUNCTION("""COMPUTED_VALUE"""),44)</f>
        <v>44</v>
      </c>
      <c r="K720" s="2">
        <f ca="1">IFERROR(__xludf.DUMMYFUNCTION("""COMPUTED_VALUE"""),55.24)</f>
        <v>55.24</v>
      </c>
      <c r="L720" s="2">
        <f ca="1">IFERROR(__xludf.DUMMYFUNCTION("""COMPUTED_VALUE"""),9.7687)</f>
        <v>9.7687000000000008</v>
      </c>
      <c r="M720" s="2">
        <f ca="1">IFERROR(__xludf.DUMMYFUNCTION("""COMPUTED_VALUE"""),14.302)</f>
        <v>14.302</v>
      </c>
      <c r="U720" s="3" t="e">
        <f ca="1"/>
        <v>#NAME?</v>
      </c>
    </row>
    <row r="721" spans="3:21" ht="12.5" x14ac:dyDescent="0.25">
      <c r="C721" s="4">
        <f ca="1">IFERROR(__xludf.DUMMYFUNCTION("""COMPUTED_VALUE"""),41011.9986111111)</f>
        <v>41011.998611111099</v>
      </c>
      <c r="D721" s="2">
        <f ca="1">IFERROR(__xludf.DUMMYFUNCTION("""COMPUTED_VALUE"""),51.228)</f>
        <v>51.228000000000002</v>
      </c>
      <c r="E721" s="2">
        <f ca="1">IFERROR(__xludf.DUMMYFUNCTION("""COMPUTED_VALUE"""),71.735)</f>
        <v>71.734999999999999</v>
      </c>
      <c r="F721" s="2">
        <f ca="1">IFERROR(__xludf.DUMMYFUNCTION("""COMPUTED_VALUE"""),81.071)</f>
        <v>81.070999999999998</v>
      </c>
      <c r="G721" s="2">
        <f ca="1">IFERROR(__xludf.DUMMYFUNCTION("""COMPUTED_VALUE"""),0.71272)</f>
        <v>0.71272000000000002</v>
      </c>
      <c r="H721" s="2">
        <f ca="1">IFERROR(__xludf.DUMMYFUNCTION("""COMPUTED_VALUE"""),57.152)</f>
        <v>57.152000000000001</v>
      </c>
      <c r="I721" s="2">
        <f ca="1">IFERROR(__xludf.DUMMYFUNCTION("""COMPUTED_VALUE"""),54.892)</f>
        <v>54.892000000000003</v>
      </c>
      <c r="J721" s="2">
        <f ca="1">IFERROR(__xludf.DUMMYFUNCTION("""COMPUTED_VALUE"""),44.733)</f>
        <v>44.732999999999997</v>
      </c>
      <c r="K721" s="2">
        <f ca="1">IFERROR(__xludf.DUMMYFUNCTION("""COMPUTED_VALUE"""),55.423)</f>
        <v>55.423000000000002</v>
      </c>
      <c r="L721" s="2">
        <f ca="1">IFERROR(__xludf.DUMMYFUNCTION("""COMPUTED_VALUE"""),9.676)</f>
        <v>9.6760000000000002</v>
      </c>
      <c r="M721" s="2">
        <f ca="1">IFERROR(__xludf.DUMMYFUNCTION("""COMPUTED_VALUE"""),16.308)</f>
        <v>16.308</v>
      </c>
      <c r="U721" s="3" t="e">
        <f ca="1"/>
        <v>#NAME?</v>
      </c>
    </row>
    <row r="722" spans="3:21" ht="12.5" x14ac:dyDescent="0.25">
      <c r="C722" s="4">
        <f ca="1">IFERROR(__xludf.DUMMYFUNCTION("""COMPUTED_VALUE"""),41012.9986111111)</f>
        <v>41012.998611111099</v>
      </c>
      <c r="D722" s="2">
        <f ca="1">IFERROR(__xludf.DUMMYFUNCTION("""COMPUTED_VALUE"""),51.543)</f>
        <v>51.542999999999999</v>
      </c>
      <c r="E722" s="2">
        <f ca="1">IFERROR(__xludf.DUMMYFUNCTION("""COMPUTED_VALUE"""),71.736)</f>
        <v>71.736000000000004</v>
      </c>
      <c r="F722" s="2">
        <f ca="1">IFERROR(__xludf.DUMMYFUNCTION("""COMPUTED_VALUE"""),80.69)</f>
        <v>80.69</v>
      </c>
      <c r="G722" s="2">
        <f ca="1">IFERROR(__xludf.DUMMYFUNCTION("""COMPUTED_VALUE"""),0.71487)</f>
        <v>0.71487000000000001</v>
      </c>
      <c r="H722" s="2">
        <f ca="1">IFERROR(__xludf.DUMMYFUNCTION("""COMPUTED_VALUE"""),56.48)</f>
        <v>56.48</v>
      </c>
      <c r="I722" s="2">
        <f ca="1">IFERROR(__xludf.DUMMYFUNCTION("""COMPUTED_VALUE"""),55.047)</f>
        <v>55.046999999999997</v>
      </c>
      <c r="J722" s="2">
        <f ca="1">IFERROR(__xludf.DUMMYFUNCTION("""COMPUTED_VALUE"""),44.735)</f>
        <v>44.734999999999999</v>
      </c>
      <c r="K722" s="2">
        <f ca="1">IFERROR(__xludf.DUMMYFUNCTION("""COMPUTED_VALUE"""),55.952)</f>
        <v>55.951999999999998</v>
      </c>
      <c r="L722" s="2">
        <f ca="1">IFERROR(__xludf.DUMMYFUNCTION("""COMPUTED_VALUE"""),9.7613)</f>
        <v>9.7613000000000003</v>
      </c>
      <c r="M722" s="2">
        <f ca="1">IFERROR(__xludf.DUMMYFUNCTION("""COMPUTED_VALUE"""),14.541)</f>
        <v>14.541</v>
      </c>
      <c r="U722" s="3" t="e">
        <f ca="1"/>
        <v>#NAME?</v>
      </c>
    </row>
    <row r="723" spans="3:21" ht="12.5" x14ac:dyDescent="0.25">
      <c r="C723" s="4">
        <f ca="1">IFERROR(__xludf.DUMMYFUNCTION("""COMPUTED_VALUE"""),41013.9986111111)</f>
        <v>41013.998611111099</v>
      </c>
      <c r="D723" s="2">
        <f ca="1">IFERROR(__xludf.DUMMYFUNCTION("""COMPUTED_VALUE"""),51.543)</f>
        <v>51.542999999999999</v>
      </c>
      <c r="E723" s="2">
        <f ca="1">IFERROR(__xludf.DUMMYFUNCTION("""COMPUTED_VALUE"""),71.737)</f>
        <v>71.736999999999995</v>
      </c>
      <c r="F723" s="2">
        <f ca="1">IFERROR(__xludf.DUMMYFUNCTION("""COMPUTED_VALUE"""),81.201)</f>
        <v>81.200999999999993</v>
      </c>
      <c r="G723" s="2">
        <f ca="1">IFERROR(__xludf.DUMMYFUNCTION("""COMPUTED_VALUE"""),0.69463)</f>
        <v>0.69462999999999997</v>
      </c>
      <c r="H723" s="2">
        <f ca="1">IFERROR(__xludf.DUMMYFUNCTION("""COMPUTED_VALUE"""),57.422)</f>
        <v>57.421999999999997</v>
      </c>
      <c r="I723" s="2">
        <f ca="1">IFERROR(__xludf.DUMMYFUNCTION("""COMPUTED_VALUE"""),54.679)</f>
        <v>54.679000000000002</v>
      </c>
      <c r="J723" s="2">
        <f ca="1">IFERROR(__xludf.DUMMYFUNCTION("""COMPUTED_VALUE"""),44.735)</f>
        <v>44.734999999999999</v>
      </c>
      <c r="K723" s="2">
        <f ca="1">IFERROR(__xludf.DUMMYFUNCTION("""COMPUTED_VALUE"""),56.34)</f>
        <v>56.34</v>
      </c>
      <c r="L723" s="2">
        <f ca="1">IFERROR(__xludf.DUMMYFUNCTION("""COMPUTED_VALUE"""),9.7541)</f>
        <v>9.7540999999999993</v>
      </c>
      <c r="M723" s="2">
        <f ca="1">IFERROR(__xludf.DUMMYFUNCTION("""COMPUTED_VALUE"""),14.557)</f>
        <v>14.557</v>
      </c>
      <c r="U723" s="3" t="e">
        <f ca="1"/>
        <v>#NAME?</v>
      </c>
    </row>
    <row r="724" spans="3:21" ht="12.5" x14ac:dyDescent="0.25">
      <c r="C724" s="4">
        <f ca="1">IFERROR(__xludf.DUMMYFUNCTION("""COMPUTED_VALUE"""),41015.9986111111)</f>
        <v>41015.998611111099</v>
      </c>
      <c r="D724" s="2">
        <f ca="1">IFERROR(__xludf.DUMMYFUNCTION("""COMPUTED_VALUE"""),51.668)</f>
        <v>51.667999999999999</v>
      </c>
      <c r="E724" s="2">
        <f ca="1">IFERROR(__xludf.DUMMYFUNCTION("""COMPUTED_VALUE"""),71.214)</f>
        <v>71.213999999999999</v>
      </c>
      <c r="F724" s="2">
        <f ca="1">IFERROR(__xludf.DUMMYFUNCTION("""COMPUTED_VALUE"""),81.551)</f>
        <v>81.551000000000002</v>
      </c>
      <c r="G724" s="2">
        <f ca="1">IFERROR(__xludf.DUMMYFUNCTION("""COMPUTED_VALUE"""),0.6954)</f>
        <v>0.69540000000000002</v>
      </c>
      <c r="H724" s="2">
        <f ca="1">IFERROR(__xludf.DUMMYFUNCTION("""COMPUTED_VALUE"""),57.484)</f>
        <v>57.484000000000002</v>
      </c>
      <c r="I724" s="2">
        <f ca="1">IFERROR(__xludf.DUMMYFUNCTION("""COMPUTED_VALUE"""),55.704)</f>
        <v>55.704000000000001</v>
      </c>
      <c r="J724" s="2">
        <f ca="1">IFERROR(__xludf.DUMMYFUNCTION("""COMPUTED_VALUE"""),44.446)</f>
        <v>44.445999999999998</v>
      </c>
      <c r="K724" s="2">
        <f ca="1">IFERROR(__xludf.DUMMYFUNCTION("""COMPUTED_VALUE"""),56.386)</f>
        <v>56.386000000000003</v>
      </c>
      <c r="L724" s="2">
        <f ca="1">IFERROR(__xludf.DUMMYFUNCTION("""COMPUTED_VALUE"""),9.7528)</f>
        <v>9.7528000000000006</v>
      </c>
      <c r="M724" s="2">
        <f ca="1">IFERROR(__xludf.DUMMYFUNCTION("""COMPUTED_VALUE"""),14.557)</f>
        <v>14.557</v>
      </c>
      <c r="U724" s="3" t="e">
        <f ca="1"/>
        <v>#NAME?</v>
      </c>
    </row>
    <row r="725" spans="3:21" ht="12.5" x14ac:dyDescent="0.25">
      <c r="C725" s="4">
        <f ca="1">IFERROR(__xludf.DUMMYFUNCTION("""COMPUTED_VALUE"""),41016.9986111111)</f>
        <v>41016.998611111099</v>
      </c>
      <c r="D725" s="2">
        <f ca="1">IFERROR(__xludf.DUMMYFUNCTION("""COMPUTED_VALUE"""),51.468)</f>
        <v>51.468000000000004</v>
      </c>
      <c r="E725" s="2">
        <f ca="1">IFERROR(__xludf.DUMMYFUNCTION("""COMPUTED_VALUE"""),71.152)</f>
        <v>71.152000000000001</v>
      </c>
      <c r="F725" s="2">
        <f ca="1">IFERROR(__xludf.DUMMYFUNCTION("""COMPUTED_VALUE"""),81.768)</f>
        <v>81.768000000000001</v>
      </c>
      <c r="G725" s="2">
        <f ca="1">IFERROR(__xludf.DUMMYFUNCTION("""COMPUTED_VALUE"""),0.69681)</f>
        <v>0.69681000000000004</v>
      </c>
      <c r="H725" s="2">
        <f ca="1">IFERROR(__xludf.DUMMYFUNCTION("""COMPUTED_VALUE"""),57.484)</f>
        <v>57.484000000000002</v>
      </c>
      <c r="I725" s="2">
        <f ca="1">IFERROR(__xludf.DUMMYFUNCTION("""COMPUTED_VALUE"""),55.706)</f>
        <v>55.706000000000003</v>
      </c>
      <c r="J725" s="2">
        <f ca="1">IFERROR(__xludf.DUMMYFUNCTION("""COMPUTED_VALUE"""),44.577)</f>
        <v>44.576999999999998</v>
      </c>
      <c r="K725" s="2">
        <f ca="1">IFERROR(__xludf.DUMMYFUNCTION("""COMPUTED_VALUE"""),55.405)</f>
        <v>55.405000000000001</v>
      </c>
      <c r="L725" s="2">
        <f ca="1">IFERROR(__xludf.DUMMYFUNCTION("""COMPUTED_VALUE"""),9.7505)</f>
        <v>9.7505000000000006</v>
      </c>
      <c r="M725" s="2">
        <f ca="1">IFERROR(__xludf.DUMMYFUNCTION("""COMPUTED_VALUE"""),14.557)</f>
        <v>14.557</v>
      </c>
      <c r="U725" s="3" t="e">
        <f ca="1"/>
        <v>#NAME?</v>
      </c>
    </row>
    <row r="726" spans="3:21" ht="12.5" x14ac:dyDescent="0.25">
      <c r="C726" s="4">
        <f ca="1">IFERROR(__xludf.DUMMYFUNCTION("""COMPUTED_VALUE"""),41017.9986111111)</f>
        <v>41017.998611111099</v>
      </c>
      <c r="D726" s="2">
        <f ca="1">IFERROR(__xludf.DUMMYFUNCTION("""COMPUTED_VALUE"""),51.788)</f>
        <v>51.787999999999997</v>
      </c>
      <c r="E726" s="2">
        <f ca="1">IFERROR(__xludf.DUMMYFUNCTION("""COMPUTED_VALUE"""),70.876)</f>
        <v>70.876000000000005</v>
      </c>
      <c r="F726" s="2">
        <f ca="1">IFERROR(__xludf.DUMMYFUNCTION("""COMPUTED_VALUE"""),81.652)</f>
        <v>81.652000000000001</v>
      </c>
      <c r="G726" s="2">
        <f ca="1">IFERROR(__xludf.DUMMYFUNCTION("""COMPUTED_VALUE"""),0.68018)</f>
        <v>0.68018000000000001</v>
      </c>
      <c r="H726" s="2">
        <f ca="1">IFERROR(__xludf.DUMMYFUNCTION("""COMPUTED_VALUE"""),57.003)</f>
        <v>57.003</v>
      </c>
      <c r="I726" s="2">
        <f ca="1">IFERROR(__xludf.DUMMYFUNCTION("""COMPUTED_VALUE"""),55.771)</f>
        <v>55.771000000000001</v>
      </c>
      <c r="J726" s="2">
        <f ca="1">IFERROR(__xludf.DUMMYFUNCTION("""COMPUTED_VALUE"""),44.512)</f>
        <v>44.512</v>
      </c>
      <c r="K726" s="2">
        <f ca="1">IFERROR(__xludf.DUMMYFUNCTION("""COMPUTED_VALUE"""),56.445)</f>
        <v>56.445</v>
      </c>
      <c r="L726" s="2">
        <f ca="1">IFERROR(__xludf.DUMMYFUNCTION("""COMPUTED_VALUE"""),9.7579)</f>
        <v>9.7578999999999994</v>
      </c>
      <c r="M726" s="2">
        <f ca="1">IFERROR(__xludf.DUMMYFUNCTION("""COMPUTED_VALUE"""),14.403)</f>
        <v>14.403</v>
      </c>
      <c r="U726" s="3" t="e">
        <f ca="1"/>
        <v>#NAME?</v>
      </c>
    </row>
    <row r="727" spans="3:21" ht="12.5" x14ac:dyDescent="0.25">
      <c r="C727" s="4">
        <f ca="1">IFERROR(__xludf.DUMMYFUNCTION("""COMPUTED_VALUE"""),41018.9986111111)</f>
        <v>41018.998611111099</v>
      </c>
      <c r="D727" s="2">
        <f ca="1">IFERROR(__xludf.DUMMYFUNCTION("""COMPUTED_VALUE"""),52.138)</f>
        <v>52.137999999999998</v>
      </c>
      <c r="E727" s="2">
        <f ca="1">IFERROR(__xludf.DUMMYFUNCTION("""COMPUTED_VALUE"""),70.6)</f>
        <v>70.599999999999994</v>
      </c>
      <c r="F727" s="2">
        <f ca="1">IFERROR(__xludf.DUMMYFUNCTION("""COMPUTED_VALUE"""),81.594)</f>
        <v>81.593999999999994</v>
      </c>
      <c r="G727" s="2">
        <f ca="1">IFERROR(__xludf.DUMMYFUNCTION("""COMPUTED_VALUE"""),0.68103)</f>
        <v>0.68103000000000002</v>
      </c>
      <c r="H727" s="2">
        <f ca="1">IFERROR(__xludf.DUMMYFUNCTION("""COMPUTED_VALUE"""),57.297)</f>
        <v>57.296999999999997</v>
      </c>
      <c r="I727" s="2">
        <f ca="1">IFERROR(__xludf.DUMMYFUNCTION("""COMPUTED_VALUE"""),55.346)</f>
        <v>55.345999999999997</v>
      </c>
      <c r="J727" s="2">
        <f ca="1">IFERROR(__xludf.DUMMYFUNCTION("""COMPUTED_VALUE"""),44.273)</f>
        <v>44.273000000000003</v>
      </c>
      <c r="K727" s="2">
        <f ca="1">IFERROR(__xludf.DUMMYFUNCTION("""COMPUTED_VALUE"""),55.953)</f>
        <v>55.953000000000003</v>
      </c>
      <c r="L727" s="2">
        <f ca="1">IFERROR(__xludf.DUMMYFUNCTION("""COMPUTED_VALUE"""),9.7402)</f>
        <v>9.7401999999999997</v>
      </c>
      <c r="M727" s="2">
        <f ca="1">IFERROR(__xludf.DUMMYFUNCTION("""COMPUTED_VALUE"""),14.462)</f>
        <v>14.462</v>
      </c>
      <c r="U727" s="3" t="e">
        <f ca="1"/>
        <v>#NAME?</v>
      </c>
    </row>
    <row r="728" spans="3:21" ht="12.5" x14ac:dyDescent="0.25">
      <c r="C728" s="4">
        <f ca="1">IFERROR(__xludf.DUMMYFUNCTION("""COMPUTED_VALUE"""),41019.9986111111)</f>
        <v>41019.998611111099</v>
      </c>
      <c r="D728" s="2">
        <f ca="1">IFERROR(__xludf.DUMMYFUNCTION("""COMPUTED_VALUE"""),52.068)</f>
        <v>52.067999999999998</v>
      </c>
      <c r="E728" s="2">
        <f ca="1">IFERROR(__xludf.DUMMYFUNCTION("""COMPUTED_VALUE"""),70.21)</f>
        <v>70.209999999999994</v>
      </c>
      <c r="F728" s="2">
        <f ca="1">IFERROR(__xludf.DUMMYFUNCTION("""COMPUTED_VALUE"""),81.48)</f>
        <v>81.48</v>
      </c>
      <c r="G728" s="2">
        <f ca="1">IFERROR(__xludf.DUMMYFUNCTION("""COMPUTED_VALUE"""),0.68678)</f>
        <v>0.68677999999999995</v>
      </c>
      <c r="H728" s="2">
        <f ca="1">IFERROR(__xludf.DUMMYFUNCTION("""COMPUTED_VALUE"""),57.315)</f>
        <v>57.314999999999998</v>
      </c>
      <c r="I728" s="2">
        <f ca="1">IFERROR(__xludf.DUMMYFUNCTION("""COMPUTED_VALUE"""),55.607)</f>
        <v>55.606999999999999</v>
      </c>
      <c r="J728" s="2">
        <f ca="1">IFERROR(__xludf.DUMMYFUNCTION("""COMPUTED_VALUE"""),43.807)</f>
        <v>43.807000000000002</v>
      </c>
      <c r="K728" s="2">
        <f ca="1">IFERROR(__xludf.DUMMYFUNCTION("""COMPUTED_VALUE"""),56.037)</f>
        <v>56.036999999999999</v>
      </c>
      <c r="L728" s="2">
        <f ca="1">IFERROR(__xludf.DUMMYFUNCTION("""COMPUTED_VALUE"""),9.7655)</f>
        <v>9.7654999999999994</v>
      </c>
      <c r="M728" s="2">
        <f ca="1">IFERROR(__xludf.DUMMYFUNCTION("""COMPUTED_VALUE"""),14.652)</f>
        <v>14.651999999999999</v>
      </c>
      <c r="U728" s="3" t="e">
        <f ca="1"/>
        <v>#NAME?</v>
      </c>
    </row>
    <row r="729" spans="3:21" ht="12.5" x14ac:dyDescent="0.25">
      <c r="C729" s="4">
        <f ca="1">IFERROR(__xludf.DUMMYFUNCTION("""COMPUTED_VALUE"""),41021.9986111111)</f>
        <v>41021.998611111099</v>
      </c>
      <c r="D729" s="2">
        <f ca="1">IFERROR(__xludf.DUMMYFUNCTION("""COMPUTED_VALUE"""),52.068)</f>
        <v>52.067999999999998</v>
      </c>
      <c r="E729" s="2">
        <f ca="1">IFERROR(__xludf.DUMMYFUNCTION("""COMPUTED_VALUE"""),70.21)</f>
        <v>70.209999999999994</v>
      </c>
      <c r="F729" s="2">
        <f ca="1">IFERROR(__xludf.DUMMYFUNCTION("""COMPUTED_VALUE"""),80.615)</f>
        <v>80.614999999999995</v>
      </c>
      <c r="G729" s="2">
        <f ca="1">IFERROR(__xludf.DUMMYFUNCTION("""COMPUTED_VALUE"""),0.69495)</f>
        <v>0.69494999999999996</v>
      </c>
      <c r="H729" s="2">
        <f ca="1">IFERROR(__xludf.DUMMYFUNCTION("""COMPUTED_VALUE"""),56.91)</f>
        <v>56.91</v>
      </c>
      <c r="I729" s="2">
        <f ca="1">IFERROR(__xludf.DUMMYFUNCTION("""COMPUTED_VALUE"""),55.442)</f>
        <v>55.442</v>
      </c>
      <c r="J729" s="2">
        <f ca="1">IFERROR(__xludf.DUMMYFUNCTION("""COMPUTED_VALUE"""),43.809)</f>
        <v>43.808999999999997</v>
      </c>
      <c r="K729" s="2">
        <f ca="1">IFERROR(__xludf.DUMMYFUNCTION("""COMPUTED_VALUE"""),56.662)</f>
        <v>56.661999999999999</v>
      </c>
      <c r="L729" s="2">
        <f ca="1">IFERROR(__xludf.DUMMYFUNCTION("""COMPUTED_VALUE"""),9.8013)</f>
        <v>9.8012999999999995</v>
      </c>
      <c r="M729" s="2">
        <f ca="1">IFERROR(__xludf.DUMMYFUNCTION("""COMPUTED_VALUE"""),14.499)</f>
        <v>14.499000000000001</v>
      </c>
      <c r="U729" s="3" t="e">
        <f ca="1"/>
        <v>#NAME?</v>
      </c>
    </row>
    <row r="730" spans="3:21" ht="12.5" x14ac:dyDescent="0.25">
      <c r="C730" s="4">
        <f ca="1">IFERROR(__xludf.DUMMYFUNCTION("""COMPUTED_VALUE"""),41022.9986111111)</f>
        <v>41022.998611111099</v>
      </c>
      <c r="D730" s="2">
        <f ca="1">IFERROR(__xludf.DUMMYFUNCTION("""COMPUTED_VALUE"""),52.498)</f>
        <v>52.497999999999998</v>
      </c>
      <c r="E730" s="2">
        <f ca="1">IFERROR(__xludf.DUMMYFUNCTION("""COMPUTED_VALUE"""),70.21)</f>
        <v>70.209999999999994</v>
      </c>
      <c r="F730" s="2">
        <f ca="1">IFERROR(__xludf.DUMMYFUNCTION("""COMPUTED_VALUE"""),82.076)</f>
        <v>82.075999999999993</v>
      </c>
      <c r="G730" s="2">
        <f ca="1">IFERROR(__xludf.DUMMYFUNCTION("""COMPUTED_VALUE"""),0.69536)</f>
        <v>0.69535999999999998</v>
      </c>
      <c r="H730" s="2">
        <f ca="1">IFERROR(__xludf.DUMMYFUNCTION("""COMPUTED_VALUE"""),56.804)</f>
        <v>56.804000000000002</v>
      </c>
      <c r="I730" s="2">
        <f ca="1">IFERROR(__xludf.DUMMYFUNCTION("""COMPUTED_VALUE"""),54.895)</f>
        <v>54.895000000000003</v>
      </c>
      <c r="J730" s="2">
        <f ca="1">IFERROR(__xludf.DUMMYFUNCTION("""COMPUTED_VALUE"""),43.809)</f>
        <v>43.808999999999997</v>
      </c>
      <c r="K730" s="2">
        <f ca="1">IFERROR(__xludf.DUMMYFUNCTION("""COMPUTED_VALUE"""),56.363)</f>
        <v>56.363</v>
      </c>
      <c r="L730" s="2">
        <f ca="1">IFERROR(__xludf.DUMMYFUNCTION("""COMPUTED_VALUE"""),9.8352)</f>
        <v>9.8352000000000004</v>
      </c>
      <c r="M730" s="2">
        <f ca="1">IFERROR(__xludf.DUMMYFUNCTION("""COMPUTED_VALUE"""),14.6)</f>
        <v>14.6</v>
      </c>
      <c r="U730" s="3" t="e">
        <f ca="1"/>
        <v>#NAME?</v>
      </c>
    </row>
    <row r="731" spans="3:21" ht="12.5" x14ac:dyDescent="0.25">
      <c r="C731" s="4">
        <f ca="1">IFERROR(__xludf.DUMMYFUNCTION("""COMPUTED_VALUE"""),41023.9986111111)</f>
        <v>41023.998611111099</v>
      </c>
      <c r="D731" s="2">
        <f ca="1">IFERROR(__xludf.DUMMYFUNCTION("""COMPUTED_VALUE"""),52.673)</f>
        <v>52.673000000000002</v>
      </c>
      <c r="E731" s="2">
        <f ca="1">IFERROR(__xludf.DUMMYFUNCTION("""COMPUTED_VALUE"""),69.679)</f>
        <v>69.679000000000002</v>
      </c>
      <c r="F731" s="2">
        <f ca="1">IFERROR(__xludf.DUMMYFUNCTION("""COMPUTED_VALUE"""),81.927)</f>
        <v>81.927000000000007</v>
      </c>
      <c r="G731" s="2">
        <f ca="1">IFERROR(__xludf.DUMMYFUNCTION("""COMPUTED_VALUE"""),0.70094)</f>
        <v>0.70094000000000001</v>
      </c>
      <c r="H731" s="2">
        <f ca="1">IFERROR(__xludf.DUMMYFUNCTION("""COMPUTED_VALUE"""),56.804)</f>
        <v>56.804000000000002</v>
      </c>
      <c r="I731" s="2">
        <f ca="1">IFERROR(__xludf.DUMMYFUNCTION("""COMPUTED_VALUE"""),54.527)</f>
        <v>54.527000000000001</v>
      </c>
      <c r="J731" s="2">
        <f ca="1">IFERROR(__xludf.DUMMYFUNCTION("""COMPUTED_VALUE"""),43.676)</f>
        <v>43.676000000000002</v>
      </c>
      <c r="K731" s="2">
        <f ca="1">IFERROR(__xludf.DUMMYFUNCTION("""COMPUTED_VALUE"""),56.356)</f>
        <v>56.356000000000002</v>
      </c>
      <c r="L731" s="2">
        <f ca="1">IFERROR(__xludf.DUMMYFUNCTION("""COMPUTED_VALUE"""),9.6744)</f>
        <v>9.6744000000000003</v>
      </c>
      <c r="M731" s="2">
        <f ca="1">IFERROR(__xludf.DUMMYFUNCTION("""COMPUTED_VALUE"""),14.6)</f>
        <v>14.6</v>
      </c>
      <c r="U731" s="3" t="e">
        <f ca="1"/>
        <v>#NAME?</v>
      </c>
    </row>
    <row r="732" spans="3:21" ht="12.5" x14ac:dyDescent="0.25">
      <c r="C732" s="4">
        <f ca="1">IFERROR(__xludf.DUMMYFUNCTION("""COMPUTED_VALUE"""),41024.9986111111)</f>
        <v>41024.998611111099</v>
      </c>
      <c r="D732" s="2">
        <f ca="1">IFERROR(__xludf.DUMMYFUNCTION("""COMPUTED_VALUE"""),52.538)</f>
        <v>52.537999999999997</v>
      </c>
      <c r="E732" s="2">
        <f ca="1">IFERROR(__xludf.DUMMYFUNCTION("""COMPUTED_VALUE"""),68.444)</f>
        <v>68.444000000000003</v>
      </c>
      <c r="F732" s="2">
        <f ca="1">IFERROR(__xludf.DUMMYFUNCTION("""COMPUTED_VALUE"""),82.861)</f>
        <v>82.861000000000004</v>
      </c>
      <c r="G732" s="2">
        <f ca="1">IFERROR(__xludf.DUMMYFUNCTION("""COMPUTED_VALUE"""),0.69664)</f>
        <v>0.69664000000000004</v>
      </c>
      <c r="H732" s="2">
        <f ca="1">IFERROR(__xludf.DUMMYFUNCTION("""COMPUTED_VALUE"""),56.804)</f>
        <v>56.804000000000002</v>
      </c>
      <c r="I732" s="2">
        <f ca="1">IFERROR(__xludf.DUMMYFUNCTION("""COMPUTED_VALUE"""),54.537)</f>
        <v>54.536999999999999</v>
      </c>
      <c r="J732" s="2">
        <f ca="1">IFERROR(__xludf.DUMMYFUNCTION("""COMPUTED_VALUE"""),42.987)</f>
        <v>42.987000000000002</v>
      </c>
      <c r="K732" s="2">
        <f ca="1">IFERROR(__xludf.DUMMYFUNCTION("""COMPUTED_VALUE"""),56.242)</f>
        <v>56.241999999999997</v>
      </c>
      <c r="L732" s="2">
        <f ca="1">IFERROR(__xludf.DUMMYFUNCTION("""COMPUTED_VALUE"""),9.8569)</f>
        <v>9.8568999999999996</v>
      </c>
      <c r="M732" s="2">
        <f ca="1">IFERROR(__xludf.DUMMYFUNCTION("""COMPUTED_VALUE"""),14.601)</f>
        <v>14.601000000000001</v>
      </c>
      <c r="U732" s="3" t="e">
        <f ca="1"/>
        <v>#NAME?</v>
      </c>
    </row>
    <row r="733" spans="3:21" ht="12.5" x14ac:dyDescent="0.25">
      <c r="C733" s="4">
        <f ca="1">IFERROR(__xludf.DUMMYFUNCTION("""COMPUTED_VALUE"""),41025.9986111111)</f>
        <v>41025.998611111099</v>
      </c>
      <c r="D733" s="2">
        <f ca="1">IFERROR(__xludf.DUMMYFUNCTION("""COMPUTED_VALUE"""),52.403)</f>
        <v>52.402999999999999</v>
      </c>
      <c r="E733" s="2">
        <f ca="1">IFERROR(__xludf.DUMMYFUNCTION("""COMPUTED_VALUE"""),68.127)</f>
        <v>68.126999999999995</v>
      </c>
      <c r="F733" s="2">
        <f ca="1">IFERROR(__xludf.DUMMYFUNCTION("""COMPUTED_VALUE"""),83.631)</f>
        <v>83.631</v>
      </c>
      <c r="G733" s="2">
        <f ca="1">IFERROR(__xludf.DUMMYFUNCTION("""COMPUTED_VALUE"""),0.69754)</f>
        <v>0.69754000000000005</v>
      </c>
      <c r="H733" s="2">
        <f ca="1">IFERROR(__xludf.DUMMYFUNCTION("""COMPUTED_VALUE"""),56.765)</f>
        <v>56.765000000000001</v>
      </c>
      <c r="I733" s="2">
        <f ca="1">IFERROR(__xludf.DUMMYFUNCTION("""COMPUTED_VALUE"""),54.537)</f>
        <v>54.536999999999999</v>
      </c>
      <c r="J733" s="2">
        <f ca="1">IFERROR(__xludf.DUMMYFUNCTION("""COMPUTED_VALUE"""),42.951)</f>
        <v>42.951000000000001</v>
      </c>
      <c r="K733" s="2">
        <f ca="1">IFERROR(__xludf.DUMMYFUNCTION("""COMPUTED_VALUE"""),55.469)</f>
        <v>55.469000000000001</v>
      </c>
      <c r="L733" s="2">
        <f ca="1">IFERROR(__xludf.DUMMYFUNCTION("""COMPUTED_VALUE"""),9.9259)</f>
        <v>9.9259000000000004</v>
      </c>
      <c r="M733" s="2">
        <f ca="1">IFERROR(__xludf.DUMMYFUNCTION("""COMPUTED_VALUE"""),14.69)</f>
        <v>14.69</v>
      </c>
      <c r="U733" s="3" t="e">
        <f ca="1"/>
        <v>#NAME?</v>
      </c>
    </row>
    <row r="734" spans="3:21" ht="12.5" x14ac:dyDescent="0.25">
      <c r="C734" s="4">
        <f ca="1">IFERROR(__xludf.DUMMYFUNCTION("""COMPUTED_VALUE"""),41026.9986111111)</f>
        <v>41026.998611111099</v>
      </c>
      <c r="D734" s="2">
        <f ca="1">IFERROR(__xludf.DUMMYFUNCTION("""COMPUTED_VALUE"""),52.538)</f>
        <v>52.537999999999997</v>
      </c>
      <c r="E734" s="2">
        <f ca="1">IFERROR(__xludf.DUMMYFUNCTION("""COMPUTED_VALUE"""),67.964)</f>
        <v>67.963999999999999</v>
      </c>
      <c r="F734" s="2">
        <f ca="1">IFERROR(__xludf.DUMMYFUNCTION("""COMPUTED_VALUE"""),83.86)</f>
        <v>83.86</v>
      </c>
      <c r="G734" s="2">
        <f ca="1">IFERROR(__xludf.DUMMYFUNCTION("""COMPUTED_VALUE"""),0.70443)</f>
        <v>0.70443</v>
      </c>
      <c r="H734" s="2">
        <f ca="1">IFERROR(__xludf.DUMMYFUNCTION("""COMPUTED_VALUE"""),55.855)</f>
        <v>55.854999999999997</v>
      </c>
      <c r="I734" s="2">
        <f ca="1">IFERROR(__xludf.DUMMYFUNCTION("""COMPUTED_VALUE"""),54.458)</f>
        <v>54.457999999999998</v>
      </c>
      <c r="J734" s="2">
        <f ca="1">IFERROR(__xludf.DUMMYFUNCTION("""COMPUTED_VALUE"""),43.4)</f>
        <v>43.4</v>
      </c>
      <c r="K734" s="2">
        <f ca="1">IFERROR(__xludf.DUMMYFUNCTION("""COMPUTED_VALUE"""),55.752)</f>
        <v>55.752000000000002</v>
      </c>
      <c r="L734" s="2">
        <f ca="1">IFERROR(__xludf.DUMMYFUNCTION("""COMPUTED_VALUE"""),9.919)</f>
        <v>9.9190000000000005</v>
      </c>
      <c r="M734" s="2">
        <f ca="1">IFERROR(__xludf.DUMMYFUNCTION("""COMPUTED_VALUE"""),14.644)</f>
        <v>14.644</v>
      </c>
      <c r="U734" s="3" t="e">
        <f ca="1"/>
        <v>#NAME?</v>
      </c>
    </row>
    <row r="735" spans="3:21" ht="12.5" x14ac:dyDescent="0.25">
      <c r="C735" s="4">
        <f ca="1">IFERROR(__xludf.DUMMYFUNCTION("""COMPUTED_VALUE"""),41028.9986111111)</f>
        <v>41028.998611111099</v>
      </c>
      <c r="D735" s="2">
        <f ca="1">IFERROR(__xludf.DUMMYFUNCTION("""COMPUTED_VALUE"""),52.538)</f>
        <v>52.537999999999997</v>
      </c>
      <c r="E735" s="2">
        <f ca="1">IFERROR(__xludf.DUMMYFUNCTION("""COMPUTED_VALUE"""),68.072)</f>
        <v>68.072000000000003</v>
      </c>
      <c r="F735" s="2">
        <f ca="1">IFERROR(__xludf.DUMMYFUNCTION("""COMPUTED_VALUE"""),83.86)</f>
        <v>83.86</v>
      </c>
      <c r="G735" s="2">
        <f ca="1">IFERROR(__xludf.DUMMYFUNCTION("""COMPUTED_VALUE"""),0.6955)</f>
        <v>0.69550000000000001</v>
      </c>
      <c r="H735" s="2">
        <f ca="1">IFERROR(__xludf.DUMMYFUNCTION("""COMPUTED_VALUE"""),55.883)</f>
        <v>55.883000000000003</v>
      </c>
      <c r="I735" s="2">
        <f ca="1">IFERROR(__xludf.DUMMYFUNCTION("""COMPUTED_VALUE"""),53.636)</f>
        <v>53.636000000000003</v>
      </c>
      <c r="J735" s="2">
        <f ca="1">IFERROR(__xludf.DUMMYFUNCTION("""COMPUTED_VALUE"""),43.564)</f>
        <v>43.564</v>
      </c>
      <c r="K735" s="2">
        <f ca="1">IFERROR(__xludf.DUMMYFUNCTION("""COMPUTED_VALUE"""),55.485)</f>
        <v>55.484999999999999</v>
      </c>
      <c r="L735" s="2">
        <f ca="1">IFERROR(__xludf.DUMMYFUNCTION("""COMPUTED_VALUE"""),9.9376)</f>
        <v>9.9375999999999998</v>
      </c>
      <c r="M735" s="2">
        <f ca="1">IFERROR(__xludf.DUMMYFUNCTION("""COMPUTED_VALUE"""),14.835)</f>
        <v>14.835000000000001</v>
      </c>
      <c r="U735" s="3" t="e">
        <f ca="1"/>
        <v>#NAME?</v>
      </c>
    </row>
    <row r="736" spans="3:21" ht="12.5" x14ac:dyDescent="0.25">
      <c r="C736" s="4">
        <f ca="1">IFERROR(__xludf.DUMMYFUNCTION("""COMPUTED_VALUE"""),41029.9986111111)</f>
        <v>41029.998611111099</v>
      </c>
      <c r="D736" s="2">
        <f ca="1">IFERROR(__xludf.DUMMYFUNCTION("""COMPUTED_VALUE"""),52.658)</f>
        <v>52.658000000000001</v>
      </c>
      <c r="E736" s="2">
        <f ca="1">IFERROR(__xludf.DUMMYFUNCTION("""COMPUTED_VALUE"""),68.085)</f>
        <v>68.084999999999994</v>
      </c>
      <c r="F736" s="2">
        <f ca="1">IFERROR(__xludf.DUMMYFUNCTION("""COMPUTED_VALUE"""),83.859)</f>
        <v>83.858999999999995</v>
      </c>
      <c r="G736" s="2">
        <f ca="1">IFERROR(__xludf.DUMMYFUNCTION("""COMPUTED_VALUE"""),0.69614)</f>
        <v>0.69613999999999998</v>
      </c>
      <c r="H736" s="2">
        <f ca="1">IFERROR(__xludf.DUMMYFUNCTION("""COMPUTED_VALUE"""),56.429)</f>
        <v>56.429000000000002</v>
      </c>
      <c r="I736" s="2">
        <f ca="1">IFERROR(__xludf.DUMMYFUNCTION("""COMPUTED_VALUE"""),53.681)</f>
        <v>53.680999999999997</v>
      </c>
      <c r="J736" s="2">
        <f ca="1">IFERROR(__xludf.DUMMYFUNCTION("""COMPUTED_VALUE"""),43.566)</f>
        <v>43.566000000000003</v>
      </c>
      <c r="K736" s="2">
        <f ca="1">IFERROR(__xludf.DUMMYFUNCTION("""COMPUTED_VALUE"""),55.564)</f>
        <v>55.564</v>
      </c>
      <c r="L736" s="2">
        <f ca="1">IFERROR(__xludf.DUMMYFUNCTION("""COMPUTED_VALUE"""),9.8949)</f>
        <v>9.8948999999999998</v>
      </c>
      <c r="M736" s="2">
        <f ca="1">IFERROR(__xludf.DUMMYFUNCTION("""COMPUTED_VALUE"""),14.829)</f>
        <v>14.829000000000001</v>
      </c>
      <c r="U736" s="3" t="e">
        <f ca="1"/>
        <v>#NAME?</v>
      </c>
    </row>
    <row r="737" spans="3:21" ht="12.5" x14ac:dyDescent="0.25">
      <c r="C737" s="4">
        <f ca="1">IFERROR(__xludf.DUMMYFUNCTION("""COMPUTED_VALUE"""),41030.9986111111)</f>
        <v>41030.998611111099</v>
      </c>
      <c r="D737" s="2">
        <f ca="1">IFERROR(__xludf.DUMMYFUNCTION("""COMPUTED_VALUE"""),52.53)</f>
        <v>52.53</v>
      </c>
      <c r="E737" s="2">
        <f ca="1">IFERROR(__xludf.DUMMYFUNCTION("""COMPUTED_VALUE"""),68.694)</f>
        <v>68.694000000000003</v>
      </c>
      <c r="F737" s="2">
        <f ca="1">IFERROR(__xludf.DUMMYFUNCTION("""COMPUTED_VALUE"""),84.555)</f>
        <v>84.555000000000007</v>
      </c>
      <c r="G737" s="2">
        <f ca="1">IFERROR(__xludf.DUMMYFUNCTION("""COMPUTED_VALUE"""),0.69762)</f>
        <v>0.69762000000000002</v>
      </c>
      <c r="H737" s="2">
        <f ca="1">IFERROR(__xludf.DUMMYFUNCTION("""COMPUTED_VALUE"""),56.576)</f>
        <v>56.576000000000001</v>
      </c>
      <c r="I737" s="2">
        <f ca="1">IFERROR(__xludf.DUMMYFUNCTION("""COMPUTED_VALUE"""),54.082)</f>
        <v>54.082000000000001</v>
      </c>
      <c r="J737" s="2">
        <f ca="1">IFERROR(__xludf.DUMMYFUNCTION("""COMPUTED_VALUE"""),43.566)</f>
        <v>43.566000000000003</v>
      </c>
      <c r="K737" s="2">
        <f ca="1">IFERROR(__xludf.DUMMYFUNCTION("""COMPUTED_VALUE"""),55.694)</f>
        <v>55.694000000000003</v>
      </c>
      <c r="L737" s="2">
        <f ca="1">IFERROR(__xludf.DUMMYFUNCTION("""COMPUTED_VALUE"""),9.8949)</f>
        <v>9.8948999999999998</v>
      </c>
      <c r="M737" s="2">
        <f ca="1">IFERROR(__xludf.DUMMYFUNCTION("""COMPUTED_VALUE"""),14.816)</f>
        <v>14.816000000000001</v>
      </c>
      <c r="U737" s="3" t="e">
        <f ca="1"/>
        <v>#NAME?</v>
      </c>
    </row>
    <row r="738" spans="3:21" ht="12.5" x14ac:dyDescent="0.25">
      <c r="C738" s="4">
        <f ca="1">IFERROR(__xludf.DUMMYFUNCTION("""COMPUTED_VALUE"""),41031.9986111111)</f>
        <v>41031.998611111099</v>
      </c>
      <c r="D738" s="2">
        <f ca="1">IFERROR(__xludf.DUMMYFUNCTION("""COMPUTED_VALUE"""),52.958)</f>
        <v>52.957999999999998</v>
      </c>
      <c r="E738" s="2">
        <f ca="1">IFERROR(__xludf.DUMMYFUNCTION("""COMPUTED_VALUE"""),67.773)</f>
        <v>67.772999999999996</v>
      </c>
      <c r="F738" s="2">
        <f ca="1">IFERROR(__xludf.DUMMYFUNCTION("""COMPUTED_VALUE"""),84.946)</f>
        <v>84.945999999999998</v>
      </c>
      <c r="G738" s="2">
        <f ca="1">IFERROR(__xludf.DUMMYFUNCTION("""COMPUTED_VALUE"""),0.69559)</f>
        <v>0.69559000000000004</v>
      </c>
      <c r="H738" s="2">
        <f ca="1">IFERROR(__xludf.DUMMYFUNCTION("""COMPUTED_VALUE"""),56.572)</f>
        <v>56.572000000000003</v>
      </c>
      <c r="I738" s="2">
        <f ca="1">IFERROR(__xludf.DUMMYFUNCTION("""COMPUTED_VALUE"""),54.347)</f>
        <v>54.347000000000001</v>
      </c>
      <c r="J738" s="2">
        <f ca="1">IFERROR(__xludf.DUMMYFUNCTION("""COMPUTED_VALUE"""),43.932)</f>
        <v>43.932000000000002</v>
      </c>
      <c r="K738" s="2">
        <f ca="1">IFERROR(__xludf.DUMMYFUNCTION("""COMPUTED_VALUE"""),55.489)</f>
        <v>55.488999999999997</v>
      </c>
      <c r="L738" s="2">
        <f ca="1">IFERROR(__xludf.DUMMYFUNCTION("""COMPUTED_VALUE"""),9.9637)</f>
        <v>9.9636999999999993</v>
      </c>
      <c r="M738" s="2">
        <f ca="1">IFERROR(__xludf.DUMMYFUNCTION("""COMPUTED_VALUE"""),14.816)</f>
        <v>14.816000000000001</v>
      </c>
      <c r="U738" s="3" t="e">
        <f ca="1"/>
        <v>#NAME?</v>
      </c>
    </row>
    <row r="739" spans="3:21" ht="12.5" x14ac:dyDescent="0.25">
      <c r="C739" s="4">
        <f ca="1">IFERROR(__xludf.DUMMYFUNCTION("""COMPUTED_VALUE"""),41032.9986111111)</f>
        <v>41032.998611111099</v>
      </c>
      <c r="D739" s="2">
        <f ca="1">IFERROR(__xludf.DUMMYFUNCTION("""COMPUTED_VALUE"""),53.408)</f>
        <v>53.408000000000001</v>
      </c>
      <c r="E739" s="2">
        <f ca="1">IFERROR(__xludf.DUMMYFUNCTION("""COMPUTED_VALUE"""),68.036)</f>
        <v>68.036000000000001</v>
      </c>
      <c r="F739" s="2">
        <f ca="1">IFERROR(__xludf.DUMMYFUNCTION("""COMPUTED_VALUE"""),84.834)</f>
        <v>84.834000000000003</v>
      </c>
      <c r="G739" s="2">
        <f ca="1">IFERROR(__xludf.DUMMYFUNCTION("""COMPUTED_VALUE"""),0.70125)</f>
        <v>0.70125000000000004</v>
      </c>
      <c r="H739" s="2">
        <f ca="1">IFERROR(__xludf.DUMMYFUNCTION("""COMPUTED_VALUE"""),56.572)</f>
        <v>56.572000000000003</v>
      </c>
      <c r="I739" s="2">
        <f ca="1">IFERROR(__xludf.DUMMYFUNCTION("""COMPUTED_VALUE"""),54.362)</f>
        <v>54.362000000000002</v>
      </c>
      <c r="J739" s="2">
        <f ca="1">IFERROR(__xludf.DUMMYFUNCTION("""COMPUTED_VALUE"""),43.599)</f>
        <v>43.598999999999997</v>
      </c>
      <c r="K739" s="2">
        <f ca="1">IFERROR(__xludf.DUMMYFUNCTION("""COMPUTED_VALUE"""),55.728)</f>
        <v>55.728000000000002</v>
      </c>
      <c r="L739" s="2">
        <f ca="1">IFERROR(__xludf.DUMMYFUNCTION("""COMPUTED_VALUE"""),9.945)</f>
        <v>9.9450000000000003</v>
      </c>
      <c r="M739" s="2">
        <f ca="1">IFERROR(__xludf.DUMMYFUNCTION("""COMPUTED_VALUE"""),14.816)</f>
        <v>14.816000000000001</v>
      </c>
      <c r="U739" s="3" t="e">
        <f ca="1"/>
        <v>#NAME?</v>
      </c>
    </row>
    <row r="740" spans="3:21" ht="12.5" x14ac:dyDescent="0.25">
      <c r="C740" s="4">
        <f ca="1">IFERROR(__xludf.DUMMYFUNCTION("""COMPUTED_VALUE"""),41033.9986111111)</f>
        <v>41033.998611111099</v>
      </c>
      <c r="D740" s="2">
        <f ca="1">IFERROR(__xludf.DUMMYFUNCTION("""COMPUTED_VALUE"""),53.468)</f>
        <v>53.468000000000004</v>
      </c>
      <c r="E740" s="2">
        <f ca="1">IFERROR(__xludf.DUMMYFUNCTION("""COMPUTED_VALUE"""),68.194)</f>
        <v>68.194000000000003</v>
      </c>
      <c r="F740" s="2">
        <f ca="1">IFERROR(__xludf.DUMMYFUNCTION("""COMPUTED_VALUE"""),84.672)</f>
        <v>84.671999999999997</v>
      </c>
      <c r="G740" s="2">
        <f ca="1">IFERROR(__xludf.DUMMYFUNCTION("""COMPUTED_VALUE"""),0.7)</f>
        <v>0.7</v>
      </c>
      <c r="H740" s="2">
        <f ca="1">IFERROR(__xludf.DUMMYFUNCTION("""COMPUTED_VALUE"""),56.919)</f>
        <v>56.918999999999997</v>
      </c>
      <c r="I740" s="2">
        <f ca="1">IFERROR(__xludf.DUMMYFUNCTION("""COMPUTED_VALUE"""),54.704)</f>
        <v>54.704000000000001</v>
      </c>
      <c r="J740" s="2">
        <f ca="1">IFERROR(__xludf.DUMMYFUNCTION("""COMPUTED_VALUE"""),43.972)</f>
        <v>43.972000000000001</v>
      </c>
      <c r="K740" s="2">
        <f ca="1">IFERROR(__xludf.DUMMYFUNCTION("""COMPUTED_VALUE"""),55.968)</f>
        <v>55.968000000000004</v>
      </c>
      <c r="L740" s="2">
        <f ca="1">IFERROR(__xludf.DUMMYFUNCTION("""COMPUTED_VALUE"""),9.9828)</f>
        <v>9.9827999999999992</v>
      </c>
      <c r="M740" s="2">
        <f ca="1">IFERROR(__xludf.DUMMYFUNCTION("""COMPUTED_VALUE"""),14.981)</f>
        <v>14.981</v>
      </c>
      <c r="U740" s="3" t="e">
        <f ca="1"/>
        <v>#NAME?</v>
      </c>
    </row>
    <row r="741" spans="3:21" ht="12.5" x14ac:dyDescent="0.25">
      <c r="C741" s="4">
        <f ca="1">IFERROR(__xludf.DUMMYFUNCTION("""COMPUTED_VALUE"""),41035.9986111111)</f>
        <v>41035.998611111099</v>
      </c>
      <c r="D741" s="2">
        <f ca="1">IFERROR(__xludf.DUMMYFUNCTION("""COMPUTED_VALUE"""),53.468)</f>
        <v>53.468000000000004</v>
      </c>
      <c r="E741" s="2">
        <f ca="1">IFERROR(__xludf.DUMMYFUNCTION("""COMPUTED_VALUE"""),67.47)</f>
        <v>67.47</v>
      </c>
      <c r="F741" s="2">
        <f ca="1">IFERROR(__xludf.DUMMYFUNCTION("""COMPUTED_VALUE"""),85.463)</f>
        <v>85.462999999999994</v>
      </c>
      <c r="G741" s="2">
        <f ca="1">IFERROR(__xludf.DUMMYFUNCTION("""COMPUTED_VALUE"""),0.70403)</f>
        <v>0.70403000000000004</v>
      </c>
      <c r="H741" s="2">
        <f ca="1">IFERROR(__xludf.DUMMYFUNCTION("""COMPUTED_VALUE"""),56.342)</f>
        <v>56.341999999999999</v>
      </c>
      <c r="I741" s="2">
        <f ca="1">IFERROR(__xludf.DUMMYFUNCTION("""COMPUTED_VALUE"""),54.095)</f>
        <v>54.094999999999999</v>
      </c>
      <c r="J741" s="2">
        <f ca="1">IFERROR(__xludf.DUMMYFUNCTION("""COMPUTED_VALUE"""),44.023)</f>
        <v>44.023000000000003</v>
      </c>
      <c r="K741" s="2">
        <f ca="1">IFERROR(__xludf.DUMMYFUNCTION("""COMPUTED_VALUE"""),56.003)</f>
        <v>56.003</v>
      </c>
      <c r="L741" s="2">
        <f ca="1">IFERROR(__xludf.DUMMYFUNCTION("""COMPUTED_VALUE"""),10.034)</f>
        <v>10.034000000000001</v>
      </c>
      <c r="M741" s="2">
        <f ca="1">IFERROR(__xludf.DUMMYFUNCTION("""COMPUTED_VALUE"""),15.079)</f>
        <v>15.079000000000001</v>
      </c>
      <c r="U741" s="3" t="e">
        <f ca="1"/>
        <v>#NAME?</v>
      </c>
    </row>
    <row r="742" spans="3:21" ht="12.5" x14ac:dyDescent="0.25">
      <c r="C742" s="4">
        <f ca="1">IFERROR(__xludf.DUMMYFUNCTION("""COMPUTED_VALUE"""),41036.9986111111)</f>
        <v>41036.998611111099</v>
      </c>
      <c r="D742" s="2">
        <f ca="1">IFERROR(__xludf.DUMMYFUNCTION("""COMPUTED_VALUE"""),52.903)</f>
        <v>52.902999999999999</v>
      </c>
      <c r="E742" s="2">
        <f ca="1">IFERROR(__xludf.DUMMYFUNCTION("""COMPUTED_VALUE"""),67.47)</f>
        <v>67.47</v>
      </c>
      <c r="F742" s="2">
        <f ca="1">IFERROR(__xludf.DUMMYFUNCTION("""COMPUTED_VALUE"""),85.466)</f>
        <v>85.465999999999994</v>
      </c>
      <c r="G742" s="2">
        <f ca="1">IFERROR(__xludf.DUMMYFUNCTION("""COMPUTED_VALUE"""),0.70491)</f>
        <v>0.70491000000000004</v>
      </c>
      <c r="H742" s="2">
        <f ca="1">IFERROR(__xludf.DUMMYFUNCTION("""COMPUTED_VALUE"""),56.967)</f>
        <v>56.966999999999999</v>
      </c>
      <c r="I742" s="2">
        <f ca="1">IFERROR(__xludf.DUMMYFUNCTION("""COMPUTED_VALUE"""),54.512)</f>
        <v>54.512</v>
      </c>
      <c r="J742" s="2">
        <f ca="1">IFERROR(__xludf.DUMMYFUNCTION("""COMPUTED_VALUE"""),43.495)</f>
        <v>43.494999999999997</v>
      </c>
      <c r="K742" s="2">
        <f ca="1">IFERROR(__xludf.DUMMYFUNCTION("""COMPUTED_VALUE"""),56.152)</f>
        <v>56.152000000000001</v>
      </c>
      <c r="L742" s="2">
        <f ca="1">IFERROR(__xludf.DUMMYFUNCTION("""COMPUTED_VALUE"""),10.056)</f>
        <v>10.055999999999999</v>
      </c>
      <c r="M742" s="2">
        <f ca="1">IFERROR(__xludf.DUMMYFUNCTION("""COMPUTED_VALUE"""),15.244)</f>
        <v>15.244</v>
      </c>
      <c r="U742" s="3" t="e">
        <f ca="1"/>
        <v>#NAME?</v>
      </c>
    </row>
    <row r="743" spans="3:21" ht="12.5" x14ac:dyDescent="0.25">
      <c r="C743" s="4">
        <f ca="1">IFERROR(__xludf.DUMMYFUNCTION("""COMPUTED_VALUE"""),41037.9986111111)</f>
        <v>41037.998611111099</v>
      </c>
      <c r="D743" s="2">
        <f ca="1">IFERROR(__xludf.DUMMYFUNCTION("""COMPUTED_VALUE"""),53.118)</f>
        <v>53.118000000000002</v>
      </c>
      <c r="E743" s="2">
        <f ca="1">IFERROR(__xludf.DUMMYFUNCTION("""COMPUTED_VALUE"""),67.47)</f>
        <v>67.47</v>
      </c>
      <c r="F743" s="2">
        <f ca="1">IFERROR(__xludf.DUMMYFUNCTION("""COMPUTED_VALUE"""),85.399)</f>
        <v>85.399000000000001</v>
      </c>
      <c r="G743" s="2">
        <f ca="1">IFERROR(__xludf.DUMMYFUNCTION("""COMPUTED_VALUE"""),0.71402)</f>
        <v>0.71401999999999999</v>
      </c>
      <c r="H743" s="2">
        <f ca="1">IFERROR(__xludf.DUMMYFUNCTION("""COMPUTED_VALUE"""),56.649)</f>
        <v>56.649000000000001</v>
      </c>
      <c r="I743" s="2">
        <f ca="1">IFERROR(__xludf.DUMMYFUNCTION("""COMPUTED_VALUE"""),54.796)</f>
        <v>54.795999999999999</v>
      </c>
      <c r="J743" s="2">
        <f ca="1">IFERROR(__xludf.DUMMYFUNCTION("""COMPUTED_VALUE"""),43.547)</f>
        <v>43.546999999999997</v>
      </c>
      <c r="K743" s="2">
        <f ca="1">IFERROR(__xludf.DUMMYFUNCTION("""COMPUTED_VALUE"""),56.049)</f>
        <v>56.048999999999999</v>
      </c>
      <c r="L743" s="2">
        <f ca="1">IFERROR(__xludf.DUMMYFUNCTION("""COMPUTED_VALUE"""),10.026)</f>
        <v>10.026</v>
      </c>
      <c r="M743" s="2">
        <f ca="1">IFERROR(__xludf.DUMMYFUNCTION("""COMPUTED_VALUE"""),15.126)</f>
        <v>15.125999999999999</v>
      </c>
      <c r="U743" s="3" t="e">
        <f ca="1"/>
        <v>#NAME?</v>
      </c>
    </row>
    <row r="744" spans="3:21" ht="12.5" x14ac:dyDescent="0.25">
      <c r="C744" s="4">
        <f ca="1">IFERROR(__xludf.DUMMYFUNCTION("""COMPUTED_VALUE"""),41038.9986111111)</f>
        <v>41038.998611111099</v>
      </c>
      <c r="D744" s="2">
        <f ca="1">IFERROR(__xludf.DUMMYFUNCTION("""COMPUTED_VALUE"""),53.818)</f>
        <v>53.817999999999998</v>
      </c>
      <c r="E744" s="2">
        <f ca="1">IFERROR(__xludf.DUMMYFUNCTION("""COMPUTED_VALUE"""),67.456)</f>
        <v>67.456000000000003</v>
      </c>
      <c r="F744" s="2">
        <f ca="1">IFERROR(__xludf.DUMMYFUNCTION("""COMPUTED_VALUE"""),85.241)</f>
        <v>85.241</v>
      </c>
      <c r="G744" s="2">
        <f ca="1">IFERROR(__xludf.DUMMYFUNCTION("""COMPUTED_VALUE"""),0.71718)</f>
        <v>0.71718000000000004</v>
      </c>
      <c r="H744" s="2">
        <f ca="1">IFERROR(__xludf.DUMMYFUNCTION("""COMPUTED_VALUE"""),56.326)</f>
        <v>56.326000000000001</v>
      </c>
      <c r="I744" s="2">
        <f ca="1">IFERROR(__xludf.DUMMYFUNCTION("""COMPUTED_VALUE"""),54.376)</f>
        <v>54.375999999999998</v>
      </c>
      <c r="J744" s="2">
        <f ca="1">IFERROR(__xludf.DUMMYFUNCTION("""COMPUTED_VALUE"""),43.547)</f>
        <v>43.546999999999997</v>
      </c>
      <c r="K744" s="2">
        <f ca="1">IFERROR(__xludf.DUMMYFUNCTION("""COMPUTED_VALUE"""),55.994)</f>
        <v>55.994</v>
      </c>
      <c r="L744" s="2">
        <f ca="1">IFERROR(__xludf.DUMMYFUNCTION("""COMPUTED_VALUE"""),10.065)</f>
        <v>10.065</v>
      </c>
      <c r="M744" s="2">
        <f ca="1">IFERROR(__xludf.DUMMYFUNCTION("""COMPUTED_VALUE"""),15.074)</f>
        <v>15.074</v>
      </c>
      <c r="U744" s="3" t="e">
        <f ca="1"/>
        <v>#NAME?</v>
      </c>
    </row>
    <row r="745" spans="3:21" ht="12.5" x14ac:dyDescent="0.25">
      <c r="C745" s="4">
        <f ca="1">IFERROR(__xludf.DUMMYFUNCTION("""COMPUTED_VALUE"""),41039.9986111111)</f>
        <v>41039.998611111099</v>
      </c>
      <c r="D745" s="2">
        <f ca="1">IFERROR(__xludf.DUMMYFUNCTION("""COMPUTED_VALUE"""),53.253)</f>
        <v>53.253</v>
      </c>
      <c r="E745" s="2">
        <f ca="1">IFERROR(__xludf.DUMMYFUNCTION("""COMPUTED_VALUE"""),67.625)</f>
        <v>67.625</v>
      </c>
      <c r="F745" s="2">
        <f ca="1">IFERROR(__xludf.DUMMYFUNCTION("""COMPUTED_VALUE"""),85.699)</f>
        <v>85.698999999999998</v>
      </c>
      <c r="G745" s="2">
        <f ca="1">IFERROR(__xludf.DUMMYFUNCTION("""COMPUTED_VALUE"""),0.71793)</f>
        <v>0.71792999999999996</v>
      </c>
      <c r="H745" s="2">
        <f ca="1">IFERROR(__xludf.DUMMYFUNCTION("""COMPUTED_VALUE"""),56.339)</f>
        <v>56.338999999999999</v>
      </c>
      <c r="I745" s="2">
        <f ca="1">IFERROR(__xludf.DUMMYFUNCTION("""COMPUTED_VALUE"""),54.369)</f>
        <v>54.369</v>
      </c>
      <c r="J745" s="2">
        <f ca="1">IFERROR(__xludf.DUMMYFUNCTION("""COMPUTED_VALUE"""),43.491)</f>
        <v>43.491</v>
      </c>
      <c r="K745" s="2">
        <f ca="1">IFERROR(__xludf.DUMMYFUNCTION("""COMPUTED_VALUE"""),55.399)</f>
        <v>55.399000000000001</v>
      </c>
      <c r="L745" s="2">
        <f ca="1">IFERROR(__xludf.DUMMYFUNCTION("""COMPUTED_VALUE"""),10.093)</f>
        <v>10.093</v>
      </c>
      <c r="M745" s="2">
        <f ca="1">IFERROR(__xludf.DUMMYFUNCTION("""COMPUTED_VALUE"""),15.074)</f>
        <v>15.074</v>
      </c>
      <c r="U745" s="3" t="e">
        <f ca="1"/>
        <v>#NAME?</v>
      </c>
    </row>
    <row r="746" spans="3:21" ht="12.5" x14ac:dyDescent="0.25">
      <c r="C746" s="4">
        <f ca="1">IFERROR(__xludf.DUMMYFUNCTION("""COMPUTED_VALUE"""),41040.9986111111)</f>
        <v>41040.998611111099</v>
      </c>
      <c r="D746" s="2">
        <f ca="1">IFERROR(__xludf.DUMMYFUNCTION("""COMPUTED_VALUE"""),53.628)</f>
        <v>53.628</v>
      </c>
      <c r="E746" s="2">
        <f ca="1">IFERROR(__xludf.DUMMYFUNCTION("""COMPUTED_VALUE"""),67.842)</f>
        <v>67.841999999999999</v>
      </c>
      <c r="F746" s="2">
        <f ca="1">IFERROR(__xludf.DUMMYFUNCTION("""COMPUTED_VALUE"""),86.332)</f>
        <v>86.331999999999994</v>
      </c>
      <c r="G746" s="2">
        <f ca="1">IFERROR(__xludf.DUMMYFUNCTION("""COMPUTED_VALUE"""),0.70906)</f>
        <v>0.70906000000000002</v>
      </c>
      <c r="H746" s="2">
        <f ca="1">IFERROR(__xludf.DUMMYFUNCTION("""COMPUTED_VALUE"""),56.339)</f>
        <v>56.338999999999999</v>
      </c>
      <c r="I746" s="2">
        <f ca="1">IFERROR(__xludf.DUMMYFUNCTION("""COMPUTED_VALUE"""),54.369)</f>
        <v>54.369</v>
      </c>
      <c r="J746" s="2">
        <f ca="1">IFERROR(__xludf.DUMMYFUNCTION("""COMPUTED_VALUE"""),43.65)</f>
        <v>43.65</v>
      </c>
      <c r="K746" s="2">
        <f ca="1">IFERROR(__xludf.DUMMYFUNCTION("""COMPUTED_VALUE"""),56.406)</f>
        <v>56.405999999999999</v>
      </c>
      <c r="L746" s="2">
        <f ca="1">IFERROR(__xludf.DUMMYFUNCTION("""COMPUTED_VALUE"""),10.147)</f>
        <v>10.147</v>
      </c>
      <c r="M746" s="2">
        <f ca="1">IFERROR(__xludf.DUMMYFUNCTION("""COMPUTED_VALUE"""),15.074)</f>
        <v>15.074</v>
      </c>
      <c r="U746" s="3" t="e">
        <f ca="1"/>
        <v>#NAME?</v>
      </c>
    </row>
    <row r="747" spans="3:21" ht="12.5" x14ac:dyDescent="0.25">
      <c r="C747" s="4">
        <f ca="1">IFERROR(__xludf.DUMMYFUNCTION("""COMPUTED_VALUE"""),41041.9986111111)</f>
        <v>41041.998611111099</v>
      </c>
      <c r="D747" s="2">
        <f ca="1">IFERROR(__xludf.DUMMYFUNCTION("""COMPUTED_VALUE"""),53.628)</f>
        <v>53.628</v>
      </c>
      <c r="E747" s="2">
        <f ca="1">IFERROR(__xludf.DUMMYFUNCTION("""COMPUTED_VALUE"""),67.589)</f>
        <v>67.588999999999999</v>
      </c>
      <c r="F747" s="2">
        <f ca="1">IFERROR(__xludf.DUMMYFUNCTION("""COMPUTED_VALUE"""),86.26)</f>
        <v>86.26</v>
      </c>
      <c r="G747" s="2">
        <f ca="1">IFERROR(__xludf.DUMMYFUNCTION("""COMPUTED_VALUE"""),0.70346)</f>
        <v>0.70345999999999997</v>
      </c>
      <c r="H747" s="2">
        <f ca="1">IFERROR(__xludf.DUMMYFUNCTION("""COMPUTED_VALUE"""),56.306)</f>
        <v>56.305999999999997</v>
      </c>
      <c r="I747" s="2">
        <f ca="1">IFERROR(__xludf.DUMMYFUNCTION("""COMPUTED_VALUE"""),54.16)</f>
        <v>54.16</v>
      </c>
      <c r="J747" s="2">
        <f ca="1">IFERROR(__xludf.DUMMYFUNCTION("""COMPUTED_VALUE"""),43.936)</f>
        <v>43.936</v>
      </c>
      <c r="K747" s="2">
        <f ca="1">IFERROR(__xludf.DUMMYFUNCTION("""COMPUTED_VALUE"""),56.199)</f>
        <v>56.198999999999998</v>
      </c>
      <c r="L747" s="2">
        <f ca="1">IFERROR(__xludf.DUMMYFUNCTION("""COMPUTED_VALUE"""),10.167)</f>
        <v>10.167</v>
      </c>
      <c r="M747" s="2">
        <f ca="1">IFERROR(__xludf.DUMMYFUNCTION("""COMPUTED_VALUE"""),15.074)</f>
        <v>15.074</v>
      </c>
      <c r="U747" s="3" t="e">
        <f ca="1"/>
        <v>#NAME?</v>
      </c>
    </row>
    <row r="748" spans="3:21" ht="12.5" x14ac:dyDescent="0.25">
      <c r="C748" s="4">
        <f ca="1">IFERROR(__xludf.DUMMYFUNCTION("""COMPUTED_VALUE"""),41042.9986111111)</f>
        <v>41042.998611111099</v>
      </c>
      <c r="D748" s="2">
        <f ca="1">IFERROR(__xludf.DUMMYFUNCTION("""COMPUTED_VALUE"""),53.628)</f>
        <v>53.628</v>
      </c>
      <c r="E748" s="2">
        <f ca="1">IFERROR(__xludf.DUMMYFUNCTION("""COMPUTED_VALUE"""),67.179)</f>
        <v>67.179000000000002</v>
      </c>
      <c r="F748" s="2">
        <f ca="1">IFERROR(__xludf.DUMMYFUNCTION("""COMPUTED_VALUE"""),86.257)</f>
        <v>86.257000000000005</v>
      </c>
      <c r="G748" s="2">
        <f ca="1">IFERROR(__xludf.DUMMYFUNCTION("""COMPUTED_VALUE"""),0.70438)</f>
        <v>0.70438000000000001</v>
      </c>
      <c r="H748" s="2">
        <f ca="1">IFERROR(__xludf.DUMMYFUNCTION("""COMPUTED_VALUE"""),56.703)</f>
        <v>56.703000000000003</v>
      </c>
      <c r="I748" s="2">
        <f ca="1">IFERROR(__xludf.DUMMYFUNCTION("""COMPUTED_VALUE"""),54.355)</f>
        <v>54.354999999999997</v>
      </c>
      <c r="J748" s="2">
        <f ca="1">IFERROR(__xludf.DUMMYFUNCTION("""COMPUTED_VALUE"""),43.916)</f>
        <v>43.915999999999997</v>
      </c>
      <c r="K748" s="2">
        <f ca="1">IFERROR(__xludf.DUMMYFUNCTION("""COMPUTED_VALUE"""),56.447)</f>
        <v>56.447000000000003</v>
      </c>
      <c r="L748" s="2">
        <f ca="1">IFERROR(__xludf.DUMMYFUNCTION("""COMPUTED_VALUE"""),10.183)</f>
        <v>10.183</v>
      </c>
      <c r="M748" s="2">
        <f ca="1">IFERROR(__xludf.DUMMYFUNCTION("""COMPUTED_VALUE"""),15.156)</f>
        <v>15.156000000000001</v>
      </c>
      <c r="U748" s="3" t="e">
        <f ca="1"/>
        <v>#NAME?</v>
      </c>
    </row>
    <row r="749" spans="3:21" ht="12.5" x14ac:dyDescent="0.25">
      <c r="C749" s="4">
        <f ca="1">IFERROR(__xludf.DUMMYFUNCTION("""COMPUTED_VALUE"""),41043.9986111111)</f>
        <v>41043.998611111099</v>
      </c>
      <c r="D749" s="2">
        <f ca="1">IFERROR(__xludf.DUMMYFUNCTION("""COMPUTED_VALUE"""),53.958)</f>
        <v>53.957999999999998</v>
      </c>
      <c r="E749" s="2">
        <f ca="1">IFERROR(__xludf.DUMMYFUNCTION("""COMPUTED_VALUE"""),67.181)</f>
        <v>67.180999999999997</v>
      </c>
      <c r="F749" s="2">
        <f ca="1">IFERROR(__xludf.DUMMYFUNCTION("""COMPUTED_VALUE"""),86.38)</f>
        <v>86.38</v>
      </c>
      <c r="G749" s="2">
        <f ca="1">IFERROR(__xludf.DUMMYFUNCTION("""COMPUTED_VALUE"""),0.70857)</f>
        <v>0.70857000000000003</v>
      </c>
      <c r="H749" s="2">
        <f ca="1">IFERROR(__xludf.DUMMYFUNCTION("""COMPUTED_VALUE"""),57.265)</f>
        <v>57.265000000000001</v>
      </c>
      <c r="I749" s="2">
        <f ca="1">IFERROR(__xludf.DUMMYFUNCTION("""COMPUTED_VALUE"""),54.707)</f>
        <v>54.707000000000001</v>
      </c>
      <c r="J749" s="2">
        <f ca="1">IFERROR(__xludf.DUMMYFUNCTION("""COMPUTED_VALUE"""),43.994)</f>
        <v>43.994</v>
      </c>
      <c r="K749" s="2">
        <f ca="1">IFERROR(__xludf.DUMMYFUNCTION("""COMPUTED_VALUE"""),56.938)</f>
        <v>56.938000000000002</v>
      </c>
      <c r="L749" s="2">
        <f ca="1">IFERROR(__xludf.DUMMYFUNCTION("""COMPUTED_VALUE"""),10.209)</f>
        <v>10.209</v>
      </c>
      <c r="M749" s="2">
        <f ca="1">IFERROR(__xludf.DUMMYFUNCTION("""COMPUTED_VALUE"""),15.308)</f>
        <v>15.308</v>
      </c>
      <c r="U749" s="3" t="e">
        <f ca="1"/>
        <v>#NAME?</v>
      </c>
    </row>
    <row r="750" spans="3:21" ht="12.5" x14ac:dyDescent="0.25">
      <c r="C750" s="4">
        <f ca="1">IFERROR(__xludf.DUMMYFUNCTION("""COMPUTED_VALUE"""),41044.9986111111)</f>
        <v>41044.998611111099</v>
      </c>
      <c r="D750" s="2">
        <f ca="1">IFERROR(__xludf.DUMMYFUNCTION("""COMPUTED_VALUE"""),53.788)</f>
        <v>53.787999999999997</v>
      </c>
      <c r="E750" s="2">
        <f ca="1">IFERROR(__xludf.DUMMYFUNCTION("""COMPUTED_VALUE"""),67.181)</f>
        <v>67.180999999999997</v>
      </c>
      <c r="F750" s="2">
        <f ca="1">IFERROR(__xludf.DUMMYFUNCTION("""COMPUTED_VALUE"""),85.586)</f>
        <v>85.585999999999999</v>
      </c>
      <c r="G750" s="2">
        <f ca="1">IFERROR(__xludf.DUMMYFUNCTION("""COMPUTED_VALUE"""),0.7117)</f>
        <v>0.7117</v>
      </c>
      <c r="H750" s="2">
        <f ca="1">IFERROR(__xludf.DUMMYFUNCTION("""COMPUTED_VALUE"""),57.376)</f>
        <v>57.375999999999998</v>
      </c>
      <c r="I750" s="2">
        <f ca="1">IFERROR(__xludf.DUMMYFUNCTION("""COMPUTED_VALUE"""),54.618)</f>
        <v>54.618000000000002</v>
      </c>
      <c r="J750" s="2">
        <f ca="1">IFERROR(__xludf.DUMMYFUNCTION("""COMPUTED_VALUE"""),43.995)</f>
        <v>43.994999999999997</v>
      </c>
      <c r="K750" s="2">
        <f ca="1">IFERROR(__xludf.DUMMYFUNCTION("""COMPUTED_VALUE"""),57.281)</f>
        <v>57.280999999999999</v>
      </c>
      <c r="L750" s="2">
        <f ca="1">IFERROR(__xludf.DUMMYFUNCTION("""COMPUTED_VALUE"""),10.243)</f>
        <v>10.243</v>
      </c>
      <c r="M750" s="2">
        <f ca="1">IFERROR(__xludf.DUMMYFUNCTION("""COMPUTED_VALUE"""),15.268)</f>
        <v>15.268000000000001</v>
      </c>
      <c r="U750" s="3" t="e">
        <f ca="1"/>
        <v>#NAME?</v>
      </c>
    </row>
    <row r="751" spans="3:21" ht="12.5" x14ac:dyDescent="0.25">
      <c r="C751" s="4">
        <f ca="1">IFERROR(__xludf.DUMMYFUNCTION("""COMPUTED_VALUE"""),41045.9986111111)</f>
        <v>41045.998611111099</v>
      </c>
      <c r="D751" s="2">
        <f ca="1">IFERROR(__xludf.DUMMYFUNCTION("""COMPUTED_VALUE"""),54.488)</f>
        <v>54.488</v>
      </c>
      <c r="E751" s="2">
        <f ca="1">IFERROR(__xludf.DUMMYFUNCTION("""COMPUTED_VALUE"""),67.75)</f>
        <v>67.75</v>
      </c>
      <c r="F751" s="2">
        <f ca="1">IFERROR(__xludf.DUMMYFUNCTION("""COMPUTED_VALUE"""),85.704)</f>
        <v>85.703999999999994</v>
      </c>
      <c r="G751" s="2">
        <f ca="1">IFERROR(__xludf.DUMMYFUNCTION("""COMPUTED_VALUE"""),0.70661)</f>
        <v>0.70660999999999996</v>
      </c>
      <c r="H751" s="2">
        <f ca="1">IFERROR(__xludf.DUMMYFUNCTION("""COMPUTED_VALUE"""),57.344)</f>
        <v>57.344000000000001</v>
      </c>
      <c r="I751" s="2">
        <f ca="1">IFERROR(__xludf.DUMMYFUNCTION("""COMPUTED_VALUE"""),54.563)</f>
        <v>54.563000000000002</v>
      </c>
      <c r="J751" s="2">
        <f ca="1">IFERROR(__xludf.DUMMYFUNCTION("""COMPUTED_VALUE"""),43.995)</f>
        <v>43.994999999999997</v>
      </c>
      <c r="K751" s="2">
        <f ca="1">IFERROR(__xludf.DUMMYFUNCTION("""COMPUTED_VALUE"""),57.24)</f>
        <v>57.24</v>
      </c>
      <c r="L751" s="2">
        <f ca="1">IFERROR(__xludf.DUMMYFUNCTION("""COMPUTED_VALUE"""),10.152)</f>
        <v>10.151999999999999</v>
      </c>
      <c r="M751" s="2">
        <f ca="1">IFERROR(__xludf.DUMMYFUNCTION("""COMPUTED_VALUE"""),15.121)</f>
        <v>15.121</v>
      </c>
      <c r="U751" s="3" t="e">
        <f ca="1"/>
        <v>#NAME?</v>
      </c>
    </row>
    <row r="752" spans="3:21" ht="12.5" x14ac:dyDescent="0.25">
      <c r="C752" s="4">
        <f ca="1">IFERROR(__xludf.DUMMYFUNCTION("""COMPUTED_VALUE"""),41046.9986111111)</f>
        <v>41046.998611111099</v>
      </c>
      <c r="D752" s="2">
        <f ca="1">IFERROR(__xludf.DUMMYFUNCTION("""COMPUTED_VALUE"""),54.468)</f>
        <v>54.468000000000004</v>
      </c>
      <c r="E752" s="2">
        <f ca="1">IFERROR(__xludf.DUMMYFUNCTION("""COMPUTED_VALUE"""),67.612)</f>
        <v>67.611999999999995</v>
      </c>
      <c r="F752" s="2">
        <f ca="1">IFERROR(__xludf.DUMMYFUNCTION("""COMPUTED_VALUE"""),86.725)</f>
        <v>86.724999999999994</v>
      </c>
      <c r="G752" s="2">
        <f ca="1">IFERROR(__xludf.DUMMYFUNCTION("""COMPUTED_VALUE"""),0.71297)</f>
        <v>0.71296999999999999</v>
      </c>
      <c r="H752" s="2">
        <f ca="1">IFERROR(__xludf.DUMMYFUNCTION("""COMPUTED_VALUE"""),57.35)</f>
        <v>57.35</v>
      </c>
      <c r="I752" s="2">
        <f ca="1">IFERROR(__xludf.DUMMYFUNCTION("""COMPUTED_VALUE"""),54.635)</f>
        <v>54.634999999999998</v>
      </c>
      <c r="J752" s="2">
        <f ca="1">IFERROR(__xludf.DUMMYFUNCTION("""COMPUTED_VALUE"""),44.309)</f>
        <v>44.308999999999997</v>
      </c>
      <c r="K752" s="2">
        <f ca="1">IFERROR(__xludf.DUMMYFUNCTION("""COMPUTED_VALUE"""),57.404)</f>
        <v>57.404000000000003</v>
      </c>
      <c r="L752" s="2">
        <f ca="1">IFERROR(__xludf.DUMMYFUNCTION("""COMPUTED_VALUE"""),10.205)</f>
        <v>10.205</v>
      </c>
      <c r="M752" s="2">
        <f ca="1">IFERROR(__xludf.DUMMYFUNCTION("""COMPUTED_VALUE"""),15.121)</f>
        <v>15.121</v>
      </c>
      <c r="U752" s="3" t="e">
        <f ca="1"/>
        <v>#NAME?</v>
      </c>
    </row>
    <row r="753" spans="3:21" ht="12.5" x14ac:dyDescent="0.25">
      <c r="C753" s="4">
        <f ca="1">IFERROR(__xludf.DUMMYFUNCTION("""COMPUTED_VALUE"""),41047.9986111111)</f>
        <v>41047.998611111099</v>
      </c>
      <c r="D753" s="2">
        <f ca="1">IFERROR(__xludf.DUMMYFUNCTION("""COMPUTED_VALUE"""),54.418)</f>
        <v>54.417999999999999</v>
      </c>
      <c r="E753" s="2">
        <f ca="1">IFERROR(__xludf.DUMMYFUNCTION("""COMPUTED_VALUE"""),68.135)</f>
        <v>68.135000000000005</v>
      </c>
      <c r="F753" s="2">
        <f ca="1">IFERROR(__xludf.DUMMYFUNCTION("""COMPUTED_VALUE"""),85.832)</f>
        <v>85.831999999999994</v>
      </c>
      <c r="G753" s="2">
        <f ca="1">IFERROR(__xludf.DUMMYFUNCTION("""COMPUTED_VALUE"""),0.70968)</f>
        <v>0.70967999999999998</v>
      </c>
      <c r="H753" s="2">
        <f ca="1">IFERROR(__xludf.DUMMYFUNCTION("""COMPUTED_VALUE"""),57.35)</f>
        <v>57.35</v>
      </c>
      <c r="I753" s="2">
        <f ca="1">IFERROR(__xludf.DUMMYFUNCTION("""COMPUTED_VALUE"""),54.896)</f>
        <v>54.896000000000001</v>
      </c>
      <c r="J753" s="2">
        <f ca="1">IFERROR(__xludf.DUMMYFUNCTION("""COMPUTED_VALUE"""),44.393)</f>
        <v>44.393000000000001</v>
      </c>
      <c r="K753" s="2">
        <f ca="1">IFERROR(__xludf.DUMMYFUNCTION("""COMPUTED_VALUE"""),57.801)</f>
        <v>57.801000000000002</v>
      </c>
      <c r="L753" s="2">
        <f ca="1">IFERROR(__xludf.DUMMYFUNCTION("""COMPUTED_VALUE"""),10.149)</f>
        <v>10.148999999999999</v>
      </c>
      <c r="M753" s="2">
        <f ca="1">IFERROR(__xludf.DUMMYFUNCTION("""COMPUTED_VALUE"""),15.121)</f>
        <v>15.121</v>
      </c>
      <c r="U753" s="3" t="e">
        <f ca="1"/>
        <v>#NAME?</v>
      </c>
    </row>
    <row r="754" spans="3:21" ht="12.5" x14ac:dyDescent="0.25">
      <c r="C754" s="4">
        <f ca="1">IFERROR(__xludf.DUMMYFUNCTION("""COMPUTED_VALUE"""),41048.9986111111)</f>
        <v>41048.998611111099</v>
      </c>
      <c r="D754" s="2">
        <f ca="1">IFERROR(__xludf.DUMMYFUNCTION("""COMPUTED_VALUE"""),54.418)</f>
        <v>54.417999999999999</v>
      </c>
      <c r="E754" s="2">
        <f ca="1">IFERROR(__xludf.DUMMYFUNCTION("""COMPUTED_VALUE"""),68.116)</f>
        <v>68.116</v>
      </c>
      <c r="F754" s="2">
        <f ca="1">IFERROR(__xludf.DUMMYFUNCTION("""COMPUTED_VALUE"""),86.185)</f>
        <v>86.185000000000002</v>
      </c>
      <c r="G754" s="2">
        <f ca="1">IFERROR(__xludf.DUMMYFUNCTION("""COMPUTED_VALUE"""),0.71039)</f>
        <v>0.71038999999999997</v>
      </c>
      <c r="H754" s="2">
        <f ca="1">IFERROR(__xludf.DUMMYFUNCTION("""COMPUTED_VALUE"""),57.371)</f>
        <v>57.371000000000002</v>
      </c>
      <c r="I754" s="2">
        <f ca="1">IFERROR(__xludf.DUMMYFUNCTION("""COMPUTED_VALUE"""),54.84)</f>
        <v>54.84</v>
      </c>
      <c r="J754" s="2">
        <f ca="1">IFERROR(__xludf.DUMMYFUNCTION("""COMPUTED_VALUE"""),44.67)</f>
        <v>44.67</v>
      </c>
      <c r="K754" s="2">
        <f ca="1">IFERROR(__xludf.DUMMYFUNCTION("""COMPUTED_VALUE"""),57.74)</f>
        <v>57.74</v>
      </c>
      <c r="L754" s="2">
        <f ca="1">IFERROR(__xludf.DUMMYFUNCTION("""COMPUTED_VALUE"""),10.125)</f>
        <v>10.125</v>
      </c>
      <c r="M754" s="2">
        <f ca="1">IFERROR(__xludf.DUMMYFUNCTION("""COMPUTED_VALUE"""),15.151)</f>
        <v>15.151</v>
      </c>
      <c r="U754" s="3" t="e">
        <f ca="1"/>
        <v>#NAME?</v>
      </c>
    </row>
    <row r="755" spans="3:21" ht="12.5" x14ac:dyDescent="0.25">
      <c r="C755" s="4">
        <f ca="1">IFERROR(__xludf.DUMMYFUNCTION("""COMPUTED_VALUE"""),41050.9986111111)</f>
        <v>41050.998611111099</v>
      </c>
      <c r="D755" s="2">
        <f ca="1">IFERROR(__xludf.DUMMYFUNCTION("""COMPUTED_VALUE"""),55.028)</f>
        <v>55.027999999999999</v>
      </c>
      <c r="E755" s="2">
        <f ca="1">IFERROR(__xludf.DUMMYFUNCTION("""COMPUTED_VALUE"""),67.986)</f>
        <v>67.986000000000004</v>
      </c>
      <c r="F755" s="2">
        <f ca="1">IFERROR(__xludf.DUMMYFUNCTION("""COMPUTED_VALUE"""),86.079)</f>
        <v>86.078999999999994</v>
      </c>
      <c r="G755" s="2">
        <f ca="1">IFERROR(__xludf.DUMMYFUNCTION("""COMPUTED_VALUE"""),0.70895)</f>
        <v>0.70894999999999997</v>
      </c>
      <c r="H755" s="2">
        <f ca="1">IFERROR(__xludf.DUMMYFUNCTION("""COMPUTED_VALUE"""),57.24)</f>
        <v>57.24</v>
      </c>
      <c r="I755" s="2">
        <f ca="1">IFERROR(__xludf.DUMMYFUNCTION("""COMPUTED_VALUE"""),55.237)</f>
        <v>55.237000000000002</v>
      </c>
      <c r="J755" s="2">
        <f ca="1">IFERROR(__xludf.DUMMYFUNCTION("""COMPUTED_VALUE"""),44.332)</f>
        <v>44.332000000000001</v>
      </c>
      <c r="K755" s="2">
        <f ca="1">IFERROR(__xludf.DUMMYFUNCTION("""COMPUTED_VALUE"""),57.429)</f>
        <v>57.429000000000002</v>
      </c>
      <c r="L755" s="2">
        <f ca="1">IFERROR(__xludf.DUMMYFUNCTION("""COMPUTED_VALUE"""),10.09)</f>
        <v>10.09</v>
      </c>
      <c r="M755" s="2">
        <f ca="1">IFERROR(__xludf.DUMMYFUNCTION("""COMPUTED_VALUE"""),15.148)</f>
        <v>15.148</v>
      </c>
      <c r="U755" s="3" t="e">
        <f ca="1"/>
        <v>#NAME?</v>
      </c>
    </row>
    <row r="756" spans="3:21" ht="12.5" x14ac:dyDescent="0.25">
      <c r="C756" s="4">
        <f ca="1">IFERROR(__xludf.DUMMYFUNCTION("""COMPUTED_VALUE"""),41051.9986111111)</f>
        <v>41051.998611111099</v>
      </c>
      <c r="D756" s="2">
        <f ca="1">IFERROR(__xludf.DUMMYFUNCTION("""COMPUTED_VALUE"""),55.388)</f>
        <v>55.387999999999998</v>
      </c>
      <c r="E756" s="2">
        <f ca="1">IFERROR(__xludf.DUMMYFUNCTION("""COMPUTED_VALUE"""),67.986)</f>
        <v>67.986000000000004</v>
      </c>
      <c r="F756" s="2">
        <f ca="1">IFERROR(__xludf.DUMMYFUNCTION("""COMPUTED_VALUE"""),86.103)</f>
        <v>86.102999999999994</v>
      </c>
      <c r="G756" s="2">
        <f ca="1">IFERROR(__xludf.DUMMYFUNCTION("""COMPUTED_VALUE"""),0.6995)</f>
        <v>0.69950000000000001</v>
      </c>
      <c r="H756" s="2">
        <f ca="1">IFERROR(__xludf.DUMMYFUNCTION("""COMPUTED_VALUE"""),57.83)</f>
        <v>57.83</v>
      </c>
      <c r="I756" s="2">
        <f ca="1">IFERROR(__xludf.DUMMYFUNCTION("""COMPUTED_VALUE"""),54.917)</f>
        <v>54.917000000000002</v>
      </c>
      <c r="J756" s="2">
        <f ca="1">IFERROR(__xludf.DUMMYFUNCTION("""COMPUTED_VALUE"""),44.242)</f>
        <v>44.241999999999997</v>
      </c>
      <c r="K756" s="2">
        <f ca="1">IFERROR(__xludf.DUMMYFUNCTION("""COMPUTED_VALUE"""),57.957)</f>
        <v>57.957000000000001</v>
      </c>
      <c r="L756" s="2">
        <f ca="1">IFERROR(__xludf.DUMMYFUNCTION("""COMPUTED_VALUE"""),10.054)</f>
        <v>10.054</v>
      </c>
      <c r="M756" s="2">
        <f ca="1">IFERROR(__xludf.DUMMYFUNCTION("""COMPUTED_VALUE"""),15.072)</f>
        <v>15.071999999999999</v>
      </c>
      <c r="U756" s="3" t="e">
        <f ca="1"/>
        <v>#NAME?</v>
      </c>
    </row>
    <row r="757" spans="3:21" ht="12.5" x14ac:dyDescent="0.25">
      <c r="C757" s="4">
        <f ca="1">IFERROR(__xludf.DUMMYFUNCTION("""COMPUTED_VALUE"""),41052.9986111111)</f>
        <v>41052.998611111099</v>
      </c>
      <c r="D757" s="2">
        <f ca="1">IFERROR(__xludf.DUMMYFUNCTION("""COMPUTED_VALUE"""),55.993)</f>
        <v>55.993000000000002</v>
      </c>
      <c r="E757" s="2">
        <f ca="1">IFERROR(__xludf.DUMMYFUNCTION("""COMPUTED_VALUE"""),67.986)</f>
        <v>67.986000000000004</v>
      </c>
      <c r="F757" s="2">
        <f ca="1">IFERROR(__xludf.DUMMYFUNCTION("""COMPUTED_VALUE"""),86.787)</f>
        <v>86.787000000000006</v>
      </c>
      <c r="G757" s="2">
        <f ca="1">IFERROR(__xludf.DUMMYFUNCTION("""COMPUTED_VALUE"""),0.70588)</f>
        <v>0.70587999999999995</v>
      </c>
      <c r="H757" s="2">
        <f ca="1">IFERROR(__xludf.DUMMYFUNCTION("""COMPUTED_VALUE"""),57.657)</f>
        <v>57.656999999999996</v>
      </c>
      <c r="I757" s="2">
        <f ca="1">IFERROR(__xludf.DUMMYFUNCTION("""COMPUTED_VALUE"""),55.014)</f>
        <v>55.014000000000003</v>
      </c>
      <c r="J757" s="2">
        <f ca="1">IFERROR(__xludf.DUMMYFUNCTION("""COMPUTED_VALUE"""),44.242)</f>
        <v>44.241999999999997</v>
      </c>
      <c r="K757" s="2">
        <f ca="1">IFERROR(__xludf.DUMMYFUNCTION("""COMPUTED_VALUE"""),58.002)</f>
        <v>58.002000000000002</v>
      </c>
      <c r="L757" s="2">
        <f ca="1">IFERROR(__xludf.DUMMYFUNCTION("""COMPUTED_VALUE"""),10.106)</f>
        <v>10.106</v>
      </c>
      <c r="M757" s="2">
        <f ca="1">IFERROR(__xludf.DUMMYFUNCTION("""COMPUTED_VALUE"""),14.957)</f>
        <v>14.957000000000001</v>
      </c>
      <c r="U757" s="3" t="e">
        <f ca="1"/>
        <v>#NAME?</v>
      </c>
    </row>
    <row r="758" spans="3:21" ht="12.5" x14ac:dyDescent="0.25">
      <c r="C758" s="4">
        <f ca="1">IFERROR(__xludf.DUMMYFUNCTION("""COMPUTED_VALUE"""),41053.9986111111)</f>
        <v>41053.998611111099</v>
      </c>
      <c r="D758" s="2">
        <f ca="1">IFERROR(__xludf.DUMMYFUNCTION("""COMPUTED_VALUE"""),55.56)</f>
        <v>55.56</v>
      </c>
      <c r="E758" s="2">
        <f ca="1">IFERROR(__xludf.DUMMYFUNCTION("""COMPUTED_VALUE"""),67.876)</f>
        <v>67.876000000000005</v>
      </c>
      <c r="F758" s="2">
        <f ca="1">IFERROR(__xludf.DUMMYFUNCTION("""COMPUTED_VALUE"""),85.928)</f>
        <v>85.927999999999997</v>
      </c>
      <c r="G758" s="2">
        <f ca="1">IFERROR(__xludf.DUMMYFUNCTION("""COMPUTED_VALUE"""),0.70234)</f>
        <v>0.70233999999999996</v>
      </c>
      <c r="H758" s="2">
        <f ca="1">IFERROR(__xludf.DUMMYFUNCTION("""COMPUTED_VALUE"""),57.843)</f>
        <v>57.843000000000004</v>
      </c>
      <c r="I758" s="2">
        <f ca="1">IFERROR(__xludf.DUMMYFUNCTION("""COMPUTED_VALUE"""),55.014)</f>
        <v>55.014000000000003</v>
      </c>
      <c r="J758" s="2">
        <f ca="1">IFERROR(__xludf.DUMMYFUNCTION("""COMPUTED_VALUE"""),44.243)</f>
        <v>44.243000000000002</v>
      </c>
      <c r="K758" s="2">
        <f ca="1">IFERROR(__xludf.DUMMYFUNCTION("""COMPUTED_VALUE"""),58.029)</f>
        <v>58.029000000000003</v>
      </c>
      <c r="L758" s="2">
        <f ca="1">IFERROR(__xludf.DUMMYFUNCTION("""COMPUTED_VALUE"""),10.109)</f>
        <v>10.109</v>
      </c>
      <c r="M758" s="2">
        <f ca="1">IFERROR(__xludf.DUMMYFUNCTION("""COMPUTED_VALUE"""),15.088)</f>
        <v>15.087999999999999</v>
      </c>
      <c r="U758" s="3" t="e">
        <f ca="1"/>
        <v>#NAME?</v>
      </c>
    </row>
    <row r="759" spans="3:21" ht="12.5" x14ac:dyDescent="0.25">
      <c r="C759" s="4">
        <f ca="1">IFERROR(__xludf.DUMMYFUNCTION("""COMPUTED_VALUE"""),41054.9986111111)</f>
        <v>41054.998611111099</v>
      </c>
      <c r="D759" s="2">
        <f ca="1">IFERROR(__xludf.DUMMYFUNCTION("""COMPUTED_VALUE"""),55.368)</f>
        <v>55.368000000000002</v>
      </c>
      <c r="E759" s="2">
        <f ca="1">IFERROR(__xludf.DUMMYFUNCTION("""COMPUTED_VALUE"""),68.365)</f>
        <v>68.364999999999995</v>
      </c>
      <c r="F759" s="2">
        <f ca="1">IFERROR(__xludf.DUMMYFUNCTION("""COMPUTED_VALUE"""),86.629)</f>
        <v>86.629000000000005</v>
      </c>
      <c r="G759" s="2">
        <f ca="1">IFERROR(__xludf.DUMMYFUNCTION("""COMPUTED_VALUE"""),0.70552)</f>
        <v>0.70552000000000004</v>
      </c>
      <c r="H759" s="2">
        <f ca="1">IFERROR(__xludf.DUMMYFUNCTION("""COMPUTED_VALUE"""),57.843)</f>
        <v>57.843000000000004</v>
      </c>
      <c r="I759" s="2">
        <f ca="1">IFERROR(__xludf.DUMMYFUNCTION("""COMPUTED_VALUE"""),55.015)</f>
        <v>55.015000000000001</v>
      </c>
      <c r="J759" s="2">
        <f ca="1">IFERROR(__xludf.DUMMYFUNCTION("""COMPUTED_VALUE"""),44.42)</f>
        <v>44.42</v>
      </c>
      <c r="K759" s="2">
        <f ca="1">IFERROR(__xludf.DUMMYFUNCTION("""COMPUTED_VALUE"""),57.816)</f>
        <v>57.816000000000003</v>
      </c>
      <c r="L759" s="2">
        <f ca="1">IFERROR(__xludf.DUMMYFUNCTION("""COMPUTED_VALUE"""),10.205)</f>
        <v>10.205</v>
      </c>
      <c r="M759" s="2">
        <f ca="1">IFERROR(__xludf.DUMMYFUNCTION("""COMPUTED_VALUE"""),15.088)</f>
        <v>15.087999999999999</v>
      </c>
      <c r="U759" s="3" t="e">
        <f ca="1"/>
        <v>#NAME?</v>
      </c>
    </row>
    <row r="760" spans="3:21" ht="12.5" x14ac:dyDescent="0.25">
      <c r="C760" s="4">
        <f ca="1">IFERROR(__xludf.DUMMYFUNCTION("""COMPUTED_VALUE"""),41056.9986111111)</f>
        <v>41056.998611111099</v>
      </c>
      <c r="D760" s="2">
        <f ca="1">IFERROR(__xludf.DUMMYFUNCTION("""COMPUTED_VALUE"""),55.368)</f>
        <v>55.368000000000002</v>
      </c>
      <c r="E760" s="2">
        <f ca="1">IFERROR(__xludf.DUMMYFUNCTION("""COMPUTED_VALUE"""),67.794)</f>
        <v>67.793999999999997</v>
      </c>
      <c r="F760" s="2">
        <f ca="1">IFERROR(__xludf.DUMMYFUNCTION("""COMPUTED_VALUE"""),85.908)</f>
        <v>85.908000000000001</v>
      </c>
      <c r="G760" s="2">
        <f ca="1">IFERROR(__xludf.DUMMYFUNCTION("""COMPUTED_VALUE"""),0.70541)</f>
        <v>0.70540999999999998</v>
      </c>
      <c r="H760" s="2">
        <f ca="1">IFERROR(__xludf.DUMMYFUNCTION("""COMPUTED_VALUE"""),57.845)</f>
        <v>57.844999999999999</v>
      </c>
      <c r="I760" s="2">
        <f ca="1">IFERROR(__xludf.DUMMYFUNCTION("""COMPUTED_VALUE"""),55.271)</f>
        <v>55.271000000000001</v>
      </c>
      <c r="J760" s="2">
        <f ca="1">IFERROR(__xludf.DUMMYFUNCTION("""COMPUTED_VALUE"""),44.644)</f>
        <v>44.643999999999998</v>
      </c>
      <c r="K760" s="2">
        <f ca="1">IFERROR(__xludf.DUMMYFUNCTION("""COMPUTED_VALUE"""),57.915)</f>
        <v>57.914999999999999</v>
      </c>
      <c r="L760" s="2">
        <f ca="1">IFERROR(__xludf.DUMMYFUNCTION("""COMPUTED_VALUE"""),10.198)</f>
        <v>10.198</v>
      </c>
      <c r="M760" s="2">
        <f ca="1">IFERROR(__xludf.DUMMYFUNCTION("""COMPUTED_VALUE"""),15.088)</f>
        <v>15.087999999999999</v>
      </c>
      <c r="U760" s="3" t="e">
        <f ca="1"/>
        <v>#NAME?</v>
      </c>
    </row>
    <row r="761" spans="3:21" ht="12.5" x14ac:dyDescent="0.25">
      <c r="C761" s="4">
        <f ca="1">IFERROR(__xludf.DUMMYFUNCTION("""COMPUTED_VALUE"""),41057.9986111111)</f>
        <v>41057.998611111099</v>
      </c>
      <c r="D761" s="2">
        <f ca="1">IFERROR(__xludf.DUMMYFUNCTION("""COMPUTED_VALUE"""),55.368)</f>
        <v>55.368000000000002</v>
      </c>
      <c r="E761" s="2">
        <f ca="1">IFERROR(__xludf.DUMMYFUNCTION("""COMPUTED_VALUE"""),67.936)</f>
        <v>67.936000000000007</v>
      </c>
      <c r="F761" s="2">
        <f ca="1">IFERROR(__xludf.DUMMYFUNCTION("""COMPUTED_VALUE"""),86)</f>
        <v>86</v>
      </c>
      <c r="G761" s="2">
        <f ca="1">IFERROR(__xludf.DUMMYFUNCTION("""COMPUTED_VALUE"""),0.7057)</f>
        <v>0.70569999999999999</v>
      </c>
      <c r="H761" s="2">
        <f ca="1">IFERROR(__xludf.DUMMYFUNCTION("""COMPUTED_VALUE"""),58.142)</f>
        <v>58.142000000000003</v>
      </c>
      <c r="I761" s="2">
        <f ca="1">IFERROR(__xludf.DUMMYFUNCTION("""COMPUTED_VALUE"""),55.408)</f>
        <v>55.408000000000001</v>
      </c>
      <c r="J761" s="2">
        <f ca="1">IFERROR(__xludf.DUMMYFUNCTION("""COMPUTED_VALUE"""),44.419)</f>
        <v>44.418999999999997</v>
      </c>
      <c r="K761" s="2">
        <f ca="1">IFERROR(__xludf.DUMMYFUNCTION("""COMPUTED_VALUE"""),58.387)</f>
        <v>58.387</v>
      </c>
      <c r="L761" s="2">
        <f ca="1">IFERROR(__xludf.DUMMYFUNCTION("""COMPUTED_VALUE"""),10.217)</f>
        <v>10.217000000000001</v>
      </c>
      <c r="M761" s="2">
        <f ca="1">IFERROR(__xludf.DUMMYFUNCTION("""COMPUTED_VALUE"""),15.175)</f>
        <v>15.175000000000001</v>
      </c>
      <c r="U761" s="3" t="e">
        <f ca="1"/>
        <v>#NAME?</v>
      </c>
    </row>
    <row r="762" spans="3:21" ht="12.5" x14ac:dyDescent="0.25">
      <c r="C762" s="4">
        <f ca="1">IFERROR(__xludf.DUMMYFUNCTION("""COMPUTED_VALUE"""),41058.9986111111)</f>
        <v>41058.998611111099</v>
      </c>
      <c r="D762" s="2">
        <f ca="1">IFERROR(__xludf.DUMMYFUNCTION("""COMPUTED_VALUE"""),55.668)</f>
        <v>55.667999999999999</v>
      </c>
      <c r="E762" s="2">
        <f ca="1">IFERROR(__xludf.DUMMYFUNCTION("""COMPUTED_VALUE"""),68.983)</f>
        <v>68.983000000000004</v>
      </c>
      <c r="F762" s="2">
        <f ca="1">IFERROR(__xludf.DUMMYFUNCTION("""COMPUTED_VALUE"""),86.004)</f>
        <v>86.004000000000005</v>
      </c>
      <c r="G762" s="2">
        <f ca="1">IFERROR(__xludf.DUMMYFUNCTION("""COMPUTED_VALUE"""),0.70572)</f>
        <v>0.70572000000000001</v>
      </c>
      <c r="H762" s="2">
        <f ca="1">IFERROR(__xludf.DUMMYFUNCTION("""COMPUTED_VALUE"""),58.328)</f>
        <v>58.328000000000003</v>
      </c>
      <c r="I762" s="2">
        <f ca="1">IFERROR(__xludf.DUMMYFUNCTION("""COMPUTED_VALUE"""),55.148)</f>
        <v>55.148000000000003</v>
      </c>
      <c r="J762" s="2">
        <f ca="1">IFERROR(__xludf.DUMMYFUNCTION("""COMPUTED_VALUE"""),44.648)</f>
        <v>44.648000000000003</v>
      </c>
      <c r="K762" s="2">
        <f ca="1">IFERROR(__xludf.DUMMYFUNCTION("""COMPUTED_VALUE"""),58.234)</f>
        <v>58.234000000000002</v>
      </c>
      <c r="L762" s="2">
        <f ca="1">IFERROR(__xludf.DUMMYFUNCTION("""COMPUTED_VALUE"""),10.194)</f>
        <v>10.194000000000001</v>
      </c>
      <c r="M762" s="2">
        <f ca="1">IFERROR(__xludf.DUMMYFUNCTION("""COMPUTED_VALUE"""),15.191)</f>
        <v>15.191000000000001</v>
      </c>
      <c r="U762" s="3" t="e">
        <f ca="1"/>
        <v>#NAME?</v>
      </c>
    </row>
    <row r="763" spans="3:21" ht="12.5" x14ac:dyDescent="0.25">
      <c r="C763" s="4">
        <f ca="1">IFERROR(__xludf.DUMMYFUNCTION("""COMPUTED_VALUE"""),41059.9986111111)</f>
        <v>41059.998611111099</v>
      </c>
      <c r="D763" s="2">
        <f ca="1">IFERROR(__xludf.DUMMYFUNCTION("""COMPUTED_VALUE"""),56.228)</f>
        <v>56.228000000000002</v>
      </c>
      <c r="E763" s="2">
        <f ca="1">IFERROR(__xludf.DUMMYFUNCTION("""COMPUTED_VALUE"""),68.985)</f>
        <v>68.984999999999999</v>
      </c>
      <c r="F763" s="2">
        <f ca="1">IFERROR(__xludf.DUMMYFUNCTION("""COMPUTED_VALUE"""),86.004)</f>
        <v>86.004000000000005</v>
      </c>
      <c r="G763" s="2">
        <f ca="1">IFERROR(__xludf.DUMMYFUNCTION("""COMPUTED_VALUE"""),0.7035)</f>
        <v>0.70350000000000001</v>
      </c>
      <c r="H763" s="2">
        <f ca="1">IFERROR(__xludf.DUMMYFUNCTION("""COMPUTED_VALUE"""),57.978)</f>
        <v>57.978000000000002</v>
      </c>
      <c r="I763" s="2">
        <f ca="1">IFERROR(__xludf.DUMMYFUNCTION("""COMPUTED_VALUE"""),55.368)</f>
        <v>55.368000000000002</v>
      </c>
      <c r="J763" s="2">
        <f ca="1">IFERROR(__xludf.DUMMYFUNCTION("""COMPUTED_VALUE"""),44.836)</f>
        <v>44.835999999999999</v>
      </c>
      <c r="K763" s="2">
        <f ca="1">IFERROR(__xludf.DUMMYFUNCTION("""COMPUTED_VALUE"""),57.733)</f>
        <v>57.732999999999997</v>
      </c>
      <c r="L763" s="2">
        <f ca="1">IFERROR(__xludf.DUMMYFUNCTION("""COMPUTED_VALUE"""),10.1)</f>
        <v>10.1</v>
      </c>
      <c r="M763" s="2">
        <f ca="1">IFERROR(__xludf.DUMMYFUNCTION("""COMPUTED_VALUE"""),15.159)</f>
        <v>15.159000000000001</v>
      </c>
      <c r="U763" s="3" t="e">
        <f ca="1"/>
        <v>#NAME?</v>
      </c>
    </row>
    <row r="764" spans="3:21" ht="12.5" x14ac:dyDescent="0.25">
      <c r="C764" s="4">
        <f ca="1">IFERROR(__xludf.DUMMYFUNCTION("""COMPUTED_VALUE"""),41060.9986111111)</f>
        <v>41060.998611111099</v>
      </c>
      <c r="D764" s="2">
        <f ca="1">IFERROR(__xludf.DUMMYFUNCTION("""COMPUTED_VALUE"""),56.078)</f>
        <v>56.078000000000003</v>
      </c>
      <c r="E764" s="2">
        <f ca="1">IFERROR(__xludf.DUMMYFUNCTION("""COMPUTED_VALUE"""),68.985)</f>
        <v>68.984999999999999</v>
      </c>
      <c r="F764" s="2">
        <f ca="1">IFERROR(__xludf.DUMMYFUNCTION("""COMPUTED_VALUE"""),86.993)</f>
        <v>86.992999999999995</v>
      </c>
      <c r="G764" s="2">
        <f ca="1">IFERROR(__xludf.DUMMYFUNCTION("""COMPUTED_VALUE"""),0.7003)</f>
        <v>0.70030000000000003</v>
      </c>
      <c r="H764" s="2">
        <f ca="1">IFERROR(__xludf.DUMMYFUNCTION("""COMPUTED_VALUE"""),58.344)</f>
        <v>58.344000000000001</v>
      </c>
      <c r="I764" s="2">
        <f ca="1">IFERROR(__xludf.DUMMYFUNCTION("""COMPUTED_VALUE"""),55.619)</f>
        <v>55.619</v>
      </c>
      <c r="J764" s="2">
        <f ca="1">IFERROR(__xludf.DUMMYFUNCTION("""COMPUTED_VALUE"""),44.837)</f>
        <v>44.837000000000003</v>
      </c>
      <c r="K764" s="2">
        <f ca="1">IFERROR(__xludf.DUMMYFUNCTION("""COMPUTED_VALUE"""),58.227)</f>
        <v>58.226999999999997</v>
      </c>
      <c r="L764" s="2">
        <f ca="1">IFERROR(__xludf.DUMMYFUNCTION("""COMPUTED_VALUE"""),10.173)</f>
        <v>10.173</v>
      </c>
      <c r="M764" s="2">
        <f ca="1">IFERROR(__xludf.DUMMYFUNCTION("""COMPUTED_VALUE"""),15.191)</f>
        <v>15.191000000000001</v>
      </c>
      <c r="U764" s="3" t="e">
        <f ca="1"/>
        <v>#NAME?</v>
      </c>
    </row>
    <row r="765" spans="3:21" ht="12.5" x14ac:dyDescent="0.25">
      <c r="C765" s="4">
        <f ca="1">IFERROR(__xludf.DUMMYFUNCTION("""COMPUTED_VALUE"""),41061.9986111111)</f>
        <v>41061.998611111099</v>
      </c>
      <c r="D765" s="2">
        <f ca="1">IFERROR(__xludf.DUMMYFUNCTION("""COMPUTED_VALUE"""),55.538)</f>
        <v>55.537999999999997</v>
      </c>
      <c r="E765" s="2">
        <f ca="1">IFERROR(__xludf.DUMMYFUNCTION("""COMPUTED_VALUE"""),68.732)</f>
        <v>68.731999999999999</v>
      </c>
      <c r="F765" s="2">
        <f ca="1">IFERROR(__xludf.DUMMYFUNCTION("""COMPUTED_VALUE"""),87.237)</f>
        <v>87.236999999999995</v>
      </c>
      <c r="G765" s="2">
        <f ca="1">IFERROR(__xludf.DUMMYFUNCTION("""COMPUTED_VALUE"""),0.7)</f>
        <v>0.7</v>
      </c>
      <c r="H765" s="2">
        <f ca="1">IFERROR(__xludf.DUMMYFUNCTION("""COMPUTED_VALUE"""),58.918)</f>
        <v>58.917999999999999</v>
      </c>
      <c r="I765" s="2">
        <f ca="1">IFERROR(__xludf.DUMMYFUNCTION("""COMPUTED_VALUE"""),55.62)</f>
        <v>55.62</v>
      </c>
      <c r="J765" s="2">
        <f ca="1">IFERROR(__xludf.DUMMYFUNCTION("""COMPUTED_VALUE"""),44.837)</f>
        <v>44.837000000000003</v>
      </c>
      <c r="K765" s="2">
        <f ca="1">IFERROR(__xludf.DUMMYFUNCTION("""COMPUTED_VALUE"""),57.437)</f>
        <v>57.436999999999998</v>
      </c>
      <c r="L765" s="2">
        <f ca="1">IFERROR(__xludf.DUMMYFUNCTION("""COMPUTED_VALUE"""),10.245)</f>
        <v>10.244999999999999</v>
      </c>
      <c r="M765" s="2">
        <f ca="1">IFERROR(__xludf.DUMMYFUNCTION("""COMPUTED_VALUE"""),15.08)</f>
        <v>15.08</v>
      </c>
      <c r="U765" s="3" t="e">
        <f ca="1"/>
        <v>#NAME?</v>
      </c>
    </row>
    <row r="766" spans="3:21" ht="12.5" x14ac:dyDescent="0.25">
      <c r="C766" s="4">
        <f ca="1">IFERROR(__xludf.DUMMYFUNCTION("""COMPUTED_VALUE"""),41063.9986111111)</f>
        <v>41063.998611111099</v>
      </c>
      <c r="D766" s="2">
        <f ca="1">IFERROR(__xludf.DUMMYFUNCTION("""COMPUTED_VALUE"""),55.538)</f>
        <v>55.537999999999997</v>
      </c>
      <c r="E766" s="2">
        <f ca="1">IFERROR(__xludf.DUMMYFUNCTION("""COMPUTED_VALUE"""),68.171)</f>
        <v>68.171000000000006</v>
      </c>
      <c r="F766" s="2">
        <f ca="1">IFERROR(__xludf.DUMMYFUNCTION("""COMPUTED_VALUE"""),87.817)</f>
        <v>87.816999999999993</v>
      </c>
      <c r="G766" s="2">
        <f ca="1">IFERROR(__xludf.DUMMYFUNCTION("""COMPUTED_VALUE"""),0.70041)</f>
        <v>0.70040999999999998</v>
      </c>
      <c r="H766" s="2">
        <f ca="1">IFERROR(__xludf.DUMMYFUNCTION("""COMPUTED_VALUE"""),58.915)</f>
        <v>58.914999999999999</v>
      </c>
      <c r="I766" s="2">
        <f ca="1">IFERROR(__xludf.DUMMYFUNCTION("""COMPUTED_VALUE"""),55.62)</f>
        <v>55.62</v>
      </c>
      <c r="J766" s="2">
        <f ca="1">IFERROR(__xludf.DUMMYFUNCTION("""COMPUTED_VALUE"""),44.679)</f>
        <v>44.679000000000002</v>
      </c>
      <c r="K766" s="2">
        <f ca="1">IFERROR(__xludf.DUMMYFUNCTION("""COMPUTED_VALUE"""),57.395)</f>
        <v>57.395000000000003</v>
      </c>
      <c r="L766" s="2">
        <f ca="1">IFERROR(__xludf.DUMMYFUNCTION("""COMPUTED_VALUE"""),10.266)</f>
        <v>10.266</v>
      </c>
      <c r="M766" s="2">
        <f ca="1">IFERROR(__xludf.DUMMYFUNCTION("""COMPUTED_VALUE"""),15.08)</f>
        <v>15.08</v>
      </c>
      <c r="U766" s="3" t="e">
        <f ca="1"/>
        <v>#NAME?</v>
      </c>
    </row>
    <row r="767" spans="3:21" ht="12.5" x14ac:dyDescent="0.25">
      <c r="C767" s="4">
        <f ca="1">IFERROR(__xludf.DUMMYFUNCTION("""COMPUTED_VALUE"""),41064.9986111111)</f>
        <v>41064.998611111099</v>
      </c>
      <c r="D767" s="2">
        <f ca="1">IFERROR(__xludf.DUMMYFUNCTION("""COMPUTED_VALUE"""),55.648)</f>
        <v>55.648000000000003</v>
      </c>
      <c r="E767" s="2">
        <f ca="1">IFERROR(__xludf.DUMMYFUNCTION("""COMPUTED_VALUE"""),68.467)</f>
        <v>68.466999999999999</v>
      </c>
      <c r="F767" s="2">
        <f ca="1">IFERROR(__xludf.DUMMYFUNCTION("""COMPUTED_VALUE"""),87.09)</f>
        <v>87.09</v>
      </c>
      <c r="G767" s="2">
        <f ca="1">IFERROR(__xludf.DUMMYFUNCTION("""COMPUTED_VALUE"""),0.70041)</f>
        <v>0.70040999999999998</v>
      </c>
      <c r="H767" s="2">
        <f ca="1">IFERROR(__xludf.DUMMYFUNCTION("""COMPUTED_VALUE"""),58.915)</f>
        <v>58.914999999999999</v>
      </c>
      <c r="I767" s="2">
        <f ca="1">IFERROR(__xludf.DUMMYFUNCTION("""COMPUTED_VALUE"""),55.425)</f>
        <v>55.424999999999997</v>
      </c>
      <c r="J767" s="2">
        <f ca="1">IFERROR(__xludf.DUMMYFUNCTION("""COMPUTED_VALUE"""),44.286)</f>
        <v>44.286000000000001</v>
      </c>
      <c r="K767" s="2">
        <f ca="1">IFERROR(__xludf.DUMMYFUNCTION("""COMPUTED_VALUE"""),57.903)</f>
        <v>57.902999999999999</v>
      </c>
      <c r="L767" s="2">
        <f ca="1">IFERROR(__xludf.DUMMYFUNCTION("""COMPUTED_VALUE"""),10.289)</f>
        <v>10.289</v>
      </c>
      <c r="M767" s="2">
        <f ca="1">IFERROR(__xludf.DUMMYFUNCTION("""COMPUTED_VALUE"""),15.08)</f>
        <v>15.08</v>
      </c>
      <c r="U767" s="3" t="e">
        <f ca="1"/>
        <v>#NAME?</v>
      </c>
    </row>
    <row r="768" spans="3:21" ht="12.5" x14ac:dyDescent="0.25">
      <c r="C768" s="4">
        <f ca="1">IFERROR(__xludf.DUMMYFUNCTION("""COMPUTED_VALUE"""),41065.9986111111)</f>
        <v>41065.998611111099</v>
      </c>
      <c r="D768" s="2">
        <f ca="1">IFERROR(__xludf.DUMMYFUNCTION("""COMPUTED_VALUE"""),55.638)</f>
        <v>55.637999999999998</v>
      </c>
      <c r="E768" s="2">
        <f ca="1">IFERROR(__xludf.DUMMYFUNCTION("""COMPUTED_VALUE"""),67.906)</f>
        <v>67.906000000000006</v>
      </c>
      <c r="F768" s="2">
        <f ca="1">IFERROR(__xludf.DUMMYFUNCTION("""COMPUTED_VALUE"""),86.737)</f>
        <v>86.736999999999995</v>
      </c>
      <c r="G768" s="2">
        <f ca="1">IFERROR(__xludf.DUMMYFUNCTION("""COMPUTED_VALUE"""),0.69818)</f>
        <v>0.69818000000000002</v>
      </c>
      <c r="H768" s="2">
        <f ca="1">IFERROR(__xludf.DUMMYFUNCTION("""COMPUTED_VALUE"""),58.588)</f>
        <v>58.588000000000001</v>
      </c>
      <c r="I768" s="2">
        <f ca="1">IFERROR(__xludf.DUMMYFUNCTION("""COMPUTED_VALUE"""),55.177)</f>
        <v>55.177</v>
      </c>
      <c r="J768" s="2">
        <f ca="1">IFERROR(__xludf.DUMMYFUNCTION("""COMPUTED_VALUE"""),44.455)</f>
        <v>44.454999999999998</v>
      </c>
      <c r="K768" s="2">
        <f ca="1">IFERROR(__xludf.DUMMYFUNCTION("""COMPUTED_VALUE"""),57.295)</f>
        <v>57.295000000000002</v>
      </c>
      <c r="L768" s="2">
        <f ca="1">IFERROR(__xludf.DUMMYFUNCTION("""COMPUTED_VALUE"""),10.248)</f>
        <v>10.247999999999999</v>
      </c>
      <c r="M768" s="2">
        <f ca="1">IFERROR(__xludf.DUMMYFUNCTION("""COMPUTED_VALUE"""),15.218)</f>
        <v>15.218</v>
      </c>
      <c r="U768" s="3" t="e">
        <f ca="1"/>
        <v>#NAME?</v>
      </c>
    </row>
    <row r="769" spans="3:21" ht="12.5" x14ac:dyDescent="0.25">
      <c r="C769" s="4">
        <f ca="1">IFERROR(__xludf.DUMMYFUNCTION("""COMPUTED_VALUE"""),41066.9986111111)</f>
        <v>41066.998611111099</v>
      </c>
      <c r="D769" s="2">
        <f ca="1">IFERROR(__xludf.DUMMYFUNCTION("""COMPUTED_VALUE"""),55.358)</f>
        <v>55.357999999999997</v>
      </c>
      <c r="E769" s="2">
        <f ca="1">IFERROR(__xludf.DUMMYFUNCTION("""COMPUTED_VALUE"""),67.857)</f>
        <v>67.856999999999999</v>
      </c>
      <c r="F769" s="2">
        <f ca="1">IFERROR(__xludf.DUMMYFUNCTION("""COMPUTED_VALUE"""),86.639)</f>
        <v>86.638999999999996</v>
      </c>
      <c r="G769" s="2">
        <f ca="1">IFERROR(__xludf.DUMMYFUNCTION("""COMPUTED_VALUE"""),0.70639)</f>
        <v>0.70638999999999996</v>
      </c>
      <c r="H769" s="2">
        <f ca="1">IFERROR(__xludf.DUMMYFUNCTION("""COMPUTED_VALUE"""),58.052)</f>
        <v>58.052</v>
      </c>
      <c r="I769" s="2">
        <f ca="1">IFERROR(__xludf.DUMMYFUNCTION("""COMPUTED_VALUE"""),55.648)</f>
        <v>55.648000000000003</v>
      </c>
      <c r="J769" s="2">
        <f ca="1">IFERROR(__xludf.DUMMYFUNCTION("""COMPUTED_VALUE"""),44.354)</f>
        <v>44.353999999999999</v>
      </c>
      <c r="K769" s="2">
        <f ca="1">IFERROR(__xludf.DUMMYFUNCTION("""COMPUTED_VALUE"""),57.671)</f>
        <v>57.670999999999999</v>
      </c>
      <c r="L769" s="2">
        <f ca="1">IFERROR(__xludf.DUMMYFUNCTION("""COMPUTED_VALUE"""),10.265)</f>
        <v>10.265000000000001</v>
      </c>
      <c r="M769" s="2">
        <f ca="1">IFERROR(__xludf.DUMMYFUNCTION("""COMPUTED_VALUE"""),15.232)</f>
        <v>15.231999999999999</v>
      </c>
      <c r="U769" s="3" t="e">
        <f ca="1"/>
        <v>#NAME?</v>
      </c>
    </row>
    <row r="770" spans="3:21" ht="12.5" x14ac:dyDescent="0.25">
      <c r="C770" s="4">
        <f ca="1">IFERROR(__xludf.DUMMYFUNCTION("""COMPUTED_VALUE"""),41067.9986111111)</f>
        <v>41067.998611111099</v>
      </c>
      <c r="D770" s="2">
        <f ca="1">IFERROR(__xludf.DUMMYFUNCTION("""COMPUTED_VALUE"""),54.938)</f>
        <v>54.938000000000002</v>
      </c>
      <c r="E770" s="2">
        <f ca="1">IFERROR(__xludf.DUMMYFUNCTION("""COMPUTED_VALUE"""),67.857)</f>
        <v>67.856999999999999</v>
      </c>
      <c r="F770" s="2">
        <f ca="1">IFERROR(__xludf.DUMMYFUNCTION("""COMPUTED_VALUE"""),86.603)</f>
        <v>86.602999999999994</v>
      </c>
      <c r="G770" s="2">
        <f ca="1">IFERROR(__xludf.DUMMYFUNCTION("""COMPUTED_VALUE"""),0.70308)</f>
        <v>0.70308000000000004</v>
      </c>
      <c r="H770" s="2">
        <f ca="1">IFERROR(__xludf.DUMMYFUNCTION("""COMPUTED_VALUE"""),58.489)</f>
        <v>58.488999999999997</v>
      </c>
      <c r="I770" s="2">
        <f ca="1">IFERROR(__xludf.DUMMYFUNCTION("""COMPUTED_VALUE"""),55.68)</f>
        <v>55.68</v>
      </c>
      <c r="J770" s="2">
        <f ca="1">IFERROR(__xludf.DUMMYFUNCTION("""COMPUTED_VALUE"""),44.365)</f>
        <v>44.365000000000002</v>
      </c>
      <c r="K770" s="2">
        <f ca="1">IFERROR(__xludf.DUMMYFUNCTION("""COMPUTED_VALUE"""),57.678)</f>
        <v>57.677999999999997</v>
      </c>
      <c r="L770" s="2">
        <f ca="1">IFERROR(__xludf.DUMMYFUNCTION("""COMPUTED_VALUE"""),10.23)</f>
        <v>10.23</v>
      </c>
      <c r="M770" s="2">
        <f ca="1">IFERROR(__xludf.DUMMYFUNCTION("""COMPUTED_VALUE"""),15.286)</f>
        <v>15.286</v>
      </c>
      <c r="U770" s="3" t="e">
        <f ca="1"/>
        <v>#NAME?</v>
      </c>
    </row>
    <row r="771" spans="3:21" ht="12.5" x14ac:dyDescent="0.25">
      <c r="C771" s="4">
        <f ca="1">IFERROR(__xludf.DUMMYFUNCTION("""COMPUTED_VALUE"""),41068.9986111111)</f>
        <v>41068.998611111099</v>
      </c>
      <c r="D771" s="2">
        <f ca="1">IFERROR(__xludf.DUMMYFUNCTION("""COMPUTED_VALUE"""),55.418)</f>
        <v>55.417999999999999</v>
      </c>
      <c r="E771" s="2">
        <f ca="1">IFERROR(__xludf.DUMMYFUNCTION("""COMPUTED_VALUE"""),68.185)</f>
        <v>68.185000000000002</v>
      </c>
      <c r="F771" s="2">
        <f ca="1">IFERROR(__xludf.DUMMYFUNCTION("""COMPUTED_VALUE"""),86.928)</f>
        <v>86.927999999999997</v>
      </c>
      <c r="G771" s="2">
        <f ca="1">IFERROR(__xludf.DUMMYFUNCTION("""COMPUTED_VALUE"""),0.70567)</f>
        <v>0.70567000000000002</v>
      </c>
      <c r="H771" s="2">
        <f ca="1">IFERROR(__xludf.DUMMYFUNCTION("""COMPUTED_VALUE"""),58.37)</f>
        <v>58.37</v>
      </c>
      <c r="I771" s="2">
        <f ca="1">IFERROR(__xludf.DUMMYFUNCTION("""COMPUTED_VALUE"""),55.721)</f>
        <v>55.720999999999997</v>
      </c>
      <c r="J771" s="2">
        <f ca="1">IFERROR(__xludf.DUMMYFUNCTION("""COMPUTED_VALUE"""),44.365)</f>
        <v>44.365000000000002</v>
      </c>
      <c r="K771" s="2">
        <f ca="1">IFERROR(__xludf.DUMMYFUNCTION("""COMPUTED_VALUE"""),57.506)</f>
        <v>57.506</v>
      </c>
      <c r="L771" s="2">
        <f ca="1">IFERROR(__xludf.DUMMYFUNCTION("""COMPUTED_VALUE"""),10.273)</f>
        <v>10.273</v>
      </c>
      <c r="M771" s="2">
        <f ca="1">IFERROR(__xludf.DUMMYFUNCTION("""COMPUTED_VALUE"""),15.327)</f>
        <v>15.327</v>
      </c>
      <c r="U771" s="3" t="e">
        <f ca="1"/>
        <v>#NAME?</v>
      </c>
    </row>
    <row r="772" spans="3:21" ht="12.5" x14ac:dyDescent="0.25">
      <c r="C772" s="4">
        <f ca="1">IFERROR(__xludf.DUMMYFUNCTION("""COMPUTED_VALUE"""),41070.9986111111)</f>
        <v>41070.998611111099</v>
      </c>
      <c r="D772" s="2">
        <f ca="1">IFERROR(__xludf.DUMMYFUNCTION("""COMPUTED_VALUE"""),55.418)</f>
        <v>55.417999999999999</v>
      </c>
      <c r="E772" s="2">
        <f ca="1">IFERROR(__xludf.DUMMYFUNCTION("""COMPUTED_VALUE"""),68.481)</f>
        <v>68.480999999999995</v>
      </c>
      <c r="F772" s="2">
        <f ca="1">IFERROR(__xludf.DUMMYFUNCTION("""COMPUTED_VALUE"""),86.903)</f>
        <v>86.903000000000006</v>
      </c>
      <c r="G772" s="2">
        <f ca="1">IFERROR(__xludf.DUMMYFUNCTION("""COMPUTED_VALUE"""),0.70559)</f>
        <v>0.70559000000000005</v>
      </c>
      <c r="H772" s="2">
        <f ca="1">IFERROR(__xludf.DUMMYFUNCTION("""COMPUTED_VALUE"""),58.394)</f>
        <v>58.393999999999998</v>
      </c>
      <c r="I772" s="2">
        <f ca="1">IFERROR(__xludf.DUMMYFUNCTION("""COMPUTED_VALUE"""),55.712)</f>
        <v>55.712000000000003</v>
      </c>
      <c r="J772" s="2">
        <f ca="1">IFERROR(__xludf.DUMMYFUNCTION("""COMPUTED_VALUE"""),44.365)</f>
        <v>44.365000000000002</v>
      </c>
      <c r="K772" s="2">
        <f ca="1">IFERROR(__xludf.DUMMYFUNCTION("""COMPUTED_VALUE"""),57.578)</f>
        <v>57.578000000000003</v>
      </c>
      <c r="L772" s="2">
        <f ca="1">IFERROR(__xludf.DUMMYFUNCTION("""COMPUTED_VALUE"""),10.246)</f>
        <v>10.246</v>
      </c>
      <c r="M772" s="2">
        <f ca="1">IFERROR(__xludf.DUMMYFUNCTION("""COMPUTED_VALUE"""),15.551)</f>
        <v>15.551</v>
      </c>
      <c r="U772" s="3" t="e">
        <f ca="1"/>
        <v>#NAME?</v>
      </c>
    </row>
    <row r="773" spans="3:21" ht="12.5" x14ac:dyDescent="0.25">
      <c r="C773" s="4">
        <f ca="1">IFERROR(__xludf.DUMMYFUNCTION("""COMPUTED_VALUE"""),41071.9986111111)</f>
        <v>41071.998611111099</v>
      </c>
      <c r="D773" s="2">
        <f ca="1">IFERROR(__xludf.DUMMYFUNCTION("""COMPUTED_VALUE"""),55.738)</f>
        <v>55.738</v>
      </c>
      <c r="E773" s="2">
        <f ca="1">IFERROR(__xludf.DUMMYFUNCTION("""COMPUTED_VALUE"""),68.285)</f>
        <v>68.284999999999997</v>
      </c>
      <c r="F773" s="2">
        <f ca="1">IFERROR(__xludf.DUMMYFUNCTION("""COMPUTED_VALUE"""),86.305)</f>
        <v>86.305000000000007</v>
      </c>
      <c r="G773" s="2">
        <f ca="1">IFERROR(__xludf.DUMMYFUNCTION("""COMPUTED_VALUE"""),0.70628)</f>
        <v>0.70628000000000002</v>
      </c>
      <c r="H773" s="2">
        <f ca="1">IFERROR(__xludf.DUMMYFUNCTION("""COMPUTED_VALUE"""),58.402)</f>
        <v>58.402000000000001</v>
      </c>
      <c r="I773" s="2">
        <f ca="1">IFERROR(__xludf.DUMMYFUNCTION("""COMPUTED_VALUE"""),55.712)</f>
        <v>55.712000000000003</v>
      </c>
      <c r="J773" s="2">
        <f ca="1">IFERROR(__xludf.DUMMYFUNCTION("""COMPUTED_VALUE"""),44.358)</f>
        <v>44.357999999999997</v>
      </c>
      <c r="K773" s="2">
        <f ca="1">IFERROR(__xludf.DUMMYFUNCTION("""COMPUTED_VALUE"""),56.972)</f>
        <v>56.972000000000001</v>
      </c>
      <c r="L773" s="2">
        <f ca="1">IFERROR(__xludf.DUMMYFUNCTION("""COMPUTED_VALUE"""),10.254)</f>
        <v>10.254</v>
      </c>
      <c r="M773" s="2">
        <f ca="1">IFERROR(__xludf.DUMMYFUNCTION("""COMPUTED_VALUE"""),15.551)</f>
        <v>15.551</v>
      </c>
      <c r="U773" s="3" t="e">
        <f ca="1"/>
        <v>#NAME?</v>
      </c>
    </row>
    <row r="774" spans="3:21" ht="12.5" x14ac:dyDescent="0.25">
      <c r="C774" s="4">
        <f ca="1">IFERROR(__xludf.DUMMYFUNCTION("""COMPUTED_VALUE"""),41072.9986111111)</f>
        <v>41072.998611111099</v>
      </c>
      <c r="D774" s="2">
        <f ca="1">IFERROR(__xludf.DUMMYFUNCTION("""COMPUTED_VALUE"""),55.798)</f>
        <v>55.798000000000002</v>
      </c>
      <c r="E774" s="2">
        <f ca="1">IFERROR(__xludf.DUMMYFUNCTION("""COMPUTED_VALUE"""),68.656)</f>
        <v>68.656000000000006</v>
      </c>
      <c r="F774" s="2">
        <f ca="1">IFERROR(__xludf.DUMMYFUNCTION("""COMPUTED_VALUE"""),85.224)</f>
        <v>85.224000000000004</v>
      </c>
      <c r="G774" s="2">
        <f ca="1">IFERROR(__xludf.DUMMYFUNCTION("""COMPUTED_VALUE"""),0.70795)</f>
        <v>0.70794999999999997</v>
      </c>
      <c r="H774" s="2">
        <f ca="1">IFERROR(__xludf.DUMMYFUNCTION("""COMPUTED_VALUE"""),58.402)</f>
        <v>58.402000000000001</v>
      </c>
      <c r="I774" s="2">
        <f ca="1">IFERROR(__xludf.DUMMYFUNCTION("""COMPUTED_VALUE"""),55.7)</f>
        <v>55.7</v>
      </c>
      <c r="J774" s="2">
        <f ca="1">IFERROR(__xludf.DUMMYFUNCTION("""COMPUTED_VALUE"""),44.574)</f>
        <v>44.573999999999998</v>
      </c>
      <c r="K774" s="2">
        <f ca="1">IFERROR(__xludf.DUMMYFUNCTION("""COMPUTED_VALUE"""),57.656)</f>
        <v>57.655999999999999</v>
      </c>
      <c r="L774" s="2">
        <f ca="1">IFERROR(__xludf.DUMMYFUNCTION("""COMPUTED_VALUE"""),10.276)</f>
        <v>10.276</v>
      </c>
      <c r="M774" s="2">
        <f ca="1">IFERROR(__xludf.DUMMYFUNCTION("""COMPUTED_VALUE"""),15.551)</f>
        <v>15.551</v>
      </c>
      <c r="U774" s="3" t="e">
        <f ca="1"/>
        <v>#NAME?</v>
      </c>
    </row>
    <row r="775" spans="3:21" ht="12.5" x14ac:dyDescent="0.25">
      <c r="C775" s="4">
        <f ca="1">IFERROR(__xludf.DUMMYFUNCTION("""COMPUTED_VALUE"""),41073.9986111111)</f>
        <v>41073.998611111099</v>
      </c>
      <c r="D775" s="2">
        <f ca="1">IFERROR(__xludf.DUMMYFUNCTION("""COMPUTED_VALUE"""),55.678)</f>
        <v>55.677999999999997</v>
      </c>
      <c r="E775" s="2">
        <f ca="1">IFERROR(__xludf.DUMMYFUNCTION("""COMPUTED_VALUE"""),68.691)</f>
        <v>68.691000000000003</v>
      </c>
      <c r="F775" s="2">
        <f ca="1">IFERROR(__xludf.DUMMYFUNCTION("""COMPUTED_VALUE"""),85.224)</f>
        <v>85.224000000000004</v>
      </c>
      <c r="G775" s="2">
        <f ca="1">IFERROR(__xludf.DUMMYFUNCTION("""COMPUTED_VALUE"""),0.70577)</f>
        <v>0.70577000000000001</v>
      </c>
      <c r="H775" s="2">
        <f ca="1">IFERROR(__xludf.DUMMYFUNCTION("""COMPUTED_VALUE"""),58.154)</f>
        <v>58.154000000000003</v>
      </c>
      <c r="I775" s="2">
        <f ca="1">IFERROR(__xludf.DUMMYFUNCTION("""COMPUTED_VALUE"""),56.018)</f>
        <v>56.018000000000001</v>
      </c>
      <c r="J775" s="2">
        <f ca="1">IFERROR(__xludf.DUMMYFUNCTION("""COMPUTED_VALUE"""),44.479)</f>
        <v>44.478999999999999</v>
      </c>
      <c r="K775" s="2">
        <f ca="1">IFERROR(__xludf.DUMMYFUNCTION("""COMPUTED_VALUE"""),57.495)</f>
        <v>57.494999999999997</v>
      </c>
      <c r="L775" s="2">
        <f ca="1">IFERROR(__xludf.DUMMYFUNCTION("""COMPUTED_VALUE"""),10.256)</f>
        <v>10.256</v>
      </c>
      <c r="M775" s="2">
        <f ca="1">IFERROR(__xludf.DUMMYFUNCTION("""COMPUTED_VALUE"""),15.521)</f>
        <v>15.521000000000001</v>
      </c>
      <c r="U775" s="3" t="e">
        <f ca="1"/>
        <v>#NAME?</v>
      </c>
    </row>
    <row r="776" spans="3:21" ht="12.5" x14ac:dyDescent="0.25">
      <c r="C776" s="4">
        <f ca="1">IFERROR(__xludf.DUMMYFUNCTION("""COMPUTED_VALUE"""),41074.9986111111)</f>
        <v>41074.998611111099</v>
      </c>
      <c r="D776" s="2">
        <f ca="1">IFERROR(__xludf.DUMMYFUNCTION("""COMPUTED_VALUE"""),55.798)</f>
        <v>55.798000000000002</v>
      </c>
      <c r="E776" s="2">
        <f ca="1">IFERROR(__xludf.DUMMYFUNCTION("""COMPUTED_VALUE"""),68.735)</f>
        <v>68.734999999999999</v>
      </c>
      <c r="F776" s="2">
        <f ca="1">IFERROR(__xludf.DUMMYFUNCTION("""COMPUTED_VALUE"""),85.323)</f>
        <v>85.322999999999993</v>
      </c>
      <c r="G776" s="2">
        <f ca="1">IFERROR(__xludf.DUMMYFUNCTION("""COMPUTED_VALUE"""),0.70718)</f>
        <v>0.70718000000000003</v>
      </c>
      <c r="H776" s="2">
        <f ca="1">IFERROR(__xludf.DUMMYFUNCTION("""COMPUTED_VALUE"""),58.299)</f>
        <v>58.298999999999999</v>
      </c>
      <c r="I776" s="2">
        <f ca="1">IFERROR(__xludf.DUMMYFUNCTION("""COMPUTED_VALUE"""),56.186)</f>
        <v>56.186</v>
      </c>
      <c r="J776" s="2">
        <f ca="1">IFERROR(__xludf.DUMMYFUNCTION("""COMPUTED_VALUE"""),44.461)</f>
        <v>44.460999999999999</v>
      </c>
      <c r="K776" s="2">
        <f ca="1">IFERROR(__xludf.DUMMYFUNCTION("""COMPUTED_VALUE"""),57.866)</f>
        <v>57.866</v>
      </c>
      <c r="L776" s="2">
        <f ca="1">IFERROR(__xludf.DUMMYFUNCTION("""COMPUTED_VALUE"""),10.249)</f>
        <v>10.249000000000001</v>
      </c>
      <c r="M776" s="2">
        <f ca="1">IFERROR(__xludf.DUMMYFUNCTION("""COMPUTED_VALUE"""),15.521)</f>
        <v>15.521000000000001</v>
      </c>
      <c r="U776" s="3" t="e">
        <f ca="1"/>
        <v>#NAME?</v>
      </c>
    </row>
    <row r="777" spans="3:21" ht="12.5" x14ac:dyDescent="0.25">
      <c r="C777" s="4">
        <f ca="1">IFERROR(__xludf.DUMMYFUNCTION("""COMPUTED_VALUE"""),41075.9986111111)</f>
        <v>41075.998611111099</v>
      </c>
      <c r="D777" s="2">
        <f ca="1">IFERROR(__xludf.DUMMYFUNCTION("""COMPUTED_VALUE"""),55.388)</f>
        <v>55.387999999999998</v>
      </c>
      <c r="E777" s="2">
        <f ca="1">IFERROR(__xludf.DUMMYFUNCTION("""COMPUTED_VALUE"""),68.691)</f>
        <v>68.691000000000003</v>
      </c>
      <c r="F777" s="2">
        <f ca="1">IFERROR(__xludf.DUMMYFUNCTION("""COMPUTED_VALUE"""),85.506)</f>
        <v>85.506</v>
      </c>
      <c r="G777" s="2">
        <f ca="1">IFERROR(__xludf.DUMMYFUNCTION("""COMPUTED_VALUE"""),0.70749)</f>
        <v>0.70748999999999995</v>
      </c>
      <c r="H777" s="2">
        <f ca="1">IFERROR(__xludf.DUMMYFUNCTION("""COMPUTED_VALUE"""),58.361)</f>
        <v>58.360999999999997</v>
      </c>
      <c r="I777" s="2">
        <f ca="1">IFERROR(__xludf.DUMMYFUNCTION("""COMPUTED_VALUE"""),56.317)</f>
        <v>56.317</v>
      </c>
      <c r="J777" s="2">
        <f ca="1">IFERROR(__xludf.DUMMYFUNCTION("""COMPUTED_VALUE"""),44.42)</f>
        <v>44.42</v>
      </c>
      <c r="K777" s="2">
        <f ca="1">IFERROR(__xludf.DUMMYFUNCTION("""COMPUTED_VALUE"""),57.861)</f>
        <v>57.860999999999997</v>
      </c>
      <c r="L777" s="2">
        <f ca="1">IFERROR(__xludf.DUMMYFUNCTION("""COMPUTED_VALUE"""),10.257)</f>
        <v>10.257</v>
      </c>
      <c r="M777" s="2">
        <f ca="1">IFERROR(__xludf.DUMMYFUNCTION("""COMPUTED_VALUE"""),15.487)</f>
        <v>15.487</v>
      </c>
      <c r="U777" s="3" t="e">
        <f ca="1"/>
        <v>#NAME?</v>
      </c>
    </row>
    <row r="778" spans="3:21" ht="12.5" x14ac:dyDescent="0.25">
      <c r="C778" s="4">
        <f ca="1">IFERROR(__xludf.DUMMYFUNCTION("""COMPUTED_VALUE"""),41076.9986111111)</f>
        <v>41076.998611111099</v>
      </c>
      <c r="D778" s="2">
        <f ca="1">IFERROR(__xludf.DUMMYFUNCTION("""COMPUTED_VALUE"""),55.388)</f>
        <v>55.387999999999998</v>
      </c>
      <c r="E778" s="2">
        <f ca="1">IFERROR(__xludf.DUMMYFUNCTION("""COMPUTED_VALUE"""),68.474)</f>
        <v>68.474000000000004</v>
      </c>
      <c r="F778" s="2">
        <f ca="1">IFERROR(__xludf.DUMMYFUNCTION("""COMPUTED_VALUE"""),85.471)</f>
        <v>85.471000000000004</v>
      </c>
      <c r="G778" s="2">
        <f ca="1">IFERROR(__xludf.DUMMYFUNCTION("""COMPUTED_VALUE"""),0.70845)</f>
        <v>0.70845000000000002</v>
      </c>
      <c r="H778" s="2">
        <f ca="1">IFERROR(__xludf.DUMMYFUNCTION("""COMPUTED_VALUE"""),58.425)</f>
        <v>58.424999999999997</v>
      </c>
      <c r="I778" s="2">
        <f ca="1">IFERROR(__xludf.DUMMYFUNCTION("""COMPUTED_VALUE"""),56.303)</f>
        <v>56.302999999999997</v>
      </c>
      <c r="J778" s="2">
        <f ca="1">IFERROR(__xludf.DUMMYFUNCTION("""COMPUTED_VALUE"""),44.452)</f>
        <v>44.451999999999998</v>
      </c>
      <c r="K778" s="2">
        <f ca="1">IFERROR(__xludf.DUMMYFUNCTION("""COMPUTED_VALUE"""),58.639)</f>
        <v>58.639000000000003</v>
      </c>
      <c r="L778" s="2">
        <f ca="1">IFERROR(__xludf.DUMMYFUNCTION("""COMPUTED_VALUE"""),10.27)</f>
        <v>10.27</v>
      </c>
      <c r="M778" s="2">
        <f ca="1">IFERROR(__xludf.DUMMYFUNCTION("""COMPUTED_VALUE"""),15.463)</f>
        <v>15.462999999999999</v>
      </c>
      <c r="U778" s="3" t="e">
        <f ca="1"/>
        <v>#NAME?</v>
      </c>
    </row>
    <row r="779" spans="3:21" ht="12.5" x14ac:dyDescent="0.25">
      <c r="C779" s="4">
        <f ca="1">IFERROR(__xludf.DUMMYFUNCTION("""COMPUTED_VALUE"""),41078.9986111111)</f>
        <v>41078.998611111099</v>
      </c>
      <c r="D779" s="2">
        <f ca="1">IFERROR(__xludf.DUMMYFUNCTION("""COMPUTED_VALUE"""),55.903)</f>
        <v>55.902999999999999</v>
      </c>
      <c r="E779" s="2">
        <f ca="1">IFERROR(__xludf.DUMMYFUNCTION("""COMPUTED_VALUE"""),69.027)</f>
        <v>69.027000000000001</v>
      </c>
      <c r="F779" s="2">
        <f ca="1">IFERROR(__xludf.DUMMYFUNCTION("""COMPUTED_VALUE"""),85.667)</f>
        <v>85.667000000000002</v>
      </c>
      <c r="G779" s="2">
        <f ca="1">IFERROR(__xludf.DUMMYFUNCTION("""COMPUTED_VALUE"""),0.70845)</f>
        <v>0.70845000000000002</v>
      </c>
      <c r="H779" s="2">
        <f ca="1">IFERROR(__xludf.DUMMYFUNCTION("""COMPUTED_VALUE"""),58.018)</f>
        <v>58.018000000000001</v>
      </c>
      <c r="I779" s="2">
        <f ca="1">IFERROR(__xludf.DUMMYFUNCTION("""COMPUTED_VALUE"""),56.336)</f>
        <v>56.335999999999999</v>
      </c>
      <c r="J779" s="2">
        <f ca="1">IFERROR(__xludf.DUMMYFUNCTION("""COMPUTED_VALUE"""),44.421)</f>
        <v>44.420999999999999</v>
      </c>
      <c r="K779" s="2">
        <f ca="1">IFERROR(__xludf.DUMMYFUNCTION("""COMPUTED_VALUE"""),58.391)</f>
        <v>58.390999999999998</v>
      </c>
      <c r="L779" s="2">
        <f ca="1">IFERROR(__xludf.DUMMYFUNCTION("""COMPUTED_VALUE"""),10.249)</f>
        <v>10.249000000000001</v>
      </c>
      <c r="M779" s="2">
        <f ca="1">IFERROR(__xludf.DUMMYFUNCTION("""COMPUTED_VALUE"""),15.111)</f>
        <v>15.111000000000001</v>
      </c>
      <c r="U779" s="3" t="e">
        <f ca="1"/>
        <v>#NAME?</v>
      </c>
    </row>
    <row r="780" spans="3:21" ht="12.5" x14ac:dyDescent="0.25">
      <c r="C780" s="4">
        <f ca="1">IFERROR(__xludf.DUMMYFUNCTION("""COMPUTED_VALUE"""),41079.9986111111)</f>
        <v>41079.998611111099</v>
      </c>
      <c r="D780" s="2">
        <f ca="1">IFERROR(__xludf.DUMMYFUNCTION("""COMPUTED_VALUE"""),55.948)</f>
        <v>55.948</v>
      </c>
      <c r="E780" s="2">
        <f ca="1">IFERROR(__xludf.DUMMYFUNCTION("""COMPUTED_VALUE"""),69.344)</f>
        <v>69.343999999999994</v>
      </c>
      <c r="F780" s="2">
        <f ca="1">IFERROR(__xludf.DUMMYFUNCTION("""COMPUTED_VALUE"""),85.256)</f>
        <v>85.256</v>
      </c>
      <c r="G780" s="2">
        <f ca="1">IFERROR(__xludf.DUMMYFUNCTION("""COMPUTED_VALUE"""),0.70843)</f>
        <v>0.70843</v>
      </c>
      <c r="H780" s="2">
        <f ca="1">IFERROR(__xludf.DUMMYFUNCTION("""COMPUTED_VALUE"""),58.08)</f>
        <v>58.08</v>
      </c>
      <c r="I780" s="2">
        <f ca="1">IFERROR(__xludf.DUMMYFUNCTION("""COMPUTED_VALUE"""),56.31)</f>
        <v>56.31</v>
      </c>
      <c r="J780" s="2">
        <f ca="1">IFERROR(__xludf.DUMMYFUNCTION("""COMPUTED_VALUE"""),44.254)</f>
        <v>44.253999999999998</v>
      </c>
      <c r="K780" s="2">
        <f ca="1">IFERROR(__xludf.DUMMYFUNCTION("""COMPUTED_VALUE"""),58.661)</f>
        <v>58.661000000000001</v>
      </c>
      <c r="L780" s="2">
        <f ca="1">IFERROR(__xludf.DUMMYFUNCTION("""COMPUTED_VALUE"""),10.287)</f>
        <v>10.287000000000001</v>
      </c>
      <c r="M780" s="2">
        <f ca="1">IFERROR(__xludf.DUMMYFUNCTION("""COMPUTED_VALUE"""),15.111)</f>
        <v>15.111000000000001</v>
      </c>
      <c r="U780" s="3" t="e">
        <f ca="1"/>
        <v>#NAME?</v>
      </c>
    </row>
    <row r="781" spans="3:21" ht="12.5" x14ac:dyDescent="0.25">
      <c r="C781" s="4">
        <f ca="1">IFERROR(__xludf.DUMMYFUNCTION("""COMPUTED_VALUE"""),41080.9986111111)</f>
        <v>41080.998611111099</v>
      </c>
      <c r="D781" s="2">
        <f ca="1">IFERROR(__xludf.DUMMYFUNCTION("""COMPUTED_VALUE"""),56.148)</f>
        <v>56.148000000000003</v>
      </c>
      <c r="E781" s="2">
        <f ca="1">IFERROR(__xludf.DUMMYFUNCTION("""COMPUTED_VALUE"""),69.37)</f>
        <v>69.37</v>
      </c>
      <c r="F781" s="2">
        <f ca="1">IFERROR(__xludf.DUMMYFUNCTION("""COMPUTED_VALUE"""),85.659)</f>
        <v>85.659000000000006</v>
      </c>
      <c r="G781" s="2">
        <f ca="1">IFERROR(__xludf.DUMMYFUNCTION("""COMPUTED_VALUE"""),0.70847)</f>
        <v>0.70847000000000004</v>
      </c>
      <c r="H781" s="2">
        <f ca="1">IFERROR(__xludf.DUMMYFUNCTION("""COMPUTED_VALUE"""),58.022)</f>
        <v>58.021999999999998</v>
      </c>
      <c r="I781" s="2">
        <f ca="1">IFERROR(__xludf.DUMMYFUNCTION("""COMPUTED_VALUE"""),56.085)</f>
        <v>56.085000000000001</v>
      </c>
      <c r="J781" s="2">
        <f ca="1">IFERROR(__xludf.DUMMYFUNCTION("""COMPUTED_VALUE"""),44.474)</f>
        <v>44.473999999999997</v>
      </c>
      <c r="K781" s="2">
        <f ca="1">IFERROR(__xludf.DUMMYFUNCTION("""COMPUTED_VALUE"""),58.015)</f>
        <v>58.015000000000001</v>
      </c>
      <c r="L781" s="2">
        <f ca="1">IFERROR(__xludf.DUMMYFUNCTION("""COMPUTED_VALUE"""),10.29)</f>
        <v>10.29</v>
      </c>
      <c r="M781" s="2">
        <f ca="1">IFERROR(__xludf.DUMMYFUNCTION("""COMPUTED_VALUE"""),15.111)</f>
        <v>15.111000000000001</v>
      </c>
      <c r="U781" s="3" t="e">
        <f ca="1"/>
        <v>#NAME?</v>
      </c>
    </row>
    <row r="782" spans="3:21" ht="12.5" x14ac:dyDescent="0.25">
      <c r="C782" s="4">
        <f ca="1">IFERROR(__xludf.DUMMYFUNCTION("""COMPUTED_VALUE"""),41081.9986111111)</f>
        <v>41081.998611111099</v>
      </c>
      <c r="D782" s="2">
        <f ca="1">IFERROR(__xludf.DUMMYFUNCTION("""COMPUTED_VALUE"""),56.298)</f>
        <v>56.298000000000002</v>
      </c>
      <c r="E782" s="2">
        <f ca="1">IFERROR(__xludf.DUMMYFUNCTION("""COMPUTED_VALUE"""),69.442)</f>
        <v>69.441999999999993</v>
      </c>
      <c r="F782" s="2">
        <f ca="1">IFERROR(__xludf.DUMMYFUNCTION("""COMPUTED_VALUE"""),84.257)</f>
        <v>84.257000000000005</v>
      </c>
      <c r="G782" s="2">
        <f ca="1">IFERROR(__xludf.DUMMYFUNCTION("""COMPUTED_VALUE"""),0.71222)</f>
        <v>0.71221999999999996</v>
      </c>
      <c r="H782" s="2">
        <f ca="1">IFERROR(__xludf.DUMMYFUNCTION("""COMPUTED_VALUE"""),57.921)</f>
        <v>57.920999999999999</v>
      </c>
      <c r="I782" s="2">
        <f ca="1">IFERROR(__xludf.DUMMYFUNCTION("""COMPUTED_VALUE"""),55.591)</f>
        <v>55.591000000000001</v>
      </c>
      <c r="J782" s="2">
        <f ca="1">IFERROR(__xludf.DUMMYFUNCTION("""COMPUTED_VALUE"""),44.257)</f>
        <v>44.256999999999998</v>
      </c>
      <c r="K782" s="2">
        <f ca="1">IFERROR(__xludf.DUMMYFUNCTION("""COMPUTED_VALUE"""),57.694)</f>
        <v>57.694000000000003</v>
      </c>
      <c r="L782" s="2">
        <f ca="1">IFERROR(__xludf.DUMMYFUNCTION("""COMPUTED_VALUE"""),10.299)</f>
        <v>10.298999999999999</v>
      </c>
      <c r="M782" s="2">
        <f ca="1">IFERROR(__xludf.DUMMYFUNCTION("""COMPUTED_VALUE"""),15.059)</f>
        <v>15.058999999999999</v>
      </c>
      <c r="U782" s="3" t="e">
        <f ca="1"/>
        <v>#NAME?</v>
      </c>
    </row>
    <row r="783" spans="3:21" ht="12.5" x14ac:dyDescent="0.25">
      <c r="C783" s="4">
        <f ca="1">IFERROR(__xludf.DUMMYFUNCTION("""COMPUTED_VALUE"""),41082.9986111111)</f>
        <v>41082.998611111099</v>
      </c>
      <c r="D783" s="2">
        <f ca="1">IFERROR(__xludf.DUMMYFUNCTION("""COMPUTED_VALUE"""),57.118)</f>
        <v>57.118000000000002</v>
      </c>
      <c r="E783" s="2">
        <f ca="1">IFERROR(__xludf.DUMMYFUNCTION("""COMPUTED_VALUE"""),69.558)</f>
        <v>69.558000000000007</v>
      </c>
      <c r="F783" s="2">
        <f ca="1">IFERROR(__xludf.DUMMYFUNCTION("""COMPUTED_VALUE"""),85.754)</f>
        <v>85.754000000000005</v>
      </c>
      <c r="G783" s="2">
        <f ca="1">IFERROR(__xludf.DUMMYFUNCTION("""COMPUTED_VALUE"""),0.70437)</f>
        <v>0.70437000000000005</v>
      </c>
      <c r="H783" s="2">
        <f ca="1">IFERROR(__xludf.DUMMYFUNCTION("""COMPUTED_VALUE"""),57.889)</f>
        <v>57.889000000000003</v>
      </c>
      <c r="I783" s="2">
        <f ca="1">IFERROR(__xludf.DUMMYFUNCTION("""COMPUTED_VALUE"""),55.54)</f>
        <v>55.54</v>
      </c>
      <c r="J783" s="2">
        <f ca="1">IFERROR(__xludf.DUMMYFUNCTION("""COMPUTED_VALUE"""),44.321)</f>
        <v>44.320999999999998</v>
      </c>
      <c r="K783" s="2">
        <f ca="1">IFERROR(__xludf.DUMMYFUNCTION("""COMPUTED_VALUE"""),57.686)</f>
        <v>57.686</v>
      </c>
      <c r="L783" s="2">
        <f ca="1">IFERROR(__xludf.DUMMYFUNCTION("""COMPUTED_VALUE"""),10.265)</f>
        <v>10.265000000000001</v>
      </c>
      <c r="M783" s="2">
        <f ca="1">IFERROR(__xludf.DUMMYFUNCTION("""COMPUTED_VALUE"""),14.799)</f>
        <v>14.798999999999999</v>
      </c>
      <c r="U783" s="3" t="e">
        <f ca="1"/>
        <v>#NAME?</v>
      </c>
    </row>
    <row r="784" spans="3:21" ht="12.5" x14ac:dyDescent="0.25">
      <c r="C784" s="4">
        <f ca="1">IFERROR(__xludf.DUMMYFUNCTION("""COMPUTED_VALUE"""),41083.9986111111)</f>
        <v>41083.998611111099</v>
      </c>
      <c r="D784" s="2">
        <f ca="1">IFERROR(__xludf.DUMMYFUNCTION("""COMPUTED_VALUE"""),57.118)</f>
        <v>57.118000000000002</v>
      </c>
      <c r="E784" s="2">
        <f ca="1">IFERROR(__xludf.DUMMYFUNCTION("""COMPUTED_VALUE"""),69.864)</f>
        <v>69.864000000000004</v>
      </c>
      <c r="F784" s="2">
        <f ca="1">IFERROR(__xludf.DUMMYFUNCTION("""COMPUTED_VALUE"""),86.194)</f>
        <v>86.194000000000003</v>
      </c>
      <c r="G784" s="2">
        <f ca="1">IFERROR(__xludf.DUMMYFUNCTION("""COMPUTED_VALUE"""),0.70682)</f>
        <v>0.70682</v>
      </c>
      <c r="H784" s="2">
        <f ca="1">IFERROR(__xludf.DUMMYFUNCTION("""COMPUTED_VALUE"""),57.612)</f>
        <v>57.612000000000002</v>
      </c>
      <c r="I784" s="2">
        <f ca="1">IFERROR(__xludf.DUMMYFUNCTION("""COMPUTED_VALUE"""),55.886)</f>
        <v>55.886000000000003</v>
      </c>
      <c r="J784" s="2">
        <f ca="1">IFERROR(__xludf.DUMMYFUNCTION("""COMPUTED_VALUE"""),44.375)</f>
        <v>44.375</v>
      </c>
      <c r="K784" s="2">
        <f ca="1">IFERROR(__xludf.DUMMYFUNCTION("""COMPUTED_VALUE"""),57.643)</f>
        <v>57.643000000000001</v>
      </c>
      <c r="L784" s="2">
        <f ca="1">IFERROR(__xludf.DUMMYFUNCTION("""COMPUTED_VALUE"""),10.279)</f>
        <v>10.279</v>
      </c>
      <c r="M784" s="2">
        <f ca="1">IFERROR(__xludf.DUMMYFUNCTION("""COMPUTED_VALUE"""),14.832)</f>
        <v>14.832000000000001</v>
      </c>
      <c r="U784" s="3" t="e">
        <f ca="1"/>
        <v>#NAME?</v>
      </c>
    </row>
    <row r="785" spans="3:21" ht="12.5" x14ac:dyDescent="0.25">
      <c r="C785" s="4">
        <f ca="1">IFERROR(__xludf.DUMMYFUNCTION("""COMPUTED_VALUE"""),41084.9986111111)</f>
        <v>41084.998611111099</v>
      </c>
      <c r="D785" s="2">
        <f ca="1">IFERROR(__xludf.DUMMYFUNCTION("""COMPUTED_VALUE"""),57.118)</f>
        <v>57.118000000000002</v>
      </c>
      <c r="E785" s="2">
        <f ca="1">IFERROR(__xludf.DUMMYFUNCTION("""COMPUTED_VALUE"""),69.638)</f>
        <v>69.638000000000005</v>
      </c>
      <c r="F785" s="2">
        <f ca="1">IFERROR(__xludf.DUMMYFUNCTION("""COMPUTED_VALUE"""),86.828)</f>
        <v>86.828000000000003</v>
      </c>
      <c r="G785" s="2">
        <f ca="1">IFERROR(__xludf.DUMMYFUNCTION("""COMPUTED_VALUE"""),0.70731)</f>
        <v>0.70730999999999999</v>
      </c>
      <c r="H785" s="2">
        <f ca="1">IFERROR(__xludf.DUMMYFUNCTION("""COMPUTED_VALUE"""),57.74)</f>
        <v>57.74</v>
      </c>
      <c r="I785" s="2">
        <f ca="1">IFERROR(__xludf.DUMMYFUNCTION("""COMPUTED_VALUE"""),55.884)</f>
        <v>55.884</v>
      </c>
      <c r="J785" s="2">
        <f ca="1">IFERROR(__xludf.DUMMYFUNCTION("""COMPUTED_VALUE"""),44.394)</f>
        <v>44.393999999999998</v>
      </c>
      <c r="K785" s="2">
        <f ca="1">IFERROR(__xludf.DUMMYFUNCTION("""COMPUTED_VALUE"""),57.77)</f>
        <v>57.77</v>
      </c>
      <c r="L785" s="2">
        <f ca="1">IFERROR(__xludf.DUMMYFUNCTION("""COMPUTED_VALUE"""),10.279)</f>
        <v>10.279</v>
      </c>
      <c r="M785" s="2">
        <f ca="1">IFERROR(__xludf.DUMMYFUNCTION("""COMPUTED_VALUE"""),14.957)</f>
        <v>14.957000000000001</v>
      </c>
      <c r="U785" s="3" t="e">
        <f ca="1"/>
        <v>#NAME?</v>
      </c>
    </row>
    <row r="786" spans="3:21" ht="12.5" x14ac:dyDescent="0.25">
      <c r="C786" s="4">
        <f ca="1">IFERROR(__xludf.DUMMYFUNCTION("""COMPUTED_VALUE"""),41085.9986111111)</f>
        <v>41085.998611111099</v>
      </c>
      <c r="D786" s="2">
        <f ca="1">IFERROR(__xludf.DUMMYFUNCTION("""COMPUTED_VALUE"""),57.008)</f>
        <v>57.008000000000003</v>
      </c>
      <c r="E786" s="2">
        <f ca="1">IFERROR(__xludf.DUMMYFUNCTION("""COMPUTED_VALUE"""),69.5)</f>
        <v>69.5</v>
      </c>
      <c r="F786" s="2">
        <f ca="1">IFERROR(__xludf.DUMMYFUNCTION("""COMPUTED_VALUE"""),86.305)</f>
        <v>86.305000000000007</v>
      </c>
      <c r="G786" s="2">
        <f ca="1">IFERROR(__xludf.DUMMYFUNCTION("""COMPUTED_VALUE"""),0.70789)</f>
        <v>0.70789000000000002</v>
      </c>
      <c r="H786" s="2">
        <f ca="1">IFERROR(__xludf.DUMMYFUNCTION("""COMPUTED_VALUE"""),57.74)</f>
        <v>57.74</v>
      </c>
      <c r="I786" s="2">
        <f ca="1">IFERROR(__xludf.DUMMYFUNCTION("""COMPUTED_VALUE"""),55.884)</f>
        <v>55.884</v>
      </c>
      <c r="J786" s="2">
        <f ca="1">IFERROR(__xludf.DUMMYFUNCTION("""COMPUTED_VALUE"""),44.378)</f>
        <v>44.378</v>
      </c>
      <c r="K786" s="2">
        <f ca="1">IFERROR(__xludf.DUMMYFUNCTION("""COMPUTED_VALUE"""),57.813)</f>
        <v>57.813000000000002</v>
      </c>
      <c r="L786" s="2">
        <f ca="1">IFERROR(__xludf.DUMMYFUNCTION("""COMPUTED_VALUE"""),10.324)</f>
        <v>10.324</v>
      </c>
      <c r="M786" s="2">
        <f ca="1">IFERROR(__xludf.DUMMYFUNCTION("""COMPUTED_VALUE"""),15.084)</f>
        <v>15.084</v>
      </c>
      <c r="U786" s="3" t="e">
        <f ca="1"/>
        <v>#NAME?</v>
      </c>
    </row>
    <row r="787" spans="3:21" ht="12.5" x14ac:dyDescent="0.25">
      <c r="C787" s="4">
        <f ca="1">IFERROR(__xludf.DUMMYFUNCTION("""COMPUTED_VALUE"""),41086.9986111111)</f>
        <v>41086.998611111099</v>
      </c>
      <c r="D787" s="2">
        <f ca="1">IFERROR(__xludf.DUMMYFUNCTION("""COMPUTED_VALUE"""),57.008)</f>
        <v>57.008000000000003</v>
      </c>
      <c r="E787" s="2">
        <f ca="1">IFERROR(__xludf.DUMMYFUNCTION("""COMPUTED_VALUE"""),69.734)</f>
        <v>69.733999999999995</v>
      </c>
      <c r="F787" s="2">
        <f ca="1">IFERROR(__xludf.DUMMYFUNCTION("""COMPUTED_VALUE"""),86.672)</f>
        <v>86.671999999999997</v>
      </c>
      <c r="G787" s="2">
        <f ca="1">IFERROR(__xludf.DUMMYFUNCTION("""COMPUTED_VALUE"""),0.71087)</f>
        <v>0.71087</v>
      </c>
      <c r="H787" s="2">
        <f ca="1">IFERROR(__xludf.DUMMYFUNCTION("""COMPUTED_VALUE"""),57.677)</f>
        <v>57.677</v>
      </c>
      <c r="I787" s="2">
        <f ca="1">IFERROR(__xludf.DUMMYFUNCTION("""COMPUTED_VALUE"""),56.174)</f>
        <v>56.173999999999999</v>
      </c>
      <c r="J787" s="2">
        <f ca="1">IFERROR(__xludf.DUMMYFUNCTION("""COMPUTED_VALUE"""),44.312)</f>
        <v>44.311999999999998</v>
      </c>
      <c r="K787" s="2">
        <f ca="1">IFERROR(__xludf.DUMMYFUNCTION("""COMPUTED_VALUE"""),57.674)</f>
        <v>57.673999999999999</v>
      </c>
      <c r="L787" s="2">
        <f ca="1">IFERROR(__xludf.DUMMYFUNCTION("""COMPUTED_VALUE"""),10.327)</f>
        <v>10.327</v>
      </c>
      <c r="M787" s="2">
        <f ca="1">IFERROR(__xludf.DUMMYFUNCTION("""COMPUTED_VALUE"""),15.084)</f>
        <v>15.084</v>
      </c>
      <c r="U787" s="3" t="e">
        <f ca="1"/>
        <v>#NAME?</v>
      </c>
    </row>
    <row r="788" spans="3:21" ht="12.5" x14ac:dyDescent="0.25">
      <c r="C788" s="4">
        <f ca="1">IFERROR(__xludf.DUMMYFUNCTION("""COMPUTED_VALUE"""),41087.9986111111)</f>
        <v>41087.998611111099</v>
      </c>
      <c r="D788" s="2">
        <f ca="1">IFERROR(__xludf.DUMMYFUNCTION("""COMPUTED_VALUE"""),56.883)</f>
        <v>56.883000000000003</v>
      </c>
      <c r="E788" s="2">
        <f ca="1">IFERROR(__xludf.DUMMYFUNCTION("""COMPUTED_VALUE"""),69.819)</f>
        <v>69.819000000000003</v>
      </c>
      <c r="F788" s="2">
        <f ca="1">IFERROR(__xludf.DUMMYFUNCTION("""COMPUTED_VALUE"""),87.051)</f>
        <v>87.051000000000002</v>
      </c>
      <c r="G788" s="2">
        <f ca="1">IFERROR(__xludf.DUMMYFUNCTION("""COMPUTED_VALUE"""),0.70833)</f>
        <v>0.70833000000000002</v>
      </c>
      <c r="H788" s="2">
        <f ca="1">IFERROR(__xludf.DUMMYFUNCTION("""COMPUTED_VALUE"""),57.648)</f>
        <v>57.648000000000003</v>
      </c>
      <c r="I788" s="2">
        <f ca="1">IFERROR(__xludf.DUMMYFUNCTION("""COMPUTED_VALUE"""),56.269)</f>
        <v>56.268999999999998</v>
      </c>
      <c r="J788" s="2">
        <f ca="1">IFERROR(__xludf.DUMMYFUNCTION("""COMPUTED_VALUE"""),44.342)</f>
        <v>44.341999999999999</v>
      </c>
      <c r="K788" s="2">
        <f ca="1">IFERROR(__xludf.DUMMYFUNCTION("""COMPUTED_VALUE"""),57.424)</f>
        <v>57.423999999999999</v>
      </c>
      <c r="L788" s="2">
        <f ca="1">IFERROR(__xludf.DUMMYFUNCTION("""COMPUTED_VALUE"""),10.339)</f>
        <v>10.339</v>
      </c>
      <c r="M788" s="2">
        <f ca="1">IFERROR(__xludf.DUMMYFUNCTION("""COMPUTED_VALUE"""),15.084)</f>
        <v>15.084</v>
      </c>
      <c r="U788" s="3" t="e">
        <f ca="1"/>
        <v>#NAME?</v>
      </c>
    </row>
    <row r="789" spans="3:21" ht="12.5" x14ac:dyDescent="0.25">
      <c r="C789" s="4">
        <f ca="1">IFERROR(__xludf.DUMMYFUNCTION("""COMPUTED_VALUE"""),41088.9986111111)</f>
        <v>41088.998611111099</v>
      </c>
      <c r="D789" s="2">
        <f ca="1">IFERROR(__xludf.DUMMYFUNCTION("""COMPUTED_VALUE"""),56.798)</f>
        <v>56.798000000000002</v>
      </c>
      <c r="E789" s="2">
        <f ca="1">IFERROR(__xludf.DUMMYFUNCTION("""COMPUTED_VALUE"""),69.734)</f>
        <v>69.733999999999995</v>
      </c>
      <c r="F789" s="2">
        <f ca="1">IFERROR(__xludf.DUMMYFUNCTION("""COMPUTED_VALUE"""),86.157)</f>
        <v>86.156999999999996</v>
      </c>
      <c r="G789" s="2">
        <f ca="1">IFERROR(__xludf.DUMMYFUNCTION("""COMPUTED_VALUE"""),0.71339)</f>
        <v>0.71338999999999997</v>
      </c>
      <c r="H789" s="2">
        <f ca="1">IFERROR(__xludf.DUMMYFUNCTION("""COMPUTED_VALUE"""),57.481)</f>
        <v>57.481000000000002</v>
      </c>
      <c r="I789" s="2">
        <f ca="1">IFERROR(__xludf.DUMMYFUNCTION("""COMPUTED_VALUE"""),56.166)</f>
        <v>56.165999999999997</v>
      </c>
      <c r="J789" s="2">
        <f ca="1">IFERROR(__xludf.DUMMYFUNCTION("""COMPUTED_VALUE"""),44.512)</f>
        <v>44.512</v>
      </c>
      <c r="K789" s="2">
        <f ca="1">IFERROR(__xludf.DUMMYFUNCTION("""COMPUTED_VALUE"""),57.472)</f>
        <v>57.472000000000001</v>
      </c>
      <c r="L789" s="2">
        <f ca="1">IFERROR(__xludf.DUMMYFUNCTION("""COMPUTED_VALUE"""),10.341)</f>
        <v>10.340999999999999</v>
      </c>
      <c r="M789" s="2">
        <f ca="1">IFERROR(__xludf.DUMMYFUNCTION("""COMPUTED_VALUE"""),15.204)</f>
        <v>15.204000000000001</v>
      </c>
      <c r="U789" s="3" t="e">
        <f ca="1"/>
        <v>#NAME?</v>
      </c>
    </row>
    <row r="790" spans="3:21" ht="12.5" x14ac:dyDescent="0.25">
      <c r="C790" s="4">
        <f ca="1">IFERROR(__xludf.DUMMYFUNCTION("""COMPUTED_VALUE"""),41089.9986111111)</f>
        <v>41089.998611111099</v>
      </c>
      <c r="D790" s="2">
        <f ca="1">IFERROR(__xludf.DUMMYFUNCTION("""COMPUTED_VALUE"""),55.503)</f>
        <v>55.503</v>
      </c>
      <c r="E790" s="2">
        <f ca="1">IFERROR(__xludf.DUMMYFUNCTION("""COMPUTED_VALUE"""),69.833)</f>
        <v>69.832999999999998</v>
      </c>
      <c r="F790" s="2">
        <f ca="1">IFERROR(__xludf.DUMMYFUNCTION("""COMPUTED_VALUE"""),87.543)</f>
        <v>87.543000000000006</v>
      </c>
      <c r="G790" s="2">
        <f ca="1">IFERROR(__xludf.DUMMYFUNCTION("""COMPUTED_VALUE"""),0.69196)</f>
        <v>0.69196000000000002</v>
      </c>
      <c r="H790" s="2">
        <f ca="1">IFERROR(__xludf.DUMMYFUNCTION("""COMPUTED_VALUE"""),57.202)</f>
        <v>57.201999999999998</v>
      </c>
      <c r="I790" s="2">
        <f ca="1">IFERROR(__xludf.DUMMYFUNCTION("""COMPUTED_VALUE"""),55.99)</f>
        <v>55.99</v>
      </c>
      <c r="J790" s="2">
        <f ca="1">IFERROR(__xludf.DUMMYFUNCTION("""COMPUTED_VALUE"""),44.514)</f>
        <v>44.514000000000003</v>
      </c>
      <c r="K790" s="2">
        <f ca="1">IFERROR(__xludf.DUMMYFUNCTION("""COMPUTED_VALUE"""),57.866)</f>
        <v>57.866</v>
      </c>
      <c r="L790" s="2">
        <f ca="1">IFERROR(__xludf.DUMMYFUNCTION("""COMPUTED_VALUE"""),10.338)</f>
        <v>10.337999999999999</v>
      </c>
      <c r="M790" s="2">
        <f ca="1">IFERROR(__xludf.DUMMYFUNCTION("""COMPUTED_VALUE"""),15.079)</f>
        <v>15.079000000000001</v>
      </c>
      <c r="U790" s="3" t="e">
        <f ca="1"/>
        <v>#NAME?</v>
      </c>
    </row>
    <row r="791" spans="3:21" ht="12.5" x14ac:dyDescent="0.25">
      <c r="C791" s="4">
        <f ca="1">IFERROR(__xludf.DUMMYFUNCTION("""COMPUTED_VALUE"""),41090.9986111111)</f>
        <v>41090.998611111099</v>
      </c>
      <c r="D791" s="2">
        <f ca="1">IFERROR(__xludf.DUMMYFUNCTION("""COMPUTED_VALUE"""),55.503)</f>
        <v>55.503</v>
      </c>
      <c r="E791" s="2">
        <f ca="1">IFERROR(__xludf.DUMMYFUNCTION("""COMPUTED_VALUE"""),69.845)</f>
        <v>69.844999999999999</v>
      </c>
      <c r="F791" s="2">
        <f ca="1">IFERROR(__xludf.DUMMYFUNCTION("""COMPUTED_VALUE"""),87.904)</f>
        <v>87.903999999999996</v>
      </c>
      <c r="G791" s="2">
        <f ca="1">IFERROR(__xludf.DUMMYFUNCTION("""COMPUTED_VALUE"""),0.69262)</f>
        <v>0.69262000000000001</v>
      </c>
      <c r="H791" s="2">
        <f ca="1">IFERROR(__xludf.DUMMYFUNCTION("""COMPUTED_VALUE"""),57.304)</f>
        <v>57.304000000000002</v>
      </c>
      <c r="I791" s="2">
        <f ca="1">IFERROR(__xludf.DUMMYFUNCTION("""COMPUTED_VALUE"""),56.205)</f>
        <v>56.204999999999998</v>
      </c>
      <c r="J791" s="2">
        <f ca="1">IFERROR(__xludf.DUMMYFUNCTION("""COMPUTED_VALUE"""),44.514)</f>
        <v>44.514000000000003</v>
      </c>
      <c r="K791" s="2">
        <f ca="1">IFERROR(__xludf.DUMMYFUNCTION("""COMPUTED_VALUE"""),57.582)</f>
        <v>57.582000000000001</v>
      </c>
      <c r="L791" s="2">
        <f ca="1">IFERROR(__xludf.DUMMYFUNCTION("""COMPUTED_VALUE"""),10.299)</f>
        <v>10.298999999999999</v>
      </c>
      <c r="M791" s="2">
        <f ca="1">IFERROR(__xludf.DUMMYFUNCTION("""COMPUTED_VALUE"""),15.142)</f>
        <v>15.141999999999999</v>
      </c>
      <c r="U791" s="3" t="e">
        <f ca="1"/>
        <v>#NAME?</v>
      </c>
    </row>
    <row r="792" spans="3:21" ht="12.5" x14ac:dyDescent="0.25">
      <c r="C792" s="4">
        <f ca="1">IFERROR(__xludf.DUMMYFUNCTION("""COMPUTED_VALUE"""),41092.9986111111)</f>
        <v>41092.998611111099</v>
      </c>
      <c r="D792" s="2">
        <f ca="1">IFERROR(__xludf.DUMMYFUNCTION("""COMPUTED_VALUE"""),55.31)</f>
        <v>55.31</v>
      </c>
      <c r="E792" s="2">
        <f ca="1">IFERROR(__xludf.DUMMYFUNCTION("""COMPUTED_VALUE"""),70.35)</f>
        <v>70.349999999999994</v>
      </c>
      <c r="F792" s="2">
        <f ca="1">IFERROR(__xludf.DUMMYFUNCTION("""COMPUTED_VALUE"""),88.144)</f>
        <v>88.144000000000005</v>
      </c>
      <c r="G792" s="2">
        <f ca="1">IFERROR(__xludf.DUMMYFUNCTION("""COMPUTED_VALUE"""),0.68563)</f>
        <v>0.68562999999999996</v>
      </c>
      <c r="H792" s="2">
        <f ca="1">IFERROR(__xludf.DUMMYFUNCTION("""COMPUTED_VALUE"""),57.306)</f>
        <v>57.305999999999997</v>
      </c>
      <c r="I792" s="2">
        <f ca="1">IFERROR(__xludf.DUMMYFUNCTION("""COMPUTED_VALUE"""),56.286)</f>
        <v>56.286000000000001</v>
      </c>
      <c r="J792" s="2">
        <f ca="1">IFERROR(__xludf.DUMMYFUNCTION("""COMPUTED_VALUE"""),44.539)</f>
        <v>44.539000000000001</v>
      </c>
      <c r="K792" s="2">
        <f ca="1">IFERROR(__xludf.DUMMYFUNCTION("""COMPUTED_VALUE"""),57.908)</f>
        <v>57.908000000000001</v>
      </c>
      <c r="L792" s="2">
        <f ca="1">IFERROR(__xludf.DUMMYFUNCTION("""COMPUTED_VALUE"""),10.363)</f>
        <v>10.363</v>
      </c>
      <c r="M792" s="2">
        <f ca="1">IFERROR(__xludf.DUMMYFUNCTION("""COMPUTED_VALUE"""),15.227)</f>
        <v>15.227</v>
      </c>
      <c r="U792" s="3" t="e">
        <f ca="1"/>
        <v>#NAME?</v>
      </c>
    </row>
    <row r="793" spans="3:21" ht="12.5" x14ac:dyDescent="0.25">
      <c r="C793" s="4">
        <f ca="1">IFERROR(__xludf.DUMMYFUNCTION("""COMPUTED_VALUE"""),41093.9986111111)</f>
        <v>41093.998611111099</v>
      </c>
      <c r="D793" s="2">
        <f ca="1">IFERROR(__xludf.DUMMYFUNCTION("""COMPUTED_VALUE"""),54.358)</f>
        <v>54.357999999999997</v>
      </c>
      <c r="E793" s="2">
        <f ca="1">IFERROR(__xludf.DUMMYFUNCTION("""COMPUTED_VALUE"""),70.223)</f>
        <v>70.222999999999999</v>
      </c>
      <c r="F793" s="2">
        <f ca="1">IFERROR(__xludf.DUMMYFUNCTION("""COMPUTED_VALUE"""),87.704)</f>
        <v>87.703999999999994</v>
      </c>
      <c r="G793" s="2">
        <f ca="1">IFERROR(__xludf.DUMMYFUNCTION("""COMPUTED_VALUE"""),0.68478)</f>
        <v>0.68478000000000006</v>
      </c>
      <c r="H793" s="2">
        <f ca="1">IFERROR(__xludf.DUMMYFUNCTION("""COMPUTED_VALUE"""),57.306)</f>
        <v>57.305999999999997</v>
      </c>
      <c r="I793" s="2">
        <f ca="1">IFERROR(__xludf.DUMMYFUNCTION("""COMPUTED_VALUE"""),56.286)</f>
        <v>56.286000000000001</v>
      </c>
      <c r="J793" s="2">
        <f ca="1">IFERROR(__xludf.DUMMYFUNCTION("""COMPUTED_VALUE"""),44.585)</f>
        <v>44.585000000000001</v>
      </c>
      <c r="K793" s="2">
        <f ca="1">IFERROR(__xludf.DUMMYFUNCTION("""COMPUTED_VALUE"""),57.439)</f>
        <v>57.439</v>
      </c>
      <c r="L793" s="2">
        <f ca="1">IFERROR(__xludf.DUMMYFUNCTION("""COMPUTED_VALUE"""),10.324)</f>
        <v>10.324</v>
      </c>
      <c r="M793" s="2">
        <f ca="1">IFERROR(__xludf.DUMMYFUNCTION("""COMPUTED_VALUE"""),15.012)</f>
        <v>15.012</v>
      </c>
      <c r="U793" s="3" t="e">
        <f ca="1"/>
        <v>#NAME?</v>
      </c>
    </row>
    <row r="794" spans="3:21" ht="12.5" x14ac:dyDescent="0.25">
      <c r="C794" s="4">
        <f ca="1">IFERROR(__xludf.DUMMYFUNCTION("""COMPUTED_VALUE"""),41094.9986111111)</f>
        <v>41094.998611111099</v>
      </c>
      <c r="D794" s="2">
        <f ca="1">IFERROR(__xludf.DUMMYFUNCTION("""COMPUTED_VALUE"""),54.478)</f>
        <v>54.478000000000002</v>
      </c>
      <c r="E794" s="2">
        <f ca="1">IFERROR(__xludf.DUMMYFUNCTION("""COMPUTED_VALUE"""),70.875)</f>
        <v>70.875</v>
      </c>
      <c r="F794" s="2">
        <f ca="1">IFERROR(__xludf.DUMMYFUNCTION("""COMPUTED_VALUE"""),88.931)</f>
        <v>88.930999999999997</v>
      </c>
      <c r="G794" s="2">
        <f ca="1">IFERROR(__xludf.DUMMYFUNCTION("""COMPUTED_VALUE"""),0.68835)</f>
        <v>0.68835000000000002</v>
      </c>
      <c r="H794" s="2">
        <f ca="1">IFERROR(__xludf.DUMMYFUNCTION("""COMPUTED_VALUE"""),56.842)</f>
        <v>56.841999999999999</v>
      </c>
      <c r="I794" s="2">
        <f ca="1">IFERROR(__xludf.DUMMYFUNCTION("""COMPUTED_VALUE"""),56.255)</f>
        <v>56.255000000000003</v>
      </c>
      <c r="J794" s="2">
        <f ca="1">IFERROR(__xludf.DUMMYFUNCTION("""COMPUTED_VALUE"""),44.758)</f>
        <v>44.758000000000003</v>
      </c>
      <c r="K794" s="2">
        <f ca="1">IFERROR(__xludf.DUMMYFUNCTION("""COMPUTED_VALUE"""),57.693)</f>
        <v>57.692999999999998</v>
      </c>
      <c r="L794" s="2">
        <f ca="1">IFERROR(__xludf.DUMMYFUNCTION("""COMPUTED_VALUE"""),10.308)</f>
        <v>10.308</v>
      </c>
      <c r="M794" s="2">
        <f ca="1">IFERROR(__xludf.DUMMYFUNCTION("""COMPUTED_VALUE"""),15.012)</f>
        <v>15.012</v>
      </c>
      <c r="U794" s="3" t="e">
        <f ca="1"/>
        <v>#NAME?</v>
      </c>
    </row>
    <row r="795" spans="3:21" ht="12.5" x14ac:dyDescent="0.25">
      <c r="C795" s="4">
        <f ca="1">IFERROR(__xludf.DUMMYFUNCTION("""COMPUTED_VALUE"""),41095.9986111111)</f>
        <v>41095.998611111099</v>
      </c>
      <c r="D795" s="2">
        <f ca="1">IFERROR(__xludf.DUMMYFUNCTION("""COMPUTED_VALUE"""),54.938)</f>
        <v>54.938000000000002</v>
      </c>
      <c r="E795" s="2">
        <f ca="1">IFERROR(__xludf.DUMMYFUNCTION("""COMPUTED_VALUE"""),70.877)</f>
        <v>70.876999999999995</v>
      </c>
      <c r="F795" s="2">
        <f ca="1">IFERROR(__xludf.DUMMYFUNCTION("""COMPUTED_VALUE"""),89.044)</f>
        <v>89.043999999999997</v>
      </c>
      <c r="G795" s="2">
        <f ca="1">IFERROR(__xludf.DUMMYFUNCTION("""COMPUTED_VALUE"""),0.69255)</f>
        <v>0.69255</v>
      </c>
      <c r="H795" s="2">
        <f ca="1">IFERROR(__xludf.DUMMYFUNCTION("""COMPUTED_VALUE"""),56.813)</f>
        <v>56.813000000000002</v>
      </c>
      <c r="I795" s="2">
        <f ca="1">IFERROR(__xludf.DUMMYFUNCTION("""COMPUTED_VALUE"""),56.372)</f>
        <v>56.372</v>
      </c>
      <c r="J795" s="2">
        <f ca="1">IFERROR(__xludf.DUMMYFUNCTION("""COMPUTED_VALUE"""),44.728)</f>
        <v>44.728000000000002</v>
      </c>
      <c r="K795" s="2">
        <f ca="1">IFERROR(__xludf.DUMMYFUNCTION("""COMPUTED_VALUE"""),56.688)</f>
        <v>56.688000000000002</v>
      </c>
      <c r="L795" s="2">
        <f ca="1">IFERROR(__xludf.DUMMYFUNCTION("""COMPUTED_VALUE"""),10.284)</f>
        <v>10.284000000000001</v>
      </c>
      <c r="M795" s="2">
        <f ca="1">IFERROR(__xludf.DUMMYFUNCTION("""COMPUTED_VALUE"""),15.012)</f>
        <v>15.012</v>
      </c>
      <c r="U795" s="3" t="e">
        <f ca="1"/>
        <v>#NAME?</v>
      </c>
    </row>
    <row r="796" spans="3:21" ht="12.5" x14ac:dyDescent="0.25">
      <c r="C796" s="4">
        <f ca="1">IFERROR(__xludf.DUMMYFUNCTION("""COMPUTED_VALUE"""),41096.9986111111)</f>
        <v>41096.998611111099</v>
      </c>
      <c r="D796" s="2">
        <f ca="1">IFERROR(__xludf.DUMMYFUNCTION("""COMPUTED_VALUE"""),55.403)</f>
        <v>55.402999999999999</v>
      </c>
      <c r="E796" s="2">
        <f ca="1">IFERROR(__xludf.DUMMYFUNCTION("""COMPUTED_VALUE"""),70.877)</f>
        <v>70.876999999999995</v>
      </c>
      <c r="F796" s="2">
        <f ca="1">IFERROR(__xludf.DUMMYFUNCTION("""COMPUTED_VALUE"""),88.936)</f>
        <v>88.936000000000007</v>
      </c>
      <c r="G796" s="2">
        <f ca="1">IFERROR(__xludf.DUMMYFUNCTION("""COMPUTED_VALUE"""),0.68195)</f>
        <v>0.68194999999999995</v>
      </c>
      <c r="H796" s="2">
        <f ca="1">IFERROR(__xludf.DUMMYFUNCTION("""COMPUTED_VALUE"""),56.894)</f>
        <v>56.893999999999998</v>
      </c>
      <c r="I796" s="2">
        <f ca="1">IFERROR(__xludf.DUMMYFUNCTION("""COMPUTED_VALUE"""),56.359)</f>
        <v>56.359000000000002</v>
      </c>
      <c r="J796" s="2">
        <f ca="1">IFERROR(__xludf.DUMMYFUNCTION("""COMPUTED_VALUE"""),44.748)</f>
        <v>44.747999999999998</v>
      </c>
      <c r="K796" s="2">
        <f ca="1">IFERROR(__xludf.DUMMYFUNCTION("""COMPUTED_VALUE"""),57.731)</f>
        <v>57.731000000000002</v>
      </c>
      <c r="L796" s="2">
        <f ca="1">IFERROR(__xludf.DUMMYFUNCTION("""COMPUTED_VALUE"""),10.289)</f>
        <v>10.289</v>
      </c>
      <c r="M796" s="2">
        <f ca="1">IFERROR(__xludf.DUMMYFUNCTION("""COMPUTED_VALUE"""),14.987)</f>
        <v>14.987</v>
      </c>
      <c r="U796" s="3" t="e">
        <f ca="1"/>
        <v>#NAME?</v>
      </c>
    </row>
    <row r="797" spans="3:21" ht="12.5" x14ac:dyDescent="0.25">
      <c r="C797" s="4">
        <f ca="1">IFERROR(__xludf.DUMMYFUNCTION("""COMPUTED_VALUE"""),41097.9986111111)</f>
        <v>41097.998611111099</v>
      </c>
      <c r="D797" s="2">
        <f ca="1">IFERROR(__xludf.DUMMYFUNCTION("""COMPUTED_VALUE"""),55.403)</f>
        <v>55.402999999999999</v>
      </c>
      <c r="E797" s="2">
        <f ca="1">IFERROR(__xludf.DUMMYFUNCTION("""COMPUTED_VALUE"""),70.679)</f>
        <v>70.679000000000002</v>
      </c>
      <c r="F797" s="2">
        <f ca="1">IFERROR(__xludf.DUMMYFUNCTION("""COMPUTED_VALUE"""),88.657)</f>
        <v>88.656999999999996</v>
      </c>
      <c r="G797" s="2">
        <f ca="1">IFERROR(__xludf.DUMMYFUNCTION("""COMPUTED_VALUE"""),0.68246)</f>
        <v>0.68245999999999996</v>
      </c>
      <c r="H797" s="2">
        <f ca="1">IFERROR(__xludf.DUMMYFUNCTION("""COMPUTED_VALUE"""),57.177)</f>
        <v>57.177</v>
      </c>
      <c r="I797" s="2">
        <f ca="1">IFERROR(__xludf.DUMMYFUNCTION("""COMPUTED_VALUE"""),56.572)</f>
        <v>56.572000000000003</v>
      </c>
      <c r="J797" s="2">
        <f ca="1">IFERROR(__xludf.DUMMYFUNCTION("""COMPUTED_VALUE"""),44.749)</f>
        <v>44.749000000000002</v>
      </c>
      <c r="K797" s="2">
        <f ca="1">IFERROR(__xludf.DUMMYFUNCTION("""COMPUTED_VALUE"""),57.8)</f>
        <v>57.8</v>
      </c>
      <c r="L797" s="2">
        <f ca="1">IFERROR(__xludf.DUMMYFUNCTION("""COMPUTED_VALUE"""),10.289)</f>
        <v>10.289</v>
      </c>
      <c r="M797" s="2">
        <f ca="1">IFERROR(__xludf.DUMMYFUNCTION("""COMPUTED_VALUE"""),15.001)</f>
        <v>15.000999999999999</v>
      </c>
      <c r="U797" s="3" t="e">
        <f ca="1"/>
        <v>#NAME?</v>
      </c>
    </row>
    <row r="798" spans="3:21" ht="12.5" x14ac:dyDescent="0.25">
      <c r="C798" s="4">
        <f ca="1">IFERROR(__xludf.DUMMYFUNCTION("""COMPUTED_VALUE"""),41099.9986111111)</f>
        <v>41099.998611111099</v>
      </c>
      <c r="D798" s="2">
        <f ca="1">IFERROR(__xludf.DUMMYFUNCTION("""COMPUTED_VALUE"""),55.843)</f>
        <v>55.843000000000004</v>
      </c>
      <c r="E798" s="2">
        <f ca="1">IFERROR(__xludf.DUMMYFUNCTION("""COMPUTED_VALUE"""),71.069)</f>
        <v>71.069000000000003</v>
      </c>
      <c r="F798" s="2">
        <f ca="1">IFERROR(__xludf.DUMMYFUNCTION("""COMPUTED_VALUE"""),89.036)</f>
        <v>89.036000000000001</v>
      </c>
      <c r="G798" s="2">
        <f ca="1">IFERROR(__xludf.DUMMYFUNCTION("""COMPUTED_VALUE"""),0.68596)</f>
        <v>0.68596000000000001</v>
      </c>
      <c r="H798" s="2">
        <f ca="1">IFERROR(__xludf.DUMMYFUNCTION("""COMPUTED_VALUE"""),57.43)</f>
        <v>57.43</v>
      </c>
      <c r="I798" s="2">
        <f ca="1">IFERROR(__xludf.DUMMYFUNCTION("""COMPUTED_VALUE"""),56.511)</f>
        <v>56.511000000000003</v>
      </c>
      <c r="J798" s="2">
        <f ca="1">IFERROR(__xludf.DUMMYFUNCTION("""COMPUTED_VALUE"""),44.749)</f>
        <v>44.749000000000002</v>
      </c>
      <c r="K798" s="2">
        <f ca="1">IFERROR(__xludf.DUMMYFUNCTION("""COMPUTED_VALUE"""),58.073)</f>
        <v>58.073</v>
      </c>
      <c r="L798" s="2">
        <f ca="1">IFERROR(__xludf.DUMMYFUNCTION("""COMPUTED_VALUE"""),10.326)</f>
        <v>10.326000000000001</v>
      </c>
      <c r="M798" s="2">
        <f ca="1">IFERROR(__xludf.DUMMYFUNCTION("""COMPUTED_VALUE"""),15.059)</f>
        <v>15.058999999999999</v>
      </c>
      <c r="U798" s="3" t="e">
        <f ca="1"/>
        <v>#NAME?</v>
      </c>
    </row>
    <row r="799" spans="3:21" ht="12.5" x14ac:dyDescent="0.25">
      <c r="C799" s="4">
        <f ca="1">IFERROR(__xludf.DUMMYFUNCTION("""COMPUTED_VALUE"""),41100.9986111111)</f>
        <v>41100.998611111099</v>
      </c>
      <c r="D799" s="2">
        <f ca="1">IFERROR(__xludf.DUMMYFUNCTION("""COMPUTED_VALUE"""),55.388)</f>
        <v>55.387999999999998</v>
      </c>
      <c r="E799" s="2">
        <f ca="1">IFERROR(__xludf.DUMMYFUNCTION("""COMPUTED_VALUE"""),71.145)</f>
        <v>71.144999999999996</v>
      </c>
      <c r="F799" s="2">
        <f ca="1">IFERROR(__xludf.DUMMYFUNCTION("""COMPUTED_VALUE"""),88.481)</f>
        <v>88.480999999999995</v>
      </c>
      <c r="G799" s="2">
        <f ca="1">IFERROR(__xludf.DUMMYFUNCTION("""COMPUTED_VALUE"""),0.685)</f>
        <v>0.68500000000000005</v>
      </c>
      <c r="H799" s="2">
        <f ca="1">IFERROR(__xludf.DUMMYFUNCTION("""COMPUTED_VALUE"""),57.489)</f>
        <v>57.488999999999997</v>
      </c>
      <c r="I799" s="2">
        <f ca="1">IFERROR(__xludf.DUMMYFUNCTION("""COMPUTED_VALUE"""),56.511)</f>
        <v>56.511000000000003</v>
      </c>
      <c r="J799" s="2">
        <f ca="1">IFERROR(__xludf.DUMMYFUNCTION("""COMPUTED_VALUE"""),44.78)</f>
        <v>44.78</v>
      </c>
      <c r="K799" s="2">
        <f ca="1">IFERROR(__xludf.DUMMYFUNCTION("""COMPUTED_VALUE"""),58.215)</f>
        <v>58.215000000000003</v>
      </c>
      <c r="L799" s="2">
        <f ca="1">IFERROR(__xludf.DUMMYFUNCTION("""COMPUTED_VALUE"""),10.399)</f>
        <v>10.398999999999999</v>
      </c>
      <c r="M799" s="2">
        <f ca="1">IFERROR(__xludf.DUMMYFUNCTION("""COMPUTED_VALUE"""),15.006)</f>
        <v>15.006</v>
      </c>
      <c r="U799" s="3" t="e">
        <f ca="1"/>
        <v>#NAME?</v>
      </c>
    </row>
    <row r="800" spans="3:21" ht="12.5" x14ac:dyDescent="0.25">
      <c r="C800" s="4">
        <f ca="1">IFERROR(__xludf.DUMMYFUNCTION("""COMPUTED_VALUE"""),41101.9986111111)</f>
        <v>41101.998611111099</v>
      </c>
      <c r="D800" s="2">
        <f ca="1">IFERROR(__xludf.DUMMYFUNCTION("""COMPUTED_VALUE"""),55.618)</f>
        <v>55.618000000000002</v>
      </c>
      <c r="E800" s="2">
        <f ca="1">IFERROR(__xludf.DUMMYFUNCTION("""COMPUTED_VALUE"""),71.9)</f>
        <v>71.900000000000006</v>
      </c>
      <c r="F800" s="2">
        <f ca="1">IFERROR(__xludf.DUMMYFUNCTION("""COMPUTED_VALUE"""),88.009)</f>
        <v>88.009</v>
      </c>
      <c r="G800" s="2">
        <f ca="1">IFERROR(__xludf.DUMMYFUNCTION("""COMPUTED_VALUE"""),0.6886)</f>
        <v>0.68859999999999999</v>
      </c>
      <c r="H800" s="2">
        <f ca="1">IFERROR(__xludf.DUMMYFUNCTION("""COMPUTED_VALUE"""),57.253)</f>
        <v>57.253</v>
      </c>
      <c r="I800" s="2">
        <f ca="1">IFERROR(__xludf.DUMMYFUNCTION("""COMPUTED_VALUE"""),56.511)</f>
        <v>56.511000000000003</v>
      </c>
      <c r="J800" s="2">
        <f ca="1">IFERROR(__xludf.DUMMYFUNCTION("""COMPUTED_VALUE"""),44.956)</f>
        <v>44.956000000000003</v>
      </c>
      <c r="K800" s="2">
        <f ca="1">IFERROR(__xludf.DUMMYFUNCTION("""COMPUTED_VALUE"""),58.614)</f>
        <v>58.613999999999997</v>
      </c>
      <c r="L800" s="2">
        <f ca="1">IFERROR(__xludf.DUMMYFUNCTION("""COMPUTED_VALUE"""),10.367)</f>
        <v>10.367000000000001</v>
      </c>
      <c r="M800" s="2">
        <f ca="1">IFERROR(__xludf.DUMMYFUNCTION("""COMPUTED_VALUE"""),15.061)</f>
        <v>15.061</v>
      </c>
      <c r="U800" s="3" t="e">
        <f ca="1"/>
        <v>#NAME?</v>
      </c>
    </row>
    <row r="801" spans="3:21" ht="12.5" x14ac:dyDescent="0.25">
      <c r="C801" s="4">
        <f ca="1">IFERROR(__xludf.DUMMYFUNCTION("""COMPUTED_VALUE"""),41102.9986111111)</f>
        <v>41102.998611111099</v>
      </c>
      <c r="D801" s="2">
        <f ca="1">IFERROR(__xludf.DUMMYFUNCTION("""COMPUTED_VALUE"""),55.928)</f>
        <v>55.927999999999997</v>
      </c>
      <c r="E801" s="2">
        <f ca="1">IFERROR(__xludf.DUMMYFUNCTION("""COMPUTED_VALUE"""),71.206)</f>
        <v>71.206000000000003</v>
      </c>
      <c r="F801" s="2">
        <f ca="1">IFERROR(__xludf.DUMMYFUNCTION("""COMPUTED_VALUE"""),87.044)</f>
        <v>87.043999999999997</v>
      </c>
      <c r="G801" s="2">
        <f ca="1">IFERROR(__xludf.DUMMYFUNCTION("""COMPUTED_VALUE"""),0.68245)</f>
        <v>0.68245</v>
      </c>
      <c r="H801" s="2">
        <f ca="1">IFERROR(__xludf.DUMMYFUNCTION("""COMPUTED_VALUE"""),57.691)</f>
        <v>57.691000000000003</v>
      </c>
      <c r="I801" s="2">
        <f ca="1">IFERROR(__xludf.DUMMYFUNCTION("""COMPUTED_VALUE"""),56.677)</f>
        <v>56.677</v>
      </c>
      <c r="J801" s="2">
        <f ca="1">IFERROR(__xludf.DUMMYFUNCTION("""COMPUTED_VALUE"""),44.864)</f>
        <v>44.863999999999997</v>
      </c>
      <c r="K801" s="2">
        <f ca="1">IFERROR(__xludf.DUMMYFUNCTION("""COMPUTED_VALUE"""),58.288)</f>
        <v>58.287999999999997</v>
      </c>
      <c r="L801" s="2">
        <f ca="1">IFERROR(__xludf.DUMMYFUNCTION("""COMPUTED_VALUE"""),10.388)</f>
        <v>10.388</v>
      </c>
      <c r="M801" s="2">
        <f ca="1">IFERROR(__xludf.DUMMYFUNCTION("""COMPUTED_VALUE"""),15.061)</f>
        <v>15.061</v>
      </c>
      <c r="U801" s="3" t="e">
        <f ca="1"/>
        <v>#NAME?</v>
      </c>
    </row>
    <row r="802" spans="3:21" ht="12.5" x14ac:dyDescent="0.25">
      <c r="C802" s="4">
        <f ca="1">IFERROR(__xludf.DUMMYFUNCTION("""COMPUTED_VALUE"""),41103.9986111111)</f>
        <v>41103.998611111099</v>
      </c>
      <c r="D802" s="2">
        <f ca="1">IFERROR(__xludf.DUMMYFUNCTION("""COMPUTED_VALUE"""),55.138)</f>
        <v>55.137999999999998</v>
      </c>
      <c r="E802" s="2">
        <f ca="1">IFERROR(__xludf.DUMMYFUNCTION("""COMPUTED_VALUE"""),71.277)</f>
        <v>71.277000000000001</v>
      </c>
      <c r="F802" s="2">
        <f ca="1">IFERROR(__xludf.DUMMYFUNCTION("""COMPUTED_VALUE"""),87.076)</f>
        <v>87.075999999999993</v>
      </c>
      <c r="G802" s="2">
        <f ca="1">IFERROR(__xludf.DUMMYFUNCTION("""COMPUTED_VALUE"""),0.67813)</f>
        <v>0.67813000000000001</v>
      </c>
      <c r="H802" s="2">
        <f ca="1">IFERROR(__xludf.DUMMYFUNCTION("""COMPUTED_VALUE"""),57.701)</f>
        <v>57.701000000000001</v>
      </c>
      <c r="I802" s="2">
        <f ca="1">IFERROR(__xludf.DUMMYFUNCTION("""COMPUTED_VALUE"""),56.786)</f>
        <v>56.786000000000001</v>
      </c>
      <c r="J802" s="2">
        <f ca="1">IFERROR(__xludf.DUMMYFUNCTION("""COMPUTED_VALUE"""),45.204)</f>
        <v>45.204000000000001</v>
      </c>
      <c r="K802" s="2">
        <f ca="1">IFERROR(__xludf.DUMMYFUNCTION("""COMPUTED_VALUE"""),58.225)</f>
        <v>58.225000000000001</v>
      </c>
      <c r="L802" s="2">
        <f ca="1">IFERROR(__xludf.DUMMYFUNCTION("""COMPUTED_VALUE"""),10.421)</f>
        <v>10.420999999999999</v>
      </c>
      <c r="M802" s="2">
        <f ca="1">IFERROR(__xludf.DUMMYFUNCTION("""COMPUTED_VALUE"""),15.061)</f>
        <v>15.061</v>
      </c>
      <c r="U802" s="3" t="e">
        <f ca="1"/>
        <v>#NAME?</v>
      </c>
    </row>
    <row r="803" spans="3:21" ht="12.5" x14ac:dyDescent="0.25">
      <c r="C803" s="4">
        <f ca="1">IFERROR(__xludf.DUMMYFUNCTION("""COMPUTED_VALUE"""),41104.9986111111)</f>
        <v>41104.998611111099</v>
      </c>
      <c r="D803" s="2">
        <f ca="1">IFERROR(__xludf.DUMMYFUNCTION("""COMPUTED_VALUE"""),55.138)</f>
        <v>55.137999999999998</v>
      </c>
      <c r="E803" s="2">
        <f ca="1">IFERROR(__xludf.DUMMYFUNCTION("""COMPUTED_VALUE"""),71.277)</f>
        <v>71.277000000000001</v>
      </c>
      <c r="F803" s="2">
        <f ca="1">IFERROR(__xludf.DUMMYFUNCTION("""COMPUTED_VALUE"""),87.076)</f>
        <v>87.075999999999993</v>
      </c>
      <c r="G803" s="2">
        <f ca="1">IFERROR(__xludf.DUMMYFUNCTION("""COMPUTED_VALUE"""),0.67819)</f>
        <v>0.67818999999999996</v>
      </c>
      <c r="H803" s="2">
        <f ca="1">IFERROR(__xludf.DUMMYFUNCTION("""COMPUTED_VALUE"""),58.354)</f>
        <v>58.353999999999999</v>
      </c>
      <c r="I803" s="2">
        <f ca="1">IFERROR(__xludf.DUMMYFUNCTION("""COMPUTED_VALUE"""),56.514)</f>
        <v>56.514000000000003</v>
      </c>
      <c r="J803" s="2">
        <f ca="1">IFERROR(__xludf.DUMMYFUNCTION("""COMPUTED_VALUE"""),44.454)</f>
        <v>44.454000000000001</v>
      </c>
      <c r="K803" s="2">
        <f ca="1">IFERROR(__xludf.DUMMYFUNCTION("""COMPUTED_VALUE"""),58.497)</f>
        <v>58.497</v>
      </c>
      <c r="L803" s="2">
        <f ca="1">IFERROR(__xludf.DUMMYFUNCTION("""COMPUTED_VALUE"""),10.446)</f>
        <v>10.446</v>
      </c>
      <c r="M803" s="2">
        <f ca="1">IFERROR(__xludf.DUMMYFUNCTION("""COMPUTED_VALUE"""),15.236)</f>
        <v>15.236000000000001</v>
      </c>
      <c r="U803" s="3" t="e">
        <f ca="1"/>
        <v>#NAME?</v>
      </c>
    </row>
    <row r="804" spans="3:21" ht="12.5" x14ac:dyDescent="0.25">
      <c r="C804" s="4">
        <f ca="1">IFERROR(__xludf.DUMMYFUNCTION("""COMPUTED_VALUE"""),41106.9986111111)</f>
        <v>41106.998611111099</v>
      </c>
      <c r="D804" s="2">
        <f ca="1">IFERROR(__xludf.DUMMYFUNCTION("""COMPUTED_VALUE"""),55.048)</f>
        <v>55.048000000000002</v>
      </c>
      <c r="E804" s="2">
        <f ca="1">IFERROR(__xludf.DUMMYFUNCTION("""COMPUTED_VALUE"""),70.761)</f>
        <v>70.760999999999996</v>
      </c>
      <c r="F804" s="2">
        <f ca="1">IFERROR(__xludf.DUMMYFUNCTION("""COMPUTED_VALUE"""),86.888)</f>
        <v>86.888000000000005</v>
      </c>
      <c r="G804" s="2">
        <f ca="1">IFERROR(__xludf.DUMMYFUNCTION("""COMPUTED_VALUE"""),0.67085)</f>
        <v>0.67084999999999995</v>
      </c>
      <c r="H804" s="2">
        <f ca="1">IFERROR(__xludf.DUMMYFUNCTION("""COMPUTED_VALUE"""),57.219)</f>
        <v>57.219000000000001</v>
      </c>
      <c r="I804" s="2">
        <f ca="1">IFERROR(__xludf.DUMMYFUNCTION("""COMPUTED_VALUE"""),57.13)</f>
        <v>57.13</v>
      </c>
      <c r="J804" s="2">
        <f ca="1">IFERROR(__xludf.DUMMYFUNCTION("""COMPUTED_VALUE"""),44.497)</f>
        <v>44.497</v>
      </c>
      <c r="K804" s="2">
        <f ca="1">IFERROR(__xludf.DUMMYFUNCTION("""COMPUTED_VALUE"""),59.039)</f>
        <v>59.039000000000001</v>
      </c>
      <c r="L804" s="2">
        <f ca="1">IFERROR(__xludf.DUMMYFUNCTION("""COMPUTED_VALUE"""),10.462)</f>
        <v>10.462</v>
      </c>
      <c r="M804" s="2">
        <f ca="1">IFERROR(__xludf.DUMMYFUNCTION("""COMPUTED_VALUE"""),15.275)</f>
        <v>15.275</v>
      </c>
      <c r="U804" s="3" t="e">
        <f ca="1"/>
        <v>#NAME?</v>
      </c>
    </row>
    <row r="805" spans="3:21" ht="12.5" x14ac:dyDescent="0.25">
      <c r="C805" s="4">
        <f ca="1">IFERROR(__xludf.DUMMYFUNCTION("""COMPUTED_VALUE"""),41107.9986111111)</f>
        <v>41107.998611111099</v>
      </c>
      <c r="D805" s="2">
        <f ca="1">IFERROR(__xludf.DUMMYFUNCTION("""COMPUTED_VALUE"""),55.098)</f>
        <v>55.097999999999999</v>
      </c>
      <c r="E805" s="2">
        <f ca="1">IFERROR(__xludf.DUMMYFUNCTION("""COMPUTED_VALUE"""),70.39)</f>
        <v>70.39</v>
      </c>
      <c r="F805" s="2">
        <f ca="1">IFERROR(__xludf.DUMMYFUNCTION("""COMPUTED_VALUE"""),85.165)</f>
        <v>85.165000000000006</v>
      </c>
      <c r="G805" s="2">
        <f ca="1">IFERROR(__xludf.DUMMYFUNCTION("""COMPUTED_VALUE"""),0.66931)</f>
        <v>0.66930999999999996</v>
      </c>
      <c r="H805" s="2">
        <f ca="1">IFERROR(__xludf.DUMMYFUNCTION("""COMPUTED_VALUE"""),57.273)</f>
        <v>57.273000000000003</v>
      </c>
      <c r="I805" s="2">
        <f ca="1">IFERROR(__xludf.DUMMYFUNCTION("""COMPUTED_VALUE"""),55.791)</f>
        <v>55.790999999999997</v>
      </c>
      <c r="J805" s="2">
        <f ca="1">IFERROR(__xludf.DUMMYFUNCTION("""COMPUTED_VALUE"""),44.455)</f>
        <v>44.454999999999998</v>
      </c>
      <c r="K805" s="2">
        <f ca="1">IFERROR(__xludf.DUMMYFUNCTION("""COMPUTED_VALUE"""),59.27)</f>
        <v>59.27</v>
      </c>
      <c r="L805" s="2">
        <f ca="1">IFERROR(__xludf.DUMMYFUNCTION("""COMPUTED_VALUE"""),10.481)</f>
        <v>10.481</v>
      </c>
      <c r="M805" s="2">
        <f ca="1">IFERROR(__xludf.DUMMYFUNCTION("""COMPUTED_VALUE"""),15.289)</f>
        <v>15.289</v>
      </c>
      <c r="U805" s="3" t="e">
        <f ca="1"/>
        <v>#NAME?</v>
      </c>
    </row>
    <row r="806" spans="3:21" ht="12.5" x14ac:dyDescent="0.25">
      <c r="C806" s="4">
        <f ca="1">IFERROR(__xludf.DUMMYFUNCTION("""COMPUTED_VALUE"""),41108.9986111111)</f>
        <v>41108.998611111099</v>
      </c>
      <c r="D806" s="2">
        <f ca="1">IFERROR(__xludf.DUMMYFUNCTION("""COMPUTED_VALUE"""),55.313)</f>
        <v>55.313000000000002</v>
      </c>
      <c r="E806" s="2">
        <f ca="1">IFERROR(__xludf.DUMMYFUNCTION("""COMPUTED_VALUE"""),70.406)</f>
        <v>70.406000000000006</v>
      </c>
      <c r="F806" s="2">
        <f ca="1">IFERROR(__xludf.DUMMYFUNCTION("""COMPUTED_VALUE"""),84.835)</f>
        <v>84.834999999999994</v>
      </c>
      <c r="G806" s="2">
        <f ca="1">IFERROR(__xludf.DUMMYFUNCTION("""COMPUTED_VALUE"""),0.66382)</f>
        <v>0.66381999999999997</v>
      </c>
      <c r="H806" s="2">
        <f ca="1">IFERROR(__xludf.DUMMYFUNCTION("""COMPUTED_VALUE"""),57.218)</f>
        <v>57.218000000000004</v>
      </c>
      <c r="I806" s="2">
        <f ca="1">IFERROR(__xludf.DUMMYFUNCTION("""COMPUTED_VALUE"""),55.917)</f>
        <v>55.917000000000002</v>
      </c>
      <c r="J806" s="2">
        <f ca="1">IFERROR(__xludf.DUMMYFUNCTION("""COMPUTED_VALUE"""),44.065)</f>
        <v>44.064999999999998</v>
      </c>
      <c r="K806" s="2">
        <f ca="1">IFERROR(__xludf.DUMMYFUNCTION("""COMPUTED_VALUE"""),58.746)</f>
        <v>58.746000000000002</v>
      </c>
      <c r="L806" s="2">
        <f ca="1">IFERROR(__xludf.DUMMYFUNCTION("""COMPUTED_VALUE"""),10.503)</f>
        <v>10.503</v>
      </c>
      <c r="M806" s="2">
        <f ca="1">IFERROR(__xludf.DUMMYFUNCTION("""COMPUTED_VALUE"""),15.115)</f>
        <v>15.115</v>
      </c>
      <c r="U806" s="3" t="e">
        <f ca="1"/>
        <v>#NAME?</v>
      </c>
    </row>
    <row r="807" spans="3:21" ht="12.5" x14ac:dyDescent="0.25">
      <c r="C807" s="4">
        <f ca="1">IFERROR(__xludf.DUMMYFUNCTION("""COMPUTED_VALUE"""),41109.9986111111)</f>
        <v>41109.998611111099</v>
      </c>
      <c r="D807" s="2">
        <f ca="1">IFERROR(__xludf.DUMMYFUNCTION("""COMPUTED_VALUE"""),55.118)</f>
        <v>55.118000000000002</v>
      </c>
      <c r="E807" s="2">
        <f ca="1">IFERROR(__xludf.DUMMYFUNCTION("""COMPUTED_VALUE"""),70.313)</f>
        <v>70.313000000000002</v>
      </c>
      <c r="F807" s="2">
        <f ca="1">IFERROR(__xludf.DUMMYFUNCTION("""COMPUTED_VALUE"""),85.172)</f>
        <v>85.171999999999997</v>
      </c>
      <c r="G807" s="2">
        <f ca="1">IFERROR(__xludf.DUMMYFUNCTION("""COMPUTED_VALUE"""),0.65854)</f>
        <v>0.65854000000000001</v>
      </c>
      <c r="H807" s="2">
        <f ca="1">IFERROR(__xludf.DUMMYFUNCTION("""COMPUTED_VALUE"""),56.498)</f>
        <v>56.497999999999998</v>
      </c>
      <c r="I807" s="2">
        <f ca="1">IFERROR(__xludf.DUMMYFUNCTION("""COMPUTED_VALUE"""),55.792)</f>
        <v>55.792000000000002</v>
      </c>
      <c r="J807" s="2">
        <f ca="1">IFERROR(__xludf.DUMMYFUNCTION("""COMPUTED_VALUE"""),44.027)</f>
        <v>44.027000000000001</v>
      </c>
      <c r="K807" s="2">
        <f ca="1">IFERROR(__xludf.DUMMYFUNCTION("""COMPUTED_VALUE"""),59.732)</f>
        <v>59.731999999999999</v>
      </c>
      <c r="L807" s="2">
        <f ca="1">IFERROR(__xludf.DUMMYFUNCTION("""COMPUTED_VALUE"""),10.369)</f>
        <v>10.369</v>
      </c>
      <c r="M807" s="2">
        <f ca="1">IFERROR(__xludf.DUMMYFUNCTION("""COMPUTED_VALUE"""),15.042)</f>
        <v>15.042</v>
      </c>
      <c r="U807" s="3" t="e">
        <f ca="1"/>
        <v>#NAME?</v>
      </c>
    </row>
    <row r="808" spans="3:21" ht="12.5" x14ac:dyDescent="0.25">
      <c r="C808" s="4">
        <f ca="1">IFERROR(__xludf.DUMMYFUNCTION("""COMPUTED_VALUE"""),41110.9986111111)</f>
        <v>41110.998611111099</v>
      </c>
      <c r="D808" s="2">
        <f ca="1">IFERROR(__xludf.DUMMYFUNCTION("""COMPUTED_VALUE"""),55.318)</f>
        <v>55.317999999999998</v>
      </c>
      <c r="E808" s="2">
        <f ca="1">IFERROR(__xludf.DUMMYFUNCTION("""COMPUTED_VALUE"""),69.189)</f>
        <v>69.188999999999993</v>
      </c>
      <c r="F808" s="2">
        <f ca="1">IFERROR(__xludf.DUMMYFUNCTION("""COMPUTED_VALUE"""),85.804)</f>
        <v>85.804000000000002</v>
      </c>
      <c r="G808" s="2">
        <f ca="1">IFERROR(__xludf.DUMMYFUNCTION("""COMPUTED_VALUE"""),0.65905)</f>
        <v>0.65905000000000002</v>
      </c>
      <c r="H808" s="2">
        <f ca="1">IFERROR(__xludf.DUMMYFUNCTION("""COMPUTED_VALUE"""),56.358)</f>
        <v>56.357999999999997</v>
      </c>
      <c r="I808" s="2">
        <f ca="1">IFERROR(__xludf.DUMMYFUNCTION("""COMPUTED_VALUE"""),55.351)</f>
        <v>55.350999999999999</v>
      </c>
      <c r="J808" s="2">
        <f ca="1">IFERROR(__xludf.DUMMYFUNCTION("""COMPUTED_VALUE"""),44.089)</f>
        <v>44.088999999999999</v>
      </c>
      <c r="K808" s="2">
        <f ca="1">IFERROR(__xludf.DUMMYFUNCTION("""COMPUTED_VALUE"""),59.793)</f>
        <v>59.792999999999999</v>
      </c>
      <c r="L808" s="2">
        <f ca="1">IFERROR(__xludf.DUMMYFUNCTION("""COMPUTED_VALUE"""),10.52)</f>
        <v>10.52</v>
      </c>
      <c r="M808" s="2">
        <f ca="1">IFERROR(__xludf.DUMMYFUNCTION("""COMPUTED_VALUE"""),15.042)</f>
        <v>15.042</v>
      </c>
      <c r="U808" s="3" t="e">
        <f ca="1"/>
        <v>#NAME?</v>
      </c>
    </row>
    <row r="809" spans="3:21" ht="12.5" x14ac:dyDescent="0.25">
      <c r="C809" s="4">
        <f ca="1">IFERROR(__xludf.DUMMYFUNCTION("""COMPUTED_VALUE"""),41111.9986111111)</f>
        <v>41111.998611111099</v>
      </c>
      <c r="D809" s="2">
        <f ca="1">IFERROR(__xludf.DUMMYFUNCTION("""COMPUTED_VALUE"""),55.318)</f>
        <v>55.317999999999998</v>
      </c>
      <c r="E809" s="2">
        <f ca="1">IFERROR(__xludf.DUMMYFUNCTION("""COMPUTED_VALUE"""),69.258)</f>
        <v>69.257999999999996</v>
      </c>
      <c r="F809" s="2">
        <f ca="1">IFERROR(__xludf.DUMMYFUNCTION("""COMPUTED_VALUE"""),85.822)</f>
        <v>85.822000000000003</v>
      </c>
      <c r="G809" s="2">
        <f ca="1">IFERROR(__xludf.DUMMYFUNCTION("""COMPUTED_VALUE"""),0.65978)</f>
        <v>0.65978000000000003</v>
      </c>
      <c r="H809" s="2">
        <f ca="1">IFERROR(__xludf.DUMMYFUNCTION("""COMPUTED_VALUE"""),56.495)</f>
        <v>56.494999999999997</v>
      </c>
      <c r="I809" s="2">
        <f ca="1">IFERROR(__xludf.DUMMYFUNCTION("""COMPUTED_VALUE"""),55.353)</f>
        <v>55.353000000000002</v>
      </c>
      <c r="J809" s="2">
        <f ca="1">IFERROR(__xludf.DUMMYFUNCTION("""COMPUTED_VALUE"""),44.283)</f>
        <v>44.283000000000001</v>
      </c>
      <c r="K809" s="2">
        <f ca="1">IFERROR(__xludf.DUMMYFUNCTION("""COMPUTED_VALUE"""),59.795)</f>
        <v>59.795000000000002</v>
      </c>
      <c r="L809" s="2">
        <f ca="1">IFERROR(__xludf.DUMMYFUNCTION("""COMPUTED_VALUE"""),10.52)</f>
        <v>10.52</v>
      </c>
      <c r="M809" s="2">
        <f ca="1">IFERROR(__xludf.DUMMYFUNCTION("""COMPUTED_VALUE"""),15.042)</f>
        <v>15.042</v>
      </c>
      <c r="U809" s="3" t="e">
        <f ca="1"/>
        <v>#NAME?</v>
      </c>
    </row>
    <row r="810" spans="3:21" ht="12.5" x14ac:dyDescent="0.25">
      <c r="C810" s="4">
        <f ca="1">IFERROR(__xludf.DUMMYFUNCTION("""COMPUTED_VALUE"""),41113.9986111111)</f>
        <v>41113.998611111099</v>
      </c>
      <c r="D810" s="2">
        <f ca="1">IFERROR(__xludf.DUMMYFUNCTION("""COMPUTED_VALUE"""),55.963)</f>
        <v>55.963000000000001</v>
      </c>
      <c r="E810" s="2">
        <f ca="1">IFERROR(__xludf.DUMMYFUNCTION("""COMPUTED_VALUE"""),69.19)</f>
        <v>69.19</v>
      </c>
      <c r="F810" s="2">
        <f ca="1">IFERROR(__xludf.DUMMYFUNCTION("""COMPUTED_VALUE"""),86.602)</f>
        <v>86.602000000000004</v>
      </c>
      <c r="G810" s="2">
        <f ca="1">IFERROR(__xludf.DUMMYFUNCTION("""COMPUTED_VALUE"""),0.6712)</f>
        <v>0.67120000000000002</v>
      </c>
      <c r="H810" s="2">
        <f ca="1">IFERROR(__xludf.DUMMYFUNCTION("""COMPUTED_VALUE"""),56.524)</f>
        <v>56.524000000000001</v>
      </c>
      <c r="I810" s="2">
        <f ca="1">IFERROR(__xludf.DUMMYFUNCTION("""COMPUTED_VALUE"""),55.353)</f>
        <v>55.353000000000002</v>
      </c>
      <c r="J810" s="2">
        <f ca="1">IFERROR(__xludf.DUMMYFUNCTION("""COMPUTED_VALUE"""),43.513)</f>
        <v>43.512999999999998</v>
      </c>
      <c r="K810" s="2">
        <f ca="1">IFERROR(__xludf.DUMMYFUNCTION("""COMPUTED_VALUE"""),59.296)</f>
        <v>59.295999999999999</v>
      </c>
      <c r="L810" s="2">
        <f ca="1">IFERROR(__xludf.DUMMYFUNCTION("""COMPUTED_VALUE"""),10.567)</f>
        <v>10.567</v>
      </c>
      <c r="M810" s="2">
        <f ca="1">IFERROR(__xludf.DUMMYFUNCTION("""COMPUTED_VALUE"""),15.092)</f>
        <v>15.092000000000001</v>
      </c>
      <c r="U810" s="3" t="e">
        <f ca="1"/>
        <v>#NAME?</v>
      </c>
    </row>
    <row r="811" spans="3:21" ht="12.5" x14ac:dyDescent="0.25">
      <c r="C811" s="4">
        <f ca="1">IFERROR(__xludf.DUMMYFUNCTION("""COMPUTED_VALUE"""),41114.9986111111)</f>
        <v>41114.998611111099</v>
      </c>
      <c r="D811" s="2">
        <f ca="1">IFERROR(__xludf.DUMMYFUNCTION("""COMPUTED_VALUE"""),56.108)</f>
        <v>56.107999999999997</v>
      </c>
      <c r="E811" s="2">
        <f ca="1">IFERROR(__xludf.DUMMYFUNCTION("""COMPUTED_VALUE"""),69.074)</f>
        <v>69.073999999999998</v>
      </c>
      <c r="F811" s="2">
        <f ca="1">IFERROR(__xludf.DUMMYFUNCTION("""COMPUTED_VALUE"""),85.843)</f>
        <v>85.843000000000004</v>
      </c>
      <c r="G811" s="2">
        <f ca="1">IFERROR(__xludf.DUMMYFUNCTION("""COMPUTED_VALUE"""),0.67298)</f>
        <v>0.67298000000000002</v>
      </c>
      <c r="H811" s="2">
        <f ca="1">IFERROR(__xludf.DUMMYFUNCTION("""COMPUTED_VALUE"""),55.745)</f>
        <v>55.744999999999997</v>
      </c>
      <c r="I811" s="2">
        <f ca="1">IFERROR(__xludf.DUMMYFUNCTION("""COMPUTED_VALUE"""),55.505)</f>
        <v>55.505000000000003</v>
      </c>
      <c r="J811" s="2">
        <f ca="1">IFERROR(__xludf.DUMMYFUNCTION("""COMPUTED_VALUE"""),43.563)</f>
        <v>43.563000000000002</v>
      </c>
      <c r="K811" s="2">
        <f ca="1">IFERROR(__xludf.DUMMYFUNCTION("""COMPUTED_VALUE"""),59.241)</f>
        <v>59.241</v>
      </c>
      <c r="L811" s="2">
        <f ca="1">IFERROR(__xludf.DUMMYFUNCTION("""COMPUTED_VALUE"""),10.534)</f>
        <v>10.534000000000001</v>
      </c>
      <c r="M811" s="2">
        <f ca="1">IFERROR(__xludf.DUMMYFUNCTION("""COMPUTED_VALUE"""),15.148)</f>
        <v>15.148</v>
      </c>
      <c r="U811" s="3" t="e">
        <f ca="1"/>
        <v>#NAME?</v>
      </c>
    </row>
    <row r="812" spans="3:21" ht="12.5" x14ac:dyDescent="0.25">
      <c r="C812" s="4">
        <f ca="1">IFERROR(__xludf.DUMMYFUNCTION("""COMPUTED_VALUE"""),41115.9986111111)</f>
        <v>41115.998611111099</v>
      </c>
      <c r="D812" s="2">
        <f ca="1">IFERROR(__xludf.DUMMYFUNCTION("""COMPUTED_VALUE"""),56.158)</f>
        <v>56.158000000000001</v>
      </c>
      <c r="E812" s="2">
        <f ca="1">IFERROR(__xludf.DUMMYFUNCTION("""COMPUTED_VALUE"""),68.758)</f>
        <v>68.757999999999996</v>
      </c>
      <c r="F812" s="2">
        <f ca="1">IFERROR(__xludf.DUMMYFUNCTION("""COMPUTED_VALUE"""),86.166)</f>
        <v>86.165999999999997</v>
      </c>
      <c r="G812" s="2">
        <f ca="1">IFERROR(__xludf.DUMMYFUNCTION("""COMPUTED_VALUE"""),0.67836)</f>
        <v>0.67835999999999996</v>
      </c>
      <c r="H812" s="2">
        <f ca="1">IFERROR(__xludf.DUMMYFUNCTION("""COMPUTED_VALUE"""),55.802)</f>
        <v>55.802</v>
      </c>
      <c r="I812" s="2">
        <f ca="1">IFERROR(__xludf.DUMMYFUNCTION("""COMPUTED_VALUE"""),54.592)</f>
        <v>54.591999999999999</v>
      </c>
      <c r="J812" s="2">
        <f ca="1">IFERROR(__xludf.DUMMYFUNCTION("""COMPUTED_VALUE"""),43.514)</f>
        <v>43.514000000000003</v>
      </c>
      <c r="K812" s="2">
        <f ca="1">IFERROR(__xludf.DUMMYFUNCTION("""COMPUTED_VALUE"""),59.011)</f>
        <v>59.011000000000003</v>
      </c>
      <c r="L812" s="2">
        <f ca="1">IFERROR(__xludf.DUMMYFUNCTION("""COMPUTED_VALUE"""),10.508)</f>
        <v>10.507999999999999</v>
      </c>
      <c r="M812" s="2">
        <f ca="1">IFERROR(__xludf.DUMMYFUNCTION("""COMPUTED_VALUE"""),15.102)</f>
        <v>15.102</v>
      </c>
      <c r="U812" s="3" t="e">
        <f ca="1"/>
        <v>#NAME?</v>
      </c>
    </row>
    <row r="813" spans="3:21" ht="12.5" x14ac:dyDescent="0.25">
      <c r="C813" s="4">
        <f ca="1">IFERROR(__xludf.DUMMYFUNCTION("""COMPUTED_VALUE"""),41116.9986111111)</f>
        <v>41116.998611111099</v>
      </c>
      <c r="D813" s="2">
        <f ca="1">IFERROR(__xludf.DUMMYFUNCTION("""COMPUTED_VALUE"""),55.518)</f>
        <v>55.518000000000001</v>
      </c>
      <c r="E813" s="2">
        <f ca="1">IFERROR(__xludf.DUMMYFUNCTION("""COMPUTED_VALUE"""),68.873)</f>
        <v>68.873000000000005</v>
      </c>
      <c r="F813" s="2">
        <f ca="1">IFERROR(__xludf.DUMMYFUNCTION("""COMPUTED_VALUE"""),86.191)</f>
        <v>86.191000000000003</v>
      </c>
      <c r="G813" s="2">
        <f ca="1">IFERROR(__xludf.DUMMYFUNCTION("""COMPUTED_VALUE"""),0.67113)</f>
        <v>0.67113</v>
      </c>
      <c r="H813" s="2">
        <f ca="1">IFERROR(__xludf.DUMMYFUNCTION("""COMPUTED_VALUE"""),55.75)</f>
        <v>55.75</v>
      </c>
      <c r="I813" s="2">
        <f ca="1">IFERROR(__xludf.DUMMYFUNCTION("""COMPUTED_VALUE"""),54.639)</f>
        <v>54.639000000000003</v>
      </c>
      <c r="J813" s="2">
        <f ca="1">IFERROR(__xludf.DUMMYFUNCTION("""COMPUTED_VALUE"""),43.502)</f>
        <v>43.502000000000002</v>
      </c>
      <c r="K813" s="2">
        <f ca="1">IFERROR(__xludf.DUMMYFUNCTION("""COMPUTED_VALUE"""),58.775)</f>
        <v>58.774999999999999</v>
      </c>
      <c r="L813" s="2">
        <f ca="1">IFERROR(__xludf.DUMMYFUNCTION("""COMPUTED_VALUE"""),10.481)</f>
        <v>10.481</v>
      </c>
      <c r="M813" s="2">
        <f ca="1">IFERROR(__xludf.DUMMYFUNCTION("""COMPUTED_VALUE"""),15.202)</f>
        <v>15.202</v>
      </c>
      <c r="U813" s="3" t="e">
        <f ca="1"/>
        <v>#NAME?</v>
      </c>
    </row>
    <row r="814" spans="3:21" ht="12.5" x14ac:dyDescent="0.25">
      <c r="C814" s="4">
        <f ca="1">IFERROR(__xludf.DUMMYFUNCTION("""COMPUTED_VALUE"""),41117.9986111111)</f>
        <v>41117.998611111099</v>
      </c>
      <c r="D814" s="2">
        <f ca="1">IFERROR(__xludf.DUMMYFUNCTION("""COMPUTED_VALUE"""),55.248)</f>
        <v>55.247999999999998</v>
      </c>
      <c r="E814" s="2">
        <f ca="1">IFERROR(__xludf.DUMMYFUNCTION("""COMPUTED_VALUE"""),68.381)</f>
        <v>68.381</v>
      </c>
      <c r="F814" s="2">
        <f ca="1">IFERROR(__xludf.DUMMYFUNCTION("""COMPUTED_VALUE"""),85.799)</f>
        <v>85.799000000000007</v>
      </c>
      <c r="G814" s="2">
        <f ca="1">IFERROR(__xludf.DUMMYFUNCTION("""COMPUTED_VALUE"""),0.67121)</f>
        <v>0.67120999999999997</v>
      </c>
      <c r="H814" s="2">
        <f ca="1">IFERROR(__xludf.DUMMYFUNCTION("""COMPUTED_VALUE"""),55.689)</f>
        <v>55.689</v>
      </c>
      <c r="I814" s="2">
        <f ca="1">IFERROR(__xludf.DUMMYFUNCTION("""COMPUTED_VALUE"""),54.606)</f>
        <v>54.606000000000002</v>
      </c>
      <c r="J814" s="2">
        <f ca="1">IFERROR(__xludf.DUMMYFUNCTION("""COMPUTED_VALUE"""),43.365)</f>
        <v>43.365000000000002</v>
      </c>
      <c r="K814" s="2">
        <f ca="1">IFERROR(__xludf.DUMMYFUNCTION("""COMPUTED_VALUE"""),58.438)</f>
        <v>58.438000000000002</v>
      </c>
      <c r="L814" s="2">
        <f ca="1">IFERROR(__xludf.DUMMYFUNCTION("""COMPUTED_VALUE"""),10.542)</f>
        <v>10.542</v>
      </c>
      <c r="M814" s="2">
        <f ca="1">IFERROR(__xludf.DUMMYFUNCTION("""COMPUTED_VALUE"""),15.177)</f>
        <v>15.177</v>
      </c>
      <c r="U814" s="3" t="e">
        <f ca="1"/>
        <v>#NAME?</v>
      </c>
    </row>
    <row r="815" spans="3:21" ht="12.5" x14ac:dyDescent="0.25">
      <c r="C815" s="4">
        <f ca="1">IFERROR(__xludf.DUMMYFUNCTION("""COMPUTED_VALUE"""),41119.9986111111)</f>
        <v>41119.998611111099</v>
      </c>
      <c r="D815" s="2">
        <f ca="1">IFERROR(__xludf.DUMMYFUNCTION("""COMPUTED_VALUE"""),55.248)</f>
        <v>55.247999999999998</v>
      </c>
      <c r="E815" s="2">
        <f ca="1">IFERROR(__xludf.DUMMYFUNCTION("""COMPUTED_VALUE"""),67.952)</f>
        <v>67.951999999999998</v>
      </c>
      <c r="F815" s="2">
        <f ca="1">IFERROR(__xludf.DUMMYFUNCTION("""COMPUTED_VALUE"""),85.88)</f>
        <v>85.88</v>
      </c>
      <c r="G815" s="2">
        <f ca="1">IFERROR(__xludf.DUMMYFUNCTION("""COMPUTED_VALUE"""),0.67338)</f>
        <v>0.67337999999999998</v>
      </c>
      <c r="H815" s="2">
        <f ca="1">IFERROR(__xludf.DUMMYFUNCTION("""COMPUTED_VALUE"""),55.294)</f>
        <v>55.293999999999997</v>
      </c>
      <c r="I815" s="2">
        <f ca="1">IFERROR(__xludf.DUMMYFUNCTION("""COMPUTED_VALUE"""),54.596)</f>
        <v>54.595999999999997</v>
      </c>
      <c r="J815" s="2">
        <f ca="1">IFERROR(__xludf.DUMMYFUNCTION("""COMPUTED_VALUE"""),43.453)</f>
        <v>43.453000000000003</v>
      </c>
      <c r="K815" s="2">
        <f ca="1">IFERROR(__xludf.DUMMYFUNCTION("""COMPUTED_VALUE"""),58.433)</f>
        <v>58.433</v>
      </c>
      <c r="L815" s="2">
        <f ca="1">IFERROR(__xludf.DUMMYFUNCTION("""COMPUTED_VALUE"""),10.471)</f>
        <v>10.471</v>
      </c>
      <c r="M815" s="2">
        <f ca="1">IFERROR(__xludf.DUMMYFUNCTION("""COMPUTED_VALUE"""),15.177)</f>
        <v>15.177</v>
      </c>
      <c r="U815" s="3" t="e">
        <f ca="1"/>
        <v>#NAME?</v>
      </c>
    </row>
    <row r="816" spans="3:21" ht="12.5" x14ac:dyDescent="0.25">
      <c r="C816" s="4">
        <f ca="1">IFERROR(__xludf.DUMMYFUNCTION("""COMPUTED_VALUE"""),41120.9986111111)</f>
        <v>41120.998611111099</v>
      </c>
      <c r="D816" s="2">
        <f ca="1">IFERROR(__xludf.DUMMYFUNCTION("""COMPUTED_VALUE"""),55.433)</f>
        <v>55.433</v>
      </c>
      <c r="E816" s="2">
        <f ca="1">IFERROR(__xludf.DUMMYFUNCTION("""COMPUTED_VALUE"""),67.1597)</f>
        <v>67.159700000000001</v>
      </c>
      <c r="F816" s="2">
        <f ca="1">IFERROR(__xludf.DUMMYFUNCTION("""COMPUTED_VALUE"""),85.88)</f>
        <v>85.88</v>
      </c>
      <c r="G816" s="2">
        <f ca="1">IFERROR(__xludf.DUMMYFUNCTION("""COMPUTED_VALUE"""),0.67338)</f>
        <v>0.67337999999999998</v>
      </c>
      <c r="H816" s="2">
        <f ca="1">IFERROR(__xludf.DUMMYFUNCTION("""COMPUTED_VALUE"""),55.49)</f>
        <v>55.49</v>
      </c>
      <c r="I816" s="2">
        <f ca="1">IFERROR(__xludf.DUMMYFUNCTION("""COMPUTED_VALUE"""),54.356)</f>
        <v>54.356000000000002</v>
      </c>
      <c r="J816" s="2">
        <f ca="1">IFERROR(__xludf.DUMMYFUNCTION("""COMPUTED_VALUE"""),43.194)</f>
        <v>43.194000000000003</v>
      </c>
      <c r="K816" s="2">
        <f ca="1">IFERROR(__xludf.DUMMYFUNCTION("""COMPUTED_VALUE"""),58.011)</f>
        <v>58.011000000000003</v>
      </c>
      <c r="L816" s="2">
        <f ca="1">IFERROR(__xludf.DUMMYFUNCTION("""COMPUTED_VALUE"""),10.481)</f>
        <v>10.481</v>
      </c>
      <c r="M816" s="2">
        <f ca="1">IFERROR(__xludf.DUMMYFUNCTION("""COMPUTED_VALUE"""),15.177)</f>
        <v>15.177</v>
      </c>
      <c r="U816" s="3" t="e">
        <f ca="1"/>
        <v>#NAME?</v>
      </c>
    </row>
    <row r="817" spans="3:21" ht="12.5" x14ac:dyDescent="0.25">
      <c r="C817" s="4">
        <f ca="1">IFERROR(__xludf.DUMMYFUNCTION("""COMPUTED_VALUE"""),41121.9986111111)</f>
        <v>41121.998611111099</v>
      </c>
      <c r="D817" s="2">
        <f ca="1">IFERROR(__xludf.DUMMYFUNCTION("""COMPUTED_VALUE"""),55.648)</f>
        <v>55.648000000000003</v>
      </c>
      <c r="E817" s="2">
        <f ca="1">IFERROR(__xludf.DUMMYFUNCTION("""COMPUTED_VALUE"""),67.47)</f>
        <v>67.47</v>
      </c>
      <c r="F817" s="2">
        <f ca="1">IFERROR(__xludf.DUMMYFUNCTION("""COMPUTED_VALUE"""),85.942)</f>
        <v>85.941999999999993</v>
      </c>
      <c r="G817" s="2">
        <f ca="1">IFERROR(__xludf.DUMMYFUNCTION("""COMPUTED_VALUE"""),0.6727)</f>
        <v>0.67269999999999996</v>
      </c>
      <c r="H817" s="2">
        <f ca="1">IFERROR(__xludf.DUMMYFUNCTION("""COMPUTED_VALUE"""),55.311)</f>
        <v>55.311</v>
      </c>
      <c r="I817" s="2">
        <f ca="1">IFERROR(__xludf.DUMMYFUNCTION("""COMPUTED_VALUE"""),54.346)</f>
        <v>54.345999999999997</v>
      </c>
      <c r="J817" s="2">
        <f ca="1">IFERROR(__xludf.DUMMYFUNCTION("""COMPUTED_VALUE"""),43.016)</f>
        <v>43.015999999999998</v>
      </c>
      <c r="K817" s="2">
        <f ca="1">IFERROR(__xludf.DUMMYFUNCTION("""COMPUTED_VALUE"""),56.982)</f>
        <v>56.981999999999999</v>
      </c>
      <c r="L817" s="2">
        <f ca="1">IFERROR(__xludf.DUMMYFUNCTION("""COMPUTED_VALUE"""),10.49)</f>
        <v>10.49</v>
      </c>
      <c r="M817" s="2">
        <f ca="1">IFERROR(__xludf.DUMMYFUNCTION("""COMPUTED_VALUE"""),15.115)</f>
        <v>15.115</v>
      </c>
      <c r="U817" s="3" t="e">
        <f ca="1"/>
        <v>#NAME?</v>
      </c>
    </row>
    <row r="818" spans="3:21" ht="12.5" x14ac:dyDescent="0.25">
      <c r="C818" s="4">
        <f ca="1">IFERROR(__xludf.DUMMYFUNCTION("""COMPUTED_VALUE"""),41122.9986111111)</f>
        <v>41122.998611111099</v>
      </c>
      <c r="D818" s="2">
        <f ca="1">IFERROR(__xludf.DUMMYFUNCTION("""COMPUTED_VALUE"""),55.468)</f>
        <v>55.468000000000004</v>
      </c>
      <c r="E818" s="2">
        <f ca="1">IFERROR(__xludf.DUMMYFUNCTION("""COMPUTED_VALUE"""),67.617)</f>
        <v>67.617000000000004</v>
      </c>
      <c r="F818" s="2">
        <f ca="1">IFERROR(__xludf.DUMMYFUNCTION("""COMPUTED_VALUE"""),86.129)</f>
        <v>86.129000000000005</v>
      </c>
      <c r="G818" s="2">
        <f ca="1">IFERROR(__xludf.DUMMYFUNCTION("""COMPUTED_VALUE"""),0.66965)</f>
        <v>0.66964999999999997</v>
      </c>
      <c r="H818" s="2">
        <f ca="1">IFERROR(__xludf.DUMMYFUNCTION("""COMPUTED_VALUE"""),54.863)</f>
        <v>54.863</v>
      </c>
      <c r="I818" s="2">
        <f ca="1">IFERROR(__xludf.DUMMYFUNCTION("""COMPUTED_VALUE"""),54.007)</f>
        <v>54.006999999999998</v>
      </c>
      <c r="J818" s="2">
        <f ca="1">IFERROR(__xludf.DUMMYFUNCTION("""COMPUTED_VALUE"""),43.06)</f>
        <v>43.06</v>
      </c>
      <c r="K818" s="2">
        <f ca="1">IFERROR(__xludf.DUMMYFUNCTION("""COMPUTED_VALUE"""),56.713)</f>
        <v>56.713000000000001</v>
      </c>
      <c r="L818" s="2">
        <f ca="1">IFERROR(__xludf.DUMMYFUNCTION("""COMPUTED_VALUE"""),10.49)</f>
        <v>10.49</v>
      </c>
      <c r="M818" s="2">
        <f ca="1">IFERROR(__xludf.DUMMYFUNCTION("""COMPUTED_VALUE"""),14.947)</f>
        <v>14.946999999999999</v>
      </c>
      <c r="U818" s="3" t="e">
        <f ca="1"/>
        <v>#NAME?</v>
      </c>
    </row>
    <row r="819" spans="3:21" ht="12.5" x14ac:dyDescent="0.25">
      <c r="C819" s="4">
        <f ca="1">IFERROR(__xludf.DUMMYFUNCTION("""COMPUTED_VALUE"""),41123.9986111111)</f>
        <v>41123.998611111099</v>
      </c>
      <c r="D819" s="2">
        <f ca="1">IFERROR(__xludf.DUMMYFUNCTION("""COMPUTED_VALUE"""),55.838)</f>
        <v>55.838000000000001</v>
      </c>
      <c r="E819" s="2">
        <f ca="1">IFERROR(__xludf.DUMMYFUNCTION("""COMPUTED_VALUE"""),67.308)</f>
        <v>67.308000000000007</v>
      </c>
      <c r="F819" s="2">
        <f ca="1">IFERROR(__xludf.DUMMYFUNCTION("""COMPUTED_VALUE"""),86.463)</f>
        <v>86.462999999999994</v>
      </c>
      <c r="G819" s="2">
        <f ca="1">IFERROR(__xludf.DUMMYFUNCTION("""COMPUTED_VALUE"""),0.6675)</f>
        <v>0.66749999999999998</v>
      </c>
      <c r="H819" s="2">
        <f ca="1">IFERROR(__xludf.DUMMYFUNCTION("""COMPUTED_VALUE"""),54.846)</f>
        <v>54.845999999999997</v>
      </c>
      <c r="I819" s="2">
        <f ca="1">IFERROR(__xludf.DUMMYFUNCTION("""COMPUTED_VALUE"""),53.732)</f>
        <v>53.731999999999999</v>
      </c>
      <c r="J819" s="2">
        <f ca="1">IFERROR(__xludf.DUMMYFUNCTION("""COMPUTED_VALUE"""),42.556)</f>
        <v>42.555999999999997</v>
      </c>
      <c r="K819" s="2">
        <f ca="1">IFERROR(__xludf.DUMMYFUNCTION("""COMPUTED_VALUE"""),56.578)</f>
        <v>56.578000000000003</v>
      </c>
      <c r="L819" s="2">
        <f ca="1">IFERROR(__xludf.DUMMYFUNCTION("""COMPUTED_VALUE"""),10.534)</f>
        <v>10.534000000000001</v>
      </c>
      <c r="M819" s="2">
        <f ca="1">IFERROR(__xludf.DUMMYFUNCTION("""COMPUTED_VALUE"""),15.088)</f>
        <v>15.087999999999999</v>
      </c>
      <c r="U819" s="3" t="e">
        <f ca="1"/>
        <v>#NAME?</v>
      </c>
    </row>
    <row r="820" spans="3:21" ht="12.5" x14ac:dyDescent="0.25">
      <c r="C820" s="4">
        <f ca="1">IFERROR(__xludf.DUMMYFUNCTION("""COMPUTED_VALUE"""),41124.9986111111)</f>
        <v>41124.998611111099</v>
      </c>
      <c r="D820" s="2">
        <f ca="1">IFERROR(__xludf.DUMMYFUNCTION("""COMPUTED_VALUE"""),55.748)</f>
        <v>55.747999999999998</v>
      </c>
      <c r="E820" s="2">
        <f ca="1">IFERROR(__xludf.DUMMYFUNCTION("""COMPUTED_VALUE"""),67.3)</f>
        <v>67.3</v>
      </c>
      <c r="F820" s="2">
        <f ca="1">IFERROR(__xludf.DUMMYFUNCTION("""COMPUTED_VALUE"""),86.536)</f>
        <v>86.536000000000001</v>
      </c>
      <c r="G820" s="2">
        <f ca="1">IFERROR(__xludf.DUMMYFUNCTION("""COMPUTED_VALUE"""),0.67265)</f>
        <v>0.67264999999999997</v>
      </c>
      <c r="H820" s="2">
        <f ca="1">IFERROR(__xludf.DUMMYFUNCTION("""COMPUTED_VALUE"""),54.846)</f>
        <v>54.845999999999997</v>
      </c>
      <c r="I820" s="2">
        <f ca="1">IFERROR(__xludf.DUMMYFUNCTION("""COMPUTED_VALUE"""),53.732)</f>
        <v>53.731999999999999</v>
      </c>
      <c r="J820" s="2">
        <f ca="1">IFERROR(__xludf.DUMMYFUNCTION("""COMPUTED_VALUE"""),42.517)</f>
        <v>42.517000000000003</v>
      </c>
      <c r="K820" s="2">
        <f ca="1">IFERROR(__xludf.DUMMYFUNCTION("""COMPUTED_VALUE"""),56.637)</f>
        <v>56.637</v>
      </c>
      <c r="L820" s="2">
        <f ca="1">IFERROR(__xludf.DUMMYFUNCTION("""COMPUTED_VALUE"""),10.533)</f>
        <v>10.532999999999999</v>
      </c>
      <c r="M820" s="2">
        <f ca="1">IFERROR(__xludf.DUMMYFUNCTION("""COMPUTED_VALUE"""),15.047)</f>
        <v>15.047000000000001</v>
      </c>
      <c r="U820" s="3" t="e">
        <f ca="1"/>
        <v>#NAME?</v>
      </c>
    </row>
    <row r="821" spans="3:21" ht="12.5" x14ac:dyDescent="0.25">
      <c r="C821" s="4">
        <f ca="1">IFERROR(__xludf.DUMMYFUNCTION("""COMPUTED_VALUE"""),41125.9986111111)</f>
        <v>41125.998611111099</v>
      </c>
      <c r="D821" s="2">
        <f ca="1">IFERROR(__xludf.DUMMYFUNCTION("""COMPUTED_VALUE"""),55.748)</f>
        <v>55.747999999999998</v>
      </c>
      <c r="E821" s="2">
        <f ca="1">IFERROR(__xludf.DUMMYFUNCTION("""COMPUTED_VALUE"""),67.589)</f>
        <v>67.588999999999999</v>
      </c>
      <c r="F821" s="2">
        <f ca="1">IFERROR(__xludf.DUMMYFUNCTION("""COMPUTED_VALUE"""),86.327)</f>
        <v>86.326999999999998</v>
      </c>
      <c r="G821" s="2">
        <f ca="1">IFERROR(__xludf.DUMMYFUNCTION("""COMPUTED_VALUE"""),0.67819)</f>
        <v>0.67818999999999996</v>
      </c>
      <c r="H821" s="2">
        <f ca="1">IFERROR(__xludf.DUMMYFUNCTION("""COMPUTED_VALUE"""),54.215)</f>
        <v>54.215000000000003</v>
      </c>
      <c r="I821" s="2">
        <f ca="1">IFERROR(__xludf.DUMMYFUNCTION("""COMPUTED_VALUE"""),53.732)</f>
        <v>53.731999999999999</v>
      </c>
      <c r="J821" s="2">
        <f ca="1">IFERROR(__xludf.DUMMYFUNCTION("""COMPUTED_VALUE"""),42.331)</f>
        <v>42.331000000000003</v>
      </c>
      <c r="K821" s="2">
        <f ca="1">IFERROR(__xludf.DUMMYFUNCTION("""COMPUTED_VALUE"""),56.742)</f>
        <v>56.741999999999997</v>
      </c>
      <c r="L821" s="2">
        <f ca="1">IFERROR(__xludf.DUMMYFUNCTION("""COMPUTED_VALUE"""),10.575)</f>
        <v>10.574999999999999</v>
      </c>
      <c r="M821" s="2">
        <f ca="1">IFERROR(__xludf.DUMMYFUNCTION("""COMPUTED_VALUE"""),15.05)</f>
        <v>15.05</v>
      </c>
      <c r="U821" s="3" t="e">
        <f ca="1"/>
        <v>#NAME?</v>
      </c>
    </row>
    <row r="822" spans="3:21" ht="12.5" x14ac:dyDescent="0.25">
      <c r="C822" s="4">
        <f ca="1">IFERROR(__xludf.DUMMYFUNCTION("""COMPUTED_VALUE"""),41127.9986111111)</f>
        <v>41127.998611111099</v>
      </c>
      <c r="D822" s="2">
        <f ca="1">IFERROR(__xludf.DUMMYFUNCTION("""COMPUTED_VALUE"""),55.518)</f>
        <v>55.518000000000001</v>
      </c>
      <c r="E822" s="2">
        <f ca="1">IFERROR(__xludf.DUMMYFUNCTION("""COMPUTED_VALUE"""),67.589)</f>
        <v>67.588999999999999</v>
      </c>
      <c r="F822" s="2">
        <f ca="1">IFERROR(__xludf.DUMMYFUNCTION("""COMPUTED_VALUE"""),86.421)</f>
        <v>86.421000000000006</v>
      </c>
      <c r="G822" s="2">
        <f ca="1">IFERROR(__xludf.DUMMYFUNCTION("""COMPUTED_VALUE"""),0.67862)</f>
        <v>0.67862</v>
      </c>
      <c r="H822" s="2">
        <f ca="1">IFERROR(__xludf.DUMMYFUNCTION("""COMPUTED_VALUE"""),53.686)</f>
        <v>53.686</v>
      </c>
      <c r="I822" s="2">
        <f ca="1">IFERROR(__xludf.DUMMYFUNCTION("""COMPUTED_VALUE"""),53.307)</f>
        <v>53.307000000000002</v>
      </c>
      <c r="J822" s="2">
        <f ca="1">IFERROR(__xludf.DUMMYFUNCTION("""COMPUTED_VALUE"""),42.056)</f>
        <v>42.055999999999997</v>
      </c>
      <c r="K822" s="2">
        <f ca="1">IFERROR(__xludf.DUMMYFUNCTION("""COMPUTED_VALUE"""),57.195)</f>
        <v>57.195</v>
      </c>
      <c r="L822" s="2">
        <f ca="1">IFERROR(__xludf.DUMMYFUNCTION("""COMPUTED_VALUE"""),10.58)</f>
        <v>10.58</v>
      </c>
      <c r="M822" s="2">
        <f ca="1">IFERROR(__xludf.DUMMYFUNCTION("""COMPUTED_VALUE"""),15.05)</f>
        <v>15.05</v>
      </c>
      <c r="U822" s="3" t="e">
        <f ca="1"/>
        <v>#NAME?</v>
      </c>
    </row>
    <row r="823" spans="3:21" ht="12.5" x14ac:dyDescent="0.25">
      <c r="C823" s="4">
        <f ca="1">IFERROR(__xludf.DUMMYFUNCTION("""COMPUTED_VALUE"""),41128.9986111111)</f>
        <v>41128.998611111099</v>
      </c>
      <c r="D823" s="2">
        <f ca="1">IFERROR(__xludf.DUMMYFUNCTION("""COMPUTED_VALUE"""),54.9)</f>
        <v>54.9</v>
      </c>
      <c r="E823" s="2">
        <f ca="1">IFERROR(__xludf.DUMMYFUNCTION("""COMPUTED_VALUE"""),67.587)</f>
        <v>67.587000000000003</v>
      </c>
      <c r="F823" s="2">
        <f ca="1">IFERROR(__xludf.DUMMYFUNCTION("""COMPUTED_VALUE"""),86.722)</f>
        <v>86.721999999999994</v>
      </c>
      <c r="G823" s="2">
        <f ca="1">IFERROR(__xludf.DUMMYFUNCTION("""COMPUTED_VALUE"""),0.67862)</f>
        <v>0.67862</v>
      </c>
      <c r="H823" s="2">
        <f ca="1">IFERROR(__xludf.DUMMYFUNCTION("""COMPUTED_VALUE"""),53.305)</f>
        <v>53.305</v>
      </c>
      <c r="I823" s="2">
        <f ca="1">IFERROR(__xludf.DUMMYFUNCTION("""COMPUTED_VALUE"""),53.194)</f>
        <v>53.194000000000003</v>
      </c>
      <c r="J823" s="2">
        <f ca="1">IFERROR(__xludf.DUMMYFUNCTION("""COMPUTED_VALUE"""),42.169)</f>
        <v>42.168999999999997</v>
      </c>
      <c r="K823" s="2">
        <f ca="1">IFERROR(__xludf.DUMMYFUNCTION("""COMPUTED_VALUE"""),56.429)</f>
        <v>56.429000000000002</v>
      </c>
      <c r="L823" s="2">
        <f ca="1">IFERROR(__xludf.DUMMYFUNCTION("""COMPUTED_VALUE"""),10.626)</f>
        <v>10.625999999999999</v>
      </c>
      <c r="M823" s="2">
        <f ca="1">IFERROR(__xludf.DUMMYFUNCTION("""COMPUTED_VALUE"""),15.05)</f>
        <v>15.05</v>
      </c>
      <c r="U823" s="3" t="e">
        <f ca="1"/>
        <v>#NAME?</v>
      </c>
    </row>
    <row r="824" spans="3:21" ht="12.5" x14ac:dyDescent="0.25">
      <c r="C824" s="4">
        <f ca="1">IFERROR(__xludf.DUMMYFUNCTION("""COMPUTED_VALUE"""),41129.9986111111)</f>
        <v>41129.998611111099</v>
      </c>
      <c r="D824" s="2">
        <f ca="1">IFERROR(__xludf.DUMMYFUNCTION("""COMPUTED_VALUE"""),55.418)</f>
        <v>55.417999999999999</v>
      </c>
      <c r="E824" s="2">
        <f ca="1">IFERROR(__xludf.DUMMYFUNCTION("""COMPUTED_VALUE"""),68.177)</f>
        <v>68.177000000000007</v>
      </c>
      <c r="F824" s="2">
        <f ca="1">IFERROR(__xludf.DUMMYFUNCTION("""COMPUTED_VALUE"""),86.9)</f>
        <v>86.9</v>
      </c>
      <c r="G824" s="2">
        <f ca="1">IFERROR(__xludf.DUMMYFUNCTION("""COMPUTED_VALUE"""),0.66812)</f>
        <v>0.66812000000000005</v>
      </c>
      <c r="H824" s="2">
        <f ca="1">IFERROR(__xludf.DUMMYFUNCTION("""COMPUTED_VALUE"""),52.955)</f>
        <v>52.954999999999998</v>
      </c>
      <c r="I824" s="2">
        <f ca="1">IFERROR(__xludf.DUMMYFUNCTION("""COMPUTED_VALUE"""),52.818)</f>
        <v>52.817999999999998</v>
      </c>
      <c r="J824" s="2">
        <f ca="1">IFERROR(__xludf.DUMMYFUNCTION("""COMPUTED_VALUE"""),42.169)</f>
        <v>42.168999999999997</v>
      </c>
      <c r="K824" s="2">
        <f ca="1">IFERROR(__xludf.DUMMYFUNCTION("""COMPUTED_VALUE"""),56.652)</f>
        <v>56.652000000000001</v>
      </c>
      <c r="L824" s="2">
        <f ca="1">IFERROR(__xludf.DUMMYFUNCTION("""COMPUTED_VALUE"""),10.597)</f>
        <v>10.597</v>
      </c>
      <c r="M824" s="2">
        <f ca="1">IFERROR(__xludf.DUMMYFUNCTION("""COMPUTED_VALUE"""),15.066)</f>
        <v>15.066000000000001</v>
      </c>
      <c r="U824" s="3" t="e">
        <f ca="1"/>
        <v>#NAME?</v>
      </c>
    </row>
    <row r="825" spans="3:21" ht="12.5" x14ac:dyDescent="0.25">
      <c r="C825" s="4">
        <f ca="1">IFERROR(__xludf.DUMMYFUNCTION("""COMPUTED_VALUE"""),41130.9986111111)</f>
        <v>41130.998611111099</v>
      </c>
      <c r="D825" s="2">
        <f ca="1">IFERROR(__xludf.DUMMYFUNCTION("""COMPUTED_VALUE"""),55.268)</f>
        <v>55.268000000000001</v>
      </c>
      <c r="E825" s="2">
        <f ca="1">IFERROR(__xludf.DUMMYFUNCTION("""COMPUTED_VALUE"""),67.798)</f>
        <v>67.798000000000002</v>
      </c>
      <c r="F825" s="2">
        <f ca="1">IFERROR(__xludf.DUMMYFUNCTION("""COMPUTED_VALUE"""),86.901)</f>
        <v>86.900999999999996</v>
      </c>
      <c r="G825" s="2">
        <f ca="1">IFERROR(__xludf.DUMMYFUNCTION("""COMPUTED_VALUE"""),0.67187)</f>
        <v>0.67186999999999997</v>
      </c>
      <c r="H825" s="2">
        <f ca="1">IFERROR(__xludf.DUMMYFUNCTION("""COMPUTED_VALUE"""),52.87)</f>
        <v>52.87</v>
      </c>
      <c r="I825" s="2">
        <f ca="1">IFERROR(__xludf.DUMMYFUNCTION("""COMPUTED_VALUE"""),52.702)</f>
        <v>52.701999999999998</v>
      </c>
      <c r="J825" s="2">
        <f ca="1">IFERROR(__xludf.DUMMYFUNCTION("""COMPUTED_VALUE"""),42.17)</f>
        <v>42.17</v>
      </c>
      <c r="K825" s="2">
        <f ca="1">IFERROR(__xludf.DUMMYFUNCTION("""COMPUTED_VALUE"""),56.788)</f>
        <v>56.787999999999997</v>
      </c>
      <c r="L825" s="2">
        <f ca="1">IFERROR(__xludf.DUMMYFUNCTION("""COMPUTED_VALUE"""),10.646)</f>
        <v>10.646000000000001</v>
      </c>
      <c r="M825" s="2">
        <f ca="1">IFERROR(__xludf.DUMMYFUNCTION("""COMPUTED_VALUE"""),15.151)</f>
        <v>15.151</v>
      </c>
      <c r="U825" s="3" t="e">
        <f ca="1"/>
        <v>#NAME?</v>
      </c>
    </row>
    <row r="826" spans="3:21" ht="12.5" x14ac:dyDescent="0.25">
      <c r="C826" s="4">
        <f ca="1">IFERROR(__xludf.DUMMYFUNCTION("""COMPUTED_VALUE"""),41131.9986111111)</f>
        <v>41131.998611111099</v>
      </c>
      <c r="D826" s="2">
        <f ca="1">IFERROR(__xludf.DUMMYFUNCTION("""COMPUTED_VALUE"""),55.278)</f>
        <v>55.277999999999999</v>
      </c>
      <c r="E826" s="2">
        <f ca="1">IFERROR(__xludf.DUMMYFUNCTION("""COMPUTED_VALUE"""),68.081)</f>
        <v>68.081000000000003</v>
      </c>
      <c r="F826" s="2">
        <f ca="1">IFERROR(__xludf.DUMMYFUNCTION("""COMPUTED_VALUE"""),87.021)</f>
        <v>87.021000000000001</v>
      </c>
      <c r="G826" s="2">
        <f ca="1">IFERROR(__xludf.DUMMYFUNCTION("""COMPUTED_VALUE"""),0.67243)</f>
        <v>0.67242999999999997</v>
      </c>
      <c r="H826" s="2">
        <f ca="1">IFERROR(__xludf.DUMMYFUNCTION("""COMPUTED_VALUE"""),52.87)</f>
        <v>52.87</v>
      </c>
      <c r="I826" s="2">
        <f ca="1">IFERROR(__xludf.DUMMYFUNCTION("""COMPUTED_VALUE"""),52.99)</f>
        <v>52.99</v>
      </c>
      <c r="J826" s="2">
        <f ca="1">IFERROR(__xludf.DUMMYFUNCTION("""COMPUTED_VALUE"""),42.729)</f>
        <v>42.728999999999999</v>
      </c>
      <c r="K826" s="2">
        <f ca="1">IFERROR(__xludf.DUMMYFUNCTION("""COMPUTED_VALUE"""),56.18)</f>
        <v>56.18</v>
      </c>
      <c r="L826" s="2">
        <f ca="1">IFERROR(__xludf.DUMMYFUNCTION("""COMPUTED_VALUE"""),10.656)</f>
        <v>10.656000000000001</v>
      </c>
      <c r="M826" s="2">
        <f ca="1">IFERROR(__xludf.DUMMYFUNCTION("""COMPUTED_VALUE"""),15.15)</f>
        <v>15.15</v>
      </c>
      <c r="U826" s="3" t="e">
        <f ca="1"/>
        <v>#NAME?</v>
      </c>
    </row>
    <row r="827" spans="3:21" ht="12.5" x14ac:dyDescent="0.25">
      <c r="C827" s="4">
        <f ca="1">IFERROR(__xludf.DUMMYFUNCTION("""COMPUTED_VALUE"""),41132.9986111111)</f>
        <v>41132.998611111099</v>
      </c>
      <c r="D827" s="2">
        <f ca="1">IFERROR(__xludf.DUMMYFUNCTION("""COMPUTED_VALUE"""),55.278)</f>
        <v>55.277999999999999</v>
      </c>
      <c r="E827" s="2">
        <f ca="1">IFERROR(__xludf.DUMMYFUNCTION("""COMPUTED_VALUE"""),68.016)</f>
        <v>68.016000000000005</v>
      </c>
      <c r="F827" s="2">
        <f ca="1">IFERROR(__xludf.DUMMYFUNCTION("""COMPUTED_VALUE"""),86.992)</f>
        <v>86.992000000000004</v>
      </c>
      <c r="G827" s="2">
        <f ca="1">IFERROR(__xludf.DUMMYFUNCTION("""COMPUTED_VALUE"""),0.6662)</f>
        <v>0.66620000000000001</v>
      </c>
      <c r="H827" s="2">
        <f ca="1">IFERROR(__xludf.DUMMYFUNCTION("""COMPUTED_VALUE"""),52.872)</f>
        <v>52.872</v>
      </c>
      <c r="I827" s="2">
        <f ca="1">IFERROR(__xludf.DUMMYFUNCTION("""COMPUTED_VALUE"""),52.99)</f>
        <v>52.99</v>
      </c>
      <c r="J827" s="2">
        <f ca="1">IFERROR(__xludf.DUMMYFUNCTION("""COMPUTED_VALUE"""),42.771)</f>
        <v>42.771000000000001</v>
      </c>
      <c r="K827" s="2">
        <f ca="1">IFERROR(__xludf.DUMMYFUNCTION("""COMPUTED_VALUE"""),56.2)</f>
        <v>56.2</v>
      </c>
      <c r="L827" s="2">
        <f ca="1">IFERROR(__xludf.DUMMYFUNCTION("""COMPUTED_VALUE"""),10.627)</f>
        <v>10.627000000000001</v>
      </c>
      <c r="M827" s="2">
        <f ca="1">IFERROR(__xludf.DUMMYFUNCTION("""COMPUTED_VALUE"""),15.142)</f>
        <v>15.141999999999999</v>
      </c>
      <c r="U827" s="3" t="e">
        <f ca="1"/>
        <v>#NAME?</v>
      </c>
    </row>
    <row r="828" spans="3:21" ht="12.5" x14ac:dyDescent="0.25">
      <c r="C828" s="4">
        <f ca="1">IFERROR(__xludf.DUMMYFUNCTION("""COMPUTED_VALUE"""),41134.9986111111)</f>
        <v>41134.998611111099</v>
      </c>
      <c r="D828" s="2">
        <f ca="1">IFERROR(__xludf.DUMMYFUNCTION("""COMPUTED_VALUE"""),55.338)</f>
        <v>55.338000000000001</v>
      </c>
      <c r="E828" s="2">
        <f ca="1">IFERROR(__xludf.DUMMYFUNCTION("""COMPUTED_VALUE"""),68.315)</f>
        <v>68.314999999999998</v>
      </c>
      <c r="F828" s="2">
        <f ca="1">IFERROR(__xludf.DUMMYFUNCTION("""COMPUTED_VALUE"""),86.992)</f>
        <v>86.992000000000004</v>
      </c>
      <c r="G828" s="2">
        <f ca="1">IFERROR(__xludf.DUMMYFUNCTION("""COMPUTED_VALUE"""),0.67182)</f>
        <v>0.67181999999999997</v>
      </c>
      <c r="H828" s="2">
        <f ca="1">IFERROR(__xludf.DUMMYFUNCTION("""COMPUTED_VALUE"""),53.626)</f>
        <v>53.625999999999998</v>
      </c>
      <c r="I828" s="2">
        <f ca="1">IFERROR(__xludf.DUMMYFUNCTION("""COMPUTED_VALUE"""),52.991)</f>
        <v>52.991</v>
      </c>
      <c r="J828" s="2">
        <f ca="1">IFERROR(__xludf.DUMMYFUNCTION("""COMPUTED_VALUE"""),43.058)</f>
        <v>43.058</v>
      </c>
      <c r="K828" s="2">
        <f ca="1">IFERROR(__xludf.DUMMYFUNCTION("""COMPUTED_VALUE"""),56.16)</f>
        <v>56.16</v>
      </c>
      <c r="L828" s="2">
        <f ca="1">IFERROR(__xludf.DUMMYFUNCTION("""COMPUTED_VALUE"""),10.632)</f>
        <v>10.632</v>
      </c>
      <c r="M828" s="2">
        <f ca="1">IFERROR(__xludf.DUMMYFUNCTION("""COMPUTED_VALUE"""),15.172)</f>
        <v>15.172000000000001</v>
      </c>
      <c r="U828" s="3" t="e">
        <f ca="1"/>
        <v>#NAME?</v>
      </c>
    </row>
    <row r="829" spans="3:21" ht="12.5" x14ac:dyDescent="0.25">
      <c r="C829" s="4">
        <f ca="1">IFERROR(__xludf.DUMMYFUNCTION("""COMPUTED_VALUE"""),41135.9986111111)</f>
        <v>41135.998611111099</v>
      </c>
      <c r="D829" s="2">
        <f ca="1">IFERROR(__xludf.DUMMYFUNCTION("""COMPUTED_VALUE"""),55.648)</f>
        <v>55.648000000000003</v>
      </c>
      <c r="E829" s="2">
        <f ca="1">IFERROR(__xludf.DUMMYFUNCTION("""COMPUTED_VALUE"""),68.396)</f>
        <v>68.396000000000001</v>
      </c>
      <c r="F829" s="2">
        <f ca="1">IFERROR(__xludf.DUMMYFUNCTION("""COMPUTED_VALUE"""),86.994)</f>
        <v>86.994</v>
      </c>
      <c r="G829" s="2">
        <f ca="1">IFERROR(__xludf.DUMMYFUNCTION("""COMPUTED_VALUE"""),0.67225)</f>
        <v>0.67225000000000001</v>
      </c>
      <c r="H829" s="2">
        <f ca="1">IFERROR(__xludf.DUMMYFUNCTION("""COMPUTED_VALUE"""),53.757)</f>
        <v>53.756999999999998</v>
      </c>
      <c r="I829" s="2">
        <f ca="1">IFERROR(__xludf.DUMMYFUNCTION("""COMPUTED_VALUE"""),53.806)</f>
        <v>53.805999999999997</v>
      </c>
      <c r="J829" s="2">
        <f ca="1">IFERROR(__xludf.DUMMYFUNCTION("""COMPUTED_VALUE"""),42.824)</f>
        <v>42.823999999999998</v>
      </c>
      <c r="K829" s="2">
        <f ca="1">IFERROR(__xludf.DUMMYFUNCTION("""COMPUTED_VALUE"""),56.291)</f>
        <v>56.290999999999997</v>
      </c>
      <c r="L829" s="2">
        <f ca="1">IFERROR(__xludf.DUMMYFUNCTION("""COMPUTED_VALUE"""),10.648)</f>
        <v>10.648</v>
      </c>
      <c r="M829" s="2">
        <f ca="1">IFERROR(__xludf.DUMMYFUNCTION("""COMPUTED_VALUE"""),15.172)</f>
        <v>15.172000000000001</v>
      </c>
      <c r="U829" s="3" t="e">
        <f ca="1"/>
        <v>#NAME?</v>
      </c>
    </row>
    <row r="830" spans="3:21" ht="12.5" x14ac:dyDescent="0.25">
      <c r="C830" s="4">
        <f ca="1">IFERROR(__xludf.DUMMYFUNCTION("""COMPUTED_VALUE"""),41136.9986111111)</f>
        <v>41136.998611111099</v>
      </c>
      <c r="D830" s="2">
        <f ca="1">IFERROR(__xludf.DUMMYFUNCTION("""COMPUTED_VALUE"""),55.648)</f>
        <v>55.648000000000003</v>
      </c>
      <c r="E830" s="2">
        <f ca="1">IFERROR(__xludf.DUMMYFUNCTION("""COMPUTED_VALUE"""),68.396)</f>
        <v>68.396000000000001</v>
      </c>
      <c r="F830" s="2">
        <f ca="1">IFERROR(__xludf.DUMMYFUNCTION("""COMPUTED_VALUE"""),86.993)</f>
        <v>86.992999999999995</v>
      </c>
      <c r="G830" s="2">
        <f ca="1">IFERROR(__xludf.DUMMYFUNCTION("""COMPUTED_VALUE"""),0.67732)</f>
        <v>0.67732000000000003</v>
      </c>
      <c r="H830" s="2">
        <f ca="1">IFERROR(__xludf.DUMMYFUNCTION("""COMPUTED_VALUE"""),54.136)</f>
        <v>54.136000000000003</v>
      </c>
      <c r="I830" s="2">
        <f ca="1">IFERROR(__xludf.DUMMYFUNCTION("""COMPUTED_VALUE"""),53.814)</f>
        <v>53.814</v>
      </c>
      <c r="J830" s="2">
        <f ca="1">IFERROR(__xludf.DUMMYFUNCTION("""COMPUTED_VALUE"""),43.078)</f>
        <v>43.078000000000003</v>
      </c>
      <c r="K830" s="2">
        <f ca="1">IFERROR(__xludf.DUMMYFUNCTION("""COMPUTED_VALUE"""),56.485)</f>
        <v>56.484999999999999</v>
      </c>
      <c r="L830" s="2">
        <f ca="1">IFERROR(__xludf.DUMMYFUNCTION("""COMPUTED_VALUE"""),10.648)</f>
        <v>10.648</v>
      </c>
      <c r="M830" s="2">
        <f ca="1">IFERROR(__xludf.DUMMYFUNCTION("""COMPUTED_VALUE"""),15.172)</f>
        <v>15.172000000000001</v>
      </c>
      <c r="U830" s="3" t="e">
        <f ca="1"/>
        <v>#NAME?</v>
      </c>
    </row>
    <row r="831" spans="3:21" ht="12.5" x14ac:dyDescent="0.25">
      <c r="C831" s="4">
        <f ca="1">IFERROR(__xludf.DUMMYFUNCTION("""COMPUTED_VALUE"""),41137.9986111111)</f>
        <v>41137.998611111099</v>
      </c>
      <c r="D831" s="2">
        <f ca="1">IFERROR(__xludf.DUMMYFUNCTION("""COMPUTED_VALUE"""),55.618)</f>
        <v>55.618000000000002</v>
      </c>
      <c r="E831" s="2">
        <f ca="1">IFERROR(__xludf.DUMMYFUNCTION("""COMPUTED_VALUE"""),68.578)</f>
        <v>68.578000000000003</v>
      </c>
      <c r="F831" s="2">
        <f ca="1">IFERROR(__xludf.DUMMYFUNCTION("""COMPUTED_VALUE"""),87.103)</f>
        <v>87.102999999999994</v>
      </c>
      <c r="G831" s="2">
        <f ca="1">IFERROR(__xludf.DUMMYFUNCTION("""COMPUTED_VALUE"""),0.67647)</f>
        <v>0.67647000000000002</v>
      </c>
      <c r="H831" s="2">
        <f ca="1">IFERROR(__xludf.DUMMYFUNCTION("""COMPUTED_VALUE"""),53.945)</f>
        <v>53.945</v>
      </c>
      <c r="I831" s="2">
        <f ca="1">IFERROR(__xludf.DUMMYFUNCTION("""COMPUTED_VALUE"""),53.917)</f>
        <v>53.917000000000002</v>
      </c>
      <c r="J831" s="2">
        <f ca="1">IFERROR(__xludf.DUMMYFUNCTION("""COMPUTED_VALUE"""),43.203)</f>
        <v>43.203000000000003</v>
      </c>
      <c r="K831" s="2">
        <f ca="1">IFERROR(__xludf.DUMMYFUNCTION("""COMPUTED_VALUE"""),56.275)</f>
        <v>56.274999999999999</v>
      </c>
      <c r="L831" s="2">
        <f ca="1">IFERROR(__xludf.DUMMYFUNCTION("""COMPUTED_VALUE"""),10.661)</f>
        <v>10.661</v>
      </c>
      <c r="M831" s="2">
        <f ca="1">IFERROR(__xludf.DUMMYFUNCTION("""COMPUTED_VALUE"""),15.11)</f>
        <v>15.11</v>
      </c>
      <c r="U831" s="3" t="e">
        <f ca="1"/>
        <v>#NAME?</v>
      </c>
    </row>
    <row r="832" spans="3:21" ht="12.5" x14ac:dyDescent="0.25">
      <c r="C832" s="4">
        <f ca="1">IFERROR(__xludf.DUMMYFUNCTION("""COMPUTED_VALUE"""),41138.9986111111)</f>
        <v>41138.998611111099</v>
      </c>
      <c r="D832" s="2">
        <f ca="1">IFERROR(__xludf.DUMMYFUNCTION("""COMPUTED_VALUE"""),55.728)</f>
        <v>55.728000000000002</v>
      </c>
      <c r="E832" s="2">
        <f ca="1">IFERROR(__xludf.DUMMYFUNCTION("""COMPUTED_VALUE"""),69.173)</f>
        <v>69.173000000000002</v>
      </c>
      <c r="F832" s="2">
        <f ca="1">IFERROR(__xludf.DUMMYFUNCTION("""COMPUTED_VALUE"""),86.134)</f>
        <v>86.134</v>
      </c>
      <c r="G832" s="2">
        <f ca="1">IFERROR(__xludf.DUMMYFUNCTION("""COMPUTED_VALUE"""),0.67307)</f>
        <v>0.67306999999999995</v>
      </c>
      <c r="H832" s="2">
        <f ca="1">IFERROR(__xludf.DUMMYFUNCTION("""COMPUTED_VALUE"""),53.874)</f>
        <v>53.874000000000002</v>
      </c>
      <c r="I832" s="2">
        <f ca="1">IFERROR(__xludf.DUMMYFUNCTION("""COMPUTED_VALUE"""),53.738)</f>
        <v>53.738</v>
      </c>
      <c r="J832" s="2">
        <f ca="1">IFERROR(__xludf.DUMMYFUNCTION("""COMPUTED_VALUE"""),43.203)</f>
        <v>43.203000000000003</v>
      </c>
      <c r="K832" s="2">
        <f ca="1">IFERROR(__xludf.DUMMYFUNCTION("""COMPUTED_VALUE"""),55.933)</f>
        <v>55.933</v>
      </c>
      <c r="L832" s="2">
        <f ca="1">IFERROR(__xludf.DUMMYFUNCTION("""COMPUTED_VALUE"""),10.676)</f>
        <v>10.676</v>
      </c>
      <c r="M832" s="2">
        <f ca="1">IFERROR(__xludf.DUMMYFUNCTION("""COMPUTED_VALUE"""),15.108)</f>
        <v>15.108000000000001</v>
      </c>
      <c r="U832" s="3" t="e">
        <f ca="1"/>
        <v>#NAME?</v>
      </c>
    </row>
    <row r="833" spans="3:21" ht="12.5" x14ac:dyDescent="0.25">
      <c r="C833" s="4">
        <f ca="1">IFERROR(__xludf.DUMMYFUNCTION("""COMPUTED_VALUE"""),41139.9986111111)</f>
        <v>41139.998611111099</v>
      </c>
      <c r="D833" s="2">
        <f ca="1">IFERROR(__xludf.DUMMYFUNCTION("""COMPUTED_VALUE"""),55.728)</f>
        <v>55.728000000000002</v>
      </c>
      <c r="E833" s="2">
        <f ca="1">IFERROR(__xludf.DUMMYFUNCTION("""COMPUTED_VALUE"""),69.25)</f>
        <v>69.25</v>
      </c>
      <c r="F833" s="2">
        <f ca="1">IFERROR(__xludf.DUMMYFUNCTION("""COMPUTED_VALUE"""),86.527)</f>
        <v>86.527000000000001</v>
      </c>
      <c r="G833" s="2">
        <f ca="1">IFERROR(__xludf.DUMMYFUNCTION("""COMPUTED_VALUE"""),0.66823)</f>
        <v>0.66822999999999999</v>
      </c>
      <c r="H833" s="2">
        <f ca="1">IFERROR(__xludf.DUMMYFUNCTION("""COMPUTED_VALUE"""),54.039)</f>
        <v>54.039000000000001</v>
      </c>
      <c r="I833" s="2">
        <f ca="1">IFERROR(__xludf.DUMMYFUNCTION("""COMPUTED_VALUE"""),53.722)</f>
        <v>53.722000000000001</v>
      </c>
      <c r="J833" s="2">
        <f ca="1">IFERROR(__xludf.DUMMYFUNCTION("""COMPUTED_VALUE"""),43.326)</f>
        <v>43.326000000000001</v>
      </c>
      <c r="K833" s="2">
        <f ca="1">IFERROR(__xludf.DUMMYFUNCTION("""COMPUTED_VALUE"""),56.022)</f>
        <v>56.021999999999998</v>
      </c>
      <c r="L833" s="2">
        <f ca="1">IFERROR(__xludf.DUMMYFUNCTION("""COMPUTED_VALUE"""),10.684)</f>
        <v>10.683999999999999</v>
      </c>
      <c r="M833" s="2">
        <f ca="1">IFERROR(__xludf.DUMMYFUNCTION("""COMPUTED_VALUE"""),15.044)</f>
        <v>15.044</v>
      </c>
      <c r="U833" s="3" t="e">
        <f ca="1"/>
        <v>#NAME?</v>
      </c>
    </row>
    <row r="834" spans="3:21" ht="12.5" x14ac:dyDescent="0.25">
      <c r="C834" s="4">
        <f ca="1">IFERROR(__xludf.DUMMYFUNCTION("""COMPUTED_VALUE"""),41140.9986111111)</f>
        <v>41140.998611111099</v>
      </c>
      <c r="D834" s="2">
        <f ca="1">IFERROR(__xludf.DUMMYFUNCTION("""COMPUTED_VALUE"""),55.728)</f>
        <v>55.728000000000002</v>
      </c>
      <c r="E834" s="2">
        <f ca="1">IFERROR(__xludf.DUMMYFUNCTION("""COMPUTED_VALUE"""),69.757)</f>
        <v>69.757000000000005</v>
      </c>
      <c r="F834" s="2">
        <f ca="1">IFERROR(__xludf.DUMMYFUNCTION("""COMPUTED_VALUE"""),87.123)</f>
        <v>87.123000000000005</v>
      </c>
      <c r="G834" s="2">
        <f ca="1">IFERROR(__xludf.DUMMYFUNCTION("""COMPUTED_VALUE"""),0.66848)</f>
        <v>0.66847999999999996</v>
      </c>
      <c r="H834" s="2">
        <f ca="1">IFERROR(__xludf.DUMMYFUNCTION("""COMPUTED_VALUE"""),54.039)</f>
        <v>54.039000000000001</v>
      </c>
      <c r="I834" s="2">
        <f ca="1">IFERROR(__xludf.DUMMYFUNCTION("""COMPUTED_VALUE"""),53.9)</f>
        <v>53.9</v>
      </c>
      <c r="J834" s="2">
        <f ca="1">IFERROR(__xludf.DUMMYFUNCTION("""COMPUTED_VALUE"""),43.327)</f>
        <v>43.326999999999998</v>
      </c>
      <c r="K834" s="2">
        <f ca="1">IFERROR(__xludf.DUMMYFUNCTION("""COMPUTED_VALUE"""),56.411)</f>
        <v>56.411000000000001</v>
      </c>
      <c r="L834" s="2">
        <f ca="1">IFERROR(__xludf.DUMMYFUNCTION("""COMPUTED_VALUE"""),10.695)</f>
        <v>10.695</v>
      </c>
      <c r="M834" s="2">
        <f ca="1">IFERROR(__xludf.DUMMYFUNCTION("""COMPUTED_VALUE"""),15.109)</f>
        <v>15.109</v>
      </c>
      <c r="U834" s="3" t="e">
        <f ca="1"/>
        <v>#NAME?</v>
      </c>
    </row>
    <row r="835" spans="3:21" ht="12.5" x14ac:dyDescent="0.25">
      <c r="C835" s="4">
        <f ca="1">IFERROR(__xludf.DUMMYFUNCTION("""COMPUTED_VALUE"""),41141.9986111111)</f>
        <v>41141.998611111099</v>
      </c>
      <c r="D835" s="2">
        <f ca="1">IFERROR(__xludf.DUMMYFUNCTION("""COMPUTED_VALUE"""),55.498)</f>
        <v>55.497999999999998</v>
      </c>
      <c r="E835" s="2">
        <f ca="1">IFERROR(__xludf.DUMMYFUNCTION("""COMPUTED_VALUE"""),70.04)</f>
        <v>70.040000000000006</v>
      </c>
      <c r="F835" s="2">
        <f ca="1">IFERROR(__xludf.DUMMYFUNCTION("""COMPUTED_VALUE"""),87.124)</f>
        <v>87.123999999999995</v>
      </c>
      <c r="G835" s="2">
        <f ca="1">IFERROR(__xludf.DUMMYFUNCTION("""COMPUTED_VALUE"""),0.6688)</f>
        <v>0.66879999999999995</v>
      </c>
      <c r="H835" s="2">
        <f ca="1">IFERROR(__xludf.DUMMYFUNCTION("""COMPUTED_VALUE"""),54.275)</f>
        <v>54.274999999999999</v>
      </c>
      <c r="I835" s="2">
        <f ca="1">IFERROR(__xludf.DUMMYFUNCTION("""COMPUTED_VALUE"""),53.819)</f>
        <v>53.819000000000003</v>
      </c>
      <c r="J835" s="2">
        <f ca="1">IFERROR(__xludf.DUMMYFUNCTION("""COMPUTED_VALUE"""),43.402)</f>
        <v>43.402000000000001</v>
      </c>
      <c r="K835" s="2">
        <f ca="1">IFERROR(__xludf.DUMMYFUNCTION("""COMPUTED_VALUE"""),56.294)</f>
        <v>56.293999999999997</v>
      </c>
      <c r="L835" s="2">
        <f ca="1">IFERROR(__xludf.DUMMYFUNCTION("""COMPUTED_VALUE"""),10.586)</f>
        <v>10.586</v>
      </c>
      <c r="M835" s="2">
        <f ca="1">IFERROR(__xludf.DUMMYFUNCTION("""COMPUTED_VALUE"""),15.109)</f>
        <v>15.109</v>
      </c>
      <c r="U835" s="3" t="e">
        <f ca="1"/>
        <v>#NAME?</v>
      </c>
    </row>
    <row r="836" spans="3:21" ht="12.5" x14ac:dyDescent="0.25">
      <c r="C836" s="4">
        <f ca="1">IFERROR(__xludf.DUMMYFUNCTION("""COMPUTED_VALUE"""),41142.9986111111)</f>
        <v>41142.998611111099</v>
      </c>
      <c r="D836" s="2">
        <f ca="1">IFERROR(__xludf.DUMMYFUNCTION("""COMPUTED_VALUE"""),55.57)</f>
        <v>55.57</v>
      </c>
      <c r="E836" s="2">
        <f ca="1">IFERROR(__xludf.DUMMYFUNCTION("""COMPUTED_VALUE"""),70.04)</f>
        <v>70.040000000000006</v>
      </c>
      <c r="F836" s="2">
        <f ca="1">IFERROR(__xludf.DUMMYFUNCTION("""COMPUTED_VALUE"""),87.124)</f>
        <v>87.123999999999995</v>
      </c>
      <c r="G836" s="2">
        <f ca="1">IFERROR(__xludf.DUMMYFUNCTION("""COMPUTED_VALUE"""),0.6688)</f>
        <v>0.66879999999999995</v>
      </c>
      <c r="H836" s="2">
        <f ca="1">IFERROR(__xludf.DUMMYFUNCTION("""COMPUTED_VALUE"""),54.394)</f>
        <v>54.393999999999998</v>
      </c>
      <c r="I836" s="2">
        <f ca="1">IFERROR(__xludf.DUMMYFUNCTION("""COMPUTED_VALUE"""),53.961)</f>
        <v>53.960999999999999</v>
      </c>
      <c r="J836" s="2">
        <f ca="1">IFERROR(__xludf.DUMMYFUNCTION("""COMPUTED_VALUE"""),43.781)</f>
        <v>43.780999999999999</v>
      </c>
      <c r="K836" s="2">
        <f ca="1">IFERROR(__xludf.DUMMYFUNCTION("""COMPUTED_VALUE"""),56.73)</f>
        <v>56.73</v>
      </c>
      <c r="L836" s="2">
        <f ca="1">IFERROR(__xludf.DUMMYFUNCTION("""COMPUTED_VALUE"""),10.522)</f>
        <v>10.522</v>
      </c>
      <c r="M836" s="2">
        <f ca="1">IFERROR(__xludf.DUMMYFUNCTION("""COMPUTED_VALUE"""),15.109)</f>
        <v>15.109</v>
      </c>
      <c r="U836" s="3" t="e">
        <f ca="1"/>
        <v>#NAME?</v>
      </c>
    </row>
    <row r="837" spans="3:21" ht="12.5" x14ac:dyDescent="0.25">
      <c r="C837" s="4">
        <f ca="1">IFERROR(__xludf.DUMMYFUNCTION("""COMPUTED_VALUE"""),41143.9986111111)</f>
        <v>41143.998611111099</v>
      </c>
      <c r="D837" s="2">
        <f ca="1">IFERROR(__xludf.DUMMYFUNCTION("""COMPUTED_VALUE"""),55.493)</f>
        <v>55.493000000000002</v>
      </c>
      <c r="E837" s="2">
        <f ca="1">IFERROR(__xludf.DUMMYFUNCTION("""COMPUTED_VALUE"""),70.041)</f>
        <v>70.040999999999997</v>
      </c>
      <c r="F837" s="2">
        <f ca="1">IFERROR(__xludf.DUMMYFUNCTION("""COMPUTED_VALUE"""),86.481)</f>
        <v>86.480999999999995</v>
      </c>
      <c r="G837" s="2">
        <f ca="1">IFERROR(__xludf.DUMMYFUNCTION("""COMPUTED_VALUE"""),0.68025)</f>
        <v>0.68025000000000002</v>
      </c>
      <c r="H837" s="2">
        <f ca="1">IFERROR(__xludf.DUMMYFUNCTION("""COMPUTED_VALUE"""),54.787)</f>
        <v>54.786999999999999</v>
      </c>
      <c r="I837" s="2">
        <f ca="1">IFERROR(__xludf.DUMMYFUNCTION("""COMPUTED_VALUE"""),53.544)</f>
        <v>53.543999999999997</v>
      </c>
      <c r="J837" s="2">
        <f ca="1">IFERROR(__xludf.DUMMYFUNCTION("""COMPUTED_VALUE"""),44.031)</f>
        <v>44.030999999999999</v>
      </c>
      <c r="K837" s="2">
        <f ca="1">IFERROR(__xludf.DUMMYFUNCTION("""COMPUTED_VALUE"""),56.718)</f>
        <v>56.718000000000004</v>
      </c>
      <c r="L837" s="2">
        <f ca="1">IFERROR(__xludf.DUMMYFUNCTION("""COMPUTED_VALUE"""),10.557)</f>
        <v>10.557</v>
      </c>
      <c r="M837" s="2">
        <f ca="1">IFERROR(__xludf.DUMMYFUNCTION("""COMPUTED_VALUE"""),15.161)</f>
        <v>15.161</v>
      </c>
      <c r="U837" s="3" t="e">
        <f ca="1"/>
        <v>#NAME?</v>
      </c>
    </row>
    <row r="838" spans="3:21" ht="12.5" x14ac:dyDescent="0.25">
      <c r="C838" s="4">
        <f ca="1">IFERROR(__xludf.DUMMYFUNCTION("""COMPUTED_VALUE"""),41144.9986111111)</f>
        <v>41144.998611111099</v>
      </c>
      <c r="D838" s="2">
        <f ca="1">IFERROR(__xludf.DUMMYFUNCTION("""COMPUTED_VALUE"""),55.258)</f>
        <v>55.258000000000003</v>
      </c>
      <c r="E838" s="2">
        <f ca="1">IFERROR(__xludf.DUMMYFUNCTION("""COMPUTED_VALUE"""),69.782)</f>
        <v>69.781999999999996</v>
      </c>
      <c r="F838" s="2">
        <f ca="1">IFERROR(__xludf.DUMMYFUNCTION("""COMPUTED_VALUE"""),85.912)</f>
        <v>85.912000000000006</v>
      </c>
      <c r="G838" s="2">
        <f ca="1">IFERROR(__xludf.DUMMYFUNCTION("""COMPUTED_VALUE"""),0.67701)</f>
        <v>0.67701</v>
      </c>
      <c r="H838" s="2">
        <f ca="1">IFERROR(__xludf.DUMMYFUNCTION("""COMPUTED_VALUE"""),55.374)</f>
        <v>55.374000000000002</v>
      </c>
      <c r="I838" s="2">
        <f ca="1">IFERROR(__xludf.DUMMYFUNCTION("""COMPUTED_VALUE"""),53.986)</f>
        <v>53.985999999999997</v>
      </c>
      <c r="J838" s="2">
        <f ca="1">IFERROR(__xludf.DUMMYFUNCTION("""COMPUTED_VALUE"""),44.032)</f>
        <v>44.031999999999996</v>
      </c>
      <c r="K838" s="2">
        <f ca="1">IFERROR(__xludf.DUMMYFUNCTION("""COMPUTED_VALUE"""),56.601)</f>
        <v>56.600999999999999</v>
      </c>
      <c r="L838" s="2">
        <f ca="1">IFERROR(__xludf.DUMMYFUNCTION("""COMPUTED_VALUE"""),10.494)</f>
        <v>10.494</v>
      </c>
      <c r="M838" s="2">
        <f ca="1">IFERROR(__xludf.DUMMYFUNCTION("""COMPUTED_VALUE"""),15.155)</f>
        <v>15.154999999999999</v>
      </c>
      <c r="U838" s="3" t="e">
        <f ca="1"/>
        <v>#NAME?</v>
      </c>
    </row>
    <row r="839" spans="3:21" ht="12.5" x14ac:dyDescent="0.25">
      <c r="C839" s="4">
        <f ca="1">IFERROR(__xludf.DUMMYFUNCTION("""COMPUTED_VALUE"""),41145.9986111111)</f>
        <v>41145.998611111099</v>
      </c>
      <c r="D839" s="2">
        <f ca="1">IFERROR(__xludf.DUMMYFUNCTION("""COMPUTED_VALUE"""),55.498)</f>
        <v>55.497999999999998</v>
      </c>
      <c r="E839" s="2">
        <f ca="1">IFERROR(__xludf.DUMMYFUNCTION("""COMPUTED_VALUE"""),69.669)</f>
        <v>69.668999999999997</v>
      </c>
      <c r="F839" s="2">
        <f ca="1">IFERROR(__xludf.DUMMYFUNCTION("""COMPUTED_VALUE"""),86.682)</f>
        <v>86.682000000000002</v>
      </c>
      <c r="G839" s="2">
        <f ca="1">IFERROR(__xludf.DUMMYFUNCTION("""COMPUTED_VALUE"""),0.67725)</f>
        <v>0.67725000000000002</v>
      </c>
      <c r="H839" s="2">
        <f ca="1">IFERROR(__xludf.DUMMYFUNCTION("""COMPUTED_VALUE"""),55.545)</f>
        <v>55.545000000000002</v>
      </c>
      <c r="I839" s="2">
        <f ca="1">IFERROR(__xludf.DUMMYFUNCTION("""COMPUTED_VALUE"""),54.172)</f>
        <v>54.171999999999997</v>
      </c>
      <c r="J839" s="2">
        <f ca="1">IFERROR(__xludf.DUMMYFUNCTION("""COMPUTED_VALUE"""),44.032)</f>
        <v>44.031999999999996</v>
      </c>
      <c r="K839" s="2">
        <f ca="1">IFERROR(__xludf.DUMMYFUNCTION("""COMPUTED_VALUE"""),56.665)</f>
        <v>56.664999999999999</v>
      </c>
      <c r="L839" s="2">
        <f ca="1">IFERROR(__xludf.DUMMYFUNCTION("""COMPUTED_VALUE"""),10.506)</f>
        <v>10.506</v>
      </c>
      <c r="M839" s="2">
        <f ca="1">IFERROR(__xludf.DUMMYFUNCTION("""COMPUTED_VALUE"""),15.143)</f>
        <v>15.143000000000001</v>
      </c>
      <c r="U839" s="3" t="e">
        <f ca="1"/>
        <v>#NAME?</v>
      </c>
    </row>
    <row r="840" spans="3:21" ht="12.5" x14ac:dyDescent="0.25">
      <c r="C840" s="4">
        <f ca="1">IFERROR(__xludf.DUMMYFUNCTION("""COMPUTED_VALUE"""),41146.9986111111)</f>
        <v>41146.998611111099</v>
      </c>
      <c r="D840" s="2">
        <f ca="1">IFERROR(__xludf.DUMMYFUNCTION("""COMPUTED_VALUE"""),55.498)</f>
        <v>55.497999999999998</v>
      </c>
      <c r="E840" s="2">
        <f ca="1">IFERROR(__xludf.DUMMYFUNCTION("""COMPUTED_VALUE"""),69.597)</f>
        <v>69.596999999999994</v>
      </c>
      <c r="F840" s="2">
        <f ca="1">IFERROR(__xludf.DUMMYFUNCTION("""COMPUTED_VALUE"""),86.309)</f>
        <v>86.308999999999997</v>
      </c>
      <c r="G840" s="2">
        <f ca="1">IFERROR(__xludf.DUMMYFUNCTION("""COMPUTED_VALUE"""),0.6831)</f>
        <v>0.68310000000000004</v>
      </c>
      <c r="H840" s="2">
        <f ca="1">IFERROR(__xludf.DUMMYFUNCTION("""COMPUTED_VALUE"""),55.631)</f>
        <v>55.631</v>
      </c>
      <c r="I840" s="2">
        <f ca="1">IFERROR(__xludf.DUMMYFUNCTION("""COMPUTED_VALUE"""),54.122)</f>
        <v>54.122</v>
      </c>
      <c r="J840" s="2">
        <f ca="1">IFERROR(__xludf.DUMMYFUNCTION("""COMPUTED_VALUE"""),43.749)</f>
        <v>43.749000000000002</v>
      </c>
      <c r="K840" s="2">
        <f ca="1">IFERROR(__xludf.DUMMYFUNCTION("""COMPUTED_VALUE"""),56.502)</f>
        <v>56.502000000000002</v>
      </c>
      <c r="L840" s="2">
        <f ca="1">IFERROR(__xludf.DUMMYFUNCTION("""COMPUTED_VALUE"""),10.423)</f>
        <v>10.423</v>
      </c>
      <c r="M840" s="2">
        <f ca="1">IFERROR(__xludf.DUMMYFUNCTION("""COMPUTED_VALUE"""),15.145)</f>
        <v>15.145</v>
      </c>
      <c r="U840" s="3" t="e">
        <f ca="1"/>
        <v>#NAME?</v>
      </c>
    </row>
    <row r="841" spans="3:21" ht="12.5" x14ac:dyDescent="0.25">
      <c r="C841" s="4">
        <f ca="1">IFERROR(__xludf.DUMMYFUNCTION("""COMPUTED_VALUE"""),41148.9986111111)</f>
        <v>41148.998611111099</v>
      </c>
      <c r="D841" s="2">
        <f ca="1">IFERROR(__xludf.DUMMYFUNCTION("""COMPUTED_VALUE"""),55.688)</f>
        <v>55.688000000000002</v>
      </c>
      <c r="E841" s="2">
        <f ca="1">IFERROR(__xludf.DUMMYFUNCTION("""COMPUTED_VALUE"""),69.215)</f>
        <v>69.215000000000003</v>
      </c>
      <c r="F841" s="2">
        <f ca="1">IFERROR(__xludf.DUMMYFUNCTION("""COMPUTED_VALUE"""),86.63)</f>
        <v>86.63</v>
      </c>
      <c r="G841" s="2">
        <f ca="1">IFERROR(__xludf.DUMMYFUNCTION("""COMPUTED_VALUE"""),0.68671)</f>
        <v>0.68671000000000004</v>
      </c>
      <c r="H841" s="2">
        <f ca="1">IFERROR(__xludf.DUMMYFUNCTION("""COMPUTED_VALUE"""),55.579)</f>
        <v>55.579000000000001</v>
      </c>
      <c r="I841" s="2">
        <f ca="1">IFERROR(__xludf.DUMMYFUNCTION("""COMPUTED_VALUE"""),54.128)</f>
        <v>54.128</v>
      </c>
      <c r="J841" s="2">
        <f ca="1">IFERROR(__xludf.DUMMYFUNCTION("""COMPUTED_VALUE"""),43.802)</f>
        <v>43.802</v>
      </c>
      <c r="K841" s="2">
        <f ca="1">IFERROR(__xludf.DUMMYFUNCTION("""COMPUTED_VALUE"""),56.913)</f>
        <v>56.912999999999997</v>
      </c>
      <c r="L841" s="2">
        <f ca="1">IFERROR(__xludf.DUMMYFUNCTION("""COMPUTED_VALUE"""),10.4)</f>
        <v>10.4</v>
      </c>
      <c r="M841" s="2">
        <f ca="1">IFERROR(__xludf.DUMMYFUNCTION("""COMPUTED_VALUE"""),15.115)</f>
        <v>15.115</v>
      </c>
      <c r="U841" s="3" t="e">
        <f ca="1"/>
        <v>#NAME?</v>
      </c>
    </row>
    <row r="842" spans="3:21" ht="12.5" x14ac:dyDescent="0.25">
      <c r="C842" s="4">
        <f ca="1">IFERROR(__xludf.DUMMYFUNCTION("""COMPUTED_VALUE"""),41149.9986111111)</f>
        <v>41149.998611111099</v>
      </c>
      <c r="D842" s="2">
        <f ca="1">IFERROR(__xludf.DUMMYFUNCTION("""COMPUTED_VALUE"""),55.663)</f>
        <v>55.662999999999997</v>
      </c>
      <c r="E842" s="2">
        <f ca="1">IFERROR(__xludf.DUMMYFUNCTION("""COMPUTED_VALUE"""),69.231)</f>
        <v>69.230999999999995</v>
      </c>
      <c r="F842" s="2">
        <f ca="1">IFERROR(__xludf.DUMMYFUNCTION("""COMPUTED_VALUE"""),86.619)</f>
        <v>86.619</v>
      </c>
      <c r="G842" s="2">
        <f ca="1">IFERROR(__xludf.DUMMYFUNCTION("""COMPUTED_VALUE"""),0.68588)</f>
        <v>0.68588000000000005</v>
      </c>
      <c r="H842" s="2">
        <f ca="1">IFERROR(__xludf.DUMMYFUNCTION("""COMPUTED_VALUE"""),55.177)</f>
        <v>55.177</v>
      </c>
      <c r="I842" s="2">
        <f ca="1">IFERROR(__xludf.DUMMYFUNCTION("""COMPUTED_VALUE"""),54.128)</f>
        <v>54.128</v>
      </c>
      <c r="J842" s="2">
        <f ca="1">IFERROR(__xludf.DUMMYFUNCTION("""COMPUTED_VALUE"""),43.931)</f>
        <v>43.930999999999997</v>
      </c>
      <c r="K842" s="2">
        <f ca="1">IFERROR(__xludf.DUMMYFUNCTION("""COMPUTED_VALUE"""),56.423)</f>
        <v>56.423000000000002</v>
      </c>
      <c r="L842" s="2">
        <f ca="1">IFERROR(__xludf.DUMMYFUNCTION("""COMPUTED_VALUE"""),10.456)</f>
        <v>10.456</v>
      </c>
      <c r="M842" s="2">
        <f ca="1">IFERROR(__xludf.DUMMYFUNCTION("""COMPUTED_VALUE"""),15.115)</f>
        <v>15.115</v>
      </c>
      <c r="U842" s="3" t="e">
        <f ca="1"/>
        <v>#NAME?</v>
      </c>
    </row>
    <row r="843" spans="3:21" ht="12.5" x14ac:dyDescent="0.25">
      <c r="C843" s="4">
        <f ca="1">IFERROR(__xludf.DUMMYFUNCTION("""COMPUTED_VALUE"""),41150.9986111111)</f>
        <v>41150.998611111099</v>
      </c>
      <c r="D843" s="2">
        <f ca="1">IFERROR(__xludf.DUMMYFUNCTION("""COMPUTED_VALUE"""),55.623)</f>
        <v>55.622999999999998</v>
      </c>
      <c r="E843" s="2">
        <f ca="1">IFERROR(__xludf.DUMMYFUNCTION("""COMPUTED_VALUE"""),69.231)</f>
        <v>69.230999999999995</v>
      </c>
      <c r="F843" s="2">
        <f ca="1">IFERROR(__xludf.DUMMYFUNCTION("""COMPUTED_VALUE"""),86.619)</f>
        <v>86.619</v>
      </c>
      <c r="G843" s="2">
        <f ca="1">IFERROR(__xludf.DUMMYFUNCTION("""COMPUTED_VALUE"""),0.67795)</f>
        <v>0.67795000000000005</v>
      </c>
      <c r="H843" s="2">
        <f ca="1">IFERROR(__xludf.DUMMYFUNCTION("""COMPUTED_VALUE"""),55.09)</f>
        <v>55.09</v>
      </c>
      <c r="I843" s="2">
        <f ca="1">IFERROR(__xludf.DUMMYFUNCTION("""COMPUTED_VALUE"""),53.815)</f>
        <v>53.814999999999998</v>
      </c>
      <c r="J843" s="2">
        <f ca="1">IFERROR(__xludf.DUMMYFUNCTION("""COMPUTED_VALUE"""),43.824)</f>
        <v>43.823999999999998</v>
      </c>
      <c r="K843" s="2">
        <f ca="1">IFERROR(__xludf.DUMMYFUNCTION("""COMPUTED_VALUE"""),56.55)</f>
        <v>56.55</v>
      </c>
      <c r="L843" s="2">
        <f ca="1">IFERROR(__xludf.DUMMYFUNCTION("""COMPUTED_VALUE"""),10.463)</f>
        <v>10.462999999999999</v>
      </c>
      <c r="M843" s="2">
        <f ca="1">IFERROR(__xludf.DUMMYFUNCTION("""COMPUTED_VALUE"""),15.115)</f>
        <v>15.115</v>
      </c>
      <c r="U843" s="3" t="e">
        <f ca="1"/>
        <v>#NAME?</v>
      </c>
    </row>
    <row r="844" spans="3:21" ht="12.5" x14ac:dyDescent="0.25">
      <c r="C844" s="4">
        <f ca="1">IFERROR(__xludf.DUMMYFUNCTION("""COMPUTED_VALUE"""),41151.9986111111)</f>
        <v>41151.998611111099</v>
      </c>
      <c r="D844" s="2">
        <f ca="1">IFERROR(__xludf.DUMMYFUNCTION("""COMPUTED_VALUE"""),55.628)</f>
        <v>55.628</v>
      </c>
      <c r="E844" s="2">
        <f ca="1">IFERROR(__xludf.DUMMYFUNCTION("""COMPUTED_VALUE"""),69.231)</f>
        <v>69.230999999999995</v>
      </c>
      <c r="F844" s="2">
        <f ca="1">IFERROR(__xludf.DUMMYFUNCTION("""COMPUTED_VALUE"""),86.695)</f>
        <v>86.694999999999993</v>
      </c>
      <c r="G844" s="2">
        <f ca="1">IFERROR(__xludf.DUMMYFUNCTION("""COMPUTED_VALUE"""),0.68947)</f>
        <v>0.68947000000000003</v>
      </c>
      <c r="H844" s="2">
        <f ca="1">IFERROR(__xludf.DUMMYFUNCTION("""COMPUTED_VALUE"""),55.528)</f>
        <v>55.527999999999999</v>
      </c>
      <c r="I844" s="2">
        <f ca="1">IFERROR(__xludf.DUMMYFUNCTION("""COMPUTED_VALUE"""),54.054)</f>
        <v>54.054000000000002</v>
      </c>
      <c r="J844" s="2">
        <f ca="1">IFERROR(__xludf.DUMMYFUNCTION("""COMPUTED_VALUE"""),43.863)</f>
        <v>43.863</v>
      </c>
      <c r="K844" s="2">
        <f ca="1">IFERROR(__xludf.DUMMYFUNCTION("""COMPUTED_VALUE"""),57.408)</f>
        <v>57.408000000000001</v>
      </c>
      <c r="L844" s="2">
        <f ca="1">IFERROR(__xludf.DUMMYFUNCTION("""COMPUTED_VALUE"""),10.453)</f>
        <v>10.452999999999999</v>
      </c>
      <c r="M844" s="2">
        <f ca="1">IFERROR(__xludf.DUMMYFUNCTION("""COMPUTED_VALUE"""),15.118)</f>
        <v>15.118</v>
      </c>
      <c r="U844" s="3" t="e">
        <f ca="1"/>
        <v>#NAME?</v>
      </c>
    </row>
    <row r="845" spans="3:21" ht="12.5" x14ac:dyDescent="0.25">
      <c r="C845" s="4">
        <f ca="1">IFERROR(__xludf.DUMMYFUNCTION("""COMPUTED_VALUE"""),41152.9986111111)</f>
        <v>41152.998611111099</v>
      </c>
      <c r="D845" s="2">
        <f ca="1">IFERROR(__xludf.DUMMYFUNCTION("""COMPUTED_VALUE"""),55.518)</f>
        <v>55.518000000000001</v>
      </c>
      <c r="E845" s="2">
        <f ca="1">IFERROR(__xludf.DUMMYFUNCTION("""COMPUTED_VALUE"""),69.73)</f>
        <v>69.73</v>
      </c>
      <c r="F845" s="2">
        <f ca="1">IFERROR(__xludf.DUMMYFUNCTION("""COMPUTED_VALUE"""),87.137)</f>
        <v>87.137</v>
      </c>
      <c r="G845" s="2">
        <f ca="1">IFERROR(__xludf.DUMMYFUNCTION("""COMPUTED_VALUE"""),0.68973)</f>
        <v>0.68972999999999995</v>
      </c>
      <c r="H845" s="2">
        <f ca="1">IFERROR(__xludf.DUMMYFUNCTION("""COMPUTED_VALUE"""),55.381)</f>
        <v>55.381</v>
      </c>
      <c r="I845" s="2">
        <f ca="1">IFERROR(__xludf.DUMMYFUNCTION("""COMPUTED_VALUE"""),53.989)</f>
        <v>53.988999999999997</v>
      </c>
      <c r="J845" s="2">
        <f ca="1">IFERROR(__xludf.DUMMYFUNCTION("""COMPUTED_VALUE"""),43.865)</f>
        <v>43.865000000000002</v>
      </c>
      <c r="K845" s="2">
        <f ca="1">IFERROR(__xludf.DUMMYFUNCTION("""COMPUTED_VALUE"""),57.425)</f>
        <v>57.424999999999997</v>
      </c>
      <c r="L845" s="2">
        <f ca="1">IFERROR(__xludf.DUMMYFUNCTION("""COMPUTED_VALUE"""),10.536)</f>
        <v>10.536</v>
      </c>
      <c r="M845" s="2">
        <f ca="1">IFERROR(__xludf.DUMMYFUNCTION("""COMPUTED_VALUE"""),15.151)</f>
        <v>15.151</v>
      </c>
      <c r="U845" s="3" t="e">
        <f ca="1"/>
        <v>#NAME?</v>
      </c>
    </row>
    <row r="846" spans="3:21" ht="12.5" x14ac:dyDescent="0.25">
      <c r="C846" s="4">
        <f ca="1">IFERROR(__xludf.DUMMYFUNCTION("""COMPUTED_VALUE"""),41153.9986111111)</f>
        <v>41153.998611111099</v>
      </c>
      <c r="D846" s="2">
        <f ca="1">IFERROR(__xludf.DUMMYFUNCTION("""COMPUTED_VALUE"""),55.518)</f>
        <v>55.518000000000001</v>
      </c>
      <c r="E846" s="2">
        <f ca="1">IFERROR(__xludf.DUMMYFUNCTION("""COMPUTED_VALUE"""),69.875)</f>
        <v>69.875</v>
      </c>
      <c r="F846" s="2">
        <f ca="1">IFERROR(__xludf.DUMMYFUNCTION("""COMPUTED_VALUE"""),87.157)</f>
        <v>87.156999999999996</v>
      </c>
      <c r="G846" s="2">
        <f ca="1">IFERROR(__xludf.DUMMYFUNCTION("""COMPUTED_VALUE"""),0.68243)</f>
        <v>0.68242999999999998</v>
      </c>
      <c r="H846" s="2">
        <f ca="1">IFERROR(__xludf.DUMMYFUNCTION("""COMPUTED_VALUE"""),55.543)</f>
        <v>55.542999999999999</v>
      </c>
      <c r="I846" s="2">
        <f ca="1">IFERROR(__xludf.DUMMYFUNCTION("""COMPUTED_VALUE"""),53.797)</f>
        <v>53.796999999999997</v>
      </c>
      <c r="J846" s="2">
        <f ca="1">IFERROR(__xludf.DUMMYFUNCTION("""COMPUTED_VALUE"""),43.865)</f>
        <v>43.865000000000002</v>
      </c>
      <c r="K846" s="2">
        <f ca="1">IFERROR(__xludf.DUMMYFUNCTION("""COMPUTED_VALUE"""),57.222)</f>
        <v>57.222000000000001</v>
      </c>
      <c r="L846" s="2">
        <f ca="1">IFERROR(__xludf.DUMMYFUNCTION("""COMPUTED_VALUE"""),10.529)</f>
        <v>10.529</v>
      </c>
      <c r="M846" s="2">
        <f ca="1">IFERROR(__xludf.DUMMYFUNCTION("""COMPUTED_VALUE"""),15.22)</f>
        <v>15.22</v>
      </c>
      <c r="U846" s="3" t="e">
        <f ca="1"/>
        <v>#NAME?</v>
      </c>
    </row>
    <row r="847" spans="3:21" ht="12.5" x14ac:dyDescent="0.25">
      <c r="C847" s="4">
        <f ca="1">IFERROR(__xludf.DUMMYFUNCTION("""COMPUTED_VALUE"""),41154.9986111111)</f>
        <v>41154.998611111099</v>
      </c>
      <c r="D847" s="2">
        <f ca="1">IFERROR(__xludf.DUMMYFUNCTION("""COMPUTED_VALUE"""),55.518)</f>
        <v>55.518000000000001</v>
      </c>
      <c r="E847" s="2">
        <f ca="1">IFERROR(__xludf.DUMMYFUNCTION("""COMPUTED_VALUE"""),69.673)</f>
        <v>69.673000000000002</v>
      </c>
      <c r="F847" s="2">
        <f ca="1">IFERROR(__xludf.DUMMYFUNCTION("""COMPUTED_VALUE"""),87.431)</f>
        <v>87.430999999999997</v>
      </c>
      <c r="G847" s="2">
        <f ca="1">IFERROR(__xludf.DUMMYFUNCTION("""COMPUTED_VALUE"""),0.67352)</f>
        <v>0.67352000000000001</v>
      </c>
      <c r="H847" s="2">
        <f ca="1">IFERROR(__xludf.DUMMYFUNCTION("""COMPUTED_VALUE"""),55.556)</f>
        <v>55.555999999999997</v>
      </c>
      <c r="I847" s="2">
        <f ca="1">IFERROR(__xludf.DUMMYFUNCTION("""COMPUTED_VALUE"""),53.712)</f>
        <v>53.712000000000003</v>
      </c>
      <c r="J847" s="2">
        <f ca="1">IFERROR(__xludf.DUMMYFUNCTION("""COMPUTED_VALUE"""),44.229)</f>
        <v>44.228999999999999</v>
      </c>
      <c r="K847" s="2">
        <f ca="1">IFERROR(__xludf.DUMMYFUNCTION("""COMPUTED_VALUE"""),56.747)</f>
        <v>56.747</v>
      </c>
      <c r="L847" s="2">
        <f ca="1">IFERROR(__xludf.DUMMYFUNCTION("""COMPUTED_VALUE"""),10.529)</f>
        <v>10.529</v>
      </c>
      <c r="M847" s="2">
        <f ca="1">IFERROR(__xludf.DUMMYFUNCTION("""COMPUTED_VALUE"""),15.153)</f>
        <v>15.153</v>
      </c>
      <c r="U847" s="3" t="e">
        <f ca="1"/>
        <v>#NAME?</v>
      </c>
    </row>
    <row r="848" spans="3:21" ht="12.5" x14ac:dyDescent="0.25">
      <c r="C848" s="4">
        <f ca="1">IFERROR(__xludf.DUMMYFUNCTION("""COMPUTED_VALUE"""),41155.9986111111)</f>
        <v>41155.998611111099</v>
      </c>
      <c r="D848" s="2">
        <f ca="1">IFERROR(__xludf.DUMMYFUNCTION("""COMPUTED_VALUE"""),55.528)</f>
        <v>55.527999999999999</v>
      </c>
      <c r="E848" s="2">
        <f ca="1">IFERROR(__xludf.DUMMYFUNCTION("""COMPUTED_VALUE"""),69.391)</f>
        <v>69.391000000000005</v>
      </c>
      <c r="F848" s="2">
        <f ca="1">IFERROR(__xludf.DUMMYFUNCTION("""COMPUTED_VALUE"""),87.393)</f>
        <v>87.393000000000001</v>
      </c>
      <c r="G848" s="2">
        <f ca="1">IFERROR(__xludf.DUMMYFUNCTION("""COMPUTED_VALUE"""),0.6784)</f>
        <v>0.6784</v>
      </c>
      <c r="H848" s="2">
        <f ca="1">IFERROR(__xludf.DUMMYFUNCTION("""COMPUTED_VALUE"""),55.85)</f>
        <v>55.85</v>
      </c>
      <c r="I848" s="2">
        <f ca="1">IFERROR(__xludf.DUMMYFUNCTION("""COMPUTED_VALUE"""),53.669)</f>
        <v>53.668999999999997</v>
      </c>
      <c r="J848" s="2">
        <f ca="1">IFERROR(__xludf.DUMMYFUNCTION("""COMPUTED_VALUE"""),44.204)</f>
        <v>44.204000000000001</v>
      </c>
      <c r="K848" s="2">
        <f ca="1">IFERROR(__xludf.DUMMYFUNCTION("""COMPUTED_VALUE"""),56.992)</f>
        <v>56.991999999999997</v>
      </c>
      <c r="L848" s="2">
        <f ca="1">IFERROR(__xludf.DUMMYFUNCTION("""COMPUTED_VALUE"""),10.528)</f>
        <v>10.528</v>
      </c>
      <c r="M848" s="2">
        <f ca="1">IFERROR(__xludf.DUMMYFUNCTION("""COMPUTED_VALUE"""),15.071)</f>
        <v>15.071</v>
      </c>
      <c r="U848" s="3" t="e">
        <f ca="1"/>
        <v>#NAME?</v>
      </c>
    </row>
    <row r="849" spans="3:21" ht="12.5" x14ac:dyDescent="0.25">
      <c r="C849" s="4">
        <f ca="1">IFERROR(__xludf.DUMMYFUNCTION("""COMPUTED_VALUE"""),41156.9986111111)</f>
        <v>41156.998611111099</v>
      </c>
      <c r="D849" s="2">
        <f ca="1">IFERROR(__xludf.DUMMYFUNCTION("""COMPUTED_VALUE"""),55.648)</f>
        <v>55.648000000000003</v>
      </c>
      <c r="E849" s="2">
        <f ca="1">IFERROR(__xludf.DUMMYFUNCTION("""COMPUTED_VALUE"""),68.997)</f>
        <v>68.997</v>
      </c>
      <c r="F849" s="2">
        <f ca="1">IFERROR(__xludf.DUMMYFUNCTION("""COMPUTED_VALUE"""),87.488)</f>
        <v>87.488</v>
      </c>
      <c r="G849" s="2">
        <f ca="1">IFERROR(__xludf.DUMMYFUNCTION("""COMPUTED_VALUE"""),0.67849)</f>
        <v>0.67849000000000004</v>
      </c>
      <c r="H849" s="2">
        <f ca="1">IFERROR(__xludf.DUMMYFUNCTION("""COMPUTED_VALUE"""),55.896)</f>
        <v>55.896000000000001</v>
      </c>
      <c r="I849" s="2">
        <f ca="1">IFERROR(__xludf.DUMMYFUNCTION("""COMPUTED_VALUE"""),53.979)</f>
        <v>53.978999999999999</v>
      </c>
      <c r="J849" s="2">
        <f ca="1">IFERROR(__xludf.DUMMYFUNCTION("""COMPUTED_VALUE"""),44.044)</f>
        <v>44.043999999999997</v>
      </c>
      <c r="K849" s="2">
        <f ca="1">IFERROR(__xludf.DUMMYFUNCTION("""COMPUTED_VALUE"""),56.534)</f>
        <v>56.533999999999999</v>
      </c>
      <c r="L849" s="2">
        <f ca="1">IFERROR(__xludf.DUMMYFUNCTION("""COMPUTED_VALUE"""),10.528)</f>
        <v>10.528</v>
      </c>
      <c r="M849" s="2">
        <f ca="1">IFERROR(__xludf.DUMMYFUNCTION("""COMPUTED_VALUE"""),15.071)</f>
        <v>15.071</v>
      </c>
      <c r="U849" s="3" t="e">
        <f ca="1"/>
        <v>#NAME?</v>
      </c>
    </row>
    <row r="850" spans="3:21" ht="12.5" x14ac:dyDescent="0.25">
      <c r="C850" s="4">
        <f ca="1">IFERROR(__xludf.DUMMYFUNCTION("""COMPUTED_VALUE"""),41157.9986111111)</f>
        <v>41157.998611111099</v>
      </c>
      <c r="D850" s="2">
        <f ca="1">IFERROR(__xludf.DUMMYFUNCTION("""COMPUTED_VALUE"""),55.903)</f>
        <v>55.902999999999999</v>
      </c>
      <c r="E850" s="2">
        <f ca="1">IFERROR(__xludf.DUMMYFUNCTION("""COMPUTED_VALUE"""),69.057)</f>
        <v>69.057000000000002</v>
      </c>
      <c r="F850" s="2">
        <f ca="1">IFERROR(__xludf.DUMMYFUNCTION("""COMPUTED_VALUE"""),87.485)</f>
        <v>87.484999999999999</v>
      </c>
      <c r="G850" s="2">
        <f ca="1">IFERROR(__xludf.DUMMYFUNCTION("""COMPUTED_VALUE"""),0.67601)</f>
        <v>0.67601</v>
      </c>
      <c r="H850" s="2">
        <f ca="1">IFERROR(__xludf.DUMMYFUNCTION("""COMPUTED_VALUE"""),55.732)</f>
        <v>55.731999999999999</v>
      </c>
      <c r="I850" s="2">
        <f ca="1">IFERROR(__xludf.DUMMYFUNCTION("""COMPUTED_VALUE"""),53.926)</f>
        <v>53.926000000000002</v>
      </c>
      <c r="J850" s="2">
        <f ca="1">IFERROR(__xludf.DUMMYFUNCTION("""COMPUTED_VALUE"""),43.912)</f>
        <v>43.911999999999999</v>
      </c>
      <c r="K850" s="2">
        <f ca="1">IFERROR(__xludf.DUMMYFUNCTION("""COMPUTED_VALUE"""),56.506)</f>
        <v>56.506</v>
      </c>
      <c r="L850" s="2">
        <f ca="1">IFERROR(__xludf.DUMMYFUNCTION("""COMPUTED_VALUE"""),10.563)</f>
        <v>10.563000000000001</v>
      </c>
      <c r="M850" s="2">
        <f ca="1">IFERROR(__xludf.DUMMYFUNCTION("""COMPUTED_VALUE"""),15.071)</f>
        <v>15.071</v>
      </c>
      <c r="U850" s="3" t="e">
        <f ca="1"/>
        <v>#NAME?</v>
      </c>
    </row>
    <row r="851" spans="3:21" ht="12.5" x14ac:dyDescent="0.25">
      <c r="C851" s="4">
        <f ca="1">IFERROR(__xludf.DUMMYFUNCTION("""COMPUTED_VALUE"""),41158.9986111111)</f>
        <v>41158.998611111099</v>
      </c>
      <c r="D851" s="2">
        <f ca="1">IFERROR(__xludf.DUMMYFUNCTION("""COMPUTED_VALUE"""),55.658)</f>
        <v>55.658000000000001</v>
      </c>
      <c r="E851" s="2">
        <f ca="1">IFERROR(__xludf.DUMMYFUNCTION("""COMPUTED_VALUE"""),68.997)</f>
        <v>68.997</v>
      </c>
      <c r="F851" s="2">
        <f ca="1">IFERROR(__xludf.DUMMYFUNCTION("""COMPUTED_VALUE"""),87.102)</f>
        <v>87.102000000000004</v>
      </c>
      <c r="G851" s="2">
        <f ca="1">IFERROR(__xludf.DUMMYFUNCTION("""COMPUTED_VALUE"""),0.67354)</f>
        <v>0.67354000000000003</v>
      </c>
      <c r="H851" s="2">
        <f ca="1">IFERROR(__xludf.DUMMYFUNCTION("""COMPUTED_VALUE"""),55.808)</f>
        <v>55.808</v>
      </c>
      <c r="I851" s="2">
        <f ca="1">IFERROR(__xludf.DUMMYFUNCTION("""COMPUTED_VALUE"""),53.736)</f>
        <v>53.735999999999997</v>
      </c>
      <c r="J851" s="2">
        <f ca="1">IFERROR(__xludf.DUMMYFUNCTION("""COMPUTED_VALUE"""),43.891)</f>
        <v>43.890999999999998</v>
      </c>
      <c r="K851" s="2">
        <f ca="1">IFERROR(__xludf.DUMMYFUNCTION("""COMPUTED_VALUE"""),56.507)</f>
        <v>56.506999999999998</v>
      </c>
      <c r="L851" s="2">
        <f ca="1">IFERROR(__xludf.DUMMYFUNCTION("""COMPUTED_VALUE"""),10.566)</f>
        <v>10.566000000000001</v>
      </c>
      <c r="M851" s="2">
        <f ca="1">IFERROR(__xludf.DUMMYFUNCTION("""COMPUTED_VALUE"""),15.093)</f>
        <v>15.093</v>
      </c>
      <c r="U851" s="3" t="e">
        <f ca="1"/>
        <v>#NAME?</v>
      </c>
    </row>
    <row r="852" spans="3:21" ht="12.5" x14ac:dyDescent="0.25">
      <c r="C852" s="4">
        <f ca="1">IFERROR(__xludf.DUMMYFUNCTION("""COMPUTED_VALUE"""),41159.9986111111)</f>
        <v>41159.998611111099</v>
      </c>
      <c r="D852" s="2">
        <f ca="1">IFERROR(__xludf.DUMMYFUNCTION("""COMPUTED_VALUE"""),55.358)</f>
        <v>55.357999999999997</v>
      </c>
      <c r="E852" s="2">
        <f ca="1">IFERROR(__xludf.DUMMYFUNCTION("""COMPUTED_VALUE"""),69.807)</f>
        <v>69.807000000000002</v>
      </c>
      <c r="F852" s="2">
        <f ca="1">IFERROR(__xludf.DUMMYFUNCTION("""COMPUTED_VALUE"""),87.45)</f>
        <v>87.45</v>
      </c>
      <c r="G852" s="2">
        <f ca="1">IFERROR(__xludf.DUMMYFUNCTION("""COMPUTED_VALUE"""),0.66683)</f>
        <v>0.66683000000000003</v>
      </c>
      <c r="H852" s="2">
        <f ca="1">IFERROR(__xludf.DUMMYFUNCTION("""COMPUTED_VALUE"""),55.585)</f>
        <v>55.585000000000001</v>
      </c>
      <c r="I852" s="2">
        <f ca="1">IFERROR(__xludf.DUMMYFUNCTION("""COMPUTED_VALUE"""),53.79)</f>
        <v>53.79</v>
      </c>
      <c r="J852" s="2">
        <f ca="1">IFERROR(__xludf.DUMMYFUNCTION("""COMPUTED_VALUE"""),43.892)</f>
        <v>43.892000000000003</v>
      </c>
      <c r="K852" s="2">
        <f ca="1">IFERROR(__xludf.DUMMYFUNCTION("""COMPUTED_VALUE"""),56.771)</f>
        <v>56.771000000000001</v>
      </c>
      <c r="L852" s="2">
        <f ca="1">IFERROR(__xludf.DUMMYFUNCTION("""COMPUTED_VALUE"""),10.56)</f>
        <v>10.56</v>
      </c>
      <c r="M852" s="2">
        <f ca="1">IFERROR(__xludf.DUMMYFUNCTION("""COMPUTED_VALUE"""),15.066)</f>
        <v>15.066000000000001</v>
      </c>
      <c r="U852" s="3" t="e">
        <f ca="1"/>
        <v>#NAME?</v>
      </c>
    </row>
    <row r="853" spans="3:21" ht="12.5" x14ac:dyDescent="0.25">
      <c r="C853" s="4">
        <f ca="1">IFERROR(__xludf.DUMMYFUNCTION("""COMPUTED_VALUE"""),41160.9986111111)</f>
        <v>41160.998611111099</v>
      </c>
      <c r="D853" s="2">
        <f ca="1">IFERROR(__xludf.DUMMYFUNCTION("""COMPUTED_VALUE"""),55.358)</f>
        <v>55.357999999999997</v>
      </c>
      <c r="E853" s="2">
        <f ca="1">IFERROR(__xludf.DUMMYFUNCTION("""COMPUTED_VALUE"""),69.63)</f>
        <v>69.63</v>
      </c>
      <c r="F853" s="2">
        <f ca="1">IFERROR(__xludf.DUMMYFUNCTION("""COMPUTED_VALUE"""),87.496)</f>
        <v>87.495999999999995</v>
      </c>
      <c r="G853" s="2">
        <f ca="1">IFERROR(__xludf.DUMMYFUNCTION("""COMPUTED_VALUE"""),0.66946)</f>
        <v>0.66946000000000006</v>
      </c>
      <c r="H853" s="2">
        <f ca="1">IFERROR(__xludf.DUMMYFUNCTION("""COMPUTED_VALUE"""),55.587)</f>
        <v>55.587000000000003</v>
      </c>
      <c r="I853" s="2">
        <f ca="1">IFERROR(__xludf.DUMMYFUNCTION("""COMPUTED_VALUE"""),53.998)</f>
        <v>53.997999999999998</v>
      </c>
      <c r="J853" s="2">
        <f ca="1">IFERROR(__xludf.DUMMYFUNCTION("""COMPUTED_VALUE"""),43.892)</f>
        <v>43.892000000000003</v>
      </c>
      <c r="K853" s="2">
        <f ca="1">IFERROR(__xludf.DUMMYFUNCTION("""COMPUTED_VALUE"""),57.01)</f>
        <v>57.01</v>
      </c>
      <c r="L853" s="2">
        <f ca="1">IFERROR(__xludf.DUMMYFUNCTION("""COMPUTED_VALUE"""),10.553)</f>
        <v>10.553000000000001</v>
      </c>
      <c r="M853" s="2">
        <f ca="1">IFERROR(__xludf.DUMMYFUNCTION("""COMPUTED_VALUE"""),15.031)</f>
        <v>15.031000000000001</v>
      </c>
      <c r="U853" s="3" t="e">
        <f ca="1"/>
        <v>#NAME?</v>
      </c>
    </row>
    <row r="854" spans="3:21" ht="12.5" x14ac:dyDescent="0.25">
      <c r="C854" s="4">
        <f ca="1">IFERROR(__xludf.DUMMYFUNCTION("""COMPUTED_VALUE"""),41162.9986111111)</f>
        <v>41162.998611111099</v>
      </c>
      <c r="D854" s="2">
        <f ca="1">IFERROR(__xludf.DUMMYFUNCTION("""COMPUTED_VALUE"""),55.438)</f>
        <v>55.438000000000002</v>
      </c>
      <c r="E854" s="2">
        <f ca="1">IFERROR(__xludf.DUMMYFUNCTION("""COMPUTED_VALUE"""),69.077)</f>
        <v>69.076999999999998</v>
      </c>
      <c r="F854" s="2">
        <f ca="1">IFERROR(__xludf.DUMMYFUNCTION("""COMPUTED_VALUE"""),87.544)</f>
        <v>87.543999999999997</v>
      </c>
      <c r="G854" s="2">
        <f ca="1">IFERROR(__xludf.DUMMYFUNCTION("""COMPUTED_VALUE"""),0.67289)</f>
        <v>0.67288999999999999</v>
      </c>
      <c r="H854" s="2">
        <f ca="1">IFERROR(__xludf.DUMMYFUNCTION("""COMPUTED_VALUE"""),55.616)</f>
        <v>55.616</v>
      </c>
      <c r="I854" s="2">
        <f ca="1">IFERROR(__xludf.DUMMYFUNCTION("""COMPUTED_VALUE"""),53.998)</f>
        <v>53.997999999999998</v>
      </c>
      <c r="J854" s="2">
        <f ca="1">IFERROR(__xludf.DUMMYFUNCTION("""COMPUTED_VALUE"""),44.552)</f>
        <v>44.552</v>
      </c>
      <c r="K854" s="2">
        <f ca="1">IFERROR(__xludf.DUMMYFUNCTION("""COMPUTED_VALUE"""),56.854)</f>
        <v>56.853999999999999</v>
      </c>
      <c r="L854" s="2">
        <f ca="1">IFERROR(__xludf.DUMMYFUNCTION("""COMPUTED_VALUE"""),10.518)</f>
        <v>10.518000000000001</v>
      </c>
      <c r="M854" s="2">
        <f ca="1">IFERROR(__xludf.DUMMYFUNCTION("""COMPUTED_VALUE"""),15.088)</f>
        <v>15.087999999999999</v>
      </c>
      <c r="U854" s="3" t="e">
        <f ca="1"/>
        <v>#NAME?</v>
      </c>
    </row>
    <row r="855" spans="3:21" ht="12.5" x14ac:dyDescent="0.25">
      <c r="C855" s="4">
        <f ca="1">IFERROR(__xludf.DUMMYFUNCTION("""COMPUTED_VALUE"""),41163.9986111111)</f>
        <v>41163.998611111099</v>
      </c>
      <c r="D855" s="2">
        <f ca="1">IFERROR(__xludf.DUMMYFUNCTION("""COMPUTED_VALUE"""),55.338)</f>
        <v>55.338000000000001</v>
      </c>
      <c r="E855" s="2">
        <f ca="1">IFERROR(__xludf.DUMMYFUNCTION("""COMPUTED_VALUE"""),69.208)</f>
        <v>69.207999999999998</v>
      </c>
      <c r="F855" s="2">
        <f ca="1">IFERROR(__xludf.DUMMYFUNCTION("""COMPUTED_VALUE"""),87.656)</f>
        <v>87.656000000000006</v>
      </c>
      <c r="G855" s="2">
        <f ca="1">IFERROR(__xludf.DUMMYFUNCTION("""COMPUTED_VALUE"""),0.67281)</f>
        <v>0.67281000000000002</v>
      </c>
      <c r="H855" s="2">
        <f ca="1">IFERROR(__xludf.DUMMYFUNCTION("""COMPUTED_VALUE"""),56.577)</f>
        <v>56.576999999999998</v>
      </c>
      <c r="I855" s="2">
        <f ca="1">IFERROR(__xludf.DUMMYFUNCTION("""COMPUTED_VALUE"""),54.032)</f>
        <v>54.031999999999996</v>
      </c>
      <c r="J855" s="2">
        <f ca="1">IFERROR(__xludf.DUMMYFUNCTION("""COMPUTED_VALUE"""),44.442)</f>
        <v>44.442</v>
      </c>
      <c r="K855" s="2">
        <f ca="1">IFERROR(__xludf.DUMMYFUNCTION("""COMPUTED_VALUE"""),57.163)</f>
        <v>57.162999999999997</v>
      </c>
      <c r="L855" s="2">
        <f ca="1">IFERROR(__xludf.DUMMYFUNCTION("""COMPUTED_VALUE"""),10.505)</f>
        <v>10.505000000000001</v>
      </c>
      <c r="M855" s="2">
        <f ca="1">IFERROR(__xludf.DUMMYFUNCTION("""COMPUTED_VALUE"""),14.783)</f>
        <v>14.782999999999999</v>
      </c>
      <c r="U855" s="3" t="e">
        <f ca="1"/>
        <v>#NAME?</v>
      </c>
    </row>
    <row r="856" spans="3:21" ht="12.5" x14ac:dyDescent="0.25">
      <c r="C856" s="4">
        <f ca="1">IFERROR(__xludf.DUMMYFUNCTION("""COMPUTED_VALUE"""),41164.9986111111)</f>
        <v>41164.998611111099</v>
      </c>
      <c r="D856" s="2">
        <f ca="1">IFERROR(__xludf.DUMMYFUNCTION("""COMPUTED_VALUE"""),55.208)</f>
        <v>55.207999999999998</v>
      </c>
      <c r="E856" s="2">
        <f ca="1">IFERROR(__xludf.DUMMYFUNCTION("""COMPUTED_VALUE"""),69.397)</f>
        <v>69.397000000000006</v>
      </c>
      <c r="F856" s="2">
        <f ca="1">IFERROR(__xludf.DUMMYFUNCTION("""COMPUTED_VALUE"""),87.715)</f>
        <v>87.715000000000003</v>
      </c>
      <c r="G856" s="2">
        <f ca="1">IFERROR(__xludf.DUMMYFUNCTION("""COMPUTED_VALUE"""),0.6786)</f>
        <v>0.67859999999999998</v>
      </c>
      <c r="H856" s="2">
        <f ca="1">IFERROR(__xludf.DUMMYFUNCTION("""COMPUTED_VALUE"""),56.688)</f>
        <v>56.688000000000002</v>
      </c>
      <c r="I856" s="2">
        <f ca="1">IFERROR(__xludf.DUMMYFUNCTION("""COMPUTED_VALUE"""),54.76)</f>
        <v>54.76</v>
      </c>
      <c r="J856" s="2">
        <f ca="1">IFERROR(__xludf.DUMMYFUNCTION("""COMPUTED_VALUE"""),44.242)</f>
        <v>44.241999999999997</v>
      </c>
      <c r="K856" s="2">
        <f ca="1">IFERROR(__xludf.DUMMYFUNCTION("""COMPUTED_VALUE"""),57.195)</f>
        <v>57.195</v>
      </c>
      <c r="L856" s="2">
        <f ca="1">IFERROR(__xludf.DUMMYFUNCTION("""COMPUTED_VALUE"""),10.453)</f>
        <v>10.452999999999999</v>
      </c>
      <c r="M856" s="2">
        <f ca="1">IFERROR(__xludf.DUMMYFUNCTION("""COMPUTED_VALUE"""),14.783)</f>
        <v>14.782999999999999</v>
      </c>
      <c r="U856" s="3" t="e">
        <f ca="1"/>
        <v>#NAME?</v>
      </c>
    </row>
    <row r="857" spans="3:21" ht="12.5" x14ac:dyDescent="0.25">
      <c r="C857" s="4">
        <f ca="1">IFERROR(__xludf.DUMMYFUNCTION("""COMPUTED_VALUE"""),41165.9986111111)</f>
        <v>41165.998611111099</v>
      </c>
      <c r="D857" s="2">
        <f ca="1">IFERROR(__xludf.DUMMYFUNCTION("""COMPUTED_VALUE"""),55.418)</f>
        <v>55.417999999999999</v>
      </c>
      <c r="E857" s="2">
        <f ca="1">IFERROR(__xludf.DUMMYFUNCTION("""COMPUTED_VALUE"""),69.305)</f>
        <v>69.305000000000007</v>
      </c>
      <c r="F857" s="2">
        <f ca="1">IFERROR(__xludf.DUMMYFUNCTION("""COMPUTED_VALUE"""),87.853)</f>
        <v>87.852999999999994</v>
      </c>
      <c r="G857" s="2">
        <f ca="1">IFERROR(__xludf.DUMMYFUNCTION("""COMPUTED_VALUE"""),0.67474)</f>
        <v>0.67474000000000001</v>
      </c>
      <c r="H857" s="2">
        <f ca="1">IFERROR(__xludf.DUMMYFUNCTION("""COMPUTED_VALUE"""),56.326)</f>
        <v>56.326000000000001</v>
      </c>
      <c r="I857" s="2">
        <f ca="1">IFERROR(__xludf.DUMMYFUNCTION("""COMPUTED_VALUE"""),54.799)</f>
        <v>54.798999999999999</v>
      </c>
      <c r="J857" s="2">
        <f ca="1">IFERROR(__xludf.DUMMYFUNCTION("""COMPUTED_VALUE"""),44.331)</f>
        <v>44.331000000000003</v>
      </c>
      <c r="K857" s="2">
        <f ca="1">IFERROR(__xludf.DUMMYFUNCTION("""COMPUTED_VALUE"""),57.222)</f>
        <v>57.222000000000001</v>
      </c>
      <c r="L857" s="2">
        <f ca="1">IFERROR(__xludf.DUMMYFUNCTION("""COMPUTED_VALUE"""),10.419)</f>
        <v>10.419</v>
      </c>
      <c r="M857" s="2">
        <f ca="1">IFERROR(__xludf.DUMMYFUNCTION("""COMPUTED_VALUE"""),14.783)</f>
        <v>14.782999999999999</v>
      </c>
      <c r="U857" s="3" t="e">
        <f ca="1"/>
        <v>#NAME?</v>
      </c>
    </row>
    <row r="858" spans="3:21" ht="12.5" x14ac:dyDescent="0.25">
      <c r="C858" s="4">
        <f ca="1">IFERROR(__xludf.DUMMYFUNCTION("""COMPUTED_VALUE"""),41166.9986111111)</f>
        <v>41166.998611111099</v>
      </c>
      <c r="D858" s="2">
        <f ca="1">IFERROR(__xludf.DUMMYFUNCTION("""COMPUTED_VALUE"""),54.298)</f>
        <v>54.298000000000002</v>
      </c>
      <c r="E858" s="2">
        <f ca="1">IFERROR(__xludf.DUMMYFUNCTION("""COMPUTED_VALUE"""),68.5)</f>
        <v>68.5</v>
      </c>
      <c r="F858" s="2">
        <f ca="1">IFERROR(__xludf.DUMMYFUNCTION("""COMPUTED_VALUE"""),87.963)</f>
        <v>87.962999999999994</v>
      </c>
      <c r="G858" s="2">
        <f ca="1">IFERROR(__xludf.DUMMYFUNCTION("""COMPUTED_VALUE"""),0.67729)</f>
        <v>0.67728999999999995</v>
      </c>
      <c r="H858" s="2">
        <f ca="1">IFERROR(__xludf.DUMMYFUNCTION("""COMPUTED_VALUE"""),56.482)</f>
        <v>56.481999999999999</v>
      </c>
      <c r="I858" s="2">
        <f ca="1">IFERROR(__xludf.DUMMYFUNCTION("""COMPUTED_VALUE"""),54.327)</f>
        <v>54.326999999999998</v>
      </c>
      <c r="J858" s="2">
        <f ca="1">IFERROR(__xludf.DUMMYFUNCTION("""COMPUTED_VALUE"""),44.576)</f>
        <v>44.576000000000001</v>
      </c>
      <c r="K858" s="2">
        <f ca="1">IFERROR(__xludf.DUMMYFUNCTION("""COMPUTED_VALUE"""),57.221)</f>
        <v>57.220999999999997</v>
      </c>
      <c r="L858" s="2">
        <f ca="1">IFERROR(__xludf.DUMMYFUNCTION("""COMPUTED_VALUE"""),10.404)</f>
        <v>10.404</v>
      </c>
      <c r="M858" s="2">
        <f ca="1">IFERROR(__xludf.DUMMYFUNCTION("""COMPUTED_VALUE"""),14.704)</f>
        <v>14.704000000000001</v>
      </c>
      <c r="U858" s="3" t="e">
        <f ca="1"/>
        <v>#NAME?</v>
      </c>
    </row>
    <row r="859" spans="3:21" ht="12.5" x14ac:dyDescent="0.25">
      <c r="C859" s="4">
        <f ca="1">IFERROR(__xludf.DUMMYFUNCTION("""COMPUTED_VALUE"""),41167.9986111111)</f>
        <v>41167.998611111099</v>
      </c>
      <c r="D859" s="2">
        <f ca="1">IFERROR(__xludf.DUMMYFUNCTION("""COMPUTED_VALUE"""),54.298)</f>
        <v>54.298000000000002</v>
      </c>
      <c r="E859" s="2">
        <f ca="1">IFERROR(__xludf.DUMMYFUNCTION("""COMPUTED_VALUE"""),69.737)</f>
        <v>69.736999999999995</v>
      </c>
      <c r="F859" s="2">
        <f ca="1">IFERROR(__xludf.DUMMYFUNCTION("""COMPUTED_VALUE"""),87.977)</f>
        <v>87.977000000000004</v>
      </c>
      <c r="G859" s="2">
        <f ca="1">IFERROR(__xludf.DUMMYFUNCTION("""COMPUTED_VALUE"""),0.66669)</f>
        <v>0.66669</v>
      </c>
      <c r="H859" s="2">
        <f ca="1">IFERROR(__xludf.DUMMYFUNCTION("""COMPUTED_VALUE"""),56.687)</f>
        <v>56.686999999999998</v>
      </c>
      <c r="I859" s="2">
        <f ca="1">IFERROR(__xludf.DUMMYFUNCTION("""COMPUTED_VALUE"""),54.287)</f>
        <v>54.286999999999999</v>
      </c>
      <c r="J859" s="2">
        <f ca="1">IFERROR(__xludf.DUMMYFUNCTION("""COMPUTED_VALUE"""),44.509)</f>
        <v>44.509</v>
      </c>
      <c r="K859" s="2">
        <f ca="1">IFERROR(__xludf.DUMMYFUNCTION("""COMPUTED_VALUE"""),57.008)</f>
        <v>57.008000000000003</v>
      </c>
      <c r="L859" s="2">
        <f ca="1">IFERROR(__xludf.DUMMYFUNCTION("""COMPUTED_VALUE"""),10.381)</f>
        <v>10.381</v>
      </c>
      <c r="M859" s="2">
        <f ca="1">IFERROR(__xludf.DUMMYFUNCTION("""COMPUTED_VALUE"""),14.706)</f>
        <v>14.706</v>
      </c>
      <c r="U859" s="3" t="e">
        <f ca="1"/>
        <v>#NAME?</v>
      </c>
    </row>
    <row r="860" spans="3:21" ht="12.5" x14ac:dyDescent="0.25">
      <c r="C860" s="4">
        <f ca="1">IFERROR(__xludf.DUMMYFUNCTION("""COMPUTED_VALUE"""),41169.9986111111)</f>
        <v>41169.998611111099</v>
      </c>
      <c r="D860" s="2">
        <f ca="1">IFERROR(__xludf.DUMMYFUNCTION("""COMPUTED_VALUE"""),54.008)</f>
        <v>54.008000000000003</v>
      </c>
      <c r="E860" s="2">
        <f ca="1">IFERROR(__xludf.DUMMYFUNCTION("""COMPUTED_VALUE"""),69.673)</f>
        <v>69.673000000000002</v>
      </c>
      <c r="F860" s="2">
        <f ca="1">IFERROR(__xludf.DUMMYFUNCTION("""COMPUTED_VALUE"""),87.718)</f>
        <v>87.718000000000004</v>
      </c>
      <c r="G860" s="2">
        <f ca="1">IFERROR(__xludf.DUMMYFUNCTION("""COMPUTED_VALUE"""),0.65784)</f>
        <v>0.65783999999999998</v>
      </c>
      <c r="H860" s="2">
        <f ca="1">IFERROR(__xludf.DUMMYFUNCTION("""COMPUTED_VALUE"""),56.689)</f>
        <v>56.689</v>
      </c>
      <c r="I860" s="2">
        <f ca="1">IFERROR(__xludf.DUMMYFUNCTION("""COMPUTED_VALUE"""),54.498)</f>
        <v>54.497999999999998</v>
      </c>
      <c r="J860" s="2">
        <f ca="1">IFERROR(__xludf.DUMMYFUNCTION("""COMPUTED_VALUE"""),44.507)</f>
        <v>44.506999999999998</v>
      </c>
      <c r="K860" s="2">
        <f ca="1">IFERROR(__xludf.DUMMYFUNCTION("""COMPUTED_VALUE"""),57.882)</f>
        <v>57.881999999999998</v>
      </c>
      <c r="L860" s="2">
        <f ca="1">IFERROR(__xludf.DUMMYFUNCTION("""COMPUTED_VALUE"""),10.386)</f>
        <v>10.385999999999999</v>
      </c>
      <c r="M860" s="2">
        <f ca="1">IFERROR(__xludf.DUMMYFUNCTION("""COMPUTED_VALUE"""),14.707)</f>
        <v>14.707000000000001</v>
      </c>
      <c r="U860" s="3" t="e">
        <f ca="1"/>
        <v>#NAME?</v>
      </c>
    </row>
    <row r="861" spans="3:21" ht="12.5" x14ac:dyDescent="0.25">
      <c r="C861" s="4">
        <f ca="1">IFERROR(__xludf.DUMMYFUNCTION("""COMPUTED_VALUE"""),41170.9986111111)</f>
        <v>41170.998611111099</v>
      </c>
      <c r="D861" s="2">
        <f ca="1">IFERROR(__xludf.DUMMYFUNCTION("""COMPUTED_VALUE"""),54.018)</f>
        <v>54.018000000000001</v>
      </c>
      <c r="E861" s="2">
        <f ca="1">IFERROR(__xludf.DUMMYFUNCTION("""COMPUTED_VALUE"""),69.701)</f>
        <v>69.700999999999993</v>
      </c>
      <c r="F861" s="2">
        <f ca="1">IFERROR(__xludf.DUMMYFUNCTION("""COMPUTED_VALUE"""),87.926)</f>
        <v>87.926000000000002</v>
      </c>
      <c r="G861" s="2">
        <f ca="1">IFERROR(__xludf.DUMMYFUNCTION("""COMPUTED_VALUE"""),0.65803)</f>
        <v>0.65803</v>
      </c>
      <c r="H861" s="2">
        <f ca="1">IFERROR(__xludf.DUMMYFUNCTION("""COMPUTED_VALUE"""),56.686)</f>
        <v>56.686</v>
      </c>
      <c r="I861" s="2">
        <f ca="1">IFERROR(__xludf.DUMMYFUNCTION("""COMPUTED_VALUE"""),54.483)</f>
        <v>54.482999999999997</v>
      </c>
      <c r="J861" s="2">
        <f ca="1">IFERROR(__xludf.DUMMYFUNCTION("""COMPUTED_VALUE"""),44.883)</f>
        <v>44.883000000000003</v>
      </c>
      <c r="K861" s="2">
        <f ca="1">IFERROR(__xludf.DUMMYFUNCTION("""COMPUTED_VALUE"""),57.744)</f>
        <v>57.744</v>
      </c>
      <c r="L861" s="2">
        <f ca="1">IFERROR(__xludf.DUMMYFUNCTION("""COMPUTED_VALUE"""),10.376)</f>
        <v>10.375999999999999</v>
      </c>
      <c r="M861" s="2">
        <f ca="1">IFERROR(__xludf.DUMMYFUNCTION("""COMPUTED_VALUE"""),14.772)</f>
        <v>14.772</v>
      </c>
      <c r="U861" s="3" t="e">
        <f ca="1"/>
        <v>#NAME?</v>
      </c>
    </row>
    <row r="862" spans="3:21" ht="12.5" x14ac:dyDescent="0.25">
      <c r="C862" s="4">
        <f ca="1">IFERROR(__xludf.DUMMYFUNCTION("""COMPUTED_VALUE"""),41171.9986111111)</f>
        <v>41171.998611111099</v>
      </c>
      <c r="D862" s="2">
        <f ca="1">IFERROR(__xludf.DUMMYFUNCTION("""COMPUTED_VALUE"""),54.018)</f>
        <v>54.018000000000001</v>
      </c>
      <c r="E862" s="2">
        <f ca="1">IFERROR(__xludf.DUMMYFUNCTION("""COMPUTED_VALUE"""),69.847)</f>
        <v>69.846999999999994</v>
      </c>
      <c r="F862" s="2">
        <f ca="1">IFERROR(__xludf.DUMMYFUNCTION("""COMPUTED_VALUE"""),88.087)</f>
        <v>88.087000000000003</v>
      </c>
      <c r="G862" s="2">
        <f ca="1">IFERROR(__xludf.DUMMYFUNCTION("""COMPUTED_VALUE"""),0.66586)</f>
        <v>0.66586000000000001</v>
      </c>
      <c r="H862" s="2">
        <f ca="1">IFERROR(__xludf.DUMMYFUNCTION("""COMPUTED_VALUE"""),57.222)</f>
        <v>57.222000000000001</v>
      </c>
      <c r="I862" s="2">
        <f ca="1">IFERROR(__xludf.DUMMYFUNCTION("""COMPUTED_VALUE"""),54.48)</f>
        <v>54.48</v>
      </c>
      <c r="J862" s="2">
        <f ca="1">IFERROR(__xludf.DUMMYFUNCTION("""COMPUTED_VALUE"""),44.833)</f>
        <v>44.832999999999998</v>
      </c>
      <c r="K862" s="2">
        <f ca="1">IFERROR(__xludf.DUMMYFUNCTION("""COMPUTED_VALUE"""),57.822)</f>
        <v>57.822000000000003</v>
      </c>
      <c r="L862" s="2">
        <f ca="1">IFERROR(__xludf.DUMMYFUNCTION("""COMPUTED_VALUE"""),10.328)</f>
        <v>10.327999999999999</v>
      </c>
      <c r="M862" s="2">
        <f ca="1">IFERROR(__xludf.DUMMYFUNCTION("""COMPUTED_VALUE"""),14.527)</f>
        <v>14.526999999999999</v>
      </c>
      <c r="U862" s="3" t="e">
        <f ca="1"/>
        <v>#NAME?</v>
      </c>
    </row>
    <row r="863" spans="3:21" ht="12.5" x14ac:dyDescent="0.25">
      <c r="C863" s="4">
        <f ca="1">IFERROR(__xludf.DUMMYFUNCTION("""COMPUTED_VALUE"""),41172.9986111111)</f>
        <v>41172.998611111099</v>
      </c>
      <c r="D863" s="2">
        <f ca="1">IFERROR(__xludf.DUMMYFUNCTION("""COMPUTED_VALUE"""),54.258)</f>
        <v>54.258000000000003</v>
      </c>
      <c r="E863" s="2">
        <f ca="1">IFERROR(__xludf.DUMMYFUNCTION("""COMPUTED_VALUE"""),70.268)</f>
        <v>70.268000000000001</v>
      </c>
      <c r="F863" s="2">
        <f ca="1">IFERROR(__xludf.DUMMYFUNCTION("""COMPUTED_VALUE"""),88.087)</f>
        <v>88.087000000000003</v>
      </c>
      <c r="G863" s="2">
        <f ca="1">IFERROR(__xludf.DUMMYFUNCTION("""COMPUTED_VALUE"""),0.66726)</f>
        <v>0.66725999999999996</v>
      </c>
      <c r="H863" s="2">
        <f ca="1">IFERROR(__xludf.DUMMYFUNCTION("""COMPUTED_VALUE"""),57.257)</f>
        <v>57.256999999999998</v>
      </c>
      <c r="I863" s="2">
        <f ca="1">IFERROR(__xludf.DUMMYFUNCTION("""COMPUTED_VALUE"""),54.879)</f>
        <v>54.878999999999998</v>
      </c>
      <c r="J863" s="2">
        <f ca="1">IFERROR(__xludf.DUMMYFUNCTION("""COMPUTED_VALUE"""),44.748)</f>
        <v>44.747999999999998</v>
      </c>
      <c r="K863" s="2">
        <f ca="1">IFERROR(__xludf.DUMMYFUNCTION("""COMPUTED_VALUE"""),57.804)</f>
        <v>57.804000000000002</v>
      </c>
      <c r="L863" s="2">
        <f ca="1">IFERROR(__xludf.DUMMYFUNCTION("""COMPUTED_VALUE"""),10.295)</f>
        <v>10.295</v>
      </c>
      <c r="M863" s="2">
        <f ca="1">IFERROR(__xludf.DUMMYFUNCTION("""COMPUTED_VALUE"""),14.527)</f>
        <v>14.526999999999999</v>
      </c>
      <c r="U863" s="3" t="e">
        <f ca="1"/>
        <v>#NAME?</v>
      </c>
    </row>
    <row r="864" spans="3:21" ht="12.5" x14ac:dyDescent="0.25">
      <c r="C864" s="4">
        <f ca="1">IFERROR(__xludf.DUMMYFUNCTION("""COMPUTED_VALUE"""),41173.9986111111)</f>
        <v>41173.998611111099</v>
      </c>
      <c r="D864" s="2">
        <f ca="1">IFERROR(__xludf.DUMMYFUNCTION("""COMPUTED_VALUE"""),53.358)</f>
        <v>53.357999999999997</v>
      </c>
      <c r="E864" s="2">
        <f ca="1">IFERROR(__xludf.DUMMYFUNCTION("""COMPUTED_VALUE"""),70.217)</f>
        <v>70.216999999999999</v>
      </c>
      <c r="F864" s="2">
        <f ca="1">IFERROR(__xludf.DUMMYFUNCTION("""COMPUTED_VALUE"""),88.107)</f>
        <v>88.106999999999999</v>
      </c>
      <c r="G864" s="2">
        <f ca="1">IFERROR(__xludf.DUMMYFUNCTION("""COMPUTED_VALUE"""),0.66069)</f>
        <v>0.66069</v>
      </c>
      <c r="H864" s="2">
        <f ca="1">IFERROR(__xludf.DUMMYFUNCTION("""COMPUTED_VALUE"""),56.756)</f>
        <v>56.756</v>
      </c>
      <c r="I864" s="2">
        <f ca="1">IFERROR(__xludf.DUMMYFUNCTION("""COMPUTED_VALUE"""),54.729)</f>
        <v>54.728999999999999</v>
      </c>
      <c r="J864" s="2">
        <f ca="1">IFERROR(__xludf.DUMMYFUNCTION("""COMPUTED_VALUE"""),44.649)</f>
        <v>44.649000000000001</v>
      </c>
      <c r="K864" s="2">
        <f ca="1">IFERROR(__xludf.DUMMYFUNCTION("""COMPUTED_VALUE"""),57.913)</f>
        <v>57.912999999999997</v>
      </c>
      <c r="L864" s="2">
        <f ca="1">IFERROR(__xludf.DUMMYFUNCTION("""COMPUTED_VALUE"""),10.311)</f>
        <v>10.311</v>
      </c>
      <c r="M864" s="2">
        <f ca="1">IFERROR(__xludf.DUMMYFUNCTION("""COMPUTED_VALUE"""),14.527)</f>
        <v>14.526999999999999</v>
      </c>
      <c r="U864" s="3" t="e">
        <f ca="1"/>
        <v>#NAME?</v>
      </c>
    </row>
    <row r="865" spans="3:21" ht="12.5" x14ac:dyDescent="0.25">
      <c r="C865" s="4">
        <f ca="1">IFERROR(__xludf.DUMMYFUNCTION("""COMPUTED_VALUE"""),41174.9986111111)</f>
        <v>41174.998611111099</v>
      </c>
      <c r="D865" s="2">
        <f ca="1">IFERROR(__xludf.DUMMYFUNCTION("""COMPUTED_VALUE"""),53.358)</f>
        <v>53.357999999999997</v>
      </c>
      <c r="E865" s="2">
        <f ca="1">IFERROR(__xludf.DUMMYFUNCTION("""COMPUTED_VALUE"""),70.217)</f>
        <v>70.216999999999999</v>
      </c>
      <c r="F865" s="2">
        <f ca="1">IFERROR(__xludf.DUMMYFUNCTION("""COMPUTED_VALUE"""),88.227)</f>
        <v>88.227000000000004</v>
      </c>
      <c r="G865" s="2">
        <f ca="1">IFERROR(__xludf.DUMMYFUNCTION("""COMPUTED_VALUE"""),0.65603)</f>
        <v>0.65603</v>
      </c>
      <c r="H865" s="2">
        <f ca="1">IFERROR(__xludf.DUMMYFUNCTION("""COMPUTED_VALUE"""),56.501)</f>
        <v>56.500999999999998</v>
      </c>
      <c r="I865" s="2">
        <f ca="1">IFERROR(__xludf.DUMMYFUNCTION("""COMPUTED_VALUE"""),54.548)</f>
        <v>54.548000000000002</v>
      </c>
      <c r="J865" s="2">
        <f ca="1">IFERROR(__xludf.DUMMYFUNCTION("""COMPUTED_VALUE"""),44.95)</f>
        <v>44.95</v>
      </c>
      <c r="K865" s="2">
        <f ca="1">IFERROR(__xludf.DUMMYFUNCTION("""COMPUTED_VALUE"""),58.174)</f>
        <v>58.173999999999999</v>
      </c>
      <c r="L865" s="2">
        <f ca="1">IFERROR(__xludf.DUMMYFUNCTION("""COMPUTED_VALUE"""),10.348)</f>
        <v>10.348000000000001</v>
      </c>
      <c r="M865" s="2">
        <f ca="1">IFERROR(__xludf.DUMMYFUNCTION("""COMPUTED_VALUE"""),14.557)</f>
        <v>14.557</v>
      </c>
      <c r="U865" s="3" t="e">
        <f ca="1"/>
        <v>#NAME?</v>
      </c>
    </row>
    <row r="866" spans="3:21" ht="12.5" x14ac:dyDescent="0.25">
      <c r="C866" s="4">
        <f ca="1">IFERROR(__xludf.DUMMYFUNCTION("""COMPUTED_VALUE"""),41176.9986111111)</f>
        <v>41176.998611111099</v>
      </c>
      <c r="D866" s="2">
        <f ca="1">IFERROR(__xludf.DUMMYFUNCTION("""COMPUTED_VALUE"""),53.468)</f>
        <v>53.468000000000004</v>
      </c>
      <c r="E866" s="2">
        <f ca="1">IFERROR(__xludf.DUMMYFUNCTION("""COMPUTED_VALUE"""),70.268)</f>
        <v>70.268000000000001</v>
      </c>
      <c r="F866" s="2">
        <f ca="1">IFERROR(__xludf.DUMMYFUNCTION("""COMPUTED_VALUE"""),88.792)</f>
        <v>88.792000000000002</v>
      </c>
      <c r="G866" s="2">
        <f ca="1">IFERROR(__xludf.DUMMYFUNCTION("""COMPUTED_VALUE"""),0.65888)</f>
        <v>0.65888000000000002</v>
      </c>
      <c r="H866" s="2">
        <f ca="1">IFERROR(__xludf.DUMMYFUNCTION("""COMPUTED_VALUE"""),57.033)</f>
        <v>57.033000000000001</v>
      </c>
      <c r="I866" s="2">
        <f ca="1">IFERROR(__xludf.DUMMYFUNCTION("""COMPUTED_VALUE"""),54.608)</f>
        <v>54.607999999999997</v>
      </c>
      <c r="J866" s="2">
        <f ca="1">IFERROR(__xludf.DUMMYFUNCTION("""COMPUTED_VALUE"""),44.914)</f>
        <v>44.914000000000001</v>
      </c>
      <c r="K866" s="2">
        <f ca="1">IFERROR(__xludf.DUMMYFUNCTION("""COMPUTED_VALUE"""),57.981)</f>
        <v>57.981000000000002</v>
      </c>
      <c r="L866" s="2">
        <f ca="1">IFERROR(__xludf.DUMMYFUNCTION("""COMPUTED_VALUE"""),10.367)</f>
        <v>10.367000000000001</v>
      </c>
      <c r="M866" s="2">
        <f ca="1">IFERROR(__xludf.DUMMYFUNCTION("""COMPUTED_VALUE"""),14.527)</f>
        <v>14.526999999999999</v>
      </c>
      <c r="U866" s="3" t="e">
        <f ca="1"/>
        <v>#NAME?</v>
      </c>
    </row>
    <row r="867" spans="3:21" ht="12.5" x14ac:dyDescent="0.25">
      <c r="C867" s="4">
        <f ca="1">IFERROR(__xludf.DUMMYFUNCTION("""COMPUTED_VALUE"""),41177.9986111111)</f>
        <v>41177.998611111099</v>
      </c>
      <c r="D867" s="2">
        <f ca="1">IFERROR(__xludf.DUMMYFUNCTION("""COMPUTED_VALUE"""),53.358)</f>
        <v>53.357999999999997</v>
      </c>
      <c r="E867" s="2">
        <f ca="1">IFERROR(__xludf.DUMMYFUNCTION("""COMPUTED_VALUE"""),70.54)</f>
        <v>70.540000000000006</v>
      </c>
      <c r="F867" s="2">
        <f ca="1">IFERROR(__xludf.DUMMYFUNCTION("""COMPUTED_VALUE"""),88.569)</f>
        <v>88.569000000000003</v>
      </c>
      <c r="G867" s="2">
        <f ca="1">IFERROR(__xludf.DUMMYFUNCTION("""COMPUTED_VALUE"""),0.65892)</f>
        <v>0.65891999999999995</v>
      </c>
      <c r="H867" s="2">
        <f ca="1">IFERROR(__xludf.DUMMYFUNCTION("""COMPUTED_VALUE"""),57.05)</f>
        <v>57.05</v>
      </c>
      <c r="I867" s="2">
        <f ca="1">IFERROR(__xludf.DUMMYFUNCTION("""COMPUTED_VALUE"""),55.075)</f>
        <v>55.075000000000003</v>
      </c>
      <c r="J867" s="2">
        <f ca="1">IFERROR(__xludf.DUMMYFUNCTION("""COMPUTED_VALUE"""),44.914)</f>
        <v>44.914000000000001</v>
      </c>
      <c r="K867" s="2">
        <f ca="1">IFERROR(__xludf.DUMMYFUNCTION("""COMPUTED_VALUE"""),57.871)</f>
        <v>57.871000000000002</v>
      </c>
      <c r="L867" s="2">
        <f ca="1">IFERROR(__xludf.DUMMYFUNCTION("""COMPUTED_VALUE"""),10.345)</f>
        <v>10.345000000000001</v>
      </c>
      <c r="M867" s="2">
        <f ca="1">IFERROR(__xludf.DUMMYFUNCTION("""COMPUTED_VALUE"""),14.568)</f>
        <v>14.568</v>
      </c>
      <c r="U867" s="3" t="e">
        <f ca="1"/>
        <v>#NAME?</v>
      </c>
    </row>
    <row r="868" spans="3:21" ht="12.5" x14ac:dyDescent="0.25">
      <c r="C868" s="4">
        <f ca="1">IFERROR(__xludf.DUMMYFUNCTION("""COMPUTED_VALUE"""),41178.9986111111)</f>
        <v>41178.998611111099</v>
      </c>
      <c r="D868" s="2">
        <f ca="1">IFERROR(__xludf.DUMMYFUNCTION("""COMPUTED_VALUE"""),53.508)</f>
        <v>53.508000000000003</v>
      </c>
      <c r="E868" s="2">
        <f ca="1">IFERROR(__xludf.DUMMYFUNCTION("""COMPUTED_VALUE"""),70.787)</f>
        <v>70.787000000000006</v>
      </c>
      <c r="F868" s="2">
        <f ca="1">IFERROR(__xludf.DUMMYFUNCTION("""COMPUTED_VALUE"""),88.518)</f>
        <v>88.518000000000001</v>
      </c>
      <c r="G868" s="2">
        <f ca="1">IFERROR(__xludf.DUMMYFUNCTION("""COMPUTED_VALUE"""),0.66075)</f>
        <v>0.66074999999999995</v>
      </c>
      <c r="H868" s="2">
        <f ca="1">IFERROR(__xludf.DUMMYFUNCTION("""COMPUTED_VALUE"""),57.05)</f>
        <v>57.05</v>
      </c>
      <c r="I868" s="2">
        <f ca="1">IFERROR(__xludf.DUMMYFUNCTION("""COMPUTED_VALUE"""),55.133)</f>
        <v>55.133000000000003</v>
      </c>
      <c r="J868" s="2">
        <f ca="1">IFERROR(__xludf.DUMMYFUNCTION("""COMPUTED_VALUE"""),44.924)</f>
        <v>44.923999999999999</v>
      </c>
      <c r="K868" s="2">
        <f ca="1">IFERROR(__xludf.DUMMYFUNCTION("""COMPUTED_VALUE"""),58.075)</f>
        <v>58.075000000000003</v>
      </c>
      <c r="L868" s="2">
        <f ca="1">IFERROR(__xludf.DUMMYFUNCTION("""COMPUTED_VALUE"""),10.211)</f>
        <v>10.211</v>
      </c>
      <c r="M868" s="2">
        <f ca="1">IFERROR(__xludf.DUMMYFUNCTION("""COMPUTED_VALUE"""),14.432)</f>
        <v>14.432</v>
      </c>
      <c r="U868" s="3" t="e">
        <f ca="1"/>
        <v>#NAME?</v>
      </c>
    </row>
    <row r="869" spans="3:21" ht="12.5" x14ac:dyDescent="0.25">
      <c r="C869" s="4">
        <f ca="1">IFERROR(__xludf.DUMMYFUNCTION("""COMPUTED_VALUE"""),41179.9986111111)</f>
        <v>41179.998611111099</v>
      </c>
      <c r="D869" s="2">
        <f ca="1">IFERROR(__xludf.DUMMYFUNCTION("""COMPUTED_VALUE"""),53.008)</f>
        <v>53.008000000000003</v>
      </c>
      <c r="E869" s="2">
        <f ca="1">IFERROR(__xludf.DUMMYFUNCTION("""COMPUTED_VALUE"""),70.985)</f>
        <v>70.984999999999999</v>
      </c>
      <c r="F869" s="2">
        <f ca="1">IFERROR(__xludf.DUMMYFUNCTION("""COMPUTED_VALUE"""),88.519)</f>
        <v>88.519000000000005</v>
      </c>
      <c r="G869" s="2">
        <f ca="1">IFERROR(__xludf.DUMMYFUNCTION("""COMPUTED_VALUE"""),0.65648)</f>
        <v>0.65647999999999995</v>
      </c>
      <c r="H869" s="2">
        <f ca="1">IFERROR(__xludf.DUMMYFUNCTION("""COMPUTED_VALUE"""),57.229)</f>
        <v>57.228999999999999</v>
      </c>
      <c r="I869" s="2">
        <f ca="1">IFERROR(__xludf.DUMMYFUNCTION("""COMPUTED_VALUE"""),55.133)</f>
        <v>55.133000000000003</v>
      </c>
      <c r="J869" s="2">
        <f ca="1">IFERROR(__xludf.DUMMYFUNCTION("""COMPUTED_VALUE"""),44.954)</f>
        <v>44.954000000000001</v>
      </c>
      <c r="K869" s="2">
        <f ca="1">IFERROR(__xludf.DUMMYFUNCTION("""COMPUTED_VALUE"""),58.147)</f>
        <v>58.146999999999998</v>
      </c>
      <c r="L869" s="2">
        <f ca="1">IFERROR(__xludf.DUMMYFUNCTION("""COMPUTED_VALUE"""),10.368)</f>
        <v>10.368</v>
      </c>
      <c r="M869" s="2">
        <f ca="1">IFERROR(__xludf.DUMMYFUNCTION("""COMPUTED_VALUE"""),14.388)</f>
        <v>14.388</v>
      </c>
      <c r="U869" s="3" t="e">
        <f ca="1"/>
        <v>#NAME?</v>
      </c>
    </row>
    <row r="870" spans="3:21" ht="12.5" x14ac:dyDescent="0.25">
      <c r="C870" s="4">
        <f ca="1">IFERROR(__xludf.DUMMYFUNCTION("""COMPUTED_VALUE"""),41180.9986111111)</f>
        <v>41180.998611111099</v>
      </c>
      <c r="D870" s="2">
        <f ca="1">IFERROR(__xludf.DUMMYFUNCTION("""COMPUTED_VALUE"""),52.848)</f>
        <v>52.847999999999999</v>
      </c>
      <c r="E870" s="2">
        <f ca="1">IFERROR(__xludf.DUMMYFUNCTION("""COMPUTED_VALUE"""),70.4)</f>
        <v>70.400000000000006</v>
      </c>
      <c r="F870" s="2">
        <f ca="1">IFERROR(__xludf.DUMMYFUNCTION("""COMPUTED_VALUE"""),88.519)</f>
        <v>88.519000000000005</v>
      </c>
      <c r="G870" s="2">
        <f ca="1">IFERROR(__xludf.DUMMYFUNCTION("""COMPUTED_VALUE"""),0.65193)</f>
        <v>0.65193000000000001</v>
      </c>
      <c r="H870" s="2">
        <f ca="1">IFERROR(__xludf.DUMMYFUNCTION("""COMPUTED_VALUE"""),57.183)</f>
        <v>57.183</v>
      </c>
      <c r="I870" s="2">
        <f ca="1">IFERROR(__xludf.DUMMYFUNCTION("""COMPUTED_VALUE"""),55.184)</f>
        <v>55.183999999999997</v>
      </c>
      <c r="J870" s="2">
        <f ca="1">IFERROR(__xludf.DUMMYFUNCTION("""COMPUTED_VALUE"""),44.96)</f>
        <v>44.96</v>
      </c>
      <c r="K870" s="2">
        <f ca="1">IFERROR(__xludf.DUMMYFUNCTION("""COMPUTED_VALUE"""),58.147)</f>
        <v>58.146999999999998</v>
      </c>
      <c r="L870" s="2">
        <f ca="1">IFERROR(__xludf.DUMMYFUNCTION("""COMPUTED_VALUE"""),10.357)</f>
        <v>10.356999999999999</v>
      </c>
      <c r="M870" s="2">
        <f ca="1">IFERROR(__xludf.DUMMYFUNCTION("""COMPUTED_VALUE"""),14.388)</f>
        <v>14.388</v>
      </c>
      <c r="U870" s="3" t="e">
        <f ca="1"/>
        <v>#NAME?</v>
      </c>
    </row>
    <row r="871" spans="3:21" ht="12.5" x14ac:dyDescent="0.25">
      <c r="C871" s="4">
        <f ca="1">IFERROR(__xludf.DUMMYFUNCTION("""COMPUTED_VALUE"""),41181.9986111111)</f>
        <v>41181.998611111099</v>
      </c>
      <c r="D871" s="2">
        <f ca="1">IFERROR(__xludf.DUMMYFUNCTION("""COMPUTED_VALUE"""),52.848)</f>
        <v>52.847999999999999</v>
      </c>
      <c r="E871" s="2">
        <f ca="1">IFERROR(__xludf.DUMMYFUNCTION("""COMPUTED_VALUE"""),71.874)</f>
        <v>71.873999999999995</v>
      </c>
      <c r="F871" s="2">
        <f ca="1">IFERROR(__xludf.DUMMYFUNCTION("""COMPUTED_VALUE"""),88.548)</f>
        <v>88.548000000000002</v>
      </c>
      <c r="G871" s="2">
        <f ca="1">IFERROR(__xludf.DUMMYFUNCTION("""COMPUTED_VALUE"""),0.65019)</f>
        <v>0.65019000000000005</v>
      </c>
      <c r="H871" s="2">
        <f ca="1">IFERROR(__xludf.DUMMYFUNCTION("""COMPUTED_VALUE"""),57.137)</f>
        <v>57.137</v>
      </c>
      <c r="I871" s="2">
        <f ca="1">IFERROR(__xludf.DUMMYFUNCTION("""COMPUTED_VALUE"""),55.218)</f>
        <v>55.218000000000004</v>
      </c>
      <c r="J871" s="2">
        <f ca="1">IFERROR(__xludf.DUMMYFUNCTION("""COMPUTED_VALUE"""),45.026)</f>
        <v>45.026000000000003</v>
      </c>
      <c r="K871" s="2">
        <f ca="1">IFERROR(__xludf.DUMMYFUNCTION("""COMPUTED_VALUE"""),58.152)</f>
        <v>58.152000000000001</v>
      </c>
      <c r="L871" s="2">
        <f ca="1">IFERROR(__xludf.DUMMYFUNCTION("""COMPUTED_VALUE"""),10.276)</f>
        <v>10.276</v>
      </c>
      <c r="M871" s="2">
        <f ca="1">IFERROR(__xludf.DUMMYFUNCTION("""COMPUTED_VALUE"""),14.388)</f>
        <v>14.388</v>
      </c>
      <c r="U871" s="3" t="e">
        <f ca="1"/>
        <v>#NAME?</v>
      </c>
    </row>
    <row r="872" spans="3:21" ht="12.5" x14ac:dyDescent="0.25">
      <c r="C872" s="4">
        <f ca="1">IFERROR(__xludf.DUMMYFUNCTION("""COMPUTED_VALUE"""),41183.9986111111)</f>
        <v>41183.998611111099</v>
      </c>
      <c r="D872" s="2">
        <f ca="1">IFERROR(__xludf.DUMMYFUNCTION("""COMPUTED_VALUE"""),52.398)</f>
        <v>52.398000000000003</v>
      </c>
      <c r="E872" s="2">
        <f ca="1">IFERROR(__xludf.DUMMYFUNCTION("""COMPUTED_VALUE"""),71.874)</f>
        <v>71.873999999999995</v>
      </c>
      <c r="F872" s="2">
        <f ca="1">IFERROR(__xludf.DUMMYFUNCTION("""COMPUTED_VALUE"""),88.832)</f>
        <v>88.831999999999994</v>
      </c>
      <c r="G872" s="2">
        <f ca="1">IFERROR(__xludf.DUMMYFUNCTION("""COMPUTED_VALUE"""),0.65199)</f>
        <v>0.65198999999999996</v>
      </c>
      <c r="H872" s="2">
        <f ca="1">IFERROR(__xludf.DUMMYFUNCTION("""COMPUTED_VALUE"""),57.232)</f>
        <v>57.231999999999999</v>
      </c>
      <c r="I872" s="2">
        <f ca="1">IFERROR(__xludf.DUMMYFUNCTION("""COMPUTED_VALUE"""),55.266)</f>
        <v>55.265999999999998</v>
      </c>
      <c r="J872" s="2">
        <f ca="1">IFERROR(__xludf.DUMMYFUNCTION("""COMPUTED_VALUE"""),45.313)</f>
        <v>45.313000000000002</v>
      </c>
      <c r="K872" s="2">
        <f ca="1">IFERROR(__xludf.DUMMYFUNCTION("""COMPUTED_VALUE"""),58.149)</f>
        <v>58.149000000000001</v>
      </c>
      <c r="L872" s="2">
        <f ca="1">IFERROR(__xludf.DUMMYFUNCTION("""COMPUTED_VALUE"""),10.262)</f>
        <v>10.262</v>
      </c>
      <c r="M872" s="2">
        <f ca="1">IFERROR(__xludf.DUMMYFUNCTION("""COMPUTED_VALUE"""),14.266)</f>
        <v>14.266</v>
      </c>
      <c r="U872" s="3" t="e">
        <f ca="1"/>
        <v>#NAME?</v>
      </c>
    </row>
    <row r="873" spans="3:21" ht="12.5" x14ac:dyDescent="0.25">
      <c r="C873" s="4">
        <f ca="1">IFERROR(__xludf.DUMMYFUNCTION("""COMPUTED_VALUE"""),41184.9986111111)</f>
        <v>41184.998611111099</v>
      </c>
      <c r="D873" s="2">
        <f ca="1">IFERROR(__xludf.DUMMYFUNCTION("""COMPUTED_VALUE"""),52.398)</f>
        <v>52.398000000000003</v>
      </c>
      <c r="E873" s="2">
        <f ca="1">IFERROR(__xludf.DUMMYFUNCTION("""COMPUTED_VALUE"""),72.195)</f>
        <v>72.194999999999993</v>
      </c>
      <c r="F873" s="2">
        <f ca="1">IFERROR(__xludf.DUMMYFUNCTION("""COMPUTED_VALUE"""),88.826)</f>
        <v>88.825999999999993</v>
      </c>
      <c r="G873" s="2">
        <f ca="1">IFERROR(__xludf.DUMMYFUNCTION("""COMPUTED_VALUE"""),0.63691)</f>
        <v>0.63690999999999998</v>
      </c>
      <c r="H873" s="2">
        <f ca="1">IFERROR(__xludf.DUMMYFUNCTION("""COMPUTED_VALUE"""),57.954)</f>
        <v>57.954000000000001</v>
      </c>
      <c r="I873" s="2">
        <f ca="1">IFERROR(__xludf.DUMMYFUNCTION("""COMPUTED_VALUE"""),55.273)</f>
        <v>55.273000000000003</v>
      </c>
      <c r="J873" s="2">
        <f ca="1">IFERROR(__xludf.DUMMYFUNCTION("""COMPUTED_VALUE"""),45.301)</f>
        <v>45.301000000000002</v>
      </c>
      <c r="K873" s="2">
        <f ca="1">IFERROR(__xludf.DUMMYFUNCTION("""COMPUTED_VALUE"""),58.413)</f>
        <v>58.412999999999997</v>
      </c>
      <c r="L873" s="2">
        <f ca="1">IFERROR(__xludf.DUMMYFUNCTION("""COMPUTED_VALUE"""),10.227)</f>
        <v>10.227</v>
      </c>
      <c r="M873" s="2">
        <f ca="1">IFERROR(__xludf.DUMMYFUNCTION("""COMPUTED_VALUE"""),14.266)</f>
        <v>14.266</v>
      </c>
      <c r="U873" s="3" t="e">
        <f ca="1"/>
        <v>#NAME?</v>
      </c>
    </row>
    <row r="874" spans="3:21" ht="12.5" x14ac:dyDescent="0.25">
      <c r="C874" s="4">
        <f ca="1">IFERROR(__xludf.DUMMYFUNCTION("""COMPUTED_VALUE"""),41185.9986111111)</f>
        <v>41185.998611111099</v>
      </c>
      <c r="D874" s="2">
        <f ca="1">IFERROR(__xludf.DUMMYFUNCTION("""COMPUTED_VALUE"""),52.153)</f>
        <v>52.152999999999999</v>
      </c>
      <c r="E874" s="2">
        <f ca="1">IFERROR(__xludf.DUMMYFUNCTION("""COMPUTED_VALUE"""),71.668)</f>
        <v>71.668000000000006</v>
      </c>
      <c r="F874" s="2">
        <f ca="1">IFERROR(__xludf.DUMMYFUNCTION("""COMPUTED_VALUE"""),89.392)</f>
        <v>89.391999999999996</v>
      </c>
      <c r="G874" s="2">
        <f ca="1">IFERROR(__xludf.DUMMYFUNCTION("""COMPUTED_VALUE"""),0.65297)</f>
        <v>0.65297000000000005</v>
      </c>
      <c r="H874" s="2">
        <f ca="1">IFERROR(__xludf.DUMMYFUNCTION("""COMPUTED_VALUE"""),57.993)</f>
        <v>57.993000000000002</v>
      </c>
      <c r="I874" s="2">
        <f ca="1">IFERROR(__xludf.DUMMYFUNCTION("""COMPUTED_VALUE"""),55.806)</f>
        <v>55.805999999999997</v>
      </c>
      <c r="J874" s="2">
        <f ca="1">IFERROR(__xludf.DUMMYFUNCTION("""COMPUTED_VALUE"""),45.301)</f>
        <v>45.301000000000002</v>
      </c>
      <c r="K874" s="2">
        <f ca="1">IFERROR(__xludf.DUMMYFUNCTION("""COMPUTED_VALUE"""),58.283)</f>
        <v>58.283000000000001</v>
      </c>
      <c r="L874" s="2">
        <f ca="1">IFERROR(__xludf.DUMMYFUNCTION("""COMPUTED_VALUE"""),10.237)</f>
        <v>10.237</v>
      </c>
      <c r="M874" s="2">
        <f ca="1">IFERROR(__xludf.DUMMYFUNCTION("""COMPUTED_VALUE"""),14.199)</f>
        <v>14.199</v>
      </c>
      <c r="U874" s="3" t="e">
        <f ca="1"/>
        <v>#NAME?</v>
      </c>
    </row>
    <row r="875" spans="3:21" ht="12.5" x14ac:dyDescent="0.25">
      <c r="C875" s="4">
        <f ca="1">IFERROR(__xludf.DUMMYFUNCTION("""COMPUTED_VALUE"""),41186.9986111111)</f>
        <v>41186.998611111099</v>
      </c>
      <c r="D875" s="2">
        <f ca="1">IFERROR(__xludf.DUMMYFUNCTION("""COMPUTED_VALUE"""),51.738)</f>
        <v>51.738</v>
      </c>
      <c r="E875" s="2">
        <f ca="1">IFERROR(__xludf.DUMMYFUNCTION("""COMPUTED_VALUE"""),72.076)</f>
        <v>72.075999999999993</v>
      </c>
      <c r="F875" s="2">
        <f ca="1">IFERROR(__xludf.DUMMYFUNCTION("""COMPUTED_VALUE"""),88.053)</f>
        <v>88.052999999999997</v>
      </c>
      <c r="G875" s="2">
        <f ca="1">IFERROR(__xludf.DUMMYFUNCTION("""COMPUTED_VALUE"""),0.6495)</f>
        <v>0.64949999999999997</v>
      </c>
      <c r="H875" s="2">
        <f ca="1">IFERROR(__xludf.DUMMYFUNCTION("""COMPUTED_VALUE"""),58.222)</f>
        <v>58.222000000000001</v>
      </c>
      <c r="I875" s="2">
        <f ca="1">IFERROR(__xludf.DUMMYFUNCTION("""COMPUTED_VALUE"""),55.859)</f>
        <v>55.859000000000002</v>
      </c>
      <c r="J875" s="2">
        <f ca="1">IFERROR(__xludf.DUMMYFUNCTION("""COMPUTED_VALUE"""),45.507)</f>
        <v>45.506999999999998</v>
      </c>
      <c r="K875" s="2">
        <f ca="1">IFERROR(__xludf.DUMMYFUNCTION("""COMPUTED_VALUE"""),58.561)</f>
        <v>58.561</v>
      </c>
      <c r="L875" s="2">
        <f ca="1">IFERROR(__xludf.DUMMYFUNCTION("""COMPUTED_VALUE"""),10.191)</f>
        <v>10.191000000000001</v>
      </c>
      <c r="M875" s="2">
        <f ca="1">IFERROR(__xludf.DUMMYFUNCTION("""COMPUTED_VALUE"""),14.086)</f>
        <v>14.086</v>
      </c>
      <c r="U875" s="3" t="e">
        <f ca="1"/>
        <v>#NAME?</v>
      </c>
    </row>
    <row r="876" spans="3:21" ht="12.5" x14ac:dyDescent="0.25">
      <c r="C876" s="4">
        <f ca="1">IFERROR(__xludf.DUMMYFUNCTION("""COMPUTED_VALUE"""),41187.9986111111)</f>
        <v>41187.998611111099</v>
      </c>
      <c r="D876" s="2">
        <f ca="1">IFERROR(__xludf.DUMMYFUNCTION("""COMPUTED_VALUE"""),51.908)</f>
        <v>51.908000000000001</v>
      </c>
      <c r="E876" s="2">
        <f ca="1">IFERROR(__xludf.DUMMYFUNCTION("""COMPUTED_VALUE"""),71.081)</f>
        <v>71.081000000000003</v>
      </c>
      <c r="F876" s="2">
        <f ca="1">IFERROR(__xludf.DUMMYFUNCTION("""COMPUTED_VALUE"""),88.058)</f>
        <v>88.058000000000007</v>
      </c>
      <c r="G876" s="2">
        <f ca="1">IFERROR(__xludf.DUMMYFUNCTION("""COMPUTED_VALUE"""),0.64676)</f>
        <v>0.64676</v>
      </c>
      <c r="H876" s="2">
        <f ca="1">IFERROR(__xludf.DUMMYFUNCTION("""COMPUTED_VALUE"""),57.85)</f>
        <v>57.85</v>
      </c>
      <c r="I876" s="2">
        <f ca="1">IFERROR(__xludf.DUMMYFUNCTION("""COMPUTED_VALUE"""),55.982)</f>
        <v>55.981999999999999</v>
      </c>
      <c r="J876" s="2">
        <f ca="1">IFERROR(__xludf.DUMMYFUNCTION("""COMPUTED_VALUE"""),45.278)</f>
        <v>45.277999999999999</v>
      </c>
      <c r="K876" s="2">
        <f ca="1">IFERROR(__xludf.DUMMYFUNCTION("""COMPUTED_VALUE"""),58.639)</f>
        <v>58.639000000000003</v>
      </c>
      <c r="L876" s="2">
        <f ca="1">IFERROR(__xludf.DUMMYFUNCTION("""COMPUTED_VALUE"""),10.204)</f>
        <v>10.204000000000001</v>
      </c>
      <c r="M876" s="2">
        <f ca="1">IFERROR(__xludf.DUMMYFUNCTION("""COMPUTED_VALUE"""),14.132)</f>
        <v>14.132</v>
      </c>
      <c r="U876" s="3" t="e">
        <f ca="1"/>
        <v>#NAME?</v>
      </c>
    </row>
    <row r="877" spans="3:21" ht="12.5" x14ac:dyDescent="0.25">
      <c r="C877" s="4">
        <f ca="1">IFERROR(__xludf.DUMMYFUNCTION("""COMPUTED_VALUE"""),41189.9986111111)</f>
        <v>41189.998611111099</v>
      </c>
      <c r="D877" s="2">
        <f ca="1">IFERROR(__xludf.DUMMYFUNCTION("""COMPUTED_VALUE"""),51.908)</f>
        <v>51.908000000000001</v>
      </c>
      <c r="E877" s="2">
        <f ca="1">IFERROR(__xludf.DUMMYFUNCTION("""COMPUTED_VALUE"""),70.459)</f>
        <v>70.459000000000003</v>
      </c>
      <c r="F877" s="2">
        <f ca="1">IFERROR(__xludf.DUMMYFUNCTION("""COMPUTED_VALUE"""),88.058)</f>
        <v>88.058000000000007</v>
      </c>
      <c r="G877" s="2">
        <f ca="1">IFERROR(__xludf.DUMMYFUNCTION("""COMPUTED_VALUE"""),0.64917)</f>
        <v>0.64917000000000002</v>
      </c>
      <c r="H877" s="2">
        <f ca="1">IFERROR(__xludf.DUMMYFUNCTION("""COMPUTED_VALUE"""),58.279)</f>
        <v>58.279000000000003</v>
      </c>
      <c r="I877" s="2">
        <f ca="1">IFERROR(__xludf.DUMMYFUNCTION("""COMPUTED_VALUE"""),55.703)</f>
        <v>55.703000000000003</v>
      </c>
      <c r="J877" s="2">
        <f ca="1">IFERROR(__xludf.DUMMYFUNCTION("""COMPUTED_VALUE"""),45.524)</f>
        <v>45.524000000000001</v>
      </c>
      <c r="K877" s="2">
        <f ca="1">IFERROR(__xludf.DUMMYFUNCTION("""COMPUTED_VALUE"""),58.555)</f>
        <v>58.555</v>
      </c>
      <c r="L877" s="2">
        <f ca="1">IFERROR(__xludf.DUMMYFUNCTION("""COMPUTED_VALUE"""),10.181)</f>
        <v>10.180999999999999</v>
      </c>
      <c r="M877" s="2">
        <f ca="1">IFERROR(__xludf.DUMMYFUNCTION("""COMPUTED_VALUE"""),14.132)</f>
        <v>14.132</v>
      </c>
      <c r="U877" s="3" t="e">
        <f ca="1"/>
        <v>#NAME?</v>
      </c>
    </row>
    <row r="878" spans="3:21" ht="12.5" x14ac:dyDescent="0.25">
      <c r="C878" s="4">
        <f ca="1">IFERROR(__xludf.DUMMYFUNCTION("""COMPUTED_VALUE"""),41190.9986111111)</f>
        <v>41190.998611111099</v>
      </c>
      <c r="D878" s="2">
        <f ca="1">IFERROR(__xludf.DUMMYFUNCTION("""COMPUTED_VALUE"""),52.638)</f>
        <v>52.637999999999998</v>
      </c>
      <c r="E878" s="2">
        <f ca="1">IFERROR(__xludf.DUMMYFUNCTION("""COMPUTED_VALUE"""),70.563)</f>
        <v>70.563000000000002</v>
      </c>
      <c r="F878" s="2">
        <f ca="1">IFERROR(__xludf.DUMMYFUNCTION("""COMPUTED_VALUE"""),87.664)</f>
        <v>87.664000000000001</v>
      </c>
      <c r="G878" s="2">
        <f ca="1">IFERROR(__xludf.DUMMYFUNCTION("""COMPUTED_VALUE"""),0.65355)</f>
        <v>0.65354999999999996</v>
      </c>
      <c r="H878" s="2">
        <f ca="1">IFERROR(__xludf.DUMMYFUNCTION("""COMPUTED_VALUE"""),57.129)</f>
        <v>57.128999999999998</v>
      </c>
      <c r="I878" s="2">
        <f ca="1">IFERROR(__xludf.DUMMYFUNCTION("""COMPUTED_VALUE"""),56.092)</f>
        <v>56.091999999999999</v>
      </c>
      <c r="J878" s="2">
        <f ca="1">IFERROR(__xludf.DUMMYFUNCTION("""COMPUTED_VALUE"""),44.884)</f>
        <v>44.884</v>
      </c>
      <c r="K878" s="2">
        <f ca="1">IFERROR(__xludf.DUMMYFUNCTION("""COMPUTED_VALUE"""),58.877)</f>
        <v>58.877000000000002</v>
      </c>
      <c r="L878" s="2">
        <f ca="1">IFERROR(__xludf.DUMMYFUNCTION("""COMPUTED_VALUE"""),10.142)</f>
        <v>10.141999999999999</v>
      </c>
      <c r="M878" s="2">
        <f ca="1">IFERROR(__xludf.DUMMYFUNCTION("""COMPUTED_VALUE"""),14.132)</f>
        <v>14.132</v>
      </c>
      <c r="U878" s="3" t="e">
        <f ca="1"/>
        <v>#NAME?</v>
      </c>
    </row>
    <row r="879" spans="3:21" ht="12.5" x14ac:dyDescent="0.25">
      <c r="C879" s="4">
        <f ca="1">IFERROR(__xludf.DUMMYFUNCTION("""COMPUTED_VALUE"""),41191.9986111111)</f>
        <v>41191.998611111099</v>
      </c>
      <c r="D879" s="2">
        <f ca="1">IFERROR(__xludf.DUMMYFUNCTION("""COMPUTED_VALUE"""),52.718)</f>
        <v>52.718000000000004</v>
      </c>
      <c r="E879" s="2">
        <f ca="1">IFERROR(__xludf.DUMMYFUNCTION("""COMPUTED_VALUE"""),71.473)</f>
        <v>71.472999999999999</v>
      </c>
      <c r="F879" s="2">
        <f ca="1">IFERROR(__xludf.DUMMYFUNCTION("""COMPUTED_VALUE"""),87.651)</f>
        <v>87.650999999999996</v>
      </c>
      <c r="G879" s="2">
        <f ca="1">IFERROR(__xludf.DUMMYFUNCTION("""COMPUTED_VALUE"""),0.64732)</f>
        <v>0.64732000000000001</v>
      </c>
      <c r="H879" s="2">
        <f ca="1">IFERROR(__xludf.DUMMYFUNCTION("""COMPUTED_VALUE"""),56.517)</f>
        <v>56.517000000000003</v>
      </c>
      <c r="I879" s="2">
        <f ca="1">IFERROR(__xludf.DUMMYFUNCTION("""COMPUTED_VALUE"""),55.166)</f>
        <v>55.165999999999997</v>
      </c>
      <c r="J879" s="2">
        <f ca="1">IFERROR(__xludf.DUMMYFUNCTION("""COMPUTED_VALUE"""),44.465)</f>
        <v>44.465000000000003</v>
      </c>
      <c r="K879" s="2">
        <f ca="1">IFERROR(__xludf.DUMMYFUNCTION("""COMPUTED_VALUE"""),58.829)</f>
        <v>58.829000000000001</v>
      </c>
      <c r="L879" s="2">
        <f ca="1">IFERROR(__xludf.DUMMYFUNCTION("""COMPUTED_VALUE"""),10.056)</f>
        <v>10.055999999999999</v>
      </c>
      <c r="M879" s="2">
        <f ca="1">IFERROR(__xludf.DUMMYFUNCTION("""COMPUTED_VALUE"""),14.331)</f>
        <v>14.331</v>
      </c>
      <c r="U879" s="3" t="e">
        <f ca="1"/>
        <v>#NAME?</v>
      </c>
    </row>
    <row r="880" spans="3:21" ht="12.5" x14ac:dyDescent="0.25">
      <c r="C880" s="4">
        <f ca="1">IFERROR(__xludf.DUMMYFUNCTION("""COMPUTED_VALUE"""),41192.9986111111)</f>
        <v>41192.998611111099</v>
      </c>
      <c r="D880" s="2">
        <f ca="1">IFERROR(__xludf.DUMMYFUNCTION("""COMPUTED_VALUE"""),53.043)</f>
        <v>53.042999999999999</v>
      </c>
      <c r="E880" s="2">
        <f ca="1">IFERROR(__xludf.DUMMYFUNCTION("""COMPUTED_VALUE"""),71.526)</f>
        <v>71.525999999999996</v>
      </c>
      <c r="F880" s="2">
        <f ca="1">IFERROR(__xludf.DUMMYFUNCTION("""COMPUTED_VALUE"""),87.543)</f>
        <v>87.543000000000006</v>
      </c>
      <c r="G880" s="2">
        <f ca="1">IFERROR(__xludf.DUMMYFUNCTION("""COMPUTED_VALUE"""),0.64635)</f>
        <v>0.64634999999999998</v>
      </c>
      <c r="H880" s="2">
        <f ca="1">IFERROR(__xludf.DUMMYFUNCTION("""COMPUTED_VALUE"""),56.58)</f>
        <v>56.58</v>
      </c>
      <c r="I880" s="2">
        <f ca="1">IFERROR(__xludf.DUMMYFUNCTION("""COMPUTED_VALUE"""),54.511)</f>
        <v>54.511000000000003</v>
      </c>
      <c r="J880" s="2">
        <f ca="1">IFERROR(__xludf.DUMMYFUNCTION("""COMPUTED_VALUE"""),44.437)</f>
        <v>44.436999999999998</v>
      </c>
      <c r="K880" s="2">
        <f ca="1">IFERROR(__xludf.DUMMYFUNCTION("""COMPUTED_VALUE"""),59.181)</f>
        <v>59.180999999999997</v>
      </c>
      <c r="L880" s="2">
        <f ca="1">IFERROR(__xludf.DUMMYFUNCTION("""COMPUTED_VALUE"""),10.142)</f>
        <v>10.141999999999999</v>
      </c>
      <c r="M880" s="2">
        <f ca="1">IFERROR(__xludf.DUMMYFUNCTION("""COMPUTED_VALUE"""),14.353)</f>
        <v>14.353</v>
      </c>
      <c r="U880" s="3" t="e">
        <f ca="1"/>
        <v>#NAME?</v>
      </c>
    </row>
    <row r="881" spans="3:21" ht="12.5" x14ac:dyDescent="0.25">
      <c r="C881" s="4">
        <f ca="1">IFERROR(__xludf.DUMMYFUNCTION("""COMPUTED_VALUE"""),41193.9986111111)</f>
        <v>41193.998611111099</v>
      </c>
      <c r="D881" s="2">
        <f ca="1">IFERROR(__xludf.DUMMYFUNCTION("""COMPUTED_VALUE"""),52.668)</f>
        <v>52.667999999999999</v>
      </c>
      <c r="E881" s="2">
        <f ca="1">IFERROR(__xludf.DUMMYFUNCTION("""COMPUTED_VALUE"""),71.208)</f>
        <v>71.207999999999998</v>
      </c>
      <c r="F881" s="2">
        <f ca="1">IFERROR(__xludf.DUMMYFUNCTION("""COMPUTED_VALUE"""),87.907)</f>
        <v>87.906999999999996</v>
      </c>
      <c r="G881" s="2">
        <f ca="1">IFERROR(__xludf.DUMMYFUNCTION("""COMPUTED_VALUE"""),0.63989)</f>
        <v>0.63988999999999996</v>
      </c>
      <c r="H881" s="2">
        <f ca="1">IFERROR(__xludf.DUMMYFUNCTION("""COMPUTED_VALUE"""),57.078)</f>
        <v>57.078000000000003</v>
      </c>
      <c r="I881" s="2">
        <f ca="1">IFERROR(__xludf.DUMMYFUNCTION("""COMPUTED_VALUE"""),54.618)</f>
        <v>54.618000000000002</v>
      </c>
      <c r="J881" s="2">
        <f ca="1">IFERROR(__xludf.DUMMYFUNCTION("""COMPUTED_VALUE"""),44.437)</f>
        <v>44.436999999999998</v>
      </c>
      <c r="K881" s="2">
        <f ca="1">IFERROR(__xludf.DUMMYFUNCTION("""COMPUTED_VALUE"""),58.517)</f>
        <v>58.517000000000003</v>
      </c>
      <c r="L881" s="2">
        <f ca="1">IFERROR(__xludf.DUMMYFUNCTION("""COMPUTED_VALUE"""),10.127)</f>
        <v>10.127000000000001</v>
      </c>
      <c r="M881" s="2">
        <f ca="1">IFERROR(__xludf.DUMMYFUNCTION("""COMPUTED_VALUE"""),14.441)</f>
        <v>14.441000000000001</v>
      </c>
      <c r="U881" s="3" t="e">
        <f ca="1"/>
        <v>#NAME?</v>
      </c>
    </row>
    <row r="882" spans="3:21" ht="12.5" x14ac:dyDescent="0.25">
      <c r="C882" s="4">
        <f ca="1">IFERROR(__xludf.DUMMYFUNCTION("""COMPUTED_VALUE"""),41194.9986111111)</f>
        <v>41194.998611111099</v>
      </c>
      <c r="D882" s="2">
        <f ca="1">IFERROR(__xludf.DUMMYFUNCTION("""COMPUTED_VALUE"""),52.65)</f>
        <v>52.65</v>
      </c>
      <c r="E882" s="2">
        <f ca="1">IFERROR(__xludf.DUMMYFUNCTION("""COMPUTED_VALUE"""),70.094)</f>
        <v>70.093999999999994</v>
      </c>
      <c r="F882" s="2">
        <f ca="1">IFERROR(__xludf.DUMMYFUNCTION("""COMPUTED_VALUE"""),86.487)</f>
        <v>86.486999999999995</v>
      </c>
      <c r="G882" s="2">
        <f ca="1">IFERROR(__xludf.DUMMYFUNCTION("""COMPUTED_VALUE"""),0.63473)</f>
        <v>0.63473000000000002</v>
      </c>
      <c r="H882" s="2">
        <f ca="1">IFERROR(__xludf.DUMMYFUNCTION("""COMPUTED_VALUE"""),57.196)</f>
        <v>57.195999999999998</v>
      </c>
      <c r="I882" s="2">
        <f ca="1">IFERROR(__xludf.DUMMYFUNCTION("""COMPUTED_VALUE"""),55.015)</f>
        <v>55.015000000000001</v>
      </c>
      <c r="J882" s="2">
        <f ca="1">IFERROR(__xludf.DUMMYFUNCTION("""COMPUTED_VALUE"""),44.891)</f>
        <v>44.890999999999998</v>
      </c>
      <c r="K882" s="2">
        <f ca="1">IFERROR(__xludf.DUMMYFUNCTION("""COMPUTED_VALUE"""),58.53)</f>
        <v>58.53</v>
      </c>
      <c r="L882" s="2">
        <f ca="1">IFERROR(__xludf.DUMMYFUNCTION("""COMPUTED_VALUE"""),10.143)</f>
        <v>10.143000000000001</v>
      </c>
      <c r="M882" s="2">
        <f ca="1">IFERROR(__xludf.DUMMYFUNCTION("""COMPUTED_VALUE"""),14.339)</f>
        <v>14.339</v>
      </c>
      <c r="U882" s="3" t="e">
        <f ca="1"/>
        <v>#NAME?</v>
      </c>
    </row>
    <row r="883" spans="3:21" ht="12.5" x14ac:dyDescent="0.25">
      <c r="C883" s="4">
        <f ca="1">IFERROR(__xludf.DUMMYFUNCTION("""COMPUTED_VALUE"""),41195.9986111111)</f>
        <v>41195.998611111099</v>
      </c>
      <c r="D883" s="2">
        <f ca="1">IFERROR(__xludf.DUMMYFUNCTION("""COMPUTED_VALUE"""),52.803)</f>
        <v>52.802999999999997</v>
      </c>
      <c r="E883" s="2">
        <f ca="1">IFERROR(__xludf.DUMMYFUNCTION("""COMPUTED_VALUE"""),70.171)</f>
        <v>70.171000000000006</v>
      </c>
      <c r="F883" s="2">
        <f ca="1">IFERROR(__xludf.DUMMYFUNCTION("""COMPUTED_VALUE"""),86.592)</f>
        <v>86.591999999999999</v>
      </c>
      <c r="G883" s="2">
        <f ca="1">IFERROR(__xludf.DUMMYFUNCTION("""COMPUTED_VALUE"""),0.63715)</f>
        <v>0.63714999999999999</v>
      </c>
      <c r="H883" s="2">
        <f ca="1">IFERROR(__xludf.DUMMYFUNCTION("""COMPUTED_VALUE"""),56.905)</f>
        <v>56.905000000000001</v>
      </c>
      <c r="I883" s="2">
        <f ca="1">IFERROR(__xludf.DUMMYFUNCTION("""COMPUTED_VALUE"""),54.984)</f>
        <v>54.984000000000002</v>
      </c>
      <c r="J883" s="2">
        <f ca="1">IFERROR(__xludf.DUMMYFUNCTION("""COMPUTED_VALUE"""),44.845)</f>
        <v>44.844999999999999</v>
      </c>
      <c r="K883" s="2">
        <f ca="1">IFERROR(__xludf.DUMMYFUNCTION("""COMPUTED_VALUE"""),58.18)</f>
        <v>58.18</v>
      </c>
      <c r="L883" s="2">
        <f ca="1">IFERROR(__xludf.DUMMYFUNCTION("""COMPUTED_VALUE"""),10.144)</f>
        <v>10.144</v>
      </c>
      <c r="M883" s="2">
        <f ca="1">IFERROR(__xludf.DUMMYFUNCTION("""COMPUTED_VALUE"""),14.334)</f>
        <v>14.334</v>
      </c>
      <c r="U883" s="3" t="e">
        <f ca="1"/>
        <v>#NAME?</v>
      </c>
    </row>
    <row r="884" spans="3:21" ht="12.5" x14ac:dyDescent="0.25">
      <c r="C884" s="4">
        <f ca="1">IFERROR(__xludf.DUMMYFUNCTION("""COMPUTED_VALUE"""),41196.9986111111)</f>
        <v>41196.998611111099</v>
      </c>
      <c r="D884" s="2">
        <f ca="1">IFERROR(__xludf.DUMMYFUNCTION("""COMPUTED_VALUE"""),52.803)</f>
        <v>52.802999999999997</v>
      </c>
      <c r="E884" s="2">
        <f ca="1">IFERROR(__xludf.DUMMYFUNCTION("""COMPUTED_VALUE"""),70.243)</f>
        <v>70.242999999999995</v>
      </c>
      <c r="F884" s="2">
        <f ca="1">IFERROR(__xludf.DUMMYFUNCTION("""COMPUTED_VALUE"""),86.592)</f>
        <v>86.591999999999999</v>
      </c>
      <c r="G884" s="2">
        <f ca="1">IFERROR(__xludf.DUMMYFUNCTION("""COMPUTED_VALUE"""),0.6359)</f>
        <v>0.63590000000000002</v>
      </c>
      <c r="H884" s="2">
        <f ca="1">IFERROR(__xludf.DUMMYFUNCTION("""COMPUTED_VALUE"""),56.641)</f>
        <v>56.640999999999998</v>
      </c>
      <c r="I884" s="2">
        <f ca="1">IFERROR(__xludf.DUMMYFUNCTION("""COMPUTED_VALUE"""),54.914)</f>
        <v>54.914000000000001</v>
      </c>
      <c r="J884" s="2">
        <f ca="1">IFERROR(__xludf.DUMMYFUNCTION("""COMPUTED_VALUE"""),44.705)</f>
        <v>44.704999999999998</v>
      </c>
      <c r="K884" s="2">
        <f ca="1">IFERROR(__xludf.DUMMYFUNCTION("""COMPUTED_VALUE"""),58.122)</f>
        <v>58.122</v>
      </c>
      <c r="L884" s="2">
        <f ca="1">IFERROR(__xludf.DUMMYFUNCTION("""COMPUTED_VALUE"""),10.097)</f>
        <v>10.097</v>
      </c>
      <c r="M884" s="2">
        <f ca="1">IFERROR(__xludf.DUMMYFUNCTION("""COMPUTED_VALUE"""),14.376)</f>
        <v>14.375999999999999</v>
      </c>
      <c r="U884" s="3" t="e">
        <f ca="1"/>
        <v>#NAME?</v>
      </c>
    </row>
    <row r="885" spans="3:21" ht="12.5" x14ac:dyDescent="0.25">
      <c r="C885" s="4">
        <f ca="1">IFERROR(__xludf.DUMMYFUNCTION("""COMPUTED_VALUE"""),41197.9986111111)</f>
        <v>41197.998611111099</v>
      </c>
      <c r="D885" s="2">
        <f ca="1">IFERROR(__xludf.DUMMYFUNCTION("""COMPUTED_VALUE"""),53.013)</f>
        <v>53.012999999999998</v>
      </c>
      <c r="E885" s="2">
        <f ca="1">IFERROR(__xludf.DUMMYFUNCTION("""COMPUTED_VALUE"""),70.169)</f>
        <v>70.168999999999997</v>
      </c>
      <c r="F885" s="2">
        <f ca="1">IFERROR(__xludf.DUMMYFUNCTION("""COMPUTED_VALUE"""),86.651)</f>
        <v>86.650999999999996</v>
      </c>
      <c r="G885" s="2">
        <f ca="1">IFERROR(__xludf.DUMMYFUNCTION("""COMPUTED_VALUE"""),0.63354)</f>
        <v>0.63353999999999999</v>
      </c>
      <c r="H885" s="2">
        <f ca="1">IFERROR(__xludf.DUMMYFUNCTION("""COMPUTED_VALUE"""),56.926)</f>
        <v>56.926000000000002</v>
      </c>
      <c r="I885" s="2">
        <f ca="1">IFERROR(__xludf.DUMMYFUNCTION("""COMPUTED_VALUE"""),54.539)</f>
        <v>54.539000000000001</v>
      </c>
      <c r="J885" s="2">
        <f ca="1">IFERROR(__xludf.DUMMYFUNCTION("""COMPUTED_VALUE"""),44.306)</f>
        <v>44.305999999999997</v>
      </c>
      <c r="K885" s="2">
        <f ca="1">IFERROR(__xludf.DUMMYFUNCTION("""COMPUTED_VALUE"""),58.181)</f>
        <v>58.180999999999997</v>
      </c>
      <c r="L885" s="2">
        <f ca="1">IFERROR(__xludf.DUMMYFUNCTION("""COMPUTED_VALUE"""),10.059)</f>
        <v>10.058999999999999</v>
      </c>
      <c r="M885" s="2">
        <f ca="1">IFERROR(__xludf.DUMMYFUNCTION("""COMPUTED_VALUE"""),14.376)</f>
        <v>14.375999999999999</v>
      </c>
      <c r="U885" s="3" t="e">
        <f ca="1"/>
        <v>#NAME?</v>
      </c>
    </row>
    <row r="886" spans="3:21" ht="12.5" x14ac:dyDescent="0.25">
      <c r="C886" s="4">
        <f ca="1">IFERROR(__xludf.DUMMYFUNCTION("""COMPUTED_VALUE"""),41198.9986111111)</f>
        <v>41198.998611111099</v>
      </c>
      <c r="D886" s="2">
        <f ca="1">IFERROR(__xludf.DUMMYFUNCTION("""COMPUTED_VALUE"""),52.868)</f>
        <v>52.868000000000002</v>
      </c>
      <c r="E886" s="2">
        <f ca="1">IFERROR(__xludf.DUMMYFUNCTION("""COMPUTED_VALUE"""),70.423)</f>
        <v>70.423000000000002</v>
      </c>
      <c r="F886" s="2">
        <f ca="1">IFERROR(__xludf.DUMMYFUNCTION("""COMPUTED_VALUE"""),86.3)</f>
        <v>86.3</v>
      </c>
      <c r="G886" s="2">
        <f ca="1">IFERROR(__xludf.DUMMYFUNCTION("""COMPUTED_VALUE"""),0.63048)</f>
        <v>0.63048000000000004</v>
      </c>
      <c r="H886" s="2">
        <f ca="1">IFERROR(__xludf.DUMMYFUNCTION("""COMPUTED_VALUE"""),56.99)</f>
        <v>56.99</v>
      </c>
      <c r="I886" s="2">
        <f ca="1">IFERROR(__xludf.DUMMYFUNCTION("""COMPUTED_VALUE"""),54.899)</f>
        <v>54.899000000000001</v>
      </c>
      <c r="J886" s="2">
        <f ca="1">IFERROR(__xludf.DUMMYFUNCTION("""COMPUTED_VALUE"""),44.507)</f>
        <v>44.506999999999998</v>
      </c>
      <c r="K886" s="2">
        <f ca="1">IFERROR(__xludf.DUMMYFUNCTION("""COMPUTED_VALUE"""),58.1)</f>
        <v>58.1</v>
      </c>
      <c r="L886" s="2">
        <f ca="1">IFERROR(__xludf.DUMMYFUNCTION("""COMPUTED_VALUE"""),10.056)</f>
        <v>10.055999999999999</v>
      </c>
      <c r="M886" s="2">
        <f ca="1">IFERROR(__xludf.DUMMYFUNCTION("""COMPUTED_VALUE"""),14.433)</f>
        <v>14.433</v>
      </c>
      <c r="U886" s="3" t="e">
        <f ca="1"/>
        <v>#NAME?</v>
      </c>
    </row>
    <row r="887" spans="3:21" ht="12.5" x14ac:dyDescent="0.25">
      <c r="C887" s="4">
        <f ca="1">IFERROR(__xludf.DUMMYFUNCTION("""COMPUTED_VALUE"""),41199.9986111111)</f>
        <v>41199.998611111099</v>
      </c>
      <c r="D887" s="2">
        <f ca="1">IFERROR(__xludf.DUMMYFUNCTION("""COMPUTED_VALUE"""),52.868)</f>
        <v>52.868000000000002</v>
      </c>
      <c r="E887" s="2">
        <f ca="1">IFERROR(__xludf.DUMMYFUNCTION("""COMPUTED_VALUE"""),70.527)</f>
        <v>70.527000000000001</v>
      </c>
      <c r="F887" s="2">
        <f ca="1">IFERROR(__xludf.DUMMYFUNCTION("""COMPUTED_VALUE"""),86.421)</f>
        <v>86.421000000000006</v>
      </c>
      <c r="G887" s="2">
        <f ca="1">IFERROR(__xludf.DUMMYFUNCTION("""COMPUTED_VALUE"""),0.62194)</f>
        <v>0.62194000000000005</v>
      </c>
      <c r="H887" s="2">
        <f ca="1">IFERROR(__xludf.DUMMYFUNCTION("""COMPUTED_VALUE"""),56.942)</f>
        <v>56.942</v>
      </c>
      <c r="I887" s="2">
        <f ca="1">IFERROR(__xludf.DUMMYFUNCTION("""COMPUTED_VALUE"""),54.956)</f>
        <v>54.956000000000003</v>
      </c>
      <c r="J887" s="2">
        <f ca="1">IFERROR(__xludf.DUMMYFUNCTION("""COMPUTED_VALUE"""),44.507)</f>
        <v>44.506999999999998</v>
      </c>
      <c r="K887" s="2">
        <f ca="1">IFERROR(__xludf.DUMMYFUNCTION("""COMPUTED_VALUE"""),57.125)</f>
        <v>57.125</v>
      </c>
      <c r="L887" s="2">
        <f ca="1">IFERROR(__xludf.DUMMYFUNCTION("""COMPUTED_VALUE"""),10.04)</f>
        <v>10.039999999999999</v>
      </c>
      <c r="M887" s="2">
        <f ca="1">IFERROR(__xludf.DUMMYFUNCTION("""COMPUTED_VALUE"""),14.394)</f>
        <v>14.394</v>
      </c>
      <c r="U887" s="3" t="e">
        <f ca="1"/>
        <v>#NAME?</v>
      </c>
    </row>
    <row r="888" spans="3:21" ht="12.5" x14ac:dyDescent="0.25">
      <c r="C888" s="4">
        <f ca="1">IFERROR(__xludf.DUMMYFUNCTION("""COMPUTED_VALUE"""),41200.9986111111)</f>
        <v>41200.998611111099</v>
      </c>
      <c r="D888" s="2">
        <f ca="1">IFERROR(__xludf.DUMMYFUNCTION("""COMPUTED_VALUE"""),53.408)</f>
        <v>53.408000000000001</v>
      </c>
      <c r="E888" s="2">
        <f ca="1">IFERROR(__xludf.DUMMYFUNCTION("""COMPUTED_VALUE"""),70.901)</f>
        <v>70.900999999999996</v>
      </c>
      <c r="F888" s="2">
        <f ca="1">IFERROR(__xludf.DUMMYFUNCTION("""COMPUTED_VALUE"""),85.965)</f>
        <v>85.965000000000003</v>
      </c>
      <c r="G888" s="2">
        <f ca="1">IFERROR(__xludf.DUMMYFUNCTION("""COMPUTED_VALUE"""),0.62064)</f>
        <v>0.62063999999999997</v>
      </c>
      <c r="H888" s="2">
        <f ca="1">IFERROR(__xludf.DUMMYFUNCTION("""COMPUTED_VALUE"""),57.076)</f>
        <v>57.076000000000001</v>
      </c>
      <c r="I888" s="2">
        <f ca="1">IFERROR(__xludf.DUMMYFUNCTION("""COMPUTED_VALUE"""),54.893)</f>
        <v>54.893000000000001</v>
      </c>
      <c r="J888" s="2">
        <f ca="1">IFERROR(__xludf.DUMMYFUNCTION("""COMPUTED_VALUE"""),44.46)</f>
        <v>44.46</v>
      </c>
      <c r="K888" s="2">
        <f ca="1">IFERROR(__xludf.DUMMYFUNCTION("""COMPUTED_VALUE"""),57.164)</f>
        <v>57.164000000000001</v>
      </c>
      <c r="L888" s="2">
        <f ca="1">IFERROR(__xludf.DUMMYFUNCTION("""COMPUTED_VALUE"""),10.006)</f>
        <v>10.006</v>
      </c>
      <c r="M888" s="2">
        <f ca="1">IFERROR(__xludf.DUMMYFUNCTION("""COMPUTED_VALUE"""),14.394)</f>
        <v>14.394</v>
      </c>
      <c r="U888" s="3" t="e">
        <f ca="1"/>
        <v>#NAME?</v>
      </c>
    </row>
    <row r="889" spans="3:21" ht="12.5" x14ac:dyDescent="0.25">
      <c r="C889" s="4">
        <f ca="1">IFERROR(__xludf.DUMMYFUNCTION("""COMPUTED_VALUE"""),41201.9986111111)</f>
        <v>41201.998611111099</v>
      </c>
      <c r="D889" s="2">
        <f ca="1">IFERROR(__xludf.DUMMYFUNCTION("""COMPUTED_VALUE"""),53.838)</f>
        <v>53.838000000000001</v>
      </c>
      <c r="E889" s="2">
        <f ca="1">IFERROR(__xludf.DUMMYFUNCTION("""COMPUTED_VALUE"""),71.147)</f>
        <v>71.147000000000006</v>
      </c>
      <c r="F889" s="2">
        <f ca="1">IFERROR(__xludf.DUMMYFUNCTION("""COMPUTED_VALUE"""),85.343)</f>
        <v>85.343000000000004</v>
      </c>
      <c r="G889" s="2">
        <f ca="1">IFERROR(__xludf.DUMMYFUNCTION("""COMPUTED_VALUE"""),0.62314)</f>
        <v>0.62314000000000003</v>
      </c>
      <c r="H889" s="2">
        <f ca="1">IFERROR(__xludf.DUMMYFUNCTION("""COMPUTED_VALUE"""),57.112)</f>
        <v>57.112000000000002</v>
      </c>
      <c r="I889" s="2">
        <f ca="1">IFERROR(__xludf.DUMMYFUNCTION("""COMPUTED_VALUE"""),55.172)</f>
        <v>55.171999999999997</v>
      </c>
      <c r="J889" s="2">
        <f ca="1">IFERROR(__xludf.DUMMYFUNCTION("""COMPUTED_VALUE"""),44.54)</f>
        <v>44.54</v>
      </c>
      <c r="K889" s="2">
        <f ca="1">IFERROR(__xludf.DUMMYFUNCTION("""COMPUTED_VALUE"""),57.08)</f>
        <v>57.08</v>
      </c>
      <c r="L889" s="2">
        <f ca="1">IFERROR(__xludf.DUMMYFUNCTION("""COMPUTED_VALUE"""),10.018)</f>
        <v>10.018000000000001</v>
      </c>
      <c r="M889" s="2">
        <f ca="1">IFERROR(__xludf.DUMMYFUNCTION("""COMPUTED_VALUE"""),14.541)</f>
        <v>14.541</v>
      </c>
      <c r="U889" s="3" t="e">
        <f ca="1"/>
        <v>#NAME?</v>
      </c>
    </row>
    <row r="890" spans="3:21" ht="12.5" x14ac:dyDescent="0.25">
      <c r="C890" s="4">
        <f ca="1">IFERROR(__xludf.DUMMYFUNCTION("""COMPUTED_VALUE"""),41202.9986111111)</f>
        <v>41202.998611111099</v>
      </c>
      <c r="D890" s="2">
        <f ca="1">IFERROR(__xludf.DUMMYFUNCTION("""COMPUTED_VALUE"""),53.838)</f>
        <v>53.838000000000001</v>
      </c>
      <c r="E890" s="2">
        <f ca="1">IFERROR(__xludf.DUMMYFUNCTION("""COMPUTED_VALUE"""),71.586)</f>
        <v>71.585999999999999</v>
      </c>
      <c r="F890" s="2">
        <f ca="1">IFERROR(__xludf.DUMMYFUNCTION("""COMPUTED_VALUE"""),85.331)</f>
        <v>85.331000000000003</v>
      </c>
      <c r="G890" s="2">
        <f ca="1">IFERROR(__xludf.DUMMYFUNCTION("""COMPUTED_VALUE"""),0.62226)</f>
        <v>0.62226000000000004</v>
      </c>
      <c r="H890" s="2">
        <f ca="1">IFERROR(__xludf.DUMMYFUNCTION("""COMPUTED_VALUE"""),57.234)</f>
        <v>57.234000000000002</v>
      </c>
      <c r="I890" s="2">
        <f ca="1">IFERROR(__xludf.DUMMYFUNCTION("""COMPUTED_VALUE"""),54.97)</f>
        <v>54.97</v>
      </c>
      <c r="J890" s="2">
        <f ca="1">IFERROR(__xludf.DUMMYFUNCTION("""COMPUTED_VALUE"""),44.41)</f>
        <v>44.41</v>
      </c>
      <c r="K890" s="2">
        <f ca="1">IFERROR(__xludf.DUMMYFUNCTION("""COMPUTED_VALUE"""),56.845)</f>
        <v>56.844999999999999</v>
      </c>
      <c r="L890" s="2">
        <f ca="1">IFERROR(__xludf.DUMMYFUNCTION("""COMPUTED_VALUE"""),10.025)</f>
        <v>10.025</v>
      </c>
      <c r="M890" s="2">
        <f ca="1">IFERROR(__xludf.DUMMYFUNCTION("""COMPUTED_VALUE"""),14.657)</f>
        <v>14.657</v>
      </c>
      <c r="U890" s="3" t="e">
        <f ca="1"/>
        <v>#NAME?</v>
      </c>
    </row>
    <row r="891" spans="3:21" ht="12.5" x14ac:dyDescent="0.25">
      <c r="C891" s="4">
        <f ca="1">IFERROR(__xludf.DUMMYFUNCTION("""COMPUTED_VALUE"""),41203.9986111111)</f>
        <v>41203.998611111099</v>
      </c>
      <c r="D891" s="2">
        <f ca="1">IFERROR(__xludf.DUMMYFUNCTION("""COMPUTED_VALUE"""),53.838)</f>
        <v>53.838000000000001</v>
      </c>
      <c r="E891" s="2">
        <f ca="1">IFERROR(__xludf.DUMMYFUNCTION("""COMPUTED_VALUE"""),70)</f>
        <v>70</v>
      </c>
      <c r="F891" s="2">
        <f ca="1">IFERROR(__xludf.DUMMYFUNCTION("""COMPUTED_VALUE"""),84.433)</f>
        <v>84.433000000000007</v>
      </c>
      <c r="G891" s="2">
        <f ca="1">IFERROR(__xludf.DUMMYFUNCTION("""COMPUTED_VALUE"""),0.63205)</f>
        <v>0.63205</v>
      </c>
      <c r="H891" s="2">
        <f ca="1">IFERROR(__xludf.DUMMYFUNCTION("""COMPUTED_VALUE"""),57.287)</f>
        <v>57.286999999999999</v>
      </c>
      <c r="I891" s="2">
        <f ca="1">IFERROR(__xludf.DUMMYFUNCTION("""COMPUTED_VALUE"""),55.101)</f>
        <v>55.100999999999999</v>
      </c>
      <c r="J891" s="2">
        <f ca="1">IFERROR(__xludf.DUMMYFUNCTION("""COMPUTED_VALUE"""),44.442)</f>
        <v>44.442</v>
      </c>
      <c r="K891" s="2">
        <f ca="1">IFERROR(__xludf.DUMMYFUNCTION("""COMPUTED_VALUE"""),56.942)</f>
        <v>56.942</v>
      </c>
      <c r="L891" s="2">
        <f ca="1">IFERROR(__xludf.DUMMYFUNCTION("""COMPUTED_VALUE"""),10.031)</f>
        <v>10.031000000000001</v>
      </c>
      <c r="M891" s="2">
        <f ca="1">IFERROR(__xludf.DUMMYFUNCTION("""COMPUTED_VALUE"""),14.657)</f>
        <v>14.657</v>
      </c>
      <c r="U891" s="3" t="e">
        <f ca="1"/>
        <v>#NAME?</v>
      </c>
    </row>
    <row r="892" spans="3:21" ht="12.5" x14ac:dyDescent="0.25">
      <c r="C892" s="4">
        <f ca="1">IFERROR(__xludf.DUMMYFUNCTION("""COMPUTED_VALUE"""),41204.9986111111)</f>
        <v>41204.998611111099</v>
      </c>
      <c r="D892" s="2">
        <f ca="1">IFERROR(__xludf.DUMMYFUNCTION("""COMPUTED_VALUE"""),53.468)</f>
        <v>53.468000000000004</v>
      </c>
      <c r="E892" s="2">
        <f ca="1">IFERROR(__xludf.DUMMYFUNCTION("""COMPUTED_VALUE"""),72.142)</f>
        <v>72.141999999999996</v>
      </c>
      <c r="F892" s="2">
        <f ca="1">IFERROR(__xludf.DUMMYFUNCTION("""COMPUTED_VALUE"""),84.442)</f>
        <v>84.441999999999993</v>
      </c>
      <c r="G892" s="2">
        <f ca="1">IFERROR(__xludf.DUMMYFUNCTION("""COMPUTED_VALUE"""),0.63234)</f>
        <v>0.63234000000000001</v>
      </c>
      <c r="H892" s="2">
        <f ca="1">IFERROR(__xludf.DUMMYFUNCTION("""COMPUTED_VALUE"""),57.508)</f>
        <v>57.508000000000003</v>
      </c>
      <c r="I892" s="2">
        <f ca="1">IFERROR(__xludf.DUMMYFUNCTION("""COMPUTED_VALUE"""),55.271)</f>
        <v>55.271000000000001</v>
      </c>
      <c r="J892" s="2">
        <f ca="1">IFERROR(__xludf.DUMMYFUNCTION("""COMPUTED_VALUE"""),44.538)</f>
        <v>44.537999999999997</v>
      </c>
      <c r="K892" s="2">
        <f ca="1">IFERROR(__xludf.DUMMYFUNCTION("""COMPUTED_VALUE"""),56.478)</f>
        <v>56.478000000000002</v>
      </c>
      <c r="L892" s="2">
        <f ca="1">IFERROR(__xludf.DUMMYFUNCTION("""COMPUTED_VALUE"""),10.035)</f>
        <v>10.035</v>
      </c>
      <c r="M892" s="2">
        <f ca="1">IFERROR(__xludf.DUMMYFUNCTION("""COMPUTED_VALUE"""),14.657)</f>
        <v>14.657</v>
      </c>
      <c r="U892" s="3" t="e">
        <f ca="1"/>
        <v>#NAME?</v>
      </c>
    </row>
    <row r="893" spans="3:21" ht="12.5" x14ac:dyDescent="0.25">
      <c r="C893" s="4">
        <f ca="1">IFERROR(__xludf.DUMMYFUNCTION("""COMPUTED_VALUE"""),41205.9986111111)</f>
        <v>41205.998611111099</v>
      </c>
      <c r="D893" s="2">
        <f ca="1">IFERROR(__xludf.DUMMYFUNCTION("""COMPUTED_VALUE"""),53.718)</f>
        <v>53.718000000000004</v>
      </c>
      <c r="E893" s="2">
        <f ca="1">IFERROR(__xludf.DUMMYFUNCTION("""COMPUTED_VALUE"""),72.488)</f>
        <v>72.488</v>
      </c>
      <c r="F893" s="2">
        <f ca="1">IFERROR(__xludf.DUMMYFUNCTION("""COMPUTED_VALUE"""),83.849)</f>
        <v>83.849000000000004</v>
      </c>
      <c r="G893" s="2">
        <f ca="1">IFERROR(__xludf.DUMMYFUNCTION("""COMPUTED_VALUE"""),0.62043)</f>
        <v>0.62043000000000004</v>
      </c>
      <c r="H893" s="2">
        <f ca="1">IFERROR(__xludf.DUMMYFUNCTION("""COMPUTED_VALUE"""),57.448)</f>
        <v>57.448</v>
      </c>
      <c r="I893" s="2">
        <f ca="1">IFERROR(__xludf.DUMMYFUNCTION("""COMPUTED_VALUE"""),55.169)</f>
        <v>55.168999999999997</v>
      </c>
      <c r="J893" s="2">
        <f ca="1">IFERROR(__xludf.DUMMYFUNCTION("""COMPUTED_VALUE"""),44.608)</f>
        <v>44.607999999999997</v>
      </c>
      <c r="K893" s="2">
        <f ca="1">IFERROR(__xludf.DUMMYFUNCTION("""COMPUTED_VALUE"""),56.225)</f>
        <v>56.225000000000001</v>
      </c>
      <c r="L893" s="2">
        <f ca="1">IFERROR(__xludf.DUMMYFUNCTION("""COMPUTED_VALUE"""),10.034)</f>
        <v>10.034000000000001</v>
      </c>
      <c r="M893" s="2">
        <f ca="1">IFERROR(__xludf.DUMMYFUNCTION("""COMPUTED_VALUE"""),14.557)</f>
        <v>14.557</v>
      </c>
      <c r="U893" s="3" t="e">
        <f ca="1"/>
        <v>#NAME?</v>
      </c>
    </row>
    <row r="894" spans="3:21" ht="12.5" x14ac:dyDescent="0.25">
      <c r="C894" s="4">
        <f ca="1">IFERROR(__xludf.DUMMYFUNCTION("""COMPUTED_VALUE"""),41206.9986111111)</f>
        <v>41206.998611111099</v>
      </c>
      <c r="D894" s="2">
        <f ca="1">IFERROR(__xludf.DUMMYFUNCTION("""COMPUTED_VALUE"""),53.733)</f>
        <v>53.732999999999997</v>
      </c>
      <c r="E894" s="2">
        <f ca="1">IFERROR(__xludf.DUMMYFUNCTION("""COMPUTED_VALUE"""),72)</f>
        <v>72</v>
      </c>
      <c r="F894" s="2">
        <f ca="1">IFERROR(__xludf.DUMMYFUNCTION("""COMPUTED_VALUE"""),83.706)</f>
        <v>83.706000000000003</v>
      </c>
      <c r="G894" s="2">
        <f ca="1">IFERROR(__xludf.DUMMYFUNCTION("""COMPUTED_VALUE"""),0.61094)</f>
        <v>0.61094000000000004</v>
      </c>
      <c r="H894" s="2">
        <f ca="1">IFERROR(__xludf.DUMMYFUNCTION("""COMPUTED_VALUE"""),57.448)</f>
        <v>57.448</v>
      </c>
      <c r="I894" s="2">
        <f ca="1">IFERROR(__xludf.DUMMYFUNCTION("""COMPUTED_VALUE"""),53.937)</f>
        <v>53.936999999999998</v>
      </c>
      <c r="J894" s="2">
        <f ca="1">IFERROR(__xludf.DUMMYFUNCTION("""COMPUTED_VALUE"""),43.592)</f>
        <v>43.591999999999999</v>
      </c>
      <c r="K894" s="2">
        <f ca="1">IFERROR(__xludf.DUMMYFUNCTION("""COMPUTED_VALUE"""),56.187)</f>
        <v>56.186999999999998</v>
      </c>
      <c r="L894" s="2">
        <f ca="1">IFERROR(__xludf.DUMMYFUNCTION("""COMPUTED_VALUE"""),10.074)</f>
        <v>10.074</v>
      </c>
      <c r="M894" s="2">
        <f ca="1">IFERROR(__xludf.DUMMYFUNCTION("""COMPUTED_VALUE"""),14.625)</f>
        <v>14.625</v>
      </c>
      <c r="U894" s="3" t="e">
        <f ca="1"/>
        <v>#NAME?</v>
      </c>
    </row>
    <row r="895" spans="3:21" ht="12.5" x14ac:dyDescent="0.25">
      <c r="C895" s="4">
        <f ca="1">IFERROR(__xludf.DUMMYFUNCTION("""COMPUTED_VALUE"""),41207.9986111111)</f>
        <v>41207.998611111099</v>
      </c>
      <c r="D895" s="2">
        <f ca="1">IFERROR(__xludf.DUMMYFUNCTION("""COMPUTED_VALUE"""),53.548)</f>
        <v>53.548000000000002</v>
      </c>
      <c r="E895" s="2">
        <f ca="1">IFERROR(__xludf.DUMMYFUNCTION("""COMPUTED_VALUE"""),72.523)</f>
        <v>72.522999999999996</v>
      </c>
      <c r="F895" s="2">
        <f ca="1">IFERROR(__xludf.DUMMYFUNCTION("""COMPUTED_VALUE"""),83.66)</f>
        <v>83.66</v>
      </c>
      <c r="G895" s="2">
        <f ca="1">IFERROR(__xludf.DUMMYFUNCTION("""COMPUTED_VALUE"""),0.61467)</f>
        <v>0.61467000000000005</v>
      </c>
      <c r="H895" s="2">
        <f ca="1">IFERROR(__xludf.DUMMYFUNCTION("""COMPUTED_VALUE"""),57.792)</f>
        <v>57.792000000000002</v>
      </c>
      <c r="I895" s="2">
        <f ca="1">IFERROR(__xludf.DUMMYFUNCTION("""COMPUTED_VALUE"""),55.693)</f>
        <v>55.692999999999998</v>
      </c>
      <c r="J895" s="2">
        <f ca="1">IFERROR(__xludf.DUMMYFUNCTION("""COMPUTED_VALUE"""),44.926)</f>
        <v>44.926000000000002</v>
      </c>
      <c r="K895" s="2">
        <f ca="1">IFERROR(__xludf.DUMMYFUNCTION("""COMPUTED_VALUE"""),55.792)</f>
        <v>55.792000000000002</v>
      </c>
      <c r="L895" s="2">
        <f ca="1">IFERROR(__xludf.DUMMYFUNCTION("""COMPUTED_VALUE"""),10.053)</f>
        <v>10.053000000000001</v>
      </c>
      <c r="M895" s="2">
        <f ca="1">IFERROR(__xludf.DUMMYFUNCTION("""COMPUTED_VALUE"""),14.629)</f>
        <v>14.629</v>
      </c>
      <c r="U895" s="3" t="e">
        <f ca="1"/>
        <v>#NAME?</v>
      </c>
    </row>
    <row r="896" spans="3:21" ht="12.5" x14ac:dyDescent="0.25">
      <c r="C896" s="4">
        <f ca="1">IFERROR(__xludf.DUMMYFUNCTION("""COMPUTED_VALUE"""),41208.9986111111)</f>
        <v>41208.998611111099</v>
      </c>
      <c r="D896" s="2">
        <f ca="1">IFERROR(__xludf.DUMMYFUNCTION("""COMPUTED_VALUE"""),53.548)</f>
        <v>53.548000000000002</v>
      </c>
      <c r="E896" s="2">
        <f ca="1">IFERROR(__xludf.DUMMYFUNCTION("""COMPUTED_VALUE"""),72.532)</f>
        <v>72.531999999999996</v>
      </c>
      <c r="F896" s="2">
        <f ca="1">IFERROR(__xludf.DUMMYFUNCTION("""COMPUTED_VALUE"""),83.66)</f>
        <v>83.66</v>
      </c>
      <c r="G896" s="2">
        <f ca="1">IFERROR(__xludf.DUMMYFUNCTION("""COMPUTED_VALUE"""),0.61467)</f>
        <v>0.61467000000000005</v>
      </c>
      <c r="H896" s="2">
        <f ca="1">IFERROR(__xludf.DUMMYFUNCTION("""COMPUTED_VALUE"""),57.61)</f>
        <v>57.61</v>
      </c>
      <c r="I896" s="2">
        <f ca="1">IFERROR(__xludf.DUMMYFUNCTION("""COMPUTED_VALUE"""),55.555)</f>
        <v>55.555</v>
      </c>
      <c r="J896" s="2">
        <f ca="1">IFERROR(__xludf.DUMMYFUNCTION("""COMPUTED_VALUE"""),44.994)</f>
        <v>44.994</v>
      </c>
      <c r="K896" s="2">
        <f ca="1">IFERROR(__xludf.DUMMYFUNCTION("""COMPUTED_VALUE"""),55.877)</f>
        <v>55.877000000000002</v>
      </c>
      <c r="L896" s="2">
        <f ca="1">IFERROR(__xludf.DUMMYFUNCTION("""COMPUTED_VALUE"""),10.151)</f>
        <v>10.151</v>
      </c>
      <c r="M896" s="2">
        <f ca="1">IFERROR(__xludf.DUMMYFUNCTION("""COMPUTED_VALUE"""),14.579)</f>
        <v>14.579000000000001</v>
      </c>
      <c r="U896" s="3" t="e">
        <f ca="1"/>
        <v>#NAME?</v>
      </c>
    </row>
    <row r="897" spans="3:21" ht="12.5" x14ac:dyDescent="0.25">
      <c r="C897" s="4">
        <f ca="1">IFERROR(__xludf.DUMMYFUNCTION("""COMPUTED_VALUE"""),41209.9986111111)</f>
        <v>41209.998611111099</v>
      </c>
      <c r="D897" s="2">
        <f ca="1">IFERROR(__xludf.DUMMYFUNCTION("""COMPUTED_VALUE"""),53.548)</f>
        <v>53.548000000000002</v>
      </c>
      <c r="E897" s="2">
        <f ca="1">IFERROR(__xludf.DUMMYFUNCTION("""COMPUTED_VALUE"""),72.532)</f>
        <v>72.531999999999996</v>
      </c>
      <c r="F897" s="2">
        <f ca="1">IFERROR(__xludf.DUMMYFUNCTION("""COMPUTED_VALUE"""),83.661)</f>
        <v>83.661000000000001</v>
      </c>
      <c r="G897" s="2">
        <f ca="1">IFERROR(__xludf.DUMMYFUNCTION("""COMPUTED_VALUE"""),0.6085)</f>
        <v>0.60850000000000004</v>
      </c>
      <c r="H897" s="2">
        <f ca="1">IFERROR(__xludf.DUMMYFUNCTION("""COMPUTED_VALUE"""),57.087)</f>
        <v>57.087000000000003</v>
      </c>
      <c r="I897" s="2">
        <f ca="1">IFERROR(__xludf.DUMMYFUNCTION("""COMPUTED_VALUE"""),55.095)</f>
        <v>55.094999999999999</v>
      </c>
      <c r="J897" s="2">
        <f ca="1">IFERROR(__xludf.DUMMYFUNCTION("""COMPUTED_VALUE"""),44.658)</f>
        <v>44.658000000000001</v>
      </c>
      <c r="K897" s="2">
        <f ca="1">IFERROR(__xludf.DUMMYFUNCTION("""COMPUTED_VALUE"""),55.551)</f>
        <v>55.551000000000002</v>
      </c>
      <c r="L897" s="2">
        <f ca="1">IFERROR(__xludf.DUMMYFUNCTION("""COMPUTED_VALUE"""),10.148)</f>
        <v>10.148</v>
      </c>
      <c r="M897" s="2">
        <f ca="1">IFERROR(__xludf.DUMMYFUNCTION("""COMPUTED_VALUE"""),14.579)</f>
        <v>14.579000000000001</v>
      </c>
      <c r="U897" s="3" t="e">
        <f ca="1"/>
        <v>#NAME?</v>
      </c>
    </row>
    <row r="898" spans="3:21" ht="12.5" x14ac:dyDescent="0.25">
      <c r="C898" s="4">
        <f ca="1">IFERROR(__xludf.DUMMYFUNCTION("""COMPUTED_VALUE"""),41211.9986111111)</f>
        <v>41211.998611111099</v>
      </c>
      <c r="D898" s="2">
        <f ca="1">IFERROR(__xludf.DUMMYFUNCTION("""COMPUTED_VALUE"""),54.078)</f>
        <v>54.078000000000003</v>
      </c>
      <c r="E898" s="2">
        <f ca="1">IFERROR(__xludf.DUMMYFUNCTION("""COMPUTED_VALUE"""),72.532)</f>
        <v>72.531999999999996</v>
      </c>
      <c r="F898" s="2">
        <f ca="1">IFERROR(__xludf.DUMMYFUNCTION("""COMPUTED_VALUE"""),84.245)</f>
        <v>84.245000000000005</v>
      </c>
      <c r="G898" s="2">
        <f ca="1">IFERROR(__xludf.DUMMYFUNCTION("""COMPUTED_VALUE"""),0.6146)</f>
        <v>0.61460000000000004</v>
      </c>
      <c r="H898" s="2">
        <f ca="1">IFERROR(__xludf.DUMMYFUNCTION("""COMPUTED_VALUE"""),57.422)</f>
        <v>57.421999999999997</v>
      </c>
      <c r="I898" s="2">
        <f ca="1">IFERROR(__xludf.DUMMYFUNCTION("""COMPUTED_VALUE"""),55.475)</f>
        <v>55.475000000000001</v>
      </c>
      <c r="J898" s="2">
        <f ca="1">IFERROR(__xludf.DUMMYFUNCTION("""COMPUTED_VALUE"""),44.974)</f>
        <v>44.973999999999997</v>
      </c>
      <c r="K898" s="2">
        <f ca="1">IFERROR(__xludf.DUMMYFUNCTION("""COMPUTED_VALUE"""),55.549)</f>
        <v>55.548999999999999</v>
      </c>
      <c r="L898" s="2">
        <f ca="1">IFERROR(__xludf.DUMMYFUNCTION("""COMPUTED_VALUE"""),10.072)</f>
        <v>10.071999999999999</v>
      </c>
      <c r="M898" s="2">
        <f ca="1">IFERROR(__xludf.DUMMYFUNCTION("""COMPUTED_VALUE"""),14.579)</f>
        <v>14.579000000000001</v>
      </c>
      <c r="U898" s="3" t="e">
        <f ca="1"/>
        <v>#NAME?</v>
      </c>
    </row>
    <row r="899" spans="3:21" ht="12.5" x14ac:dyDescent="0.25">
      <c r="C899" s="4">
        <f ca="1">IFERROR(__xludf.DUMMYFUNCTION("""COMPUTED_VALUE"""),41212.9986111111)</f>
        <v>41212.998611111099</v>
      </c>
      <c r="D899" s="2">
        <f ca="1">IFERROR(__xludf.DUMMYFUNCTION("""COMPUTED_VALUE"""),53.958)</f>
        <v>53.957999999999998</v>
      </c>
      <c r="E899" s="2">
        <f ca="1">IFERROR(__xludf.DUMMYFUNCTION("""COMPUTED_VALUE"""),72.378)</f>
        <v>72.378</v>
      </c>
      <c r="F899" s="2">
        <f ca="1">IFERROR(__xludf.DUMMYFUNCTION("""COMPUTED_VALUE"""),84.237)</f>
        <v>84.236999999999995</v>
      </c>
      <c r="G899" s="2">
        <f ca="1">IFERROR(__xludf.DUMMYFUNCTION("""COMPUTED_VALUE"""),0.61605)</f>
        <v>0.61604999999999999</v>
      </c>
      <c r="H899" s="2">
        <f ca="1">IFERROR(__xludf.DUMMYFUNCTION("""COMPUTED_VALUE"""),57.271)</f>
        <v>57.271000000000001</v>
      </c>
      <c r="I899" s="2">
        <f ca="1">IFERROR(__xludf.DUMMYFUNCTION("""COMPUTED_VALUE"""),55.424)</f>
        <v>55.423999999999999</v>
      </c>
      <c r="J899" s="2">
        <f ca="1">IFERROR(__xludf.DUMMYFUNCTION("""COMPUTED_VALUE"""),45.05)</f>
        <v>45.05</v>
      </c>
      <c r="K899" s="2">
        <f ca="1">IFERROR(__xludf.DUMMYFUNCTION("""COMPUTED_VALUE"""),55.755)</f>
        <v>55.755000000000003</v>
      </c>
      <c r="L899" s="2">
        <f ca="1">IFERROR(__xludf.DUMMYFUNCTION("""COMPUTED_VALUE"""),10.171)</f>
        <v>10.170999999999999</v>
      </c>
      <c r="M899" s="2">
        <f ca="1">IFERROR(__xludf.DUMMYFUNCTION("""COMPUTED_VALUE"""),14.579)</f>
        <v>14.579000000000001</v>
      </c>
      <c r="U899" s="3" t="e">
        <f ca="1"/>
        <v>#NAME?</v>
      </c>
    </row>
    <row r="900" spans="3:21" ht="12.5" x14ac:dyDescent="0.25">
      <c r="C900" s="4">
        <f ca="1">IFERROR(__xludf.DUMMYFUNCTION("""COMPUTED_VALUE"""),41213.9986111111)</f>
        <v>41213.998611111099</v>
      </c>
      <c r="D900" s="2">
        <f ca="1">IFERROR(__xludf.DUMMYFUNCTION("""COMPUTED_VALUE"""),53.798)</f>
        <v>53.798000000000002</v>
      </c>
      <c r="E900" s="2">
        <f ca="1">IFERROR(__xludf.DUMMYFUNCTION("""COMPUTED_VALUE"""),72.433)</f>
        <v>72.433000000000007</v>
      </c>
      <c r="F900" s="2">
        <f ca="1">IFERROR(__xludf.DUMMYFUNCTION("""COMPUTED_VALUE"""),84.792)</f>
        <v>84.792000000000002</v>
      </c>
      <c r="G900" s="2">
        <f ca="1">IFERROR(__xludf.DUMMYFUNCTION("""COMPUTED_VALUE"""),0.60389)</f>
        <v>0.60389000000000004</v>
      </c>
      <c r="H900" s="2">
        <f ca="1">IFERROR(__xludf.DUMMYFUNCTION("""COMPUTED_VALUE"""),57.271)</f>
        <v>57.271000000000001</v>
      </c>
      <c r="I900" s="2">
        <f ca="1">IFERROR(__xludf.DUMMYFUNCTION("""COMPUTED_VALUE"""),55.424)</f>
        <v>55.423999999999999</v>
      </c>
      <c r="J900" s="2">
        <f ca="1">IFERROR(__xludf.DUMMYFUNCTION("""COMPUTED_VALUE"""),45.05)</f>
        <v>45.05</v>
      </c>
      <c r="K900" s="2">
        <f ca="1">IFERROR(__xludf.DUMMYFUNCTION("""COMPUTED_VALUE"""),55.847)</f>
        <v>55.847000000000001</v>
      </c>
      <c r="L900" s="2">
        <f ca="1">IFERROR(__xludf.DUMMYFUNCTION("""COMPUTED_VALUE"""),10.18)</f>
        <v>10.18</v>
      </c>
      <c r="M900" s="2">
        <f ca="1">IFERROR(__xludf.DUMMYFUNCTION("""COMPUTED_VALUE"""),14.724)</f>
        <v>14.724</v>
      </c>
      <c r="U900" s="3" t="e">
        <f ca="1"/>
        <v>#NAME?</v>
      </c>
    </row>
    <row r="901" spans="3:21" ht="12.5" x14ac:dyDescent="0.25">
      <c r="C901" s="4">
        <f ca="1">IFERROR(__xludf.DUMMYFUNCTION("""COMPUTED_VALUE"""),41214.9986111111)</f>
        <v>41214.998611111099</v>
      </c>
      <c r="D901" s="2">
        <f ca="1">IFERROR(__xludf.DUMMYFUNCTION("""COMPUTED_VALUE"""),53.653)</f>
        <v>53.652999999999999</v>
      </c>
      <c r="E901" s="2">
        <f ca="1">IFERROR(__xludf.DUMMYFUNCTION("""COMPUTED_VALUE"""),72.461)</f>
        <v>72.460999999999999</v>
      </c>
      <c r="F901" s="2">
        <f ca="1">IFERROR(__xludf.DUMMYFUNCTION("""COMPUTED_VALUE"""),84.427)</f>
        <v>84.427000000000007</v>
      </c>
      <c r="G901" s="2">
        <f ca="1">IFERROR(__xludf.DUMMYFUNCTION("""COMPUTED_VALUE"""),0.59605)</f>
        <v>0.59604999999999997</v>
      </c>
      <c r="H901" s="2">
        <f ca="1">IFERROR(__xludf.DUMMYFUNCTION("""COMPUTED_VALUE"""),57.271)</f>
        <v>57.271000000000001</v>
      </c>
      <c r="I901" s="2">
        <f ca="1">IFERROR(__xludf.DUMMYFUNCTION("""COMPUTED_VALUE"""),55.424)</f>
        <v>55.423999999999999</v>
      </c>
      <c r="J901" s="2">
        <f ca="1">IFERROR(__xludf.DUMMYFUNCTION("""COMPUTED_VALUE"""),45.05)</f>
        <v>45.05</v>
      </c>
      <c r="K901" s="2">
        <f ca="1">IFERROR(__xludf.DUMMYFUNCTION("""COMPUTED_VALUE"""),56.359)</f>
        <v>56.359000000000002</v>
      </c>
      <c r="L901" s="2">
        <f ca="1">IFERROR(__xludf.DUMMYFUNCTION("""COMPUTED_VALUE"""),10.176)</f>
        <v>10.176</v>
      </c>
      <c r="M901" s="2">
        <f ca="1">IFERROR(__xludf.DUMMYFUNCTION("""COMPUTED_VALUE"""),14.69)</f>
        <v>14.69</v>
      </c>
      <c r="U901" s="3" t="e">
        <f ca="1"/>
        <v>#NAME?</v>
      </c>
    </row>
    <row r="902" spans="3:21" ht="12.5" x14ac:dyDescent="0.25">
      <c r="C902" s="4">
        <f ca="1">IFERROR(__xludf.DUMMYFUNCTION("""COMPUTED_VALUE"""),41215.9986111111)</f>
        <v>41215.998611111099</v>
      </c>
      <c r="D902" s="2">
        <f ca="1">IFERROR(__xludf.DUMMYFUNCTION("""COMPUTED_VALUE"""),53.808)</f>
        <v>53.808</v>
      </c>
      <c r="E902" s="2">
        <f ca="1">IFERROR(__xludf.DUMMYFUNCTION("""COMPUTED_VALUE"""),72.711)</f>
        <v>72.710999999999999</v>
      </c>
      <c r="F902" s="2">
        <f ca="1">IFERROR(__xludf.DUMMYFUNCTION("""COMPUTED_VALUE"""),84.603)</f>
        <v>84.602999999999994</v>
      </c>
      <c r="G902" s="2">
        <f ca="1">IFERROR(__xludf.DUMMYFUNCTION("""COMPUTED_VALUE"""),0.59672)</f>
        <v>0.59672000000000003</v>
      </c>
      <c r="H902" s="2">
        <f ca="1">IFERROR(__xludf.DUMMYFUNCTION("""COMPUTED_VALUE"""),56.912)</f>
        <v>56.911999999999999</v>
      </c>
      <c r="I902" s="2">
        <f ca="1">IFERROR(__xludf.DUMMYFUNCTION("""COMPUTED_VALUE"""),55.305)</f>
        <v>55.305</v>
      </c>
      <c r="J902" s="2">
        <f ca="1">IFERROR(__xludf.DUMMYFUNCTION("""COMPUTED_VALUE"""),44.95)</f>
        <v>44.95</v>
      </c>
      <c r="K902" s="2">
        <f ca="1">IFERROR(__xludf.DUMMYFUNCTION("""COMPUTED_VALUE"""),55.969)</f>
        <v>55.969000000000001</v>
      </c>
      <c r="L902" s="2">
        <f ca="1">IFERROR(__xludf.DUMMYFUNCTION("""COMPUTED_VALUE"""),10.193)</f>
        <v>10.193</v>
      </c>
      <c r="M902" s="2">
        <f ca="1">IFERROR(__xludf.DUMMYFUNCTION("""COMPUTED_VALUE"""),14.647)</f>
        <v>14.647</v>
      </c>
      <c r="U902" s="3" t="e">
        <f ca="1"/>
        <v>#NAME?</v>
      </c>
    </row>
    <row r="903" spans="3:21" ht="12.5" x14ac:dyDescent="0.25">
      <c r="C903" s="4">
        <f ca="1">IFERROR(__xludf.DUMMYFUNCTION("""COMPUTED_VALUE"""),41216.9986111111)</f>
        <v>41216.998611111099</v>
      </c>
      <c r="D903" s="2">
        <f ca="1">IFERROR(__xludf.DUMMYFUNCTION("""COMPUTED_VALUE"""),53.808)</f>
        <v>53.808</v>
      </c>
      <c r="E903" s="2">
        <f ca="1">IFERROR(__xludf.DUMMYFUNCTION("""COMPUTED_VALUE"""),72.36)</f>
        <v>72.36</v>
      </c>
      <c r="F903" s="2">
        <f ca="1">IFERROR(__xludf.DUMMYFUNCTION("""COMPUTED_VALUE"""),84.878)</f>
        <v>84.878</v>
      </c>
      <c r="G903" s="2">
        <f ca="1">IFERROR(__xludf.DUMMYFUNCTION("""COMPUTED_VALUE"""),0.5911)</f>
        <v>0.59109999999999996</v>
      </c>
      <c r="H903" s="2">
        <f ca="1">IFERROR(__xludf.DUMMYFUNCTION("""COMPUTED_VALUE"""),57.011)</f>
        <v>57.011000000000003</v>
      </c>
      <c r="I903" s="2">
        <f ca="1">IFERROR(__xludf.DUMMYFUNCTION("""COMPUTED_VALUE"""),55.436)</f>
        <v>55.436</v>
      </c>
      <c r="J903" s="2">
        <f ca="1">IFERROR(__xludf.DUMMYFUNCTION("""COMPUTED_VALUE"""),44.991)</f>
        <v>44.991</v>
      </c>
      <c r="K903" s="2">
        <f ca="1">IFERROR(__xludf.DUMMYFUNCTION("""COMPUTED_VALUE"""),56.375)</f>
        <v>56.375</v>
      </c>
      <c r="L903" s="2">
        <f ca="1">IFERROR(__xludf.DUMMYFUNCTION("""COMPUTED_VALUE"""),10.2)</f>
        <v>10.199999999999999</v>
      </c>
      <c r="M903" s="2">
        <f ca="1">IFERROR(__xludf.DUMMYFUNCTION("""COMPUTED_VALUE"""),14.607)</f>
        <v>14.606999999999999</v>
      </c>
      <c r="U903" s="3" t="e">
        <f ca="1"/>
        <v>#NAME?</v>
      </c>
    </row>
    <row r="904" spans="3:21" ht="12.5" x14ac:dyDescent="0.25">
      <c r="C904" s="4">
        <f ca="1">IFERROR(__xludf.DUMMYFUNCTION("""COMPUTED_VALUE"""),41217.9986111111)</f>
        <v>41217.998611111099</v>
      </c>
      <c r="D904" s="2">
        <f ca="1">IFERROR(__xludf.DUMMYFUNCTION("""COMPUTED_VALUE"""),53.808)</f>
        <v>53.808</v>
      </c>
      <c r="E904" s="2">
        <f ca="1">IFERROR(__xludf.DUMMYFUNCTION("""COMPUTED_VALUE"""),72.361)</f>
        <v>72.361000000000004</v>
      </c>
      <c r="F904" s="2">
        <f ca="1">IFERROR(__xludf.DUMMYFUNCTION("""COMPUTED_VALUE"""),84.878)</f>
        <v>84.878</v>
      </c>
      <c r="G904" s="2">
        <f ca="1">IFERROR(__xludf.DUMMYFUNCTION("""COMPUTED_VALUE"""),0.59937)</f>
        <v>0.59936999999999996</v>
      </c>
      <c r="H904" s="2">
        <f ca="1">IFERROR(__xludf.DUMMYFUNCTION("""COMPUTED_VALUE"""),56.796)</f>
        <v>56.795999999999999</v>
      </c>
      <c r="I904" s="2">
        <f ca="1">IFERROR(__xludf.DUMMYFUNCTION("""COMPUTED_VALUE"""),55.116)</f>
        <v>55.116</v>
      </c>
      <c r="J904" s="2">
        <f ca="1">IFERROR(__xludf.DUMMYFUNCTION("""COMPUTED_VALUE"""),44.761)</f>
        <v>44.761000000000003</v>
      </c>
      <c r="K904" s="2">
        <f ca="1">IFERROR(__xludf.DUMMYFUNCTION("""COMPUTED_VALUE"""),56.274)</f>
        <v>56.274000000000001</v>
      </c>
      <c r="L904" s="2">
        <f ca="1">IFERROR(__xludf.DUMMYFUNCTION("""COMPUTED_VALUE"""),10.181)</f>
        <v>10.180999999999999</v>
      </c>
      <c r="M904" s="2">
        <f ca="1">IFERROR(__xludf.DUMMYFUNCTION("""COMPUTED_VALUE"""),14.649)</f>
        <v>14.648999999999999</v>
      </c>
      <c r="U904" s="3" t="e">
        <f ca="1"/>
        <v>#NAME?</v>
      </c>
    </row>
    <row r="905" spans="3:21" ht="12.5" x14ac:dyDescent="0.25">
      <c r="C905" s="4">
        <f ca="1">IFERROR(__xludf.DUMMYFUNCTION("""COMPUTED_VALUE"""),41218.9986111111)</f>
        <v>41218.998611111099</v>
      </c>
      <c r="D905" s="2">
        <f ca="1">IFERROR(__xludf.DUMMYFUNCTION("""COMPUTED_VALUE"""),54.588)</f>
        <v>54.588000000000001</v>
      </c>
      <c r="E905" s="2">
        <f ca="1">IFERROR(__xludf.DUMMYFUNCTION("""COMPUTED_VALUE"""),72.361)</f>
        <v>72.361000000000004</v>
      </c>
      <c r="F905" s="2">
        <f ca="1">IFERROR(__xludf.DUMMYFUNCTION("""COMPUTED_VALUE"""),85.111)</f>
        <v>85.111000000000004</v>
      </c>
      <c r="G905" s="2">
        <f ca="1">IFERROR(__xludf.DUMMYFUNCTION("""COMPUTED_VALUE"""),0.60742)</f>
        <v>0.60741999999999996</v>
      </c>
      <c r="H905" s="2">
        <f ca="1">IFERROR(__xludf.DUMMYFUNCTION("""COMPUTED_VALUE"""),56.914)</f>
        <v>56.914000000000001</v>
      </c>
      <c r="I905" s="2">
        <f ca="1">IFERROR(__xludf.DUMMYFUNCTION("""COMPUTED_VALUE"""),55.167)</f>
        <v>55.167000000000002</v>
      </c>
      <c r="J905" s="2">
        <f ca="1">IFERROR(__xludf.DUMMYFUNCTION("""COMPUTED_VALUE"""),44.875)</f>
        <v>44.875</v>
      </c>
      <c r="K905" s="2">
        <f ca="1">IFERROR(__xludf.DUMMYFUNCTION("""COMPUTED_VALUE"""),56.389)</f>
        <v>56.389000000000003</v>
      </c>
      <c r="L905" s="2">
        <f ca="1">IFERROR(__xludf.DUMMYFUNCTION("""COMPUTED_VALUE"""),10.269)</f>
        <v>10.269</v>
      </c>
      <c r="M905" s="2">
        <f ca="1">IFERROR(__xludf.DUMMYFUNCTION("""COMPUTED_VALUE"""),14.649)</f>
        <v>14.648999999999999</v>
      </c>
      <c r="U905" s="3" t="e">
        <f ca="1"/>
        <v>#NAME?</v>
      </c>
    </row>
    <row r="906" spans="3:21" ht="12.5" x14ac:dyDescent="0.25">
      <c r="C906" s="4">
        <f ca="1">IFERROR(__xludf.DUMMYFUNCTION("""COMPUTED_VALUE"""),41219.9986111111)</f>
        <v>41219.998611111099</v>
      </c>
      <c r="D906" s="2">
        <f ca="1">IFERROR(__xludf.DUMMYFUNCTION("""COMPUTED_VALUE"""),54.418)</f>
        <v>54.417999999999999</v>
      </c>
      <c r="E906" s="2">
        <f ca="1">IFERROR(__xludf.DUMMYFUNCTION("""COMPUTED_VALUE"""),72.512)</f>
        <v>72.512</v>
      </c>
      <c r="F906" s="2">
        <f ca="1">IFERROR(__xludf.DUMMYFUNCTION("""COMPUTED_VALUE"""),85.121)</f>
        <v>85.120999999999995</v>
      </c>
      <c r="G906" s="2">
        <f ca="1">IFERROR(__xludf.DUMMYFUNCTION("""COMPUTED_VALUE"""),0.60509)</f>
        <v>0.60509000000000002</v>
      </c>
      <c r="H906" s="2">
        <f ca="1">IFERROR(__xludf.DUMMYFUNCTION("""COMPUTED_VALUE"""),56.795)</f>
        <v>56.795000000000002</v>
      </c>
      <c r="I906" s="2">
        <f ca="1">IFERROR(__xludf.DUMMYFUNCTION("""COMPUTED_VALUE"""),54.937)</f>
        <v>54.936999999999998</v>
      </c>
      <c r="J906" s="2">
        <f ca="1">IFERROR(__xludf.DUMMYFUNCTION("""COMPUTED_VALUE"""),44.749)</f>
        <v>44.749000000000002</v>
      </c>
      <c r="K906" s="2">
        <f ca="1">IFERROR(__xludf.DUMMYFUNCTION("""COMPUTED_VALUE"""),56.553)</f>
        <v>56.552999999999997</v>
      </c>
      <c r="L906" s="2">
        <f ca="1">IFERROR(__xludf.DUMMYFUNCTION("""COMPUTED_VALUE"""),10.287)</f>
        <v>10.287000000000001</v>
      </c>
      <c r="M906" s="2">
        <f ca="1">IFERROR(__xludf.DUMMYFUNCTION("""COMPUTED_VALUE"""),14.649)</f>
        <v>14.648999999999999</v>
      </c>
      <c r="U906" s="3" t="e">
        <f ca="1"/>
        <v>#NAME?</v>
      </c>
    </row>
    <row r="907" spans="3:21" ht="12.5" x14ac:dyDescent="0.25">
      <c r="C907" s="4">
        <f ca="1">IFERROR(__xludf.DUMMYFUNCTION("""COMPUTED_VALUE"""),41220.9986111111)</f>
        <v>41220.998611111099</v>
      </c>
      <c r="D907" s="2">
        <f ca="1">IFERROR(__xludf.DUMMYFUNCTION("""COMPUTED_VALUE"""),54.198)</f>
        <v>54.198</v>
      </c>
      <c r="E907" s="2">
        <f ca="1">IFERROR(__xludf.DUMMYFUNCTION("""COMPUTED_VALUE"""),72.096)</f>
        <v>72.096000000000004</v>
      </c>
      <c r="F907" s="2">
        <f ca="1">IFERROR(__xludf.DUMMYFUNCTION("""COMPUTED_VALUE"""),85.242)</f>
        <v>85.242000000000004</v>
      </c>
      <c r="G907" s="2">
        <f ca="1">IFERROR(__xludf.DUMMYFUNCTION("""COMPUTED_VALUE"""),0.59196)</f>
        <v>0.59196000000000004</v>
      </c>
      <c r="H907" s="2">
        <f ca="1">IFERROR(__xludf.DUMMYFUNCTION("""COMPUTED_VALUE"""),56.794)</f>
        <v>56.793999999999997</v>
      </c>
      <c r="I907" s="2">
        <f ca="1">IFERROR(__xludf.DUMMYFUNCTION("""COMPUTED_VALUE"""),54.88)</f>
        <v>54.88</v>
      </c>
      <c r="J907" s="2">
        <f ca="1">IFERROR(__xludf.DUMMYFUNCTION("""COMPUTED_VALUE"""),44.75)</f>
        <v>44.75</v>
      </c>
      <c r="K907" s="2">
        <f ca="1">IFERROR(__xludf.DUMMYFUNCTION("""COMPUTED_VALUE"""),56.553)</f>
        <v>56.552999999999997</v>
      </c>
      <c r="L907" s="2">
        <f ca="1">IFERROR(__xludf.DUMMYFUNCTION("""COMPUTED_VALUE"""),10.292)</f>
        <v>10.292</v>
      </c>
      <c r="M907" s="2">
        <f ca="1">IFERROR(__xludf.DUMMYFUNCTION("""COMPUTED_VALUE"""),14.862)</f>
        <v>14.862</v>
      </c>
      <c r="U907" s="3" t="e">
        <f ca="1"/>
        <v>#NAME?</v>
      </c>
    </row>
    <row r="908" spans="3:21" ht="12.5" x14ac:dyDescent="0.25">
      <c r="C908" s="4">
        <f ca="1">IFERROR(__xludf.DUMMYFUNCTION("""COMPUTED_VALUE"""),41221.9986111111)</f>
        <v>41221.998611111099</v>
      </c>
      <c r="D908" s="2">
        <f ca="1">IFERROR(__xludf.DUMMYFUNCTION("""COMPUTED_VALUE"""),54.358)</f>
        <v>54.357999999999997</v>
      </c>
      <c r="E908" s="2">
        <f ca="1">IFERROR(__xludf.DUMMYFUNCTION("""COMPUTED_VALUE"""),71.555)</f>
        <v>71.555000000000007</v>
      </c>
      <c r="F908" s="2">
        <f ca="1">IFERROR(__xludf.DUMMYFUNCTION("""COMPUTED_VALUE"""),85.67)</f>
        <v>85.67</v>
      </c>
      <c r="G908" s="2">
        <f ca="1">IFERROR(__xludf.DUMMYFUNCTION("""COMPUTED_VALUE"""),0.59186)</f>
        <v>0.59186000000000005</v>
      </c>
      <c r="H908" s="2">
        <f ca="1">IFERROR(__xludf.DUMMYFUNCTION("""COMPUTED_VALUE"""),56.794)</f>
        <v>56.793999999999997</v>
      </c>
      <c r="I908" s="2">
        <f ca="1">IFERROR(__xludf.DUMMYFUNCTION("""COMPUTED_VALUE"""),55.26)</f>
        <v>55.26</v>
      </c>
      <c r="J908" s="2">
        <f ca="1">IFERROR(__xludf.DUMMYFUNCTION("""COMPUTED_VALUE"""),44.75)</f>
        <v>44.75</v>
      </c>
      <c r="K908" s="2">
        <f ca="1">IFERROR(__xludf.DUMMYFUNCTION("""COMPUTED_VALUE"""),56.749)</f>
        <v>56.749000000000002</v>
      </c>
      <c r="L908" s="2">
        <f ca="1">IFERROR(__xludf.DUMMYFUNCTION("""COMPUTED_VALUE"""),10.334)</f>
        <v>10.334</v>
      </c>
      <c r="M908" s="2">
        <f ca="1">IFERROR(__xludf.DUMMYFUNCTION("""COMPUTED_VALUE"""),14.816)</f>
        <v>14.816000000000001</v>
      </c>
      <c r="U908" s="3" t="e">
        <f ca="1"/>
        <v>#NAME?</v>
      </c>
    </row>
    <row r="909" spans="3:21" ht="12.5" x14ac:dyDescent="0.25">
      <c r="C909" s="4">
        <f ca="1">IFERROR(__xludf.DUMMYFUNCTION("""COMPUTED_VALUE"""),41222.9986111111)</f>
        <v>41222.998611111099</v>
      </c>
      <c r="D909" s="2">
        <f ca="1">IFERROR(__xludf.DUMMYFUNCTION("""COMPUTED_VALUE"""),54.588)</f>
        <v>54.588000000000001</v>
      </c>
      <c r="E909" s="2">
        <f ca="1">IFERROR(__xludf.DUMMYFUNCTION("""COMPUTED_VALUE"""),70.918)</f>
        <v>70.918000000000006</v>
      </c>
      <c r="F909" s="2">
        <f ca="1">IFERROR(__xludf.DUMMYFUNCTION("""COMPUTED_VALUE"""),86.076)</f>
        <v>86.075999999999993</v>
      </c>
      <c r="G909" s="2">
        <f ca="1">IFERROR(__xludf.DUMMYFUNCTION("""COMPUTED_VALUE"""),0.59168)</f>
        <v>0.59167999999999998</v>
      </c>
      <c r="H909" s="2">
        <f ca="1">IFERROR(__xludf.DUMMYFUNCTION("""COMPUTED_VALUE"""),57.177)</f>
        <v>57.177</v>
      </c>
      <c r="I909" s="2">
        <f ca="1">IFERROR(__xludf.DUMMYFUNCTION("""COMPUTED_VALUE"""),54.947)</f>
        <v>54.947000000000003</v>
      </c>
      <c r="J909" s="2">
        <f ca="1">IFERROR(__xludf.DUMMYFUNCTION("""COMPUTED_VALUE"""),45.027)</f>
        <v>45.027000000000001</v>
      </c>
      <c r="K909" s="2">
        <f ca="1">IFERROR(__xludf.DUMMYFUNCTION("""COMPUTED_VALUE"""),57.201)</f>
        <v>57.201000000000001</v>
      </c>
      <c r="L909" s="2">
        <f ca="1">IFERROR(__xludf.DUMMYFUNCTION("""COMPUTED_VALUE"""),10.327)</f>
        <v>10.327</v>
      </c>
      <c r="M909" s="2">
        <f ca="1">IFERROR(__xludf.DUMMYFUNCTION("""COMPUTED_VALUE"""),14.756)</f>
        <v>14.756</v>
      </c>
      <c r="U909" s="3" t="e">
        <f ca="1"/>
        <v>#NAME?</v>
      </c>
    </row>
    <row r="910" spans="3:21" ht="12.5" x14ac:dyDescent="0.25">
      <c r="C910" s="4">
        <f ca="1">IFERROR(__xludf.DUMMYFUNCTION("""COMPUTED_VALUE"""),41223.9986111111)</f>
        <v>41223.998611111099</v>
      </c>
      <c r="D910" s="2">
        <f ca="1">IFERROR(__xludf.DUMMYFUNCTION("""COMPUTED_VALUE"""),54.588)</f>
        <v>54.588000000000001</v>
      </c>
      <c r="E910" s="2">
        <f ca="1">IFERROR(__xludf.DUMMYFUNCTION("""COMPUTED_VALUE"""),71.789)</f>
        <v>71.789000000000001</v>
      </c>
      <c r="F910" s="2">
        <f ca="1">IFERROR(__xludf.DUMMYFUNCTION("""COMPUTED_VALUE"""),86.17)</f>
        <v>86.17</v>
      </c>
      <c r="G910" s="2">
        <f ca="1">IFERROR(__xludf.DUMMYFUNCTION("""COMPUTED_VALUE"""),0.59569)</f>
        <v>0.59569000000000005</v>
      </c>
      <c r="H910" s="2">
        <f ca="1">IFERROR(__xludf.DUMMYFUNCTION("""COMPUTED_VALUE"""),56.771)</f>
        <v>56.771000000000001</v>
      </c>
      <c r="I910" s="2">
        <f ca="1">IFERROR(__xludf.DUMMYFUNCTION("""COMPUTED_VALUE"""),55.04)</f>
        <v>55.04</v>
      </c>
      <c r="J910" s="2">
        <f ca="1">IFERROR(__xludf.DUMMYFUNCTION("""COMPUTED_VALUE"""),44.72)</f>
        <v>44.72</v>
      </c>
      <c r="K910" s="2">
        <f ca="1">IFERROR(__xludf.DUMMYFUNCTION("""COMPUTED_VALUE"""),57.247)</f>
        <v>57.247</v>
      </c>
      <c r="L910" s="2">
        <f ca="1">IFERROR(__xludf.DUMMYFUNCTION("""COMPUTED_VALUE"""),10.381)</f>
        <v>10.381</v>
      </c>
      <c r="M910" s="2">
        <f ca="1">IFERROR(__xludf.DUMMYFUNCTION("""COMPUTED_VALUE"""),14.799)</f>
        <v>14.798999999999999</v>
      </c>
      <c r="U910" s="3" t="e">
        <f ca="1"/>
        <v>#NAME?</v>
      </c>
    </row>
    <row r="911" spans="3:21" ht="12.5" x14ac:dyDescent="0.25">
      <c r="C911" s="4">
        <f ca="1">IFERROR(__xludf.DUMMYFUNCTION("""COMPUTED_VALUE"""),41225.9986111111)</f>
        <v>41225.998611111099</v>
      </c>
      <c r="D911" s="2">
        <f ca="1">IFERROR(__xludf.DUMMYFUNCTION("""COMPUTED_VALUE"""),54.878)</f>
        <v>54.878</v>
      </c>
      <c r="E911" s="2">
        <f ca="1">IFERROR(__xludf.DUMMYFUNCTION("""COMPUTED_VALUE"""),71.723)</f>
        <v>71.722999999999999</v>
      </c>
      <c r="F911" s="2">
        <f ca="1">IFERROR(__xludf.DUMMYFUNCTION("""COMPUTED_VALUE"""),86.077)</f>
        <v>86.076999999999998</v>
      </c>
      <c r="G911" s="2">
        <f ca="1">IFERROR(__xludf.DUMMYFUNCTION("""COMPUTED_VALUE"""),0.59135)</f>
        <v>0.59135000000000004</v>
      </c>
      <c r="H911" s="2">
        <f ca="1">IFERROR(__xludf.DUMMYFUNCTION("""COMPUTED_VALUE"""),56.955)</f>
        <v>56.954999999999998</v>
      </c>
      <c r="I911" s="2">
        <f ca="1">IFERROR(__xludf.DUMMYFUNCTION("""COMPUTED_VALUE"""),55.069)</f>
        <v>55.069000000000003</v>
      </c>
      <c r="J911" s="2">
        <f ca="1">IFERROR(__xludf.DUMMYFUNCTION("""COMPUTED_VALUE"""),44.457)</f>
        <v>44.457000000000001</v>
      </c>
      <c r="K911" s="2">
        <f ca="1">IFERROR(__xludf.DUMMYFUNCTION("""COMPUTED_VALUE"""),57.732)</f>
        <v>57.731999999999999</v>
      </c>
      <c r="L911" s="2">
        <f ca="1">IFERROR(__xludf.DUMMYFUNCTION("""COMPUTED_VALUE"""),10.428)</f>
        <v>10.428000000000001</v>
      </c>
      <c r="M911" s="2">
        <f ca="1">IFERROR(__xludf.DUMMYFUNCTION("""COMPUTED_VALUE"""),14.862)</f>
        <v>14.862</v>
      </c>
      <c r="U911" s="3" t="e">
        <f ca="1"/>
        <v>#NAME?</v>
      </c>
    </row>
    <row r="912" spans="3:21" ht="12.5" x14ac:dyDescent="0.25">
      <c r="C912" s="4">
        <f ca="1">IFERROR(__xludf.DUMMYFUNCTION("""COMPUTED_VALUE"""),41226.9986111111)</f>
        <v>41226.998611111099</v>
      </c>
      <c r="D912" s="2">
        <f ca="1">IFERROR(__xludf.DUMMYFUNCTION("""COMPUTED_VALUE"""),54.878)</f>
        <v>54.878</v>
      </c>
      <c r="E912" s="2">
        <f ca="1">IFERROR(__xludf.DUMMYFUNCTION("""COMPUTED_VALUE"""),71.723)</f>
        <v>71.722999999999999</v>
      </c>
      <c r="F912" s="2">
        <f ca="1">IFERROR(__xludf.DUMMYFUNCTION("""COMPUTED_VALUE"""),85.544)</f>
        <v>85.543999999999997</v>
      </c>
      <c r="G912" s="2">
        <f ca="1">IFERROR(__xludf.DUMMYFUNCTION("""COMPUTED_VALUE"""),0.58467)</f>
        <v>0.58467000000000002</v>
      </c>
      <c r="H912" s="2">
        <f ca="1">IFERROR(__xludf.DUMMYFUNCTION("""COMPUTED_VALUE"""),56.912)</f>
        <v>56.911999999999999</v>
      </c>
      <c r="I912" s="2">
        <f ca="1">IFERROR(__xludf.DUMMYFUNCTION("""COMPUTED_VALUE"""),55.584)</f>
        <v>55.584000000000003</v>
      </c>
      <c r="J912" s="2">
        <f ca="1">IFERROR(__xludf.DUMMYFUNCTION("""COMPUTED_VALUE"""),44.358)</f>
        <v>44.357999999999997</v>
      </c>
      <c r="K912" s="2">
        <f ca="1">IFERROR(__xludf.DUMMYFUNCTION("""COMPUTED_VALUE"""),57.937)</f>
        <v>57.936999999999998</v>
      </c>
      <c r="L912" s="2">
        <f ca="1">IFERROR(__xludf.DUMMYFUNCTION("""COMPUTED_VALUE"""),10.449)</f>
        <v>10.449</v>
      </c>
      <c r="M912" s="2">
        <f ca="1">IFERROR(__xludf.DUMMYFUNCTION("""COMPUTED_VALUE"""),14.862)</f>
        <v>14.862</v>
      </c>
      <c r="U912" s="3" t="e">
        <f ca="1"/>
        <v>#NAME?</v>
      </c>
    </row>
    <row r="913" spans="3:21" ht="12.5" x14ac:dyDescent="0.25">
      <c r="C913" s="4">
        <f ca="1">IFERROR(__xludf.DUMMYFUNCTION("""COMPUTED_VALUE"""),41227.9986111111)</f>
        <v>41227.998611111099</v>
      </c>
      <c r="D913" s="2">
        <f ca="1">IFERROR(__xludf.DUMMYFUNCTION("""COMPUTED_VALUE"""),54.803)</f>
        <v>54.802999999999997</v>
      </c>
      <c r="E913" s="2">
        <f ca="1">IFERROR(__xludf.DUMMYFUNCTION("""COMPUTED_VALUE"""),72.406)</f>
        <v>72.406000000000006</v>
      </c>
      <c r="F913" s="2">
        <f ca="1">IFERROR(__xludf.DUMMYFUNCTION("""COMPUTED_VALUE"""),85.582)</f>
        <v>85.581999999999994</v>
      </c>
      <c r="G913" s="2">
        <f ca="1">IFERROR(__xludf.DUMMYFUNCTION("""COMPUTED_VALUE"""),0.57952)</f>
        <v>0.57952000000000004</v>
      </c>
      <c r="H913" s="2">
        <f ca="1">IFERROR(__xludf.DUMMYFUNCTION("""COMPUTED_VALUE"""),57.571)</f>
        <v>57.570999999999998</v>
      </c>
      <c r="I913" s="2">
        <f ca="1">IFERROR(__xludf.DUMMYFUNCTION("""COMPUTED_VALUE"""),55.58)</f>
        <v>55.58</v>
      </c>
      <c r="J913" s="2">
        <f ca="1">IFERROR(__xludf.DUMMYFUNCTION("""COMPUTED_VALUE"""),44.713)</f>
        <v>44.713000000000001</v>
      </c>
      <c r="K913" s="2">
        <f ca="1">IFERROR(__xludf.DUMMYFUNCTION("""COMPUTED_VALUE"""),57.998)</f>
        <v>57.997999999999998</v>
      </c>
      <c r="L913" s="2">
        <f ca="1">IFERROR(__xludf.DUMMYFUNCTION("""COMPUTED_VALUE"""),10.495)</f>
        <v>10.494999999999999</v>
      </c>
      <c r="M913" s="2">
        <f ca="1">IFERROR(__xludf.DUMMYFUNCTION("""COMPUTED_VALUE"""),14.862)</f>
        <v>14.862</v>
      </c>
      <c r="U913" s="3" t="e">
        <f ca="1"/>
        <v>#NAME?</v>
      </c>
    </row>
    <row r="914" spans="3:21" ht="12.5" x14ac:dyDescent="0.25">
      <c r="C914" s="4">
        <f ca="1">IFERROR(__xludf.DUMMYFUNCTION("""COMPUTED_VALUE"""),41228.9986111111)</f>
        <v>41228.998611111099</v>
      </c>
      <c r="D914" s="2">
        <f ca="1">IFERROR(__xludf.DUMMYFUNCTION("""COMPUTED_VALUE"""),54.698)</f>
        <v>54.698</v>
      </c>
      <c r="E914" s="2">
        <f ca="1">IFERROR(__xludf.DUMMYFUNCTION("""COMPUTED_VALUE"""),71.867)</f>
        <v>71.867000000000004</v>
      </c>
      <c r="F914" s="2">
        <f ca="1">IFERROR(__xludf.DUMMYFUNCTION("""COMPUTED_VALUE"""),86.057)</f>
        <v>86.057000000000002</v>
      </c>
      <c r="G914" s="2">
        <f ca="1">IFERROR(__xludf.DUMMYFUNCTION("""COMPUTED_VALUE"""),0.57278)</f>
        <v>0.57277999999999996</v>
      </c>
      <c r="H914" s="2">
        <f ca="1">IFERROR(__xludf.DUMMYFUNCTION("""COMPUTED_VALUE"""),57.579)</f>
        <v>57.579000000000001</v>
      </c>
      <c r="I914" s="2">
        <f ca="1">IFERROR(__xludf.DUMMYFUNCTION("""COMPUTED_VALUE"""),55.58)</f>
        <v>55.58</v>
      </c>
      <c r="J914" s="2">
        <f ca="1">IFERROR(__xludf.DUMMYFUNCTION("""COMPUTED_VALUE"""),44.72)</f>
        <v>44.72</v>
      </c>
      <c r="K914" s="2">
        <f ca="1">IFERROR(__xludf.DUMMYFUNCTION("""COMPUTED_VALUE"""),57.998)</f>
        <v>57.997999999999998</v>
      </c>
      <c r="L914" s="2">
        <f ca="1">IFERROR(__xludf.DUMMYFUNCTION("""COMPUTED_VALUE"""),10.513)</f>
        <v>10.513</v>
      </c>
      <c r="M914" s="2">
        <f ca="1">IFERROR(__xludf.DUMMYFUNCTION("""COMPUTED_VALUE"""),14.941)</f>
        <v>14.941000000000001</v>
      </c>
      <c r="U914" s="3" t="e">
        <f ca="1"/>
        <v>#NAME?</v>
      </c>
    </row>
    <row r="915" spans="3:21" ht="12.5" x14ac:dyDescent="0.25">
      <c r="C915" s="4">
        <f ca="1">IFERROR(__xludf.DUMMYFUNCTION("""COMPUTED_VALUE"""),41229.9986111111)</f>
        <v>41229.998611111099</v>
      </c>
      <c r="D915" s="2">
        <f ca="1">IFERROR(__xludf.DUMMYFUNCTION("""COMPUTED_VALUE"""),55.16)</f>
        <v>55.16</v>
      </c>
      <c r="E915" s="2">
        <f ca="1">IFERROR(__xludf.DUMMYFUNCTION("""COMPUTED_VALUE"""),71.4)</f>
        <v>71.400000000000006</v>
      </c>
      <c r="F915" s="2">
        <f ca="1">IFERROR(__xludf.DUMMYFUNCTION("""COMPUTED_VALUE"""),86.229)</f>
        <v>86.228999999999999</v>
      </c>
      <c r="G915" s="2">
        <f ca="1">IFERROR(__xludf.DUMMYFUNCTION("""COMPUTED_VALUE"""),0.57346)</f>
        <v>0.57345999999999997</v>
      </c>
      <c r="H915" s="2">
        <f ca="1">IFERROR(__xludf.DUMMYFUNCTION("""COMPUTED_VALUE"""),57.579)</f>
        <v>57.579000000000001</v>
      </c>
      <c r="I915" s="2">
        <f ca="1">IFERROR(__xludf.DUMMYFUNCTION("""COMPUTED_VALUE"""),55.953)</f>
        <v>55.953000000000003</v>
      </c>
      <c r="J915" s="2">
        <f ca="1">IFERROR(__xludf.DUMMYFUNCTION("""COMPUTED_VALUE"""),44.712)</f>
        <v>44.712000000000003</v>
      </c>
      <c r="K915" s="2">
        <f ca="1">IFERROR(__xludf.DUMMYFUNCTION("""COMPUTED_VALUE"""),57.631)</f>
        <v>57.631</v>
      </c>
      <c r="L915" s="2">
        <f ca="1">IFERROR(__xludf.DUMMYFUNCTION("""COMPUTED_VALUE"""),10.479)</f>
        <v>10.478999999999999</v>
      </c>
      <c r="M915" s="2">
        <f ca="1">IFERROR(__xludf.DUMMYFUNCTION("""COMPUTED_VALUE"""),14.941)</f>
        <v>14.941000000000001</v>
      </c>
      <c r="U915" s="3" t="e">
        <f ca="1"/>
        <v>#NAME?</v>
      </c>
    </row>
    <row r="916" spans="3:21" ht="12.5" x14ac:dyDescent="0.25">
      <c r="C916" s="4">
        <f ca="1">IFERROR(__xludf.DUMMYFUNCTION("""COMPUTED_VALUE"""),41230.9986111111)</f>
        <v>41230.998611111099</v>
      </c>
      <c r="D916" s="2">
        <f ca="1">IFERROR(__xludf.DUMMYFUNCTION("""COMPUTED_VALUE"""),55.158)</f>
        <v>55.158000000000001</v>
      </c>
      <c r="E916" s="2">
        <f ca="1">IFERROR(__xludf.DUMMYFUNCTION("""COMPUTED_VALUE"""),72.344)</f>
        <v>72.343999999999994</v>
      </c>
      <c r="F916" s="2">
        <f ca="1">IFERROR(__xludf.DUMMYFUNCTION("""COMPUTED_VALUE"""),86.163)</f>
        <v>86.162999999999997</v>
      </c>
      <c r="G916" s="2">
        <f ca="1">IFERROR(__xludf.DUMMYFUNCTION("""COMPUTED_VALUE"""),0.57801)</f>
        <v>0.57801000000000002</v>
      </c>
      <c r="H916" s="2">
        <f ca="1">IFERROR(__xludf.DUMMYFUNCTION("""COMPUTED_VALUE"""),58.004)</f>
        <v>58.003999999999998</v>
      </c>
      <c r="I916" s="2">
        <f ca="1">IFERROR(__xludf.DUMMYFUNCTION("""COMPUTED_VALUE"""),55.688)</f>
        <v>55.688000000000002</v>
      </c>
      <c r="J916" s="2">
        <f ca="1">IFERROR(__xludf.DUMMYFUNCTION("""COMPUTED_VALUE"""),44.879)</f>
        <v>44.878999999999998</v>
      </c>
      <c r="K916" s="2">
        <f ca="1">IFERROR(__xludf.DUMMYFUNCTION("""COMPUTED_VALUE"""),57.54)</f>
        <v>57.54</v>
      </c>
      <c r="L916" s="2">
        <f ca="1">IFERROR(__xludf.DUMMYFUNCTION("""COMPUTED_VALUE"""),10.558)</f>
        <v>10.558</v>
      </c>
      <c r="M916" s="2">
        <f ca="1">IFERROR(__xludf.DUMMYFUNCTION("""COMPUTED_VALUE"""),14.92)</f>
        <v>14.92</v>
      </c>
      <c r="U916" s="3" t="e">
        <f ca="1"/>
        <v>#NAME?</v>
      </c>
    </row>
    <row r="917" spans="3:21" ht="12.5" x14ac:dyDescent="0.25">
      <c r="C917" s="4">
        <f ca="1">IFERROR(__xludf.DUMMYFUNCTION("""COMPUTED_VALUE"""),41232.9986111111)</f>
        <v>41232.998611111099</v>
      </c>
      <c r="D917" s="2">
        <f ca="1">IFERROR(__xludf.DUMMYFUNCTION("""COMPUTED_VALUE"""),55.058)</f>
        <v>55.058</v>
      </c>
      <c r="E917" s="2">
        <f ca="1">IFERROR(__xludf.DUMMYFUNCTION("""COMPUTED_VALUE"""),73.142)</f>
        <v>73.141999999999996</v>
      </c>
      <c r="F917" s="2">
        <f ca="1">IFERROR(__xludf.DUMMYFUNCTION("""COMPUTED_VALUE"""),86.163)</f>
        <v>86.162999999999997</v>
      </c>
      <c r="G917" s="2">
        <f ca="1">IFERROR(__xludf.DUMMYFUNCTION("""COMPUTED_VALUE"""),0.56706)</f>
        <v>0.56706000000000001</v>
      </c>
      <c r="H917" s="2">
        <f ca="1">IFERROR(__xludf.DUMMYFUNCTION("""COMPUTED_VALUE"""),57.763)</f>
        <v>57.762999999999998</v>
      </c>
      <c r="I917" s="2">
        <f ca="1">IFERROR(__xludf.DUMMYFUNCTION("""COMPUTED_VALUE"""),55.364)</f>
        <v>55.363999999999997</v>
      </c>
      <c r="J917" s="2">
        <f ca="1">IFERROR(__xludf.DUMMYFUNCTION("""COMPUTED_VALUE"""),44.72)</f>
        <v>44.72</v>
      </c>
      <c r="K917" s="2">
        <f ca="1">IFERROR(__xludf.DUMMYFUNCTION("""COMPUTED_VALUE"""),57.534)</f>
        <v>57.533999999999999</v>
      </c>
      <c r="L917" s="2">
        <f ca="1">IFERROR(__xludf.DUMMYFUNCTION("""COMPUTED_VALUE"""),10.558)</f>
        <v>10.558</v>
      </c>
      <c r="M917" s="2">
        <f ca="1">IFERROR(__xludf.DUMMYFUNCTION("""COMPUTED_VALUE"""),14.892)</f>
        <v>14.891999999999999</v>
      </c>
      <c r="U917" s="3" t="e">
        <f ca="1"/>
        <v>#NAME?</v>
      </c>
    </row>
    <row r="918" spans="3:21" ht="12.5" x14ac:dyDescent="0.25">
      <c r="C918" s="4">
        <f ca="1">IFERROR(__xludf.DUMMYFUNCTION("""COMPUTED_VALUE"""),41233.9986111111)</f>
        <v>41233.998611111099</v>
      </c>
      <c r="D918" s="2">
        <f ca="1">IFERROR(__xludf.DUMMYFUNCTION("""COMPUTED_VALUE"""),55.098)</f>
        <v>55.097999999999999</v>
      </c>
      <c r="E918" s="2">
        <f ca="1">IFERROR(__xludf.DUMMYFUNCTION("""COMPUTED_VALUE"""),73.143)</f>
        <v>73.143000000000001</v>
      </c>
      <c r="F918" s="2">
        <f ca="1">IFERROR(__xludf.DUMMYFUNCTION("""COMPUTED_VALUE"""),86.163)</f>
        <v>86.162999999999997</v>
      </c>
      <c r="G918" s="2">
        <f ca="1">IFERROR(__xludf.DUMMYFUNCTION("""COMPUTED_VALUE"""),0.56805)</f>
        <v>0.56805000000000005</v>
      </c>
      <c r="H918" s="2">
        <f ca="1">IFERROR(__xludf.DUMMYFUNCTION("""COMPUTED_VALUE"""),57.45)</f>
        <v>57.45</v>
      </c>
      <c r="I918" s="2">
        <f ca="1">IFERROR(__xludf.DUMMYFUNCTION("""COMPUTED_VALUE"""),55.421)</f>
        <v>55.420999999999999</v>
      </c>
      <c r="J918" s="2">
        <f ca="1">IFERROR(__xludf.DUMMYFUNCTION("""COMPUTED_VALUE"""),44.51)</f>
        <v>44.51</v>
      </c>
      <c r="K918" s="2">
        <f ca="1">IFERROR(__xludf.DUMMYFUNCTION("""COMPUTED_VALUE"""),57.219)</f>
        <v>57.219000000000001</v>
      </c>
      <c r="L918" s="2">
        <f ca="1">IFERROR(__xludf.DUMMYFUNCTION("""COMPUTED_VALUE"""),10.507)</f>
        <v>10.507</v>
      </c>
      <c r="M918" s="2">
        <f ca="1">IFERROR(__xludf.DUMMYFUNCTION("""COMPUTED_VALUE"""),15.018)</f>
        <v>15.018000000000001</v>
      </c>
      <c r="U918" s="3" t="e">
        <f ca="1"/>
        <v>#NAME?</v>
      </c>
    </row>
    <row r="919" spans="3:21" ht="12.5" x14ac:dyDescent="0.25">
      <c r="C919" s="4">
        <f ca="1">IFERROR(__xludf.DUMMYFUNCTION("""COMPUTED_VALUE"""),41234.9986111111)</f>
        <v>41234.998611111099</v>
      </c>
      <c r="D919" s="2">
        <f ca="1">IFERROR(__xludf.DUMMYFUNCTION("""COMPUTED_VALUE"""),55.108)</f>
        <v>55.107999999999997</v>
      </c>
      <c r="E919" s="2">
        <f ca="1">IFERROR(__xludf.DUMMYFUNCTION("""COMPUTED_VALUE"""),73.143)</f>
        <v>73.143000000000001</v>
      </c>
      <c r="F919" s="2">
        <f ca="1">IFERROR(__xludf.DUMMYFUNCTION("""COMPUTED_VALUE"""),86.617)</f>
        <v>86.617000000000004</v>
      </c>
      <c r="G919" s="2">
        <f ca="1">IFERROR(__xludf.DUMMYFUNCTION("""COMPUTED_VALUE"""),0.56726)</f>
        <v>0.56725999999999999</v>
      </c>
      <c r="H919" s="2">
        <f ca="1">IFERROR(__xludf.DUMMYFUNCTION("""COMPUTED_VALUE"""),57.691)</f>
        <v>57.691000000000003</v>
      </c>
      <c r="I919" s="2">
        <f ca="1">IFERROR(__xludf.DUMMYFUNCTION("""COMPUTED_VALUE"""),55.642)</f>
        <v>55.642000000000003</v>
      </c>
      <c r="J919" s="2">
        <f ca="1">IFERROR(__xludf.DUMMYFUNCTION("""COMPUTED_VALUE"""),44.578)</f>
        <v>44.578000000000003</v>
      </c>
      <c r="K919" s="2">
        <f ca="1">IFERROR(__xludf.DUMMYFUNCTION("""COMPUTED_VALUE"""),57.239)</f>
        <v>57.238999999999997</v>
      </c>
      <c r="L919" s="2">
        <f ca="1">IFERROR(__xludf.DUMMYFUNCTION("""COMPUTED_VALUE"""),10.516)</f>
        <v>10.516</v>
      </c>
      <c r="M919" s="2">
        <f ca="1">IFERROR(__xludf.DUMMYFUNCTION("""COMPUTED_VALUE"""),15.017)</f>
        <v>15.016999999999999</v>
      </c>
      <c r="U919" s="3" t="e">
        <f ca="1"/>
        <v>#NAME?</v>
      </c>
    </row>
    <row r="920" spans="3:21" ht="12.5" x14ac:dyDescent="0.25">
      <c r="C920" s="4">
        <f ca="1">IFERROR(__xludf.DUMMYFUNCTION("""COMPUTED_VALUE"""),41235.9986111111)</f>
        <v>41235.998611111099</v>
      </c>
      <c r="D920" s="2">
        <f ca="1">IFERROR(__xludf.DUMMYFUNCTION("""COMPUTED_VALUE"""),55.208)</f>
        <v>55.207999999999998</v>
      </c>
      <c r="E920" s="2">
        <f ca="1">IFERROR(__xludf.DUMMYFUNCTION("""COMPUTED_VALUE"""),72.819)</f>
        <v>72.819000000000003</v>
      </c>
      <c r="F920" s="2">
        <f ca="1">IFERROR(__xludf.DUMMYFUNCTION("""COMPUTED_VALUE"""),86.624)</f>
        <v>86.623999999999995</v>
      </c>
      <c r="G920" s="2">
        <f ca="1">IFERROR(__xludf.DUMMYFUNCTION("""COMPUTED_VALUE"""),0.57736)</f>
        <v>0.57735999999999998</v>
      </c>
      <c r="H920" s="2">
        <f ca="1">IFERROR(__xludf.DUMMYFUNCTION("""COMPUTED_VALUE"""),57.75)</f>
        <v>57.75</v>
      </c>
      <c r="I920" s="2">
        <f ca="1">IFERROR(__xludf.DUMMYFUNCTION("""COMPUTED_VALUE"""),55.644)</f>
        <v>55.643999999999998</v>
      </c>
      <c r="J920" s="2">
        <f ca="1">IFERROR(__xludf.DUMMYFUNCTION("""COMPUTED_VALUE"""),44.728)</f>
        <v>44.728000000000002</v>
      </c>
      <c r="K920" s="2">
        <f ca="1">IFERROR(__xludf.DUMMYFUNCTION("""COMPUTED_VALUE"""),57.27)</f>
        <v>57.27</v>
      </c>
      <c r="L920" s="2">
        <f ca="1">IFERROR(__xludf.DUMMYFUNCTION("""COMPUTED_VALUE"""),10.461)</f>
        <v>10.461</v>
      </c>
      <c r="M920" s="2">
        <f ca="1">IFERROR(__xludf.DUMMYFUNCTION("""COMPUTED_VALUE"""),15.017)</f>
        <v>15.016999999999999</v>
      </c>
      <c r="U920" s="3" t="e">
        <f ca="1"/>
        <v>#NAME?</v>
      </c>
    </row>
    <row r="921" spans="3:21" ht="12.5" x14ac:dyDescent="0.25">
      <c r="C921" s="4">
        <f ca="1">IFERROR(__xludf.DUMMYFUNCTION("""COMPUTED_VALUE"""),41236.9986111111)</f>
        <v>41236.998611111099</v>
      </c>
      <c r="D921" s="2">
        <f ca="1">IFERROR(__xludf.DUMMYFUNCTION("""COMPUTED_VALUE"""),55.443)</f>
        <v>55.442999999999998</v>
      </c>
      <c r="E921" s="2">
        <f ca="1">IFERROR(__xludf.DUMMYFUNCTION("""COMPUTED_VALUE"""),72.6)</f>
        <v>72.599999999999994</v>
      </c>
      <c r="F921" s="2">
        <f ca="1">IFERROR(__xludf.DUMMYFUNCTION("""COMPUTED_VALUE"""),86.701)</f>
        <v>86.700999999999993</v>
      </c>
      <c r="G921" s="2">
        <f ca="1">IFERROR(__xludf.DUMMYFUNCTION("""COMPUTED_VALUE"""),0.57734)</f>
        <v>0.57733999999999996</v>
      </c>
      <c r="H921" s="2">
        <f ca="1">IFERROR(__xludf.DUMMYFUNCTION("""COMPUTED_VALUE"""),57.75)</f>
        <v>57.75</v>
      </c>
      <c r="I921" s="2">
        <f ca="1">IFERROR(__xludf.DUMMYFUNCTION("""COMPUTED_VALUE"""),55.644)</f>
        <v>55.643999999999998</v>
      </c>
      <c r="J921" s="2">
        <f ca="1">IFERROR(__xludf.DUMMYFUNCTION("""COMPUTED_VALUE"""),44.728)</f>
        <v>44.728000000000002</v>
      </c>
      <c r="K921" s="2">
        <f ca="1">IFERROR(__xludf.DUMMYFUNCTION("""COMPUTED_VALUE"""),57.692)</f>
        <v>57.692</v>
      </c>
      <c r="L921" s="2">
        <f ca="1">IFERROR(__xludf.DUMMYFUNCTION("""COMPUTED_VALUE"""),10.568)</f>
        <v>10.568</v>
      </c>
      <c r="M921" s="2">
        <f ca="1">IFERROR(__xludf.DUMMYFUNCTION("""COMPUTED_VALUE"""),14.99)</f>
        <v>14.99</v>
      </c>
      <c r="U921" s="3" t="e">
        <f ca="1"/>
        <v>#NAME?</v>
      </c>
    </row>
    <row r="922" spans="3:21" ht="12.5" x14ac:dyDescent="0.25">
      <c r="C922" s="4">
        <f ca="1">IFERROR(__xludf.DUMMYFUNCTION("""COMPUTED_VALUE"""),41237.9986111111)</f>
        <v>41237.998611111099</v>
      </c>
      <c r="D922" s="2">
        <f ca="1">IFERROR(__xludf.DUMMYFUNCTION("""COMPUTED_VALUE"""),55.443)</f>
        <v>55.442999999999998</v>
      </c>
      <c r="E922" s="2">
        <f ca="1">IFERROR(__xludf.DUMMYFUNCTION("""COMPUTED_VALUE"""),72.615)</f>
        <v>72.614999999999995</v>
      </c>
      <c r="F922" s="2">
        <f ca="1">IFERROR(__xludf.DUMMYFUNCTION("""COMPUTED_VALUE"""),86.463)</f>
        <v>86.462999999999994</v>
      </c>
      <c r="G922" s="2">
        <f ca="1">IFERROR(__xludf.DUMMYFUNCTION("""COMPUTED_VALUE"""),0.572)</f>
        <v>0.57199999999999995</v>
      </c>
      <c r="H922" s="2">
        <f ca="1">IFERROR(__xludf.DUMMYFUNCTION("""COMPUTED_VALUE"""),57.75)</f>
        <v>57.75</v>
      </c>
      <c r="I922" s="2">
        <f ca="1">IFERROR(__xludf.DUMMYFUNCTION("""COMPUTED_VALUE"""),55.336)</f>
        <v>55.335999999999999</v>
      </c>
      <c r="J922" s="2">
        <f ca="1">IFERROR(__xludf.DUMMYFUNCTION("""COMPUTED_VALUE"""),44.728)</f>
        <v>44.728000000000002</v>
      </c>
      <c r="K922" s="2">
        <f ca="1">IFERROR(__xludf.DUMMYFUNCTION("""COMPUTED_VALUE"""),57.827)</f>
        <v>57.826999999999998</v>
      </c>
      <c r="L922" s="2">
        <f ca="1">IFERROR(__xludf.DUMMYFUNCTION("""COMPUTED_VALUE"""),10.586)</f>
        <v>10.586</v>
      </c>
      <c r="M922" s="2">
        <f ca="1">IFERROR(__xludf.DUMMYFUNCTION("""COMPUTED_VALUE"""),15.001)</f>
        <v>15.000999999999999</v>
      </c>
      <c r="U922" s="3" t="e">
        <f ca="1"/>
        <v>#NAME?</v>
      </c>
    </row>
    <row r="923" spans="3:21" ht="12.5" x14ac:dyDescent="0.25">
      <c r="C923" s="4">
        <f ca="1">IFERROR(__xludf.DUMMYFUNCTION("""COMPUTED_VALUE"""),41239.9986111111)</f>
        <v>41239.998611111099</v>
      </c>
      <c r="D923" s="2">
        <f ca="1">IFERROR(__xludf.DUMMYFUNCTION("""COMPUTED_VALUE"""),55.636)</f>
        <v>55.636000000000003</v>
      </c>
      <c r="E923" s="2">
        <f ca="1">IFERROR(__xludf.DUMMYFUNCTION("""COMPUTED_VALUE"""),72.623)</f>
        <v>72.623000000000005</v>
      </c>
      <c r="F923" s="2">
        <f ca="1">IFERROR(__xludf.DUMMYFUNCTION("""COMPUTED_VALUE"""),86.116)</f>
        <v>86.116</v>
      </c>
      <c r="G923" s="2">
        <f ca="1">IFERROR(__xludf.DUMMYFUNCTION("""COMPUTED_VALUE"""),0.57682)</f>
        <v>0.57682</v>
      </c>
      <c r="H923" s="2">
        <f ca="1">IFERROR(__xludf.DUMMYFUNCTION("""COMPUTED_VALUE"""),57.501)</f>
        <v>57.500999999999998</v>
      </c>
      <c r="I923" s="2">
        <f ca="1">IFERROR(__xludf.DUMMYFUNCTION("""COMPUTED_VALUE"""),55.437)</f>
        <v>55.436999999999998</v>
      </c>
      <c r="J923" s="2">
        <f ca="1">IFERROR(__xludf.DUMMYFUNCTION("""COMPUTED_VALUE"""),44.428)</f>
        <v>44.427999999999997</v>
      </c>
      <c r="K923" s="2">
        <f ca="1">IFERROR(__xludf.DUMMYFUNCTION("""COMPUTED_VALUE"""),57.698)</f>
        <v>57.698</v>
      </c>
      <c r="L923" s="2">
        <f ca="1">IFERROR(__xludf.DUMMYFUNCTION("""COMPUTED_VALUE"""),10.557)</f>
        <v>10.557</v>
      </c>
      <c r="M923" s="2">
        <f ca="1">IFERROR(__xludf.DUMMYFUNCTION("""COMPUTED_VALUE"""),15.004)</f>
        <v>15.004</v>
      </c>
      <c r="U923" s="3" t="e">
        <f ca="1"/>
        <v>#NAME?</v>
      </c>
    </row>
    <row r="924" spans="3:21" ht="12.5" x14ac:dyDescent="0.25">
      <c r="C924" s="4">
        <f ca="1">IFERROR(__xludf.DUMMYFUNCTION("""COMPUTED_VALUE"""),41240.9986111111)</f>
        <v>41240.998611111099</v>
      </c>
      <c r="D924" s="2">
        <f ca="1">IFERROR(__xludf.DUMMYFUNCTION("""COMPUTED_VALUE"""),55.448)</f>
        <v>55.448</v>
      </c>
      <c r="E924" s="2">
        <f ca="1">IFERROR(__xludf.DUMMYFUNCTION("""COMPUTED_VALUE"""),71.507)</f>
        <v>71.507000000000005</v>
      </c>
      <c r="F924" s="2">
        <f ca="1">IFERROR(__xludf.DUMMYFUNCTION("""COMPUTED_VALUE"""),86.129)</f>
        <v>86.129000000000005</v>
      </c>
      <c r="G924" s="2">
        <f ca="1">IFERROR(__xludf.DUMMYFUNCTION("""COMPUTED_VALUE"""),0.57617)</f>
        <v>0.57616999999999996</v>
      </c>
      <c r="H924" s="2">
        <f ca="1">IFERROR(__xludf.DUMMYFUNCTION("""COMPUTED_VALUE"""),57.647)</f>
        <v>57.646999999999998</v>
      </c>
      <c r="I924" s="2">
        <f ca="1">IFERROR(__xludf.DUMMYFUNCTION("""COMPUTED_VALUE"""),55.389)</f>
        <v>55.389000000000003</v>
      </c>
      <c r="J924" s="2">
        <f ca="1">IFERROR(__xludf.DUMMYFUNCTION("""COMPUTED_VALUE"""),44.547)</f>
        <v>44.546999999999997</v>
      </c>
      <c r="K924" s="2">
        <f ca="1">IFERROR(__xludf.DUMMYFUNCTION("""COMPUTED_VALUE"""),57.532)</f>
        <v>57.531999999999996</v>
      </c>
      <c r="L924" s="2">
        <f ca="1">IFERROR(__xludf.DUMMYFUNCTION("""COMPUTED_VALUE"""),10.508)</f>
        <v>10.507999999999999</v>
      </c>
      <c r="M924" s="2">
        <f ca="1">IFERROR(__xludf.DUMMYFUNCTION("""COMPUTED_VALUE"""),15.031)</f>
        <v>15.031000000000001</v>
      </c>
      <c r="U924" s="3" t="e">
        <f ca="1"/>
        <v>#NAME?</v>
      </c>
    </row>
    <row r="925" spans="3:21" ht="12.5" x14ac:dyDescent="0.25">
      <c r="C925" s="4">
        <f ca="1">IFERROR(__xludf.DUMMYFUNCTION("""COMPUTED_VALUE"""),41241.9986111111)</f>
        <v>41241.998611111099</v>
      </c>
      <c r="D925" s="2">
        <f ca="1">IFERROR(__xludf.DUMMYFUNCTION("""COMPUTED_VALUE"""),55.703)</f>
        <v>55.703000000000003</v>
      </c>
      <c r="E925" s="2">
        <f ca="1">IFERROR(__xludf.DUMMYFUNCTION("""COMPUTED_VALUE"""),71.508)</f>
        <v>71.507999999999996</v>
      </c>
      <c r="F925" s="2">
        <f ca="1">IFERROR(__xludf.DUMMYFUNCTION("""COMPUTED_VALUE"""),86.129)</f>
        <v>86.129000000000005</v>
      </c>
      <c r="G925" s="2">
        <f ca="1">IFERROR(__xludf.DUMMYFUNCTION("""COMPUTED_VALUE"""),0.57935)</f>
        <v>0.57935000000000003</v>
      </c>
      <c r="H925" s="2">
        <f ca="1">IFERROR(__xludf.DUMMYFUNCTION("""COMPUTED_VALUE"""),57.67)</f>
        <v>57.67</v>
      </c>
      <c r="I925" s="2">
        <f ca="1">IFERROR(__xludf.DUMMYFUNCTION("""COMPUTED_VALUE"""),55.078)</f>
        <v>55.078000000000003</v>
      </c>
      <c r="J925" s="2">
        <f ca="1">IFERROR(__xludf.DUMMYFUNCTION("""COMPUTED_VALUE"""),44.646)</f>
        <v>44.646000000000001</v>
      </c>
      <c r="K925" s="2">
        <f ca="1">IFERROR(__xludf.DUMMYFUNCTION("""COMPUTED_VALUE"""),57.157)</f>
        <v>57.156999999999996</v>
      </c>
      <c r="L925" s="2">
        <f ca="1">IFERROR(__xludf.DUMMYFUNCTION("""COMPUTED_VALUE"""),10.527)</f>
        <v>10.526999999999999</v>
      </c>
      <c r="M925" s="2">
        <f ca="1">IFERROR(__xludf.DUMMYFUNCTION("""COMPUTED_VALUE"""),15.094)</f>
        <v>15.093999999999999</v>
      </c>
      <c r="U925" s="3" t="e">
        <f ca="1"/>
        <v>#NAME?</v>
      </c>
    </row>
    <row r="926" spans="3:21" ht="12.5" x14ac:dyDescent="0.25">
      <c r="C926" s="4">
        <f ca="1">IFERROR(__xludf.DUMMYFUNCTION("""COMPUTED_VALUE"""),41242.9986111111)</f>
        <v>41242.998611111099</v>
      </c>
      <c r="D926" s="2">
        <f ca="1">IFERROR(__xludf.DUMMYFUNCTION("""COMPUTED_VALUE"""),54.838)</f>
        <v>54.838000000000001</v>
      </c>
      <c r="E926" s="2">
        <f ca="1">IFERROR(__xludf.DUMMYFUNCTION("""COMPUTED_VALUE"""),71.506)</f>
        <v>71.506</v>
      </c>
      <c r="F926" s="2">
        <f ca="1">IFERROR(__xludf.DUMMYFUNCTION("""COMPUTED_VALUE"""),87.16)</f>
        <v>87.16</v>
      </c>
      <c r="G926" s="2">
        <f ca="1">IFERROR(__xludf.DUMMYFUNCTION("""COMPUTED_VALUE"""),0.58091)</f>
        <v>0.58091000000000004</v>
      </c>
      <c r="H926" s="2">
        <f ca="1">IFERROR(__xludf.DUMMYFUNCTION("""COMPUTED_VALUE"""),57.264)</f>
        <v>57.264000000000003</v>
      </c>
      <c r="I926" s="2">
        <f ca="1">IFERROR(__xludf.DUMMYFUNCTION("""COMPUTED_VALUE"""),54.152)</f>
        <v>54.152000000000001</v>
      </c>
      <c r="J926" s="2">
        <f ca="1">IFERROR(__xludf.DUMMYFUNCTION("""COMPUTED_VALUE"""),44.376)</f>
        <v>44.375999999999998</v>
      </c>
      <c r="K926" s="2">
        <f ca="1">IFERROR(__xludf.DUMMYFUNCTION("""COMPUTED_VALUE"""),57.365)</f>
        <v>57.365000000000002</v>
      </c>
      <c r="L926" s="2">
        <f ca="1">IFERROR(__xludf.DUMMYFUNCTION("""COMPUTED_VALUE"""),10.55)</f>
        <v>10.55</v>
      </c>
      <c r="M926" s="2">
        <f ca="1">IFERROR(__xludf.DUMMYFUNCTION("""COMPUTED_VALUE"""),15.094)</f>
        <v>15.093999999999999</v>
      </c>
      <c r="U926" s="3" t="e">
        <f ca="1"/>
        <v>#NAME?</v>
      </c>
    </row>
    <row r="927" spans="3:21" ht="12.5" x14ac:dyDescent="0.25">
      <c r="C927" s="4">
        <f ca="1">IFERROR(__xludf.DUMMYFUNCTION("""COMPUTED_VALUE"""),41243.9986111111)</f>
        <v>41243.998611111099</v>
      </c>
      <c r="D927" s="2">
        <f ca="1">IFERROR(__xludf.DUMMYFUNCTION("""COMPUTED_VALUE"""),54.258)</f>
        <v>54.258000000000003</v>
      </c>
      <c r="E927" s="2">
        <f ca="1">IFERROR(__xludf.DUMMYFUNCTION("""COMPUTED_VALUE"""),71.505)</f>
        <v>71.504999999999995</v>
      </c>
      <c r="F927" s="2">
        <f ca="1">IFERROR(__xludf.DUMMYFUNCTION("""COMPUTED_VALUE"""),86.933)</f>
        <v>86.933000000000007</v>
      </c>
      <c r="G927" s="2">
        <f ca="1">IFERROR(__xludf.DUMMYFUNCTION("""COMPUTED_VALUE"""),0.58091)</f>
        <v>0.58091000000000004</v>
      </c>
      <c r="H927" s="2">
        <f ca="1">IFERROR(__xludf.DUMMYFUNCTION("""COMPUTED_VALUE"""),56.414)</f>
        <v>56.414000000000001</v>
      </c>
      <c r="I927" s="2">
        <f ca="1">IFERROR(__xludf.DUMMYFUNCTION("""COMPUTED_VALUE"""),54.152)</f>
        <v>54.152000000000001</v>
      </c>
      <c r="J927" s="2">
        <f ca="1">IFERROR(__xludf.DUMMYFUNCTION("""COMPUTED_VALUE"""),43.733)</f>
        <v>43.732999999999997</v>
      </c>
      <c r="K927" s="2">
        <f ca="1">IFERROR(__xludf.DUMMYFUNCTION("""COMPUTED_VALUE"""),57.333)</f>
        <v>57.332999999999998</v>
      </c>
      <c r="L927" s="2">
        <f ca="1">IFERROR(__xludf.DUMMYFUNCTION("""COMPUTED_VALUE"""),10.588)</f>
        <v>10.587999999999999</v>
      </c>
      <c r="M927" s="2">
        <f ca="1">IFERROR(__xludf.DUMMYFUNCTION("""COMPUTED_VALUE"""),15.094)</f>
        <v>15.093999999999999</v>
      </c>
      <c r="U927" s="3" t="e">
        <f ca="1"/>
        <v>#NAME?</v>
      </c>
    </row>
    <row r="928" spans="3:21" ht="12.5" x14ac:dyDescent="0.25">
      <c r="C928" s="4">
        <f ca="1">IFERROR(__xludf.DUMMYFUNCTION("""COMPUTED_VALUE"""),41244.9986111111)</f>
        <v>41244.998611111099</v>
      </c>
      <c r="D928" s="2">
        <f ca="1">IFERROR(__xludf.DUMMYFUNCTION("""COMPUTED_VALUE"""),54.258)</f>
        <v>54.258000000000003</v>
      </c>
      <c r="E928" s="2">
        <f ca="1">IFERROR(__xludf.DUMMYFUNCTION("""COMPUTED_VALUE"""),71.594)</f>
        <v>71.593999999999994</v>
      </c>
      <c r="F928" s="2">
        <f ca="1">IFERROR(__xludf.DUMMYFUNCTION("""COMPUTED_VALUE"""),86.506)</f>
        <v>86.506</v>
      </c>
      <c r="G928" s="2">
        <f ca="1">IFERROR(__xludf.DUMMYFUNCTION("""COMPUTED_VALUE"""),0.57746)</f>
        <v>0.57745999999999997</v>
      </c>
      <c r="H928" s="2">
        <f ca="1">IFERROR(__xludf.DUMMYFUNCTION("""COMPUTED_VALUE"""),56.416)</f>
        <v>56.415999999999997</v>
      </c>
      <c r="I928" s="2">
        <f ca="1">IFERROR(__xludf.DUMMYFUNCTION("""COMPUTED_VALUE"""),53.657)</f>
        <v>53.656999999999996</v>
      </c>
      <c r="J928" s="2">
        <f ca="1">IFERROR(__xludf.DUMMYFUNCTION("""COMPUTED_VALUE"""),43.734)</f>
        <v>43.734000000000002</v>
      </c>
      <c r="K928" s="2">
        <f ca="1">IFERROR(__xludf.DUMMYFUNCTION("""COMPUTED_VALUE"""),57.814)</f>
        <v>57.814</v>
      </c>
      <c r="L928" s="2">
        <f ca="1">IFERROR(__xludf.DUMMYFUNCTION("""COMPUTED_VALUE"""),10.574)</f>
        <v>10.574</v>
      </c>
      <c r="M928" s="2">
        <f ca="1">IFERROR(__xludf.DUMMYFUNCTION("""COMPUTED_VALUE"""),15.147)</f>
        <v>15.147</v>
      </c>
      <c r="U928" s="3" t="e">
        <f ca="1"/>
        <v>#NAME?</v>
      </c>
    </row>
    <row r="929" spans="3:21" ht="12.5" x14ac:dyDescent="0.25">
      <c r="C929" s="4">
        <f ca="1">IFERROR(__xludf.DUMMYFUNCTION("""COMPUTED_VALUE"""),41246.9986111111)</f>
        <v>41246.998611111099</v>
      </c>
      <c r="D929" s="2">
        <f ca="1">IFERROR(__xludf.DUMMYFUNCTION("""COMPUTED_VALUE"""),54.768)</f>
        <v>54.768000000000001</v>
      </c>
      <c r="E929" s="2">
        <f ca="1">IFERROR(__xludf.DUMMYFUNCTION("""COMPUTED_VALUE"""),71.351)</f>
        <v>71.350999999999999</v>
      </c>
      <c r="F929" s="2">
        <f ca="1">IFERROR(__xludf.DUMMYFUNCTION("""COMPUTED_VALUE"""),86.76)</f>
        <v>86.76</v>
      </c>
      <c r="G929" s="2">
        <f ca="1">IFERROR(__xludf.DUMMYFUNCTION("""COMPUTED_VALUE"""),0.57733)</f>
        <v>0.57733000000000001</v>
      </c>
      <c r="H929" s="2">
        <f ca="1">IFERROR(__xludf.DUMMYFUNCTION("""COMPUTED_VALUE"""),55.934)</f>
        <v>55.933999999999997</v>
      </c>
      <c r="I929" s="2">
        <f ca="1">IFERROR(__xludf.DUMMYFUNCTION("""COMPUTED_VALUE"""),54.101)</f>
        <v>54.100999999999999</v>
      </c>
      <c r="J929" s="2">
        <f ca="1">IFERROR(__xludf.DUMMYFUNCTION("""COMPUTED_VALUE"""),43.731)</f>
        <v>43.731000000000002</v>
      </c>
      <c r="K929" s="2">
        <f ca="1">IFERROR(__xludf.DUMMYFUNCTION("""COMPUTED_VALUE"""),57.635)</f>
        <v>57.634999999999998</v>
      </c>
      <c r="L929" s="2">
        <f ca="1">IFERROR(__xludf.DUMMYFUNCTION("""COMPUTED_VALUE"""),10.545)</f>
        <v>10.545</v>
      </c>
      <c r="M929" s="2">
        <f ca="1">IFERROR(__xludf.DUMMYFUNCTION("""COMPUTED_VALUE"""),15.096)</f>
        <v>15.096</v>
      </c>
      <c r="U929" s="3" t="e">
        <f ca="1"/>
        <v>#NAME?</v>
      </c>
    </row>
    <row r="930" spans="3:21" ht="12.5" x14ac:dyDescent="0.25">
      <c r="C930" s="4">
        <f ca="1">IFERROR(__xludf.DUMMYFUNCTION("""COMPUTED_VALUE"""),41247.9986111111)</f>
        <v>41247.998611111099</v>
      </c>
      <c r="D930" s="2">
        <f ca="1">IFERROR(__xludf.DUMMYFUNCTION("""COMPUTED_VALUE"""),54.673)</f>
        <v>54.673000000000002</v>
      </c>
      <c r="E930" s="2">
        <f ca="1">IFERROR(__xludf.DUMMYFUNCTION("""COMPUTED_VALUE"""),71.713)</f>
        <v>71.712999999999994</v>
      </c>
      <c r="F930" s="2">
        <f ca="1">IFERROR(__xludf.DUMMYFUNCTION("""COMPUTED_VALUE"""),86.778)</f>
        <v>86.778000000000006</v>
      </c>
      <c r="G930" s="2">
        <f ca="1">IFERROR(__xludf.DUMMYFUNCTION("""COMPUTED_VALUE"""),0.57653)</f>
        <v>0.57652999999999999</v>
      </c>
      <c r="H930" s="2">
        <f ca="1">IFERROR(__xludf.DUMMYFUNCTION("""COMPUTED_VALUE"""),56.478)</f>
        <v>56.478000000000002</v>
      </c>
      <c r="I930" s="2">
        <f ca="1">IFERROR(__xludf.DUMMYFUNCTION("""COMPUTED_VALUE"""),54.186)</f>
        <v>54.186</v>
      </c>
      <c r="J930" s="2">
        <f ca="1">IFERROR(__xludf.DUMMYFUNCTION("""COMPUTED_VALUE"""),43.7)</f>
        <v>43.7</v>
      </c>
      <c r="K930" s="2">
        <f ca="1">IFERROR(__xludf.DUMMYFUNCTION("""COMPUTED_VALUE"""),57.26)</f>
        <v>57.26</v>
      </c>
      <c r="L930" s="2">
        <f ca="1">IFERROR(__xludf.DUMMYFUNCTION("""COMPUTED_VALUE"""),10.523)</f>
        <v>10.523</v>
      </c>
      <c r="M930" s="2">
        <f ca="1">IFERROR(__xludf.DUMMYFUNCTION("""COMPUTED_VALUE"""),15.166)</f>
        <v>15.166</v>
      </c>
      <c r="U930" s="3" t="e">
        <f ca="1"/>
        <v>#NAME?</v>
      </c>
    </row>
    <row r="931" spans="3:21" ht="12.5" x14ac:dyDescent="0.25">
      <c r="C931" s="4">
        <f ca="1">IFERROR(__xludf.DUMMYFUNCTION("""COMPUTED_VALUE"""),41248.9986111111)</f>
        <v>41248.998611111099</v>
      </c>
      <c r="D931" s="2">
        <f ca="1">IFERROR(__xludf.DUMMYFUNCTION("""COMPUTED_VALUE"""),54.538)</f>
        <v>54.537999999999997</v>
      </c>
      <c r="E931" s="2">
        <f ca="1">IFERROR(__xludf.DUMMYFUNCTION("""COMPUTED_VALUE"""),72.345)</f>
        <v>72.344999999999999</v>
      </c>
      <c r="F931" s="2">
        <f ca="1">IFERROR(__xludf.DUMMYFUNCTION("""COMPUTED_VALUE"""),86.786)</f>
        <v>86.786000000000001</v>
      </c>
      <c r="G931" s="2">
        <f ca="1">IFERROR(__xludf.DUMMYFUNCTION("""COMPUTED_VALUE"""),0.58417)</f>
        <v>0.58416999999999997</v>
      </c>
      <c r="H931" s="2">
        <f ca="1">IFERROR(__xludf.DUMMYFUNCTION("""COMPUTED_VALUE"""),56.776)</f>
        <v>56.776000000000003</v>
      </c>
      <c r="I931" s="2">
        <f ca="1">IFERROR(__xludf.DUMMYFUNCTION("""COMPUTED_VALUE"""),53.639)</f>
        <v>53.639000000000003</v>
      </c>
      <c r="J931" s="2">
        <f ca="1">IFERROR(__xludf.DUMMYFUNCTION("""COMPUTED_VALUE"""),43.796)</f>
        <v>43.795999999999999</v>
      </c>
      <c r="K931" s="2">
        <f ca="1">IFERROR(__xludf.DUMMYFUNCTION("""COMPUTED_VALUE"""),57.398)</f>
        <v>57.398000000000003</v>
      </c>
      <c r="L931" s="2">
        <f ca="1">IFERROR(__xludf.DUMMYFUNCTION("""COMPUTED_VALUE"""),10.539)</f>
        <v>10.539</v>
      </c>
      <c r="M931" s="2">
        <f ca="1">IFERROR(__xludf.DUMMYFUNCTION("""COMPUTED_VALUE"""),14.93)</f>
        <v>14.93</v>
      </c>
      <c r="U931" s="3" t="e">
        <f ca="1"/>
        <v>#NAME?</v>
      </c>
    </row>
    <row r="932" spans="3:21" ht="12.5" x14ac:dyDescent="0.25">
      <c r="C932" s="4">
        <f ca="1">IFERROR(__xludf.DUMMYFUNCTION("""COMPUTED_VALUE"""),41249.9986111111)</f>
        <v>41249.998611111099</v>
      </c>
      <c r="D932" s="2">
        <f ca="1">IFERROR(__xludf.DUMMYFUNCTION("""COMPUTED_VALUE"""),54.133)</f>
        <v>54.133000000000003</v>
      </c>
      <c r="E932" s="2">
        <f ca="1">IFERROR(__xludf.DUMMYFUNCTION("""COMPUTED_VALUE"""),72.411)</f>
        <v>72.411000000000001</v>
      </c>
      <c r="F932" s="2">
        <f ca="1">IFERROR(__xludf.DUMMYFUNCTION("""COMPUTED_VALUE"""),86.783)</f>
        <v>86.783000000000001</v>
      </c>
      <c r="G932" s="2">
        <f ca="1">IFERROR(__xludf.DUMMYFUNCTION("""COMPUTED_VALUE"""),0.58093)</f>
        <v>0.58092999999999995</v>
      </c>
      <c r="H932" s="2">
        <f ca="1">IFERROR(__xludf.DUMMYFUNCTION("""COMPUTED_VALUE"""),56.494)</f>
        <v>56.494</v>
      </c>
      <c r="I932" s="2">
        <f ca="1">IFERROR(__xludf.DUMMYFUNCTION("""COMPUTED_VALUE"""),53.5)</f>
        <v>53.5</v>
      </c>
      <c r="J932" s="2">
        <f ca="1">IFERROR(__xludf.DUMMYFUNCTION("""COMPUTED_VALUE"""),43.689)</f>
        <v>43.689</v>
      </c>
      <c r="K932" s="2">
        <f ca="1">IFERROR(__xludf.DUMMYFUNCTION("""COMPUTED_VALUE"""),57.533)</f>
        <v>57.533000000000001</v>
      </c>
      <c r="L932" s="2">
        <f ca="1">IFERROR(__xludf.DUMMYFUNCTION("""COMPUTED_VALUE"""),10.606)</f>
        <v>10.606</v>
      </c>
      <c r="M932" s="2">
        <f ca="1">IFERROR(__xludf.DUMMYFUNCTION("""COMPUTED_VALUE"""),14.772)</f>
        <v>14.772</v>
      </c>
      <c r="U932" s="3" t="e">
        <f ca="1"/>
        <v>#NAME?</v>
      </c>
    </row>
    <row r="933" spans="3:21" ht="12.5" x14ac:dyDescent="0.25">
      <c r="C933" s="4">
        <f ca="1">IFERROR(__xludf.DUMMYFUNCTION("""COMPUTED_VALUE"""),41250.9986111111)</f>
        <v>41250.998611111099</v>
      </c>
      <c r="D933" s="2">
        <f ca="1">IFERROR(__xludf.DUMMYFUNCTION("""COMPUTED_VALUE"""),54.338)</f>
        <v>54.338000000000001</v>
      </c>
      <c r="E933" s="2">
        <f ca="1">IFERROR(__xludf.DUMMYFUNCTION("""COMPUTED_VALUE"""),72.414)</f>
        <v>72.414000000000001</v>
      </c>
      <c r="F933" s="2">
        <f ca="1">IFERROR(__xludf.DUMMYFUNCTION("""COMPUTED_VALUE"""),87.03)</f>
        <v>87.03</v>
      </c>
      <c r="G933" s="2">
        <f ca="1">IFERROR(__xludf.DUMMYFUNCTION("""COMPUTED_VALUE"""),0.58105)</f>
        <v>0.58104999999999996</v>
      </c>
      <c r="H933" s="2">
        <f ca="1">IFERROR(__xludf.DUMMYFUNCTION("""COMPUTED_VALUE"""),56.021)</f>
        <v>56.021000000000001</v>
      </c>
      <c r="I933" s="2">
        <f ca="1">IFERROR(__xludf.DUMMYFUNCTION("""COMPUTED_VALUE"""),53.418)</f>
        <v>53.417999999999999</v>
      </c>
      <c r="J933" s="2">
        <f ca="1">IFERROR(__xludf.DUMMYFUNCTION("""COMPUTED_VALUE"""),43.593)</f>
        <v>43.593000000000004</v>
      </c>
      <c r="K933" s="2">
        <f ca="1">IFERROR(__xludf.DUMMYFUNCTION("""COMPUTED_VALUE"""),57.479)</f>
        <v>57.478999999999999</v>
      </c>
      <c r="L933" s="2">
        <f ca="1">IFERROR(__xludf.DUMMYFUNCTION("""COMPUTED_VALUE"""),10.606)</f>
        <v>10.606</v>
      </c>
      <c r="M933" s="2">
        <f ca="1">IFERROR(__xludf.DUMMYFUNCTION("""COMPUTED_VALUE"""),14.772)</f>
        <v>14.772</v>
      </c>
      <c r="U933" s="3" t="e">
        <f ca="1"/>
        <v>#NAME?</v>
      </c>
    </row>
    <row r="934" spans="3:21" ht="12.5" x14ac:dyDescent="0.25">
      <c r="C934" s="4">
        <f ca="1">IFERROR(__xludf.DUMMYFUNCTION("""COMPUTED_VALUE"""),41251.9986111111)</f>
        <v>41251.998611111099</v>
      </c>
      <c r="D934" s="2">
        <f ca="1">IFERROR(__xludf.DUMMYFUNCTION("""COMPUTED_VALUE"""),54.338)</f>
        <v>54.338000000000001</v>
      </c>
      <c r="E934" s="2">
        <f ca="1">IFERROR(__xludf.DUMMYFUNCTION("""COMPUTED_VALUE"""),72.446)</f>
        <v>72.445999999999998</v>
      </c>
      <c r="F934" s="2">
        <f ca="1">IFERROR(__xludf.DUMMYFUNCTION("""COMPUTED_VALUE"""),87.026)</f>
        <v>87.025999999999996</v>
      </c>
      <c r="G934" s="2">
        <f ca="1">IFERROR(__xludf.DUMMYFUNCTION("""COMPUTED_VALUE"""),0.58239)</f>
        <v>0.58238999999999996</v>
      </c>
      <c r="H934" s="2">
        <f ca="1">IFERROR(__xludf.DUMMYFUNCTION("""COMPUTED_VALUE"""),56.071)</f>
        <v>56.070999999999998</v>
      </c>
      <c r="I934" s="2">
        <f ca="1">IFERROR(__xludf.DUMMYFUNCTION("""COMPUTED_VALUE"""),53.476)</f>
        <v>53.475999999999999</v>
      </c>
      <c r="J934" s="2">
        <f ca="1">IFERROR(__xludf.DUMMYFUNCTION("""COMPUTED_VALUE"""),43.567)</f>
        <v>43.567</v>
      </c>
      <c r="K934" s="2">
        <f ca="1">IFERROR(__xludf.DUMMYFUNCTION("""COMPUTED_VALUE"""),56.811)</f>
        <v>56.811</v>
      </c>
      <c r="L934" s="2">
        <f ca="1">IFERROR(__xludf.DUMMYFUNCTION("""COMPUTED_VALUE"""),10.666)</f>
        <v>10.666</v>
      </c>
      <c r="M934" s="2">
        <f ca="1">IFERROR(__xludf.DUMMYFUNCTION("""COMPUTED_VALUE"""),14.772)</f>
        <v>14.772</v>
      </c>
      <c r="U934" s="3" t="e">
        <f ca="1"/>
        <v>#NAME?</v>
      </c>
    </row>
    <row r="935" spans="3:21" ht="12.5" x14ac:dyDescent="0.25">
      <c r="C935" s="4">
        <f ca="1">IFERROR(__xludf.DUMMYFUNCTION("""COMPUTED_VALUE"""),41253.9986111111)</f>
        <v>41253.998611111099</v>
      </c>
      <c r="D935" s="2">
        <f ca="1">IFERROR(__xludf.DUMMYFUNCTION("""COMPUTED_VALUE"""),54.488)</f>
        <v>54.488</v>
      </c>
      <c r="E935" s="2">
        <f ca="1">IFERROR(__xludf.DUMMYFUNCTION("""COMPUTED_VALUE"""),72.259)</f>
        <v>72.259</v>
      </c>
      <c r="F935" s="2">
        <f ca="1">IFERROR(__xludf.DUMMYFUNCTION("""COMPUTED_VALUE"""),86.728)</f>
        <v>86.727999999999994</v>
      </c>
      <c r="G935" s="2">
        <f ca="1">IFERROR(__xludf.DUMMYFUNCTION("""COMPUTED_VALUE"""),0.58621)</f>
        <v>0.58621000000000001</v>
      </c>
      <c r="H935" s="2">
        <f ca="1">IFERROR(__xludf.DUMMYFUNCTION("""COMPUTED_VALUE"""),56.074)</f>
        <v>56.073999999999998</v>
      </c>
      <c r="I935" s="2">
        <f ca="1">IFERROR(__xludf.DUMMYFUNCTION("""COMPUTED_VALUE"""),53.539)</f>
        <v>53.539000000000001</v>
      </c>
      <c r="J935" s="2">
        <f ca="1">IFERROR(__xludf.DUMMYFUNCTION("""COMPUTED_VALUE"""),43.567)</f>
        <v>43.567</v>
      </c>
      <c r="K935" s="2">
        <f ca="1">IFERROR(__xludf.DUMMYFUNCTION("""COMPUTED_VALUE"""),57.866)</f>
        <v>57.866</v>
      </c>
      <c r="L935" s="2">
        <f ca="1">IFERROR(__xludf.DUMMYFUNCTION("""COMPUTED_VALUE"""),10.712)</f>
        <v>10.712</v>
      </c>
      <c r="M935" s="2">
        <f ca="1">IFERROR(__xludf.DUMMYFUNCTION("""COMPUTED_VALUE"""),14.909)</f>
        <v>14.909000000000001</v>
      </c>
      <c r="U935" s="3" t="e">
        <f ca="1"/>
        <v>#NAME?</v>
      </c>
    </row>
    <row r="936" spans="3:21" ht="12.5" x14ac:dyDescent="0.25">
      <c r="C936" s="4">
        <f ca="1">IFERROR(__xludf.DUMMYFUNCTION("""COMPUTED_VALUE"""),41254.9986111111)</f>
        <v>41254.998611111099</v>
      </c>
      <c r="D936" s="2">
        <f ca="1">IFERROR(__xludf.DUMMYFUNCTION("""COMPUTED_VALUE"""),54.258)</f>
        <v>54.258000000000003</v>
      </c>
      <c r="E936" s="2">
        <f ca="1">IFERROR(__xludf.DUMMYFUNCTION("""COMPUTED_VALUE"""),72.368)</f>
        <v>72.367999999999995</v>
      </c>
      <c r="F936" s="2">
        <f ca="1">IFERROR(__xludf.DUMMYFUNCTION("""COMPUTED_VALUE"""),86.68)</f>
        <v>86.68</v>
      </c>
      <c r="G936" s="2">
        <f ca="1">IFERROR(__xludf.DUMMYFUNCTION("""COMPUTED_VALUE"""),0.58278)</f>
        <v>0.58277999999999996</v>
      </c>
      <c r="H936" s="2">
        <f ca="1">IFERROR(__xludf.DUMMYFUNCTION("""COMPUTED_VALUE"""),56.126)</f>
        <v>56.125999999999998</v>
      </c>
      <c r="I936" s="2">
        <f ca="1">IFERROR(__xludf.DUMMYFUNCTION("""COMPUTED_VALUE"""),53.62)</f>
        <v>53.62</v>
      </c>
      <c r="J936" s="2">
        <f ca="1">IFERROR(__xludf.DUMMYFUNCTION("""COMPUTED_VALUE"""),43.496)</f>
        <v>43.496000000000002</v>
      </c>
      <c r="K936" s="2">
        <f ca="1">IFERROR(__xludf.DUMMYFUNCTION("""COMPUTED_VALUE"""),57.885)</f>
        <v>57.884999999999998</v>
      </c>
      <c r="L936" s="2">
        <f ca="1">IFERROR(__xludf.DUMMYFUNCTION("""COMPUTED_VALUE"""),10.729)</f>
        <v>10.728999999999999</v>
      </c>
      <c r="M936" s="2">
        <f ca="1">IFERROR(__xludf.DUMMYFUNCTION("""COMPUTED_VALUE"""),14.885)</f>
        <v>14.885</v>
      </c>
      <c r="U936" s="3" t="e">
        <f ca="1"/>
        <v>#NAME?</v>
      </c>
    </row>
    <row r="937" spans="3:21" ht="12.5" x14ac:dyDescent="0.25">
      <c r="C937" s="4">
        <f ca="1">IFERROR(__xludf.DUMMYFUNCTION("""COMPUTED_VALUE"""),41255.9986111111)</f>
        <v>41255.998611111099</v>
      </c>
      <c r="D937" s="2">
        <f ca="1">IFERROR(__xludf.DUMMYFUNCTION("""COMPUTED_VALUE"""),54.318)</f>
        <v>54.317999999999998</v>
      </c>
      <c r="E937" s="2">
        <f ca="1">IFERROR(__xludf.DUMMYFUNCTION("""COMPUTED_VALUE"""),72.514)</f>
        <v>72.513999999999996</v>
      </c>
      <c r="F937" s="2">
        <f ca="1">IFERROR(__xludf.DUMMYFUNCTION("""COMPUTED_VALUE"""),87.616)</f>
        <v>87.616</v>
      </c>
      <c r="G937" s="2">
        <f ca="1">IFERROR(__xludf.DUMMYFUNCTION("""COMPUTED_VALUE"""),0.58645)</f>
        <v>0.58645000000000003</v>
      </c>
      <c r="H937" s="2">
        <f ca="1">IFERROR(__xludf.DUMMYFUNCTION("""COMPUTED_VALUE"""),56.202)</f>
        <v>56.201999999999998</v>
      </c>
      <c r="I937" s="2">
        <f ca="1">IFERROR(__xludf.DUMMYFUNCTION("""COMPUTED_VALUE"""),53.126)</f>
        <v>53.125999999999998</v>
      </c>
      <c r="J937" s="2">
        <f ca="1">IFERROR(__xludf.DUMMYFUNCTION("""COMPUTED_VALUE"""),43.519)</f>
        <v>43.518999999999998</v>
      </c>
      <c r="K937" s="2">
        <f ca="1">IFERROR(__xludf.DUMMYFUNCTION("""COMPUTED_VALUE"""),57.913)</f>
        <v>57.912999999999997</v>
      </c>
      <c r="L937" s="2">
        <f ca="1">IFERROR(__xludf.DUMMYFUNCTION("""COMPUTED_VALUE"""),10.735)</f>
        <v>10.734999999999999</v>
      </c>
      <c r="M937" s="2">
        <f ca="1">IFERROR(__xludf.DUMMYFUNCTION("""COMPUTED_VALUE"""),14.848)</f>
        <v>14.848000000000001</v>
      </c>
      <c r="U937" s="3" t="e">
        <f ca="1"/>
        <v>#NAME?</v>
      </c>
    </row>
    <row r="938" spans="3:21" ht="12.5" x14ac:dyDescent="0.25">
      <c r="C938" s="4">
        <f ca="1">IFERROR(__xludf.DUMMYFUNCTION("""COMPUTED_VALUE"""),41256.9986111111)</f>
        <v>41256.998611111099</v>
      </c>
      <c r="D938" s="2">
        <f ca="1">IFERROR(__xludf.DUMMYFUNCTION("""COMPUTED_VALUE"""),54.458)</f>
        <v>54.457999999999998</v>
      </c>
      <c r="E938" s="2">
        <f ca="1">IFERROR(__xludf.DUMMYFUNCTION("""COMPUTED_VALUE"""),72.533)</f>
        <v>72.533000000000001</v>
      </c>
      <c r="F938" s="2">
        <f ca="1">IFERROR(__xludf.DUMMYFUNCTION("""COMPUTED_VALUE"""),87.621)</f>
        <v>87.620999999999995</v>
      </c>
      <c r="G938" s="2">
        <f ca="1">IFERROR(__xludf.DUMMYFUNCTION("""COMPUTED_VALUE"""),0.58613)</f>
        <v>0.58613000000000004</v>
      </c>
      <c r="H938" s="2">
        <f ca="1">IFERROR(__xludf.DUMMYFUNCTION("""COMPUTED_VALUE"""),55.474)</f>
        <v>55.473999999999997</v>
      </c>
      <c r="I938" s="2">
        <f ca="1">IFERROR(__xludf.DUMMYFUNCTION("""COMPUTED_VALUE"""),53.314)</f>
        <v>53.314</v>
      </c>
      <c r="J938" s="2">
        <f ca="1">IFERROR(__xludf.DUMMYFUNCTION("""COMPUTED_VALUE"""),43.078)</f>
        <v>43.078000000000003</v>
      </c>
      <c r="K938" s="2">
        <f ca="1">IFERROR(__xludf.DUMMYFUNCTION("""COMPUTED_VALUE"""),57.996)</f>
        <v>57.996000000000002</v>
      </c>
      <c r="L938" s="2">
        <f ca="1">IFERROR(__xludf.DUMMYFUNCTION("""COMPUTED_VALUE"""),10.729)</f>
        <v>10.728999999999999</v>
      </c>
      <c r="M938" s="2">
        <f ca="1">IFERROR(__xludf.DUMMYFUNCTION("""COMPUTED_VALUE"""),14.738)</f>
        <v>14.738</v>
      </c>
      <c r="U938" s="3" t="e">
        <f ca="1"/>
        <v>#NAME?</v>
      </c>
    </row>
    <row r="939" spans="3:21" ht="12.5" x14ac:dyDescent="0.25">
      <c r="C939" s="4">
        <f ca="1">IFERROR(__xludf.DUMMYFUNCTION("""COMPUTED_VALUE"""),41257.9986111111)</f>
        <v>41257.998611111099</v>
      </c>
      <c r="D939" s="2">
        <f ca="1">IFERROR(__xludf.DUMMYFUNCTION("""COMPUTED_VALUE"""),54.438)</f>
        <v>54.438000000000002</v>
      </c>
      <c r="E939" s="2">
        <f ca="1">IFERROR(__xludf.DUMMYFUNCTION("""COMPUTED_VALUE"""),71.984)</f>
        <v>71.983999999999995</v>
      </c>
      <c r="F939" s="2">
        <f ca="1">IFERROR(__xludf.DUMMYFUNCTION("""COMPUTED_VALUE"""),87.621)</f>
        <v>87.620999999999995</v>
      </c>
      <c r="G939" s="2">
        <f ca="1">IFERROR(__xludf.DUMMYFUNCTION("""COMPUTED_VALUE"""),0.58667)</f>
        <v>0.58667000000000002</v>
      </c>
      <c r="H939" s="2">
        <f ca="1">IFERROR(__xludf.DUMMYFUNCTION("""COMPUTED_VALUE"""),55.463)</f>
        <v>55.463000000000001</v>
      </c>
      <c r="I939" s="2">
        <f ca="1">IFERROR(__xludf.DUMMYFUNCTION("""COMPUTED_VALUE"""),53.345)</f>
        <v>53.344999999999999</v>
      </c>
      <c r="J939" s="2">
        <f ca="1">IFERROR(__xludf.DUMMYFUNCTION("""COMPUTED_VALUE"""),42.942)</f>
        <v>42.942</v>
      </c>
      <c r="K939" s="2">
        <f ca="1">IFERROR(__xludf.DUMMYFUNCTION("""COMPUTED_VALUE"""),58.333)</f>
        <v>58.332999999999998</v>
      </c>
      <c r="L939" s="2">
        <f ca="1">IFERROR(__xludf.DUMMYFUNCTION("""COMPUTED_VALUE"""),10.678)</f>
        <v>10.678000000000001</v>
      </c>
      <c r="M939" s="2">
        <f ca="1">IFERROR(__xludf.DUMMYFUNCTION("""COMPUTED_VALUE"""),14.794)</f>
        <v>14.794</v>
      </c>
      <c r="U939" s="3" t="e">
        <f ca="1"/>
        <v>#NAME?</v>
      </c>
    </row>
    <row r="940" spans="3:21" ht="12.5" x14ac:dyDescent="0.25">
      <c r="C940" s="4">
        <f ca="1">IFERROR(__xludf.DUMMYFUNCTION("""COMPUTED_VALUE"""),41258.9986111111)</f>
        <v>41258.998611111099</v>
      </c>
      <c r="D940" s="2">
        <f ca="1">IFERROR(__xludf.DUMMYFUNCTION("""COMPUTED_VALUE"""),54.438)</f>
        <v>54.438000000000002</v>
      </c>
      <c r="E940" s="2">
        <f ca="1">IFERROR(__xludf.DUMMYFUNCTION("""COMPUTED_VALUE"""),72.087)</f>
        <v>72.087000000000003</v>
      </c>
      <c r="F940" s="2">
        <f ca="1">IFERROR(__xludf.DUMMYFUNCTION("""COMPUTED_VALUE"""),87.442)</f>
        <v>87.441999999999993</v>
      </c>
      <c r="G940" s="2">
        <f ca="1">IFERROR(__xludf.DUMMYFUNCTION("""COMPUTED_VALUE"""),0.58665)</f>
        <v>0.58665</v>
      </c>
      <c r="H940" s="2">
        <f ca="1">IFERROR(__xludf.DUMMYFUNCTION("""COMPUTED_VALUE"""),55.321)</f>
        <v>55.320999999999998</v>
      </c>
      <c r="I940" s="2">
        <f ca="1">IFERROR(__xludf.DUMMYFUNCTION("""COMPUTED_VALUE"""),53.334)</f>
        <v>53.334000000000003</v>
      </c>
      <c r="J940" s="2">
        <f ca="1">IFERROR(__xludf.DUMMYFUNCTION("""COMPUTED_VALUE"""),42.808)</f>
        <v>42.808</v>
      </c>
      <c r="K940" s="2">
        <f ca="1">IFERROR(__xludf.DUMMYFUNCTION("""COMPUTED_VALUE"""),58.317)</f>
        <v>58.317</v>
      </c>
      <c r="L940" s="2">
        <f ca="1">IFERROR(__xludf.DUMMYFUNCTION("""COMPUTED_VALUE"""),10.726)</f>
        <v>10.726000000000001</v>
      </c>
      <c r="M940" s="2">
        <f ca="1">IFERROR(__xludf.DUMMYFUNCTION("""COMPUTED_VALUE"""),14.794)</f>
        <v>14.794</v>
      </c>
      <c r="U940" s="3" t="e">
        <f ca="1"/>
        <v>#NAME?</v>
      </c>
    </row>
    <row r="941" spans="3:21" ht="12.5" x14ac:dyDescent="0.25">
      <c r="C941" s="4">
        <f ca="1">IFERROR(__xludf.DUMMYFUNCTION("""COMPUTED_VALUE"""),41260.9986111111)</f>
        <v>41260.998611111099</v>
      </c>
      <c r="D941" s="2">
        <f ca="1">IFERROR(__xludf.DUMMYFUNCTION("""COMPUTED_VALUE"""),54.848)</f>
        <v>54.847999999999999</v>
      </c>
      <c r="E941" s="2">
        <f ca="1">IFERROR(__xludf.DUMMYFUNCTION("""COMPUTED_VALUE"""),71.795)</f>
        <v>71.795000000000002</v>
      </c>
      <c r="F941" s="2">
        <f ca="1">IFERROR(__xludf.DUMMYFUNCTION("""COMPUTED_VALUE"""),87.66)</f>
        <v>87.66</v>
      </c>
      <c r="G941" s="2">
        <f ca="1">IFERROR(__xludf.DUMMYFUNCTION("""COMPUTED_VALUE"""),0.58807)</f>
        <v>0.58806999999999998</v>
      </c>
      <c r="H941" s="2">
        <f ca="1">IFERROR(__xludf.DUMMYFUNCTION("""COMPUTED_VALUE"""),55.321)</f>
        <v>55.320999999999998</v>
      </c>
      <c r="I941" s="2">
        <f ca="1">IFERROR(__xludf.DUMMYFUNCTION("""COMPUTED_VALUE"""),53.395)</f>
        <v>53.395000000000003</v>
      </c>
      <c r="J941" s="2">
        <f ca="1">IFERROR(__xludf.DUMMYFUNCTION("""COMPUTED_VALUE"""),42.808)</f>
        <v>42.808</v>
      </c>
      <c r="K941" s="2">
        <f ca="1">IFERROR(__xludf.DUMMYFUNCTION("""COMPUTED_VALUE"""),58.374)</f>
        <v>58.374000000000002</v>
      </c>
      <c r="L941" s="2">
        <f ca="1">IFERROR(__xludf.DUMMYFUNCTION("""COMPUTED_VALUE"""),10.715)</f>
        <v>10.715</v>
      </c>
      <c r="M941" s="2">
        <f ca="1">IFERROR(__xludf.DUMMYFUNCTION("""COMPUTED_VALUE"""),14.794)</f>
        <v>14.794</v>
      </c>
      <c r="U941" s="3" t="e">
        <f ca="1"/>
        <v>#NAME?</v>
      </c>
    </row>
    <row r="942" spans="3:21" ht="12.5" x14ac:dyDescent="0.25">
      <c r="C942" s="4">
        <f ca="1">IFERROR(__xludf.DUMMYFUNCTION("""COMPUTED_VALUE"""),41261.9986111111)</f>
        <v>41261.998611111099</v>
      </c>
      <c r="D942" s="2">
        <f ca="1">IFERROR(__xludf.DUMMYFUNCTION("""COMPUTED_VALUE"""),54.848)</f>
        <v>54.847999999999999</v>
      </c>
      <c r="E942" s="2">
        <f ca="1">IFERROR(__xludf.DUMMYFUNCTION("""COMPUTED_VALUE"""),71.202)</f>
        <v>71.201999999999998</v>
      </c>
      <c r="F942" s="2">
        <f ca="1">IFERROR(__xludf.DUMMYFUNCTION("""COMPUTED_VALUE"""),87.918)</f>
        <v>87.918000000000006</v>
      </c>
      <c r="G942" s="2">
        <f ca="1">IFERROR(__xludf.DUMMYFUNCTION("""COMPUTED_VALUE"""),0.58158)</f>
        <v>0.58157999999999999</v>
      </c>
      <c r="H942" s="2">
        <f ca="1">IFERROR(__xludf.DUMMYFUNCTION("""COMPUTED_VALUE"""),55.638)</f>
        <v>55.637999999999998</v>
      </c>
      <c r="I942" s="2">
        <f ca="1">IFERROR(__xludf.DUMMYFUNCTION("""COMPUTED_VALUE"""),53.313)</f>
        <v>53.313000000000002</v>
      </c>
      <c r="J942" s="2">
        <f ca="1">IFERROR(__xludf.DUMMYFUNCTION("""COMPUTED_VALUE"""),42.855)</f>
        <v>42.854999999999997</v>
      </c>
      <c r="K942" s="2">
        <f ca="1">IFERROR(__xludf.DUMMYFUNCTION("""COMPUTED_VALUE"""),58.549)</f>
        <v>58.548999999999999</v>
      </c>
      <c r="L942" s="2">
        <f ca="1">IFERROR(__xludf.DUMMYFUNCTION("""COMPUTED_VALUE"""),10.738)</f>
        <v>10.738</v>
      </c>
      <c r="M942" s="2">
        <f ca="1">IFERROR(__xludf.DUMMYFUNCTION("""COMPUTED_VALUE"""),14.835)</f>
        <v>14.835000000000001</v>
      </c>
      <c r="U942" s="3" t="e">
        <f ca="1"/>
        <v>#NAME?</v>
      </c>
    </row>
    <row r="943" spans="3:21" ht="12.5" x14ac:dyDescent="0.25">
      <c r="C943" s="4">
        <f ca="1">IFERROR(__xludf.DUMMYFUNCTION("""COMPUTED_VALUE"""),41262.9986111111)</f>
        <v>41262.998611111099</v>
      </c>
      <c r="D943" s="2">
        <f ca="1">IFERROR(__xludf.DUMMYFUNCTION("""COMPUTED_VALUE"""),54.548)</f>
        <v>54.548000000000002</v>
      </c>
      <c r="E943" s="2">
        <f ca="1">IFERROR(__xludf.DUMMYFUNCTION("""COMPUTED_VALUE"""),71.547)</f>
        <v>71.546999999999997</v>
      </c>
      <c r="F943" s="2">
        <f ca="1">IFERROR(__xludf.DUMMYFUNCTION("""COMPUTED_VALUE"""),87.899)</f>
        <v>87.899000000000001</v>
      </c>
      <c r="G943" s="2">
        <f ca="1">IFERROR(__xludf.DUMMYFUNCTION("""COMPUTED_VALUE"""),0.57372)</f>
        <v>0.57372000000000001</v>
      </c>
      <c r="H943" s="2">
        <f ca="1">IFERROR(__xludf.DUMMYFUNCTION("""COMPUTED_VALUE"""),55.144)</f>
        <v>55.143999999999998</v>
      </c>
      <c r="I943" s="2">
        <f ca="1">IFERROR(__xludf.DUMMYFUNCTION("""COMPUTED_VALUE"""),53.332)</f>
        <v>53.332000000000001</v>
      </c>
      <c r="J943" s="2">
        <f ca="1">IFERROR(__xludf.DUMMYFUNCTION("""COMPUTED_VALUE"""),43)</f>
        <v>43</v>
      </c>
      <c r="K943" s="2">
        <f ca="1">IFERROR(__xludf.DUMMYFUNCTION("""COMPUTED_VALUE"""),58.761)</f>
        <v>58.761000000000003</v>
      </c>
      <c r="L943" s="2">
        <f ca="1">IFERROR(__xludf.DUMMYFUNCTION("""COMPUTED_VALUE"""),10.624)</f>
        <v>10.624000000000001</v>
      </c>
      <c r="M943" s="2">
        <f ca="1">IFERROR(__xludf.DUMMYFUNCTION("""COMPUTED_VALUE"""),14.772)</f>
        <v>14.772</v>
      </c>
      <c r="U943" s="3" t="e">
        <f ca="1"/>
        <v>#NAME?</v>
      </c>
    </row>
    <row r="944" spans="3:21" ht="12.5" x14ac:dyDescent="0.25">
      <c r="C944" s="4">
        <f ca="1">IFERROR(__xludf.DUMMYFUNCTION("""COMPUTED_VALUE"""),41263.9986111111)</f>
        <v>41263.998611111099</v>
      </c>
      <c r="D944" s="2">
        <f ca="1">IFERROR(__xludf.DUMMYFUNCTION("""COMPUTED_VALUE"""),54.848)</f>
        <v>54.847999999999999</v>
      </c>
      <c r="E944" s="2">
        <f ca="1">IFERROR(__xludf.DUMMYFUNCTION("""COMPUTED_VALUE"""),71.547)</f>
        <v>71.546999999999997</v>
      </c>
      <c r="F944" s="2">
        <f ca="1">IFERROR(__xludf.DUMMYFUNCTION("""COMPUTED_VALUE"""),88.824)</f>
        <v>88.823999999999998</v>
      </c>
      <c r="G944" s="2">
        <f ca="1">IFERROR(__xludf.DUMMYFUNCTION("""COMPUTED_VALUE"""),0.56559)</f>
        <v>0.56559000000000004</v>
      </c>
      <c r="H944" s="2">
        <f ca="1">IFERROR(__xludf.DUMMYFUNCTION("""COMPUTED_VALUE"""),54.788)</f>
        <v>54.787999999999997</v>
      </c>
      <c r="I944" s="2">
        <f ca="1">IFERROR(__xludf.DUMMYFUNCTION("""COMPUTED_VALUE"""),53.299)</f>
        <v>53.298999999999999</v>
      </c>
      <c r="J944" s="2">
        <f ca="1">IFERROR(__xludf.DUMMYFUNCTION("""COMPUTED_VALUE"""),42.913)</f>
        <v>42.912999999999997</v>
      </c>
      <c r="K944" s="2">
        <f ca="1">IFERROR(__xludf.DUMMYFUNCTION("""COMPUTED_VALUE"""),58.932)</f>
        <v>58.932000000000002</v>
      </c>
      <c r="L944" s="2">
        <f ca="1">IFERROR(__xludf.DUMMYFUNCTION("""COMPUTED_VALUE"""),10.654)</f>
        <v>10.654</v>
      </c>
      <c r="M944" s="2">
        <f ca="1">IFERROR(__xludf.DUMMYFUNCTION("""COMPUTED_VALUE"""),14.788)</f>
        <v>14.788</v>
      </c>
      <c r="U944" s="3" t="e">
        <f ca="1"/>
        <v>#NAME?</v>
      </c>
    </row>
    <row r="945" spans="3:21" ht="12.5" x14ac:dyDescent="0.25">
      <c r="C945" s="4">
        <f ca="1">IFERROR(__xludf.DUMMYFUNCTION("""COMPUTED_VALUE"""),41264.9986111111)</f>
        <v>41264.998611111099</v>
      </c>
      <c r="D945" s="2">
        <f ca="1">IFERROR(__xludf.DUMMYFUNCTION("""COMPUTED_VALUE"""),55.058)</f>
        <v>55.058</v>
      </c>
      <c r="E945" s="2">
        <f ca="1">IFERROR(__xludf.DUMMYFUNCTION("""COMPUTED_VALUE"""),71.547)</f>
        <v>71.546999999999997</v>
      </c>
      <c r="F945" s="2">
        <f ca="1">IFERROR(__xludf.DUMMYFUNCTION("""COMPUTED_VALUE"""),88.906)</f>
        <v>88.906000000000006</v>
      </c>
      <c r="G945" s="2">
        <f ca="1">IFERROR(__xludf.DUMMYFUNCTION("""COMPUTED_VALUE"""),0.56547)</f>
        <v>0.56547000000000003</v>
      </c>
      <c r="H945" s="2">
        <f ca="1">IFERROR(__xludf.DUMMYFUNCTION("""COMPUTED_VALUE"""),54.683)</f>
        <v>54.683</v>
      </c>
      <c r="I945" s="2">
        <f ca="1">IFERROR(__xludf.DUMMYFUNCTION("""COMPUTED_VALUE"""),53.413)</f>
        <v>53.412999999999997</v>
      </c>
      <c r="J945" s="2">
        <f ca="1">IFERROR(__xludf.DUMMYFUNCTION("""COMPUTED_VALUE"""),42.849)</f>
        <v>42.848999999999997</v>
      </c>
      <c r="K945" s="2">
        <f ca="1">IFERROR(__xludf.DUMMYFUNCTION("""COMPUTED_VALUE"""),59.745)</f>
        <v>59.744999999999997</v>
      </c>
      <c r="L945" s="2">
        <f ca="1">IFERROR(__xludf.DUMMYFUNCTION("""COMPUTED_VALUE"""),10.62)</f>
        <v>10.62</v>
      </c>
      <c r="M945" s="2">
        <f ca="1">IFERROR(__xludf.DUMMYFUNCTION("""COMPUTED_VALUE"""),14.826)</f>
        <v>14.826000000000001</v>
      </c>
      <c r="U945" s="3" t="e">
        <f ca="1"/>
        <v>#NAME?</v>
      </c>
    </row>
    <row r="946" spans="3:21" ht="12.5" x14ac:dyDescent="0.25">
      <c r="C946" s="4">
        <f ca="1">IFERROR(__xludf.DUMMYFUNCTION("""COMPUTED_VALUE"""),41267.9986111111)</f>
        <v>41267.998611111099</v>
      </c>
      <c r="D946" s="2">
        <f ca="1">IFERROR(__xludf.DUMMYFUNCTION("""COMPUTED_VALUE"""),54.948)</f>
        <v>54.948</v>
      </c>
      <c r="E946" s="2">
        <f ca="1">IFERROR(__xludf.DUMMYFUNCTION("""COMPUTED_VALUE"""),72.263)</f>
        <v>72.263000000000005</v>
      </c>
      <c r="F946" s="2">
        <f ca="1">IFERROR(__xludf.DUMMYFUNCTION("""COMPUTED_VALUE"""),89.108)</f>
        <v>89.108000000000004</v>
      </c>
      <c r="G946" s="2">
        <f ca="1">IFERROR(__xludf.DUMMYFUNCTION("""COMPUTED_VALUE"""),0.56241)</f>
        <v>0.56240999999999997</v>
      </c>
      <c r="H946" s="2">
        <f ca="1">IFERROR(__xludf.DUMMYFUNCTION("""COMPUTED_VALUE"""),55.243)</f>
        <v>55.243000000000002</v>
      </c>
      <c r="I946" s="2">
        <f ca="1">IFERROR(__xludf.DUMMYFUNCTION("""COMPUTED_VALUE"""),53.389)</f>
        <v>53.389000000000003</v>
      </c>
      <c r="J946" s="2">
        <f ca="1">IFERROR(__xludf.DUMMYFUNCTION("""COMPUTED_VALUE"""),42.888)</f>
        <v>42.887999999999998</v>
      </c>
      <c r="K946" s="2">
        <f ca="1">IFERROR(__xludf.DUMMYFUNCTION("""COMPUTED_VALUE"""),59.716)</f>
        <v>59.716000000000001</v>
      </c>
      <c r="L946" s="2">
        <f ca="1">IFERROR(__xludf.DUMMYFUNCTION("""COMPUTED_VALUE"""),10.614)</f>
        <v>10.614000000000001</v>
      </c>
      <c r="M946" s="2">
        <f ca="1">IFERROR(__xludf.DUMMYFUNCTION("""COMPUTED_VALUE"""),14.821)</f>
        <v>14.821</v>
      </c>
      <c r="U946" s="3" t="e">
        <f ca="1"/>
        <v>#NAME?</v>
      </c>
    </row>
    <row r="947" spans="3:21" ht="12.5" x14ac:dyDescent="0.25">
      <c r="C947" s="4">
        <f ca="1">IFERROR(__xludf.DUMMYFUNCTION("""COMPUTED_VALUE"""),41268.9986111111)</f>
        <v>41268.998611111099</v>
      </c>
      <c r="D947" s="2">
        <f ca="1">IFERROR(__xludf.DUMMYFUNCTION("""COMPUTED_VALUE"""),55.008)</f>
        <v>55.008000000000003</v>
      </c>
      <c r="E947" s="2">
        <f ca="1">IFERROR(__xludf.DUMMYFUNCTION("""COMPUTED_VALUE"""),72.447)</f>
        <v>72.447000000000003</v>
      </c>
      <c r="F947" s="2">
        <f ca="1">IFERROR(__xludf.DUMMYFUNCTION("""COMPUTED_VALUE"""),88.74)</f>
        <v>88.74</v>
      </c>
      <c r="G947" s="2">
        <f ca="1">IFERROR(__xludf.DUMMYFUNCTION("""COMPUTED_VALUE"""),0.56465)</f>
        <v>0.56464999999999999</v>
      </c>
      <c r="H947" s="2">
        <f ca="1">IFERROR(__xludf.DUMMYFUNCTION("""COMPUTED_VALUE"""),55.243)</f>
        <v>55.243000000000002</v>
      </c>
      <c r="I947" s="2">
        <f ca="1">IFERROR(__xludf.DUMMYFUNCTION("""COMPUTED_VALUE"""),53.389)</f>
        <v>53.389000000000003</v>
      </c>
      <c r="J947" s="2">
        <f ca="1">IFERROR(__xludf.DUMMYFUNCTION("""COMPUTED_VALUE"""),43.249)</f>
        <v>43.249000000000002</v>
      </c>
      <c r="K947" s="2">
        <f ca="1">IFERROR(__xludf.DUMMYFUNCTION("""COMPUTED_VALUE"""),59.967)</f>
        <v>59.966999999999999</v>
      </c>
      <c r="L947" s="2">
        <f ca="1">IFERROR(__xludf.DUMMYFUNCTION("""COMPUTED_VALUE"""),10.588)</f>
        <v>10.587999999999999</v>
      </c>
      <c r="M947" s="2">
        <f ca="1">IFERROR(__xludf.DUMMYFUNCTION("""COMPUTED_VALUE"""),14.821)</f>
        <v>14.821</v>
      </c>
      <c r="U947" s="3" t="e">
        <f ca="1"/>
        <v>#NAME?</v>
      </c>
    </row>
    <row r="948" spans="3:21" ht="12.5" x14ac:dyDescent="0.25">
      <c r="C948" s="4">
        <f ca="1">IFERROR(__xludf.DUMMYFUNCTION("""COMPUTED_VALUE"""),41269.9986111111)</f>
        <v>41269.998611111099</v>
      </c>
      <c r="D948" s="2">
        <f ca="1">IFERROR(__xludf.DUMMYFUNCTION("""COMPUTED_VALUE"""),54.838)</f>
        <v>54.838000000000001</v>
      </c>
      <c r="E948" s="2">
        <f ca="1">IFERROR(__xludf.DUMMYFUNCTION("""COMPUTED_VALUE"""),72.29)</f>
        <v>72.290000000000006</v>
      </c>
      <c r="F948" s="2">
        <f ca="1">IFERROR(__xludf.DUMMYFUNCTION("""COMPUTED_VALUE"""),89.104)</f>
        <v>89.103999999999999</v>
      </c>
      <c r="G948" s="2">
        <f ca="1">IFERROR(__xludf.DUMMYFUNCTION("""COMPUTED_VALUE"""),0.56535)</f>
        <v>0.56535000000000002</v>
      </c>
      <c r="H948" s="2">
        <f ca="1">IFERROR(__xludf.DUMMYFUNCTION("""COMPUTED_VALUE"""),55.243)</f>
        <v>55.243000000000002</v>
      </c>
      <c r="I948" s="2">
        <f ca="1">IFERROR(__xludf.DUMMYFUNCTION("""COMPUTED_VALUE"""),53.615)</f>
        <v>53.615000000000002</v>
      </c>
      <c r="J948" s="2">
        <f ca="1">IFERROR(__xludf.DUMMYFUNCTION("""COMPUTED_VALUE"""),43.249)</f>
        <v>43.249000000000002</v>
      </c>
      <c r="K948" s="2">
        <f ca="1">IFERROR(__xludf.DUMMYFUNCTION("""COMPUTED_VALUE"""),59.518)</f>
        <v>59.518000000000001</v>
      </c>
      <c r="L948" s="2">
        <f ca="1">IFERROR(__xludf.DUMMYFUNCTION("""COMPUTED_VALUE"""),10.578)</f>
        <v>10.577999999999999</v>
      </c>
      <c r="M948" s="2">
        <f ca="1">IFERROR(__xludf.DUMMYFUNCTION("""COMPUTED_VALUE"""),14.821)</f>
        <v>14.821</v>
      </c>
      <c r="U948" s="3" t="e">
        <f ca="1"/>
        <v>#NAME?</v>
      </c>
    </row>
    <row r="949" spans="3:21" ht="12.5" x14ac:dyDescent="0.25">
      <c r="C949" s="4">
        <f ca="1">IFERROR(__xludf.DUMMYFUNCTION("""COMPUTED_VALUE"""),41270.9986111111)</f>
        <v>41270.998611111099</v>
      </c>
      <c r="D949" s="2">
        <f ca="1">IFERROR(__xludf.DUMMYFUNCTION("""COMPUTED_VALUE"""),54.942)</f>
        <v>54.942</v>
      </c>
      <c r="E949" s="2">
        <f ca="1">IFERROR(__xludf.DUMMYFUNCTION("""COMPUTED_VALUE"""),71.921)</f>
        <v>71.921000000000006</v>
      </c>
      <c r="F949" s="2">
        <f ca="1">IFERROR(__xludf.DUMMYFUNCTION("""COMPUTED_VALUE"""),87.87)</f>
        <v>87.87</v>
      </c>
      <c r="G949" s="2">
        <f ca="1">IFERROR(__xludf.DUMMYFUNCTION("""COMPUTED_VALUE"""),0.56552)</f>
        <v>0.56552000000000002</v>
      </c>
      <c r="H949" s="2">
        <f ca="1">IFERROR(__xludf.DUMMYFUNCTION("""COMPUTED_VALUE"""),55.319)</f>
        <v>55.319000000000003</v>
      </c>
      <c r="I949" s="2">
        <f ca="1">IFERROR(__xludf.DUMMYFUNCTION("""COMPUTED_VALUE"""),53.767)</f>
        <v>53.767000000000003</v>
      </c>
      <c r="J949" s="2">
        <f ca="1">IFERROR(__xludf.DUMMYFUNCTION("""COMPUTED_VALUE"""),43.249)</f>
        <v>43.249000000000002</v>
      </c>
      <c r="K949" s="2">
        <f ca="1">IFERROR(__xludf.DUMMYFUNCTION("""COMPUTED_VALUE"""),59.891)</f>
        <v>59.890999999999998</v>
      </c>
      <c r="L949" s="2">
        <f ca="1">IFERROR(__xludf.DUMMYFUNCTION("""COMPUTED_VALUE"""),10.579)</f>
        <v>10.579000000000001</v>
      </c>
      <c r="M949" s="2">
        <f ca="1">IFERROR(__xludf.DUMMYFUNCTION("""COMPUTED_VALUE"""),14.932)</f>
        <v>14.932</v>
      </c>
      <c r="U949" s="3" t="e">
        <f ca="1"/>
        <v>#NAME?</v>
      </c>
    </row>
    <row r="950" spans="3:21" ht="12.5" x14ac:dyDescent="0.25">
      <c r="C950" s="4">
        <f ca="1">IFERROR(__xludf.DUMMYFUNCTION("""COMPUTED_VALUE"""),41271.9986111111)</f>
        <v>41271.998611111099</v>
      </c>
      <c r="D950" s="2">
        <f ca="1">IFERROR(__xludf.DUMMYFUNCTION("""COMPUTED_VALUE"""),54.75)</f>
        <v>54.75</v>
      </c>
      <c r="E950" s="2">
        <f ca="1">IFERROR(__xludf.DUMMYFUNCTION("""COMPUTED_VALUE"""),72.517)</f>
        <v>72.516999999999996</v>
      </c>
      <c r="F950" s="2">
        <f ca="1">IFERROR(__xludf.DUMMYFUNCTION("""COMPUTED_VALUE"""),86.769)</f>
        <v>86.769000000000005</v>
      </c>
      <c r="G950" s="2">
        <f ca="1">IFERROR(__xludf.DUMMYFUNCTION("""COMPUTED_VALUE"""),0.56699)</f>
        <v>0.56698999999999999</v>
      </c>
      <c r="H950" s="2">
        <f ca="1">IFERROR(__xludf.DUMMYFUNCTION("""COMPUTED_VALUE"""),55.679)</f>
        <v>55.679000000000002</v>
      </c>
      <c r="I950" s="2">
        <f ca="1">IFERROR(__xludf.DUMMYFUNCTION("""COMPUTED_VALUE"""),53.664)</f>
        <v>53.664000000000001</v>
      </c>
      <c r="J950" s="2">
        <f ca="1">IFERROR(__xludf.DUMMYFUNCTION("""COMPUTED_VALUE"""),43.413)</f>
        <v>43.412999999999997</v>
      </c>
      <c r="K950" s="2">
        <f ca="1">IFERROR(__xludf.DUMMYFUNCTION("""COMPUTED_VALUE"""),59.046)</f>
        <v>59.045999999999999</v>
      </c>
      <c r="L950" s="2">
        <f ca="1">IFERROR(__xludf.DUMMYFUNCTION("""COMPUTED_VALUE"""),10.588)</f>
        <v>10.587999999999999</v>
      </c>
      <c r="M950" s="2">
        <f ca="1">IFERROR(__xludf.DUMMYFUNCTION("""COMPUTED_VALUE"""),14.933)</f>
        <v>14.933</v>
      </c>
      <c r="U950" s="3" t="e">
        <f ca="1"/>
        <v>#NAME?</v>
      </c>
    </row>
    <row r="951" spans="3:21" ht="12.5" x14ac:dyDescent="0.25">
      <c r="C951" s="4">
        <f ca="1">IFERROR(__xludf.DUMMYFUNCTION("""COMPUTED_VALUE"""),41272.9986111111)</f>
        <v>41272.998611111099</v>
      </c>
      <c r="D951" s="2">
        <f ca="1">IFERROR(__xludf.DUMMYFUNCTION("""COMPUTED_VALUE"""),54.753)</f>
        <v>54.753</v>
      </c>
      <c r="E951" s="2">
        <f ca="1">IFERROR(__xludf.DUMMYFUNCTION("""COMPUTED_VALUE"""),72.606)</f>
        <v>72.605999999999995</v>
      </c>
      <c r="F951" s="2">
        <f ca="1">IFERROR(__xludf.DUMMYFUNCTION("""COMPUTED_VALUE"""),86.769)</f>
        <v>86.769000000000005</v>
      </c>
      <c r="G951" s="2">
        <f ca="1">IFERROR(__xludf.DUMMYFUNCTION("""COMPUTED_VALUE"""),0.5669)</f>
        <v>0.56689999999999996</v>
      </c>
      <c r="H951" s="2">
        <f ca="1">IFERROR(__xludf.DUMMYFUNCTION("""COMPUTED_VALUE"""),55.671)</f>
        <v>55.670999999999999</v>
      </c>
      <c r="I951" s="2">
        <f ca="1">IFERROR(__xludf.DUMMYFUNCTION("""COMPUTED_VALUE"""),53.819)</f>
        <v>53.819000000000003</v>
      </c>
      <c r="J951" s="2">
        <f ca="1">IFERROR(__xludf.DUMMYFUNCTION("""COMPUTED_VALUE"""),43.471)</f>
        <v>43.470999999999997</v>
      </c>
      <c r="K951" s="2">
        <f ca="1">IFERROR(__xludf.DUMMYFUNCTION("""COMPUTED_VALUE"""),58.455)</f>
        <v>58.454999999999998</v>
      </c>
      <c r="L951" s="2">
        <f ca="1">IFERROR(__xludf.DUMMYFUNCTION("""COMPUTED_VALUE"""),10.537)</f>
        <v>10.537000000000001</v>
      </c>
      <c r="M951" s="2">
        <f ca="1">IFERROR(__xludf.DUMMYFUNCTION("""COMPUTED_VALUE"""),14.851)</f>
        <v>14.851000000000001</v>
      </c>
      <c r="U951" s="3" t="e">
        <f ca="1"/>
        <v>#NAME?</v>
      </c>
    </row>
    <row r="952" spans="3:21" ht="12.5" x14ac:dyDescent="0.25">
      <c r="C952" s="4">
        <f ca="1">IFERROR(__xludf.DUMMYFUNCTION("""COMPUTED_VALUE"""),41274.9986111111)</f>
        <v>41274.998611111099</v>
      </c>
      <c r="D952" s="2">
        <f ca="1">IFERROR(__xludf.DUMMYFUNCTION("""COMPUTED_VALUE"""),54.993)</f>
        <v>54.993000000000002</v>
      </c>
      <c r="E952" s="2">
        <f ca="1">IFERROR(__xludf.DUMMYFUNCTION("""COMPUTED_VALUE"""),72.518)</f>
        <v>72.518000000000001</v>
      </c>
      <c r="F952" s="2">
        <f ca="1">IFERROR(__xludf.DUMMYFUNCTION("""COMPUTED_VALUE"""),86.769)</f>
        <v>86.769000000000005</v>
      </c>
      <c r="G952" s="2">
        <f ca="1">IFERROR(__xludf.DUMMYFUNCTION("""COMPUTED_VALUE"""),0.56651)</f>
        <v>0.56650999999999996</v>
      </c>
      <c r="H952" s="2">
        <f ca="1">IFERROR(__xludf.DUMMYFUNCTION("""COMPUTED_VALUE"""),55.796)</f>
        <v>55.795999999999999</v>
      </c>
      <c r="I952" s="2">
        <f ca="1">IFERROR(__xludf.DUMMYFUNCTION("""COMPUTED_VALUE"""),53.93)</f>
        <v>53.93</v>
      </c>
      <c r="J952" s="2">
        <f ca="1">IFERROR(__xludf.DUMMYFUNCTION("""COMPUTED_VALUE"""),43.51)</f>
        <v>43.51</v>
      </c>
      <c r="K952" s="2">
        <f ca="1">IFERROR(__xludf.DUMMYFUNCTION("""COMPUTED_VALUE"""),58.546)</f>
        <v>58.545999999999999</v>
      </c>
      <c r="L952" s="2">
        <f ca="1">IFERROR(__xludf.DUMMYFUNCTION("""COMPUTED_VALUE"""),10.525)</f>
        <v>10.525</v>
      </c>
      <c r="M952" s="2">
        <f ca="1">IFERROR(__xludf.DUMMYFUNCTION("""COMPUTED_VALUE"""),14.932)</f>
        <v>14.932</v>
      </c>
      <c r="U952" s="3" t="e">
        <f ca="1"/>
        <v>#NAME?</v>
      </c>
    </row>
    <row r="953" spans="3:21" ht="12.5" x14ac:dyDescent="0.25">
      <c r="C953" s="4">
        <f ca="1">IFERROR(__xludf.DUMMYFUNCTION("""COMPUTED_VALUE"""),41275.9986111111)</f>
        <v>41275.998611111099</v>
      </c>
      <c r="D953" s="2">
        <f ca="1">IFERROR(__xludf.DUMMYFUNCTION("""COMPUTED_VALUE"""),54.678)</f>
        <v>54.677999999999997</v>
      </c>
      <c r="E953" s="2">
        <f ca="1">IFERROR(__xludf.DUMMYFUNCTION("""COMPUTED_VALUE"""),72.292)</f>
        <v>72.292000000000002</v>
      </c>
      <c r="F953" s="2">
        <f ca="1">IFERROR(__xludf.DUMMYFUNCTION("""COMPUTED_VALUE"""),88.07)</f>
        <v>88.07</v>
      </c>
      <c r="G953" s="2">
        <f ca="1">IFERROR(__xludf.DUMMYFUNCTION("""COMPUTED_VALUE"""),0.57128)</f>
        <v>0.57128000000000001</v>
      </c>
      <c r="H953" s="2">
        <f ca="1">IFERROR(__xludf.DUMMYFUNCTION("""COMPUTED_VALUE"""),55.975)</f>
        <v>55.975000000000001</v>
      </c>
      <c r="I953" s="2">
        <f ca="1">IFERROR(__xludf.DUMMYFUNCTION("""COMPUTED_VALUE"""),53.973)</f>
        <v>53.972999999999999</v>
      </c>
      <c r="J953" s="2">
        <f ca="1">IFERROR(__xludf.DUMMYFUNCTION("""COMPUTED_VALUE"""),43.607)</f>
        <v>43.606999999999999</v>
      </c>
      <c r="K953" s="2">
        <f ca="1">IFERROR(__xludf.DUMMYFUNCTION("""COMPUTED_VALUE"""),59.154)</f>
        <v>59.154000000000003</v>
      </c>
      <c r="L953" s="2">
        <f ca="1">IFERROR(__xludf.DUMMYFUNCTION("""COMPUTED_VALUE"""),10.57)</f>
        <v>10.57</v>
      </c>
      <c r="M953" s="2">
        <f ca="1">IFERROR(__xludf.DUMMYFUNCTION("""COMPUTED_VALUE"""),14.99)</f>
        <v>14.99</v>
      </c>
      <c r="U953" s="3" t="e">
        <f ca="1"/>
        <v>#NAME?</v>
      </c>
    </row>
    <row r="954" spans="3:21" ht="12.5" x14ac:dyDescent="0.25">
      <c r="C954" s="4">
        <f ca="1">IFERROR(__xludf.DUMMYFUNCTION("""COMPUTED_VALUE"""),41276.9986111111)</f>
        <v>41276.998611111099</v>
      </c>
      <c r="D954" s="2">
        <f ca="1">IFERROR(__xludf.DUMMYFUNCTION("""COMPUTED_VALUE"""),54.348)</f>
        <v>54.347999999999999</v>
      </c>
      <c r="E954" s="2">
        <f ca="1">IFERROR(__xludf.DUMMYFUNCTION("""COMPUTED_VALUE"""),72.467)</f>
        <v>72.466999999999999</v>
      </c>
      <c r="F954" s="2">
        <f ca="1">IFERROR(__xludf.DUMMYFUNCTION("""COMPUTED_VALUE"""),87.933)</f>
        <v>87.933000000000007</v>
      </c>
      <c r="G954" s="2">
        <f ca="1">IFERROR(__xludf.DUMMYFUNCTION("""COMPUTED_VALUE"""),0.56544)</f>
        <v>0.56544000000000005</v>
      </c>
      <c r="H954" s="2">
        <f ca="1">IFERROR(__xludf.DUMMYFUNCTION("""COMPUTED_VALUE"""),55.98)</f>
        <v>55.98</v>
      </c>
      <c r="I954" s="2">
        <f ca="1">IFERROR(__xludf.DUMMYFUNCTION("""COMPUTED_VALUE"""),53.573)</f>
        <v>53.573</v>
      </c>
      <c r="J954" s="2">
        <f ca="1">IFERROR(__xludf.DUMMYFUNCTION("""COMPUTED_VALUE"""),43.908)</f>
        <v>43.908000000000001</v>
      </c>
      <c r="K954" s="2">
        <f ca="1">IFERROR(__xludf.DUMMYFUNCTION("""COMPUTED_VALUE"""),58.932)</f>
        <v>58.932000000000002</v>
      </c>
      <c r="L954" s="2">
        <f ca="1">IFERROR(__xludf.DUMMYFUNCTION("""COMPUTED_VALUE"""),10.608)</f>
        <v>10.608000000000001</v>
      </c>
      <c r="M954" s="2">
        <f ca="1">IFERROR(__xludf.DUMMYFUNCTION("""COMPUTED_VALUE"""),14.99)</f>
        <v>14.99</v>
      </c>
      <c r="U954" s="3" t="e">
        <f ca="1"/>
        <v>#NAME?</v>
      </c>
    </row>
    <row r="955" spans="3:21" ht="12.5" x14ac:dyDescent="0.25">
      <c r="C955" s="4">
        <f ca="1">IFERROR(__xludf.DUMMYFUNCTION("""COMPUTED_VALUE"""),41277.9986111111)</f>
        <v>41277.998611111099</v>
      </c>
      <c r="D955" s="2">
        <f ca="1">IFERROR(__xludf.DUMMYFUNCTION("""COMPUTED_VALUE"""),54.498)</f>
        <v>54.497999999999998</v>
      </c>
      <c r="E955" s="2">
        <f ca="1">IFERROR(__xludf.DUMMYFUNCTION("""COMPUTED_VALUE"""),71.699)</f>
        <v>71.698999999999998</v>
      </c>
      <c r="F955" s="2">
        <f ca="1">IFERROR(__xludf.DUMMYFUNCTION("""COMPUTED_VALUE"""),87.679)</f>
        <v>87.679000000000002</v>
      </c>
      <c r="G955" s="2">
        <f ca="1">IFERROR(__xludf.DUMMYFUNCTION("""COMPUTED_VALUE"""),0.57136)</f>
        <v>0.57135999999999998</v>
      </c>
      <c r="H955" s="2">
        <f ca="1">IFERROR(__xludf.DUMMYFUNCTION("""COMPUTED_VALUE"""),55.93)</f>
        <v>55.93</v>
      </c>
      <c r="I955" s="2">
        <f ca="1">IFERROR(__xludf.DUMMYFUNCTION("""COMPUTED_VALUE"""),53.493)</f>
        <v>53.493000000000002</v>
      </c>
      <c r="J955" s="2">
        <f ca="1">IFERROR(__xludf.DUMMYFUNCTION("""COMPUTED_VALUE"""),43.908)</f>
        <v>43.908000000000001</v>
      </c>
      <c r="K955" s="2">
        <f ca="1">IFERROR(__xludf.DUMMYFUNCTION("""COMPUTED_VALUE"""),58.789)</f>
        <v>58.789000000000001</v>
      </c>
      <c r="L955" s="2">
        <f ca="1">IFERROR(__xludf.DUMMYFUNCTION("""COMPUTED_VALUE"""),10.532)</f>
        <v>10.532</v>
      </c>
      <c r="M955" s="2">
        <f ca="1">IFERROR(__xludf.DUMMYFUNCTION("""COMPUTED_VALUE"""),14.99)</f>
        <v>14.99</v>
      </c>
      <c r="U955" s="3" t="e">
        <f ca="1"/>
        <v>#NAME?</v>
      </c>
    </row>
    <row r="956" spans="3:21" ht="12.5" x14ac:dyDescent="0.25">
      <c r="C956" s="4">
        <f ca="1">IFERROR(__xludf.DUMMYFUNCTION("""COMPUTED_VALUE"""),41278.9986111111)</f>
        <v>41278.998611111099</v>
      </c>
      <c r="D956" s="2">
        <f ca="1">IFERROR(__xludf.DUMMYFUNCTION("""COMPUTED_VALUE"""),54.933)</f>
        <v>54.933</v>
      </c>
      <c r="E956" s="2">
        <f ca="1">IFERROR(__xludf.DUMMYFUNCTION("""COMPUTED_VALUE"""),71.778)</f>
        <v>71.778000000000006</v>
      </c>
      <c r="F956" s="2">
        <f ca="1">IFERROR(__xludf.DUMMYFUNCTION("""COMPUTED_VALUE"""),86.788)</f>
        <v>86.787999999999997</v>
      </c>
      <c r="G956" s="2">
        <f ca="1">IFERROR(__xludf.DUMMYFUNCTION("""COMPUTED_VALUE"""),0.57442)</f>
        <v>0.57442000000000004</v>
      </c>
      <c r="H956" s="2">
        <f ca="1">IFERROR(__xludf.DUMMYFUNCTION("""COMPUTED_VALUE"""),55.845)</f>
        <v>55.844999999999999</v>
      </c>
      <c r="I956" s="2">
        <f ca="1">IFERROR(__xludf.DUMMYFUNCTION("""COMPUTED_VALUE"""),53.101)</f>
        <v>53.100999999999999</v>
      </c>
      <c r="J956" s="2">
        <f ca="1">IFERROR(__xludf.DUMMYFUNCTION("""COMPUTED_VALUE"""),43.656)</f>
        <v>43.655999999999999</v>
      </c>
      <c r="K956" s="2">
        <f ca="1">IFERROR(__xludf.DUMMYFUNCTION("""COMPUTED_VALUE"""),57.99)</f>
        <v>57.99</v>
      </c>
      <c r="L956" s="2">
        <f ca="1">IFERROR(__xludf.DUMMYFUNCTION("""COMPUTED_VALUE"""),10.566)</f>
        <v>10.566000000000001</v>
      </c>
      <c r="M956" s="2">
        <f ca="1">IFERROR(__xludf.DUMMYFUNCTION("""COMPUTED_VALUE"""),14.96)</f>
        <v>14.96</v>
      </c>
      <c r="U956" s="3" t="e">
        <f ca="1"/>
        <v>#NAME?</v>
      </c>
    </row>
    <row r="957" spans="3:21" ht="12.5" x14ac:dyDescent="0.25">
      <c r="C957" s="4">
        <f ca="1">IFERROR(__xludf.DUMMYFUNCTION("""COMPUTED_VALUE"""),41279.9986111111)</f>
        <v>41279.998611111099</v>
      </c>
      <c r="D957" s="2">
        <f ca="1">IFERROR(__xludf.DUMMYFUNCTION("""COMPUTED_VALUE"""),54.88)</f>
        <v>54.88</v>
      </c>
      <c r="E957" s="2">
        <f ca="1">IFERROR(__xludf.DUMMYFUNCTION("""COMPUTED_VALUE"""),71.522)</f>
        <v>71.522000000000006</v>
      </c>
      <c r="F957" s="2">
        <f ca="1">IFERROR(__xludf.DUMMYFUNCTION("""COMPUTED_VALUE"""),87.05)</f>
        <v>87.05</v>
      </c>
      <c r="G957" s="2">
        <f ca="1">IFERROR(__xludf.DUMMYFUNCTION("""COMPUTED_VALUE"""),0.57497)</f>
        <v>0.57496999999999998</v>
      </c>
      <c r="H957" s="2">
        <f ca="1">IFERROR(__xludf.DUMMYFUNCTION("""COMPUTED_VALUE"""),55.964)</f>
        <v>55.963999999999999</v>
      </c>
      <c r="I957" s="2">
        <f ca="1">IFERROR(__xludf.DUMMYFUNCTION("""COMPUTED_VALUE"""),53.463)</f>
        <v>53.463000000000001</v>
      </c>
      <c r="J957" s="2">
        <f ca="1">IFERROR(__xludf.DUMMYFUNCTION("""COMPUTED_VALUE"""),43.75)</f>
        <v>43.75</v>
      </c>
      <c r="K957" s="2">
        <f ca="1">IFERROR(__xludf.DUMMYFUNCTION("""COMPUTED_VALUE"""),58.162)</f>
        <v>58.161999999999999</v>
      </c>
      <c r="L957" s="2">
        <f ca="1">IFERROR(__xludf.DUMMYFUNCTION("""COMPUTED_VALUE"""),10.592)</f>
        <v>10.592000000000001</v>
      </c>
      <c r="M957" s="2">
        <f ca="1">IFERROR(__xludf.DUMMYFUNCTION("""COMPUTED_VALUE"""),14.977)</f>
        <v>14.977</v>
      </c>
      <c r="U957" s="3" t="e">
        <f ca="1"/>
        <v>#NAME?</v>
      </c>
    </row>
    <row r="958" spans="3:21" ht="12.5" x14ac:dyDescent="0.25">
      <c r="C958" s="4">
        <f ca="1">IFERROR(__xludf.DUMMYFUNCTION("""COMPUTED_VALUE"""),41281.9986111111)</f>
        <v>41281.998611111099</v>
      </c>
      <c r="D958" s="2">
        <f ca="1">IFERROR(__xludf.DUMMYFUNCTION("""COMPUTED_VALUE"""),55.218)</f>
        <v>55.218000000000004</v>
      </c>
      <c r="E958" s="2">
        <f ca="1">IFERROR(__xludf.DUMMYFUNCTION("""COMPUTED_VALUE"""),71.523)</f>
        <v>71.522999999999996</v>
      </c>
      <c r="F958" s="2">
        <f ca="1">IFERROR(__xludf.DUMMYFUNCTION("""COMPUTED_VALUE"""),87.139)</f>
        <v>87.138999999999996</v>
      </c>
      <c r="G958" s="2">
        <f ca="1">IFERROR(__xludf.DUMMYFUNCTION("""COMPUTED_VALUE"""),0.57591)</f>
        <v>0.57591000000000003</v>
      </c>
      <c r="H958" s="2">
        <f ca="1">IFERROR(__xludf.DUMMYFUNCTION("""COMPUTED_VALUE"""),55.349)</f>
        <v>55.348999999999997</v>
      </c>
      <c r="I958" s="2">
        <f ca="1">IFERROR(__xludf.DUMMYFUNCTION("""COMPUTED_VALUE"""),53.12)</f>
        <v>53.12</v>
      </c>
      <c r="J958" s="2">
        <f ca="1">IFERROR(__xludf.DUMMYFUNCTION("""COMPUTED_VALUE"""),43.548)</f>
        <v>43.548000000000002</v>
      </c>
      <c r="K958" s="2">
        <f ca="1">IFERROR(__xludf.DUMMYFUNCTION("""COMPUTED_VALUE"""),58.153)</f>
        <v>58.152999999999999</v>
      </c>
      <c r="L958" s="2">
        <f ca="1">IFERROR(__xludf.DUMMYFUNCTION("""COMPUTED_VALUE"""),10.6)</f>
        <v>10.6</v>
      </c>
      <c r="M958" s="2">
        <f ca="1">IFERROR(__xludf.DUMMYFUNCTION("""COMPUTED_VALUE"""),14.93)</f>
        <v>14.93</v>
      </c>
      <c r="U958" s="3" t="e">
        <f ca="1"/>
        <v>#NAME?</v>
      </c>
    </row>
    <row r="959" spans="3:21" ht="12.5" x14ac:dyDescent="0.25">
      <c r="C959" s="4">
        <f ca="1">IFERROR(__xludf.DUMMYFUNCTION("""COMPUTED_VALUE"""),41282.9986111111)</f>
        <v>41282.998611111099</v>
      </c>
      <c r="D959" s="2">
        <f ca="1">IFERROR(__xludf.DUMMYFUNCTION("""COMPUTED_VALUE"""),54.988)</f>
        <v>54.988</v>
      </c>
      <c r="E959" s="2">
        <f ca="1">IFERROR(__xludf.DUMMYFUNCTION("""COMPUTED_VALUE"""),71.523)</f>
        <v>71.522999999999996</v>
      </c>
      <c r="F959" s="2">
        <f ca="1">IFERROR(__xludf.DUMMYFUNCTION("""COMPUTED_VALUE"""),87.484)</f>
        <v>87.483999999999995</v>
      </c>
      <c r="G959" s="2">
        <f ca="1">IFERROR(__xludf.DUMMYFUNCTION("""COMPUTED_VALUE"""),0.57378)</f>
        <v>0.57377999999999996</v>
      </c>
      <c r="H959" s="2">
        <f ca="1">IFERROR(__xludf.DUMMYFUNCTION("""COMPUTED_VALUE"""),55.989)</f>
        <v>55.988999999999997</v>
      </c>
      <c r="I959" s="2">
        <f ca="1">IFERROR(__xludf.DUMMYFUNCTION("""COMPUTED_VALUE"""),53.118)</f>
        <v>53.118000000000002</v>
      </c>
      <c r="J959" s="2">
        <f ca="1">IFERROR(__xludf.DUMMYFUNCTION("""COMPUTED_VALUE"""),43.872)</f>
        <v>43.872</v>
      </c>
      <c r="K959" s="2">
        <f ca="1">IFERROR(__xludf.DUMMYFUNCTION("""COMPUTED_VALUE"""),58.297)</f>
        <v>58.296999999999997</v>
      </c>
      <c r="L959" s="2">
        <f ca="1">IFERROR(__xludf.DUMMYFUNCTION("""COMPUTED_VALUE"""),10.502)</f>
        <v>10.502000000000001</v>
      </c>
      <c r="M959" s="2">
        <f ca="1">IFERROR(__xludf.DUMMYFUNCTION("""COMPUTED_VALUE"""),14.958)</f>
        <v>14.958</v>
      </c>
      <c r="U959" s="3" t="e">
        <f ca="1"/>
        <v>#NAME?</v>
      </c>
    </row>
    <row r="960" spans="3:21" ht="12.5" x14ac:dyDescent="0.25">
      <c r="C960" s="4">
        <f ca="1">IFERROR(__xludf.DUMMYFUNCTION("""COMPUTED_VALUE"""),41283.9986111111)</f>
        <v>41283.998611111099</v>
      </c>
      <c r="D960" s="2">
        <f ca="1">IFERROR(__xludf.DUMMYFUNCTION("""COMPUTED_VALUE"""),54.748)</f>
        <v>54.747999999999998</v>
      </c>
      <c r="E960" s="2">
        <f ca="1">IFERROR(__xludf.DUMMYFUNCTION("""COMPUTED_VALUE"""),70.274)</f>
        <v>70.274000000000001</v>
      </c>
      <c r="F960" s="2">
        <f ca="1">IFERROR(__xludf.DUMMYFUNCTION("""COMPUTED_VALUE"""),87.374)</f>
        <v>87.373999999999995</v>
      </c>
      <c r="G960" s="2">
        <f ca="1">IFERROR(__xludf.DUMMYFUNCTION("""COMPUTED_VALUE"""),0.57603)</f>
        <v>0.57603000000000004</v>
      </c>
      <c r="H960" s="2">
        <f ca="1">IFERROR(__xludf.DUMMYFUNCTION("""COMPUTED_VALUE"""),55.967)</f>
        <v>55.966999999999999</v>
      </c>
      <c r="I960" s="2">
        <f ca="1">IFERROR(__xludf.DUMMYFUNCTION("""COMPUTED_VALUE"""),53.118)</f>
        <v>53.118000000000002</v>
      </c>
      <c r="J960" s="2">
        <f ca="1">IFERROR(__xludf.DUMMYFUNCTION("""COMPUTED_VALUE"""),43.86)</f>
        <v>43.86</v>
      </c>
      <c r="K960" s="2">
        <f ca="1">IFERROR(__xludf.DUMMYFUNCTION("""COMPUTED_VALUE"""),58.186)</f>
        <v>58.186</v>
      </c>
      <c r="L960" s="2">
        <f ca="1">IFERROR(__xludf.DUMMYFUNCTION("""COMPUTED_VALUE"""),10.541)</f>
        <v>10.541</v>
      </c>
      <c r="M960" s="2">
        <f ca="1">IFERROR(__xludf.DUMMYFUNCTION("""COMPUTED_VALUE"""),14.906)</f>
        <v>14.906000000000001</v>
      </c>
      <c r="U960" s="3" t="e">
        <f ca="1"/>
        <v>#NAME?</v>
      </c>
    </row>
    <row r="961" spans="3:21" ht="12.5" x14ac:dyDescent="0.25">
      <c r="C961" s="4">
        <f ca="1">IFERROR(__xludf.DUMMYFUNCTION("""COMPUTED_VALUE"""),41284.9986111111)</f>
        <v>41284.998611111099</v>
      </c>
      <c r="D961" s="2">
        <f ca="1">IFERROR(__xludf.DUMMYFUNCTION("""COMPUTED_VALUE"""),54.558)</f>
        <v>54.558</v>
      </c>
      <c r="E961" s="2">
        <f ca="1">IFERROR(__xludf.DUMMYFUNCTION("""COMPUTED_VALUE"""),70.595)</f>
        <v>70.594999999999999</v>
      </c>
      <c r="F961" s="2">
        <f ca="1">IFERROR(__xludf.DUMMYFUNCTION("""COMPUTED_VALUE"""),87.548)</f>
        <v>87.548000000000002</v>
      </c>
      <c r="G961" s="2">
        <f ca="1">IFERROR(__xludf.DUMMYFUNCTION("""COMPUTED_VALUE"""),0.57587)</f>
        <v>0.57586999999999999</v>
      </c>
      <c r="H961" s="2">
        <f ca="1">IFERROR(__xludf.DUMMYFUNCTION("""COMPUTED_VALUE"""),56.015)</f>
        <v>56.015000000000001</v>
      </c>
      <c r="I961" s="2">
        <f ca="1">IFERROR(__xludf.DUMMYFUNCTION("""COMPUTED_VALUE"""),52.467)</f>
        <v>52.466999999999999</v>
      </c>
      <c r="J961" s="2">
        <f ca="1">IFERROR(__xludf.DUMMYFUNCTION("""COMPUTED_VALUE"""),43.828)</f>
        <v>43.828000000000003</v>
      </c>
      <c r="K961" s="2">
        <f ca="1">IFERROR(__xludf.DUMMYFUNCTION("""COMPUTED_VALUE"""),58.554)</f>
        <v>58.554000000000002</v>
      </c>
      <c r="L961" s="2">
        <f ca="1">IFERROR(__xludf.DUMMYFUNCTION("""COMPUTED_VALUE"""),10.535)</f>
        <v>10.535</v>
      </c>
      <c r="M961" s="2">
        <f ca="1">IFERROR(__xludf.DUMMYFUNCTION("""COMPUTED_VALUE"""),14.906)</f>
        <v>14.906000000000001</v>
      </c>
      <c r="U961" s="3" t="e">
        <f ca="1"/>
        <v>#NAME?</v>
      </c>
    </row>
    <row r="962" spans="3:21" ht="12.5" x14ac:dyDescent="0.25">
      <c r="C962" s="4">
        <f ca="1">IFERROR(__xludf.DUMMYFUNCTION("""COMPUTED_VALUE"""),41285.9986111111)</f>
        <v>41285.998611111099</v>
      </c>
      <c r="D962" s="2">
        <f ca="1">IFERROR(__xludf.DUMMYFUNCTION("""COMPUTED_VALUE"""),54.868)</f>
        <v>54.868000000000002</v>
      </c>
      <c r="E962" s="2">
        <f ca="1">IFERROR(__xludf.DUMMYFUNCTION("""COMPUTED_VALUE"""),70.777)</f>
        <v>70.777000000000001</v>
      </c>
      <c r="F962" s="2">
        <f ca="1">IFERROR(__xludf.DUMMYFUNCTION("""COMPUTED_VALUE"""),87.657)</f>
        <v>87.656999999999996</v>
      </c>
      <c r="G962" s="2">
        <f ca="1">IFERROR(__xludf.DUMMYFUNCTION("""COMPUTED_VALUE"""),0.57611)</f>
        <v>0.57611000000000001</v>
      </c>
      <c r="H962" s="2">
        <f ca="1">IFERROR(__xludf.DUMMYFUNCTION("""COMPUTED_VALUE"""),55.225)</f>
        <v>55.225000000000001</v>
      </c>
      <c r="I962" s="2">
        <f ca="1">IFERROR(__xludf.DUMMYFUNCTION("""COMPUTED_VALUE"""),52.679)</f>
        <v>52.679000000000002</v>
      </c>
      <c r="J962" s="2">
        <f ca="1">IFERROR(__xludf.DUMMYFUNCTION("""COMPUTED_VALUE"""),43.828)</f>
        <v>43.828000000000003</v>
      </c>
      <c r="K962" s="2">
        <f ca="1">IFERROR(__xludf.DUMMYFUNCTION("""COMPUTED_VALUE"""),58.894)</f>
        <v>58.893999999999998</v>
      </c>
      <c r="L962" s="2">
        <f ca="1">IFERROR(__xludf.DUMMYFUNCTION("""COMPUTED_VALUE"""),10.46)</f>
        <v>10.46</v>
      </c>
      <c r="M962" s="2">
        <f ca="1">IFERROR(__xludf.DUMMYFUNCTION("""COMPUTED_VALUE"""),14.906)</f>
        <v>14.906000000000001</v>
      </c>
      <c r="U962" s="3" t="e">
        <f ca="1"/>
        <v>#NAME?</v>
      </c>
    </row>
    <row r="963" spans="3:21" ht="12.5" x14ac:dyDescent="0.25">
      <c r="C963" s="4">
        <f ca="1">IFERROR(__xludf.DUMMYFUNCTION("""COMPUTED_VALUE"""),41286.9986111111)</f>
        <v>41286.998611111099</v>
      </c>
      <c r="D963" s="2">
        <f ca="1">IFERROR(__xludf.DUMMYFUNCTION("""COMPUTED_VALUE"""),54.868)</f>
        <v>54.868000000000002</v>
      </c>
      <c r="E963" s="2">
        <f ca="1">IFERROR(__xludf.DUMMYFUNCTION("""COMPUTED_VALUE"""),70.916)</f>
        <v>70.915999999999997</v>
      </c>
      <c r="F963" s="2">
        <f ca="1">IFERROR(__xludf.DUMMYFUNCTION("""COMPUTED_VALUE"""),87.945)</f>
        <v>87.944999999999993</v>
      </c>
      <c r="G963" s="2">
        <f ca="1">IFERROR(__xludf.DUMMYFUNCTION("""COMPUTED_VALUE"""),0.57555)</f>
        <v>0.57555000000000001</v>
      </c>
      <c r="H963" s="2">
        <f ca="1">IFERROR(__xludf.DUMMYFUNCTION("""COMPUTED_VALUE"""),55.273)</f>
        <v>55.273000000000003</v>
      </c>
      <c r="I963" s="2">
        <f ca="1">IFERROR(__xludf.DUMMYFUNCTION("""COMPUTED_VALUE"""),52.562)</f>
        <v>52.561999999999998</v>
      </c>
      <c r="J963" s="2">
        <f ca="1">IFERROR(__xludf.DUMMYFUNCTION("""COMPUTED_VALUE"""),43.41)</f>
        <v>43.41</v>
      </c>
      <c r="K963" s="2">
        <f ca="1">IFERROR(__xludf.DUMMYFUNCTION("""COMPUTED_VALUE"""),59.295)</f>
        <v>59.295000000000002</v>
      </c>
      <c r="L963" s="2">
        <f ca="1">IFERROR(__xludf.DUMMYFUNCTION("""COMPUTED_VALUE"""),10.431)</f>
        <v>10.430999999999999</v>
      </c>
      <c r="M963" s="2">
        <f ca="1">IFERROR(__xludf.DUMMYFUNCTION("""COMPUTED_VALUE"""),14.972)</f>
        <v>14.972</v>
      </c>
      <c r="U963" s="3" t="e">
        <f ca="1"/>
        <v>#NAME?</v>
      </c>
    </row>
    <row r="964" spans="3:21" ht="12.5" x14ac:dyDescent="0.25">
      <c r="C964" s="4">
        <f ca="1">IFERROR(__xludf.DUMMYFUNCTION("""COMPUTED_VALUE"""),41288.9986111111)</f>
        <v>41288.998611111099</v>
      </c>
      <c r="D964" s="2">
        <f ca="1">IFERROR(__xludf.DUMMYFUNCTION("""COMPUTED_VALUE"""),54.493)</f>
        <v>54.493000000000002</v>
      </c>
      <c r="E964" s="2">
        <f ca="1">IFERROR(__xludf.DUMMYFUNCTION("""COMPUTED_VALUE"""),71.417)</f>
        <v>71.417000000000002</v>
      </c>
      <c r="F964" s="2">
        <f ca="1">IFERROR(__xludf.DUMMYFUNCTION("""COMPUTED_VALUE"""),86.006)</f>
        <v>86.006</v>
      </c>
      <c r="G964" s="2">
        <f ca="1">IFERROR(__xludf.DUMMYFUNCTION("""COMPUTED_VALUE"""),0.58158)</f>
        <v>0.58157999999999999</v>
      </c>
      <c r="H964" s="2">
        <f ca="1">IFERROR(__xludf.DUMMYFUNCTION("""COMPUTED_VALUE"""),55.025)</f>
        <v>55.024999999999999</v>
      </c>
      <c r="I964" s="2">
        <f ca="1">IFERROR(__xludf.DUMMYFUNCTION("""COMPUTED_VALUE"""),52.698)</f>
        <v>52.698</v>
      </c>
      <c r="J964" s="2">
        <f ca="1">IFERROR(__xludf.DUMMYFUNCTION("""COMPUTED_VALUE"""),43.624)</f>
        <v>43.624000000000002</v>
      </c>
      <c r="K964" s="2">
        <f ca="1">IFERROR(__xludf.DUMMYFUNCTION("""COMPUTED_VALUE"""),57.921)</f>
        <v>57.920999999999999</v>
      </c>
      <c r="L964" s="2">
        <f ca="1">IFERROR(__xludf.DUMMYFUNCTION("""COMPUTED_VALUE"""),10.408)</f>
        <v>10.407999999999999</v>
      </c>
      <c r="M964" s="2">
        <f ca="1">IFERROR(__xludf.DUMMYFUNCTION("""COMPUTED_VALUE"""),14.886)</f>
        <v>14.885999999999999</v>
      </c>
      <c r="U964" s="3" t="e">
        <f ca="1"/>
        <v>#NAME?</v>
      </c>
    </row>
    <row r="965" spans="3:21" ht="12.5" x14ac:dyDescent="0.25">
      <c r="C965" s="4">
        <f ca="1">IFERROR(__xludf.DUMMYFUNCTION("""COMPUTED_VALUE"""),41289.9986111111)</f>
        <v>41289.998611111099</v>
      </c>
      <c r="D965" s="2">
        <f ca="1">IFERROR(__xludf.DUMMYFUNCTION("""COMPUTED_VALUE"""),54.613)</f>
        <v>54.613</v>
      </c>
      <c r="E965" s="2">
        <f ca="1">IFERROR(__xludf.DUMMYFUNCTION("""COMPUTED_VALUE"""),71.416)</f>
        <v>71.415999999999997</v>
      </c>
      <c r="F965" s="2">
        <f ca="1">IFERROR(__xludf.DUMMYFUNCTION("""COMPUTED_VALUE"""),88.778)</f>
        <v>88.778000000000006</v>
      </c>
      <c r="G965" s="2">
        <f ca="1">IFERROR(__xludf.DUMMYFUNCTION("""COMPUTED_VALUE"""),0.58236)</f>
        <v>0.58235999999999999</v>
      </c>
      <c r="H965" s="2">
        <f ca="1">IFERROR(__xludf.DUMMYFUNCTION("""COMPUTED_VALUE"""),55.472)</f>
        <v>55.472000000000001</v>
      </c>
      <c r="I965" s="2">
        <f ca="1">IFERROR(__xludf.DUMMYFUNCTION("""COMPUTED_VALUE"""),53.438)</f>
        <v>53.438000000000002</v>
      </c>
      <c r="J965" s="2">
        <f ca="1">IFERROR(__xludf.DUMMYFUNCTION("""COMPUTED_VALUE"""),43.499)</f>
        <v>43.499000000000002</v>
      </c>
      <c r="K965" s="2">
        <f ca="1">IFERROR(__xludf.DUMMYFUNCTION("""COMPUTED_VALUE"""),59.703)</f>
        <v>59.703000000000003</v>
      </c>
      <c r="L965" s="2">
        <f ca="1">IFERROR(__xludf.DUMMYFUNCTION("""COMPUTED_VALUE"""),10.451)</f>
        <v>10.451000000000001</v>
      </c>
      <c r="M965" s="2">
        <f ca="1">IFERROR(__xludf.DUMMYFUNCTION("""COMPUTED_VALUE"""),14.797)</f>
        <v>14.797000000000001</v>
      </c>
      <c r="U965" s="3" t="e">
        <f ca="1"/>
        <v>#NAME?</v>
      </c>
    </row>
    <row r="966" spans="3:21" ht="12.5" x14ac:dyDescent="0.25">
      <c r="C966" s="4">
        <f ca="1">IFERROR(__xludf.DUMMYFUNCTION("""COMPUTED_VALUE"""),41290.9986111111)</f>
        <v>41290.998611111099</v>
      </c>
      <c r="D966" s="2">
        <f ca="1">IFERROR(__xludf.DUMMYFUNCTION("""COMPUTED_VALUE"""),54.688)</f>
        <v>54.688000000000002</v>
      </c>
      <c r="E966" s="2">
        <f ca="1">IFERROR(__xludf.DUMMYFUNCTION("""COMPUTED_VALUE"""),71.416)</f>
        <v>71.415999999999997</v>
      </c>
      <c r="F966" s="2">
        <f ca="1">IFERROR(__xludf.DUMMYFUNCTION("""COMPUTED_VALUE"""),89.038)</f>
        <v>89.037999999999997</v>
      </c>
      <c r="G966" s="2">
        <f ca="1">IFERROR(__xludf.DUMMYFUNCTION("""COMPUTED_VALUE"""),0.58446)</f>
        <v>0.58445999999999998</v>
      </c>
      <c r="H966" s="2">
        <f ca="1">IFERROR(__xludf.DUMMYFUNCTION("""COMPUTED_VALUE"""),55.983)</f>
        <v>55.982999999999997</v>
      </c>
      <c r="I966" s="2">
        <f ca="1">IFERROR(__xludf.DUMMYFUNCTION("""COMPUTED_VALUE"""),53.44)</f>
        <v>53.44</v>
      </c>
      <c r="J966" s="2">
        <f ca="1">IFERROR(__xludf.DUMMYFUNCTION("""COMPUTED_VALUE"""),43.866)</f>
        <v>43.866</v>
      </c>
      <c r="K966" s="2">
        <f ca="1">IFERROR(__xludf.DUMMYFUNCTION("""COMPUTED_VALUE"""),60.017)</f>
        <v>60.017000000000003</v>
      </c>
      <c r="L966" s="2">
        <f ca="1">IFERROR(__xludf.DUMMYFUNCTION("""COMPUTED_VALUE"""),10.424)</f>
        <v>10.423999999999999</v>
      </c>
      <c r="M966" s="2">
        <f ca="1">IFERROR(__xludf.DUMMYFUNCTION("""COMPUTED_VALUE"""),14.837)</f>
        <v>14.837</v>
      </c>
      <c r="U966" s="3" t="e">
        <f ca="1"/>
        <v>#NAME?</v>
      </c>
    </row>
    <row r="967" spans="3:21" ht="12.5" x14ac:dyDescent="0.25">
      <c r="C967" s="4">
        <f ca="1">IFERROR(__xludf.DUMMYFUNCTION("""COMPUTED_VALUE"""),41291.9986111111)</f>
        <v>41291.998611111099</v>
      </c>
      <c r="D967" s="2">
        <f ca="1">IFERROR(__xludf.DUMMYFUNCTION("""COMPUTED_VALUE"""),54.348)</f>
        <v>54.347999999999999</v>
      </c>
      <c r="E967" s="2">
        <f ca="1">IFERROR(__xludf.DUMMYFUNCTION("""COMPUTED_VALUE"""),71.445)</f>
        <v>71.444999999999993</v>
      </c>
      <c r="F967" s="2">
        <f ca="1">IFERROR(__xludf.DUMMYFUNCTION("""COMPUTED_VALUE"""),88.553)</f>
        <v>88.552999999999997</v>
      </c>
      <c r="G967" s="2">
        <f ca="1">IFERROR(__xludf.DUMMYFUNCTION("""COMPUTED_VALUE"""),0.56945)</f>
        <v>0.56945000000000001</v>
      </c>
      <c r="H967" s="2">
        <f ca="1">IFERROR(__xludf.DUMMYFUNCTION("""COMPUTED_VALUE"""),55.983)</f>
        <v>55.982999999999997</v>
      </c>
      <c r="I967" s="2">
        <f ca="1">IFERROR(__xludf.DUMMYFUNCTION("""COMPUTED_VALUE"""),53.44)</f>
        <v>53.44</v>
      </c>
      <c r="J967" s="2">
        <f ca="1">IFERROR(__xludf.DUMMYFUNCTION("""COMPUTED_VALUE"""),44.218)</f>
        <v>44.218000000000004</v>
      </c>
      <c r="K967" s="2">
        <f ca="1">IFERROR(__xludf.DUMMYFUNCTION("""COMPUTED_VALUE"""),59.633)</f>
        <v>59.633000000000003</v>
      </c>
      <c r="L967" s="2">
        <f ca="1">IFERROR(__xludf.DUMMYFUNCTION("""COMPUTED_VALUE"""),10.387)</f>
        <v>10.387</v>
      </c>
      <c r="M967" s="2">
        <f ca="1">IFERROR(__xludf.DUMMYFUNCTION("""COMPUTED_VALUE"""),14.956)</f>
        <v>14.956</v>
      </c>
      <c r="U967" s="3" t="e">
        <f ca="1"/>
        <v>#NAME?</v>
      </c>
    </row>
    <row r="968" spans="3:21" ht="12.5" x14ac:dyDescent="0.25">
      <c r="C968" s="4">
        <f ca="1">IFERROR(__xludf.DUMMYFUNCTION("""COMPUTED_VALUE"""),41292.9986111111)</f>
        <v>41292.998611111099</v>
      </c>
      <c r="D968" s="2">
        <f ca="1">IFERROR(__xludf.DUMMYFUNCTION("""COMPUTED_VALUE"""),53.738)</f>
        <v>53.738</v>
      </c>
      <c r="E968" s="2">
        <f ca="1">IFERROR(__xludf.DUMMYFUNCTION("""COMPUTED_VALUE"""),71.589)</f>
        <v>71.588999999999999</v>
      </c>
      <c r="F968" s="2">
        <f ca="1">IFERROR(__xludf.DUMMYFUNCTION("""COMPUTED_VALUE"""),89.166)</f>
        <v>89.165999999999997</v>
      </c>
      <c r="G968" s="2">
        <f ca="1">IFERROR(__xludf.DUMMYFUNCTION("""COMPUTED_VALUE"""),0.56188)</f>
        <v>0.56188000000000005</v>
      </c>
      <c r="H968" s="2">
        <f ca="1">IFERROR(__xludf.DUMMYFUNCTION("""COMPUTED_VALUE"""),55.983)</f>
        <v>55.982999999999997</v>
      </c>
      <c r="I968" s="2">
        <f ca="1">IFERROR(__xludf.DUMMYFUNCTION("""COMPUTED_VALUE"""),53.377)</f>
        <v>53.377000000000002</v>
      </c>
      <c r="J968" s="2">
        <f ca="1">IFERROR(__xludf.DUMMYFUNCTION("""COMPUTED_VALUE"""),44.219)</f>
        <v>44.219000000000001</v>
      </c>
      <c r="K968" s="2">
        <f ca="1">IFERROR(__xludf.DUMMYFUNCTION("""COMPUTED_VALUE"""),60.064)</f>
        <v>60.064</v>
      </c>
      <c r="L968" s="2">
        <f ca="1">IFERROR(__xludf.DUMMYFUNCTION("""COMPUTED_VALUE"""),10.352)</f>
        <v>10.352</v>
      </c>
      <c r="M968" s="2">
        <f ca="1">IFERROR(__xludf.DUMMYFUNCTION("""COMPUTED_VALUE"""),14.941)</f>
        <v>14.941000000000001</v>
      </c>
      <c r="U968" s="3" t="e">
        <f ca="1"/>
        <v>#NAME?</v>
      </c>
    </row>
    <row r="969" spans="3:21" ht="12.5" x14ac:dyDescent="0.25">
      <c r="C969" s="4">
        <f ca="1">IFERROR(__xludf.DUMMYFUNCTION("""COMPUTED_VALUE"""),41293.9986111111)</f>
        <v>41293.998611111099</v>
      </c>
      <c r="D969" s="2">
        <f ca="1">IFERROR(__xludf.DUMMYFUNCTION("""COMPUTED_VALUE"""),53.738)</f>
        <v>53.738</v>
      </c>
      <c r="E969" s="2">
        <f ca="1">IFERROR(__xludf.DUMMYFUNCTION("""COMPUTED_VALUE"""),70.938)</f>
        <v>70.938000000000002</v>
      </c>
      <c r="F969" s="2">
        <f ca="1">IFERROR(__xludf.DUMMYFUNCTION("""COMPUTED_VALUE"""),88.944)</f>
        <v>88.944000000000003</v>
      </c>
      <c r="G969" s="2">
        <f ca="1">IFERROR(__xludf.DUMMYFUNCTION("""COMPUTED_VALUE"""),0.56142)</f>
        <v>0.56142000000000003</v>
      </c>
      <c r="H969" s="2">
        <f ca="1">IFERROR(__xludf.DUMMYFUNCTION("""COMPUTED_VALUE"""),55.919)</f>
        <v>55.918999999999997</v>
      </c>
      <c r="I969" s="2">
        <f ca="1">IFERROR(__xludf.DUMMYFUNCTION("""COMPUTED_VALUE"""),53.433)</f>
        <v>53.433</v>
      </c>
      <c r="J969" s="2">
        <f ca="1">IFERROR(__xludf.DUMMYFUNCTION("""COMPUTED_VALUE"""),44.219)</f>
        <v>44.219000000000001</v>
      </c>
      <c r="K969" s="2">
        <f ca="1">IFERROR(__xludf.DUMMYFUNCTION("""COMPUTED_VALUE"""),60.156)</f>
        <v>60.155999999999999</v>
      </c>
      <c r="L969" s="2">
        <f ca="1">IFERROR(__xludf.DUMMYFUNCTION("""COMPUTED_VALUE"""),10.369)</f>
        <v>10.369</v>
      </c>
      <c r="M969" s="2">
        <f ca="1">IFERROR(__xludf.DUMMYFUNCTION("""COMPUTED_VALUE"""),14.941)</f>
        <v>14.941000000000001</v>
      </c>
      <c r="U969" s="3" t="e">
        <f ca="1"/>
        <v>#NAME?</v>
      </c>
    </row>
    <row r="970" spans="3:21" ht="12.5" x14ac:dyDescent="0.25">
      <c r="C970" s="4">
        <f ca="1">IFERROR(__xludf.DUMMYFUNCTION("""COMPUTED_VALUE"""),41295.9986111111)</f>
        <v>41295.998611111099</v>
      </c>
      <c r="D970" s="2">
        <f ca="1">IFERROR(__xludf.DUMMYFUNCTION("""COMPUTED_VALUE"""),53.768)</f>
        <v>53.768000000000001</v>
      </c>
      <c r="E970" s="2">
        <f ca="1">IFERROR(__xludf.DUMMYFUNCTION("""COMPUTED_VALUE"""),71.466)</f>
        <v>71.465999999999994</v>
      </c>
      <c r="F970" s="2">
        <f ca="1">IFERROR(__xludf.DUMMYFUNCTION("""COMPUTED_VALUE"""),88.944)</f>
        <v>88.944000000000003</v>
      </c>
      <c r="G970" s="2">
        <f ca="1">IFERROR(__xludf.DUMMYFUNCTION("""COMPUTED_VALUE"""),0.5474)</f>
        <v>0.5474</v>
      </c>
      <c r="H970" s="2">
        <f ca="1">IFERROR(__xludf.DUMMYFUNCTION("""COMPUTED_VALUE"""),56.327)</f>
        <v>56.326999999999998</v>
      </c>
      <c r="I970" s="2">
        <f ca="1">IFERROR(__xludf.DUMMYFUNCTION("""COMPUTED_VALUE"""),52.935)</f>
        <v>52.935000000000002</v>
      </c>
      <c r="J970" s="2">
        <f ca="1">IFERROR(__xludf.DUMMYFUNCTION("""COMPUTED_VALUE"""),44.018)</f>
        <v>44.018000000000001</v>
      </c>
      <c r="K970" s="2">
        <f ca="1">IFERROR(__xludf.DUMMYFUNCTION("""COMPUTED_VALUE"""),59.925)</f>
        <v>59.924999999999997</v>
      </c>
      <c r="L970" s="2">
        <f ca="1">IFERROR(__xludf.DUMMYFUNCTION("""COMPUTED_VALUE"""),10.447)</f>
        <v>10.446999999999999</v>
      </c>
      <c r="M970" s="2">
        <f ca="1">IFERROR(__xludf.DUMMYFUNCTION("""COMPUTED_VALUE"""),15.033)</f>
        <v>15.032999999999999</v>
      </c>
      <c r="U970" s="3" t="e">
        <f ca="1"/>
        <v>#NAME?</v>
      </c>
    </row>
    <row r="971" spans="3:21" ht="12.5" x14ac:dyDescent="0.25">
      <c r="C971" s="4">
        <f ca="1">IFERROR(__xludf.DUMMYFUNCTION("""COMPUTED_VALUE"""),41296.9986111111)</f>
        <v>41296.998611111099</v>
      </c>
      <c r="D971" s="2">
        <f ca="1">IFERROR(__xludf.DUMMYFUNCTION("""COMPUTED_VALUE"""),53.808)</f>
        <v>53.808</v>
      </c>
      <c r="E971" s="2">
        <f ca="1">IFERROR(__xludf.DUMMYFUNCTION("""COMPUTED_VALUE"""),70.607)</f>
        <v>70.606999999999999</v>
      </c>
      <c r="F971" s="2">
        <f ca="1">IFERROR(__xludf.DUMMYFUNCTION("""COMPUTED_VALUE"""),88.944)</f>
        <v>88.944000000000003</v>
      </c>
      <c r="G971" s="2">
        <f ca="1">IFERROR(__xludf.DUMMYFUNCTION("""COMPUTED_VALUE"""),0.55)</f>
        <v>0.55000000000000004</v>
      </c>
      <c r="H971" s="2">
        <f ca="1">IFERROR(__xludf.DUMMYFUNCTION("""COMPUTED_VALUE"""),55.909)</f>
        <v>55.908999999999999</v>
      </c>
      <c r="I971" s="2">
        <f ca="1">IFERROR(__xludf.DUMMYFUNCTION("""COMPUTED_VALUE"""),52.938)</f>
        <v>52.938000000000002</v>
      </c>
      <c r="J971" s="2">
        <f ca="1">IFERROR(__xludf.DUMMYFUNCTION("""COMPUTED_VALUE"""),44.078)</f>
        <v>44.078000000000003</v>
      </c>
      <c r="K971" s="2">
        <f ca="1">IFERROR(__xludf.DUMMYFUNCTION("""COMPUTED_VALUE"""),59.981)</f>
        <v>59.981000000000002</v>
      </c>
      <c r="L971" s="2">
        <f ca="1">IFERROR(__xludf.DUMMYFUNCTION("""COMPUTED_VALUE"""),10.303)</f>
        <v>10.303000000000001</v>
      </c>
      <c r="M971" s="2">
        <f ca="1">IFERROR(__xludf.DUMMYFUNCTION("""COMPUTED_VALUE"""),14.97)</f>
        <v>14.97</v>
      </c>
      <c r="U971" s="3" t="e">
        <f ca="1"/>
        <v>#NAME?</v>
      </c>
    </row>
    <row r="972" spans="3:21" ht="12.5" x14ac:dyDescent="0.25">
      <c r="C972" s="4">
        <f ca="1">IFERROR(__xludf.DUMMYFUNCTION("""COMPUTED_VALUE"""),41297.9986111111)</f>
        <v>41297.998611111099</v>
      </c>
      <c r="D972" s="2">
        <f ca="1">IFERROR(__xludf.DUMMYFUNCTION("""COMPUTED_VALUE"""),53.668)</f>
        <v>53.667999999999999</v>
      </c>
      <c r="E972" s="2">
        <f ca="1">IFERROR(__xludf.DUMMYFUNCTION("""COMPUTED_VALUE"""),70.608)</f>
        <v>70.608000000000004</v>
      </c>
      <c r="F972" s="2">
        <f ca="1">IFERROR(__xludf.DUMMYFUNCTION("""COMPUTED_VALUE"""),88.574)</f>
        <v>88.573999999999998</v>
      </c>
      <c r="G972" s="2">
        <f ca="1">IFERROR(__xludf.DUMMYFUNCTION("""COMPUTED_VALUE"""),0.54567)</f>
        <v>0.54566999999999999</v>
      </c>
      <c r="H972" s="2">
        <f ca="1">IFERROR(__xludf.DUMMYFUNCTION("""COMPUTED_VALUE"""),55.969)</f>
        <v>55.969000000000001</v>
      </c>
      <c r="I972" s="2">
        <f ca="1">IFERROR(__xludf.DUMMYFUNCTION("""COMPUTED_VALUE"""),52.792)</f>
        <v>52.792000000000002</v>
      </c>
      <c r="J972" s="2">
        <f ca="1">IFERROR(__xludf.DUMMYFUNCTION("""COMPUTED_VALUE"""),43.778)</f>
        <v>43.777999999999999</v>
      </c>
      <c r="K972" s="2">
        <f ca="1">IFERROR(__xludf.DUMMYFUNCTION("""COMPUTED_VALUE"""),59.992)</f>
        <v>59.991999999999997</v>
      </c>
      <c r="L972" s="2">
        <f ca="1">IFERROR(__xludf.DUMMYFUNCTION("""COMPUTED_VALUE"""),10.275)</f>
        <v>10.275</v>
      </c>
      <c r="M972" s="2">
        <f ca="1">IFERROR(__xludf.DUMMYFUNCTION("""COMPUTED_VALUE"""),14.905)</f>
        <v>14.904999999999999</v>
      </c>
      <c r="U972" s="3" t="e">
        <f ca="1"/>
        <v>#NAME?</v>
      </c>
    </row>
    <row r="973" spans="3:21" ht="12.5" x14ac:dyDescent="0.25">
      <c r="C973" s="4">
        <f ca="1">IFERROR(__xludf.DUMMYFUNCTION("""COMPUTED_VALUE"""),41298.9986111111)</f>
        <v>41298.998611111099</v>
      </c>
      <c r="D973" s="2">
        <f ca="1">IFERROR(__xludf.DUMMYFUNCTION("""COMPUTED_VALUE"""),53.678)</f>
        <v>53.677999999999997</v>
      </c>
      <c r="E973" s="2">
        <f ca="1">IFERROR(__xludf.DUMMYFUNCTION("""COMPUTED_VALUE"""),70.608)</f>
        <v>70.608000000000004</v>
      </c>
      <c r="F973" s="2">
        <f ca="1">IFERROR(__xludf.DUMMYFUNCTION("""COMPUTED_VALUE"""),88.667)</f>
        <v>88.667000000000002</v>
      </c>
      <c r="G973" s="2">
        <f ca="1">IFERROR(__xludf.DUMMYFUNCTION("""COMPUTED_VALUE"""),0.544)</f>
        <v>0.54400000000000004</v>
      </c>
      <c r="H973" s="2">
        <f ca="1">IFERROR(__xludf.DUMMYFUNCTION("""COMPUTED_VALUE"""),55.561)</f>
        <v>55.561</v>
      </c>
      <c r="I973" s="2">
        <f ca="1">IFERROR(__xludf.DUMMYFUNCTION("""COMPUTED_VALUE"""),52.807)</f>
        <v>52.807000000000002</v>
      </c>
      <c r="J973" s="2">
        <f ca="1">IFERROR(__xludf.DUMMYFUNCTION("""COMPUTED_VALUE"""),43.776)</f>
        <v>43.776000000000003</v>
      </c>
      <c r="K973" s="2">
        <f ca="1">IFERROR(__xludf.DUMMYFUNCTION("""COMPUTED_VALUE"""),60.149)</f>
        <v>60.149000000000001</v>
      </c>
      <c r="L973" s="2">
        <f ca="1">IFERROR(__xludf.DUMMYFUNCTION("""COMPUTED_VALUE"""),10.284)</f>
        <v>10.284000000000001</v>
      </c>
      <c r="M973" s="2">
        <f ca="1">IFERROR(__xludf.DUMMYFUNCTION("""COMPUTED_VALUE"""),14.853)</f>
        <v>14.853</v>
      </c>
      <c r="U973" s="3" t="e">
        <f ca="1"/>
        <v>#NAME?</v>
      </c>
    </row>
    <row r="974" spans="3:21" ht="12.5" x14ac:dyDescent="0.25">
      <c r="C974" s="4">
        <f ca="1">IFERROR(__xludf.DUMMYFUNCTION("""COMPUTED_VALUE"""),41299.9986111111)</f>
        <v>41299.998611111099</v>
      </c>
      <c r="D974" s="2">
        <f ca="1">IFERROR(__xludf.DUMMYFUNCTION("""COMPUTED_VALUE"""),53.793)</f>
        <v>53.792999999999999</v>
      </c>
      <c r="E974" s="2">
        <f ca="1">IFERROR(__xludf.DUMMYFUNCTION("""COMPUTED_VALUE"""),70.817)</f>
        <v>70.816999999999993</v>
      </c>
      <c r="F974" s="2">
        <f ca="1">IFERROR(__xludf.DUMMYFUNCTION("""COMPUTED_VALUE"""),88.36)</f>
        <v>88.36</v>
      </c>
      <c r="G974" s="2">
        <f ca="1">IFERROR(__xludf.DUMMYFUNCTION("""COMPUTED_VALUE"""),0.55419)</f>
        <v>0.55418999999999996</v>
      </c>
      <c r="H974" s="2">
        <f ca="1">IFERROR(__xludf.DUMMYFUNCTION("""COMPUTED_VALUE"""),55.619)</f>
        <v>55.619</v>
      </c>
      <c r="I974" s="2">
        <f ca="1">IFERROR(__xludf.DUMMYFUNCTION("""COMPUTED_VALUE"""),52.794)</f>
        <v>52.793999999999997</v>
      </c>
      <c r="J974" s="2">
        <f ca="1">IFERROR(__xludf.DUMMYFUNCTION("""COMPUTED_VALUE"""),43.521)</f>
        <v>43.521000000000001</v>
      </c>
      <c r="K974" s="2">
        <f ca="1">IFERROR(__xludf.DUMMYFUNCTION("""COMPUTED_VALUE"""),59.972)</f>
        <v>59.972000000000001</v>
      </c>
      <c r="L974" s="2">
        <f ca="1">IFERROR(__xludf.DUMMYFUNCTION("""COMPUTED_VALUE"""),10.187)</f>
        <v>10.186999999999999</v>
      </c>
      <c r="M974" s="2">
        <f ca="1">IFERROR(__xludf.DUMMYFUNCTION("""COMPUTED_VALUE"""),14.938)</f>
        <v>14.938000000000001</v>
      </c>
      <c r="U974" s="3" t="e">
        <f ca="1"/>
        <v>#NAME?</v>
      </c>
    </row>
    <row r="975" spans="3:21" ht="12.5" x14ac:dyDescent="0.25">
      <c r="C975" s="4">
        <f ca="1">IFERROR(__xludf.DUMMYFUNCTION("""COMPUTED_VALUE"""),41300.9986111111)</f>
        <v>41300.998611111099</v>
      </c>
      <c r="D975" s="2">
        <f ca="1">IFERROR(__xludf.DUMMYFUNCTION("""COMPUTED_VALUE"""),53.793)</f>
        <v>53.792999999999999</v>
      </c>
      <c r="E975" s="2">
        <f ca="1">IFERROR(__xludf.DUMMYFUNCTION("""COMPUTED_VALUE"""),70.474)</f>
        <v>70.474000000000004</v>
      </c>
      <c r="F975" s="2">
        <f ca="1">IFERROR(__xludf.DUMMYFUNCTION("""COMPUTED_VALUE"""),88.456)</f>
        <v>88.456000000000003</v>
      </c>
      <c r="G975" s="2">
        <f ca="1">IFERROR(__xludf.DUMMYFUNCTION("""COMPUTED_VALUE"""),0.55419)</f>
        <v>0.55418999999999996</v>
      </c>
      <c r="H975" s="2">
        <f ca="1">IFERROR(__xludf.DUMMYFUNCTION("""COMPUTED_VALUE"""),55.563)</f>
        <v>55.563000000000002</v>
      </c>
      <c r="I975" s="2">
        <f ca="1">IFERROR(__xludf.DUMMYFUNCTION("""COMPUTED_VALUE"""),52.943)</f>
        <v>52.942999999999998</v>
      </c>
      <c r="J975" s="2">
        <f ca="1">IFERROR(__xludf.DUMMYFUNCTION("""COMPUTED_VALUE"""),43.521)</f>
        <v>43.521000000000001</v>
      </c>
      <c r="K975" s="2">
        <f ca="1">IFERROR(__xludf.DUMMYFUNCTION("""COMPUTED_VALUE"""),59.872)</f>
        <v>59.872</v>
      </c>
      <c r="L975" s="2">
        <f ca="1">IFERROR(__xludf.DUMMYFUNCTION("""COMPUTED_VALUE"""),10.158)</f>
        <v>10.157999999999999</v>
      </c>
      <c r="M975" s="2">
        <f ca="1">IFERROR(__xludf.DUMMYFUNCTION("""COMPUTED_VALUE"""),14.938)</f>
        <v>14.938000000000001</v>
      </c>
      <c r="U975" s="3" t="e">
        <f ca="1"/>
        <v>#NAME?</v>
      </c>
    </row>
    <row r="976" spans="3:21" ht="12.5" x14ac:dyDescent="0.25">
      <c r="C976" s="4">
        <f ca="1">IFERROR(__xludf.DUMMYFUNCTION("""COMPUTED_VALUE"""),41302.9986111111)</f>
        <v>41302.998611111099</v>
      </c>
      <c r="D976" s="2">
        <f ca="1">IFERROR(__xludf.DUMMYFUNCTION("""COMPUTED_VALUE"""),53.908)</f>
        <v>53.908000000000001</v>
      </c>
      <c r="E976" s="2">
        <f ca="1">IFERROR(__xludf.DUMMYFUNCTION("""COMPUTED_VALUE"""),70.381)</f>
        <v>70.381</v>
      </c>
      <c r="F976" s="2">
        <f ca="1">IFERROR(__xludf.DUMMYFUNCTION("""COMPUTED_VALUE"""),88.542)</f>
        <v>88.542000000000002</v>
      </c>
      <c r="G976" s="2">
        <f ca="1">IFERROR(__xludf.DUMMYFUNCTION("""COMPUTED_VALUE"""),0.55419)</f>
        <v>0.55418999999999996</v>
      </c>
      <c r="H976" s="2">
        <f ca="1">IFERROR(__xludf.DUMMYFUNCTION("""COMPUTED_VALUE"""),55.834)</f>
        <v>55.834000000000003</v>
      </c>
      <c r="I976" s="2">
        <f ca="1">IFERROR(__xludf.DUMMYFUNCTION("""COMPUTED_VALUE"""),52.711)</f>
        <v>52.710999999999999</v>
      </c>
      <c r="J976" s="2">
        <f ca="1">IFERROR(__xludf.DUMMYFUNCTION("""COMPUTED_VALUE"""),43.521)</f>
        <v>43.521000000000001</v>
      </c>
      <c r="K976" s="2">
        <f ca="1">IFERROR(__xludf.DUMMYFUNCTION("""COMPUTED_VALUE"""),60.044)</f>
        <v>60.043999999999997</v>
      </c>
      <c r="L976" s="2">
        <f ca="1">IFERROR(__xludf.DUMMYFUNCTION("""COMPUTED_VALUE"""),10.183)</f>
        <v>10.183</v>
      </c>
      <c r="M976" s="2">
        <f ca="1">IFERROR(__xludf.DUMMYFUNCTION("""COMPUTED_VALUE"""),14.938)</f>
        <v>14.938000000000001</v>
      </c>
      <c r="U976" s="3" t="e">
        <f ca="1"/>
        <v>#NAME?</v>
      </c>
    </row>
    <row r="977" spans="3:21" ht="12.5" x14ac:dyDescent="0.25">
      <c r="C977" s="4">
        <f ca="1">IFERROR(__xludf.DUMMYFUNCTION("""COMPUTED_VALUE"""),41303.9986111111)</f>
        <v>41303.998611111099</v>
      </c>
      <c r="D977" s="2">
        <f ca="1">IFERROR(__xludf.DUMMYFUNCTION("""COMPUTED_VALUE"""),53.758)</f>
        <v>53.758000000000003</v>
      </c>
      <c r="E977" s="2">
        <f ca="1">IFERROR(__xludf.DUMMYFUNCTION("""COMPUTED_VALUE"""),70.659)</f>
        <v>70.659000000000006</v>
      </c>
      <c r="F977" s="2">
        <f ca="1">IFERROR(__xludf.DUMMYFUNCTION("""COMPUTED_VALUE"""),88.428)</f>
        <v>88.427999999999997</v>
      </c>
      <c r="G977" s="2">
        <f ca="1">IFERROR(__xludf.DUMMYFUNCTION("""COMPUTED_VALUE"""),0.5619)</f>
        <v>0.56189999999999996</v>
      </c>
      <c r="H977" s="2">
        <f ca="1">IFERROR(__xludf.DUMMYFUNCTION("""COMPUTED_VALUE"""),55.865)</f>
        <v>55.865000000000002</v>
      </c>
      <c r="I977" s="2">
        <f ca="1">IFERROR(__xludf.DUMMYFUNCTION("""COMPUTED_VALUE"""),52.827)</f>
        <v>52.826999999999998</v>
      </c>
      <c r="J977" s="2">
        <f ca="1">IFERROR(__xludf.DUMMYFUNCTION("""COMPUTED_VALUE"""),43.521)</f>
        <v>43.521000000000001</v>
      </c>
      <c r="K977" s="2">
        <f ca="1">IFERROR(__xludf.DUMMYFUNCTION("""COMPUTED_VALUE"""),59.675)</f>
        <v>59.674999999999997</v>
      </c>
      <c r="L977" s="2">
        <f ca="1">IFERROR(__xludf.DUMMYFUNCTION("""COMPUTED_VALUE"""),10.191)</f>
        <v>10.191000000000001</v>
      </c>
      <c r="M977" s="2">
        <f ca="1">IFERROR(__xludf.DUMMYFUNCTION("""COMPUTED_VALUE"""),14.836)</f>
        <v>14.836</v>
      </c>
      <c r="U977" s="3" t="e">
        <f ca="1"/>
        <v>#NAME?</v>
      </c>
    </row>
    <row r="978" spans="3:21" ht="12.5" x14ac:dyDescent="0.25">
      <c r="C978" s="4">
        <f ca="1">IFERROR(__xludf.DUMMYFUNCTION("""COMPUTED_VALUE"""),41304.9986111111)</f>
        <v>41304.998611111099</v>
      </c>
      <c r="D978" s="2">
        <f ca="1">IFERROR(__xludf.DUMMYFUNCTION("""COMPUTED_VALUE"""),53.303)</f>
        <v>53.302999999999997</v>
      </c>
      <c r="E978" s="2">
        <f ca="1">IFERROR(__xludf.DUMMYFUNCTION("""COMPUTED_VALUE"""),70.585)</f>
        <v>70.584999999999994</v>
      </c>
      <c r="F978" s="2">
        <f ca="1">IFERROR(__xludf.DUMMYFUNCTION("""COMPUTED_VALUE"""),89.372)</f>
        <v>89.372</v>
      </c>
      <c r="G978" s="2">
        <f ca="1">IFERROR(__xludf.DUMMYFUNCTION("""COMPUTED_VALUE"""),0.55418)</f>
        <v>0.55418000000000001</v>
      </c>
      <c r="H978" s="2">
        <f ca="1">IFERROR(__xludf.DUMMYFUNCTION("""COMPUTED_VALUE"""),55.913)</f>
        <v>55.912999999999997</v>
      </c>
      <c r="I978" s="2">
        <f ca="1">IFERROR(__xludf.DUMMYFUNCTION("""COMPUTED_VALUE"""),53.123)</f>
        <v>53.122999999999998</v>
      </c>
      <c r="J978" s="2">
        <f ca="1">IFERROR(__xludf.DUMMYFUNCTION("""COMPUTED_VALUE"""),43.389)</f>
        <v>43.389000000000003</v>
      </c>
      <c r="K978" s="2">
        <f ca="1">IFERROR(__xludf.DUMMYFUNCTION("""COMPUTED_VALUE"""),59.119)</f>
        <v>59.119</v>
      </c>
      <c r="L978" s="2">
        <f ca="1">IFERROR(__xludf.DUMMYFUNCTION("""COMPUTED_VALUE"""),10.174)</f>
        <v>10.173999999999999</v>
      </c>
      <c r="M978" s="2">
        <f ca="1">IFERROR(__xludf.DUMMYFUNCTION("""COMPUTED_VALUE"""),14.868)</f>
        <v>14.868</v>
      </c>
      <c r="U978" s="3" t="e">
        <f ca="1"/>
        <v>#NAME?</v>
      </c>
    </row>
    <row r="979" spans="3:21" ht="12.5" x14ac:dyDescent="0.25">
      <c r="C979" s="4">
        <f ca="1">IFERROR(__xludf.DUMMYFUNCTION("""COMPUTED_VALUE"""),41305.9986111111)</f>
        <v>41305.998611111099</v>
      </c>
      <c r="D979" s="2">
        <f ca="1">IFERROR(__xludf.DUMMYFUNCTION("""COMPUTED_VALUE"""),53.213)</f>
        <v>53.213000000000001</v>
      </c>
      <c r="E979" s="2">
        <f ca="1">IFERROR(__xludf.DUMMYFUNCTION("""COMPUTED_VALUE"""),70.657)</f>
        <v>70.656999999999996</v>
      </c>
      <c r="F979" s="2">
        <f ca="1">IFERROR(__xludf.DUMMYFUNCTION("""COMPUTED_VALUE"""),88.74)</f>
        <v>88.74</v>
      </c>
      <c r="G979" s="2">
        <f ca="1">IFERROR(__xludf.DUMMYFUNCTION("""COMPUTED_VALUE"""),0.55215)</f>
        <v>0.55215000000000003</v>
      </c>
      <c r="H979" s="2">
        <f ca="1">IFERROR(__xludf.DUMMYFUNCTION("""COMPUTED_VALUE"""),56.378)</f>
        <v>56.378</v>
      </c>
      <c r="I979" s="2">
        <f ca="1">IFERROR(__xludf.DUMMYFUNCTION("""COMPUTED_VALUE"""),52.992)</f>
        <v>52.991999999999997</v>
      </c>
      <c r="J979" s="2">
        <f ca="1">IFERROR(__xludf.DUMMYFUNCTION("""COMPUTED_VALUE"""),43.492)</f>
        <v>43.491999999999997</v>
      </c>
      <c r="K979" s="2">
        <f ca="1">IFERROR(__xludf.DUMMYFUNCTION("""COMPUTED_VALUE"""),58.662)</f>
        <v>58.661999999999999</v>
      </c>
      <c r="L979" s="2">
        <f ca="1">IFERROR(__xludf.DUMMYFUNCTION("""COMPUTED_VALUE"""),10.148)</f>
        <v>10.148</v>
      </c>
      <c r="M979" s="2">
        <f ca="1">IFERROR(__xludf.DUMMYFUNCTION("""COMPUTED_VALUE"""),14.889)</f>
        <v>14.888999999999999</v>
      </c>
      <c r="U979" s="3" t="e">
        <f ca="1"/>
        <v>#NAME?</v>
      </c>
    </row>
    <row r="980" spans="3:21" ht="12.5" x14ac:dyDescent="0.25">
      <c r="C980" s="4">
        <f ca="1">IFERROR(__xludf.DUMMYFUNCTION("""COMPUTED_VALUE"""),41306.9986111111)</f>
        <v>41306.998611111099</v>
      </c>
      <c r="D980" s="2">
        <f ca="1">IFERROR(__xludf.DUMMYFUNCTION("""COMPUTED_VALUE"""),53.163)</f>
        <v>53.162999999999997</v>
      </c>
      <c r="E980" s="2">
        <f ca="1">IFERROR(__xludf.DUMMYFUNCTION("""COMPUTED_VALUE"""),70.583)</f>
        <v>70.582999999999998</v>
      </c>
      <c r="F980" s="2">
        <f ca="1">IFERROR(__xludf.DUMMYFUNCTION("""COMPUTED_VALUE"""),88.162)</f>
        <v>88.162000000000006</v>
      </c>
      <c r="G980" s="2">
        <f ca="1">IFERROR(__xludf.DUMMYFUNCTION("""COMPUTED_VALUE"""),0.5495)</f>
        <v>0.54949999999999999</v>
      </c>
      <c r="H980" s="2">
        <f ca="1">IFERROR(__xludf.DUMMYFUNCTION("""COMPUTED_VALUE"""),56.19)</f>
        <v>56.19</v>
      </c>
      <c r="I980" s="2">
        <f ca="1">IFERROR(__xludf.DUMMYFUNCTION("""COMPUTED_VALUE"""),52.992)</f>
        <v>52.991999999999997</v>
      </c>
      <c r="J980" s="2">
        <f ca="1">IFERROR(__xludf.DUMMYFUNCTION("""COMPUTED_VALUE"""),43.46)</f>
        <v>43.46</v>
      </c>
      <c r="K980" s="2">
        <f ca="1">IFERROR(__xludf.DUMMYFUNCTION("""COMPUTED_VALUE"""),59.41)</f>
        <v>59.41</v>
      </c>
      <c r="L980" s="2">
        <f ca="1">IFERROR(__xludf.DUMMYFUNCTION("""COMPUTED_VALUE"""),10.041)</f>
        <v>10.041</v>
      </c>
      <c r="M980" s="2">
        <f ca="1">IFERROR(__xludf.DUMMYFUNCTION("""COMPUTED_VALUE"""),14.797)</f>
        <v>14.797000000000001</v>
      </c>
      <c r="U980" s="3" t="e">
        <f ca="1"/>
        <v>#NAME?</v>
      </c>
    </row>
    <row r="981" spans="3:21" ht="12.5" x14ac:dyDescent="0.25">
      <c r="C981" s="4">
        <f ca="1">IFERROR(__xludf.DUMMYFUNCTION("""COMPUTED_VALUE"""),41308.9986111111)</f>
        <v>41308.998611111099</v>
      </c>
      <c r="D981" s="2">
        <f ca="1">IFERROR(__xludf.DUMMYFUNCTION("""COMPUTED_VALUE"""),53.163)</f>
        <v>53.162999999999997</v>
      </c>
      <c r="E981" s="2">
        <f ca="1">IFERROR(__xludf.DUMMYFUNCTION("""COMPUTED_VALUE"""),69.924)</f>
        <v>69.924000000000007</v>
      </c>
      <c r="F981" s="2">
        <f ca="1">IFERROR(__xludf.DUMMYFUNCTION("""COMPUTED_VALUE"""),87.515)</f>
        <v>87.515000000000001</v>
      </c>
      <c r="G981" s="2">
        <f ca="1">IFERROR(__xludf.DUMMYFUNCTION("""COMPUTED_VALUE"""),0.54134)</f>
        <v>0.54134000000000004</v>
      </c>
      <c r="H981" s="2">
        <f ca="1">IFERROR(__xludf.DUMMYFUNCTION("""COMPUTED_VALUE"""),56.254)</f>
        <v>56.253999999999998</v>
      </c>
      <c r="I981" s="2">
        <f ca="1">IFERROR(__xludf.DUMMYFUNCTION("""COMPUTED_VALUE"""),52.94)</f>
        <v>52.94</v>
      </c>
      <c r="J981" s="2">
        <f ca="1">IFERROR(__xludf.DUMMYFUNCTION("""COMPUTED_VALUE"""),43.267)</f>
        <v>43.267000000000003</v>
      </c>
      <c r="K981" s="2">
        <f ca="1">IFERROR(__xludf.DUMMYFUNCTION("""COMPUTED_VALUE"""),59.371)</f>
        <v>59.371000000000002</v>
      </c>
      <c r="L981" s="2">
        <f ca="1">IFERROR(__xludf.DUMMYFUNCTION("""COMPUTED_VALUE"""),9.9954)</f>
        <v>9.9954000000000001</v>
      </c>
      <c r="M981" s="2">
        <f ca="1">IFERROR(__xludf.DUMMYFUNCTION("""COMPUTED_VALUE"""),14.631)</f>
        <v>14.631</v>
      </c>
      <c r="U981" s="3" t="e">
        <f ca="1"/>
        <v>#NAME?</v>
      </c>
    </row>
    <row r="982" spans="3:21" ht="12.5" x14ac:dyDescent="0.25">
      <c r="C982" s="4">
        <f ca="1">IFERROR(__xludf.DUMMYFUNCTION("""COMPUTED_VALUE"""),41309.9986111111)</f>
        <v>41309.998611111099</v>
      </c>
      <c r="D982" s="2">
        <f ca="1">IFERROR(__xludf.DUMMYFUNCTION("""COMPUTED_VALUE"""),53.283)</f>
        <v>53.283000000000001</v>
      </c>
      <c r="E982" s="2">
        <f ca="1">IFERROR(__xludf.DUMMYFUNCTION("""COMPUTED_VALUE"""),69.86)</f>
        <v>69.86</v>
      </c>
      <c r="F982" s="2">
        <f ca="1">IFERROR(__xludf.DUMMYFUNCTION("""COMPUTED_VALUE"""),88.272)</f>
        <v>88.272000000000006</v>
      </c>
      <c r="G982" s="2">
        <f ca="1">IFERROR(__xludf.DUMMYFUNCTION("""COMPUTED_VALUE"""),0.54128)</f>
        <v>0.54127999999999998</v>
      </c>
      <c r="H982" s="2">
        <f ca="1">IFERROR(__xludf.DUMMYFUNCTION("""COMPUTED_VALUE"""),56.189)</f>
        <v>56.189</v>
      </c>
      <c r="I982" s="2">
        <f ca="1">IFERROR(__xludf.DUMMYFUNCTION("""COMPUTED_VALUE"""),52.832)</f>
        <v>52.832000000000001</v>
      </c>
      <c r="J982" s="2">
        <f ca="1">IFERROR(__xludf.DUMMYFUNCTION("""COMPUTED_VALUE"""),43.308)</f>
        <v>43.308</v>
      </c>
      <c r="K982" s="2">
        <f ca="1">IFERROR(__xludf.DUMMYFUNCTION("""COMPUTED_VALUE"""),59.907)</f>
        <v>59.906999999999996</v>
      </c>
      <c r="L982" s="2">
        <f ca="1">IFERROR(__xludf.DUMMYFUNCTION("""COMPUTED_VALUE"""),9.9849)</f>
        <v>9.9848999999999997</v>
      </c>
      <c r="M982" s="2">
        <f ca="1">IFERROR(__xludf.DUMMYFUNCTION("""COMPUTED_VALUE"""),14.631)</f>
        <v>14.631</v>
      </c>
      <c r="U982" s="3" t="e">
        <f ca="1"/>
        <v>#NAME?</v>
      </c>
    </row>
    <row r="983" spans="3:21" ht="12.5" x14ac:dyDescent="0.25">
      <c r="C983" s="4">
        <f ca="1">IFERROR(__xludf.DUMMYFUNCTION("""COMPUTED_VALUE"""),41310.9986111111)</f>
        <v>41310.998611111099</v>
      </c>
      <c r="D983" s="2">
        <f ca="1">IFERROR(__xludf.DUMMYFUNCTION("""COMPUTED_VALUE"""),53.133)</f>
        <v>53.133000000000003</v>
      </c>
      <c r="E983" s="2">
        <f ca="1">IFERROR(__xludf.DUMMYFUNCTION("""COMPUTED_VALUE"""),70.217)</f>
        <v>70.216999999999999</v>
      </c>
      <c r="F983" s="2">
        <f ca="1">IFERROR(__xludf.DUMMYFUNCTION("""COMPUTED_VALUE"""),88.2)</f>
        <v>88.2</v>
      </c>
      <c r="G983" s="2">
        <f ca="1">IFERROR(__xludf.DUMMYFUNCTION("""COMPUTED_VALUE"""),0.54446)</f>
        <v>0.54446000000000006</v>
      </c>
      <c r="H983" s="2">
        <f ca="1">IFERROR(__xludf.DUMMYFUNCTION("""COMPUTED_VALUE"""),56.147)</f>
        <v>56.146999999999998</v>
      </c>
      <c r="I983" s="2">
        <f ca="1">IFERROR(__xludf.DUMMYFUNCTION("""COMPUTED_VALUE"""),52.89)</f>
        <v>52.89</v>
      </c>
      <c r="J983" s="2">
        <f ca="1">IFERROR(__xludf.DUMMYFUNCTION("""COMPUTED_VALUE"""),43.266)</f>
        <v>43.265999999999998</v>
      </c>
      <c r="K983" s="2">
        <f ca="1">IFERROR(__xludf.DUMMYFUNCTION("""COMPUTED_VALUE"""),59.451)</f>
        <v>59.451000000000001</v>
      </c>
      <c r="L983" s="2">
        <f ca="1">IFERROR(__xludf.DUMMYFUNCTION("""COMPUTED_VALUE"""),10.223)</f>
        <v>10.223000000000001</v>
      </c>
      <c r="M983" s="2">
        <f ca="1">IFERROR(__xludf.DUMMYFUNCTION("""COMPUTED_VALUE"""),14.631)</f>
        <v>14.631</v>
      </c>
      <c r="U983" s="3" t="e">
        <f ca="1"/>
        <v>#NAME?</v>
      </c>
    </row>
    <row r="984" spans="3:21" ht="12.5" x14ac:dyDescent="0.25">
      <c r="C984" s="4">
        <f ca="1">IFERROR(__xludf.DUMMYFUNCTION("""COMPUTED_VALUE"""),41311.9986111111)</f>
        <v>41311.998611111099</v>
      </c>
      <c r="D984" s="2">
        <f ca="1">IFERROR(__xludf.DUMMYFUNCTION("""COMPUTED_VALUE"""),53.153)</f>
        <v>53.152999999999999</v>
      </c>
      <c r="E984" s="2">
        <f ca="1">IFERROR(__xludf.DUMMYFUNCTION("""COMPUTED_VALUE"""),69.98)</f>
        <v>69.98</v>
      </c>
      <c r="F984" s="2">
        <f ca="1">IFERROR(__xludf.DUMMYFUNCTION("""COMPUTED_VALUE"""),88.2)</f>
        <v>88.2</v>
      </c>
      <c r="G984" s="2">
        <f ca="1">IFERROR(__xludf.DUMMYFUNCTION("""COMPUTED_VALUE"""),0.54643)</f>
        <v>0.54642999999999997</v>
      </c>
      <c r="H984" s="2">
        <f ca="1">IFERROR(__xludf.DUMMYFUNCTION("""COMPUTED_VALUE"""),56.277)</f>
        <v>56.277000000000001</v>
      </c>
      <c r="I984" s="2">
        <f ca="1">IFERROR(__xludf.DUMMYFUNCTION("""COMPUTED_VALUE"""),52.898)</f>
        <v>52.898000000000003</v>
      </c>
      <c r="J984" s="2">
        <f ca="1">IFERROR(__xludf.DUMMYFUNCTION("""COMPUTED_VALUE"""),43.236)</f>
        <v>43.235999999999997</v>
      </c>
      <c r="K984" s="2">
        <f ca="1">IFERROR(__xludf.DUMMYFUNCTION("""COMPUTED_VALUE"""),59.064)</f>
        <v>59.064</v>
      </c>
      <c r="L984" s="2">
        <f ca="1">IFERROR(__xludf.DUMMYFUNCTION("""COMPUTED_VALUE"""),10.304)</f>
        <v>10.304</v>
      </c>
      <c r="M984" s="2">
        <f ca="1">IFERROR(__xludf.DUMMYFUNCTION("""COMPUTED_VALUE"""),14.638)</f>
        <v>14.638</v>
      </c>
      <c r="U984" s="3" t="e">
        <f ca="1"/>
        <v>#NAME?</v>
      </c>
    </row>
    <row r="985" spans="3:21" ht="12.5" x14ac:dyDescent="0.25">
      <c r="C985" s="4">
        <f ca="1">IFERROR(__xludf.DUMMYFUNCTION("""COMPUTED_VALUE"""),41312.9986111111)</f>
        <v>41312.998611111099</v>
      </c>
      <c r="D985" s="2">
        <f ca="1">IFERROR(__xludf.DUMMYFUNCTION("""COMPUTED_VALUE"""),53.218)</f>
        <v>53.218000000000004</v>
      </c>
      <c r="E985" s="2">
        <f ca="1">IFERROR(__xludf.DUMMYFUNCTION("""COMPUTED_VALUE"""),70.508)</f>
        <v>70.507999999999996</v>
      </c>
      <c r="F985" s="2">
        <f ca="1">IFERROR(__xludf.DUMMYFUNCTION("""COMPUTED_VALUE"""),88.945)</f>
        <v>88.944999999999993</v>
      </c>
      <c r="G985" s="2">
        <f ca="1">IFERROR(__xludf.DUMMYFUNCTION("""COMPUTED_VALUE"""),0.54462)</f>
        <v>0.54461999999999999</v>
      </c>
      <c r="H985" s="2">
        <f ca="1">IFERROR(__xludf.DUMMYFUNCTION("""COMPUTED_VALUE"""),56.308)</f>
        <v>56.308</v>
      </c>
      <c r="I985" s="2">
        <f ca="1">IFERROR(__xludf.DUMMYFUNCTION("""COMPUTED_VALUE"""),52.928)</f>
        <v>52.927999999999997</v>
      </c>
      <c r="J985" s="2">
        <f ca="1">IFERROR(__xludf.DUMMYFUNCTION("""COMPUTED_VALUE"""),43.399)</f>
        <v>43.399000000000001</v>
      </c>
      <c r="K985" s="2">
        <f ca="1">IFERROR(__xludf.DUMMYFUNCTION("""COMPUTED_VALUE"""),59.618)</f>
        <v>59.618000000000002</v>
      </c>
      <c r="L985" s="2">
        <f ca="1">IFERROR(__xludf.DUMMYFUNCTION("""COMPUTED_VALUE"""),10.282)</f>
        <v>10.282</v>
      </c>
      <c r="M985" s="2">
        <f ca="1">IFERROR(__xludf.DUMMYFUNCTION("""COMPUTED_VALUE"""),14.65)</f>
        <v>14.65</v>
      </c>
      <c r="U985" s="3" t="e">
        <f ca="1"/>
        <v>#NAME?</v>
      </c>
    </row>
    <row r="986" spans="3:21" ht="12.5" x14ac:dyDescent="0.25">
      <c r="C986" s="4">
        <f ca="1">IFERROR(__xludf.DUMMYFUNCTION("""COMPUTED_VALUE"""),41313.9986111111)</f>
        <v>41313.998611111099</v>
      </c>
      <c r="D986" s="2">
        <f ca="1">IFERROR(__xludf.DUMMYFUNCTION("""COMPUTED_VALUE"""),53.588)</f>
        <v>53.588000000000001</v>
      </c>
      <c r="E986" s="2">
        <f ca="1">IFERROR(__xludf.DUMMYFUNCTION("""COMPUTED_VALUE"""),70.509)</f>
        <v>70.509</v>
      </c>
      <c r="F986" s="2">
        <f ca="1">IFERROR(__xludf.DUMMYFUNCTION("""COMPUTED_VALUE"""),88.215)</f>
        <v>88.215000000000003</v>
      </c>
      <c r="G986" s="2">
        <f ca="1">IFERROR(__xludf.DUMMYFUNCTION("""COMPUTED_VALUE"""),0.54509)</f>
        <v>0.54508999999999996</v>
      </c>
      <c r="H986" s="2">
        <f ca="1">IFERROR(__xludf.DUMMYFUNCTION("""COMPUTED_VALUE"""),56.608)</f>
        <v>56.607999999999997</v>
      </c>
      <c r="I986" s="2">
        <f ca="1">IFERROR(__xludf.DUMMYFUNCTION("""COMPUTED_VALUE"""),53.049)</f>
        <v>53.048999999999999</v>
      </c>
      <c r="J986" s="2">
        <f ca="1">IFERROR(__xludf.DUMMYFUNCTION("""COMPUTED_VALUE"""),43.369)</f>
        <v>43.369</v>
      </c>
      <c r="K986" s="2">
        <f ca="1">IFERROR(__xludf.DUMMYFUNCTION("""COMPUTED_VALUE"""),60.01)</f>
        <v>60.01</v>
      </c>
      <c r="L986" s="2">
        <f ca="1">IFERROR(__xludf.DUMMYFUNCTION("""COMPUTED_VALUE"""),10.282)</f>
        <v>10.282</v>
      </c>
      <c r="M986" s="2">
        <f ca="1">IFERROR(__xludf.DUMMYFUNCTION("""COMPUTED_VALUE"""),14.611)</f>
        <v>14.611000000000001</v>
      </c>
      <c r="U986" s="3" t="e">
        <f ca="1"/>
        <v>#NAME?</v>
      </c>
    </row>
    <row r="987" spans="3:21" ht="12.5" x14ac:dyDescent="0.25">
      <c r="C987" s="4">
        <f ca="1">IFERROR(__xludf.DUMMYFUNCTION("""COMPUTED_VALUE"""),41314.9986111111)</f>
        <v>41314.998611111099</v>
      </c>
      <c r="D987" s="2">
        <f ca="1">IFERROR(__xludf.DUMMYFUNCTION("""COMPUTED_VALUE"""),53.588)</f>
        <v>53.588000000000001</v>
      </c>
      <c r="E987" s="2">
        <f ca="1">IFERROR(__xludf.DUMMYFUNCTION("""COMPUTED_VALUE"""),70.509)</f>
        <v>70.509</v>
      </c>
      <c r="F987" s="2">
        <f ca="1">IFERROR(__xludf.DUMMYFUNCTION("""COMPUTED_VALUE"""),87.586)</f>
        <v>87.585999999999999</v>
      </c>
      <c r="G987" s="2">
        <f ca="1">IFERROR(__xludf.DUMMYFUNCTION("""COMPUTED_VALUE"""),0.55414)</f>
        <v>0.55413999999999997</v>
      </c>
      <c r="H987" s="2">
        <f ca="1">IFERROR(__xludf.DUMMYFUNCTION("""COMPUTED_VALUE"""),56.687)</f>
        <v>56.686999999999998</v>
      </c>
      <c r="I987" s="2">
        <f ca="1">IFERROR(__xludf.DUMMYFUNCTION("""COMPUTED_VALUE"""),53.05)</f>
        <v>53.05</v>
      </c>
      <c r="J987" s="2">
        <f ca="1">IFERROR(__xludf.DUMMYFUNCTION("""COMPUTED_VALUE"""),43.405)</f>
        <v>43.405000000000001</v>
      </c>
      <c r="K987" s="2">
        <f ca="1">IFERROR(__xludf.DUMMYFUNCTION("""COMPUTED_VALUE"""),60.01)</f>
        <v>60.01</v>
      </c>
      <c r="L987" s="2">
        <f ca="1">IFERROR(__xludf.DUMMYFUNCTION("""COMPUTED_VALUE"""),10.299)</f>
        <v>10.298999999999999</v>
      </c>
      <c r="M987" s="2">
        <f ca="1">IFERROR(__xludf.DUMMYFUNCTION("""COMPUTED_VALUE"""),14.614)</f>
        <v>14.614000000000001</v>
      </c>
      <c r="U987" s="3" t="e">
        <f ca="1"/>
        <v>#NAME?</v>
      </c>
    </row>
    <row r="988" spans="3:21" ht="12.5" x14ac:dyDescent="0.25">
      <c r="C988" s="4">
        <f ca="1">IFERROR(__xludf.DUMMYFUNCTION("""COMPUTED_VALUE"""),41316.9986111111)</f>
        <v>41316.998611111099</v>
      </c>
      <c r="D988" s="2">
        <f ca="1">IFERROR(__xludf.DUMMYFUNCTION("""COMPUTED_VALUE"""),53.958)</f>
        <v>53.957999999999998</v>
      </c>
      <c r="E988" s="2">
        <f ca="1">IFERROR(__xludf.DUMMYFUNCTION("""COMPUTED_VALUE"""),69.578)</f>
        <v>69.578000000000003</v>
      </c>
      <c r="F988" s="2">
        <f ca="1">IFERROR(__xludf.DUMMYFUNCTION("""COMPUTED_VALUE"""),88.078)</f>
        <v>88.078000000000003</v>
      </c>
      <c r="G988" s="2">
        <f ca="1">IFERROR(__xludf.DUMMYFUNCTION("""COMPUTED_VALUE"""),0.55463)</f>
        <v>0.55462999999999996</v>
      </c>
      <c r="H988" s="2">
        <f ca="1">IFERROR(__xludf.DUMMYFUNCTION("""COMPUTED_VALUE"""),56.688)</f>
        <v>56.688000000000002</v>
      </c>
      <c r="I988" s="2">
        <f ca="1">IFERROR(__xludf.DUMMYFUNCTION("""COMPUTED_VALUE"""),53.05)</f>
        <v>53.05</v>
      </c>
      <c r="J988" s="2">
        <f ca="1">IFERROR(__xludf.DUMMYFUNCTION("""COMPUTED_VALUE"""),43.448)</f>
        <v>43.448</v>
      </c>
      <c r="K988" s="2">
        <f ca="1">IFERROR(__xludf.DUMMYFUNCTION("""COMPUTED_VALUE"""),59.042)</f>
        <v>59.042000000000002</v>
      </c>
      <c r="L988" s="2">
        <f ca="1">IFERROR(__xludf.DUMMYFUNCTION("""COMPUTED_VALUE"""),10.479)</f>
        <v>10.478999999999999</v>
      </c>
      <c r="M988" s="2">
        <f ca="1">IFERROR(__xludf.DUMMYFUNCTION("""COMPUTED_VALUE"""),14.646)</f>
        <v>14.646000000000001</v>
      </c>
      <c r="U988" s="3" t="e">
        <f ca="1"/>
        <v>#NAME?</v>
      </c>
    </row>
    <row r="989" spans="3:21" ht="12.5" x14ac:dyDescent="0.25">
      <c r="C989" s="4">
        <f ca="1">IFERROR(__xludf.DUMMYFUNCTION("""COMPUTED_VALUE"""),41317.9986111111)</f>
        <v>41317.998611111099</v>
      </c>
      <c r="D989" s="2">
        <f ca="1">IFERROR(__xludf.DUMMYFUNCTION("""COMPUTED_VALUE"""),53.848)</f>
        <v>53.847999999999999</v>
      </c>
      <c r="E989" s="2">
        <f ca="1">IFERROR(__xludf.DUMMYFUNCTION("""COMPUTED_VALUE"""),69.843)</f>
        <v>69.843000000000004</v>
      </c>
      <c r="F989" s="2">
        <f ca="1">IFERROR(__xludf.DUMMYFUNCTION("""COMPUTED_VALUE"""),88.412)</f>
        <v>88.412000000000006</v>
      </c>
      <c r="G989" s="2">
        <f ca="1">IFERROR(__xludf.DUMMYFUNCTION("""COMPUTED_VALUE"""),0.55463)</f>
        <v>0.55462999999999996</v>
      </c>
      <c r="H989" s="2">
        <f ca="1">IFERROR(__xludf.DUMMYFUNCTION("""COMPUTED_VALUE"""),56.688)</f>
        <v>56.688000000000002</v>
      </c>
      <c r="I989" s="2">
        <f ca="1">IFERROR(__xludf.DUMMYFUNCTION("""COMPUTED_VALUE"""),52.967)</f>
        <v>52.966999999999999</v>
      </c>
      <c r="J989" s="2">
        <f ca="1">IFERROR(__xludf.DUMMYFUNCTION("""COMPUTED_VALUE"""),43.537)</f>
        <v>43.536999999999999</v>
      </c>
      <c r="K989" s="2">
        <f ca="1">IFERROR(__xludf.DUMMYFUNCTION("""COMPUTED_VALUE"""),58.559)</f>
        <v>58.558999999999997</v>
      </c>
      <c r="L989" s="2">
        <f ca="1">IFERROR(__xludf.DUMMYFUNCTION("""COMPUTED_VALUE"""),10.467)</f>
        <v>10.467000000000001</v>
      </c>
      <c r="M989" s="2">
        <f ca="1">IFERROR(__xludf.DUMMYFUNCTION("""COMPUTED_VALUE"""),14.646)</f>
        <v>14.646000000000001</v>
      </c>
      <c r="U989" s="3" t="e">
        <f ca="1"/>
        <v>#NAME?</v>
      </c>
    </row>
    <row r="990" spans="3:21" ht="12.5" x14ac:dyDescent="0.25">
      <c r="C990" s="4">
        <f ca="1">IFERROR(__xludf.DUMMYFUNCTION("""COMPUTED_VALUE"""),41318.9986111111)</f>
        <v>41318.998611111099</v>
      </c>
      <c r="D990" s="2">
        <f ca="1">IFERROR(__xludf.DUMMYFUNCTION("""COMPUTED_VALUE"""),53.818)</f>
        <v>53.817999999999998</v>
      </c>
      <c r="E990" s="2">
        <f ca="1">IFERROR(__xludf.DUMMYFUNCTION("""COMPUTED_VALUE"""),69.423)</f>
        <v>69.423000000000002</v>
      </c>
      <c r="F990" s="2">
        <f ca="1">IFERROR(__xludf.DUMMYFUNCTION("""COMPUTED_VALUE"""),88.412)</f>
        <v>88.412000000000006</v>
      </c>
      <c r="G990" s="2">
        <f ca="1">IFERROR(__xludf.DUMMYFUNCTION("""COMPUTED_VALUE"""),0.55344)</f>
        <v>0.55344000000000004</v>
      </c>
      <c r="H990" s="2">
        <f ca="1">IFERROR(__xludf.DUMMYFUNCTION("""COMPUTED_VALUE"""),56.608)</f>
        <v>56.607999999999997</v>
      </c>
      <c r="I990" s="2">
        <f ca="1">IFERROR(__xludf.DUMMYFUNCTION("""COMPUTED_VALUE"""),53.415)</f>
        <v>53.414999999999999</v>
      </c>
      <c r="J990" s="2">
        <f ca="1">IFERROR(__xludf.DUMMYFUNCTION("""COMPUTED_VALUE"""),43.494)</f>
        <v>43.494</v>
      </c>
      <c r="K990" s="2">
        <f ca="1">IFERROR(__xludf.DUMMYFUNCTION("""COMPUTED_VALUE"""),58.68)</f>
        <v>58.68</v>
      </c>
      <c r="L990" s="2">
        <f ca="1">IFERROR(__xludf.DUMMYFUNCTION("""COMPUTED_VALUE"""),10.43)</f>
        <v>10.43</v>
      </c>
      <c r="M990" s="2">
        <f ca="1">IFERROR(__xludf.DUMMYFUNCTION("""COMPUTED_VALUE"""),14.646)</f>
        <v>14.646000000000001</v>
      </c>
      <c r="U990" s="3" t="e">
        <f ca="1"/>
        <v>#NAME?</v>
      </c>
    </row>
    <row r="991" spans="3:21" ht="12.5" x14ac:dyDescent="0.25">
      <c r="C991" s="4">
        <f ca="1">IFERROR(__xludf.DUMMYFUNCTION("""COMPUTED_VALUE"""),41319.9986111111)</f>
        <v>41319.998611111099</v>
      </c>
      <c r="D991" s="2">
        <f ca="1">IFERROR(__xludf.DUMMYFUNCTION("""COMPUTED_VALUE"""),53.918)</f>
        <v>53.917999999999999</v>
      </c>
      <c r="E991" s="2">
        <f ca="1">IFERROR(__xludf.DUMMYFUNCTION("""COMPUTED_VALUE"""),69.491)</f>
        <v>69.491</v>
      </c>
      <c r="F991" s="2">
        <f ca="1">IFERROR(__xludf.DUMMYFUNCTION("""COMPUTED_VALUE"""),88.412)</f>
        <v>88.412000000000006</v>
      </c>
      <c r="G991" s="2">
        <f ca="1">IFERROR(__xludf.DUMMYFUNCTION("""COMPUTED_VALUE"""),0.55179)</f>
        <v>0.55179</v>
      </c>
      <c r="H991" s="2">
        <f ca="1">IFERROR(__xludf.DUMMYFUNCTION("""COMPUTED_VALUE"""),56.88)</f>
        <v>56.88</v>
      </c>
      <c r="I991" s="2">
        <f ca="1">IFERROR(__xludf.DUMMYFUNCTION("""COMPUTED_VALUE"""),53.458)</f>
        <v>53.457999999999998</v>
      </c>
      <c r="J991" s="2">
        <f ca="1">IFERROR(__xludf.DUMMYFUNCTION("""COMPUTED_VALUE"""),43.76)</f>
        <v>43.76</v>
      </c>
      <c r="K991" s="2">
        <f ca="1">IFERROR(__xludf.DUMMYFUNCTION("""COMPUTED_VALUE"""),58.181)</f>
        <v>58.180999999999997</v>
      </c>
      <c r="L991" s="2">
        <f ca="1">IFERROR(__xludf.DUMMYFUNCTION("""COMPUTED_VALUE"""),10.39)</f>
        <v>10.39</v>
      </c>
      <c r="M991" s="2">
        <f ca="1">IFERROR(__xludf.DUMMYFUNCTION("""COMPUTED_VALUE"""),14.677)</f>
        <v>14.677</v>
      </c>
      <c r="U991" s="3" t="e">
        <f ca="1"/>
        <v>#NAME?</v>
      </c>
    </row>
    <row r="992" spans="3:21" ht="12.5" x14ac:dyDescent="0.25">
      <c r="C992" s="4">
        <f ca="1">IFERROR(__xludf.DUMMYFUNCTION("""COMPUTED_VALUE"""),41320.9986111111)</f>
        <v>41320.998611111099</v>
      </c>
      <c r="D992" s="2">
        <f ca="1">IFERROR(__xludf.DUMMYFUNCTION("""COMPUTED_VALUE"""),54.318)</f>
        <v>54.317999999999998</v>
      </c>
      <c r="E992" s="2">
        <f ca="1">IFERROR(__xludf.DUMMYFUNCTION("""COMPUTED_VALUE"""),69.598)</f>
        <v>69.597999999999999</v>
      </c>
      <c r="F992" s="2">
        <f ca="1">IFERROR(__xludf.DUMMYFUNCTION("""COMPUTED_VALUE"""),87.518)</f>
        <v>87.518000000000001</v>
      </c>
      <c r="G992" s="2">
        <f ca="1">IFERROR(__xludf.DUMMYFUNCTION("""COMPUTED_VALUE"""),0.55088)</f>
        <v>0.55088000000000004</v>
      </c>
      <c r="H992" s="2">
        <f ca="1">IFERROR(__xludf.DUMMYFUNCTION("""COMPUTED_VALUE"""),56.765)</f>
        <v>56.765000000000001</v>
      </c>
      <c r="I992" s="2">
        <f ca="1">IFERROR(__xludf.DUMMYFUNCTION("""COMPUTED_VALUE"""),53.407)</f>
        <v>53.406999999999996</v>
      </c>
      <c r="J992" s="2">
        <f ca="1">IFERROR(__xludf.DUMMYFUNCTION("""COMPUTED_VALUE"""),43.734)</f>
        <v>43.734000000000002</v>
      </c>
      <c r="K992" s="2">
        <f ca="1">IFERROR(__xludf.DUMMYFUNCTION("""COMPUTED_VALUE"""),57.462)</f>
        <v>57.462000000000003</v>
      </c>
      <c r="L992" s="2">
        <f ca="1">IFERROR(__xludf.DUMMYFUNCTION("""COMPUTED_VALUE"""),10.403)</f>
        <v>10.403</v>
      </c>
      <c r="M992" s="2">
        <f ca="1">IFERROR(__xludf.DUMMYFUNCTION("""COMPUTED_VALUE"""),14.636)</f>
        <v>14.635999999999999</v>
      </c>
      <c r="U992" s="3" t="e">
        <f ca="1"/>
        <v>#NAME?</v>
      </c>
    </row>
    <row r="993" spans="3:21" ht="12.5" x14ac:dyDescent="0.25">
      <c r="C993" s="4">
        <f ca="1">IFERROR(__xludf.DUMMYFUNCTION("""COMPUTED_VALUE"""),41321.9986111111)</f>
        <v>41321.998611111099</v>
      </c>
      <c r="D993" s="2">
        <f ca="1">IFERROR(__xludf.DUMMYFUNCTION("""COMPUTED_VALUE"""),54.318)</f>
        <v>54.317999999999998</v>
      </c>
      <c r="E993" s="2">
        <f ca="1">IFERROR(__xludf.DUMMYFUNCTION("""COMPUTED_VALUE"""),69.489)</f>
        <v>69.489000000000004</v>
      </c>
      <c r="F993" s="2">
        <f ca="1">IFERROR(__xludf.DUMMYFUNCTION("""COMPUTED_VALUE"""),87.675)</f>
        <v>87.674999999999997</v>
      </c>
      <c r="G993" s="2">
        <f ca="1">IFERROR(__xludf.DUMMYFUNCTION("""COMPUTED_VALUE"""),0.54864)</f>
        <v>0.54864000000000002</v>
      </c>
      <c r="H993" s="2">
        <f ca="1">IFERROR(__xludf.DUMMYFUNCTION("""COMPUTED_VALUE"""),56.456)</f>
        <v>56.456000000000003</v>
      </c>
      <c r="I993" s="2">
        <f ca="1">IFERROR(__xludf.DUMMYFUNCTION("""COMPUTED_VALUE"""),53.34)</f>
        <v>53.34</v>
      </c>
      <c r="J993" s="2">
        <f ca="1">IFERROR(__xludf.DUMMYFUNCTION("""COMPUTED_VALUE"""),43.717)</f>
        <v>43.716999999999999</v>
      </c>
      <c r="K993" s="2">
        <f ca="1">IFERROR(__xludf.DUMMYFUNCTION("""COMPUTED_VALUE"""),57.466)</f>
        <v>57.466000000000001</v>
      </c>
      <c r="L993" s="2">
        <f ca="1">IFERROR(__xludf.DUMMYFUNCTION("""COMPUTED_VALUE"""),10.372)</f>
        <v>10.372</v>
      </c>
      <c r="M993" s="2">
        <f ca="1">IFERROR(__xludf.DUMMYFUNCTION("""COMPUTED_VALUE"""),14.512)</f>
        <v>14.512</v>
      </c>
      <c r="U993" s="3" t="e">
        <f ca="1"/>
        <v>#NAME?</v>
      </c>
    </row>
    <row r="994" spans="3:21" ht="12.5" x14ac:dyDescent="0.25">
      <c r="C994" s="4">
        <f ca="1">IFERROR(__xludf.DUMMYFUNCTION("""COMPUTED_VALUE"""),41323.9986111111)</f>
        <v>41323.998611111099</v>
      </c>
      <c r="D994" s="2">
        <f ca="1">IFERROR(__xludf.DUMMYFUNCTION("""COMPUTED_VALUE"""),54.178)</f>
        <v>54.177999999999997</v>
      </c>
      <c r="E994" s="2">
        <f ca="1">IFERROR(__xludf.DUMMYFUNCTION("""COMPUTED_VALUE"""),69.685)</f>
        <v>69.685000000000002</v>
      </c>
      <c r="F994" s="2">
        <f ca="1">IFERROR(__xludf.DUMMYFUNCTION("""COMPUTED_VALUE"""),87.401)</f>
        <v>87.400999999999996</v>
      </c>
      <c r="G994" s="2">
        <f ca="1">IFERROR(__xludf.DUMMYFUNCTION("""COMPUTED_VALUE"""),0.54297)</f>
        <v>0.54296999999999995</v>
      </c>
      <c r="H994" s="2">
        <f ca="1">IFERROR(__xludf.DUMMYFUNCTION("""COMPUTED_VALUE"""),56.46)</f>
        <v>56.46</v>
      </c>
      <c r="I994" s="2">
        <f ca="1">IFERROR(__xludf.DUMMYFUNCTION("""COMPUTED_VALUE"""),53.338)</f>
        <v>53.338000000000001</v>
      </c>
      <c r="J994" s="2">
        <f ca="1">IFERROR(__xludf.DUMMYFUNCTION("""COMPUTED_VALUE"""),43.717)</f>
        <v>43.716999999999999</v>
      </c>
      <c r="K994" s="2">
        <f ca="1">IFERROR(__xludf.DUMMYFUNCTION("""COMPUTED_VALUE"""),56.97)</f>
        <v>56.97</v>
      </c>
      <c r="L994" s="2">
        <f ca="1">IFERROR(__xludf.DUMMYFUNCTION("""COMPUTED_VALUE"""),10.232)</f>
        <v>10.231999999999999</v>
      </c>
      <c r="M994" s="2">
        <f ca="1">IFERROR(__xludf.DUMMYFUNCTION("""COMPUTED_VALUE"""),14.488)</f>
        <v>14.488</v>
      </c>
      <c r="U994" s="3" t="e">
        <f ca="1"/>
        <v>#NAME?</v>
      </c>
    </row>
    <row r="995" spans="3:21" ht="12.5" x14ac:dyDescent="0.25">
      <c r="C995" s="4">
        <f ca="1">IFERROR(__xludf.DUMMYFUNCTION("""COMPUTED_VALUE"""),41324.9986111111)</f>
        <v>41324.998611111099</v>
      </c>
      <c r="D995" s="2">
        <f ca="1">IFERROR(__xludf.DUMMYFUNCTION("""COMPUTED_VALUE"""),54.163)</f>
        <v>54.162999999999997</v>
      </c>
      <c r="E995" s="2">
        <f ca="1">IFERROR(__xludf.DUMMYFUNCTION("""COMPUTED_VALUE"""),69.713)</f>
        <v>69.712999999999994</v>
      </c>
      <c r="F995" s="2">
        <f ca="1">IFERROR(__xludf.DUMMYFUNCTION("""COMPUTED_VALUE"""),86.772)</f>
        <v>86.772000000000006</v>
      </c>
      <c r="G995" s="2">
        <f ca="1">IFERROR(__xludf.DUMMYFUNCTION("""COMPUTED_VALUE"""),0.54344)</f>
        <v>0.54344000000000003</v>
      </c>
      <c r="H995" s="2">
        <f ca="1">IFERROR(__xludf.DUMMYFUNCTION("""COMPUTED_VALUE"""),56.445)</f>
        <v>56.445</v>
      </c>
      <c r="I995" s="2">
        <f ca="1">IFERROR(__xludf.DUMMYFUNCTION("""COMPUTED_VALUE"""),53.338)</f>
        <v>53.338000000000001</v>
      </c>
      <c r="J995" s="2">
        <f ca="1">IFERROR(__xludf.DUMMYFUNCTION("""COMPUTED_VALUE"""),43.715)</f>
        <v>43.715000000000003</v>
      </c>
      <c r="K995" s="2">
        <f ca="1">IFERROR(__xludf.DUMMYFUNCTION("""COMPUTED_VALUE"""),57.497)</f>
        <v>57.497</v>
      </c>
      <c r="L995" s="2">
        <f ca="1">IFERROR(__xludf.DUMMYFUNCTION("""COMPUTED_VALUE"""),10.252)</f>
        <v>10.252000000000001</v>
      </c>
      <c r="M995" s="2">
        <f ca="1">IFERROR(__xludf.DUMMYFUNCTION("""COMPUTED_VALUE"""),14.474)</f>
        <v>14.474</v>
      </c>
      <c r="U995" s="3" t="e">
        <f ca="1"/>
        <v>#NAME?</v>
      </c>
    </row>
    <row r="996" spans="3:21" ht="12.5" x14ac:dyDescent="0.25">
      <c r="C996" s="4">
        <f ca="1">IFERROR(__xludf.DUMMYFUNCTION("""COMPUTED_VALUE"""),41325.9986111111)</f>
        <v>41325.998611111099</v>
      </c>
      <c r="D996" s="2">
        <f ca="1">IFERROR(__xludf.DUMMYFUNCTION("""COMPUTED_VALUE"""),54.068)</f>
        <v>54.067999999999998</v>
      </c>
      <c r="E996" s="2">
        <f ca="1">IFERROR(__xludf.DUMMYFUNCTION("""COMPUTED_VALUE"""),69.834)</f>
        <v>69.834000000000003</v>
      </c>
      <c r="F996" s="2">
        <f ca="1">IFERROR(__xludf.DUMMYFUNCTION("""COMPUTED_VALUE"""),85.208)</f>
        <v>85.207999999999998</v>
      </c>
      <c r="G996" s="2">
        <f ca="1">IFERROR(__xludf.DUMMYFUNCTION("""COMPUTED_VALUE"""),0.5423)</f>
        <v>0.5423</v>
      </c>
      <c r="H996" s="2">
        <f ca="1">IFERROR(__xludf.DUMMYFUNCTION("""COMPUTED_VALUE"""),56.539)</f>
        <v>56.539000000000001</v>
      </c>
      <c r="I996" s="2">
        <f ca="1">IFERROR(__xludf.DUMMYFUNCTION("""COMPUTED_VALUE"""),53.354)</f>
        <v>53.353999999999999</v>
      </c>
      <c r="J996" s="2">
        <f ca="1">IFERROR(__xludf.DUMMYFUNCTION("""COMPUTED_VALUE"""),43.715)</f>
        <v>43.715000000000003</v>
      </c>
      <c r="K996" s="2">
        <f ca="1">IFERROR(__xludf.DUMMYFUNCTION("""COMPUTED_VALUE"""),57.875)</f>
        <v>57.875</v>
      </c>
      <c r="L996" s="2">
        <f ca="1">IFERROR(__xludf.DUMMYFUNCTION("""COMPUTED_VALUE"""),10.154)</f>
        <v>10.154</v>
      </c>
      <c r="M996" s="2">
        <f ca="1">IFERROR(__xludf.DUMMYFUNCTION("""COMPUTED_VALUE"""),14.474)</f>
        <v>14.474</v>
      </c>
      <c r="U996" s="3" t="e">
        <f ca="1"/>
        <v>#NAME?</v>
      </c>
    </row>
    <row r="997" spans="3:21" ht="12.5" x14ac:dyDescent="0.25">
      <c r="C997" s="4">
        <f ca="1">IFERROR(__xludf.DUMMYFUNCTION("""COMPUTED_VALUE"""),41326.9986111111)</f>
        <v>41326.998611111099</v>
      </c>
      <c r="D997" s="2">
        <f ca="1">IFERROR(__xludf.DUMMYFUNCTION("""COMPUTED_VALUE"""),54.468)</f>
        <v>54.468000000000004</v>
      </c>
      <c r="E997" s="2">
        <f ca="1">IFERROR(__xludf.DUMMYFUNCTION("""COMPUTED_VALUE"""),70.885)</f>
        <v>70.885000000000005</v>
      </c>
      <c r="F997" s="2">
        <f ca="1">IFERROR(__xludf.DUMMYFUNCTION("""COMPUTED_VALUE"""),85.242)</f>
        <v>85.242000000000004</v>
      </c>
      <c r="G997" s="2">
        <f ca="1">IFERROR(__xludf.DUMMYFUNCTION("""COMPUTED_VALUE"""),0.54446)</f>
        <v>0.54446000000000006</v>
      </c>
      <c r="H997" s="2">
        <f ca="1">IFERROR(__xludf.DUMMYFUNCTION("""COMPUTED_VALUE"""),56.823)</f>
        <v>56.823</v>
      </c>
      <c r="I997" s="2">
        <f ca="1">IFERROR(__xludf.DUMMYFUNCTION("""COMPUTED_VALUE"""),53.582)</f>
        <v>53.582000000000001</v>
      </c>
      <c r="J997" s="2">
        <f ca="1">IFERROR(__xludf.DUMMYFUNCTION("""COMPUTED_VALUE"""),43.75)</f>
        <v>43.75</v>
      </c>
      <c r="K997" s="2">
        <f ca="1">IFERROR(__xludf.DUMMYFUNCTION("""COMPUTED_VALUE"""),57.664)</f>
        <v>57.664000000000001</v>
      </c>
      <c r="L997" s="2">
        <f ca="1">IFERROR(__xludf.DUMMYFUNCTION("""COMPUTED_VALUE"""),10.146)</f>
        <v>10.146000000000001</v>
      </c>
      <c r="M997" s="2">
        <f ca="1">IFERROR(__xludf.DUMMYFUNCTION("""COMPUTED_VALUE"""),14.474)</f>
        <v>14.474</v>
      </c>
      <c r="U997" s="3" t="e">
        <f ca="1"/>
        <v>#NAME?</v>
      </c>
    </row>
    <row r="998" spans="3:21" ht="12.5" x14ac:dyDescent="0.25">
      <c r="C998" s="4">
        <f ca="1">IFERROR(__xludf.DUMMYFUNCTION("""COMPUTED_VALUE"""),41327.9986111111)</f>
        <v>41327.998611111099</v>
      </c>
      <c r="D998" s="2">
        <f ca="1">IFERROR(__xludf.DUMMYFUNCTION("""COMPUTED_VALUE"""),54.273)</f>
        <v>54.273000000000003</v>
      </c>
      <c r="E998" s="2">
        <f ca="1">IFERROR(__xludf.DUMMYFUNCTION("""COMPUTED_VALUE"""),70.815)</f>
        <v>70.814999999999998</v>
      </c>
      <c r="F998" s="2">
        <f ca="1">IFERROR(__xludf.DUMMYFUNCTION("""COMPUTED_VALUE"""),84.673)</f>
        <v>84.673000000000002</v>
      </c>
      <c r="G998" s="2">
        <f ca="1">IFERROR(__xludf.DUMMYFUNCTION("""COMPUTED_VALUE"""),0.54731)</f>
        <v>0.54730999999999996</v>
      </c>
      <c r="H998" s="2">
        <f ca="1">IFERROR(__xludf.DUMMYFUNCTION("""COMPUTED_VALUE"""),56.847)</f>
        <v>56.847000000000001</v>
      </c>
      <c r="I998" s="2">
        <f ca="1">IFERROR(__xludf.DUMMYFUNCTION("""COMPUTED_VALUE"""),53.597)</f>
        <v>53.597000000000001</v>
      </c>
      <c r="J998" s="2">
        <f ca="1">IFERROR(__xludf.DUMMYFUNCTION("""COMPUTED_VALUE"""),43.87)</f>
        <v>43.87</v>
      </c>
      <c r="K998" s="2">
        <f ca="1">IFERROR(__xludf.DUMMYFUNCTION("""COMPUTED_VALUE"""),57.7)</f>
        <v>57.7</v>
      </c>
      <c r="L998" s="2">
        <f ca="1">IFERROR(__xludf.DUMMYFUNCTION("""COMPUTED_VALUE"""),10.15)</f>
        <v>10.15</v>
      </c>
      <c r="M998" s="2">
        <f ca="1">IFERROR(__xludf.DUMMYFUNCTION("""COMPUTED_VALUE"""),14.505)</f>
        <v>14.505000000000001</v>
      </c>
      <c r="U998" s="3" t="e">
        <f ca="1"/>
        <v>#NAME?</v>
      </c>
    </row>
    <row r="999" spans="3:21" ht="12.5" x14ac:dyDescent="0.25">
      <c r="C999" s="4">
        <f ca="1">IFERROR(__xludf.DUMMYFUNCTION("""COMPUTED_VALUE"""),41328.9986111111)</f>
        <v>41328.998611111099</v>
      </c>
      <c r="D999" s="2">
        <f ca="1">IFERROR(__xludf.DUMMYFUNCTION("""COMPUTED_VALUE"""),54.273)</f>
        <v>54.273000000000003</v>
      </c>
      <c r="E999" s="2">
        <f ca="1">IFERROR(__xludf.DUMMYFUNCTION("""COMPUTED_VALUE"""),70.817)</f>
        <v>70.816999999999993</v>
      </c>
      <c r="F999" s="2">
        <f ca="1">IFERROR(__xludf.DUMMYFUNCTION("""COMPUTED_VALUE"""),85.089)</f>
        <v>85.088999999999999</v>
      </c>
      <c r="G999" s="2">
        <f ca="1">IFERROR(__xludf.DUMMYFUNCTION("""COMPUTED_VALUE"""),0.54719)</f>
        <v>0.54718999999999995</v>
      </c>
      <c r="H999" s="2">
        <f ca="1">IFERROR(__xludf.DUMMYFUNCTION("""COMPUTED_VALUE"""),57.225)</f>
        <v>57.225000000000001</v>
      </c>
      <c r="I999" s="2">
        <f ca="1">IFERROR(__xludf.DUMMYFUNCTION("""COMPUTED_VALUE"""),54.14)</f>
        <v>54.14</v>
      </c>
      <c r="J999" s="2">
        <f ca="1">IFERROR(__xludf.DUMMYFUNCTION("""COMPUTED_VALUE"""),43.894)</f>
        <v>43.893999999999998</v>
      </c>
      <c r="K999" s="2">
        <f ca="1">IFERROR(__xludf.DUMMYFUNCTION("""COMPUTED_VALUE"""),58.076)</f>
        <v>58.076000000000001</v>
      </c>
      <c r="L999" s="2">
        <f ca="1">IFERROR(__xludf.DUMMYFUNCTION("""COMPUTED_VALUE"""),10.161)</f>
        <v>10.161</v>
      </c>
      <c r="M999" s="2">
        <f ca="1">IFERROR(__xludf.DUMMYFUNCTION("""COMPUTED_VALUE"""),14.466)</f>
        <v>14.465999999999999</v>
      </c>
      <c r="U999" s="3" t="e">
        <f ca="1"/>
        <v>#NAME?</v>
      </c>
    </row>
    <row r="1000" spans="3:21" ht="12.5" x14ac:dyDescent="0.25">
      <c r="C1000" s="4">
        <f ca="1">IFERROR(__xludf.DUMMYFUNCTION("""COMPUTED_VALUE"""),41330.9986111111)</f>
        <v>41330.998611111099</v>
      </c>
      <c r="D1000" s="2">
        <f ca="1">IFERROR(__xludf.DUMMYFUNCTION("""COMPUTED_VALUE"""),53.863)</f>
        <v>53.863</v>
      </c>
      <c r="E1000" s="2">
        <f ca="1">IFERROR(__xludf.DUMMYFUNCTION("""COMPUTED_VALUE"""),70.931)</f>
        <v>70.930999999999997</v>
      </c>
      <c r="F1000" s="2">
        <f ca="1">IFERROR(__xludf.DUMMYFUNCTION("""COMPUTED_VALUE"""),85.115)</f>
        <v>85.114999999999995</v>
      </c>
      <c r="G1000" s="2">
        <f ca="1">IFERROR(__xludf.DUMMYFUNCTION("""COMPUTED_VALUE"""),0.53814)</f>
        <v>0.53813999999999995</v>
      </c>
      <c r="H1000" s="2">
        <f ca="1">IFERROR(__xludf.DUMMYFUNCTION("""COMPUTED_VALUE"""),57.1)</f>
        <v>57.1</v>
      </c>
      <c r="I1000" s="2">
        <f ca="1">IFERROR(__xludf.DUMMYFUNCTION("""COMPUTED_VALUE"""),54.054)</f>
        <v>54.054000000000002</v>
      </c>
      <c r="J1000" s="2">
        <f ca="1">IFERROR(__xludf.DUMMYFUNCTION("""COMPUTED_VALUE"""),44.218)</f>
        <v>44.218000000000004</v>
      </c>
      <c r="K1000" s="2">
        <f ca="1">IFERROR(__xludf.DUMMYFUNCTION("""COMPUTED_VALUE"""),58.066)</f>
        <v>58.066000000000003</v>
      </c>
      <c r="L1000" s="2">
        <f ca="1">IFERROR(__xludf.DUMMYFUNCTION("""COMPUTED_VALUE"""),10.152)</f>
        <v>10.151999999999999</v>
      </c>
      <c r="M1000" s="2">
        <f ca="1">IFERROR(__xludf.DUMMYFUNCTION("""COMPUTED_VALUE"""),14.471)</f>
        <v>14.471</v>
      </c>
      <c r="U1000" s="3" t="e">
        <f ca="1"/>
        <v>#NAME?</v>
      </c>
    </row>
    <row r="1001" spans="3:21" ht="12.5" x14ac:dyDescent="0.25">
      <c r="C1001" s="4">
        <f ca="1">IFERROR(__xludf.DUMMYFUNCTION("""COMPUTED_VALUE"""),41331.9986111111)</f>
        <v>41331.998611111099</v>
      </c>
      <c r="D1001" s="2">
        <f ca="1">IFERROR(__xludf.DUMMYFUNCTION("""COMPUTED_VALUE"""),54.088)</f>
        <v>54.088000000000001</v>
      </c>
      <c r="E1001" s="2">
        <f ca="1">IFERROR(__xludf.DUMMYFUNCTION("""COMPUTED_VALUE"""),71.325)</f>
        <v>71.325000000000003</v>
      </c>
      <c r="F1001" s="2">
        <f ca="1">IFERROR(__xludf.DUMMYFUNCTION("""COMPUTED_VALUE"""),84.886)</f>
        <v>84.885999999999996</v>
      </c>
      <c r="G1001" s="2">
        <f ca="1">IFERROR(__xludf.DUMMYFUNCTION("""COMPUTED_VALUE"""),0.53935)</f>
        <v>0.53935</v>
      </c>
      <c r="H1001" s="2">
        <f ca="1">IFERROR(__xludf.DUMMYFUNCTION("""COMPUTED_VALUE"""),56.863)</f>
        <v>56.863</v>
      </c>
      <c r="I1001" s="2">
        <f ca="1">IFERROR(__xludf.DUMMYFUNCTION("""COMPUTED_VALUE"""),53.771)</f>
        <v>53.771000000000001</v>
      </c>
      <c r="J1001" s="2">
        <f ca="1">IFERROR(__xludf.DUMMYFUNCTION("""COMPUTED_VALUE"""),44.207)</f>
        <v>44.207000000000001</v>
      </c>
      <c r="K1001" s="2">
        <f ca="1">IFERROR(__xludf.DUMMYFUNCTION("""COMPUTED_VALUE"""),58.134)</f>
        <v>58.134</v>
      </c>
      <c r="L1001" s="2">
        <f ca="1">IFERROR(__xludf.DUMMYFUNCTION("""COMPUTED_VALUE"""),10.238)</f>
        <v>10.238</v>
      </c>
      <c r="M1001" s="2">
        <f ca="1">IFERROR(__xludf.DUMMYFUNCTION("""COMPUTED_VALUE"""),14.489)</f>
        <v>14.489000000000001</v>
      </c>
      <c r="U1001" s="3" t="e">
        <f ca="1"/>
        <v>#NAME?</v>
      </c>
    </row>
    <row r="1002" spans="3:21" ht="12.5" x14ac:dyDescent="0.25">
      <c r="C1002" s="4">
        <f ca="1">IFERROR(__xludf.DUMMYFUNCTION("""COMPUTED_VALUE"""),41332.9986111111)</f>
        <v>41332.998611111099</v>
      </c>
      <c r="D1002" s="2">
        <f ca="1">IFERROR(__xludf.DUMMYFUNCTION("""COMPUTED_VALUE"""),53.858)</f>
        <v>53.857999999999997</v>
      </c>
      <c r="E1002" s="2">
        <f ca="1">IFERROR(__xludf.DUMMYFUNCTION("""COMPUTED_VALUE"""),71.161)</f>
        <v>71.161000000000001</v>
      </c>
      <c r="F1002" s="2">
        <f ca="1">IFERROR(__xludf.DUMMYFUNCTION("""COMPUTED_VALUE"""),84.659)</f>
        <v>84.659000000000006</v>
      </c>
      <c r="G1002" s="2">
        <f ca="1">IFERROR(__xludf.DUMMYFUNCTION("""COMPUTED_VALUE"""),0.53937)</f>
        <v>0.53937000000000002</v>
      </c>
      <c r="H1002" s="2">
        <f ca="1">IFERROR(__xludf.DUMMYFUNCTION("""COMPUTED_VALUE"""),56.75)</f>
        <v>56.75</v>
      </c>
      <c r="I1002" s="2">
        <f ca="1">IFERROR(__xludf.DUMMYFUNCTION("""COMPUTED_VALUE"""),53.606)</f>
        <v>53.606000000000002</v>
      </c>
      <c r="J1002" s="2">
        <f ca="1">IFERROR(__xludf.DUMMYFUNCTION("""COMPUTED_VALUE"""),44.145)</f>
        <v>44.145000000000003</v>
      </c>
      <c r="K1002" s="2">
        <f ca="1">IFERROR(__xludf.DUMMYFUNCTION("""COMPUTED_VALUE"""),58.248)</f>
        <v>58.247999999999998</v>
      </c>
      <c r="L1002" s="2">
        <f ca="1">IFERROR(__xludf.DUMMYFUNCTION("""COMPUTED_VALUE"""),10.158)</f>
        <v>10.157999999999999</v>
      </c>
      <c r="M1002" s="2">
        <f ca="1">IFERROR(__xludf.DUMMYFUNCTION("""COMPUTED_VALUE"""),14.59)</f>
        <v>14.59</v>
      </c>
      <c r="U1002" s="3" t="e">
        <f ca="1"/>
        <v>#NAME?</v>
      </c>
    </row>
    <row r="1003" spans="3:21" ht="12.5" x14ac:dyDescent="0.25">
      <c r="C1003" s="4">
        <f ca="1">IFERROR(__xludf.DUMMYFUNCTION("""COMPUTED_VALUE"""),41333.9986111111)</f>
        <v>41333.998611111099</v>
      </c>
      <c r="D1003" s="2">
        <f ca="1">IFERROR(__xludf.DUMMYFUNCTION("""COMPUTED_VALUE"""),54.363)</f>
        <v>54.363</v>
      </c>
      <c r="E1003" s="2">
        <f ca="1">IFERROR(__xludf.DUMMYFUNCTION("""COMPUTED_VALUE"""),71.117)</f>
        <v>71.117000000000004</v>
      </c>
      <c r="F1003" s="2">
        <f ca="1">IFERROR(__xludf.DUMMYFUNCTION("""COMPUTED_VALUE"""),84.914)</f>
        <v>84.914000000000001</v>
      </c>
      <c r="G1003" s="2">
        <f ca="1">IFERROR(__xludf.DUMMYFUNCTION("""COMPUTED_VALUE"""),0.53809)</f>
        <v>0.53808999999999996</v>
      </c>
      <c r="H1003" s="2">
        <f ca="1">IFERROR(__xludf.DUMMYFUNCTION("""COMPUTED_VALUE"""),57.216)</f>
        <v>57.216000000000001</v>
      </c>
      <c r="I1003" s="2">
        <f ca="1">IFERROR(__xludf.DUMMYFUNCTION("""COMPUTED_VALUE"""),53.654)</f>
        <v>53.654000000000003</v>
      </c>
      <c r="J1003" s="2">
        <f ca="1">IFERROR(__xludf.DUMMYFUNCTION("""COMPUTED_VALUE"""),43.888)</f>
        <v>43.887999999999998</v>
      </c>
      <c r="K1003" s="2">
        <f ca="1">IFERROR(__xludf.DUMMYFUNCTION("""COMPUTED_VALUE"""),58.45)</f>
        <v>58.45</v>
      </c>
      <c r="L1003" s="2">
        <f ca="1">IFERROR(__xludf.DUMMYFUNCTION("""COMPUTED_VALUE"""),10.109)</f>
        <v>10.109</v>
      </c>
      <c r="M1003" s="2">
        <f ca="1">IFERROR(__xludf.DUMMYFUNCTION("""COMPUTED_VALUE"""),14.59)</f>
        <v>14.59</v>
      </c>
      <c r="U1003" s="3" t="e">
        <f ca="1"/>
        <v>#NAME?</v>
      </c>
    </row>
    <row r="1004" spans="3:21" ht="12.5" x14ac:dyDescent="0.25">
      <c r="C1004" s="4">
        <f ca="1">IFERROR(__xludf.DUMMYFUNCTION("""COMPUTED_VALUE"""),41334.9986111111)</f>
        <v>41334.998611111099</v>
      </c>
      <c r="D1004" s="2">
        <f ca="1">IFERROR(__xludf.DUMMYFUNCTION("""COMPUTED_VALUE"""),54.898)</f>
        <v>54.898000000000003</v>
      </c>
      <c r="E1004" s="2">
        <f ca="1">IFERROR(__xludf.DUMMYFUNCTION("""COMPUTED_VALUE"""),71.477)</f>
        <v>71.477000000000004</v>
      </c>
      <c r="F1004" s="2">
        <f ca="1">IFERROR(__xludf.DUMMYFUNCTION("""COMPUTED_VALUE"""),85.012)</f>
        <v>85.012</v>
      </c>
      <c r="G1004" s="2">
        <f ca="1">IFERROR(__xludf.DUMMYFUNCTION("""COMPUTED_VALUE"""),0.53523)</f>
        <v>0.53522999999999998</v>
      </c>
      <c r="H1004" s="2">
        <f ca="1">IFERROR(__xludf.DUMMYFUNCTION("""COMPUTED_VALUE"""),57.423)</f>
        <v>57.423000000000002</v>
      </c>
      <c r="I1004" s="2">
        <f ca="1">IFERROR(__xludf.DUMMYFUNCTION("""COMPUTED_VALUE"""),53.683)</f>
        <v>53.683</v>
      </c>
      <c r="J1004" s="2">
        <f ca="1">IFERROR(__xludf.DUMMYFUNCTION("""COMPUTED_VALUE"""),43.983)</f>
        <v>43.982999999999997</v>
      </c>
      <c r="K1004" s="2">
        <f ca="1">IFERROR(__xludf.DUMMYFUNCTION("""COMPUTED_VALUE"""),58.482)</f>
        <v>58.481999999999999</v>
      </c>
      <c r="L1004" s="2">
        <f ca="1">IFERROR(__xludf.DUMMYFUNCTION("""COMPUTED_VALUE"""),10.096)</f>
        <v>10.096</v>
      </c>
      <c r="M1004" s="2">
        <f ca="1">IFERROR(__xludf.DUMMYFUNCTION("""COMPUTED_VALUE"""),14.59)</f>
        <v>14.59</v>
      </c>
      <c r="U1004" s="3" t="e">
        <f ca="1"/>
        <v>#NAME?</v>
      </c>
    </row>
    <row r="1005" spans="3:21" ht="12.5" x14ac:dyDescent="0.25">
      <c r="C1005" s="4">
        <f ca="1">IFERROR(__xludf.DUMMYFUNCTION("""COMPUTED_VALUE"""),41335.9986111111)</f>
        <v>41335.998611111099</v>
      </c>
      <c r="D1005" s="2">
        <f ca="1">IFERROR(__xludf.DUMMYFUNCTION("""COMPUTED_VALUE"""),54.898)</f>
        <v>54.898000000000003</v>
      </c>
      <c r="E1005" s="2">
        <f ca="1">IFERROR(__xludf.DUMMYFUNCTION("""COMPUTED_VALUE"""),71.477)</f>
        <v>71.477000000000004</v>
      </c>
      <c r="F1005" s="2">
        <f ca="1">IFERROR(__xludf.DUMMYFUNCTION("""COMPUTED_VALUE"""),85.012)</f>
        <v>85.012</v>
      </c>
      <c r="G1005" s="2">
        <f ca="1">IFERROR(__xludf.DUMMYFUNCTION("""COMPUTED_VALUE"""),0.53512)</f>
        <v>0.53512000000000004</v>
      </c>
      <c r="H1005" s="2">
        <f ca="1">IFERROR(__xludf.DUMMYFUNCTION("""COMPUTED_VALUE"""),57.204)</f>
        <v>57.204000000000001</v>
      </c>
      <c r="I1005" s="2">
        <f ca="1">IFERROR(__xludf.DUMMYFUNCTION("""COMPUTED_VALUE"""),53.69)</f>
        <v>53.69</v>
      </c>
      <c r="J1005" s="2">
        <f ca="1">IFERROR(__xludf.DUMMYFUNCTION("""COMPUTED_VALUE"""),43.982)</f>
        <v>43.981999999999999</v>
      </c>
      <c r="K1005" s="2">
        <f ca="1">IFERROR(__xludf.DUMMYFUNCTION("""COMPUTED_VALUE"""),58.533)</f>
        <v>58.533000000000001</v>
      </c>
      <c r="L1005" s="2">
        <f ca="1">IFERROR(__xludf.DUMMYFUNCTION("""COMPUTED_VALUE"""),10.19)</f>
        <v>10.19</v>
      </c>
      <c r="M1005" s="2">
        <f ca="1">IFERROR(__xludf.DUMMYFUNCTION("""COMPUTED_VALUE"""),14.69)</f>
        <v>14.69</v>
      </c>
      <c r="U1005" s="3" t="e">
        <f ca="1"/>
        <v>#NAME?</v>
      </c>
    </row>
    <row r="1006" spans="3:21" ht="12.5" x14ac:dyDescent="0.25">
      <c r="C1006" s="4">
        <f ca="1">IFERROR(__xludf.DUMMYFUNCTION("""COMPUTED_VALUE"""),41337.9986111111)</f>
        <v>41337.998611111099</v>
      </c>
      <c r="D1006" s="2">
        <f ca="1">IFERROR(__xludf.DUMMYFUNCTION("""COMPUTED_VALUE"""),54.858)</f>
        <v>54.857999999999997</v>
      </c>
      <c r="E1006" s="2">
        <f ca="1">IFERROR(__xludf.DUMMYFUNCTION("""COMPUTED_VALUE"""),71.411)</f>
        <v>71.411000000000001</v>
      </c>
      <c r="F1006" s="2">
        <f ca="1">IFERROR(__xludf.DUMMYFUNCTION("""COMPUTED_VALUE"""),84.532)</f>
        <v>84.531999999999996</v>
      </c>
      <c r="G1006" s="2">
        <f ca="1">IFERROR(__xludf.DUMMYFUNCTION("""COMPUTED_VALUE"""),0.53527)</f>
        <v>0.53527000000000002</v>
      </c>
      <c r="H1006" s="2">
        <f ca="1">IFERROR(__xludf.DUMMYFUNCTION("""COMPUTED_VALUE"""),57.288)</f>
        <v>57.287999999999997</v>
      </c>
      <c r="I1006" s="2">
        <f ca="1">IFERROR(__xludf.DUMMYFUNCTION("""COMPUTED_VALUE"""),53.78)</f>
        <v>53.78</v>
      </c>
      <c r="J1006" s="2">
        <f ca="1">IFERROR(__xludf.DUMMYFUNCTION("""COMPUTED_VALUE"""),43.854)</f>
        <v>43.853999999999999</v>
      </c>
      <c r="K1006" s="2">
        <f ca="1">IFERROR(__xludf.DUMMYFUNCTION("""COMPUTED_VALUE"""),58.63)</f>
        <v>58.63</v>
      </c>
      <c r="L1006" s="2">
        <f ca="1">IFERROR(__xludf.DUMMYFUNCTION("""COMPUTED_VALUE"""),10.188)</f>
        <v>10.188000000000001</v>
      </c>
      <c r="M1006" s="2">
        <f ca="1">IFERROR(__xludf.DUMMYFUNCTION("""COMPUTED_VALUE"""),14.659)</f>
        <v>14.659000000000001</v>
      </c>
      <c r="U1006" s="3" t="e">
        <f ca="1"/>
        <v>#NAME?</v>
      </c>
    </row>
    <row r="1007" spans="3:21" ht="12.5" x14ac:dyDescent="0.25">
      <c r="C1007" s="4">
        <f ca="1">IFERROR(__xludf.DUMMYFUNCTION("""COMPUTED_VALUE"""),41338.9986111111)</f>
        <v>41338.998611111099</v>
      </c>
      <c r="D1007" s="2">
        <f ca="1">IFERROR(__xludf.DUMMYFUNCTION("""COMPUTED_VALUE"""),54.918)</f>
        <v>54.917999999999999</v>
      </c>
      <c r="E1007" s="2">
        <f ca="1">IFERROR(__xludf.DUMMYFUNCTION("""COMPUTED_VALUE"""),71.121)</f>
        <v>71.120999999999995</v>
      </c>
      <c r="F1007" s="2">
        <f ca="1">IFERROR(__xludf.DUMMYFUNCTION("""COMPUTED_VALUE"""),84.579)</f>
        <v>84.578999999999994</v>
      </c>
      <c r="G1007" s="2">
        <f ca="1">IFERROR(__xludf.DUMMYFUNCTION("""COMPUTED_VALUE"""),0.5312)</f>
        <v>0.53120000000000001</v>
      </c>
      <c r="H1007" s="2">
        <f ca="1">IFERROR(__xludf.DUMMYFUNCTION("""COMPUTED_VALUE"""),57.288)</f>
        <v>57.287999999999997</v>
      </c>
      <c r="I1007" s="2">
        <f ca="1">IFERROR(__xludf.DUMMYFUNCTION("""COMPUTED_VALUE"""),53.787)</f>
        <v>53.786999999999999</v>
      </c>
      <c r="J1007" s="2">
        <f ca="1">IFERROR(__xludf.DUMMYFUNCTION("""COMPUTED_VALUE"""),44.074)</f>
        <v>44.073999999999998</v>
      </c>
      <c r="K1007" s="2">
        <f ca="1">IFERROR(__xludf.DUMMYFUNCTION("""COMPUTED_VALUE"""),58.623)</f>
        <v>58.622999999999998</v>
      </c>
      <c r="L1007" s="2">
        <f ca="1">IFERROR(__xludf.DUMMYFUNCTION("""COMPUTED_VALUE"""),10.117)</f>
        <v>10.117000000000001</v>
      </c>
      <c r="M1007" s="2">
        <f ca="1">IFERROR(__xludf.DUMMYFUNCTION("""COMPUTED_VALUE"""),14.652)</f>
        <v>14.651999999999999</v>
      </c>
      <c r="U1007" s="3" t="e">
        <f ca="1"/>
        <v>#NAME?</v>
      </c>
    </row>
    <row r="1008" spans="3:21" ht="12.5" x14ac:dyDescent="0.25">
      <c r="C1008" s="4">
        <f ca="1">IFERROR(__xludf.DUMMYFUNCTION("""COMPUTED_VALUE"""),41339.9986111111)</f>
        <v>41339.998611111099</v>
      </c>
      <c r="D1008" s="2">
        <f ca="1">IFERROR(__xludf.DUMMYFUNCTION("""COMPUTED_VALUE"""),54.713)</f>
        <v>54.713000000000001</v>
      </c>
      <c r="E1008" s="2">
        <f ca="1">IFERROR(__xludf.DUMMYFUNCTION("""COMPUTED_VALUE"""),71.277)</f>
        <v>71.277000000000001</v>
      </c>
      <c r="F1008" s="2">
        <f ca="1">IFERROR(__xludf.DUMMYFUNCTION("""COMPUTED_VALUE"""),84.12)</f>
        <v>84.12</v>
      </c>
      <c r="G1008" s="2">
        <f ca="1">IFERROR(__xludf.DUMMYFUNCTION("""COMPUTED_VALUE"""),0.53104)</f>
        <v>0.53103999999999996</v>
      </c>
      <c r="H1008" s="2">
        <f ca="1">IFERROR(__xludf.DUMMYFUNCTION("""COMPUTED_VALUE"""),57.288)</f>
        <v>57.287999999999997</v>
      </c>
      <c r="I1008" s="2">
        <f ca="1">IFERROR(__xludf.DUMMYFUNCTION("""COMPUTED_VALUE"""),53.787)</f>
        <v>53.786999999999999</v>
      </c>
      <c r="J1008" s="2">
        <f ca="1">IFERROR(__xludf.DUMMYFUNCTION("""COMPUTED_VALUE"""),44.074)</f>
        <v>44.073999999999998</v>
      </c>
      <c r="K1008" s="2">
        <f ca="1">IFERROR(__xludf.DUMMYFUNCTION("""COMPUTED_VALUE"""),58.453)</f>
        <v>58.453000000000003</v>
      </c>
      <c r="L1008" s="2">
        <f ca="1">IFERROR(__xludf.DUMMYFUNCTION("""COMPUTED_VALUE"""),10.179)</f>
        <v>10.179</v>
      </c>
      <c r="M1008" s="2">
        <f ca="1">IFERROR(__xludf.DUMMYFUNCTION("""COMPUTED_VALUE"""),14.68)</f>
        <v>14.68</v>
      </c>
      <c r="U1008" s="3" t="e">
        <f ca="1"/>
        <v>#NAME?</v>
      </c>
    </row>
    <row r="1009" spans="3:21" ht="12.5" x14ac:dyDescent="0.25">
      <c r="C1009" s="4">
        <f ca="1">IFERROR(__xludf.DUMMYFUNCTION("""COMPUTED_VALUE"""),41340.9986111111)</f>
        <v>41340.998611111099</v>
      </c>
      <c r="D1009" s="2">
        <f ca="1">IFERROR(__xludf.DUMMYFUNCTION("""COMPUTED_VALUE"""),54.558)</f>
        <v>54.558</v>
      </c>
      <c r="E1009" s="2">
        <f ca="1">IFERROR(__xludf.DUMMYFUNCTION("""COMPUTED_VALUE"""),70.576)</f>
        <v>70.575999999999993</v>
      </c>
      <c r="F1009" s="2">
        <f ca="1">IFERROR(__xludf.DUMMYFUNCTION("""COMPUTED_VALUE"""),84.351)</f>
        <v>84.350999999999999</v>
      </c>
      <c r="G1009" s="2">
        <f ca="1">IFERROR(__xludf.DUMMYFUNCTION("""COMPUTED_VALUE"""),0.53094)</f>
        <v>0.53093999999999997</v>
      </c>
      <c r="H1009" s="2">
        <f ca="1">IFERROR(__xludf.DUMMYFUNCTION("""COMPUTED_VALUE"""),56.309)</f>
        <v>56.308999999999997</v>
      </c>
      <c r="I1009" s="2">
        <f ca="1">IFERROR(__xludf.DUMMYFUNCTION("""COMPUTED_VALUE"""),53.244)</f>
        <v>53.244</v>
      </c>
      <c r="J1009" s="2">
        <f ca="1">IFERROR(__xludf.DUMMYFUNCTION("""COMPUTED_VALUE"""),44.074)</f>
        <v>44.073999999999998</v>
      </c>
      <c r="K1009" s="2">
        <f ca="1">IFERROR(__xludf.DUMMYFUNCTION("""COMPUTED_VALUE"""),58.327)</f>
        <v>58.326999999999998</v>
      </c>
      <c r="L1009" s="2">
        <f ca="1">IFERROR(__xludf.DUMMYFUNCTION("""COMPUTED_VALUE"""),10.228)</f>
        <v>10.228</v>
      </c>
      <c r="M1009" s="2">
        <f ca="1">IFERROR(__xludf.DUMMYFUNCTION("""COMPUTED_VALUE"""),14.788)</f>
        <v>14.788</v>
      </c>
      <c r="U1009" s="3" t="e">
        <f ca="1"/>
        <v>#NAME?</v>
      </c>
    </row>
    <row r="1010" spans="3:21" ht="12.5" x14ac:dyDescent="0.25">
      <c r="C1010" s="4">
        <f ca="1">IFERROR(__xludf.DUMMYFUNCTION("""COMPUTED_VALUE"""),41341.9986111111)</f>
        <v>41341.998611111099</v>
      </c>
      <c r="D1010" s="2">
        <f ca="1">IFERROR(__xludf.DUMMYFUNCTION("""COMPUTED_VALUE"""),54.343)</f>
        <v>54.343000000000004</v>
      </c>
      <c r="E1010" s="2">
        <f ca="1">IFERROR(__xludf.DUMMYFUNCTION("""COMPUTED_VALUE"""),70.429)</f>
        <v>70.429000000000002</v>
      </c>
      <c r="F1010" s="2">
        <f ca="1">IFERROR(__xludf.DUMMYFUNCTION("""COMPUTED_VALUE"""),83.445)</f>
        <v>83.444999999999993</v>
      </c>
      <c r="G1010" s="2">
        <f ca="1">IFERROR(__xludf.DUMMYFUNCTION("""COMPUTED_VALUE"""),0.53907)</f>
        <v>0.53907000000000005</v>
      </c>
      <c r="H1010" s="2">
        <f ca="1">IFERROR(__xludf.DUMMYFUNCTION("""COMPUTED_VALUE"""),56.176)</f>
        <v>56.176000000000002</v>
      </c>
      <c r="I1010" s="2">
        <f ca="1">IFERROR(__xludf.DUMMYFUNCTION("""COMPUTED_VALUE"""),52.963)</f>
        <v>52.963000000000001</v>
      </c>
      <c r="J1010" s="2">
        <f ca="1">IFERROR(__xludf.DUMMYFUNCTION("""COMPUTED_VALUE"""),43.989)</f>
        <v>43.988999999999997</v>
      </c>
      <c r="K1010" s="2">
        <f ca="1">IFERROR(__xludf.DUMMYFUNCTION("""COMPUTED_VALUE"""),57.9)</f>
        <v>57.9</v>
      </c>
      <c r="L1010" s="2">
        <f ca="1">IFERROR(__xludf.DUMMYFUNCTION("""COMPUTED_VALUE"""),10.346)</f>
        <v>10.346</v>
      </c>
      <c r="M1010" s="2">
        <f ca="1">IFERROR(__xludf.DUMMYFUNCTION("""COMPUTED_VALUE"""),14.788)</f>
        <v>14.788</v>
      </c>
      <c r="U1010" s="3" t="e">
        <f ca="1"/>
        <v>#NAME?</v>
      </c>
    </row>
    <row r="1011" spans="3:21" ht="12.5" x14ac:dyDescent="0.25">
      <c r="C1011" s="4">
        <f ca="1">IFERROR(__xludf.DUMMYFUNCTION("""COMPUTED_VALUE"""),41342.9986111111)</f>
        <v>41342.998611111099</v>
      </c>
      <c r="D1011" s="2">
        <f ca="1">IFERROR(__xludf.DUMMYFUNCTION("""COMPUTED_VALUE"""),54.343)</f>
        <v>54.343000000000004</v>
      </c>
      <c r="E1011" s="2">
        <f ca="1">IFERROR(__xludf.DUMMYFUNCTION("""COMPUTED_VALUE"""),70.309)</f>
        <v>70.308999999999997</v>
      </c>
      <c r="F1011" s="2">
        <f ca="1">IFERROR(__xludf.DUMMYFUNCTION("""COMPUTED_VALUE"""),83.445)</f>
        <v>83.444999999999993</v>
      </c>
      <c r="G1011" s="2">
        <f ca="1">IFERROR(__xludf.DUMMYFUNCTION("""COMPUTED_VALUE"""),0.54049)</f>
        <v>0.54049000000000003</v>
      </c>
      <c r="H1011" s="2">
        <f ca="1">IFERROR(__xludf.DUMMYFUNCTION("""COMPUTED_VALUE"""),55.804)</f>
        <v>55.804000000000002</v>
      </c>
      <c r="I1011" s="2">
        <f ca="1">IFERROR(__xludf.DUMMYFUNCTION("""COMPUTED_VALUE"""),52.774)</f>
        <v>52.774000000000001</v>
      </c>
      <c r="J1011" s="2">
        <f ca="1">IFERROR(__xludf.DUMMYFUNCTION("""COMPUTED_VALUE"""),43.808)</f>
        <v>43.808</v>
      </c>
      <c r="K1011" s="2">
        <f ca="1">IFERROR(__xludf.DUMMYFUNCTION("""COMPUTED_VALUE"""),58.365)</f>
        <v>58.365000000000002</v>
      </c>
      <c r="L1011" s="2">
        <f ca="1">IFERROR(__xludf.DUMMYFUNCTION("""COMPUTED_VALUE"""),10.365)</f>
        <v>10.365</v>
      </c>
      <c r="M1011" s="2">
        <f ca="1">IFERROR(__xludf.DUMMYFUNCTION("""COMPUTED_VALUE"""),14.788)</f>
        <v>14.788</v>
      </c>
      <c r="U1011" s="3" t="e">
        <f ca="1"/>
        <v>#NAME?</v>
      </c>
    </row>
    <row r="1012" spans="3:21" ht="12.5" x14ac:dyDescent="0.25">
      <c r="C1012" s="4">
        <f ca="1">IFERROR(__xludf.DUMMYFUNCTION("""COMPUTED_VALUE"""),41344.9986111111)</f>
        <v>41344.998611111099</v>
      </c>
      <c r="D1012" s="2">
        <f ca="1">IFERROR(__xludf.DUMMYFUNCTION("""COMPUTED_VALUE"""),54.408)</f>
        <v>54.408000000000001</v>
      </c>
      <c r="E1012" s="2">
        <f ca="1">IFERROR(__xludf.DUMMYFUNCTION("""COMPUTED_VALUE"""),70.309)</f>
        <v>70.308999999999997</v>
      </c>
      <c r="F1012" s="2">
        <f ca="1">IFERROR(__xludf.DUMMYFUNCTION("""COMPUTED_VALUE"""),83.867)</f>
        <v>83.867000000000004</v>
      </c>
      <c r="G1012" s="2">
        <f ca="1">IFERROR(__xludf.DUMMYFUNCTION("""COMPUTED_VALUE"""),0.53894)</f>
        <v>0.53893999999999997</v>
      </c>
      <c r="H1012" s="2">
        <f ca="1">IFERROR(__xludf.DUMMYFUNCTION("""COMPUTED_VALUE"""),55.596)</f>
        <v>55.595999999999997</v>
      </c>
      <c r="I1012" s="2">
        <f ca="1">IFERROR(__xludf.DUMMYFUNCTION("""COMPUTED_VALUE"""),52.59)</f>
        <v>52.59</v>
      </c>
      <c r="J1012" s="2">
        <f ca="1">IFERROR(__xludf.DUMMYFUNCTION("""COMPUTED_VALUE"""),43.826)</f>
        <v>43.826000000000001</v>
      </c>
      <c r="K1012" s="2">
        <f ca="1">IFERROR(__xludf.DUMMYFUNCTION("""COMPUTED_VALUE"""),58.365)</f>
        <v>58.365000000000002</v>
      </c>
      <c r="L1012" s="2">
        <f ca="1">IFERROR(__xludf.DUMMYFUNCTION("""COMPUTED_VALUE"""),10.399)</f>
        <v>10.398999999999999</v>
      </c>
      <c r="M1012" s="2">
        <f ca="1">IFERROR(__xludf.DUMMYFUNCTION("""COMPUTED_VALUE"""),14.75)</f>
        <v>14.75</v>
      </c>
      <c r="U1012" s="3" t="e">
        <f ca="1"/>
        <v>#NAME?</v>
      </c>
    </row>
    <row r="1013" spans="3:21" ht="12.5" x14ac:dyDescent="0.25">
      <c r="C1013" s="4">
        <f ca="1">IFERROR(__xludf.DUMMYFUNCTION("""COMPUTED_VALUE"""),41345.9986111111)</f>
        <v>41345.998611111099</v>
      </c>
      <c r="D1013" s="2">
        <f ca="1">IFERROR(__xludf.DUMMYFUNCTION("""COMPUTED_VALUE"""),54.142)</f>
        <v>54.142000000000003</v>
      </c>
      <c r="E1013" s="2">
        <f ca="1">IFERROR(__xludf.DUMMYFUNCTION("""COMPUTED_VALUE"""),70.652)</f>
        <v>70.652000000000001</v>
      </c>
      <c r="F1013" s="2">
        <f ca="1">IFERROR(__xludf.DUMMYFUNCTION("""COMPUTED_VALUE"""),83.136)</f>
        <v>83.135999999999996</v>
      </c>
      <c r="G1013" s="2">
        <f ca="1">IFERROR(__xludf.DUMMYFUNCTION("""COMPUTED_VALUE"""),0.5454)</f>
        <v>0.5454</v>
      </c>
      <c r="H1013" s="2">
        <f ca="1">IFERROR(__xludf.DUMMYFUNCTION("""COMPUTED_VALUE"""),55.359)</f>
        <v>55.359000000000002</v>
      </c>
      <c r="I1013" s="2">
        <f ca="1">IFERROR(__xludf.DUMMYFUNCTION("""COMPUTED_VALUE"""),52.473)</f>
        <v>52.472999999999999</v>
      </c>
      <c r="J1013" s="2">
        <f ca="1">IFERROR(__xludf.DUMMYFUNCTION("""COMPUTED_VALUE"""),43.67)</f>
        <v>43.67</v>
      </c>
      <c r="K1013" s="2">
        <f ca="1">IFERROR(__xludf.DUMMYFUNCTION("""COMPUTED_VALUE"""),58.55)</f>
        <v>58.55</v>
      </c>
      <c r="L1013" s="2">
        <f ca="1">IFERROR(__xludf.DUMMYFUNCTION("""COMPUTED_VALUE"""),10.446)</f>
        <v>10.446</v>
      </c>
      <c r="M1013" s="2">
        <f ca="1">IFERROR(__xludf.DUMMYFUNCTION("""COMPUTED_VALUE"""),14.746)</f>
        <v>14.746</v>
      </c>
      <c r="U1013" s="3" t="e">
        <f ca="1"/>
        <v>#NAME?</v>
      </c>
    </row>
    <row r="1014" spans="3:21" ht="12.5" x14ac:dyDescent="0.25">
      <c r="C1014" s="4">
        <f ca="1">IFERROR(__xludf.DUMMYFUNCTION("""COMPUTED_VALUE"""),41346.9986111111)</f>
        <v>41346.998611111099</v>
      </c>
      <c r="D1014" s="2">
        <f ca="1">IFERROR(__xludf.DUMMYFUNCTION("""COMPUTED_VALUE"""),54.363)</f>
        <v>54.363</v>
      </c>
      <c r="E1014" s="2">
        <f ca="1">IFERROR(__xludf.DUMMYFUNCTION("""COMPUTED_VALUE"""),70.629)</f>
        <v>70.629000000000005</v>
      </c>
      <c r="F1014" s="2">
        <f ca="1">IFERROR(__xludf.DUMMYFUNCTION("""COMPUTED_VALUE"""),83.161)</f>
        <v>83.161000000000001</v>
      </c>
      <c r="G1014" s="2">
        <f ca="1">IFERROR(__xludf.DUMMYFUNCTION("""COMPUTED_VALUE"""),0.55047)</f>
        <v>0.55047000000000001</v>
      </c>
      <c r="H1014" s="2">
        <f ca="1">IFERROR(__xludf.DUMMYFUNCTION("""COMPUTED_VALUE"""),55.359)</f>
        <v>55.359000000000002</v>
      </c>
      <c r="I1014" s="2">
        <f ca="1">IFERROR(__xludf.DUMMYFUNCTION("""COMPUTED_VALUE"""),52.473)</f>
        <v>52.472999999999999</v>
      </c>
      <c r="J1014" s="2">
        <f ca="1">IFERROR(__xludf.DUMMYFUNCTION("""COMPUTED_VALUE"""),43.555)</f>
        <v>43.555</v>
      </c>
      <c r="K1014" s="2">
        <f ca="1">IFERROR(__xludf.DUMMYFUNCTION("""COMPUTED_VALUE"""),58.724)</f>
        <v>58.723999999999997</v>
      </c>
      <c r="L1014" s="2">
        <f ca="1">IFERROR(__xludf.DUMMYFUNCTION("""COMPUTED_VALUE"""),10.511)</f>
        <v>10.510999999999999</v>
      </c>
      <c r="M1014" s="2">
        <f ca="1">IFERROR(__xludf.DUMMYFUNCTION("""COMPUTED_VALUE"""),14.72)</f>
        <v>14.72</v>
      </c>
      <c r="U1014" s="3" t="e">
        <f ca="1"/>
        <v>#NAME?</v>
      </c>
    </row>
    <row r="1015" spans="3:21" ht="12.5" x14ac:dyDescent="0.25">
      <c r="C1015" s="4">
        <f ca="1">IFERROR(__xludf.DUMMYFUNCTION("""COMPUTED_VALUE"""),41347.9986111111)</f>
        <v>41347.998611111099</v>
      </c>
      <c r="D1015" s="2">
        <f ca="1">IFERROR(__xludf.DUMMYFUNCTION("""COMPUTED_VALUE"""),54.353)</f>
        <v>54.353000000000002</v>
      </c>
      <c r="E1015" s="2">
        <f ca="1">IFERROR(__xludf.DUMMYFUNCTION("""COMPUTED_VALUE"""),70.555)</f>
        <v>70.555000000000007</v>
      </c>
      <c r="F1015" s="2">
        <f ca="1">IFERROR(__xludf.DUMMYFUNCTION("""COMPUTED_VALUE"""),83.534)</f>
        <v>83.534000000000006</v>
      </c>
      <c r="G1015" s="2">
        <f ca="1">IFERROR(__xludf.DUMMYFUNCTION("""COMPUTED_VALUE"""),0.55083)</f>
        <v>0.55083000000000004</v>
      </c>
      <c r="H1015" s="2">
        <f ca="1">IFERROR(__xludf.DUMMYFUNCTION("""COMPUTED_VALUE"""),55.361)</f>
        <v>55.360999999999997</v>
      </c>
      <c r="I1015" s="2">
        <f ca="1">IFERROR(__xludf.DUMMYFUNCTION("""COMPUTED_VALUE"""),52.473)</f>
        <v>52.472999999999999</v>
      </c>
      <c r="J1015" s="2">
        <f ca="1">IFERROR(__xludf.DUMMYFUNCTION("""COMPUTED_VALUE"""),43.555)</f>
        <v>43.555</v>
      </c>
      <c r="K1015" s="2">
        <f ca="1">IFERROR(__xludf.DUMMYFUNCTION("""COMPUTED_VALUE"""),58.588)</f>
        <v>58.588000000000001</v>
      </c>
      <c r="L1015" s="2">
        <f ca="1">IFERROR(__xludf.DUMMYFUNCTION("""COMPUTED_VALUE"""),10.493)</f>
        <v>10.493</v>
      </c>
      <c r="M1015" s="2">
        <f ca="1">IFERROR(__xludf.DUMMYFUNCTION("""COMPUTED_VALUE"""),14.829)</f>
        <v>14.829000000000001</v>
      </c>
      <c r="U1015" s="3" t="e">
        <f ca="1"/>
        <v>#NAME?</v>
      </c>
    </row>
    <row r="1016" spans="3:21" ht="12.5" x14ac:dyDescent="0.25">
      <c r="C1016" s="4">
        <f ca="1">IFERROR(__xludf.DUMMYFUNCTION("""COMPUTED_VALUE"""),41348.9986111111)</f>
        <v>41348.998611111099</v>
      </c>
      <c r="D1016" s="2">
        <f ca="1">IFERROR(__xludf.DUMMYFUNCTION("""COMPUTED_VALUE"""),54.023)</f>
        <v>54.023000000000003</v>
      </c>
      <c r="E1016" s="2">
        <f ca="1">IFERROR(__xludf.DUMMYFUNCTION("""COMPUTED_VALUE"""),70.459)</f>
        <v>70.459000000000003</v>
      </c>
      <c r="F1016" s="2">
        <f ca="1">IFERROR(__xludf.DUMMYFUNCTION("""COMPUTED_VALUE"""),84.612)</f>
        <v>84.611999999999995</v>
      </c>
      <c r="G1016" s="2">
        <f ca="1">IFERROR(__xludf.DUMMYFUNCTION("""COMPUTED_VALUE"""),0.54883)</f>
        <v>0.54883000000000004</v>
      </c>
      <c r="H1016" s="2">
        <f ca="1">IFERROR(__xludf.DUMMYFUNCTION("""COMPUTED_VALUE"""),55.543)</f>
        <v>55.542999999999999</v>
      </c>
      <c r="I1016" s="2">
        <f ca="1">IFERROR(__xludf.DUMMYFUNCTION("""COMPUTED_VALUE"""),52.717)</f>
        <v>52.716999999999999</v>
      </c>
      <c r="J1016" s="2">
        <f ca="1">IFERROR(__xludf.DUMMYFUNCTION("""COMPUTED_VALUE"""),43.555)</f>
        <v>43.555</v>
      </c>
      <c r="K1016" s="2">
        <f ca="1">IFERROR(__xludf.DUMMYFUNCTION("""COMPUTED_VALUE"""),58.412)</f>
        <v>58.411999999999999</v>
      </c>
      <c r="L1016" s="2">
        <f ca="1">IFERROR(__xludf.DUMMYFUNCTION("""COMPUTED_VALUE"""),10.474)</f>
        <v>10.474</v>
      </c>
      <c r="M1016" s="2">
        <f ca="1">IFERROR(__xludf.DUMMYFUNCTION("""COMPUTED_VALUE"""),14.776)</f>
        <v>14.776</v>
      </c>
      <c r="U1016" s="3" t="e">
        <f ca="1"/>
        <v>#NAME?</v>
      </c>
    </row>
    <row r="1017" spans="3:21" ht="12.5" x14ac:dyDescent="0.25">
      <c r="C1017" s="4">
        <f ca="1">IFERROR(__xludf.DUMMYFUNCTION("""COMPUTED_VALUE"""),41349.9986111111)</f>
        <v>41349.998611111099</v>
      </c>
      <c r="D1017" s="2">
        <f ca="1">IFERROR(__xludf.DUMMYFUNCTION("""COMPUTED_VALUE"""),54.023)</f>
        <v>54.023000000000003</v>
      </c>
      <c r="E1017" s="2">
        <f ca="1">IFERROR(__xludf.DUMMYFUNCTION("""COMPUTED_VALUE"""),70.85)</f>
        <v>70.849999999999994</v>
      </c>
      <c r="F1017" s="2">
        <f ca="1">IFERROR(__xludf.DUMMYFUNCTION("""COMPUTED_VALUE"""),84.612)</f>
        <v>84.611999999999995</v>
      </c>
      <c r="G1017" s="2">
        <f ca="1">IFERROR(__xludf.DUMMYFUNCTION("""COMPUTED_VALUE"""),0.54799)</f>
        <v>0.54798999999999998</v>
      </c>
      <c r="H1017" s="2">
        <f ca="1">IFERROR(__xludf.DUMMYFUNCTION("""COMPUTED_VALUE"""),55.781)</f>
        <v>55.780999999999999</v>
      </c>
      <c r="I1017" s="2">
        <f ca="1">IFERROR(__xludf.DUMMYFUNCTION("""COMPUTED_VALUE"""),52.929)</f>
        <v>52.929000000000002</v>
      </c>
      <c r="J1017" s="2">
        <f ca="1">IFERROR(__xludf.DUMMYFUNCTION("""COMPUTED_VALUE"""),43.612)</f>
        <v>43.612000000000002</v>
      </c>
      <c r="K1017" s="2">
        <f ca="1">IFERROR(__xludf.DUMMYFUNCTION("""COMPUTED_VALUE"""),58.936)</f>
        <v>58.936</v>
      </c>
      <c r="L1017" s="2">
        <f ca="1">IFERROR(__xludf.DUMMYFUNCTION("""COMPUTED_VALUE"""),10.5)</f>
        <v>10.5</v>
      </c>
      <c r="M1017" s="2">
        <f ca="1">IFERROR(__xludf.DUMMYFUNCTION("""COMPUTED_VALUE"""),14.776)</f>
        <v>14.776</v>
      </c>
      <c r="U1017" s="3" t="e">
        <f ca="1"/>
        <v>#NAME?</v>
      </c>
    </row>
    <row r="1018" spans="3:21" ht="12.5" x14ac:dyDescent="0.25">
      <c r="C1018" s="4">
        <f ca="1">IFERROR(__xludf.DUMMYFUNCTION("""COMPUTED_VALUE"""),41351.9986111111)</f>
        <v>41351.998611111099</v>
      </c>
      <c r="D1018" s="2">
        <f ca="1">IFERROR(__xludf.DUMMYFUNCTION("""COMPUTED_VALUE"""),54.073)</f>
        <v>54.073</v>
      </c>
      <c r="E1018" s="2">
        <f ca="1">IFERROR(__xludf.DUMMYFUNCTION("""COMPUTED_VALUE"""),70.851)</f>
        <v>70.850999999999999</v>
      </c>
      <c r="F1018" s="2">
        <f ca="1">IFERROR(__xludf.DUMMYFUNCTION("""COMPUTED_VALUE"""),84.612)</f>
        <v>84.611999999999995</v>
      </c>
      <c r="G1018" s="2">
        <f ca="1">IFERROR(__xludf.DUMMYFUNCTION("""COMPUTED_VALUE"""),0.55613)</f>
        <v>0.55613000000000001</v>
      </c>
      <c r="H1018" s="2">
        <f ca="1">IFERROR(__xludf.DUMMYFUNCTION("""COMPUTED_VALUE"""),55.7)</f>
        <v>55.7</v>
      </c>
      <c r="I1018" s="2">
        <f ca="1">IFERROR(__xludf.DUMMYFUNCTION("""COMPUTED_VALUE"""),52.867)</f>
        <v>52.866999999999997</v>
      </c>
      <c r="J1018" s="2">
        <f ca="1">IFERROR(__xludf.DUMMYFUNCTION("""COMPUTED_VALUE"""),43.791)</f>
        <v>43.790999999999997</v>
      </c>
      <c r="K1018" s="2">
        <f ca="1">IFERROR(__xludf.DUMMYFUNCTION("""COMPUTED_VALUE"""),58.934)</f>
        <v>58.933999999999997</v>
      </c>
      <c r="L1018" s="2">
        <f ca="1">IFERROR(__xludf.DUMMYFUNCTION("""COMPUTED_VALUE"""),10.462)</f>
        <v>10.462</v>
      </c>
      <c r="M1018" s="2">
        <f ca="1">IFERROR(__xludf.DUMMYFUNCTION("""COMPUTED_VALUE"""),14.776)</f>
        <v>14.776</v>
      </c>
      <c r="U1018" s="3" t="e">
        <f ca="1"/>
        <v>#NAME?</v>
      </c>
    </row>
    <row r="1019" spans="3:21" ht="12.5" x14ac:dyDescent="0.25">
      <c r="C1019" s="4">
        <f ca="1">IFERROR(__xludf.DUMMYFUNCTION("""COMPUTED_VALUE"""),41352.9986111111)</f>
        <v>41352.998611111099</v>
      </c>
      <c r="D1019" s="2">
        <f ca="1">IFERROR(__xludf.DUMMYFUNCTION("""COMPUTED_VALUE"""),54.368)</f>
        <v>54.368000000000002</v>
      </c>
      <c r="E1019" s="2">
        <f ca="1">IFERROR(__xludf.DUMMYFUNCTION("""COMPUTED_VALUE"""),70.851)</f>
        <v>70.850999999999999</v>
      </c>
      <c r="F1019" s="2">
        <f ca="1">IFERROR(__xludf.DUMMYFUNCTION("""COMPUTED_VALUE"""),84.37)</f>
        <v>84.37</v>
      </c>
      <c r="G1019" s="2">
        <f ca="1">IFERROR(__xludf.DUMMYFUNCTION("""COMPUTED_VALUE"""),0.55783)</f>
        <v>0.55783000000000005</v>
      </c>
      <c r="H1019" s="2">
        <f ca="1">IFERROR(__xludf.DUMMYFUNCTION("""COMPUTED_VALUE"""),55.775)</f>
        <v>55.774999999999999</v>
      </c>
      <c r="I1019" s="2">
        <f ca="1">IFERROR(__xludf.DUMMYFUNCTION("""COMPUTED_VALUE"""),53.1)</f>
        <v>53.1</v>
      </c>
      <c r="J1019" s="2">
        <f ca="1">IFERROR(__xludf.DUMMYFUNCTION("""COMPUTED_VALUE"""),43.625)</f>
        <v>43.625</v>
      </c>
      <c r="K1019" s="2">
        <f ca="1">IFERROR(__xludf.DUMMYFUNCTION("""COMPUTED_VALUE"""),58.643)</f>
        <v>58.643000000000001</v>
      </c>
      <c r="L1019" s="2">
        <f ca="1">IFERROR(__xludf.DUMMYFUNCTION("""COMPUTED_VALUE"""),10.454)</f>
        <v>10.454000000000001</v>
      </c>
      <c r="M1019" s="2">
        <f ca="1">IFERROR(__xludf.DUMMYFUNCTION("""COMPUTED_VALUE"""),14.664)</f>
        <v>14.664</v>
      </c>
      <c r="U1019" s="3" t="e">
        <f ca="1"/>
        <v>#NAME?</v>
      </c>
    </row>
    <row r="1020" spans="3:21" ht="12.5" x14ac:dyDescent="0.25">
      <c r="C1020" s="4">
        <f ca="1">IFERROR(__xludf.DUMMYFUNCTION("""COMPUTED_VALUE"""),41353.9986111111)</f>
        <v>41353.998611111099</v>
      </c>
      <c r="D1020" s="2">
        <f ca="1">IFERROR(__xludf.DUMMYFUNCTION("""COMPUTED_VALUE"""),54.35)</f>
        <v>54.35</v>
      </c>
      <c r="E1020" s="2">
        <f ca="1">IFERROR(__xludf.DUMMYFUNCTION("""COMPUTED_VALUE"""),70.954)</f>
        <v>70.953999999999994</v>
      </c>
      <c r="F1020" s="2">
        <f ca="1">IFERROR(__xludf.DUMMYFUNCTION("""COMPUTED_VALUE"""),84.338)</f>
        <v>84.337999999999994</v>
      </c>
      <c r="G1020" s="2">
        <f ca="1">IFERROR(__xludf.DUMMYFUNCTION("""COMPUTED_VALUE"""),0.56243)</f>
        <v>0.56242999999999999</v>
      </c>
      <c r="H1020" s="2">
        <f ca="1">IFERROR(__xludf.DUMMYFUNCTION("""COMPUTED_VALUE"""),55.894)</f>
        <v>55.893999999999998</v>
      </c>
      <c r="I1020" s="2">
        <f ca="1">IFERROR(__xludf.DUMMYFUNCTION("""COMPUTED_VALUE"""),53.423)</f>
        <v>53.423000000000002</v>
      </c>
      <c r="J1020" s="2">
        <f ca="1">IFERROR(__xludf.DUMMYFUNCTION("""COMPUTED_VALUE"""),43.721)</f>
        <v>43.720999999999997</v>
      </c>
      <c r="K1020" s="2">
        <f ca="1">IFERROR(__xludf.DUMMYFUNCTION("""COMPUTED_VALUE"""),58.659)</f>
        <v>58.658999999999999</v>
      </c>
      <c r="L1020" s="2">
        <f ca="1">IFERROR(__xludf.DUMMYFUNCTION("""COMPUTED_VALUE"""),10.468)</f>
        <v>10.468</v>
      </c>
      <c r="M1020" s="2">
        <f ca="1">IFERROR(__xludf.DUMMYFUNCTION("""COMPUTED_VALUE"""),14.726)</f>
        <v>14.726000000000001</v>
      </c>
      <c r="U1020" s="3" t="e">
        <f ca="1"/>
        <v>#NAME?</v>
      </c>
    </row>
    <row r="1021" spans="3:21" ht="12.5" x14ac:dyDescent="0.25">
      <c r="C1021" s="4">
        <f ca="1">IFERROR(__xludf.DUMMYFUNCTION("""COMPUTED_VALUE"""),41354.9986111111)</f>
        <v>41354.998611111099</v>
      </c>
      <c r="D1021" s="2">
        <f ca="1">IFERROR(__xludf.DUMMYFUNCTION("""COMPUTED_VALUE"""),54.278)</f>
        <v>54.277999999999999</v>
      </c>
      <c r="E1021" s="2">
        <f ca="1">IFERROR(__xludf.DUMMYFUNCTION("""COMPUTED_VALUE"""),70.768)</f>
        <v>70.768000000000001</v>
      </c>
      <c r="F1021" s="2">
        <f ca="1">IFERROR(__xludf.DUMMYFUNCTION("""COMPUTED_VALUE"""),83.51)</f>
        <v>83.51</v>
      </c>
      <c r="G1021" s="2">
        <f ca="1">IFERROR(__xludf.DUMMYFUNCTION("""COMPUTED_VALUE"""),0.56226)</f>
        <v>0.56225999999999998</v>
      </c>
      <c r="H1021" s="2">
        <f ca="1">IFERROR(__xludf.DUMMYFUNCTION("""COMPUTED_VALUE"""),55.898)</f>
        <v>55.898000000000003</v>
      </c>
      <c r="I1021" s="2">
        <f ca="1">IFERROR(__xludf.DUMMYFUNCTION("""COMPUTED_VALUE"""),53.42)</f>
        <v>53.42</v>
      </c>
      <c r="J1021" s="2">
        <f ca="1">IFERROR(__xludf.DUMMYFUNCTION("""COMPUTED_VALUE"""),43.966)</f>
        <v>43.966000000000001</v>
      </c>
      <c r="K1021" s="2">
        <f ca="1">IFERROR(__xludf.DUMMYFUNCTION("""COMPUTED_VALUE"""),58.207)</f>
        <v>58.207000000000001</v>
      </c>
      <c r="L1021" s="2">
        <f ca="1">IFERROR(__xludf.DUMMYFUNCTION("""COMPUTED_VALUE"""),10.449)</f>
        <v>10.449</v>
      </c>
      <c r="M1021" s="2">
        <f ca="1">IFERROR(__xludf.DUMMYFUNCTION("""COMPUTED_VALUE"""),14.663)</f>
        <v>14.663</v>
      </c>
      <c r="U1021" s="3" t="e">
        <f ca="1"/>
        <v>#NAME?</v>
      </c>
    </row>
    <row r="1022" spans="3:21" ht="12.5" x14ac:dyDescent="0.25">
      <c r="C1022" s="4">
        <f ca="1">IFERROR(__xludf.DUMMYFUNCTION("""COMPUTED_VALUE"""),41355.9986111111)</f>
        <v>41355.998611111099</v>
      </c>
      <c r="D1022" s="2">
        <f ca="1">IFERROR(__xludf.DUMMYFUNCTION("""COMPUTED_VALUE"""),54.343)</f>
        <v>54.343000000000004</v>
      </c>
      <c r="E1022" s="2">
        <f ca="1">IFERROR(__xludf.DUMMYFUNCTION("""COMPUTED_VALUE"""),70.637)</f>
        <v>70.637</v>
      </c>
      <c r="F1022" s="2">
        <f ca="1">IFERROR(__xludf.DUMMYFUNCTION("""COMPUTED_VALUE"""),83.452)</f>
        <v>83.451999999999998</v>
      </c>
      <c r="G1022" s="2">
        <f ca="1">IFERROR(__xludf.DUMMYFUNCTION("""COMPUTED_VALUE"""),0.55419)</f>
        <v>0.55418999999999996</v>
      </c>
      <c r="H1022" s="2">
        <f ca="1">IFERROR(__xludf.DUMMYFUNCTION("""COMPUTED_VALUE"""),55.898)</f>
        <v>55.898000000000003</v>
      </c>
      <c r="I1022" s="2">
        <f ca="1">IFERROR(__xludf.DUMMYFUNCTION("""COMPUTED_VALUE"""),53.438)</f>
        <v>53.438000000000002</v>
      </c>
      <c r="J1022" s="2">
        <f ca="1">IFERROR(__xludf.DUMMYFUNCTION("""COMPUTED_VALUE"""),43.968)</f>
        <v>43.968000000000004</v>
      </c>
      <c r="K1022" s="2">
        <f ca="1">IFERROR(__xludf.DUMMYFUNCTION("""COMPUTED_VALUE"""),58.454)</f>
        <v>58.454000000000001</v>
      </c>
      <c r="L1022" s="2">
        <f ca="1">IFERROR(__xludf.DUMMYFUNCTION("""COMPUTED_VALUE"""),10.5)</f>
        <v>10.5</v>
      </c>
      <c r="M1022" s="2">
        <f ca="1">IFERROR(__xludf.DUMMYFUNCTION("""COMPUTED_VALUE"""),14.801)</f>
        <v>14.801</v>
      </c>
      <c r="U1022" s="3" t="e">
        <f ca="1"/>
        <v>#NAME?</v>
      </c>
    </row>
    <row r="1023" spans="3:21" ht="12.5" x14ac:dyDescent="0.25">
      <c r="C1023" s="4">
        <f ca="1">IFERROR(__xludf.DUMMYFUNCTION("""COMPUTED_VALUE"""),41356.9986111111)</f>
        <v>41356.998611111099</v>
      </c>
      <c r="D1023" s="2">
        <f ca="1">IFERROR(__xludf.DUMMYFUNCTION("""COMPUTED_VALUE"""),54.343)</f>
        <v>54.343000000000004</v>
      </c>
      <c r="E1023" s="2">
        <f ca="1">IFERROR(__xludf.DUMMYFUNCTION("""COMPUTED_VALUE"""),70.219)</f>
        <v>70.218999999999994</v>
      </c>
      <c r="F1023" s="2">
        <f ca="1">IFERROR(__xludf.DUMMYFUNCTION("""COMPUTED_VALUE"""),84.216)</f>
        <v>84.215999999999994</v>
      </c>
      <c r="G1023" s="2">
        <f ca="1">IFERROR(__xludf.DUMMYFUNCTION("""COMPUTED_VALUE"""),0.56896)</f>
        <v>0.56896000000000002</v>
      </c>
      <c r="H1023" s="2">
        <f ca="1">IFERROR(__xludf.DUMMYFUNCTION("""COMPUTED_VALUE"""),56.059)</f>
        <v>56.058999999999997</v>
      </c>
      <c r="I1023" s="2">
        <f ca="1">IFERROR(__xludf.DUMMYFUNCTION("""COMPUTED_VALUE"""),53.544)</f>
        <v>53.543999999999997</v>
      </c>
      <c r="J1023" s="2">
        <f ca="1">IFERROR(__xludf.DUMMYFUNCTION("""COMPUTED_VALUE"""),43.968)</f>
        <v>43.968000000000004</v>
      </c>
      <c r="K1023" s="2">
        <f ca="1">IFERROR(__xludf.DUMMYFUNCTION("""COMPUTED_VALUE"""),58.39)</f>
        <v>58.39</v>
      </c>
      <c r="L1023" s="2">
        <f ca="1">IFERROR(__xludf.DUMMYFUNCTION("""COMPUTED_VALUE"""),10.326)</f>
        <v>10.326000000000001</v>
      </c>
      <c r="M1023" s="2">
        <f ca="1">IFERROR(__xludf.DUMMYFUNCTION("""COMPUTED_VALUE"""),14.946)</f>
        <v>14.946</v>
      </c>
      <c r="U1023" s="3" t="e">
        <f ca="1"/>
        <v>#NAME?</v>
      </c>
    </row>
    <row r="1024" spans="3:21" ht="12.5" x14ac:dyDescent="0.25">
      <c r="C1024" s="4">
        <f ca="1">IFERROR(__xludf.DUMMYFUNCTION("""COMPUTED_VALUE"""),41358.9986111111)</f>
        <v>41358.998611111099</v>
      </c>
      <c r="D1024" s="2">
        <f ca="1">IFERROR(__xludf.DUMMYFUNCTION("""COMPUTED_VALUE"""),54.168)</f>
        <v>54.167999999999999</v>
      </c>
      <c r="E1024" s="2">
        <f ca="1">IFERROR(__xludf.DUMMYFUNCTION("""COMPUTED_VALUE"""),70.505)</f>
        <v>70.504999999999995</v>
      </c>
      <c r="F1024" s="2">
        <f ca="1">IFERROR(__xludf.DUMMYFUNCTION("""COMPUTED_VALUE"""),84.285)</f>
        <v>84.284999999999997</v>
      </c>
      <c r="G1024" s="2">
        <f ca="1">IFERROR(__xludf.DUMMYFUNCTION("""COMPUTED_VALUE"""),0.56276)</f>
        <v>0.56276000000000004</v>
      </c>
      <c r="H1024" s="2">
        <f ca="1">IFERROR(__xludf.DUMMYFUNCTION("""COMPUTED_VALUE"""),55.755)</f>
        <v>55.755000000000003</v>
      </c>
      <c r="I1024" s="2">
        <f ca="1">IFERROR(__xludf.DUMMYFUNCTION("""COMPUTED_VALUE"""),53.355)</f>
        <v>53.354999999999997</v>
      </c>
      <c r="J1024" s="2">
        <f ca="1">IFERROR(__xludf.DUMMYFUNCTION("""COMPUTED_VALUE"""),43.906)</f>
        <v>43.905999999999999</v>
      </c>
      <c r="K1024" s="2">
        <f ca="1">IFERROR(__xludf.DUMMYFUNCTION("""COMPUTED_VALUE"""),58.392)</f>
        <v>58.392000000000003</v>
      </c>
      <c r="L1024" s="2">
        <f ca="1">IFERROR(__xludf.DUMMYFUNCTION("""COMPUTED_VALUE"""),10.534)</f>
        <v>10.534000000000001</v>
      </c>
      <c r="M1024" s="2">
        <f ca="1">IFERROR(__xludf.DUMMYFUNCTION("""COMPUTED_VALUE"""),14.946)</f>
        <v>14.946</v>
      </c>
      <c r="U1024" s="3" t="e">
        <f ca="1"/>
        <v>#NAME?</v>
      </c>
    </row>
    <row r="1025" spans="3:21" ht="12.5" x14ac:dyDescent="0.25">
      <c r="C1025" s="4">
        <f ca="1">IFERROR(__xludf.DUMMYFUNCTION("""COMPUTED_VALUE"""),41359.9986111111)</f>
        <v>41359.998611111099</v>
      </c>
      <c r="D1025" s="2">
        <f ca="1">IFERROR(__xludf.DUMMYFUNCTION("""COMPUTED_VALUE"""),54.363)</f>
        <v>54.363</v>
      </c>
      <c r="E1025" s="2">
        <f ca="1">IFERROR(__xludf.DUMMYFUNCTION("""COMPUTED_VALUE"""),70.505)</f>
        <v>70.504999999999995</v>
      </c>
      <c r="F1025" s="2">
        <f ca="1">IFERROR(__xludf.DUMMYFUNCTION("""COMPUTED_VALUE"""),83.784)</f>
        <v>83.784000000000006</v>
      </c>
      <c r="G1025" s="2">
        <f ca="1">IFERROR(__xludf.DUMMYFUNCTION("""COMPUTED_VALUE"""),0.57155)</f>
        <v>0.57155</v>
      </c>
      <c r="H1025" s="2">
        <f ca="1">IFERROR(__xludf.DUMMYFUNCTION("""COMPUTED_VALUE"""),55.111)</f>
        <v>55.110999999999997</v>
      </c>
      <c r="I1025" s="2">
        <f ca="1">IFERROR(__xludf.DUMMYFUNCTION("""COMPUTED_VALUE"""),53.195)</f>
        <v>53.195</v>
      </c>
      <c r="J1025" s="2">
        <f ca="1">IFERROR(__xludf.DUMMYFUNCTION("""COMPUTED_VALUE"""),43.631)</f>
        <v>43.631</v>
      </c>
      <c r="K1025" s="2">
        <f ca="1">IFERROR(__xludf.DUMMYFUNCTION("""COMPUTED_VALUE"""),57.718)</f>
        <v>57.718000000000004</v>
      </c>
      <c r="L1025" s="2">
        <f ca="1">IFERROR(__xludf.DUMMYFUNCTION("""COMPUTED_VALUE"""),10.599)</f>
        <v>10.599</v>
      </c>
      <c r="M1025" s="2">
        <f ca="1">IFERROR(__xludf.DUMMYFUNCTION("""COMPUTED_VALUE"""),14.946)</f>
        <v>14.946</v>
      </c>
      <c r="U1025" s="3" t="e">
        <f ca="1"/>
        <v>#NAME?</v>
      </c>
    </row>
    <row r="1026" spans="3:21" ht="12.5" x14ac:dyDescent="0.25">
      <c r="C1026" s="4">
        <f ca="1">IFERROR(__xludf.DUMMYFUNCTION("""COMPUTED_VALUE"""),41360.9986111111)</f>
        <v>41360.998611111099</v>
      </c>
      <c r="D1026" s="2">
        <f ca="1">IFERROR(__xludf.DUMMYFUNCTION("""COMPUTED_VALUE"""),54.388)</f>
        <v>54.387999999999998</v>
      </c>
      <c r="E1026" s="2">
        <f ca="1">IFERROR(__xludf.DUMMYFUNCTION("""COMPUTED_VALUE"""),70.519)</f>
        <v>70.519000000000005</v>
      </c>
      <c r="F1026" s="2">
        <f ca="1">IFERROR(__xludf.DUMMYFUNCTION("""COMPUTED_VALUE"""),83.471)</f>
        <v>83.471000000000004</v>
      </c>
      <c r="G1026" s="2">
        <f ca="1">IFERROR(__xludf.DUMMYFUNCTION("""COMPUTED_VALUE"""),0.58391)</f>
        <v>0.58391000000000004</v>
      </c>
      <c r="H1026" s="2">
        <f ca="1">IFERROR(__xludf.DUMMYFUNCTION("""COMPUTED_VALUE"""),55.141)</f>
        <v>55.140999999999998</v>
      </c>
      <c r="I1026" s="2">
        <f ca="1">IFERROR(__xludf.DUMMYFUNCTION("""COMPUTED_VALUE"""),53.196)</f>
        <v>53.195999999999998</v>
      </c>
      <c r="J1026" s="2">
        <f ca="1">IFERROR(__xludf.DUMMYFUNCTION("""COMPUTED_VALUE"""),43.47)</f>
        <v>43.47</v>
      </c>
      <c r="K1026" s="2">
        <f ca="1">IFERROR(__xludf.DUMMYFUNCTION("""COMPUTED_VALUE"""),57.991)</f>
        <v>57.991</v>
      </c>
      <c r="L1026" s="2">
        <f ca="1">IFERROR(__xludf.DUMMYFUNCTION("""COMPUTED_VALUE"""),10.595)</f>
        <v>10.595000000000001</v>
      </c>
      <c r="M1026" s="2">
        <f ca="1">IFERROR(__xludf.DUMMYFUNCTION("""COMPUTED_VALUE"""),14.935)</f>
        <v>14.935</v>
      </c>
      <c r="U1026" s="3" t="e">
        <f ca="1"/>
        <v>#NAME?</v>
      </c>
    </row>
    <row r="1027" spans="3:21" ht="12.5" x14ac:dyDescent="0.25">
      <c r="C1027" s="4">
        <f ca="1">IFERROR(__xludf.DUMMYFUNCTION("""COMPUTED_VALUE"""),41361.9986111111)</f>
        <v>41361.998611111099</v>
      </c>
      <c r="D1027" s="2">
        <f ca="1">IFERROR(__xludf.DUMMYFUNCTION("""COMPUTED_VALUE"""),54.278)</f>
        <v>54.277999999999999</v>
      </c>
      <c r="E1027" s="2">
        <f ca="1">IFERROR(__xludf.DUMMYFUNCTION("""COMPUTED_VALUE"""),70.744)</f>
        <v>70.744</v>
      </c>
      <c r="F1027" s="2">
        <f ca="1">IFERROR(__xludf.DUMMYFUNCTION("""COMPUTED_VALUE"""),82.242)</f>
        <v>82.242000000000004</v>
      </c>
      <c r="G1027" s="2">
        <f ca="1">IFERROR(__xludf.DUMMYFUNCTION("""COMPUTED_VALUE"""),0.58434)</f>
        <v>0.58433999999999997</v>
      </c>
      <c r="H1027" s="2">
        <f ca="1">IFERROR(__xludf.DUMMYFUNCTION("""COMPUTED_VALUE"""),55.471)</f>
        <v>55.470999999999997</v>
      </c>
      <c r="I1027" s="2">
        <f ca="1">IFERROR(__xludf.DUMMYFUNCTION("""COMPUTED_VALUE"""),53.34)</f>
        <v>53.34</v>
      </c>
      <c r="J1027" s="2">
        <f ca="1">IFERROR(__xludf.DUMMYFUNCTION("""COMPUTED_VALUE"""),43.521)</f>
        <v>43.521000000000001</v>
      </c>
      <c r="K1027" s="2">
        <f ca="1">IFERROR(__xludf.DUMMYFUNCTION("""COMPUTED_VALUE"""),57.943)</f>
        <v>57.942999999999998</v>
      </c>
      <c r="L1027" s="2">
        <f ca="1">IFERROR(__xludf.DUMMYFUNCTION("""COMPUTED_VALUE"""),10.579)</f>
        <v>10.579000000000001</v>
      </c>
      <c r="M1027" s="2">
        <f ca="1">IFERROR(__xludf.DUMMYFUNCTION("""COMPUTED_VALUE"""),14.952)</f>
        <v>14.952</v>
      </c>
      <c r="U1027" s="3" t="e">
        <f ca="1"/>
        <v>#NAME?</v>
      </c>
    </row>
    <row r="1028" spans="3:21" ht="12.5" x14ac:dyDescent="0.25">
      <c r="C1028" s="4">
        <f ca="1">IFERROR(__xludf.DUMMYFUNCTION("""COMPUTED_VALUE"""),41362.9986111111)</f>
        <v>41362.998611111099</v>
      </c>
      <c r="D1028" s="2">
        <f ca="1">IFERROR(__xludf.DUMMYFUNCTION("""COMPUTED_VALUE"""),54.278)</f>
        <v>54.277999999999999</v>
      </c>
      <c r="E1028" s="2">
        <f ca="1">IFERROR(__xludf.DUMMYFUNCTION("""COMPUTED_VALUE"""),70.709)</f>
        <v>70.709000000000003</v>
      </c>
      <c r="F1028" s="2">
        <f ca="1">IFERROR(__xludf.DUMMYFUNCTION("""COMPUTED_VALUE"""),83.036)</f>
        <v>83.036000000000001</v>
      </c>
      <c r="G1028" s="2">
        <f ca="1">IFERROR(__xludf.DUMMYFUNCTION("""COMPUTED_VALUE"""),0.57853)</f>
        <v>0.57852999999999999</v>
      </c>
      <c r="H1028" s="2">
        <f ca="1">IFERROR(__xludf.DUMMYFUNCTION("""COMPUTED_VALUE"""),55.471)</f>
        <v>55.470999999999997</v>
      </c>
      <c r="I1028" s="2">
        <f ca="1">IFERROR(__xludf.DUMMYFUNCTION("""COMPUTED_VALUE"""),53.34)</f>
        <v>53.34</v>
      </c>
      <c r="J1028" s="2">
        <f ca="1">IFERROR(__xludf.DUMMYFUNCTION("""COMPUTED_VALUE"""),43.558)</f>
        <v>43.558</v>
      </c>
      <c r="K1028" s="2">
        <f ca="1">IFERROR(__xludf.DUMMYFUNCTION("""COMPUTED_VALUE"""),57.964)</f>
        <v>57.963999999999999</v>
      </c>
      <c r="L1028" s="2">
        <f ca="1">IFERROR(__xludf.DUMMYFUNCTION("""COMPUTED_VALUE"""),10.583)</f>
        <v>10.583</v>
      </c>
      <c r="M1028" s="2">
        <f ca="1">IFERROR(__xludf.DUMMYFUNCTION("""COMPUTED_VALUE"""),14.896)</f>
        <v>14.896000000000001</v>
      </c>
      <c r="U1028" s="3" t="e">
        <f ca="1"/>
        <v>#NAME?</v>
      </c>
    </row>
    <row r="1029" spans="3:21" ht="12.5" x14ac:dyDescent="0.25">
      <c r="C1029" s="4">
        <f ca="1">IFERROR(__xludf.DUMMYFUNCTION("""COMPUTED_VALUE"""),41363.9986111111)</f>
        <v>41363.998611111099</v>
      </c>
      <c r="D1029" s="2">
        <f ca="1">IFERROR(__xludf.DUMMYFUNCTION("""COMPUTED_VALUE"""),54.278)</f>
        <v>54.277999999999999</v>
      </c>
      <c r="E1029" s="2">
        <f ca="1">IFERROR(__xludf.DUMMYFUNCTION("""COMPUTED_VALUE"""),71.264)</f>
        <v>71.263999999999996</v>
      </c>
      <c r="F1029" s="2">
        <f ca="1">IFERROR(__xludf.DUMMYFUNCTION("""COMPUTED_VALUE"""),82.21)</f>
        <v>82.21</v>
      </c>
      <c r="G1029" s="2">
        <f ca="1">IFERROR(__xludf.DUMMYFUNCTION("""COMPUTED_VALUE"""),0.58494)</f>
        <v>0.58494000000000002</v>
      </c>
      <c r="H1029" s="2">
        <f ca="1">IFERROR(__xludf.DUMMYFUNCTION("""COMPUTED_VALUE"""),55.391)</f>
        <v>55.390999999999998</v>
      </c>
      <c r="I1029" s="2">
        <f ca="1">IFERROR(__xludf.DUMMYFUNCTION("""COMPUTED_VALUE"""),53.353)</f>
        <v>53.353000000000002</v>
      </c>
      <c r="J1029" s="2">
        <f ca="1">IFERROR(__xludf.DUMMYFUNCTION("""COMPUTED_VALUE"""),43.559)</f>
        <v>43.558999999999997</v>
      </c>
      <c r="K1029" s="2">
        <f ca="1">IFERROR(__xludf.DUMMYFUNCTION("""COMPUTED_VALUE"""),58.186)</f>
        <v>58.186</v>
      </c>
      <c r="L1029" s="2">
        <f ca="1">IFERROR(__xludf.DUMMYFUNCTION("""COMPUTED_VALUE"""),10.622)</f>
        <v>10.622</v>
      </c>
      <c r="M1029" s="2">
        <f ca="1">IFERROR(__xludf.DUMMYFUNCTION("""COMPUTED_VALUE"""),14.854)</f>
        <v>14.853999999999999</v>
      </c>
      <c r="U1029" s="3" t="e">
        <f ca="1"/>
        <v>#NAME?</v>
      </c>
    </row>
    <row r="1030" spans="3:21" ht="12.5" x14ac:dyDescent="0.25">
      <c r="C1030" s="4">
        <f ca="1">IFERROR(__xludf.DUMMYFUNCTION("""COMPUTED_VALUE"""),41365.9986111111)</f>
        <v>41365.998611111099</v>
      </c>
      <c r="D1030" s="2">
        <f ca="1">IFERROR(__xludf.DUMMYFUNCTION("""COMPUTED_VALUE"""),54.25)</f>
        <v>54.25</v>
      </c>
      <c r="E1030" s="2">
        <f ca="1">IFERROR(__xludf.DUMMYFUNCTION("""COMPUTED_VALUE"""),70.655)</f>
        <v>70.655000000000001</v>
      </c>
      <c r="F1030" s="2">
        <f ca="1">IFERROR(__xludf.DUMMYFUNCTION("""COMPUTED_VALUE"""),82.289)</f>
        <v>82.289000000000001</v>
      </c>
      <c r="G1030" s="2">
        <f ca="1">IFERROR(__xludf.DUMMYFUNCTION("""COMPUTED_VALUE"""),0.58789)</f>
        <v>0.58789000000000002</v>
      </c>
      <c r="H1030" s="2">
        <f ca="1">IFERROR(__xludf.DUMMYFUNCTION("""COMPUTED_VALUE"""),55.442)</f>
        <v>55.442</v>
      </c>
      <c r="I1030" s="2">
        <f ca="1">IFERROR(__xludf.DUMMYFUNCTION("""COMPUTED_VALUE"""),53.743)</f>
        <v>53.743000000000002</v>
      </c>
      <c r="J1030" s="2">
        <f ca="1">IFERROR(__xludf.DUMMYFUNCTION("""COMPUTED_VALUE"""),43.595)</f>
        <v>43.594999999999999</v>
      </c>
      <c r="K1030" s="2">
        <f ca="1">IFERROR(__xludf.DUMMYFUNCTION("""COMPUTED_VALUE"""),58.213)</f>
        <v>58.213000000000001</v>
      </c>
      <c r="L1030" s="2">
        <f ca="1">IFERROR(__xludf.DUMMYFUNCTION("""COMPUTED_VALUE"""),10.595)</f>
        <v>10.595000000000001</v>
      </c>
      <c r="M1030" s="2">
        <f ca="1">IFERROR(__xludf.DUMMYFUNCTION("""COMPUTED_VALUE"""),14.795)</f>
        <v>14.795</v>
      </c>
      <c r="U1030" s="3" t="e">
        <f ca="1"/>
        <v>#NAME?</v>
      </c>
    </row>
    <row r="1031" spans="3:21" ht="12.5" x14ac:dyDescent="0.25">
      <c r="C1031" s="4">
        <f ca="1">IFERROR(__xludf.DUMMYFUNCTION("""COMPUTED_VALUE"""),41366.9986111111)</f>
        <v>41366.998611111099</v>
      </c>
      <c r="D1031" s="2">
        <f ca="1">IFERROR(__xludf.DUMMYFUNCTION("""COMPUTED_VALUE"""),54.423)</f>
        <v>54.423000000000002</v>
      </c>
      <c r="E1031" s="2">
        <f ca="1">IFERROR(__xludf.DUMMYFUNCTION("""COMPUTED_VALUE"""),71.126)</f>
        <v>71.126000000000005</v>
      </c>
      <c r="F1031" s="2">
        <f ca="1">IFERROR(__xludf.DUMMYFUNCTION("""COMPUTED_VALUE"""),81.583)</f>
        <v>81.582999999999998</v>
      </c>
      <c r="G1031" s="2">
        <f ca="1">IFERROR(__xludf.DUMMYFUNCTION("""COMPUTED_VALUE"""),0.60587)</f>
        <v>0.60587000000000002</v>
      </c>
      <c r="H1031" s="2">
        <f ca="1">IFERROR(__xludf.DUMMYFUNCTION("""COMPUTED_VALUE"""),55.064)</f>
        <v>55.064</v>
      </c>
      <c r="I1031" s="2">
        <f ca="1">IFERROR(__xludf.DUMMYFUNCTION("""COMPUTED_VALUE"""),53.817)</f>
        <v>53.817</v>
      </c>
      <c r="J1031" s="2">
        <f ca="1">IFERROR(__xludf.DUMMYFUNCTION("""COMPUTED_VALUE"""),43.944)</f>
        <v>43.944000000000003</v>
      </c>
      <c r="K1031" s="2">
        <f ca="1">IFERROR(__xludf.DUMMYFUNCTION("""COMPUTED_VALUE"""),58.284)</f>
        <v>58.283999999999999</v>
      </c>
      <c r="L1031" s="2">
        <f ca="1">IFERROR(__xludf.DUMMYFUNCTION("""COMPUTED_VALUE"""),10.596)</f>
        <v>10.596</v>
      </c>
      <c r="M1031" s="2">
        <f ca="1">IFERROR(__xludf.DUMMYFUNCTION("""COMPUTED_VALUE"""),14.795)</f>
        <v>14.795</v>
      </c>
      <c r="U1031" s="3" t="e">
        <f ca="1"/>
        <v>#NAME?</v>
      </c>
    </row>
    <row r="1032" spans="3:21" ht="12.5" x14ac:dyDescent="0.25">
      <c r="C1032" s="4">
        <f ca="1">IFERROR(__xludf.DUMMYFUNCTION("""COMPUTED_VALUE"""),41367.9986111111)</f>
        <v>41367.998611111099</v>
      </c>
      <c r="D1032" s="2">
        <f ca="1">IFERROR(__xludf.DUMMYFUNCTION("""COMPUTED_VALUE"""),54.428)</f>
        <v>54.427999999999997</v>
      </c>
      <c r="E1032" s="2">
        <f ca="1">IFERROR(__xludf.DUMMYFUNCTION("""COMPUTED_VALUE"""),71.159)</f>
        <v>71.159000000000006</v>
      </c>
      <c r="F1032" s="2">
        <f ca="1">IFERROR(__xludf.DUMMYFUNCTION("""COMPUTED_VALUE"""),81.745)</f>
        <v>81.745000000000005</v>
      </c>
      <c r="G1032" s="2">
        <f ca="1">IFERROR(__xludf.DUMMYFUNCTION("""COMPUTED_VALUE"""),0.60224)</f>
        <v>0.60224</v>
      </c>
      <c r="H1032" s="2">
        <f ca="1">IFERROR(__xludf.DUMMYFUNCTION("""COMPUTED_VALUE"""),55.111)</f>
        <v>55.110999999999997</v>
      </c>
      <c r="I1032" s="2">
        <f ca="1">IFERROR(__xludf.DUMMYFUNCTION("""COMPUTED_VALUE"""),54.009)</f>
        <v>54.009</v>
      </c>
      <c r="J1032" s="2">
        <f ca="1">IFERROR(__xludf.DUMMYFUNCTION("""COMPUTED_VALUE"""),43.884)</f>
        <v>43.884</v>
      </c>
      <c r="K1032" s="2">
        <f ca="1">IFERROR(__xludf.DUMMYFUNCTION("""COMPUTED_VALUE"""),58.29)</f>
        <v>58.29</v>
      </c>
      <c r="L1032" s="2">
        <f ca="1">IFERROR(__xludf.DUMMYFUNCTION("""COMPUTED_VALUE"""),10.559)</f>
        <v>10.558999999999999</v>
      </c>
      <c r="M1032" s="2">
        <f ca="1">IFERROR(__xludf.DUMMYFUNCTION("""COMPUTED_VALUE"""),14.795)</f>
        <v>14.795</v>
      </c>
      <c r="U1032" s="3" t="e">
        <f ca="1"/>
        <v>#NAME?</v>
      </c>
    </row>
    <row r="1033" spans="3:21" ht="12.5" x14ac:dyDescent="0.25">
      <c r="C1033" s="4">
        <f ca="1">IFERROR(__xludf.DUMMYFUNCTION("""COMPUTED_VALUE"""),41368.9986111111)</f>
        <v>41368.998611111099</v>
      </c>
      <c r="D1033" s="2">
        <f ca="1">IFERROR(__xludf.DUMMYFUNCTION("""COMPUTED_VALUE"""),54.883)</f>
        <v>54.883000000000003</v>
      </c>
      <c r="E1033" s="2">
        <f ca="1">IFERROR(__xludf.DUMMYFUNCTION("""COMPUTED_VALUE"""),71.09)</f>
        <v>71.09</v>
      </c>
      <c r="F1033" s="2">
        <f ca="1">IFERROR(__xludf.DUMMYFUNCTION("""COMPUTED_VALUE"""),81.589)</f>
        <v>81.588999999999999</v>
      </c>
      <c r="G1033" s="2">
        <f ca="1">IFERROR(__xludf.DUMMYFUNCTION("""COMPUTED_VALUE"""),0.6069)</f>
        <v>0.6069</v>
      </c>
      <c r="H1033" s="2">
        <f ca="1">IFERROR(__xludf.DUMMYFUNCTION("""COMPUTED_VALUE"""),54.694)</f>
        <v>54.694000000000003</v>
      </c>
      <c r="I1033" s="2">
        <f ca="1">IFERROR(__xludf.DUMMYFUNCTION("""COMPUTED_VALUE"""),53.821)</f>
        <v>53.820999999999998</v>
      </c>
      <c r="J1033" s="2">
        <f ca="1">IFERROR(__xludf.DUMMYFUNCTION("""COMPUTED_VALUE"""),44.048)</f>
        <v>44.048000000000002</v>
      </c>
      <c r="K1033" s="2">
        <f ca="1">IFERROR(__xludf.DUMMYFUNCTION("""COMPUTED_VALUE"""),57.624)</f>
        <v>57.624000000000002</v>
      </c>
      <c r="L1033" s="2">
        <f ca="1">IFERROR(__xludf.DUMMYFUNCTION("""COMPUTED_VALUE"""),10.543)</f>
        <v>10.542999999999999</v>
      </c>
      <c r="M1033" s="2">
        <f ca="1">IFERROR(__xludf.DUMMYFUNCTION("""COMPUTED_VALUE"""),14.813)</f>
        <v>14.813000000000001</v>
      </c>
      <c r="U1033" s="3" t="e">
        <f ca="1"/>
        <v>#NAME?</v>
      </c>
    </row>
    <row r="1034" spans="3:21" ht="12.5" x14ac:dyDescent="0.25">
      <c r="C1034" s="4">
        <f ca="1">IFERROR(__xludf.DUMMYFUNCTION("""COMPUTED_VALUE"""),41369.9986111111)</f>
        <v>41369.998611111099</v>
      </c>
      <c r="D1034" s="2">
        <f ca="1">IFERROR(__xludf.DUMMYFUNCTION("""COMPUTED_VALUE"""),54.803)</f>
        <v>54.802999999999997</v>
      </c>
      <c r="E1034" s="2">
        <f ca="1">IFERROR(__xludf.DUMMYFUNCTION("""COMPUTED_VALUE"""),70.799)</f>
        <v>70.799000000000007</v>
      </c>
      <c r="F1034" s="2">
        <f ca="1">IFERROR(__xludf.DUMMYFUNCTION("""COMPUTED_VALUE"""),82.344)</f>
        <v>82.343999999999994</v>
      </c>
      <c r="G1034" s="2">
        <f ca="1">IFERROR(__xludf.DUMMYFUNCTION("""COMPUTED_VALUE"""),0.61067)</f>
        <v>0.61067000000000005</v>
      </c>
      <c r="H1034" s="2">
        <f ca="1">IFERROR(__xludf.DUMMYFUNCTION("""COMPUTED_VALUE"""),54.935)</f>
        <v>54.935000000000002</v>
      </c>
      <c r="I1034" s="2">
        <f ca="1">IFERROR(__xludf.DUMMYFUNCTION("""COMPUTED_VALUE"""),54.255)</f>
        <v>54.255000000000003</v>
      </c>
      <c r="J1034" s="2">
        <f ca="1">IFERROR(__xludf.DUMMYFUNCTION("""COMPUTED_VALUE"""),43.947)</f>
        <v>43.947000000000003</v>
      </c>
      <c r="K1034" s="2">
        <f ca="1">IFERROR(__xludf.DUMMYFUNCTION("""COMPUTED_VALUE"""),57.841)</f>
        <v>57.841000000000001</v>
      </c>
      <c r="L1034" s="2">
        <f ca="1">IFERROR(__xludf.DUMMYFUNCTION("""COMPUTED_VALUE"""),10.59)</f>
        <v>10.59</v>
      </c>
      <c r="M1034" s="2">
        <f ca="1">IFERROR(__xludf.DUMMYFUNCTION("""COMPUTED_VALUE"""),14.741)</f>
        <v>14.741</v>
      </c>
      <c r="U1034" s="3" t="e">
        <f ca="1"/>
        <v>#NAME?</v>
      </c>
    </row>
    <row r="1035" spans="3:21" ht="12.5" x14ac:dyDescent="0.25">
      <c r="C1035" s="4">
        <f ca="1">IFERROR(__xludf.DUMMYFUNCTION("""COMPUTED_VALUE"""),41371.9986111111)</f>
        <v>41371.998611111099</v>
      </c>
      <c r="D1035" s="2">
        <f ca="1">IFERROR(__xludf.DUMMYFUNCTION("""COMPUTED_VALUE"""),54.803)</f>
        <v>54.802999999999997</v>
      </c>
      <c r="E1035" s="2">
        <f ca="1">IFERROR(__xludf.DUMMYFUNCTION("""COMPUTED_VALUE"""),70.456)</f>
        <v>70.456000000000003</v>
      </c>
      <c r="F1035" s="2">
        <f ca="1">IFERROR(__xludf.DUMMYFUNCTION("""COMPUTED_VALUE"""),82.496)</f>
        <v>82.495999999999995</v>
      </c>
      <c r="G1035" s="2">
        <f ca="1">IFERROR(__xludf.DUMMYFUNCTION("""COMPUTED_VALUE"""),0.60225)</f>
        <v>0.60224999999999995</v>
      </c>
      <c r="H1035" s="2">
        <f ca="1">IFERROR(__xludf.DUMMYFUNCTION("""COMPUTED_VALUE"""),54.94)</f>
        <v>54.94</v>
      </c>
      <c r="I1035" s="2">
        <f ca="1">IFERROR(__xludf.DUMMYFUNCTION("""COMPUTED_VALUE"""),54.092)</f>
        <v>54.091999999999999</v>
      </c>
      <c r="J1035" s="2">
        <f ca="1">IFERROR(__xludf.DUMMYFUNCTION("""COMPUTED_VALUE"""),44.215)</f>
        <v>44.215000000000003</v>
      </c>
      <c r="K1035" s="2">
        <f ca="1">IFERROR(__xludf.DUMMYFUNCTION("""COMPUTED_VALUE"""),57.075)</f>
        <v>57.075000000000003</v>
      </c>
      <c r="L1035" s="2">
        <f ca="1">IFERROR(__xludf.DUMMYFUNCTION("""COMPUTED_VALUE"""),10.464)</f>
        <v>10.464</v>
      </c>
      <c r="M1035" s="2">
        <f ca="1">IFERROR(__xludf.DUMMYFUNCTION("""COMPUTED_VALUE"""),14.801)</f>
        <v>14.801</v>
      </c>
      <c r="U1035" s="3" t="e">
        <f ca="1"/>
        <v>#NAME?</v>
      </c>
    </row>
    <row r="1036" spans="3:21" ht="12.5" x14ac:dyDescent="0.25">
      <c r="C1036" s="4">
        <f ca="1">IFERROR(__xludf.DUMMYFUNCTION("""COMPUTED_VALUE"""),41372.9986111111)</f>
        <v>41372.998611111099</v>
      </c>
      <c r="D1036" s="2">
        <f ca="1">IFERROR(__xludf.DUMMYFUNCTION("""COMPUTED_VALUE"""),54.558)</f>
        <v>54.558</v>
      </c>
      <c r="E1036" s="2">
        <f ca="1">IFERROR(__xludf.DUMMYFUNCTION("""COMPUTED_VALUE"""),70.519)</f>
        <v>70.519000000000005</v>
      </c>
      <c r="F1036" s="2">
        <f ca="1">IFERROR(__xludf.DUMMYFUNCTION("""COMPUTED_VALUE"""),82.496)</f>
        <v>82.495999999999995</v>
      </c>
      <c r="G1036" s="2">
        <f ca="1">IFERROR(__xludf.DUMMYFUNCTION("""COMPUTED_VALUE"""),0.61113)</f>
        <v>0.61112999999999995</v>
      </c>
      <c r="H1036" s="2">
        <f ca="1">IFERROR(__xludf.DUMMYFUNCTION("""COMPUTED_VALUE"""),54.526)</f>
        <v>54.526000000000003</v>
      </c>
      <c r="I1036" s="2">
        <f ca="1">IFERROR(__xludf.DUMMYFUNCTION("""COMPUTED_VALUE"""),54.197)</f>
        <v>54.197000000000003</v>
      </c>
      <c r="J1036" s="2">
        <f ca="1">IFERROR(__xludf.DUMMYFUNCTION("""COMPUTED_VALUE"""),44.254)</f>
        <v>44.253999999999998</v>
      </c>
      <c r="K1036" s="2">
        <f ca="1">IFERROR(__xludf.DUMMYFUNCTION("""COMPUTED_VALUE"""),57.078)</f>
        <v>57.078000000000003</v>
      </c>
      <c r="L1036" s="2">
        <f ca="1">IFERROR(__xludf.DUMMYFUNCTION("""COMPUTED_VALUE"""),10.405)</f>
        <v>10.404999999999999</v>
      </c>
      <c r="M1036" s="2">
        <f ca="1">IFERROR(__xludf.DUMMYFUNCTION("""COMPUTED_VALUE"""),14.798)</f>
        <v>14.798</v>
      </c>
      <c r="U1036" s="3" t="e">
        <f ca="1"/>
        <v>#NAME?</v>
      </c>
    </row>
    <row r="1037" spans="3:21" ht="12.5" x14ac:dyDescent="0.25">
      <c r="C1037" s="4">
        <f ca="1">IFERROR(__xludf.DUMMYFUNCTION("""COMPUTED_VALUE"""),41373.9986111111)</f>
        <v>41373.998611111099</v>
      </c>
      <c r="D1037" s="2">
        <f ca="1">IFERROR(__xludf.DUMMYFUNCTION("""COMPUTED_VALUE"""),54.578)</f>
        <v>54.578000000000003</v>
      </c>
      <c r="E1037" s="2">
        <f ca="1">IFERROR(__xludf.DUMMYFUNCTION("""COMPUTED_VALUE"""),70.4)</f>
        <v>70.400000000000006</v>
      </c>
      <c r="F1037" s="2">
        <f ca="1">IFERROR(__xludf.DUMMYFUNCTION("""COMPUTED_VALUE"""),82.496)</f>
        <v>82.495999999999995</v>
      </c>
      <c r="G1037" s="2">
        <f ca="1">IFERROR(__xludf.DUMMYFUNCTION("""COMPUTED_VALUE"""),0.61303)</f>
        <v>0.61302999999999996</v>
      </c>
      <c r="H1037" s="2">
        <f ca="1">IFERROR(__xludf.DUMMYFUNCTION("""COMPUTED_VALUE"""),54.206)</f>
        <v>54.206000000000003</v>
      </c>
      <c r="I1037" s="2">
        <f ca="1">IFERROR(__xludf.DUMMYFUNCTION("""COMPUTED_VALUE"""),53.75)</f>
        <v>53.75</v>
      </c>
      <c r="J1037" s="2">
        <f ca="1">IFERROR(__xludf.DUMMYFUNCTION("""COMPUTED_VALUE"""),44.132)</f>
        <v>44.131999999999998</v>
      </c>
      <c r="K1037" s="2">
        <f ca="1">IFERROR(__xludf.DUMMYFUNCTION("""COMPUTED_VALUE"""),57.303)</f>
        <v>57.302999999999997</v>
      </c>
      <c r="L1037" s="2">
        <f ca="1">IFERROR(__xludf.DUMMYFUNCTION("""COMPUTED_VALUE"""),10.475)</f>
        <v>10.475</v>
      </c>
      <c r="M1037" s="2">
        <f ca="1">IFERROR(__xludf.DUMMYFUNCTION("""COMPUTED_VALUE"""),14.708)</f>
        <v>14.708</v>
      </c>
      <c r="U1037" s="3" t="e">
        <f ca="1"/>
        <v>#NAME?</v>
      </c>
    </row>
    <row r="1038" spans="3:21" ht="12.5" x14ac:dyDescent="0.25">
      <c r="C1038" s="4">
        <f ca="1">IFERROR(__xludf.DUMMYFUNCTION("""COMPUTED_VALUE"""),41374.9986111111)</f>
        <v>41374.998611111099</v>
      </c>
      <c r="D1038" s="2">
        <f ca="1">IFERROR(__xludf.DUMMYFUNCTION("""COMPUTED_VALUE"""),54.513)</f>
        <v>54.512999999999998</v>
      </c>
      <c r="E1038" s="2">
        <f ca="1">IFERROR(__xludf.DUMMYFUNCTION("""COMPUTED_VALUE"""),69.48)</f>
        <v>69.48</v>
      </c>
      <c r="F1038" s="2">
        <f ca="1">IFERROR(__xludf.DUMMYFUNCTION("""COMPUTED_VALUE"""),82.939)</f>
        <v>82.938999999999993</v>
      </c>
      <c r="G1038" s="2">
        <f ca="1">IFERROR(__xludf.DUMMYFUNCTION("""COMPUTED_VALUE"""),0.61536)</f>
        <v>0.61536000000000002</v>
      </c>
      <c r="H1038" s="2">
        <f ca="1">IFERROR(__xludf.DUMMYFUNCTION("""COMPUTED_VALUE"""),54.103)</f>
        <v>54.103000000000002</v>
      </c>
      <c r="I1038" s="2">
        <f ca="1">IFERROR(__xludf.DUMMYFUNCTION("""COMPUTED_VALUE"""),53.818)</f>
        <v>53.817999999999998</v>
      </c>
      <c r="J1038" s="2">
        <f ca="1">IFERROR(__xludf.DUMMYFUNCTION("""COMPUTED_VALUE"""),44.033)</f>
        <v>44.033000000000001</v>
      </c>
      <c r="K1038" s="2">
        <f ca="1">IFERROR(__xludf.DUMMYFUNCTION("""COMPUTED_VALUE"""),57.094)</f>
        <v>57.094000000000001</v>
      </c>
      <c r="L1038" s="2">
        <f ca="1">IFERROR(__xludf.DUMMYFUNCTION("""COMPUTED_VALUE"""),10.479)</f>
        <v>10.478999999999999</v>
      </c>
      <c r="M1038" s="2">
        <f ca="1">IFERROR(__xludf.DUMMYFUNCTION("""COMPUTED_VALUE"""),14.708)</f>
        <v>14.708</v>
      </c>
      <c r="U1038" s="3" t="e">
        <f ca="1"/>
        <v>#NAME?</v>
      </c>
    </row>
    <row r="1039" spans="3:21" ht="12.5" x14ac:dyDescent="0.25">
      <c r="C1039" s="4">
        <f ca="1">IFERROR(__xludf.DUMMYFUNCTION("""COMPUTED_VALUE"""),41375.9986111111)</f>
        <v>41375.998611111099</v>
      </c>
      <c r="D1039" s="2">
        <f ca="1">IFERROR(__xludf.DUMMYFUNCTION("""COMPUTED_VALUE"""),54.298)</f>
        <v>54.298000000000002</v>
      </c>
      <c r="E1039" s="2">
        <f ca="1">IFERROR(__xludf.DUMMYFUNCTION("""COMPUTED_VALUE"""),70.4)</f>
        <v>70.400000000000006</v>
      </c>
      <c r="F1039" s="2">
        <f ca="1">IFERROR(__xludf.DUMMYFUNCTION("""COMPUTED_VALUE"""),83.026)</f>
        <v>83.025999999999996</v>
      </c>
      <c r="G1039" s="2">
        <f ca="1">IFERROR(__xludf.DUMMYFUNCTION("""COMPUTED_VALUE"""),0.60685)</f>
        <v>0.60685</v>
      </c>
      <c r="H1039" s="2">
        <f ca="1">IFERROR(__xludf.DUMMYFUNCTION("""COMPUTED_VALUE"""),53.743)</f>
        <v>53.743000000000002</v>
      </c>
      <c r="I1039" s="2">
        <f ca="1">IFERROR(__xludf.DUMMYFUNCTION("""COMPUTED_VALUE"""),53.728)</f>
        <v>53.728000000000002</v>
      </c>
      <c r="J1039" s="2">
        <f ca="1">IFERROR(__xludf.DUMMYFUNCTION("""COMPUTED_VALUE"""),43.92)</f>
        <v>43.92</v>
      </c>
      <c r="K1039" s="2">
        <f ca="1">IFERROR(__xludf.DUMMYFUNCTION("""COMPUTED_VALUE"""),57.014)</f>
        <v>57.014000000000003</v>
      </c>
      <c r="L1039" s="2">
        <f ca="1">IFERROR(__xludf.DUMMYFUNCTION("""COMPUTED_VALUE"""),10.514)</f>
        <v>10.513999999999999</v>
      </c>
      <c r="M1039" s="2">
        <f ca="1">IFERROR(__xludf.DUMMYFUNCTION("""COMPUTED_VALUE"""),14.708)</f>
        <v>14.708</v>
      </c>
      <c r="U1039" s="3" t="e">
        <f ca="1"/>
        <v>#NAME?</v>
      </c>
    </row>
    <row r="1040" spans="3:21" ht="12.5" x14ac:dyDescent="0.25">
      <c r="C1040" s="4">
        <f ca="1">IFERROR(__xludf.DUMMYFUNCTION("""COMPUTED_VALUE"""),41376.9986111111)</f>
        <v>41376.998611111099</v>
      </c>
      <c r="D1040" s="2">
        <f ca="1">IFERROR(__xludf.DUMMYFUNCTION("""COMPUTED_VALUE"""),54.513)</f>
        <v>54.512999999999998</v>
      </c>
      <c r="E1040" s="2">
        <f ca="1">IFERROR(__xludf.DUMMYFUNCTION("""COMPUTED_VALUE"""),71.002)</f>
        <v>71.001999999999995</v>
      </c>
      <c r="F1040" s="2">
        <f ca="1">IFERROR(__xludf.DUMMYFUNCTION("""COMPUTED_VALUE"""),81.957)</f>
        <v>81.956999999999994</v>
      </c>
      <c r="G1040" s="2">
        <f ca="1">IFERROR(__xludf.DUMMYFUNCTION("""COMPUTED_VALUE"""),0.61189)</f>
        <v>0.61189000000000004</v>
      </c>
      <c r="H1040" s="2">
        <f ca="1">IFERROR(__xludf.DUMMYFUNCTION("""COMPUTED_VALUE"""),53.358)</f>
        <v>53.357999999999997</v>
      </c>
      <c r="I1040" s="2">
        <f ca="1">IFERROR(__xludf.DUMMYFUNCTION("""COMPUTED_VALUE"""),53.354)</f>
        <v>53.353999999999999</v>
      </c>
      <c r="J1040" s="2">
        <f ca="1">IFERROR(__xludf.DUMMYFUNCTION("""COMPUTED_VALUE"""),43.737)</f>
        <v>43.737000000000002</v>
      </c>
      <c r="K1040" s="2">
        <f ca="1">IFERROR(__xludf.DUMMYFUNCTION("""COMPUTED_VALUE"""),57.334)</f>
        <v>57.334000000000003</v>
      </c>
      <c r="L1040" s="2">
        <f ca="1">IFERROR(__xludf.DUMMYFUNCTION("""COMPUTED_VALUE"""),10.544)</f>
        <v>10.544</v>
      </c>
      <c r="M1040" s="2">
        <f ca="1">IFERROR(__xludf.DUMMYFUNCTION("""COMPUTED_VALUE"""),14.722)</f>
        <v>14.722</v>
      </c>
      <c r="U1040" s="3" t="e">
        <f ca="1"/>
        <v>#NAME?</v>
      </c>
    </row>
    <row r="1041" spans="3:21" ht="12.5" x14ac:dyDescent="0.25">
      <c r="C1041" s="4">
        <f ca="1">IFERROR(__xludf.DUMMYFUNCTION("""COMPUTED_VALUE"""),41377.9986111111)</f>
        <v>41377.998611111099</v>
      </c>
      <c r="D1041" s="2">
        <f ca="1">IFERROR(__xludf.DUMMYFUNCTION("""COMPUTED_VALUE"""),54.513)</f>
        <v>54.512999999999998</v>
      </c>
      <c r="E1041" s="2">
        <f ca="1">IFERROR(__xludf.DUMMYFUNCTION("""COMPUTED_VALUE"""),71.503)</f>
        <v>71.503</v>
      </c>
      <c r="F1041" s="2">
        <f ca="1">IFERROR(__xludf.DUMMYFUNCTION("""COMPUTED_VALUE"""),81.868)</f>
        <v>81.867999999999995</v>
      </c>
      <c r="G1041" s="2">
        <f ca="1">IFERROR(__xludf.DUMMYFUNCTION("""COMPUTED_VALUE"""),0.60638)</f>
        <v>0.60638000000000003</v>
      </c>
      <c r="H1041" s="2">
        <f ca="1">IFERROR(__xludf.DUMMYFUNCTION("""COMPUTED_VALUE"""),53.358)</f>
        <v>53.357999999999997</v>
      </c>
      <c r="I1041" s="2">
        <f ca="1">IFERROR(__xludf.DUMMYFUNCTION("""COMPUTED_VALUE"""),53.345)</f>
        <v>53.344999999999999</v>
      </c>
      <c r="J1041" s="2">
        <f ca="1">IFERROR(__xludf.DUMMYFUNCTION("""COMPUTED_VALUE"""),43.555)</f>
        <v>43.555</v>
      </c>
      <c r="K1041" s="2">
        <f ca="1">IFERROR(__xludf.DUMMYFUNCTION("""COMPUTED_VALUE"""),57.554)</f>
        <v>57.554000000000002</v>
      </c>
      <c r="L1041" s="2">
        <f ca="1">IFERROR(__xludf.DUMMYFUNCTION("""COMPUTED_VALUE"""),10.564)</f>
        <v>10.564</v>
      </c>
      <c r="M1041" s="2">
        <f ca="1">IFERROR(__xludf.DUMMYFUNCTION("""COMPUTED_VALUE"""),14.802)</f>
        <v>14.802</v>
      </c>
      <c r="U1041" s="3" t="e">
        <f ca="1"/>
        <v>#NAME?</v>
      </c>
    </row>
    <row r="1042" spans="3:21" ht="12.5" x14ac:dyDescent="0.25">
      <c r="C1042" s="4">
        <f ca="1">IFERROR(__xludf.DUMMYFUNCTION("""COMPUTED_VALUE"""),41378.9986111111)</f>
        <v>41378.998611111099</v>
      </c>
      <c r="D1042" s="2">
        <f ca="1">IFERROR(__xludf.DUMMYFUNCTION("""COMPUTED_VALUE"""),54.513)</f>
        <v>54.512999999999998</v>
      </c>
      <c r="E1042" s="2">
        <f ca="1">IFERROR(__xludf.DUMMYFUNCTION("""COMPUTED_VALUE"""),71.426)</f>
        <v>71.426000000000002</v>
      </c>
      <c r="F1042" s="2">
        <f ca="1">IFERROR(__xludf.DUMMYFUNCTION("""COMPUTED_VALUE"""),81.021)</f>
        <v>81.021000000000001</v>
      </c>
      <c r="G1042" s="2">
        <f ca="1">IFERROR(__xludf.DUMMYFUNCTION("""COMPUTED_VALUE"""),0.60489)</f>
        <v>0.60489000000000004</v>
      </c>
      <c r="H1042" s="2">
        <f ca="1">IFERROR(__xludf.DUMMYFUNCTION("""COMPUTED_VALUE"""),53.358)</f>
        <v>53.357999999999997</v>
      </c>
      <c r="I1042" s="2">
        <f ca="1">IFERROR(__xludf.DUMMYFUNCTION("""COMPUTED_VALUE"""),53.345)</f>
        <v>53.344999999999999</v>
      </c>
      <c r="J1042" s="2">
        <f ca="1">IFERROR(__xludf.DUMMYFUNCTION("""COMPUTED_VALUE"""),43.555)</f>
        <v>43.555</v>
      </c>
      <c r="K1042" s="2">
        <f ca="1">IFERROR(__xludf.DUMMYFUNCTION("""COMPUTED_VALUE"""),57.552)</f>
        <v>57.552</v>
      </c>
      <c r="L1042" s="2">
        <f ca="1">IFERROR(__xludf.DUMMYFUNCTION("""COMPUTED_VALUE"""),10.585)</f>
        <v>10.585000000000001</v>
      </c>
      <c r="M1042" s="2">
        <f ca="1">IFERROR(__xludf.DUMMYFUNCTION("""COMPUTED_VALUE"""),14.797)</f>
        <v>14.797000000000001</v>
      </c>
      <c r="U1042" s="3" t="e">
        <f ca="1"/>
        <v>#NAME?</v>
      </c>
    </row>
    <row r="1043" spans="3:21" ht="12.5" x14ac:dyDescent="0.25">
      <c r="C1043" s="4">
        <f ca="1">IFERROR(__xludf.DUMMYFUNCTION("""COMPUTED_VALUE"""),41379.9986111111)</f>
        <v>41379.998611111099</v>
      </c>
      <c r="D1043" s="2">
        <f ca="1">IFERROR(__xludf.DUMMYFUNCTION("""COMPUTED_VALUE"""),54.543)</f>
        <v>54.542999999999999</v>
      </c>
      <c r="E1043" s="2">
        <f ca="1">IFERROR(__xludf.DUMMYFUNCTION("""COMPUTED_VALUE"""),71.971)</f>
        <v>71.971000000000004</v>
      </c>
      <c r="F1043" s="2">
        <f ca="1">IFERROR(__xludf.DUMMYFUNCTION("""COMPUTED_VALUE"""),81.019)</f>
        <v>81.019000000000005</v>
      </c>
      <c r="G1043" s="2">
        <f ca="1">IFERROR(__xludf.DUMMYFUNCTION("""COMPUTED_VALUE"""),0.60536)</f>
        <v>0.60536000000000001</v>
      </c>
      <c r="H1043" s="2">
        <f ca="1">IFERROR(__xludf.DUMMYFUNCTION("""COMPUTED_VALUE"""),54.045)</f>
        <v>54.045000000000002</v>
      </c>
      <c r="I1043" s="2">
        <f ca="1">IFERROR(__xludf.DUMMYFUNCTION("""COMPUTED_VALUE"""),53.77)</f>
        <v>53.77</v>
      </c>
      <c r="J1043" s="2">
        <f ca="1">IFERROR(__xludf.DUMMYFUNCTION("""COMPUTED_VALUE"""),43.555)</f>
        <v>43.555</v>
      </c>
      <c r="K1043" s="2">
        <f ca="1">IFERROR(__xludf.DUMMYFUNCTION("""COMPUTED_VALUE"""),57.027)</f>
        <v>57.027000000000001</v>
      </c>
      <c r="L1043" s="2">
        <f ca="1">IFERROR(__xludf.DUMMYFUNCTION("""COMPUTED_VALUE"""),10.569)</f>
        <v>10.569000000000001</v>
      </c>
      <c r="M1043" s="2">
        <f ca="1">IFERROR(__xludf.DUMMYFUNCTION("""COMPUTED_VALUE"""),14.778)</f>
        <v>14.778</v>
      </c>
      <c r="U1043" s="3" t="e">
        <f ca="1"/>
        <v>#NAME?</v>
      </c>
    </row>
    <row r="1044" spans="3:21" ht="12.5" x14ac:dyDescent="0.25">
      <c r="C1044" s="4">
        <f ca="1">IFERROR(__xludf.DUMMYFUNCTION("""COMPUTED_VALUE"""),41380.9986111111)</f>
        <v>41380.998611111099</v>
      </c>
      <c r="D1044" s="2">
        <f ca="1">IFERROR(__xludf.DUMMYFUNCTION("""COMPUTED_VALUE"""),54.148)</f>
        <v>54.148000000000003</v>
      </c>
      <c r="E1044" s="2">
        <f ca="1">IFERROR(__xludf.DUMMYFUNCTION("""COMPUTED_VALUE"""),72.106)</f>
        <v>72.105999999999995</v>
      </c>
      <c r="F1044" s="2">
        <f ca="1">IFERROR(__xludf.DUMMYFUNCTION("""COMPUTED_VALUE"""),81.019)</f>
        <v>81.019000000000005</v>
      </c>
      <c r="G1044" s="2">
        <f ca="1">IFERROR(__xludf.DUMMYFUNCTION("""COMPUTED_VALUE"""),0.61236)</f>
        <v>0.61236000000000002</v>
      </c>
      <c r="H1044" s="2">
        <f ca="1">IFERROR(__xludf.DUMMYFUNCTION("""COMPUTED_VALUE"""),54.32)</f>
        <v>54.32</v>
      </c>
      <c r="I1044" s="2">
        <f ca="1">IFERROR(__xludf.DUMMYFUNCTION("""COMPUTED_VALUE"""),53.93)</f>
        <v>53.93</v>
      </c>
      <c r="J1044" s="2">
        <f ca="1">IFERROR(__xludf.DUMMYFUNCTION("""COMPUTED_VALUE"""),43.914)</f>
        <v>43.914000000000001</v>
      </c>
      <c r="K1044" s="2">
        <f ca="1">IFERROR(__xludf.DUMMYFUNCTION("""COMPUTED_VALUE"""),57.298)</f>
        <v>57.298000000000002</v>
      </c>
      <c r="L1044" s="2">
        <f ca="1">IFERROR(__xludf.DUMMYFUNCTION("""COMPUTED_VALUE"""),10.572)</f>
        <v>10.571999999999999</v>
      </c>
      <c r="M1044" s="2">
        <f ca="1">IFERROR(__xludf.DUMMYFUNCTION("""COMPUTED_VALUE"""),14.795)</f>
        <v>14.795</v>
      </c>
      <c r="U1044" s="3" t="e">
        <f ca="1"/>
        <v>#NAME?</v>
      </c>
    </row>
    <row r="1045" spans="3:21" ht="12.5" x14ac:dyDescent="0.25">
      <c r="C1045" s="4">
        <f ca="1">IFERROR(__xludf.DUMMYFUNCTION("""COMPUTED_VALUE"""),41381.9986111111)</f>
        <v>41381.998611111099</v>
      </c>
      <c r="D1045" s="2">
        <f ca="1">IFERROR(__xludf.DUMMYFUNCTION("""COMPUTED_VALUE"""),54.208)</f>
        <v>54.207999999999998</v>
      </c>
      <c r="E1045" s="2">
        <f ca="1">IFERROR(__xludf.DUMMYFUNCTION("""COMPUTED_VALUE"""),72.177)</f>
        <v>72.177000000000007</v>
      </c>
      <c r="F1045" s="2">
        <f ca="1">IFERROR(__xludf.DUMMYFUNCTION("""COMPUTED_VALUE"""),81.002)</f>
        <v>81.001999999999995</v>
      </c>
      <c r="G1045" s="2">
        <f ca="1">IFERROR(__xludf.DUMMYFUNCTION("""COMPUTED_VALUE"""),0.60742)</f>
        <v>0.60741999999999996</v>
      </c>
      <c r="H1045" s="2">
        <f ca="1">IFERROR(__xludf.DUMMYFUNCTION("""COMPUTED_VALUE"""),53.837)</f>
        <v>53.837000000000003</v>
      </c>
      <c r="I1045" s="2">
        <f ca="1">IFERROR(__xludf.DUMMYFUNCTION("""COMPUTED_VALUE"""),53.595)</f>
        <v>53.594999999999999</v>
      </c>
      <c r="J1045" s="2">
        <f ca="1">IFERROR(__xludf.DUMMYFUNCTION("""COMPUTED_VALUE"""),43.945)</f>
        <v>43.945</v>
      </c>
      <c r="K1045" s="2">
        <f ca="1">IFERROR(__xludf.DUMMYFUNCTION("""COMPUTED_VALUE"""),57.443)</f>
        <v>57.442999999999998</v>
      </c>
      <c r="L1045" s="2">
        <f ca="1">IFERROR(__xludf.DUMMYFUNCTION("""COMPUTED_VALUE"""),10.569)</f>
        <v>10.569000000000001</v>
      </c>
      <c r="M1045" s="2">
        <f ca="1">IFERROR(__xludf.DUMMYFUNCTION("""COMPUTED_VALUE"""),14.795)</f>
        <v>14.795</v>
      </c>
      <c r="U1045" s="3" t="e">
        <f ca="1"/>
        <v>#NAME?</v>
      </c>
    </row>
    <row r="1046" spans="3:21" ht="12.5" x14ac:dyDescent="0.25">
      <c r="C1046" s="4">
        <f ca="1">IFERROR(__xludf.DUMMYFUNCTION("""COMPUTED_VALUE"""),41382.9986111111)</f>
        <v>41382.998611111099</v>
      </c>
      <c r="D1046" s="2">
        <f ca="1">IFERROR(__xludf.DUMMYFUNCTION("""COMPUTED_VALUE"""),54.023)</f>
        <v>54.023000000000003</v>
      </c>
      <c r="E1046" s="2">
        <f ca="1">IFERROR(__xludf.DUMMYFUNCTION("""COMPUTED_VALUE"""),71.784)</f>
        <v>71.784000000000006</v>
      </c>
      <c r="F1046" s="2">
        <f ca="1">IFERROR(__xludf.DUMMYFUNCTION("""COMPUTED_VALUE"""),80.611)</f>
        <v>80.611000000000004</v>
      </c>
      <c r="G1046" s="2">
        <f ca="1">IFERROR(__xludf.DUMMYFUNCTION("""COMPUTED_VALUE"""),0.62056)</f>
        <v>0.62056</v>
      </c>
      <c r="H1046" s="2">
        <f ca="1">IFERROR(__xludf.DUMMYFUNCTION("""COMPUTED_VALUE"""),54.123)</f>
        <v>54.122999999999998</v>
      </c>
      <c r="I1046" s="2">
        <f ca="1">IFERROR(__xludf.DUMMYFUNCTION("""COMPUTED_VALUE"""),54.008)</f>
        <v>54.008000000000003</v>
      </c>
      <c r="J1046" s="2">
        <f ca="1">IFERROR(__xludf.DUMMYFUNCTION("""COMPUTED_VALUE"""),43.892)</f>
        <v>43.892000000000003</v>
      </c>
      <c r="K1046" s="2">
        <f ca="1">IFERROR(__xludf.DUMMYFUNCTION("""COMPUTED_VALUE"""),57.293)</f>
        <v>57.292999999999999</v>
      </c>
      <c r="L1046" s="2">
        <f ca="1">IFERROR(__xludf.DUMMYFUNCTION("""COMPUTED_VALUE"""),10.582)</f>
        <v>10.582000000000001</v>
      </c>
      <c r="M1046" s="2">
        <f ca="1">IFERROR(__xludf.DUMMYFUNCTION("""COMPUTED_VALUE"""),14.795)</f>
        <v>14.795</v>
      </c>
      <c r="U1046" s="3" t="e">
        <f ca="1"/>
        <v>#NAME?</v>
      </c>
    </row>
    <row r="1047" spans="3:21" ht="12.5" x14ac:dyDescent="0.25">
      <c r="C1047" s="4">
        <f ca="1">IFERROR(__xludf.DUMMYFUNCTION("""COMPUTED_VALUE"""),41383.9986111111)</f>
        <v>41383.998611111099</v>
      </c>
      <c r="D1047" s="2">
        <f ca="1">IFERROR(__xludf.DUMMYFUNCTION("""COMPUTED_VALUE"""),53.933)</f>
        <v>53.933</v>
      </c>
      <c r="E1047" s="2">
        <f ca="1">IFERROR(__xludf.DUMMYFUNCTION("""COMPUTED_VALUE"""),72.05)</f>
        <v>72.05</v>
      </c>
      <c r="F1047" s="2">
        <f ca="1">IFERROR(__xludf.DUMMYFUNCTION("""COMPUTED_VALUE"""),81.051)</f>
        <v>81.051000000000002</v>
      </c>
      <c r="G1047" s="2">
        <f ca="1">IFERROR(__xludf.DUMMYFUNCTION("""COMPUTED_VALUE"""),0.61063)</f>
        <v>0.61063000000000001</v>
      </c>
      <c r="H1047" s="2">
        <f ca="1">IFERROR(__xludf.DUMMYFUNCTION("""COMPUTED_VALUE"""),53.805)</f>
        <v>53.805</v>
      </c>
      <c r="I1047" s="2">
        <f ca="1">IFERROR(__xludf.DUMMYFUNCTION("""COMPUTED_VALUE"""),54.028)</f>
        <v>54.027999999999999</v>
      </c>
      <c r="J1047" s="2">
        <f ca="1">IFERROR(__xludf.DUMMYFUNCTION("""COMPUTED_VALUE"""),44.026)</f>
        <v>44.026000000000003</v>
      </c>
      <c r="K1047" s="2">
        <f ca="1">IFERROR(__xludf.DUMMYFUNCTION("""COMPUTED_VALUE"""),57.7)</f>
        <v>57.7</v>
      </c>
      <c r="L1047" s="2">
        <f ca="1">IFERROR(__xludf.DUMMYFUNCTION("""COMPUTED_VALUE"""),10.59)</f>
        <v>10.59</v>
      </c>
      <c r="M1047" s="2">
        <f ca="1">IFERROR(__xludf.DUMMYFUNCTION("""COMPUTED_VALUE"""),14.748)</f>
        <v>14.747999999999999</v>
      </c>
      <c r="U1047" s="3" t="e">
        <f ca="1"/>
        <v>#NAME?</v>
      </c>
    </row>
    <row r="1048" spans="3:21" ht="12.5" x14ac:dyDescent="0.25">
      <c r="C1048" s="4">
        <f ca="1">IFERROR(__xludf.DUMMYFUNCTION("""COMPUTED_VALUE"""),41385.9986111111)</f>
        <v>41385.998611111099</v>
      </c>
      <c r="D1048" s="2">
        <f ca="1">IFERROR(__xludf.DUMMYFUNCTION("""COMPUTED_VALUE"""),53.933)</f>
        <v>53.933</v>
      </c>
      <c r="E1048" s="2">
        <f ca="1">IFERROR(__xludf.DUMMYFUNCTION("""COMPUTED_VALUE"""),72.784)</f>
        <v>72.784000000000006</v>
      </c>
      <c r="F1048" s="2">
        <f ca="1">IFERROR(__xludf.DUMMYFUNCTION("""COMPUTED_VALUE"""),81.92)</f>
        <v>81.92</v>
      </c>
      <c r="G1048" s="2">
        <f ca="1">IFERROR(__xludf.DUMMYFUNCTION("""COMPUTED_VALUE"""),0.59983)</f>
        <v>0.59982999999999997</v>
      </c>
      <c r="H1048" s="2">
        <f ca="1">IFERROR(__xludf.DUMMYFUNCTION("""COMPUTED_VALUE"""),53.848)</f>
        <v>53.847999999999999</v>
      </c>
      <c r="I1048" s="2">
        <f ca="1">IFERROR(__xludf.DUMMYFUNCTION("""COMPUTED_VALUE"""),54.084)</f>
        <v>54.084000000000003</v>
      </c>
      <c r="J1048" s="2">
        <f ca="1">IFERROR(__xludf.DUMMYFUNCTION("""COMPUTED_VALUE"""),44.095)</f>
        <v>44.094999999999999</v>
      </c>
      <c r="K1048" s="2">
        <f ca="1">IFERROR(__xludf.DUMMYFUNCTION("""COMPUTED_VALUE"""),57.722)</f>
        <v>57.722000000000001</v>
      </c>
      <c r="L1048" s="2">
        <f ca="1">IFERROR(__xludf.DUMMYFUNCTION("""COMPUTED_VALUE"""),10.635)</f>
        <v>10.635</v>
      </c>
      <c r="M1048" s="2">
        <f ca="1">IFERROR(__xludf.DUMMYFUNCTION("""COMPUTED_VALUE"""),14.801)</f>
        <v>14.801</v>
      </c>
      <c r="U1048" s="3" t="e">
        <f ca="1"/>
        <v>#NAME?</v>
      </c>
    </row>
    <row r="1049" spans="3:21" ht="12.5" x14ac:dyDescent="0.25">
      <c r="C1049" s="4">
        <f ca="1">IFERROR(__xludf.DUMMYFUNCTION("""COMPUTED_VALUE"""),41386.9986111111)</f>
        <v>41386.998611111099</v>
      </c>
      <c r="D1049" s="2">
        <f ca="1">IFERROR(__xludf.DUMMYFUNCTION("""COMPUTED_VALUE"""),54.138)</f>
        <v>54.137999999999998</v>
      </c>
      <c r="E1049" s="2">
        <f ca="1">IFERROR(__xludf.DUMMYFUNCTION("""COMPUTED_VALUE"""),73.491)</f>
        <v>73.491</v>
      </c>
      <c r="F1049" s="2">
        <f ca="1">IFERROR(__xludf.DUMMYFUNCTION("""COMPUTED_VALUE"""),81.573)</f>
        <v>81.572999999999993</v>
      </c>
      <c r="G1049" s="2">
        <f ca="1">IFERROR(__xludf.DUMMYFUNCTION("""COMPUTED_VALUE"""),0.60039)</f>
        <v>0.60038999999999998</v>
      </c>
      <c r="H1049" s="2">
        <f ca="1">IFERROR(__xludf.DUMMYFUNCTION("""COMPUTED_VALUE"""),53.438)</f>
        <v>53.438000000000002</v>
      </c>
      <c r="I1049" s="2">
        <f ca="1">IFERROR(__xludf.DUMMYFUNCTION("""COMPUTED_VALUE"""),53.68)</f>
        <v>53.68</v>
      </c>
      <c r="J1049" s="2">
        <f ca="1">IFERROR(__xludf.DUMMYFUNCTION("""COMPUTED_VALUE"""),44.149)</f>
        <v>44.149000000000001</v>
      </c>
      <c r="K1049" s="2">
        <f ca="1">IFERROR(__xludf.DUMMYFUNCTION("""COMPUTED_VALUE"""),57.069)</f>
        <v>57.069000000000003</v>
      </c>
      <c r="L1049" s="2">
        <f ca="1">IFERROR(__xludf.DUMMYFUNCTION("""COMPUTED_VALUE"""),10.571)</f>
        <v>10.571</v>
      </c>
      <c r="M1049" s="2">
        <f ca="1">IFERROR(__xludf.DUMMYFUNCTION("""COMPUTED_VALUE"""),14.808)</f>
        <v>14.808</v>
      </c>
      <c r="U1049" s="3" t="e">
        <f ca="1"/>
        <v>#NAME?</v>
      </c>
    </row>
    <row r="1050" spans="3:21" ht="12.5" x14ac:dyDescent="0.25">
      <c r="C1050" s="4">
        <f ca="1">IFERROR(__xludf.DUMMYFUNCTION("""COMPUTED_VALUE"""),41387.9986111111)</f>
        <v>41387.998611111099</v>
      </c>
      <c r="D1050" s="2">
        <f ca="1">IFERROR(__xludf.DUMMYFUNCTION("""COMPUTED_VALUE"""),54.378)</f>
        <v>54.378</v>
      </c>
      <c r="E1050" s="2">
        <f ca="1">IFERROR(__xludf.DUMMYFUNCTION("""COMPUTED_VALUE"""),73.468)</f>
        <v>73.468000000000004</v>
      </c>
      <c r="F1050" s="2">
        <f ca="1">IFERROR(__xludf.DUMMYFUNCTION("""COMPUTED_VALUE"""),81.658)</f>
        <v>81.658000000000001</v>
      </c>
      <c r="G1050" s="2">
        <f ca="1">IFERROR(__xludf.DUMMYFUNCTION("""COMPUTED_VALUE"""),0.60039)</f>
        <v>0.60038999999999998</v>
      </c>
      <c r="H1050" s="2">
        <f ca="1">IFERROR(__xludf.DUMMYFUNCTION("""COMPUTED_VALUE"""),53.841)</f>
        <v>53.841000000000001</v>
      </c>
      <c r="I1050" s="2">
        <f ca="1">IFERROR(__xludf.DUMMYFUNCTION("""COMPUTED_VALUE"""),53.887)</f>
        <v>53.887</v>
      </c>
      <c r="J1050" s="2">
        <f ca="1">IFERROR(__xludf.DUMMYFUNCTION("""COMPUTED_VALUE"""),44.019)</f>
        <v>44.018999999999998</v>
      </c>
      <c r="K1050" s="2">
        <f ca="1">IFERROR(__xludf.DUMMYFUNCTION("""COMPUTED_VALUE"""),57.272)</f>
        <v>57.271999999999998</v>
      </c>
      <c r="L1050" s="2">
        <f ca="1">IFERROR(__xludf.DUMMYFUNCTION("""COMPUTED_VALUE"""),10.579)</f>
        <v>10.579000000000001</v>
      </c>
      <c r="M1050" s="2">
        <f ca="1">IFERROR(__xludf.DUMMYFUNCTION("""COMPUTED_VALUE"""),14.778)</f>
        <v>14.778</v>
      </c>
      <c r="U1050" s="3" t="e">
        <f ca="1"/>
        <v>#NAME?</v>
      </c>
    </row>
    <row r="1051" spans="3:21" ht="12.5" x14ac:dyDescent="0.25">
      <c r="C1051" s="4">
        <f ca="1">IFERROR(__xludf.DUMMYFUNCTION("""COMPUTED_VALUE"""),41388.9986111111)</f>
        <v>41388.998611111099</v>
      </c>
      <c r="D1051" s="2">
        <f ca="1">IFERROR(__xludf.DUMMYFUNCTION("""COMPUTED_VALUE"""),54.273)</f>
        <v>54.273000000000003</v>
      </c>
      <c r="E1051" s="2">
        <f ca="1">IFERROR(__xludf.DUMMYFUNCTION("""COMPUTED_VALUE"""),73.44)</f>
        <v>73.44</v>
      </c>
      <c r="F1051" s="2">
        <f ca="1">IFERROR(__xludf.DUMMYFUNCTION("""COMPUTED_VALUE"""),81.539)</f>
        <v>81.539000000000001</v>
      </c>
      <c r="G1051" s="2">
        <f ca="1">IFERROR(__xludf.DUMMYFUNCTION("""COMPUTED_VALUE"""),0.59576)</f>
        <v>0.59575999999999996</v>
      </c>
      <c r="H1051" s="2">
        <f ca="1">IFERROR(__xludf.DUMMYFUNCTION("""COMPUTED_VALUE"""),54.153)</f>
        <v>54.152999999999999</v>
      </c>
      <c r="I1051" s="2">
        <f ca="1">IFERROR(__xludf.DUMMYFUNCTION("""COMPUTED_VALUE"""),54.32)</f>
        <v>54.32</v>
      </c>
      <c r="J1051" s="2">
        <f ca="1">IFERROR(__xludf.DUMMYFUNCTION("""COMPUTED_VALUE"""),44.125)</f>
        <v>44.125</v>
      </c>
      <c r="K1051" s="2">
        <f ca="1">IFERROR(__xludf.DUMMYFUNCTION("""COMPUTED_VALUE"""),56.955)</f>
        <v>56.954999999999998</v>
      </c>
      <c r="L1051" s="2">
        <f ca="1">IFERROR(__xludf.DUMMYFUNCTION("""COMPUTED_VALUE"""),10.562)</f>
        <v>10.561999999999999</v>
      </c>
      <c r="M1051" s="2">
        <f ca="1">IFERROR(__xludf.DUMMYFUNCTION("""COMPUTED_VALUE"""),14.778)</f>
        <v>14.778</v>
      </c>
      <c r="U1051" s="3" t="e">
        <f ca="1"/>
        <v>#NAME?</v>
      </c>
    </row>
    <row r="1052" spans="3:21" ht="12.5" x14ac:dyDescent="0.25">
      <c r="C1052" s="4">
        <f ca="1">IFERROR(__xludf.DUMMYFUNCTION("""COMPUTED_VALUE"""),41389.9986111111)</f>
        <v>41389.998611111099</v>
      </c>
      <c r="D1052" s="2">
        <f ca="1">IFERROR(__xludf.DUMMYFUNCTION("""COMPUTED_VALUE"""),54.218)</f>
        <v>54.218000000000004</v>
      </c>
      <c r="E1052" s="2">
        <f ca="1">IFERROR(__xludf.DUMMYFUNCTION("""COMPUTED_VALUE"""),72.3881)</f>
        <v>72.388099999999994</v>
      </c>
      <c r="F1052" s="2">
        <f ca="1">IFERROR(__xludf.DUMMYFUNCTION("""COMPUTED_VALUE"""),81.98)</f>
        <v>81.98</v>
      </c>
      <c r="G1052" s="2">
        <f ca="1">IFERROR(__xludf.DUMMYFUNCTION("""COMPUTED_VALUE"""),0.59059)</f>
        <v>0.59058999999999995</v>
      </c>
      <c r="H1052" s="2">
        <f ca="1">IFERROR(__xludf.DUMMYFUNCTION("""COMPUTED_VALUE"""),54.51)</f>
        <v>54.51</v>
      </c>
      <c r="I1052" s="2">
        <f ca="1">IFERROR(__xludf.DUMMYFUNCTION("""COMPUTED_VALUE"""),54.683)</f>
        <v>54.683</v>
      </c>
      <c r="J1052" s="2">
        <f ca="1">IFERROR(__xludf.DUMMYFUNCTION("""COMPUTED_VALUE"""),44.433)</f>
        <v>44.433</v>
      </c>
      <c r="K1052" s="2">
        <f ca="1">IFERROR(__xludf.DUMMYFUNCTION("""COMPUTED_VALUE"""),57.153)</f>
        <v>57.152999999999999</v>
      </c>
      <c r="L1052" s="2">
        <f ca="1">IFERROR(__xludf.DUMMYFUNCTION("""COMPUTED_VALUE"""),10.5)</f>
        <v>10.5</v>
      </c>
      <c r="M1052" s="2">
        <f ca="1">IFERROR(__xludf.DUMMYFUNCTION("""COMPUTED_VALUE"""),14.778)</f>
        <v>14.778</v>
      </c>
      <c r="U1052" s="3" t="e">
        <f ca="1"/>
        <v>#NAME?</v>
      </c>
    </row>
    <row r="1053" spans="3:21" ht="12.5" x14ac:dyDescent="0.25">
      <c r="C1053" s="4">
        <f ca="1">IFERROR(__xludf.DUMMYFUNCTION("""COMPUTED_VALUE"""),41390.9986111111)</f>
        <v>41390.998611111099</v>
      </c>
      <c r="D1053" s="2">
        <f ca="1">IFERROR(__xludf.DUMMYFUNCTION("""COMPUTED_VALUE"""),54.373)</f>
        <v>54.372999999999998</v>
      </c>
      <c r="E1053" s="2">
        <f ca="1">IFERROR(__xludf.DUMMYFUNCTION("""COMPUTED_VALUE"""),74)</f>
        <v>74</v>
      </c>
      <c r="F1053" s="2">
        <f ca="1">IFERROR(__xludf.DUMMYFUNCTION("""COMPUTED_VALUE"""),81.905)</f>
        <v>81.905000000000001</v>
      </c>
      <c r="G1053" s="2">
        <f ca="1">IFERROR(__xludf.DUMMYFUNCTION("""COMPUTED_VALUE"""),0.60176)</f>
        <v>0.60175999999999996</v>
      </c>
      <c r="H1053" s="2">
        <f ca="1">IFERROR(__xludf.DUMMYFUNCTION("""COMPUTED_VALUE"""),54.114)</f>
        <v>54.113999999999997</v>
      </c>
      <c r="I1053" s="2">
        <f ca="1">IFERROR(__xludf.DUMMYFUNCTION("""COMPUTED_VALUE"""),54.489)</f>
        <v>54.488999999999997</v>
      </c>
      <c r="J1053" s="2">
        <f ca="1">IFERROR(__xludf.DUMMYFUNCTION("""COMPUTED_VALUE"""),44.769)</f>
        <v>44.768999999999998</v>
      </c>
      <c r="K1053" s="2">
        <f ca="1">IFERROR(__xludf.DUMMYFUNCTION("""COMPUTED_VALUE"""),57.198)</f>
        <v>57.198</v>
      </c>
      <c r="L1053" s="2">
        <f ca="1">IFERROR(__xludf.DUMMYFUNCTION("""COMPUTED_VALUE"""),10.432)</f>
        <v>10.432</v>
      </c>
      <c r="M1053" s="2">
        <f ca="1">IFERROR(__xludf.DUMMYFUNCTION("""COMPUTED_VALUE"""),14.778)</f>
        <v>14.778</v>
      </c>
      <c r="U1053" s="3" t="e">
        <f ca="1"/>
        <v>#NAME?</v>
      </c>
    </row>
    <row r="1054" spans="3:21" ht="12.5" x14ac:dyDescent="0.25">
      <c r="C1054" s="4">
        <f ca="1">IFERROR(__xludf.DUMMYFUNCTION("""COMPUTED_VALUE"""),41391.9986111111)</f>
        <v>41391.998611111099</v>
      </c>
      <c r="D1054" s="2">
        <f ca="1">IFERROR(__xludf.DUMMYFUNCTION("""COMPUTED_VALUE"""),54.373)</f>
        <v>54.372999999999998</v>
      </c>
      <c r="E1054" s="2">
        <f ca="1">IFERROR(__xludf.DUMMYFUNCTION("""COMPUTED_VALUE"""),73.75)</f>
        <v>73.75</v>
      </c>
      <c r="F1054" s="2">
        <f ca="1">IFERROR(__xludf.DUMMYFUNCTION("""COMPUTED_VALUE"""),82.317)</f>
        <v>82.316999999999993</v>
      </c>
      <c r="G1054" s="2">
        <f ca="1">IFERROR(__xludf.DUMMYFUNCTION("""COMPUTED_VALUE"""),0.59984)</f>
        <v>0.59984000000000004</v>
      </c>
      <c r="H1054" s="2">
        <f ca="1">IFERROR(__xludf.DUMMYFUNCTION("""COMPUTED_VALUE"""),54.079)</f>
        <v>54.079000000000001</v>
      </c>
      <c r="I1054" s="2">
        <f ca="1">IFERROR(__xludf.DUMMYFUNCTION("""COMPUTED_VALUE"""),54.477)</f>
        <v>54.476999999999997</v>
      </c>
      <c r="J1054" s="2">
        <f ca="1">IFERROR(__xludf.DUMMYFUNCTION("""COMPUTED_VALUE"""),44.709)</f>
        <v>44.709000000000003</v>
      </c>
      <c r="K1054" s="2">
        <f ca="1">IFERROR(__xludf.DUMMYFUNCTION("""COMPUTED_VALUE"""),57.108)</f>
        <v>57.107999999999997</v>
      </c>
      <c r="L1054" s="2">
        <f ca="1">IFERROR(__xludf.DUMMYFUNCTION("""COMPUTED_VALUE"""),10.431)</f>
        <v>10.430999999999999</v>
      </c>
      <c r="M1054" s="2">
        <f ca="1">IFERROR(__xludf.DUMMYFUNCTION("""COMPUTED_VALUE"""),14.77)</f>
        <v>14.77</v>
      </c>
      <c r="U1054" s="3" t="e">
        <f ca="1"/>
        <v>#NAME?</v>
      </c>
    </row>
    <row r="1055" spans="3:21" ht="12.5" x14ac:dyDescent="0.25">
      <c r="C1055" s="4">
        <f ca="1">IFERROR(__xludf.DUMMYFUNCTION("""COMPUTED_VALUE"""),41392.9986111111)</f>
        <v>41392.998611111099</v>
      </c>
      <c r="D1055" s="2">
        <f ca="1">IFERROR(__xludf.DUMMYFUNCTION("""COMPUTED_VALUE"""),54.373)</f>
        <v>54.372999999999998</v>
      </c>
      <c r="E1055" s="2">
        <f ca="1">IFERROR(__xludf.DUMMYFUNCTION("""COMPUTED_VALUE"""),74.188)</f>
        <v>74.188000000000002</v>
      </c>
      <c r="F1055" s="2">
        <f ca="1">IFERROR(__xludf.DUMMYFUNCTION("""COMPUTED_VALUE"""),82.757)</f>
        <v>82.757000000000005</v>
      </c>
      <c r="G1055" s="2">
        <f ca="1">IFERROR(__xludf.DUMMYFUNCTION("""COMPUTED_VALUE"""),0.59454)</f>
        <v>0.59453999999999996</v>
      </c>
      <c r="H1055" s="2">
        <f ca="1">IFERROR(__xludf.DUMMYFUNCTION("""COMPUTED_VALUE"""),53.293)</f>
        <v>53.292999999999999</v>
      </c>
      <c r="I1055" s="2">
        <f ca="1">IFERROR(__xludf.DUMMYFUNCTION("""COMPUTED_VALUE"""),53.692)</f>
        <v>53.692</v>
      </c>
      <c r="J1055" s="2">
        <f ca="1">IFERROR(__xludf.DUMMYFUNCTION("""COMPUTED_VALUE"""),44.7)</f>
        <v>44.7</v>
      </c>
      <c r="K1055" s="2">
        <f ca="1">IFERROR(__xludf.DUMMYFUNCTION("""COMPUTED_VALUE"""),57.301)</f>
        <v>57.301000000000002</v>
      </c>
      <c r="L1055" s="2">
        <f ca="1">IFERROR(__xludf.DUMMYFUNCTION("""COMPUTED_VALUE"""),10.412)</f>
        <v>10.412000000000001</v>
      </c>
      <c r="M1055" s="2">
        <f ca="1">IFERROR(__xludf.DUMMYFUNCTION("""COMPUTED_VALUE"""),14.817)</f>
        <v>14.817</v>
      </c>
      <c r="U1055" s="3" t="e">
        <f ca="1"/>
        <v>#NAME?</v>
      </c>
    </row>
    <row r="1056" spans="3:21" ht="12.5" x14ac:dyDescent="0.25">
      <c r="C1056" s="4">
        <f ca="1">IFERROR(__xludf.DUMMYFUNCTION("""COMPUTED_VALUE"""),41393.9986111111)</f>
        <v>41393.998611111099</v>
      </c>
      <c r="D1056" s="2">
        <f ca="1">IFERROR(__xludf.DUMMYFUNCTION("""COMPUTED_VALUE"""),54.228)</f>
        <v>54.228000000000002</v>
      </c>
      <c r="E1056" s="2">
        <f ca="1">IFERROR(__xludf.DUMMYFUNCTION("""COMPUTED_VALUE"""),75.208)</f>
        <v>75.207999999999998</v>
      </c>
      <c r="F1056" s="2">
        <f ca="1">IFERROR(__xludf.DUMMYFUNCTION("""COMPUTED_VALUE"""),82.759)</f>
        <v>82.759</v>
      </c>
      <c r="G1056" s="2">
        <f ca="1">IFERROR(__xludf.DUMMYFUNCTION("""COMPUTED_VALUE"""),0.59449)</f>
        <v>0.59448999999999996</v>
      </c>
      <c r="H1056" s="2">
        <f ca="1">IFERROR(__xludf.DUMMYFUNCTION("""COMPUTED_VALUE"""),55.267)</f>
        <v>55.267000000000003</v>
      </c>
      <c r="I1056" s="2">
        <f ca="1">IFERROR(__xludf.DUMMYFUNCTION("""COMPUTED_VALUE"""),55.06)</f>
        <v>55.06</v>
      </c>
      <c r="J1056" s="2">
        <f ca="1">IFERROR(__xludf.DUMMYFUNCTION("""COMPUTED_VALUE"""),44.052)</f>
        <v>44.052</v>
      </c>
      <c r="K1056" s="2">
        <f ca="1">IFERROR(__xludf.DUMMYFUNCTION("""COMPUTED_VALUE"""),57.319)</f>
        <v>57.319000000000003</v>
      </c>
      <c r="L1056" s="2">
        <f ca="1">IFERROR(__xludf.DUMMYFUNCTION("""COMPUTED_VALUE"""),10.429)</f>
        <v>10.429</v>
      </c>
      <c r="M1056" s="2">
        <f ca="1">IFERROR(__xludf.DUMMYFUNCTION("""COMPUTED_VALUE"""),14.818)</f>
        <v>14.818</v>
      </c>
      <c r="U1056" s="3" t="e">
        <f ca="1"/>
        <v>#NAME?</v>
      </c>
    </row>
    <row r="1057" spans="3:21" ht="12.5" x14ac:dyDescent="0.25">
      <c r="C1057" s="4">
        <f ca="1">IFERROR(__xludf.DUMMYFUNCTION("""COMPUTED_VALUE"""),41394.9986111111)</f>
        <v>41394.998611111099</v>
      </c>
      <c r="D1057" s="2">
        <f ca="1">IFERROR(__xludf.DUMMYFUNCTION("""COMPUTED_VALUE"""),53.798)</f>
        <v>53.798000000000002</v>
      </c>
      <c r="E1057" s="2">
        <f ca="1">IFERROR(__xludf.DUMMYFUNCTION("""COMPUTED_VALUE"""),75.351)</f>
        <v>75.350999999999999</v>
      </c>
      <c r="F1057" s="2">
        <f ca="1">IFERROR(__xludf.DUMMYFUNCTION("""COMPUTED_VALUE"""),82.759)</f>
        <v>82.759</v>
      </c>
      <c r="G1057" s="2">
        <f ca="1">IFERROR(__xludf.DUMMYFUNCTION("""COMPUTED_VALUE"""),0.59518)</f>
        <v>0.59518000000000004</v>
      </c>
      <c r="H1057" s="2">
        <f ca="1">IFERROR(__xludf.DUMMYFUNCTION("""COMPUTED_VALUE"""),54.432)</f>
        <v>54.432000000000002</v>
      </c>
      <c r="I1057" s="2">
        <f ca="1">IFERROR(__xludf.DUMMYFUNCTION("""COMPUTED_VALUE"""),54.517)</f>
        <v>54.517000000000003</v>
      </c>
      <c r="J1057" s="2">
        <f ca="1">IFERROR(__xludf.DUMMYFUNCTION("""COMPUTED_VALUE"""),45.209)</f>
        <v>45.209000000000003</v>
      </c>
      <c r="K1057" s="2">
        <f ca="1">IFERROR(__xludf.DUMMYFUNCTION("""COMPUTED_VALUE"""),57.518)</f>
        <v>57.518000000000001</v>
      </c>
      <c r="L1057" s="2">
        <f ca="1">IFERROR(__xludf.DUMMYFUNCTION("""COMPUTED_VALUE"""),10.369)</f>
        <v>10.369</v>
      </c>
      <c r="M1057" s="2">
        <f ca="1">IFERROR(__xludf.DUMMYFUNCTION("""COMPUTED_VALUE"""),14.942)</f>
        <v>14.942</v>
      </c>
      <c r="U1057" s="3" t="e">
        <f ca="1"/>
        <v>#NAME?</v>
      </c>
    </row>
    <row r="1058" spans="3:21" ht="12.5" x14ac:dyDescent="0.25">
      <c r="C1058" s="4">
        <f ca="1">IFERROR(__xludf.DUMMYFUNCTION("""COMPUTED_VALUE"""),41395.9986111111)</f>
        <v>41395.998611111099</v>
      </c>
      <c r="D1058" s="2">
        <f ca="1">IFERROR(__xludf.DUMMYFUNCTION("""COMPUTED_VALUE"""),53.658)</f>
        <v>53.658000000000001</v>
      </c>
      <c r="E1058" s="2">
        <f ca="1">IFERROR(__xludf.DUMMYFUNCTION("""COMPUTED_VALUE"""),74.6187)</f>
        <v>74.618700000000004</v>
      </c>
      <c r="F1058" s="2">
        <f ca="1">IFERROR(__xludf.DUMMYFUNCTION("""COMPUTED_VALUE"""),82.132)</f>
        <v>82.132000000000005</v>
      </c>
      <c r="G1058" s="2">
        <f ca="1">IFERROR(__xludf.DUMMYFUNCTION("""COMPUTED_VALUE"""),0.60117)</f>
        <v>0.60116999999999998</v>
      </c>
      <c r="H1058" s="2">
        <f ca="1">IFERROR(__xludf.DUMMYFUNCTION("""COMPUTED_VALUE"""),53.976)</f>
        <v>53.975999999999999</v>
      </c>
      <c r="I1058" s="2">
        <f ca="1">IFERROR(__xludf.DUMMYFUNCTION("""COMPUTED_VALUE"""),54.779)</f>
        <v>54.779000000000003</v>
      </c>
      <c r="J1058" s="2">
        <f ca="1">IFERROR(__xludf.DUMMYFUNCTION("""COMPUTED_VALUE"""),45)</f>
        <v>45</v>
      </c>
      <c r="K1058" s="2">
        <f ca="1">IFERROR(__xludf.DUMMYFUNCTION("""COMPUTED_VALUE"""),58.319)</f>
        <v>58.319000000000003</v>
      </c>
      <c r="L1058" s="2">
        <f ca="1">IFERROR(__xludf.DUMMYFUNCTION("""COMPUTED_VALUE"""),10.369)</f>
        <v>10.369</v>
      </c>
      <c r="M1058" s="2">
        <f ca="1">IFERROR(__xludf.DUMMYFUNCTION("""COMPUTED_VALUE"""),14.921)</f>
        <v>14.920999999999999</v>
      </c>
      <c r="U1058" s="3" t="e">
        <f ca="1"/>
        <v>#NAME?</v>
      </c>
    </row>
    <row r="1059" spans="3:21" ht="12.5" x14ac:dyDescent="0.25">
      <c r="C1059" s="4">
        <f ca="1">IFERROR(__xludf.DUMMYFUNCTION("""COMPUTED_VALUE"""),41396.9986111111)</f>
        <v>41396.998611111099</v>
      </c>
      <c r="D1059" s="2">
        <f ca="1">IFERROR(__xludf.DUMMYFUNCTION("""COMPUTED_VALUE"""),53.808)</f>
        <v>53.808</v>
      </c>
      <c r="E1059" s="2">
        <f ca="1">IFERROR(__xludf.DUMMYFUNCTION("""COMPUTED_VALUE"""),75.448)</f>
        <v>75.447999999999993</v>
      </c>
      <c r="F1059" s="2">
        <f ca="1">IFERROR(__xludf.DUMMYFUNCTION("""COMPUTED_VALUE"""),82.34)</f>
        <v>82.34</v>
      </c>
      <c r="G1059" s="2">
        <f ca="1">IFERROR(__xludf.DUMMYFUNCTION("""COMPUTED_VALUE"""),0.59354)</f>
        <v>0.59353999999999996</v>
      </c>
      <c r="H1059" s="2">
        <f ca="1">IFERROR(__xludf.DUMMYFUNCTION("""COMPUTED_VALUE"""),54.353)</f>
        <v>54.353000000000002</v>
      </c>
      <c r="I1059" s="2">
        <f ca="1">IFERROR(__xludf.DUMMYFUNCTION("""COMPUTED_VALUE"""),55.281)</f>
        <v>55.280999999999999</v>
      </c>
      <c r="J1059" s="2">
        <f ca="1">IFERROR(__xludf.DUMMYFUNCTION("""COMPUTED_VALUE"""),45.293)</f>
        <v>45.292999999999999</v>
      </c>
      <c r="K1059" s="2">
        <f ca="1">IFERROR(__xludf.DUMMYFUNCTION("""COMPUTED_VALUE"""),58.245)</f>
        <v>58.244999999999997</v>
      </c>
      <c r="L1059" s="2">
        <f ca="1">IFERROR(__xludf.DUMMYFUNCTION("""COMPUTED_VALUE"""),10.359)</f>
        <v>10.359</v>
      </c>
      <c r="M1059" s="2">
        <f ca="1">IFERROR(__xludf.DUMMYFUNCTION("""COMPUTED_VALUE"""),14.921)</f>
        <v>14.920999999999999</v>
      </c>
      <c r="U1059" s="3" t="e">
        <f ca="1"/>
        <v>#NAME?</v>
      </c>
    </row>
    <row r="1060" spans="3:21" ht="12.5" x14ac:dyDescent="0.25">
      <c r="C1060" s="4">
        <f ca="1">IFERROR(__xludf.DUMMYFUNCTION("""COMPUTED_VALUE"""),41397.9986111111)</f>
        <v>41397.998611111099</v>
      </c>
      <c r="D1060" s="2">
        <f ca="1">IFERROR(__xludf.DUMMYFUNCTION("""COMPUTED_VALUE"""),53.803)</f>
        <v>53.802999999999997</v>
      </c>
      <c r="E1060" s="2">
        <f ca="1">IFERROR(__xludf.DUMMYFUNCTION("""COMPUTED_VALUE"""),77.088)</f>
        <v>77.087999999999994</v>
      </c>
      <c r="F1060" s="2">
        <f ca="1">IFERROR(__xludf.DUMMYFUNCTION("""COMPUTED_VALUE"""),82.196)</f>
        <v>82.195999999999998</v>
      </c>
      <c r="G1060" s="2">
        <f ca="1">IFERROR(__xludf.DUMMYFUNCTION("""COMPUTED_VALUE"""),0.60702)</f>
        <v>0.60702</v>
      </c>
      <c r="H1060" s="2">
        <f ca="1">IFERROR(__xludf.DUMMYFUNCTION("""COMPUTED_VALUE"""),54.143)</f>
        <v>54.143000000000001</v>
      </c>
      <c r="I1060" s="2">
        <f ca="1">IFERROR(__xludf.DUMMYFUNCTION("""COMPUTED_VALUE"""),55.907)</f>
        <v>55.906999999999996</v>
      </c>
      <c r="J1060" s="2">
        <f ca="1">IFERROR(__xludf.DUMMYFUNCTION("""COMPUTED_VALUE"""),45.633)</f>
        <v>45.633000000000003</v>
      </c>
      <c r="K1060" s="2">
        <f ca="1">IFERROR(__xludf.DUMMYFUNCTION("""COMPUTED_VALUE"""),58.241)</f>
        <v>58.241</v>
      </c>
      <c r="L1060" s="2">
        <f ca="1">IFERROR(__xludf.DUMMYFUNCTION("""COMPUTED_VALUE"""),10.307)</f>
        <v>10.307</v>
      </c>
      <c r="M1060" s="2">
        <f ca="1">IFERROR(__xludf.DUMMYFUNCTION("""COMPUTED_VALUE"""),14.921)</f>
        <v>14.920999999999999</v>
      </c>
      <c r="U1060" s="3" t="e">
        <f ca="1"/>
        <v>#NAME?</v>
      </c>
    </row>
    <row r="1061" spans="3:21" ht="12.5" x14ac:dyDescent="0.25">
      <c r="C1061" s="4">
        <f ca="1">IFERROR(__xludf.DUMMYFUNCTION("""COMPUTED_VALUE"""),41398.9986111111)</f>
        <v>41398.998611111099</v>
      </c>
      <c r="D1061" s="2">
        <f ca="1">IFERROR(__xludf.DUMMYFUNCTION("""COMPUTED_VALUE"""),53.803)</f>
        <v>53.802999999999997</v>
      </c>
      <c r="E1061" s="2">
        <f ca="1">IFERROR(__xludf.DUMMYFUNCTION("""COMPUTED_VALUE"""),77.591)</f>
        <v>77.590999999999994</v>
      </c>
      <c r="F1061" s="2">
        <f ca="1">IFERROR(__xludf.DUMMYFUNCTION("""COMPUTED_VALUE"""),82.454)</f>
        <v>82.453999999999994</v>
      </c>
      <c r="G1061" s="2">
        <f ca="1">IFERROR(__xludf.DUMMYFUNCTION("""COMPUTED_VALUE"""),0.60343)</f>
        <v>0.60343000000000002</v>
      </c>
      <c r="H1061" s="2">
        <f ca="1">IFERROR(__xludf.DUMMYFUNCTION("""COMPUTED_VALUE"""),53.58)</f>
        <v>53.58</v>
      </c>
      <c r="I1061" s="2">
        <f ca="1">IFERROR(__xludf.DUMMYFUNCTION("""COMPUTED_VALUE"""),55.347)</f>
        <v>55.347000000000001</v>
      </c>
      <c r="J1061" s="2">
        <f ca="1">IFERROR(__xludf.DUMMYFUNCTION("""COMPUTED_VALUE"""),45.63)</f>
        <v>45.63</v>
      </c>
      <c r="K1061" s="2">
        <f ca="1">IFERROR(__xludf.DUMMYFUNCTION("""COMPUTED_VALUE"""),58.279)</f>
        <v>58.279000000000003</v>
      </c>
      <c r="L1061" s="2">
        <f ca="1">IFERROR(__xludf.DUMMYFUNCTION("""COMPUTED_VALUE"""),10.265)</f>
        <v>10.265000000000001</v>
      </c>
      <c r="M1061" s="2">
        <f ca="1">IFERROR(__xludf.DUMMYFUNCTION("""COMPUTED_VALUE"""),14.854)</f>
        <v>14.853999999999999</v>
      </c>
      <c r="U1061" s="3" t="e">
        <f ca="1"/>
        <v>#NAME?</v>
      </c>
    </row>
    <row r="1062" spans="3:21" ht="12.5" x14ac:dyDescent="0.25">
      <c r="C1062" s="4">
        <f ca="1">IFERROR(__xludf.DUMMYFUNCTION("""COMPUTED_VALUE"""),41399.9986111111)</f>
        <v>41399.998611111099</v>
      </c>
      <c r="D1062" s="2">
        <f ca="1">IFERROR(__xludf.DUMMYFUNCTION("""COMPUTED_VALUE"""),53.78)</f>
        <v>53.78</v>
      </c>
      <c r="E1062" s="2">
        <f ca="1">IFERROR(__xludf.DUMMYFUNCTION("""COMPUTED_VALUE"""),77.066)</f>
        <v>77.066000000000003</v>
      </c>
      <c r="F1062" s="2">
        <f ca="1">IFERROR(__xludf.DUMMYFUNCTION("""COMPUTED_VALUE"""),82.403)</f>
        <v>82.403000000000006</v>
      </c>
      <c r="G1062" s="2">
        <f ca="1">IFERROR(__xludf.DUMMYFUNCTION("""COMPUTED_VALUE"""),0.6028)</f>
        <v>0.6028</v>
      </c>
      <c r="H1062" s="2">
        <f ca="1">IFERROR(__xludf.DUMMYFUNCTION("""COMPUTED_VALUE"""),54.176)</f>
        <v>54.176000000000002</v>
      </c>
      <c r="I1062" s="2">
        <f ca="1">IFERROR(__xludf.DUMMYFUNCTION("""COMPUTED_VALUE"""),55.959)</f>
        <v>55.959000000000003</v>
      </c>
      <c r="J1062" s="2">
        <f ca="1">IFERROR(__xludf.DUMMYFUNCTION("""COMPUTED_VALUE"""),45.186)</f>
        <v>45.186</v>
      </c>
      <c r="K1062" s="2">
        <f ca="1">IFERROR(__xludf.DUMMYFUNCTION("""COMPUTED_VALUE"""),58.466)</f>
        <v>58.466000000000001</v>
      </c>
      <c r="L1062" s="2">
        <f ca="1">IFERROR(__xludf.DUMMYFUNCTION("""COMPUTED_VALUE"""),10.213)</f>
        <v>10.212999999999999</v>
      </c>
      <c r="M1062" s="2">
        <f ca="1">IFERROR(__xludf.DUMMYFUNCTION("""COMPUTED_VALUE"""),14.86)</f>
        <v>14.86</v>
      </c>
      <c r="U1062" s="3" t="e">
        <f ca="1"/>
        <v>#NAME?</v>
      </c>
    </row>
    <row r="1063" spans="3:21" ht="12.5" x14ac:dyDescent="0.25">
      <c r="C1063" s="4">
        <f ca="1">IFERROR(__xludf.DUMMYFUNCTION("""COMPUTED_VALUE"""),41400.9986111111)</f>
        <v>41400.998611111099</v>
      </c>
      <c r="D1063" s="2">
        <f ca="1">IFERROR(__xludf.DUMMYFUNCTION("""COMPUTED_VALUE"""),54.173)</f>
        <v>54.173000000000002</v>
      </c>
      <c r="E1063" s="2">
        <f ca="1">IFERROR(__xludf.DUMMYFUNCTION("""COMPUTED_VALUE"""),77.455)</f>
        <v>77.454999999999998</v>
      </c>
      <c r="F1063" s="2">
        <f ca="1">IFERROR(__xludf.DUMMYFUNCTION("""COMPUTED_VALUE"""),82.372)</f>
        <v>82.372</v>
      </c>
      <c r="G1063" s="2">
        <f ca="1">IFERROR(__xludf.DUMMYFUNCTION("""COMPUTED_VALUE"""),0.59345)</f>
        <v>0.59345000000000003</v>
      </c>
      <c r="H1063" s="2">
        <f ca="1">IFERROR(__xludf.DUMMYFUNCTION("""COMPUTED_VALUE"""),54.997)</f>
        <v>54.997</v>
      </c>
      <c r="I1063" s="2">
        <f ca="1">IFERROR(__xludf.DUMMYFUNCTION("""COMPUTED_VALUE"""),57.039)</f>
        <v>57.039000000000001</v>
      </c>
      <c r="J1063" s="2">
        <f ca="1">IFERROR(__xludf.DUMMYFUNCTION("""COMPUTED_VALUE"""),45.683)</f>
        <v>45.683</v>
      </c>
      <c r="K1063" s="2">
        <f ca="1">IFERROR(__xludf.DUMMYFUNCTION("""COMPUTED_VALUE"""),58.389)</f>
        <v>58.389000000000003</v>
      </c>
      <c r="L1063" s="2">
        <f ca="1">IFERROR(__xludf.DUMMYFUNCTION("""COMPUTED_VALUE"""),10.272)</f>
        <v>10.272</v>
      </c>
      <c r="M1063" s="2">
        <f ca="1">IFERROR(__xludf.DUMMYFUNCTION("""COMPUTED_VALUE"""),14.842)</f>
        <v>14.842000000000001</v>
      </c>
      <c r="U1063" s="3" t="e">
        <f ca="1"/>
        <v>#NAME?</v>
      </c>
    </row>
    <row r="1064" spans="3:21" ht="12.5" x14ac:dyDescent="0.25">
      <c r="C1064" s="4">
        <f ca="1">IFERROR(__xludf.DUMMYFUNCTION("""COMPUTED_VALUE"""),41401.9986111111)</f>
        <v>41401.998611111099</v>
      </c>
      <c r="D1064" s="2">
        <f ca="1">IFERROR(__xludf.DUMMYFUNCTION("""COMPUTED_VALUE"""),54.128)</f>
        <v>54.128</v>
      </c>
      <c r="E1064" s="2">
        <f ca="1">IFERROR(__xludf.DUMMYFUNCTION("""COMPUTED_VALUE"""),76.669)</f>
        <v>76.668999999999997</v>
      </c>
      <c r="F1064" s="2">
        <f ca="1">IFERROR(__xludf.DUMMYFUNCTION("""COMPUTED_VALUE"""),82.639)</f>
        <v>82.638999999999996</v>
      </c>
      <c r="G1064" s="2">
        <f ca="1">IFERROR(__xludf.DUMMYFUNCTION("""COMPUTED_VALUE"""),0.60352)</f>
        <v>0.60351999999999995</v>
      </c>
      <c r="H1064" s="2">
        <f ca="1">IFERROR(__xludf.DUMMYFUNCTION("""COMPUTED_VALUE"""),55.16)</f>
        <v>55.16</v>
      </c>
      <c r="I1064" s="2">
        <f ca="1">IFERROR(__xludf.DUMMYFUNCTION("""COMPUTED_VALUE"""),57.225)</f>
        <v>57.225000000000001</v>
      </c>
      <c r="J1064" s="2">
        <f ca="1">IFERROR(__xludf.DUMMYFUNCTION("""COMPUTED_VALUE"""),46.198)</f>
        <v>46.198</v>
      </c>
      <c r="K1064" s="2">
        <f ca="1">IFERROR(__xludf.DUMMYFUNCTION("""COMPUTED_VALUE"""),58.294)</f>
        <v>58.293999999999997</v>
      </c>
      <c r="L1064" s="2">
        <f ca="1">IFERROR(__xludf.DUMMYFUNCTION("""COMPUTED_VALUE"""),10.265)</f>
        <v>10.265000000000001</v>
      </c>
      <c r="M1064" s="2">
        <f ca="1">IFERROR(__xludf.DUMMYFUNCTION("""COMPUTED_VALUE"""),14.784)</f>
        <v>14.784000000000001</v>
      </c>
      <c r="U1064" s="3" t="e">
        <f ca="1"/>
        <v>#NAME?</v>
      </c>
    </row>
    <row r="1065" spans="3:21" ht="12.5" x14ac:dyDescent="0.25">
      <c r="C1065" s="4">
        <f ca="1">IFERROR(__xludf.DUMMYFUNCTION("""COMPUTED_VALUE"""),41402.9986111111)</f>
        <v>41402.998611111099</v>
      </c>
      <c r="D1065" s="2">
        <f ca="1">IFERROR(__xludf.DUMMYFUNCTION("""COMPUTED_VALUE"""),54.158)</f>
        <v>54.158000000000001</v>
      </c>
      <c r="E1065" s="2">
        <f ca="1">IFERROR(__xludf.DUMMYFUNCTION("""COMPUTED_VALUE"""),75.6251)</f>
        <v>75.625100000000003</v>
      </c>
      <c r="F1065" s="2">
        <f ca="1">IFERROR(__xludf.DUMMYFUNCTION("""COMPUTED_VALUE"""),82.124)</f>
        <v>82.123999999999995</v>
      </c>
      <c r="G1065" s="2">
        <f ca="1">IFERROR(__xludf.DUMMYFUNCTION("""COMPUTED_VALUE"""),0.59813)</f>
        <v>0.59813000000000005</v>
      </c>
      <c r="H1065" s="2">
        <f ca="1">IFERROR(__xludf.DUMMYFUNCTION("""COMPUTED_VALUE"""),54.76)</f>
        <v>54.76</v>
      </c>
      <c r="I1065" s="2">
        <f ca="1">IFERROR(__xludf.DUMMYFUNCTION("""COMPUTED_VALUE"""),56.589)</f>
        <v>56.588999999999999</v>
      </c>
      <c r="J1065" s="2">
        <f ca="1">IFERROR(__xludf.DUMMYFUNCTION("""COMPUTED_VALUE"""),46.488)</f>
        <v>46.488</v>
      </c>
      <c r="K1065" s="2">
        <f ca="1">IFERROR(__xludf.DUMMYFUNCTION("""COMPUTED_VALUE"""),58.779)</f>
        <v>58.779000000000003</v>
      </c>
      <c r="L1065" s="2">
        <f ca="1">IFERROR(__xludf.DUMMYFUNCTION("""COMPUTED_VALUE"""),10.261)</f>
        <v>10.260999999999999</v>
      </c>
      <c r="M1065" s="2">
        <f ca="1">IFERROR(__xludf.DUMMYFUNCTION("""COMPUTED_VALUE"""),14.842)</f>
        <v>14.842000000000001</v>
      </c>
      <c r="U1065" s="3" t="e">
        <f ca="1"/>
        <v>#NAME?</v>
      </c>
    </row>
    <row r="1066" spans="3:21" ht="12.5" x14ac:dyDescent="0.25">
      <c r="C1066" s="4">
        <f ca="1">IFERROR(__xludf.DUMMYFUNCTION("""COMPUTED_VALUE"""),41403.9986111111)</f>
        <v>41403.998611111099</v>
      </c>
      <c r="D1066" s="2">
        <f ca="1">IFERROR(__xludf.DUMMYFUNCTION("""COMPUTED_VALUE"""),54.248)</f>
        <v>54.247999999999998</v>
      </c>
      <c r="E1066" s="2">
        <f ca="1">IFERROR(__xludf.DUMMYFUNCTION("""COMPUTED_VALUE"""),76.742)</f>
        <v>76.742000000000004</v>
      </c>
      <c r="F1066" s="2">
        <f ca="1">IFERROR(__xludf.DUMMYFUNCTION("""COMPUTED_VALUE"""),82.284)</f>
        <v>82.284000000000006</v>
      </c>
      <c r="G1066" s="2">
        <f ca="1">IFERROR(__xludf.DUMMYFUNCTION("""COMPUTED_VALUE"""),0.59747)</f>
        <v>0.59746999999999995</v>
      </c>
      <c r="H1066" s="2">
        <f ca="1">IFERROR(__xludf.DUMMYFUNCTION("""COMPUTED_VALUE"""),55.852)</f>
        <v>55.851999999999997</v>
      </c>
      <c r="I1066" s="2">
        <f ca="1">IFERROR(__xludf.DUMMYFUNCTION("""COMPUTED_VALUE"""),57.049)</f>
        <v>57.048999999999999</v>
      </c>
      <c r="J1066" s="2">
        <f ca="1">IFERROR(__xludf.DUMMYFUNCTION("""COMPUTED_VALUE"""),46.018)</f>
        <v>46.018000000000001</v>
      </c>
      <c r="K1066" s="2">
        <f ca="1">IFERROR(__xludf.DUMMYFUNCTION("""COMPUTED_VALUE"""),58.783)</f>
        <v>58.783000000000001</v>
      </c>
      <c r="L1066" s="2">
        <f ca="1">IFERROR(__xludf.DUMMYFUNCTION("""COMPUTED_VALUE"""),10.285)</f>
        <v>10.285</v>
      </c>
      <c r="M1066" s="2">
        <f ca="1">IFERROR(__xludf.DUMMYFUNCTION("""COMPUTED_VALUE"""),14.842)</f>
        <v>14.842000000000001</v>
      </c>
      <c r="U1066" s="3" t="e">
        <f ca="1"/>
        <v>#NAME?</v>
      </c>
    </row>
    <row r="1067" spans="3:21" ht="12.5" x14ac:dyDescent="0.25">
      <c r="C1067" s="4">
        <f ca="1">IFERROR(__xludf.DUMMYFUNCTION("""COMPUTED_VALUE"""),41404.9986111111)</f>
        <v>41404.998611111099</v>
      </c>
      <c r="D1067" s="2">
        <f ca="1">IFERROR(__xludf.DUMMYFUNCTION("""COMPUTED_VALUE"""),54.803)</f>
        <v>54.802999999999997</v>
      </c>
      <c r="E1067" s="2">
        <f ca="1">IFERROR(__xludf.DUMMYFUNCTION("""COMPUTED_VALUE"""),77.567)</f>
        <v>77.566999999999993</v>
      </c>
      <c r="F1067" s="2">
        <f ca="1">IFERROR(__xludf.DUMMYFUNCTION("""COMPUTED_VALUE"""),83.516)</f>
        <v>83.516000000000005</v>
      </c>
      <c r="G1067" s="2">
        <f ca="1">IFERROR(__xludf.DUMMYFUNCTION("""COMPUTED_VALUE"""),0.59466)</f>
        <v>0.59465999999999997</v>
      </c>
      <c r="H1067" s="2">
        <f ca="1">IFERROR(__xludf.DUMMYFUNCTION("""COMPUTED_VALUE"""),54.971)</f>
        <v>54.970999999999997</v>
      </c>
      <c r="I1067" s="2">
        <f ca="1">IFERROR(__xludf.DUMMYFUNCTION("""COMPUTED_VALUE"""),56.482)</f>
        <v>56.481999999999999</v>
      </c>
      <c r="J1067" s="2">
        <f ca="1">IFERROR(__xludf.DUMMYFUNCTION("""COMPUTED_VALUE"""),46.372)</f>
        <v>46.372</v>
      </c>
      <c r="K1067" s="2">
        <f ca="1">IFERROR(__xludf.DUMMYFUNCTION("""COMPUTED_VALUE"""),58.781)</f>
        <v>58.780999999999999</v>
      </c>
      <c r="L1067" s="2">
        <f ca="1">IFERROR(__xludf.DUMMYFUNCTION("""COMPUTED_VALUE"""),10.336)</f>
        <v>10.336</v>
      </c>
      <c r="M1067" s="2">
        <f ca="1">IFERROR(__xludf.DUMMYFUNCTION("""COMPUTED_VALUE"""),14.842)</f>
        <v>14.842000000000001</v>
      </c>
      <c r="U1067" s="3" t="e">
        <f ca="1"/>
        <v>#NAME?</v>
      </c>
    </row>
    <row r="1068" spans="3:21" ht="12.5" x14ac:dyDescent="0.25">
      <c r="C1068" s="4">
        <f ca="1">IFERROR(__xludf.DUMMYFUNCTION("""COMPUTED_VALUE"""),41405.9986111111)</f>
        <v>41405.998611111099</v>
      </c>
      <c r="D1068" s="2">
        <f ca="1">IFERROR(__xludf.DUMMYFUNCTION("""COMPUTED_VALUE"""),54.803)</f>
        <v>54.802999999999997</v>
      </c>
      <c r="E1068" s="2">
        <f ca="1">IFERROR(__xludf.DUMMYFUNCTION("""COMPUTED_VALUE"""),78.705)</f>
        <v>78.704999999999998</v>
      </c>
      <c r="F1068" s="2">
        <f ca="1">IFERROR(__xludf.DUMMYFUNCTION("""COMPUTED_VALUE"""),83.42)</f>
        <v>83.42</v>
      </c>
      <c r="G1068" s="2">
        <f ca="1">IFERROR(__xludf.DUMMYFUNCTION("""COMPUTED_VALUE"""),0.59364)</f>
        <v>0.59363999999999995</v>
      </c>
      <c r="H1068" s="2">
        <f ca="1">IFERROR(__xludf.DUMMYFUNCTION("""COMPUTED_VALUE"""),54.219)</f>
        <v>54.219000000000001</v>
      </c>
      <c r="I1068" s="2">
        <f ca="1">IFERROR(__xludf.DUMMYFUNCTION("""COMPUTED_VALUE"""),55.717)</f>
        <v>55.716999999999999</v>
      </c>
      <c r="J1068" s="2">
        <f ca="1">IFERROR(__xludf.DUMMYFUNCTION("""COMPUTED_VALUE"""),45.894)</f>
        <v>45.893999999999998</v>
      </c>
      <c r="K1068" s="2">
        <f ca="1">IFERROR(__xludf.DUMMYFUNCTION("""COMPUTED_VALUE"""),58.567)</f>
        <v>58.567</v>
      </c>
      <c r="L1068" s="2">
        <f ca="1">IFERROR(__xludf.DUMMYFUNCTION("""COMPUTED_VALUE"""),10.262)</f>
        <v>10.262</v>
      </c>
      <c r="M1068" s="2">
        <f ca="1">IFERROR(__xludf.DUMMYFUNCTION("""COMPUTED_VALUE"""),14.851)</f>
        <v>14.851000000000001</v>
      </c>
      <c r="U1068" s="3" t="e">
        <f ca="1"/>
        <v>#NAME?</v>
      </c>
    </row>
    <row r="1069" spans="3:21" ht="12.5" x14ac:dyDescent="0.25">
      <c r="C1069" s="4">
        <f ca="1">IFERROR(__xludf.DUMMYFUNCTION("""COMPUTED_VALUE"""),41407.9986111111)</f>
        <v>41407.998611111099</v>
      </c>
      <c r="D1069" s="2">
        <f ca="1">IFERROR(__xludf.DUMMYFUNCTION("""COMPUTED_VALUE"""),54.828)</f>
        <v>54.828000000000003</v>
      </c>
      <c r="E1069" s="2">
        <f ca="1">IFERROR(__xludf.DUMMYFUNCTION("""COMPUTED_VALUE"""),77.947)</f>
        <v>77.947000000000003</v>
      </c>
      <c r="F1069" s="2">
        <f ca="1">IFERROR(__xludf.DUMMYFUNCTION("""COMPUTED_VALUE"""),83.809)</f>
        <v>83.808999999999997</v>
      </c>
      <c r="G1069" s="2">
        <f ca="1">IFERROR(__xludf.DUMMYFUNCTION("""COMPUTED_VALUE"""),0.58916)</f>
        <v>0.58916000000000002</v>
      </c>
      <c r="H1069" s="2">
        <f ca="1">IFERROR(__xludf.DUMMYFUNCTION("""COMPUTED_VALUE"""),55.019)</f>
        <v>55.018999999999998</v>
      </c>
      <c r="I1069" s="2">
        <f ca="1">IFERROR(__xludf.DUMMYFUNCTION("""COMPUTED_VALUE"""),56.535)</f>
        <v>56.534999999999997</v>
      </c>
      <c r="J1069" s="2">
        <f ca="1">IFERROR(__xludf.DUMMYFUNCTION("""COMPUTED_VALUE"""),45.27)</f>
        <v>45.27</v>
      </c>
      <c r="K1069" s="2">
        <f ca="1">IFERROR(__xludf.DUMMYFUNCTION("""COMPUTED_VALUE"""),58.647)</f>
        <v>58.646999999999998</v>
      </c>
      <c r="L1069" s="2">
        <f ca="1">IFERROR(__xludf.DUMMYFUNCTION("""COMPUTED_VALUE"""),10.262)</f>
        <v>10.262</v>
      </c>
      <c r="M1069" s="2">
        <f ca="1">IFERROR(__xludf.DUMMYFUNCTION("""COMPUTED_VALUE"""),14.743)</f>
        <v>14.743</v>
      </c>
      <c r="U1069" s="3" t="e">
        <f ca="1"/>
        <v>#NAME?</v>
      </c>
    </row>
    <row r="1070" spans="3:21" ht="12.5" x14ac:dyDescent="0.25">
      <c r="C1070" s="4">
        <f ca="1">IFERROR(__xludf.DUMMYFUNCTION("""COMPUTED_VALUE"""),41408.9986111111)</f>
        <v>41408.998611111099</v>
      </c>
      <c r="D1070" s="2">
        <f ca="1">IFERROR(__xludf.DUMMYFUNCTION("""COMPUTED_VALUE"""),54.798)</f>
        <v>54.798000000000002</v>
      </c>
      <c r="E1070" s="2">
        <f ca="1">IFERROR(__xludf.DUMMYFUNCTION("""COMPUTED_VALUE"""),78.729)</f>
        <v>78.728999999999999</v>
      </c>
      <c r="F1070" s="2">
        <f ca="1">IFERROR(__xludf.DUMMYFUNCTION("""COMPUTED_VALUE"""),83.152)</f>
        <v>83.152000000000001</v>
      </c>
      <c r="G1070" s="2">
        <f ca="1">IFERROR(__xludf.DUMMYFUNCTION("""COMPUTED_VALUE"""),0.58972)</f>
        <v>0.58972000000000002</v>
      </c>
      <c r="H1070" s="2">
        <f ca="1">IFERROR(__xludf.DUMMYFUNCTION("""COMPUTED_VALUE"""),55.412)</f>
        <v>55.411999999999999</v>
      </c>
      <c r="I1070" s="2">
        <f ca="1">IFERROR(__xludf.DUMMYFUNCTION("""COMPUTED_VALUE"""),56.971)</f>
        <v>56.970999999999997</v>
      </c>
      <c r="J1070" s="2">
        <f ca="1">IFERROR(__xludf.DUMMYFUNCTION("""COMPUTED_VALUE"""),45.941)</f>
        <v>45.941000000000003</v>
      </c>
      <c r="K1070" s="2">
        <f ca="1">IFERROR(__xludf.DUMMYFUNCTION("""COMPUTED_VALUE"""),58.049)</f>
        <v>58.048999999999999</v>
      </c>
      <c r="L1070" s="2">
        <f ca="1">IFERROR(__xludf.DUMMYFUNCTION("""COMPUTED_VALUE"""),10.262)</f>
        <v>10.262</v>
      </c>
      <c r="M1070" s="2">
        <f ca="1">IFERROR(__xludf.DUMMYFUNCTION("""COMPUTED_VALUE"""),14.759)</f>
        <v>14.759</v>
      </c>
      <c r="U1070" s="3" t="e">
        <f ca="1"/>
        <v>#NAME?</v>
      </c>
    </row>
    <row r="1071" spans="3:21" ht="12.5" x14ac:dyDescent="0.25">
      <c r="C1071" s="4">
        <f ca="1">IFERROR(__xludf.DUMMYFUNCTION("""COMPUTED_VALUE"""),41409.9986111111)</f>
        <v>41409.998611111099</v>
      </c>
      <c r="D1071" s="2">
        <f ca="1">IFERROR(__xludf.DUMMYFUNCTION("""COMPUTED_VALUE"""),54.778)</f>
        <v>54.777999999999999</v>
      </c>
      <c r="E1071" s="2">
        <f ca="1">IFERROR(__xludf.DUMMYFUNCTION("""COMPUTED_VALUE"""),77.893)</f>
        <v>77.893000000000001</v>
      </c>
      <c r="F1071" s="2">
        <f ca="1">IFERROR(__xludf.DUMMYFUNCTION("""COMPUTED_VALUE"""),83.519)</f>
        <v>83.519000000000005</v>
      </c>
      <c r="G1071" s="2">
        <f ca="1">IFERROR(__xludf.DUMMYFUNCTION("""COMPUTED_VALUE"""),0.59913)</f>
        <v>0.59913000000000005</v>
      </c>
      <c r="H1071" s="2">
        <f ca="1">IFERROR(__xludf.DUMMYFUNCTION("""COMPUTED_VALUE"""),55.791)</f>
        <v>55.790999999999997</v>
      </c>
      <c r="I1071" s="2">
        <f ca="1">IFERROR(__xludf.DUMMYFUNCTION("""COMPUTED_VALUE"""),57.537)</f>
        <v>57.536999999999999</v>
      </c>
      <c r="J1071" s="2">
        <f ca="1">IFERROR(__xludf.DUMMYFUNCTION("""COMPUTED_VALUE"""),46.244)</f>
        <v>46.244</v>
      </c>
      <c r="K1071" s="2">
        <f ca="1">IFERROR(__xludf.DUMMYFUNCTION("""COMPUTED_VALUE"""),57.863)</f>
        <v>57.863</v>
      </c>
      <c r="L1071" s="2">
        <f ca="1">IFERROR(__xludf.DUMMYFUNCTION("""COMPUTED_VALUE"""),10.259)</f>
        <v>10.259</v>
      </c>
      <c r="M1071" s="2">
        <f ca="1">IFERROR(__xludf.DUMMYFUNCTION("""COMPUTED_VALUE"""),14.709)</f>
        <v>14.709</v>
      </c>
      <c r="U1071" s="3" t="e">
        <f ca="1"/>
        <v>#NAME?</v>
      </c>
    </row>
    <row r="1072" spans="3:21" ht="12.5" x14ac:dyDescent="0.25">
      <c r="C1072" s="4">
        <f ca="1">IFERROR(__xludf.DUMMYFUNCTION("""COMPUTED_VALUE"""),41410.9986111111)</f>
        <v>41410.998611111099</v>
      </c>
      <c r="D1072" s="2">
        <f ca="1">IFERROR(__xludf.DUMMYFUNCTION("""COMPUTED_VALUE"""),54.778)</f>
        <v>54.777999999999999</v>
      </c>
      <c r="E1072" s="2">
        <f ca="1">IFERROR(__xludf.DUMMYFUNCTION("""COMPUTED_VALUE"""),77.707)</f>
        <v>77.706999999999994</v>
      </c>
      <c r="F1072" s="2">
        <f ca="1">IFERROR(__xludf.DUMMYFUNCTION("""COMPUTED_VALUE"""),83.449)</f>
        <v>83.448999999999998</v>
      </c>
      <c r="G1072" s="2">
        <f ca="1">IFERROR(__xludf.DUMMYFUNCTION("""COMPUTED_VALUE"""),0.6001)</f>
        <v>0.60009999999999997</v>
      </c>
      <c r="H1072" s="2">
        <f ca="1">IFERROR(__xludf.DUMMYFUNCTION("""COMPUTED_VALUE"""),54.371)</f>
        <v>54.371000000000002</v>
      </c>
      <c r="I1072" s="2">
        <f ca="1">IFERROR(__xludf.DUMMYFUNCTION("""COMPUTED_VALUE"""),57.075)</f>
        <v>57.075000000000003</v>
      </c>
      <c r="J1072" s="2">
        <f ca="1">IFERROR(__xludf.DUMMYFUNCTION("""COMPUTED_VALUE"""),46.567)</f>
        <v>46.567</v>
      </c>
      <c r="K1072" s="2">
        <f ca="1">IFERROR(__xludf.DUMMYFUNCTION("""COMPUTED_VALUE"""),57.687)</f>
        <v>57.686999999999998</v>
      </c>
      <c r="L1072" s="2">
        <f ca="1">IFERROR(__xludf.DUMMYFUNCTION("""COMPUTED_VALUE"""),10.297)</f>
        <v>10.297000000000001</v>
      </c>
      <c r="M1072" s="2">
        <f ca="1">IFERROR(__xludf.DUMMYFUNCTION("""COMPUTED_VALUE"""),14.684)</f>
        <v>14.683999999999999</v>
      </c>
      <c r="U1072" s="3" t="e">
        <f ca="1"/>
        <v>#NAME?</v>
      </c>
    </row>
    <row r="1073" spans="3:21" ht="12.5" x14ac:dyDescent="0.25">
      <c r="C1073" s="4">
        <f ca="1">IFERROR(__xludf.DUMMYFUNCTION("""COMPUTED_VALUE"""),41411.9986111111)</f>
        <v>41411.998611111099</v>
      </c>
      <c r="D1073" s="2">
        <f ca="1">IFERROR(__xludf.DUMMYFUNCTION("""COMPUTED_VALUE"""),54.888)</f>
        <v>54.887999999999998</v>
      </c>
      <c r="E1073" s="2">
        <f ca="1">IFERROR(__xludf.DUMMYFUNCTION("""COMPUTED_VALUE"""),77.777)</f>
        <v>77.777000000000001</v>
      </c>
      <c r="F1073" s="2">
        <f ca="1">IFERROR(__xludf.DUMMYFUNCTION("""COMPUTED_VALUE"""),83.466)</f>
        <v>83.465999999999994</v>
      </c>
      <c r="G1073" s="2">
        <f ca="1">IFERROR(__xludf.DUMMYFUNCTION("""COMPUTED_VALUE"""),0.58898)</f>
        <v>0.58897999999999995</v>
      </c>
      <c r="H1073" s="2">
        <f ca="1">IFERROR(__xludf.DUMMYFUNCTION("""COMPUTED_VALUE"""),54.785)</f>
        <v>54.784999999999997</v>
      </c>
      <c r="I1073" s="2">
        <f ca="1">IFERROR(__xludf.DUMMYFUNCTION("""COMPUTED_VALUE"""),57.356)</f>
        <v>57.356000000000002</v>
      </c>
      <c r="J1073" s="2">
        <f ca="1">IFERROR(__xludf.DUMMYFUNCTION("""COMPUTED_VALUE"""),46.247)</f>
        <v>46.247</v>
      </c>
      <c r="K1073" s="2">
        <f ca="1">IFERROR(__xludf.DUMMYFUNCTION("""COMPUTED_VALUE"""),57.685)</f>
        <v>57.685000000000002</v>
      </c>
      <c r="L1073" s="2">
        <f ca="1">IFERROR(__xludf.DUMMYFUNCTION("""COMPUTED_VALUE"""),10.3)</f>
        <v>10.3</v>
      </c>
      <c r="M1073" s="2">
        <f ca="1">IFERROR(__xludf.DUMMYFUNCTION("""COMPUTED_VALUE"""),14.684)</f>
        <v>14.683999999999999</v>
      </c>
      <c r="U1073" s="3" t="e">
        <f ca="1"/>
        <v>#NAME?</v>
      </c>
    </row>
    <row r="1074" spans="3:21" ht="12.5" x14ac:dyDescent="0.25">
      <c r="C1074" s="4">
        <f ca="1">IFERROR(__xludf.DUMMYFUNCTION("""COMPUTED_VALUE"""),41412.9986111111)</f>
        <v>41412.998611111099</v>
      </c>
      <c r="D1074" s="2">
        <f ca="1">IFERROR(__xludf.DUMMYFUNCTION("""COMPUTED_VALUE"""),54.888)</f>
        <v>54.887999999999998</v>
      </c>
      <c r="E1074" s="2">
        <f ca="1">IFERROR(__xludf.DUMMYFUNCTION("""COMPUTED_VALUE"""),78.457)</f>
        <v>78.456999999999994</v>
      </c>
      <c r="F1074" s="2">
        <f ca="1">IFERROR(__xludf.DUMMYFUNCTION("""COMPUTED_VALUE"""),83.639)</f>
        <v>83.638999999999996</v>
      </c>
      <c r="G1074" s="2">
        <f ca="1">IFERROR(__xludf.DUMMYFUNCTION("""COMPUTED_VALUE"""),0.59394)</f>
        <v>0.59394000000000002</v>
      </c>
      <c r="H1074" s="2">
        <f ca="1">IFERROR(__xludf.DUMMYFUNCTION("""COMPUTED_VALUE"""),54.725)</f>
        <v>54.725000000000001</v>
      </c>
      <c r="I1074" s="2">
        <f ca="1">IFERROR(__xludf.DUMMYFUNCTION("""COMPUTED_VALUE"""),56.748)</f>
        <v>56.747999999999998</v>
      </c>
      <c r="J1074" s="2">
        <f ca="1">IFERROR(__xludf.DUMMYFUNCTION("""COMPUTED_VALUE"""),46.73)</f>
        <v>46.73</v>
      </c>
      <c r="K1074" s="2">
        <f ca="1">IFERROR(__xludf.DUMMYFUNCTION("""COMPUTED_VALUE"""),57.887)</f>
        <v>57.887</v>
      </c>
      <c r="L1074" s="2">
        <f ca="1">IFERROR(__xludf.DUMMYFUNCTION("""COMPUTED_VALUE"""),10.239)</f>
        <v>10.239000000000001</v>
      </c>
      <c r="M1074" s="2">
        <f ca="1">IFERROR(__xludf.DUMMYFUNCTION("""COMPUTED_VALUE"""),14.684)</f>
        <v>14.683999999999999</v>
      </c>
      <c r="U1074" s="3" t="e">
        <f ca="1"/>
        <v>#NAME?</v>
      </c>
    </row>
    <row r="1075" spans="3:21" ht="12.5" x14ac:dyDescent="0.25">
      <c r="C1075" s="4">
        <f ca="1">IFERROR(__xludf.DUMMYFUNCTION("""COMPUTED_VALUE"""),41413.9986111111)</f>
        <v>41413.998611111099</v>
      </c>
      <c r="D1075" s="2">
        <f ca="1">IFERROR(__xludf.DUMMYFUNCTION("""COMPUTED_VALUE"""),54.888)</f>
        <v>54.887999999999998</v>
      </c>
      <c r="E1075" s="2">
        <f ca="1">IFERROR(__xludf.DUMMYFUNCTION("""COMPUTED_VALUE"""),77.95)</f>
        <v>77.95</v>
      </c>
      <c r="F1075" s="2">
        <f ca="1">IFERROR(__xludf.DUMMYFUNCTION("""COMPUTED_VALUE"""),83.639)</f>
        <v>83.638999999999996</v>
      </c>
      <c r="G1075" s="2">
        <f ca="1">IFERROR(__xludf.DUMMYFUNCTION("""COMPUTED_VALUE"""),0.60014)</f>
        <v>0.60014000000000001</v>
      </c>
      <c r="H1075" s="2">
        <f ca="1">IFERROR(__xludf.DUMMYFUNCTION("""COMPUTED_VALUE"""),54.593)</f>
        <v>54.593000000000004</v>
      </c>
      <c r="I1075" s="2">
        <f ca="1">IFERROR(__xludf.DUMMYFUNCTION("""COMPUTED_VALUE"""),56.625)</f>
        <v>56.625</v>
      </c>
      <c r="J1075" s="2">
        <f ca="1">IFERROR(__xludf.DUMMYFUNCTION("""COMPUTED_VALUE"""),46.513)</f>
        <v>46.512999999999998</v>
      </c>
      <c r="K1075" s="2">
        <f ca="1">IFERROR(__xludf.DUMMYFUNCTION("""COMPUTED_VALUE"""),57.466)</f>
        <v>57.466000000000001</v>
      </c>
      <c r="L1075" s="2">
        <f ca="1">IFERROR(__xludf.DUMMYFUNCTION("""COMPUTED_VALUE"""),10.188)</f>
        <v>10.188000000000001</v>
      </c>
      <c r="M1075" s="2">
        <f ca="1">IFERROR(__xludf.DUMMYFUNCTION("""COMPUTED_VALUE"""),14.739)</f>
        <v>14.739000000000001</v>
      </c>
      <c r="U1075" s="3" t="e">
        <f ca="1"/>
        <v>#NAME?</v>
      </c>
    </row>
    <row r="1076" spans="3:21" ht="12.5" x14ac:dyDescent="0.25">
      <c r="C1076" s="4">
        <f ca="1">IFERROR(__xludf.DUMMYFUNCTION("""COMPUTED_VALUE"""),41414.9986111111)</f>
        <v>41414.998611111099</v>
      </c>
      <c r="D1076" s="2">
        <f ca="1">IFERROR(__xludf.DUMMYFUNCTION("""COMPUTED_VALUE"""),55.108)</f>
        <v>55.107999999999997</v>
      </c>
      <c r="E1076" s="2">
        <f ca="1">IFERROR(__xludf.DUMMYFUNCTION("""COMPUTED_VALUE"""),78.944)</f>
        <v>78.944000000000003</v>
      </c>
      <c r="F1076" s="2">
        <f ca="1">IFERROR(__xludf.DUMMYFUNCTION("""COMPUTED_VALUE"""),83.636)</f>
        <v>83.635999999999996</v>
      </c>
      <c r="G1076" s="2">
        <f ca="1">IFERROR(__xludf.DUMMYFUNCTION("""COMPUTED_VALUE"""),0.59159)</f>
        <v>0.59158999999999995</v>
      </c>
      <c r="H1076" s="2">
        <f ca="1">IFERROR(__xludf.DUMMYFUNCTION("""COMPUTED_VALUE"""),54.653)</f>
        <v>54.652999999999999</v>
      </c>
      <c r="I1076" s="2">
        <f ca="1">IFERROR(__xludf.DUMMYFUNCTION("""COMPUTED_VALUE"""),56.66)</f>
        <v>56.66</v>
      </c>
      <c r="J1076" s="2">
        <f ca="1">IFERROR(__xludf.DUMMYFUNCTION("""COMPUTED_VALUE"""),46.405)</f>
        <v>46.405000000000001</v>
      </c>
      <c r="K1076" s="2">
        <f ca="1">IFERROR(__xludf.DUMMYFUNCTION("""COMPUTED_VALUE"""),57.234)</f>
        <v>57.234000000000002</v>
      </c>
      <c r="L1076" s="2">
        <f ca="1">IFERROR(__xludf.DUMMYFUNCTION("""COMPUTED_VALUE"""),10.257)</f>
        <v>10.257</v>
      </c>
      <c r="M1076" s="2">
        <f ca="1">IFERROR(__xludf.DUMMYFUNCTION("""COMPUTED_VALUE"""),14.805)</f>
        <v>14.805</v>
      </c>
      <c r="U1076" s="3" t="e">
        <f ca="1"/>
        <v>#NAME?</v>
      </c>
    </row>
    <row r="1077" spans="3:21" ht="12.5" x14ac:dyDescent="0.25">
      <c r="C1077" s="4">
        <f ca="1">IFERROR(__xludf.DUMMYFUNCTION("""COMPUTED_VALUE"""),41415.9986111111)</f>
        <v>41415.998611111099</v>
      </c>
      <c r="D1077" s="2">
        <f ca="1">IFERROR(__xludf.DUMMYFUNCTION("""COMPUTED_VALUE"""),55.408)</f>
        <v>55.408000000000001</v>
      </c>
      <c r="E1077" s="2">
        <f ca="1">IFERROR(__xludf.DUMMYFUNCTION("""COMPUTED_VALUE"""),78.384)</f>
        <v>78.384</v>
      </c>
      <c r="F1077" s="2">
        <f ca="1">IFERROR(__xludf.DUMMYFUNCTION("""COMPUTED_VALUE"""),83.33)</f>
        <v>83.33</v>
      </c>
      <c r="G1077" s="2">
        <f ca="1">IFERROR(__xludf.DUMMYFUNCTION("""COMPUTED_VALUE"""),0.60219)</f>
        <v>0.60219</v>
      </c>
      <c r="H1077" s="2">
        <f ca="1">IFERROR(__xludf.DUMMYFUNCTION("""COMPUTED_VALUE"""),55.322)</f>
        <v>55.322000000000003</v>
      </c>
      <c r="I1077" s="2">
        <f ca="1">IFERROR(__xludf.DUMMYFUNCTION("""COMPUTED_VALUE"""),56.897)</f>
        <v>56.896999999999998</v>
      </c>
      <c r="J1077" s="2">
        <f ca="1">IFERROR(__xludf.DUMMYFUNCTION("""COMPUTED_VALUE"""),46.441)</f>
        <v>46.441000000000003</v>
      </c>
      <c r="K1077" s="2">
        <f ca="1">IFERROR(__xludf.DUMMYFUNCTION("""COMPUTED_VALUE"""),57.295)</f>
        <v>57.295000000000002</v>
      </c>
      <c r="L1077" s="2">
        <f ca="1">IFERROR(__xludf.DUMMYFUNCTION("""COMPUTED_VALUE"""),10.285)</f>
        <v>10.285</v>
      </c>
      <c r="M1077" s="2">
        <f ca="1">IFERROR(__xludf.DUMMYFUNCTION("""COMPUTED_VALUE"""),14.776)</f>
        <v>14.776</v>
      </c>
      <c r="U1077" s="3" t="e">
        <f ca="1"/>
        <v>#NAME?</v>
      </c>
    </row>
    <row r="1078" spans="3:21" ht="12.5" x14ac:dyDescent="0.25">
      <c r="C1078" s="4">
        <f ca="1">IFERROR(__xludf.DUMMYFUNCTION("""COMPUTED_VALUE"""),41416.9986111111)</f>
        <v>41416.998611111099</v>
      </c>
      <c r="D1078" s="2">
        <f ca="1">IFERROR(__xludf.DUMMYFUNCTION("""COMPUTED_VALUE"""),55.653)</f>
        <v>55.652999999999999</v>
      </c>
      <c r="E1078" s="2">
        <f ca="1">IFERROR(__xludf.DUMMYFUNCTION("""COMPUTED_VALUE"""),77.372)</f>
        <v>77.372</v>
      </c>
      <c r="F1078" s="2">
        <f ca="1">IFERROR(__xludf.DUMMYFUNCTION("""COMPUTED_VALUE"""),83.1)</f>
        <v>83.1</v>
      </c>
      <c r="G1078" s="2">
        <f ca="1">IFERROR(__xludf.DUMMYFUNCTION("""COMPUTED_VALUE"""),0.60605)</f>
        <v>0.60604999999999998</v>
      </c>
      <c r="H1078" s="2">
        <f ca="1">IFERROR(__xludf.DUMMYFUNCTION("""COMPUTED_VALUE"""),55.225)</f>
        <v>55.225000000000001</v>
      </c>
      <c r="I1078" s="2">
        <f ca="1">IFERROR(__xludf.DUMMYFUNCTION("""COMPUTED_VALUE"""),56.691)</f>
        <v>56.691000000000003</v>
      </c>
      <c r="J1078" s="2">
        <f ca="1">IFERROR(__xludf.DUMMYFUNCTION("""COMPUTED_VALUE"""),46.864)</f>
        <v>46.863999999999997</v>
      </c>
      <c r="K1078" s="2">
        <f ca="1">IFERROR(__xludf.DUMMYFUNCTION("""COMPUTED_VALUE"""),57.604)</f>
        <v>57.603999999999999</v>
      </c>
      <c r="L1078" s="2">
        <f ca="1">IFERROR(__xludf.DUMMYFUNCTION("""COMPUTED_VALUE"""),10.342)</f>
        <v>10.342000000000001</v>
      </c>
      <c r="M1078" s="2">
        <f ca="1">IFERROR(__xludf.DUMMYFUNCTION("""COMPUTED_VALUE"""),14.761)</f>
        <v>14.760999999999999</v>
      </c>
      <c r="U1078" s="3" t="e">
        <f ca="1"/>
        <v>#NAME?</v>
      </c>
    </row>
    <row r="1079" spans="3:21" ht="12.5" x14ac:dyDescent="0.25">
      <c r="C1079" s="4">
        <f ca="1">IFERROR(__xludf.DUMMYFUNCTION("""COMPUTED_VALUE"""),41417.9986111111)</f>
        <v>41417.998611111099</v>
      </c>
      <c r="D1079" s="2">
        <f ca="1">IFERROR(__xludf.DUMMYFUNCTION("""COMPUTED_VALUE"""),55.708)</f>
        <v>55.707999999999998</v>
      </c>
      <c r="E1079" s="2">
        <f ca="1">IFERROR(__xludf.DUMMYFUNCTION("""COMPUTED_VALUE"""),77.443)</f>
        <v>77.442999999999998</v>
      </c>
      <c r="F1079" s="2">
        <f ca="1">IFERROR(__xludf.DUMMYFUNCTION("""COMPUTED_VALUE"""),82.518)</f>
        <v>82.518000000000001</v>
      </c>
      <c r="G1079" s="2">
        <f ca="1">IFERROR(__xludf.DUMMYFUNCTION("""COMPUTED_VALUE"""),0.61918)</f>
        <v>0.61917999999999995</v>
      </c>
      <c r="H1079" s="2">
        <f ca="1">IFERROR(__xludf.DUMMYFUNCTION("""COMPUTED_VALUE"""),56.324)</f>
        <v>56.323999999999998</v>
      </c>
      <c r="I1079" s="2">
        <f ca="1">IFERROR(__xludf.DUMMYFUNCTION("""COMPUTED_VALUE"""),57.926)</f>
        <v>57.926000000000002</v>
      </c>
      <c r="J1079" s="2">
        <f ca="1">IFERROR(__xludf.DUMMYFUNCTION("""COMPUTED_VALUE"""),46.917)</f>
        <v>46.917000000000002</v>
      </c>
      <c r="K1079" s="2">
        <f ca="1">IFERROR(__xludf.DUMMYFUNCTION("""COMPUTED_VALUE"""),57.675)</f>
        <v>57.674999999999997</v>
      </c>
      <c r="L1079" s="2">
        <f ca="1">IFERROR(__xludf.DUMMYFUNCTION("""COMPUTED_VALUE"""),10.31)</f>
        <v>10.31</v>
      </c>
      <c r="M1079" s="2">
        <f ca="1">IFERROR(__xludf.DUMMYFUNCTION("""COMPUTED_VALUE"""),14.803)</f>
        <v>14.803000000000001</v>
      </c>
      <c r="U1079" s="3" t="e">
        <f ca="1"/>
        <v>#NAME?</v>
      </c>
    </row>
    <row r="1080" spans="3:21" ht="12.5" x14ac:dyDescent="0.25">
      <c r="C1080" s="4">
        <f ca="1">IFERROR(__xludf.DUMMYFUNCTION("""COMPUTED_VALUE"""),41418.9986111111)</f>
        <v>41418.998611111099</v>
      </c>
      <c r="D1080" s="2">
        <f ca="1">IFERROR(__xludf.DUMMYFUNCTION("""COMPUTED_VALUE"""),55.813)</f>
        <v>55.813000000000002</v>
      </c>
      <c r="E1080" s="2">
        <f ca="1">IFERROR(__xludf.DUMMYFUNCTION("""COMPUTED_VALUE"""),77.443)</f>
        <v>77.442999999999998</v>
      </c>
      <c r="F1080" s="2">
        <f ca="1">IFERROR(__xludf.DUMMYFUNCTION("""COMPUTED_VALUE"""),82.456)</f>
        <v>82.456000000000003</v>
      </c>
      <c r="G1080" s="2">
        <f ca="1">IFERROR(__xludf.DUMMYFUNCTION("""COMPUTED_VALUE"""),0.62111)</f>
        <v>0.62111000000000005</v>
      </c>
      <c r="H1080" s="2">
        <f ca="1">IFERROR(__xludf.DUMMYFUNCTION("""COMPUTED_VALUE"""),55.8)</f>
        <v>55.8</v>
      </c>
      <c r="I1080" s="2">
        <f ca="1">IFERROR(__xludf.DUMMYFUNCTION("""COMPUTED_VALUE"""),57.388)</f>
        <v>57.387999999999998</v>
      </c>
      <c r="J1080" s="2">
        <f ca="1">IFERROR(__xludf.DUMMYFUNCTION("""COMPUTED_VALUE"""),47.633)</f>
        <v>47.633000000000003</v>
      </c>
      <c r="K1080" s="2">
        <f ca="1">IFERROR(__xludf.DUMMYFUNCTION("""COMPUTED_VALUE"""),57.675)</f>
        <v>57.674999999999997</v>
      </c>
      <c r="L1080" s="2">
        <f ca="1">IFERROR(__xludf.DUMMYFUNCTION("""COMPUTED_VALUE"""),10.285)</f>
        <v>10.285</v>
      </c>
      <c r="M1080" s="2">
        <f ca="1">IFERROR(__xludf.DUMMYFUNCTION("""COMPUTED_VALUE"""),14.803)</f>
        <v>14.803000000000001</v>
      </c>
      <c r="U1080" s="3" t="e">
        <f ca="1"/>
        <v>#NAME?</v>
      </c>
    </row>
    <row r="1081" spans="3:21" ht="12.5" x14ac:dyDescent="0.25">
      <c r="C1081" s="4">
        <f ca="1">IFERROR(__xludf.DUMMYFUNCTION("""COMPUTED_VALUE"""),41419.9986111111)</f>
        <v>41419.998611111099</v>
      </c>
      <c r="D1081" s="2">
        <f ca="1">IFERROR(__xludf.DUMMYFUNCTION("""COMPUTED_VALUE"""),55.813)</f>
        <v>55.813000000000002</v>
      </c>
      <c r="E1081" s="2">
        <f ca="1">IFERROR(__xludf.DUMMYFUNCTION("""COMPUTED_VALUE"""),77.569)</f>
        <v>77.569000000000003</v>
      </c>
      <c r="F1081" s="2">
        <f ca="1">IFERROR(__xludf.DUMMYFUNCTION("""COMPUTED_VALUE"""),82.046)</f>
        <v>82.046000000000006</v>
      </c>
      <c r="G1081" s="2">
        <f ca="1">IFERROR(__xludf.DUMMYFUNCTION("""COMPUTED_VALUE"""),0.60708)</f>
        <v>0.60707999999999995</v>
      </c>
      <c r="H1081" s="2">
        <f ca="1">IFERROR(__xludf.DUMMYFUNCTION("""COMPUTED_VALUE"""),54.356)</f>
        <v>54.356000000000002</v>
      </c>
      <c r="I1081" s="2">
        <f ca="1">IFERROR(__xludf.DUMMYFUNCTION("""COMPUTED_VALUE"""),56.522)</f>
        <v>56.521999999999998</v>
      </c>
      <c r="J1081" s="2">
        <f ca="1">IFERROR(__xludf.DUMMYFUNCTION("""COMPUTED_VALUE"""),47.461)</f>
        <v>47.460999999999999</v>
      </c>
      <c r="K1081" s="2">
        <f ca="1">IFERROR(__xludf.DUMMYFUNCTION("""COMPUTED_VALUE"""),57.825)</f>
        <v>57.825000000000003</v>
      </c>
      <c r="L1081" s="2">
        <f ca="1">IFERROR(__xludf.DUMMYFUNCTION("""COMPUTED_VALUE"""),10.259)</f>
        <v>10.259</v>
      </c>
      <c r="M1081" s="2">
        <f ca="1">IFERROR(__xludf.DUMMYFUNCTION("""COMPUTED_VALUE"""),14.803)</f>
        <v>14.803000000000001</v>
      </c>
      <c r="U1081" s="3" t="e">
        <f ca="1"/>
        <v>#NAME?</v>
      </c>
    </row>
    <row r="1082" spans="3:21" ht="12.5" x14ac:dyDescent="0.25">
      <c r="C1082" s="4">
        <f ca="1">IFERROR(__xludf.DUMMYFUNCTION("""COMPUTED_VALUE"""),41421.9986111111)</f>
        <v>41421.998611111099</v>
      </c>
      <c r="D1082" s="2">
        <f ca="1">IFERROR(__xludf.DUMMYFUNCTION("""COMPUTED_VALUE"""),55.565)</f>
        <v>55.564999999999998</v>
      </c>
      <c r="E1082" s="2">
        <f ca="1">IFERROR(__xludf.DUMMYFUNCTION("""COMPUTED_VALUE"""),77.208)</f>
        <v>77.207999999999998</v>
      </c>
      <c r="F1082" s="2">
        <f ca="1">IFERROR(__xludf.DUMMYFUNCTION("""COMPUTED_VALUE"""),82.041)</f>
        <v>82.040999999999997</v>
      </c>
      <c r="G1082" s="2">
        <f ca="1">IFERROR(__xludf.DUMMYFUNCTION("""COMPUTED_VALUE"""),0.61655)</f>
        <v>0.61655000000000004</v>
      </c>
      <c r="H1082" s="2">
        <f ca="1">IFERROR(__xludf.DUMMYFUNCTION("""COMPUTED_VALUE"""),54.406)</f>
        <v>54.405999999999999</v>
      </c>
      <c r="I1082" s="2">
        <f ca="1">IFERROR(__xludf.DUMMYFUNCTION("""COMPUTED_VALUE"""),56.586)</f>
        <v>56.585999999999999</v>
      </c>
      <c r="J1082" s="2">
        <f ca="1">IFERROR(__xludf.DUMMYFUNCTION("""COMPUTED_VALUE"""),46.899)</f>
        <v>46.899000000000001</v>
      </c>
      <c r="K1082" s="2">
        <f ca="1">IFERROR(__xludf.DUMMYFUNCTION("""COMPUTED_VALUE"""),57.823)</f>
        <v>57.823</v>
      </c>
      <c r="L1082" s="2">
        <f ca="1">IFERROR(__xludf.DUMMYFUNCTION("""COMPUTED_VALUE"""),10.31)</f>
        <v>10.31</v>
      </c>
      <c r="M1082" s="2">
        <f ca="1">IFERROR(__xludf.DUMMYFUNCTION("""COMPUTED_VALUE"""),14.764)</f>
        <v>14.763999999999999</v>
      </c>
      <c r="U1082" s="3" t="e">
        <f ca="1"/>
        <v>#NAME?</v>
      </c>
    </row>
    <row r="1083" spans="3:21" ht="12.5" x14ac:dyDescent="0.25">
      <c r="C1083" s="4">
        <f ca="1">IFERROR(__xludf.DUMMYFUNCTION("""COMPUTED_VALUE"""),41422.9986111111)</f>
        <v>41422.998611111099</v>
      </c>
      <c r="D1083" s="2">
        <f ca="1">IFERROR(__xludf.DUMMYFUNCTION("""COMPUTED_VALUE"""),56.108)</f>
        <v>56.107999999999997</v>
      </c>
      <c r="E1083" s="2">
        <f ca="1">IFERROR(__xludf.DUMMYFUNCTION("""COMPUTED_VALUE"""),78.286)</f>
        <v>78.286000000000001</v>
      </c>
      <c r="F1083" s="2">
        <f ca="1">IFERROR(__xludf.DUMMYFUNCTION("""COMPUTED_VALUE"""),82.71)</f>
        <v>82.71</v>
      </c>
      <c r="G1083" s="2">
        <f ca="1">IFERROR(__xludf.DUMMYFUNCTION("""COMPUTED_VALUE"""),0.61698)</f>
        <v>0.61697999999999997</v>
      </c>
      <c r="H1083" s="2">
        <f ca="1">IFERROR(__xludf.DUMMYFUNCTION("""COMPUTED_VALUE"""),54.406)</f>
        <v>54.405999999999999</v>
      </c>
      <c r="I1083" s="2">
        <f ca="1">IFERROR(__xludf.DUMMYFUNCTION("""COMPUTED_VALUE"""),56.586)</f>
        <v>56.585999999999999</v>
      </c>
      <c r="J1083" s="2">
        <f ca="1">IFERROR(__xludf.DUMMYFUNCTION("""COMPUTED_VALUE"""),46.948)</f>
        <v>46.948</v>
      </c>
      <c r="K1083" s="2">
        <f ca="1">IFERROR(__xludf.DUMMYFUNCTION("""COMPUTED_VALUE"""),57.825)</f>
        <v>57.825000000000003</v>
      </c>
      <c r="L1083" s="2">
        <f ca="1">IFERROR(__xludf.DUMMYFUNCTION("""COMPUTED_VALUE"""),10.215)</f>
        <v>10.215</v>
      </c>
      <c r="M1083" s="2">
        <f ca="1">IFERROR(__xludf.DUMMYFUNCTION("""COMPUTED_VALUE"""),14.647)</f>
        <v>14.647</v>
      </c>
      <c r="U1083" s="3" t="e">
        <f ca="1"/>
        <v>#NAME?</v>
      </c>
    </row>
    <row r="1084" spans="3:21" ht="12.5" x14ac:dyDescent="0.25">
      <c r="C1084" s="4">
        <f ca="1">IFERROR(__xludf.DUMMYFUNCTION("""COMPUTED_VALUE"""),41423.9986111111)</f>
        <v>41423.998611111099</v>
      </c>
      <c r="D1084" s="2">
        <f ca="1">IFERROR(__xludf.DUMMYFUNCTION("""COMPUTED_VALUE"""),56.298)</f>
        <v>56.298000000000002</v>
      </c>
      <c r="E1084" s="2">
        <f ca="1">IFERROR(__xludf.DUMMYFUNCTION("""COMPUTED_VALUE"""),77.616)</f>
        <v>77.616</v>
      </c>
      <c r="F1084" s="2">
        <f ca="1">IFERROR(__xludf.DUMMYFUNCTION("""COMPUTED_VALUE"""),82.768)</f>
        <v>82.768000000000001</v>
      </c>
      <c r="G1084" s="2">
        <f ca="1">IFERROR(__xludf.DUMMYFUNCTION("""COMPUTED_VALUE"""),0.61737)</f>
        <v>0.61736999999999997</v>
      </c>
      <c r="H1084" s="2">
        <f ca="1">IFERROR(__xludf.DUMMYFUNCTION("""COMPUTED_VALUE"""),54.881)</f>
        <v>54.881</v>
      </c>
      <c r="I1084" s="2">
        <f ca="1">IFERROR(__xludf.DUMMYFUNCTION("""COMPUTED_VALUE"""),56.549)</f>
        <v>56.548999999999999</v>
      </c>
      <c r="J1084" s="2">
        <f ca="1">IFERROR(__xludf.DUMMYFUNCTION("""COMPUTED_VALUE"""),46.948)</f>
        <v>46.948</v>
      </c>
      <c r="K1084" s="2">
        <f ca="1">IFERROR(__xludf.DUMMYFUNCTION("""COMPUTED_VALUE"""),57.487)</f>
        <v>57.487000000000002</v>
      </c>
      <c r="L1084" s="2">
        <f ca="1">IFERROR(__xludf.DUMMYFUNCTION("""COMPUTED_VALUE"""),10.215)</f>
        <v>10.215</v>
      </c>
      <c r="M1084" s="2">
        <f ca="1">IFERROR(__xludf.DUMMYFUNCTION("""COMPUTED_VALUE"""),14.609)</f>
        <v>14.609</v>
      </c>
      <c r="U1084" s="3" t="e">
        <f ca="1"/>
        <v>#NAME?</v>
      </c>
    </row>
    <row r="1085" spans="3:21" ht="12.5" x14ac:dyDescent="0.25">
      <c r="C1085" s="4">
        <f ca="1">IFERROR(__xludf.DUMMYFUNCTION("""COMPUTED_VALUE"""),41424.9986111111)</f>
        <v>41424.998611111099</v>
      </c>
      <c r="D1085" s="2">
        <f ca="1">IFERROR(__xludf.DUMMYFUNCTION("""COMPUTED_VALUE"""),56.378)</f>
        <v>56.378</v>
      </c>
      <c r="E1085" s="2">
        <f ca="1">IFERROR(__xludf.DUMMYFUNCTION("""COMPUTED_VALUE"""),76.7)</f>
        <v>76.7</v>
      </c>
      <c r="F1085" s="2">
        <f ca="1">IFERROR(__xludf.DUMMYFUNCTION("""COMPUTED_VALUE"""),82.784)</f>
        <v>82.784000000000006</v>
      </c>
      <c r="G1085" s="2">
        <f ca="1">IFERROR(__xludf.DUMMYFUNCTION("""COMPUTED_VALUE"""),0.61905)</f>
        <v>0.61904999999999999</v>
      </c>
      <c r="H1085" s="2">
        <f ca="1">IFERROR(__xludf.DUMMYFUNCTION("""COMPUTED_VALUE"""),54.385)</f>
        <v>54.384999999999998</v>
      </c>
      <c r="I1085" s="2">
        <f ca="1">IFERROR(__xludf.DUMMYFUNCTION("""COMPUTED_VALUE"""),56.399)</f>
        <v>56.399000000000001</v>
      </c>
      <c r="J1085" s="2">
        <f ca="1">IFERROR(__xludf.DUMMYFUNCTION("""COMPUTED_VALUE"""),46.973)</f>
        <v>46.972999999999999</v>
      </c>
      <c r="K1085" s="2">
        <f ca="1">IFERROR(__xludf.DUMMYFUNCTION("""COMPUTED_VALUE"""),57.473)</f>
        <v>57.472999999999999</v>
      </c>
      <c r="L1085" s="2">
        <f ca="1">IFERROR(__xludf.DUMMYFUNCTION("""COMPUTED_VALUE"""),10.334)</f>
        <v>10.334</v>
      </c>
      <c r="M1085" s="2">
        <f ca="1">IFERROR(__xludf.DUMMYFUNCTION("""COMPUTED_VALUE"""),14.65)</f>
        <v>14.65</v>
      </c>
      <c r="U1085" s="3" t="e">
        <f ca="1"/>
        <v>#NAME?</v>
      </c>
    </row>
    <row r="1086" spans="3:21" ht="12.5" x14ac:dyDescent="0.25">
      <c r="C1086" s="4">
        <f ca="1">IFERROR(__xludf.DUMMYFUNCTION("""COMPUTED_VALUE"""),41425.9986111111)</f>
        <v>41425.998611111099</v>
      </c>
      <c r="D1086" s="2">
        <f ca="1">IFERROR(__xludf.DUMMYFUNCTION("""COMPUTED_VALUE"""),56.573)</f>
        <v>56.573</v>
      </c>
      <c r="E1086" s="2">
        <f ca="1">IFERROR(__xludf.DUMMYFUNCTION("""COMPUTED_VALUE"""),77.195)</f>
        <v>77.194999999999993</v>
      </c>
      <c r="F1086" s="2">
        <f ca="1">IFERROR(__xludf.DUMMYFUNCTION("""COMPUTED_VALUE"""),83.608)</f>
        <v>83.608000000000004</v>
      </c>
      <c r="G1086" s="2">
        <f ca="1">IFERROR(__xludf.DUMMYFUNCTION("""COMPUTED_VALUE"""),0.62159)</f>
        <v>0.62158999999999998</v>
      </c>
      <c r="H1086" s="2">
        <f ca="1">IFERROR(__xludf.DUMMYFUNCTION("""COMPUTED_VALUE"""),54.711)</f>
        <v>54.710999999999999</v>
      </c>
      <c r="I1086" s="2">
        <f ca="1">IFERROR(__xludf.DUMMYFUNCTION("""COMPUTED_VALUE"""),57.281)</f>
        <v>57.280999999999999</v>
      </c>
      <c r="J1086" s="2">
        <f ca="1">IFERROR(__xludf.DUMMYFUNCTION("""COMPUTED_VALUE"""),46.787)</f>
        <v>46.786999999999999</v>
      </c>
      <c r="K1086" s="2">
        <f ca="1">IFERROR(__xludf.DUMMYFUNCTION("""COMPUTED_VALUE"""),57.508)</f>
        <v>57.508000000000003</v>
      </c>
      <c r="L1086" s="2">
        <f ca="1">IFERROR(__xludf.DUMMYFUNCTION("""COMPUTED_VALUE"""),10.348)</f>
        <v>10.348000000000001</v>
      </c>
      <c r="M1086" s="2">
        <f ca="1">IFERROR(__xludf.DUMMYFUNCTION("""COMPUTED_VALUE"""),14.648)</f>
        <v>14.648</v>
      </c>
      <c r="U1086" s="3" t="e">
        <f ca="1"/>
        <v>#NAME?</v>
      </c>
    </row>
    <row r="1087" spans="3:21" ht="12.5" x14ac:dyDescent="0.25">
      <c r="C1087" s="4">
        <f ca="1">IFERROR(__xludf.DUMMYFUNCTION("""COMPUTED_VALUE"""),41426.9986111111)</f>
        <v>41426.998611111099</v>
      </c>
      <c r="D1087" s="2">
        <f ca="1">IFERROR(__xludf.DUMMYFUNCTION("""COMPUTED_VALUE"""),56.51)</f>
        <v>56.51</v>
      </c>
      <c r="E1087" s="2">
        <f ca="1">IFERROR(__xludf.DUMMYFUNCTION("""COMPUTED_VALUE"""),77.284)</f>
        <v>77.284000000000006</v>
      </c>
      <c r="F1087" s="2">
        <f ca="1">IFERROR(__xludf.DUMMYFUNCTION("""COMPUTED_VALUE"""),84.167)</f>
        <v>84.167000000000002</v>
      </c>
      <c r="G1087" s="2">
        <f ca="1">IFERROR(__xludf.DUMMYFUNCTION("""COMPUTED_VALUE"""),0.63395)</f>
        <v>0.63395000000000001</v>
      </c>
      <c r="H1087" s="2">
        <f ca="1">IFERROR(__xludf.DUMMYFUNCTION("""COMPUTED_VALUE"""),54.967)</f>
        <v>54.966999999999999</v>
      </c>
      <c r="I1087" s="2">
        <f ca="1">IFERROR(__xludf.DUMMYFUNCTION("""COMPUTED_VALUE"""),57.142)</f>
        <v>57.142000000000003</v>
      </c>
      <c r="J1087" s="2">
        <f ca="1">IFERROR(__xludf.DUMMYFUNCTION("""COMPUTED_VALUE"""),47.262)</f>
        <v>47.262</v>
      </c>
      <c r="K1087" s="2">
        <f ca="1">IFERROR(__xludf.DUMMYFUNCTION("""COMPUTED_VALUE"""),57.503)</f>
        <v>57.503</v>
      </c>
      <c r="L1087" s="2">
        <f ca="1">IFERROR(__xludf.DUMMYFUNCTION("""COMPUTED_VALUE"""),10.366)</f>
        <v>10.366</v>
      </c>
      <c r="M1087" s="2">
        <f ca="1">IFERROR(__xludf.DUMMYFUNCTION("""COMPUTED_VALUE"""),14.648)</f>
        <v>14.648</v>
      </c>
      <c r="U1087" s="3" t="e">
        <f ca="1"/>
        <v>#NAME?</v>
      </c>
    </row>
    <row r="1088" spans="3:21" ht="12.5" x14ac:dyDescent="0.25">
      <c r="C1088" s="4">
        <f ca="1">IFERROR(__xludf.DUMMYFUNCTION("""COMPUTED_VALUE"""),41427.9986111111)</f>
        <v>41427.998611111099</v>
      </c>
      <c r="D1088" s="2">
        <f ca="1">IFERROR(__xludf.DUMMYFUNCTION("""COMPUTED_VALUE"""),56.573)</f>
        <v>56.573</v>
      </c>
      <c r="E1088" s="2">
        <f ca="1">IFERROR(__xludf.DUMMYFUNCTION("""COMPUTED_VALUE"""),78.031)</f>
        <v>78.031000000000006</v>
      </c>
      <c r="F1088" s="2">
        <f ca="1">IFERROR(__xludf.DUMMYFUNCTION("""COMPUTED_VALUE"""),84.169)</f>
        <v>84.168999999999997</v>
      </c>
      <c r="G1088" s="2">
        <f ca="1">IFERROR(__xludf.DUMMYFUNCTION("""COMPUTED_VALUE"""),0.62776)</f>
        <v>0.62775999999999998</v>
      </c>
      <c r="H1088" s="2">
        <f ca="1">IFERROR(__xludf.DUMMYFUNCTION("""COMPUTED_VALUE"""),54.533)</f>
        <v>54.533000000000001</v>
      </c>
      <c r="I1088" s="2">
        <f ca="1">IFERROR(__xludf.DUMMYFUNCTION("""COMPUTED_VALUE"""),56.874)</f>
        <v>56.874000000000002</v>
      </c>
      <c r="J1088" s="2">
        <f ca="1">IFERROR(__xludf.DUMMYFUNCTION("""COMPUTED_VALUE"""),47.191)</f>
        <v>47.191000000000003</v>
      </c>
      <c r="K1088" s="2">
        <f ca="1">IFERROR(__xludf.DUMMYFUNCTION("""COMPUTED_VALUE"""),57.654)</f>
        <v>57.654000000000003</v>
      </c>
      <c r="L1088" s="2">
        <f ca="1">IFERROR(__xludf.DUMMYFUNCTION("""COMPUTED_VALUE"""),10.339)</f>
        <v>10.339</v>
      </c>
      <c r="M1088" s="2">
        <f ca="1">IFERROR(__xludf.DUMMYFUNCTION("""COMPUTED_VALUE"""),14.642)</f>
        <v>14.641999999999999</v>
      </c>
      <c r="U1088" s="3" t="e">
        <f ca="1"/>
        <v>#NAME?</v>
      </c>
    </row>
    <row r="1089" spans="3:21" ht="12.5" x14ac:dyDescent="0.25">
      <c r="C1089" s="4">
        <f ca="1">IFERROR(__xludf.DUMMYFUNCTION("""COMPUTED_VALUE"""),41428.9986111111)</f>
        <v>41428.998611111099</v>
      </c>
      <c r="D1089" s="2">
        <f ca="1">IFERROR(__xludf.DUMMYFUNCTION("""COMPUTED_VALUE"""),56.668)</f>
        <v>56.667999999999999</v>
      </c>
      <c r="E1089" s="2">
        <f ca="1">IFERROR(__xludf.DUMMYFUNCTION("""COMPUTED_VALUE"""),76.724)</f>
        <v>76.724000000000004</v>
      </c>
      <c r="F1089" s="2">
        <f ca="1">IFERROR(__xludf.DUMMYFUNCTION("""COMPUTED_VALUE"""),84.169)</f>
        <v>84.168999999999997</v>
      </c>
      <c r="G1089" s="2">
        <f ca="1">IFERROR(__xludf.DUMMYFUNCTION("""COMPUTED_VALUE"""),0.63045)</f>
        <v>0.63044999999999995</v>
      </c>
      <c r="H1089" s="2">
        <f ca="1">IFERROR(__xludf.DUMMYFUNCTION("""COMPUTED_VALUE"""),54.555)</f>
        <v>54.555</v>
      </c>
      <c r="I1089" s="2">
        <f ca="1">IFERROR(__xludf.DUMMYFUNCTION("""COMPUTED_VALUE"""),56.866)</f>
        <v>56.866</v>
      </c>
      <c r="J1089" s="2">
        <f ca="1">IFERROR(__xludf.DUMMYFUNCTION("""COMPUTED_VALUE"""),46.937)</f>
        <v>46.936999999999998</v>
      </c>
      <c r="K1089" s="2">
        <f ca="1">IFERROR(__xludf.DUMMYFUNCTION("""COMPUTED_VALUE"""),57.483)</f>
        <v>57.482999999999997</v>
      </c>
      <c r="L1089" s="2">
        <f ca="1">IFERROR(__xludf.DUMMYFUNCTION("""COMPUTED_VALUE"""),10.349)</f>
        <v>10.349</v>
      </c>
      <c r="M1089" s="2">
        <f ca="1">IFERROR(__xludf.DUMMYFUNCTION("""COMPUTED_VALUE"""),14.749)</f>
        <v>14.749000000000001</v>
      </c>
      <c r="U1089" s="3" t="e">
        <f ca="1"/>
        <v>#NAME?</v>
      </c>
    </row>
    <row r="1090" spans="3:21" ht="12.5" x14ac:dyDescent="0.25">
      <c r="C1090" s="4">
        <f ca="1">IFERROR(__xludf.DUMMYFUNCTION("""COMPUTED_VALUE"""),41429.9986111111)</f>
        <v>41429.998611111099</v>
      </c>
      <c r="D1090" s="2">
        <f ca="1">IFERROR(__xludf.DUMMYFUNCTION("""COMPUTED_VALUE"""),56.438)</f>
        <v>56.438000000000002</v>
      </c>
      <c r="E1090" s="2">
        <f ca="1">IFERROR(__xludf.DUMMYFUNCTION("""COMPUTED_VALUE"""),78.661)</f>
        <v>78.661000000000001</v>
      </c>
      <c r="F1090" s="2">
        <f ca="1">IFERROR(__xludf.DUMMYFUNCTION("""COMPUTED_VALUE"""),83.934)</f>
        <v>83.933999999999997</v>
      </c>
      <c r="G1090" s="2">
        <f ca="1">IFERROR(__xludf.DUMMYFUNCTION("""COMPUTED_VALUE"""),0.62794)</f>
        <v>0.62794000000000005</v>
      </c>
      <c r="H1090" s="2">
        <f ca="1">IFERROR(__xludf.DUMMYFUNCTION("""COMPUTED_VALUE"""),54.617)</f>
        <v>54.616999999999997</v>
      </c>
      <c r="I1090" s="2">
        <f ca="1">IFERROR(__xludf.DUMMYFUNCTION("""COMPUTED_VALUE"""),56.916)</f>
        <v>56.915999999999997</v>
      </c>
      <c r="J1090" s="2">
        <f ca="1">IFERROR(__xludf.DUMMYFUNCTION("""COMPUTED_VALUE"""),46.937)</f>
        <v>46.936999999999998</v>
      </c>
      <c r="K1090" s="2">
        <f ca="1">IFERROR(__xludf.DUMMYFUNCTION("""COMPUTED_VALUE"""),57.912)</f>
        <v>57.911999999999999</v>
      </c>
      <c r="L1090" s="2">
        <f ca="1">IFERROR(__xludf.DUMMYFUNCTION("""COMPUTED_VALUE"""),10.386)</f>
        <v>10.385999999999999</v>
      </c>
      <c r="M1090" s="2">
        <f ca="1">IFERROR(__xludf.DUMMYFUNCTION("""COMPUTED_VALUE"""),14.737)</f>
        <v>14.737</v>
      </c>
      <c r="U1090" s="3" t="e">
        <f ca="1"/>
        <v>#NAME?</v>
      </c>
    </row>
    <row r="1091" spans="3:21" ht="12.5" x14ac:dyDescent="0.25">
      <c r="C1091" s="4">
        <f ca="1">IFERROR(__xludf.DUMMYFUNCTION("""COMPUTED_VALUE"""),41430.9986111111)</f>
        <v>41430.998611111099</v>
      </c>
      <c r="D1091" s="2">
        <f ca="1">IFERROR(__xludf.DUMMYFUNCTION("""COMPUTED_VALUE"""),56.723)</f>
        <v>56.722999999999999</v>
      </c>
      <c r="E1091" s="2">
        <f ca="1">IFERROR(__xludf.DUMMYFUNCTION("""COMPUTED_VALUE"""),78.285)</f>
        <v>78.284999999999997</v>
      </c>
      <c r="F1091" s="2">
        <f ca="1">IFERROR(__xludf.DUMMYFUNCTION("""COMPUTED_VALUE"""),83.477)</f>
        <v>83.477000000000004</v>
      </c>
      <c r="G1091" s="2">
        <f ca="1">IFERROR(__xludf.DUMMYFUNCTION("""COMPUTED_VALUE"""),0.62236)</f>
        <v>0.62236000000000002</v>
      </c>
      <c r="H1091" s="2">
        <f ca="1">IFERROR(__xludf.DUMMYFUNCTION("""COMPUTED_VALUE"""),55.412)</f>
        <v>55.411999999999999</v>
      </c>
      <c r="I1091" s="2">
        <f ca="1">IFERROR(__xludf.DUMMYFUNCTION("""COMPUTED_VALUE"""),57.416)</f>
        <v>57.415999999999997</v>
      </c>
      <c r="J1091" s="2">
        <f ca="1">IFERROR(__xludf.DUMMYFUNCTION("""COMPUTED_VALUE"""),46.996)</f>
        <v>46.996000000000002</v>
      </c>
      <c r="K1091" s="2">
        <f ca="1">IFERROR(__xludf.DUMMYFUNCTION("""COMPUTED_VALUE"""),57.134)</f>
        <v>57.134</v>
      </c>
      <c r="L1091" s="2">
        <f ca="1">IFERROR(__xludf.DUMMYFUNCTION("""COMPUTED_VALUE"""),10.363)</f>
        <v>10.363</v>
      </c>
      <c r="M1091" s="2">
        <f ca="1">IFERROR(__xludf.DUMMYFUNCTION("""COMPUTED_VALUE"""),14.745)</f>
        <v>14.744999999999999</v>
      </c>
      <c r="U1091" s="3" t="e">
        <f ca="1"/>
        <v>#NAME?</v>
      </c>
    </row>
    <row r="1092" spans="3:21" ht="12.5" x14ac:dyDescent="0.25">
      <c r="C1092" s="4">
        <f ca="1">IFERROR(__xludf.DUMMYFUNCTION("""COMPUTED_VALUE"""),41431.9986111111)</f>
        <v>41431.998611111099</v>
      </c>
      <c r="D1092" s="2">
        <f ca="1">IFERROR(__xludf.DUMMYFUNCTION("""COMPUTED_VALUE"""),56.838)</f>
        <v>56.838000000000001</v>
      </c>
      <c r="E1092" s="2">
        <f ca="1">IFERROR(__xludf.DUMMYFUNCTION("""COMPUTED_VALUE"""),76.95)</f>
        <v>76.95</v>
      </c>
      <c r="F1092" s="2">
        <f ca="1">IFERROR(__xludf.DUMMYFUNCTION("""COMPUTED_VALUE"""),83.461)</f>
        <v>83.460999999999999</v>
      </c>
      <c r="G1092" s="2">
        <f ca="1">IFERROR(__xludf.DUMMYFUNCTION("""COMPUTED_VALUE"""),0.6262)</f>
        <v>0.62619999999999998</v>
      </c>
      <c r="H1092" s="2">
        <f ca="1">IFERROR(__xludf.DUMMYFUNCTION("""COMPUTED_VALUE"""),55.05)</f>
        <v>55.05</v>
      </c>
      <c r="I1092" s="2">
        <f ca="1">IFERROR(__xludf.DUMMYFUNCTION("""COMPUTED_VALUE"""),57.019)</f>
        <v>57.018999999999998</v>
      </c>
      <c r="J1092" s="2">
        <f ca="1">IFERROR(__xludf.DUMMYFUNCTION("""COMPUTED_VALUE"""),47.398)</f>
        <v>47.398000000000003</v>
      </c>
      <c r="K1092" s="2">
        <f ca="1">IFERROR(__xludf.DUMMYFUNCTION("""COMPUTED_VALUE"""),57.279)</f>
        <v>57.279000000000003</v>
      </c>
      <c r="L1092" s="2">
        <f ca="1">IFERROR(__xludf.DUMMYFUNCTION("""COMPUTED_VALUE"""),10.399)</f>
        <v>10.398999999999999</v>
      </c>
      <c r="M1092" s="2">
        <f ca="1">IFERROR(__xludf.DUMMYFUNCTION("""COMPUTED_VALUE"""),14.769)</f>
        <v>14.769</v>
      </c>
      <c r="U1092" s="3" t="e">
        <f ca="1"/>
        <v>#NAME?</v>
      </c>
    </row>
    <row r="1093" spans="3:21" ht="12.5" x14ac:dyDescent="0.25">
      <c r="C1093" s="4">
        <f ca="1">IFERROR(__xludf.DUMMYFUNCTION("""COMPUTED_VALUE"""),41432.9986111111)</f>
        <v>41432.998611111099</v>
      </c>
      <c r="D1093" s="2">
        <f ca="1">IFERROR(__xludf.DUMMYFUNCTION("""COMPUTED_VALUE"""),57.058)</f>
        <v>57.058</v>
      </c>
      <c r="E1093" s="2">
        <f ca="1">IFERROR(__xludf.DUMMYFUNCTION("""COMPUTED_VALUE"""),76.95)</f>
        <v>76.95</v>
      </c>
      <c r="F1093" s="2">
        <f ca="1">IFERROR(__xludf.DUMMYFUNCTION("""COMPUTED_VALUE"""),83.501)</f>
        <v>83.501000000000005</v>
      </c>
      <c r="G1093" s="2">
        <f ca="1">IFERROR(__xludf.DUMMYFUNCTION("""COMPUTED_VALUE"""),0.63102)</f>
        <v>0.63102000000000003</v>
      </c>
      <c r="H1093" s="2">
        <f ca="1">IFERROR(__xludf.DUMMYFUNCTION("""COMPUTED_VALUE"""),55.601)</f>
        <v>55.600999999999999</v>
      </c>
      <c r="I1093" s="2">
        <f ca="1">IFERROR(__xludf.DUMMYFUNCTION("""COMPUTED_VALUE"""),57.564)</f>
        <v>57.564</v>
      </c>
      <c r="J1093" s="2">
        <f ca="1">IFERROR(__xludf.DUMMYFUNCTION("""COMPUTED_VALUE"""),46.978)</f>
        <v>46.978000000000002</v>
      </c>
      <c r="K1093" s="2">
        <f ca="1">IFERROR(__xludf.DUMMYFUNCTION("""COMPUTED_VALUE"""),57.381)</f>
        <v>57.381</v>
      </c>
      <c r="L1093" s="2">
        <f ca="1">IFERROR(__xludf.DUMMYFUNCTION("""COMPUTED_VALUE"""),10.394)</f>
        <v>10.394</v>
      </c>
      <c r="M1093" s="2">
        <f ca="1">IFERROR(__xludf.DUMMYFUNCTION("""COMPUTED_VALUE"""),14.92)</f>
        <v>14.92</v>
      </c>
      <c r="U1093" s="3" t="e">
        <f ca="1"/>
        <v>#NAME?</v>
      </c>
    </row>
    <row r="1094" spans="3:21" ht="12.5" x14ac:dyDescent="0.25">
      <c r="C1094" s="4">
        <f ca="1">IFERROR(__xludf.DUMMYFUNCTION("""COMPUTED_VALUE"""),41433.9986111111)</f>
        <v>41433.998611111099</v>
      </c>
      <c r="D1094" s="2">
        <f ca="1">IFERROR(__xludf.DUMMYFUNCTION("""COMPUTED_VALUE"""),57.058)</f>
        <v>57.058</v>
      </c>
      <c r="E1094" s="2">
        <f ca="1">IFERROR(__xludf.DUMMYFUNCTION("""COMPUTED_VALUE"""),78.25)</f>
        <v>78.25</v>
      </c>
      <c r="F1094" s="2">
        <f ca="1">IFERROR(__xludf.DUMMYFUNCTION("""COMPUTED_VALUE"""),83.73)</f>
        <v>83.73</v>
      </c>
      <c r="G1094" s="2">
        <f ca="1">IFERROR(__xludf.DUMMYFUNCTION("""COMPUTED_VALUE"""),0.62656)</f>
        <v>0.62656000000000001</v>
      </c>
      <c r="H1094" s="2">
        <f ca="1">IFERROR(__xludf.DUMMYFUNCTION("""COMPUTED_VALUE"""),54.809)</f>
        <v>54.808999999999997</v>
      </c>
      <c r="I1094" s="2">
        <f ca="1">IFERROR(__xludf.DUMMYFUNCTION("""COMPUTED_VALUE"""),57.617)</f>
        <v>57.616999999999997</v>
      </c>
      <c r="J1094" s="2">
        <f ca="1">IFERROR(__xludf.DUMMYFUNCTION("""COMPUTED_VALUE"""),47.338)</f>
        <v>47.338000000000001</v>
      </c>
      <c r="K1094" s="2">
        <f ca="1">IFERROR(__xludf.DUMMYFUNCTION("""COMPUTED_VALUE"""),57.218)</f>
        <v>57.218000000000004</v>
      </c>
      <c r="L1094" s="2">
        <f ca="1">IFERROR(__xludf.DUMMYFUNCTION("""COMPUTED_VALUE"""),10.361)</f>
        <v>10.361000000000001</v>
      </c>
      <c r="M1094" s="2">
        <f ca="1">IFERROR(__xludf.DUMMYFUNCTION("""COMPUTED_VALUE"""),14.92)</f>
        <v>14.92</v>
      </c>
      <c r="U1094" s="3" t="e">
        <f ca="1"/>
        <v>#NAME?</v>
      </c>
    </row>
    <row r="1095" spans="3:21" ht="12.5" x14ac:dyDescent="0.25">
      <c r="C1095" s="4">
        <f ca="1">IFERROR(__xludf.DUMMYFUNCTION("""COMPUTED_VALUE"""),41434.9986111111)</f>
        <v>41434.998611111099</v>
      </c>
      <c r="D1095" s="2">
        <f ca="1">IFERROR(__xludf.DUMMYFUNCTION("""COMPUTED_VALUE"""),57.058)</f>
        <v>57.058</v>
      </c>
      <c r="E1095" s="2">
        <f ca="1">IFERROR(__xludf.DUMMYFUNCTION("""COMPUTED_VALUE"""),78.038)</f>
        <v>78.037999999999997</v>
      </c>
      <c r="F1095" s="2">
        <f ca="1">IFERROR(__xludf.DUMMYFUNCTION("""COMPUTED_VALUE"""),83.686)</f>
        <v>83.686000000000007</v>
      </c>
      <c r="G1095" s="2">
        <f ca="1">IFERROR(__xludf.DUMMYFUNCTION("""COMPUTED_VALUE"""),0.62656)</f>
        <v>0.62656000000000001</v>
      </c>
      <c r="H1095" s="2">
        <f ca="1">IFERROR(__xludf.DUMMYFUNCTION("""COMPUTED_VALUE"""),54.137)</f>
        <v>54.137</v>
      </c>
      <c r="I1095" s="2">
        <f ca="1">IFERROR(__xludf.DUMMYFUNCTION("""COMPUTED_VALUE"""),57.547)</f>
        <v>57.546999999999997</v>
      </c>
      <c r="J1095" s="2">
        <f ca="1">IFERROR(__xludf.DUMMYFUNCTION("""COMPUTED_VALUE"""),47.447)</f>
        <v>47.447000000000003</v>
      </c>
      <c r="K1095" s="2">
        <f ca="1">IFERROR(__xludf.DUMMYFUNCTION("""COMPUTED_VALUE"""),56.68)</f>
        <v>56.68</v>
      </c>
      <c r="L1095" s="2">
        <f ca="1">IFERROR(__xludf.DUMMYFUNCTION("""COMPUTED_VALUE"""),10.361)</f>
        <v>10.361000000000001</v>
      </c>
      <c r="M1095" s="2">
        <f ca="1">IFERROR(__xludf.DUMMYFUNCTION("""COMPUTED_VALUE"""),14.92)</f>
        <v>14.92</v>
      </c>
      <c r="U1095" s="3" t="e">
        <f ca="1"/>
        <v>#NAME?</v>
      </c>
    </row>
    <row r="1096" spans="3:21" ht="12.5" x14ac:dyDescent="0.25">
      <c r="C1096" s="4">
        <f ca="1">IFERROR(__xludf.DUMMYFUNCTION("""COMPUTED_VALUE"""),41435.9986111111)</f>
        <v>41435.998611111099</v>
      </c>
      <c r="D1096" s="2">
        <f ca="1">IFERROR(__xludf.DUMMYFUNCTION("""COMPUTED_VALUE"""),58.148)</f>
        <v>58.148000000000003</v>
      </c>
      <c r="E1096" s="2">
        <f ca="1">IFERROR(__xludf.DUMMYFUNCTION("""COMPUTED_VALUE"""),77.914)</f>
        <v>77.914000000000001</v>
      </c>
      <c r="F1096" s="2">
        <f ca="1">IFERROR(__xludf.DUMMYFUNCTION("""COMPUTED_VALUE"""),83.687)</f>
        <v>83.686999999999998</v>
      </c>
      <c r="G1096" s="2">
        <f ca="1">IFERROR(__xludf.DUMMYFUNCTION("""COMPUTED_VALUE"""),0.63943)</f>
        <v>0.63943000000000005</v>
      </c>
      <c r="H1096" s="2">
        <f ca="1">IFERROR(__xludf.DUMMYFUNCTION("""COMPUTED_VALUE"""),53.286)</f>
        <v>53.286000000000001</v>
      </c>
      <c r="I1096" s="2">
        <f ca="1">IFERROR(__xludf.DUMMYFUNCTION("""COMPUTED_VALUE"""),56.627)</f>
        <v>56.627000000000002</v>
      </c>
      <c r="J1096" s="2">
        <f ca="1">IFERROR(__xludf.DUMMYFUNCTION("""COMPUTED_VALUE"""),47.391)</f>
        <v>47.390999999999998</v>
      </c>
      <c r="K1096" s="2">
        <f ca="1">IFERROR(__xludf.DUMMYFUNCTION("""COMPUTED_VALUE"""),56.655)</f>
        <v>56.655000000000001</v>
      </c>
      <c r="L1096" s="2">
        <f ca="1">IFERROR(__xludf.DUMMYFUNCTION("""COMPUTED_VALUE"""),10.364)</f>
        <v>10.364000000000001</v>
      </c>
      <c r="M1096" s="2">
        <f ca="1">IFERROR(__xludf.DUMMYFUNCTION("""COMPUTED_VALUE"""),14.927)</f>
        <v>14.927</v>
      </c>
      <c r="U1096" s="3" t="e">
        <f ca="1"/>
        <v>#NAME?</v>
      </c>
    </row>
    <row r="1097" spans="3:21" ht="12.5" x14ac:dyDescent="0.25">
      <c r="C1097" s="4">
        <f ca="1">IFERROR(__xludf.DUMMYFUNCTION("""COMPUTED_VALUE"""),41436.9986111111)</f>
        <v>41436.998611111099</v>
      </c>
      <c r="D1097" s="2">
        <f ca="1">IFERROR(__xludf.DUMMYFUNCTION("""COMPUTED_VALUE"""),58.333)</f>
        <v>58.332999999999998</v>
      </c>
      <c r="E1097" s="2">
        <f ca="1">IFERROR(__xludf.DUMMYFUNCTION("""COMPUTED_VALUE"""),77.737)</f>
        <v>77.736999999999995</v>
      </c>
      <c r="F1097" s="2">
        <f ca="1">IFERROR(__xludf.DUMMYFUNCTION("""COMPUTED_VALUE"""),84.079)</f>
        <v>84.078999999999994</v>
      </c>
      <c r="G1097" s="2">
        <f ca="1">IFERROR(__xludf.DUMMYFUNCTION("""COMPUTED_VALUE"""),0.64584)</f>
        <v>0.64583999999999997</v>
      </c>
      <c r="H1097" s="2">
        <f ca="1">IFERROR(__xludf.DUMMYFUNCTION("""COMPUTED_VALUE"""),54.189)</f>
        <v>54.189</v>
      </c>
      <c r="I1097" s="2">
        <f ca="1">IFERROR(__xludf.DUMMYFUNCTION("""COMPUTED_VALUE"""),57.6)</f>
        <v>57.6</v>
      </c>
      <c r="J1097" s="2">
        <f ca="1">IFERROR(__xludf.DUMMYFUNCTION("""COMPUTED_VALUE"""),46.643)</f>
        <v>46.643000000000001</v>
      </c>
      <c r="K1097" s="2">
        <f ca="1">IFERROR(__xludf.DUMMYFUNCTION("""COMPUTED_VALUE"""),56.746)</f>
        <v>56.746000000000002</v>
      </c>
      <c r="L1097" s="2">
        <f ca="1">IFERROR(__xludf.DUMMYFUNCTION("""COMPUTED_VALUE"""),10.333)</f>
        <v>10.333</v>
      </c>
      <c r="M1097" s="2">
        <f ca="1">IFERROR(__xludf.DUMMYFUNCTION("""COMPUTED_VALUE"""),14.919)</f>
        <v>14.919</v>
      </c>
      <c r="U1097" s="3" t="e">
        <f ca="1"/>
        <v>#NAME?</v>
      </c>
    </row>
    <row r="1098" spans="3:21" ht="12.5" x14ac:dyDescent="0.25">
      <c r="C1098" s="4">
        <f ca="1">IFERROR(__xludf.DUMMYFUNCTION("""COMPUTED_VALUE"""),41437.9986111111)</f>
        <v>41437.998611111099</v>
      </c>
      <c r="D1098" s="2">
        <f ca="1">IFERROR(__xludf.DUMMYFUNCTION("""COMPUTED_VALUE"""),57.828)</f>
        <v>57.828000000000003</v>
      </c>
      <c r="E1098" s="2">
        <f ca="1">IFERROR(__xludf.DUMMYFUNCTION("""COMPUTED_VALUE"""),78.252)</f>
        <v>78.251999999999995</v>
      </c>
      <c r="F1098" s="2">
        <f ca="1">IFERROR(__xludf.DUMMYFUNCTION("""COMPUTED_VALUE"""),83.722)</f>
        <v>83.721999999999994</v>
      </c>
      <c r="G1098" s="2">
        <f ca="1">IFERROR(__xludf.DUMMYFUNCTION("""COMPUTED_VALUE"""),0.64792)</f>
        <v>0.64792000000000005</v>
      </c>
      <c r="H1098" s="2">
        <f ca="1">IFERROR(__xludf.DUMMYFUNCTION("""COMPUTED_VALUE"""),54.34)</f>
        <v>54.34</v>
      </c>
      <c r="I1098" s="2">
        <f ca="1">IFERROR(__xludf.DUMMYFUNCTION("""COMPUTED_VALUE"""),57.252)</f>
        <v>57.252000000000002</v>
      </c>
      <c r="J1098" s="2">
        <f ca="1">IFERROR(__xludf.DUMMYFUNCTION("""COMPUTED_VALUE"""),47.44)</f>
        <v>47.44</v>
      </c>
      <c r="K1098" s="2">
        <f ca="1">IFERROR(__xludf.DUMMYFUNCTION("""COMPUTED_VALUE"""),56.39)</f>
        <v>56.39</v>
      </c>
      <c r="L1098" s="2">
        <f ca="1">IFERROR(__xludf.DUMMYFUNCTION("""COMPUTED_VALUE"""),10.321)</f>
        <v>10.321</v>
      </c>
      <c r="M1098" s="2">
        <f ca="1">IFERROR(__xludf.DUMMYFUNCTION("""COMPUTED_VALUE"""),14.914)</f>
        <v>14.914</v>
      </c>
      <c r="U1098" s="3" t="e">
        <f ca="1"/>
        <v>#NAME?</v>
      </c>
    </row>
    <row r="1099" spans="3:21" ht="12.5" x14ac:dyDescent="0.25">
      <c r="C1099" s="4">
        <f ca="1">IFERROR(__xludf.DUMMYFUNCTION("""COMPUTED_VALUE"""),41438.9986111111)</f>
        <v>41438.998611111099</v>
      </c>
      <c r="D1099" s="2">
        <f ca="1">IFERROR(__xludf.DUMMYFUNCTION("""COMPUTED_VALUE"""),57.998)</f>
        <v>57.997999999999998</v>
      </c>
      <c r="E1099" s="2">
        <f ca="1">IFERROR(__xludf.DUMMYFUNCTION("""COMPUTED_VALUE"""),77.917)</f>
        <v>77.917000000000002</v>
      </c>
      <c r="F1099" s="2">
        <f ca="1">IFERROR(__xludf.DUMMYFUNCTION("""COMPUTED_VALUE"""),84.166)</f>
        <v>84.165999999999997</v>
      </c>
      <c r="G1099" s="2">
        <f ca="1">IFERROR(__xludf.DUMMYFUNCTION("""COMPUTED_VALUE"""),0.6548)</f>
        <v>0.65480000000000005</v>
      </c>
      <c r="H1099" s="2">
        <f ca="1">IFERROR(__xludf.DUMMYFUNCTION("""COMPUTED_VALUE"""),54.76)</f>
        <v>54.76</v>
      </c>
      <c r="I1099" s="2">
        <f ca="1">IFERROR(__xludf.DUMMYFUNCTION("""COMPUTED_VALUE"""),57.078)</f>
        <v>57.078000000000003</v>
      </c>
      <c r="J1099" s="2">
        <f ca="1">IFERROR(__xludf.DUMMYFUNCTION("""COMPUTED_VALUE"""),47.329)</f>
        <v>47.329000000000001</v>
      </c>
      <c r="K1099" s="2">
        <f ca="1">IFERROR(__xludf.DUMMYFUNCTION("""COMPUTED_VALUE"""),56.39)</f>
        <v>56.39</v>
      </c>
      <c r="L1099" s="2">
        <f ca="1">IFERROR(__xludf.DUMMYFUNCTION("""COMPUTED_VALUE"""),10.295)</f>
        <v>10.295</v>
      </c>
      <c r="M1099" s="2">
        <f ca="1">IFERROR(__xludf.DUMMYFUNCTION("""COMPUTED_VALUE"""),14.914)</f>
        <v>14.914</v>
      </c>
      <c r="U1099" s="3" t="e">
        <f ca="1"/>
        <v>#NAME?</v>
      </c>
    </row>
    <row r="1100" spans="3:21" ht="12.5" x14ac:dyDescent="0.25">
      <c r="C1100" s="4">
        <f ca="1">IFERROR(__xludf.DUMMYFUNCTION("""COMPUTED_VALUE"""),41439.9986111111)</f>
        <v>41439.998611111099</v>
      </c>
      <c r="D1100" s="2">
        <f ca="1">IFERROR(__xludf.DUMMYFUNCTION("""COMPUTED_VALUE"""),57.498)</f>
        <v>57.497999999999998</v>
      </c>
      <c r="E1100" s="2">
        <f ca="1">IFERROR(__xludf.DUMMYFUNCTION("""COMPUTED_VALUE"""),77.917)</f>
        <v>77.917000000000002</v>
      </c>
      <c r="F1100" s="2">
        <f ca="1">IFERROR(__xludf.DUMMYFUNCTION("""COMPUTED_VALUE"""),83.726)</f>
        <v>83.725999999999999</v>
      </c>
      <c r="G1100" s="2">
        <f ca="1">IFERROR(__xludf.DUMMYFUNCTION("""COMPUTED_VALUE"""),0.65088)</f>
        <v>0.65088000000000001</v>
      </c>
      <c r="H1100" s="2">
        <f ca="1">IFERROR(__xludf.DUMMYFUNCTION("""COMPUTED_VALUE"""),54.694)</f>
        <v>54.694000000000003</v>
      </c>
      <c r="I1100" s="2">
        <f ca="1">IFERROR(__xludf.DUMMYFUNCTION("""COMPUTED_VALUE"""),56.939)</f>
        <v>56.939</v>
      </c>
      <c r="J1100" s="2">
        <f ca="1">IFERROR(__xludf.DUMMYFUNCTION("""COMPUTED_VALUE"""),47.05)</f>
        <v>47.05</v>
      </c>
      <c r="K1100" s="2">
        <f ca="1">IFERROR(__xludf.DUMMYFUNCTION("""COMPUTED_VALUE"""),56.39)</f>
        <v>56.39</v>
      </c>
      <c r="L1100" s="2">
        <f ca="1">IFERROR(__xludf.DUMMYFUNCTION("""COMPUTED_VALUE"""),10.251)</f>
        <v>10.250999999999999</v>
      </c>
      <c r="M1100" s="2">
        <f ca="1">IFERROR(__xludf.DUMMYFUNCTION("""COMPUTED_VALUE"""),14.944)</f>
        <v>14.944000000000001</v>
      </c>
      <c r="U1100" s="3" t="e">
        <f ca="1"/>
        <v>#NAME?</v>
      </c>
    </row>
    <row r="1101" spans="3:21" ht="12.5" x14ac:dyDescent="0.25">
      <c r="C1101" s="4">
        <f ca="1">IFERROR(__xludf.DUMMYFUNCTION("""COMPUTED_VALUE"""),41440.9986111111)</f>
        <v>41440.998611111099</v>
      </c>
      <c r="D1101" s="2">
        <f ca="1">IFERROR(__xludf.DUMMYFUNCTION("""COMPUTED_VALUE"""),57.498)</f>
        <v>57.497999999999998</v>
      </c>
      <c r="E1101" s="2">
        <f ca="1">IFERROR(__xludf.DUMMYFUNCTION("""COMPUTED_VALUE"""),78.668)</f>
        <v>78.668000000000006</v>
      </c>
      <c r="F1101" s="2">
        <f ca="1">IFERROR(__xludf.DUMMYFUNCTION("""COMPUTED_VALUE"""),84.103)</f>
        <v>84.102999999999994</v>
      </c>
      <c r="G1101" s="2">
        <f ca="1">IFERROR(__xludf.DUMMYFUNCTION("""COMPUTED_VALUE"""),0.64019)</f>
        <v>0.64019000000000004</v>
      </c>
      <c r="H1101" s="2">
        <f ca="1">IFERROR(__xludf.DUMMYFUNCTION("""COMPUTED_VALUE"""),54.79)</f>
        <v>54.79</v>
      </c>
      <c r="I1101" s="2">
        <f ca="1">IFERROR(__xludf.DUMMYFUNCTION("""COMPUTED_VALUE"""),57.5)</f>
        <v>57.5</v>
      </c>
      <c r="J1101" s="2">
        <f ca="1">IFERROR(__xludf.DUMMYFUNCTION("""COMPUTED_VALUE"""),47.004)</f>
        <v>47.003999999999998</v>
      </c>
      <c r="K1101" s="2">
        <f ca="1">IFERROR(__xludf.DUMMYFUNCTION("""COMPUTED_VALUE"""),57.005)</f>
        <v>57.005000000000003</v>
      </c>
      <c r="L1101" s="2">
        <f ca="1">IFERROR(__xludf.DUMMYFUNCTION("""COMPUTED_VALUE"""),10.251)</f>
        <v>10.250999999999999</v>
      </c>
      <c r="M1101" s="2">
        <f ca="1">IFERROR(__xludf.DUMMYFUNCTION("""COMPUTED_VALUE"""),14.944)</f>
        <v>14.944000000000001</v>
      </c>
      <c r="U1101" s="3" t="e">
        <f ca="1"/>
        <v>#NAME?</v>
      </c>
    </row>
    <row r="1102" spans="3:21" ht="12.5" x14ac:dyDescent="0.25">
      <c r="C1102" s="4">
        <f ca="1">IFERROR(__xludf.DUMMYFUNCTION("""COMPUTED_VALUE"""),41441.9986111111)</f>
        <v>41441.998611111099</v>
      </c>
      <c r="D1102" s="2">
        <f ca="1">IFERROR(__xludf.DUMMYFUNCTION("""COMPUTED_VALUE"""),57.498)</f>
        <v>57.497999999999998</v>
      </c>
      <c r="E1102" s="2">
        <f ca="1">IFERROR(__xludf.DUMMYFUNCTION("""COMPUTED_VALUE"""),78.95)</f>
        <v>78.95</v>
      </c>
      <c r="F1102" s="2">
        <f ca="1">IFERROR(__xludf.DUMMYFUNCTION("""COMPUTED_VALUE"""),84.254)</f>
        <v>84.254000000000005</v>
      </c>
      <c r="G1102" s="2">
        <f ca="1">IFERROR(__xludf.DUMMYFUNCTION("""COMPUTED_VALUE"""),0.64001)</f>
        <v>0.64000999999999997</v>
      </c>
      <c r="H1102" s="2">
        <f ca="1">IFERROR(__xludf.DUMMYFUNCTION("""COMPUTED_VALUE"""),54.384)</f>
        <v>54.384</v>
      </c>
      <c r="I1102" s="2">
        <f ca="1">IFERROR(__xludf.DUMMYFUNCTION("""COMPUTED_VALUE"""),57.187)</f>
        <v>57.186999999999998</v>
      </c>
      <c r="J1102" s="2">
        <f ca="1">IFERROR(__xludf.DUMMYFUNCTION("""COMPUTED_VALUE"""),47.117)</f>
        <v>47.116999999999997</v>
      </c>
      <c r="K1102" s="2">
        <f ca="1">IFERROR(__xludf.DUMMYFUNCTION("""COMPUTED_VALUE"""),57.095)</f>
        <v>57.094999999999999</v>
      </c>
      <c r="L1102" s="2">
        <f ca="1">IFERROR(__xludf.DUMMYFUNCTION("""COMPUTED_VALUE"""),10.261)</f>
        <v>10.260999999999999</v>
      </c>
      <c r="M1102" s="2">
        <f ca="1">IFERROR(__xludf.DUMMYFUNCTION("""COMPUTED_VALUE"""),14.944)</f>
        <v>14.944000000000001</v>
      </c>
      <c r="U1102" s="3" t="e">
        <f ca="1"/>
        <v>#NAME?</v>
      </c>
    </row>
    <row r="1103" spans="3:21" ht="12.5" x14ac:dyDescent="0.25">
      <c r="C1103" s="4">
        <f ca="1">IFERROR(__xludf.DUMMYFUNCTION("""COMPUTED_VALUE"""),41442.9986111111)</f>
        <v>41442.998611111099</v>
      </c>
      <c r="D1103" s="2">
        <f ca="1">IFERROR(__xludf.DUMMYFUNCTION("""COMPUTED_VALUE"""),58.103)</f>
        <v>58.103000000000002</v>
      </c>
      <c r="E1103" s="2">
        <f ca="1">IFERROR(__xludf.DUMMYFUNCTION("""COMPUTED_VALUE"""),77.951)</f>
        <v>77.950999999999993</v>
      </c>
      <c r="F1103" s="2">
        <f ca="1">IFERROR(__xludf.DUMMYFUNCTION("""COMPUTED_VALUE"""),84.102)</f>
        <v>84.102000000000004</v>
      </c>
      <c r="G1103" s="2">
        <f ca="1">IFERROR(__xludf.DUMMYFUNCTION("""COMPUTED_VALUE"""),0.64899)</f>
        <v>0.64898999999999996</v>
      </c>
      <c r="H1103" s="2">
        <f ca="1">IFERROR(__xludf.DUMMYFUNCTION("""COMPUTED_VALUE"""),54.396)</f>
        <v>54.396000000000001</v>
      </c>
      <c r="I1103" s="2">
        <f ca="1">IFERROR(__xludf.DUMMYFUNCTION("""COMPUTED_VALUE"""),57.187)</f>
        <v>57.186999999999998</v>
      </c>
      <c r="J1103" s="2">
        <f ca="1">IFERROR(__xludf.DUMMYFUNCTION("""COMPUTED_VALUE"""),46.815)</f>
        <v>46.814999999999998</v>
      </c>
      <c r="K1103" s="2">
        <f ca="1">IFERROR(__xludf.DUMMYFUNCTION("""COMPUTED_VALUE"""),56.744)</f>
        <v>56.744</v>
      </c>
      <c r="L1103" s="2">
        <f ca="1">IFERROR(__xludf.DUMMYFUNCTION("""COMPUTED_VALUE"""),10.271)</f>
        <v>10.271000000000001</v>
      </c>
      <c r="M1103" s="2">
        <f ca="1">IFERROR(__xludf.DUMMYFUNCTION("""COMPUTED_VALUE"""),15.004)</f>
        <v>15.004</v>
      </c>
      <c r="U1103" s="3" t="e">
        <f ca="1"/>
        <v>#NAME?</v>
      </c>
    </row>
    <row r="1104" spans="3:21" ht="12.5" x14ac:dyDescent="0.25">
      <c r="C1104" s="4">
        <f ca="1">IFERROR(__xludf.DUMMYFUNCTION("""COMPUTED_VALUE"""),41443.9986111111)</f>
        <v>41443.998611111099</v>
      </c>
      <c r="D1104" s="2">
        <f ca="1">IFERROR(__xludf.DUMMYFUNCTION("""COMPUTED_VALUE"""),58.838)</f>
        <v>58.838000000000001</v>
      </c>
      <c r="E1104" s="2">
        <f ca="1">IFERROR(__xludf.DUMMYFUNCTION("""COMPUTED_VALUE"""),78.234)</f>
        <v>78.233999999999995</v>
      </c>
      <c r="F1104" s="2">
        <f ca="1">IFERROR(__xludf.DUMMYFUNCTION("""COMPUTED_VALUE"""),83.799)</f>
        <v>83.799000000000007</v>
      </c>
      <c r="G1104" s="2">
        <f ca="1">IFERROR(__xludf.DUMMYFUNCTION("""COMPUTED_VALUE"""),0.6528)</f>
        <v>0.65280000000000005</v>
      </c>
      <c r="H1104" s="2">
        <f ca="1">IFERROR(__xludf.DUMMYFUNCTION("""COMPUTED_VALUE"""),55.195)</f>
        <v>55.195</v>
      </c>
      <c r="I1104" s="2">
        <f ca="1">IFERROR(__xludf.DUMMYFUNCTION("""COMPUTED_VALUE"""),57.71)</f>
        <v>57.71</v>
      </c>
      <c r="J1104" s="2">
        <f ca="1">IFERROR(__xludf.DUMMYFUNCTION("""COMPUTED_VALUE"""),46.815)</f>
        <v>46.814999999999998</v>
      </c>
      <c r="K1104" s="2">
        <f ca="1">IFERROR(__xludf.DUMMYFUNCTION("""COMPUTED_VALUE"""),57.421)</f>
        <v>57.420999999999999</v>
      </c>
      <c r="L1104" s="2">
        <f ca="1">IFERROR(__xludf.DUMMYFUNCTION("""COMPUTED_VALUE"""),10.27)</f>
        <v>10.27</v>
      </c>
      <c r="M1104" s="2">
        <f ca="1">IFERROR(__xludf.DUMMYFUNCTION("""COMPUTED_VALUE"""),15.085)</f>
        <v>15.085000000000001</v>
      </c>
      <c r="U1104" s="3" t="e">
        <f ca="1"/>
        <v>#NAME?</v>
      </c>
    </row>
    <row r="1105" spans="3:21" ht="12.5" x14ac:dyDescent="0.25">
      <c r="C1105" s="4">
        <f ca="1">IFERROR(__xludf.DUMMYFUNCTION("""COMPUTED_VALUE"""),41444.9986111111)</f>
        <v>41444.998611111099</v>
      </c>
      <c r="D1105" s="2">
        <f ca="1">IFERROR(__xludf.DUMMYFUNCTION("""COMPUTED_VALUE"""),58.713)</f>
        <v>58.713000000000001</v>
      </c>
      <c r="E1105" s="2">
        <f ca="1">IFERROR(__xludf.DUMMYFUNCTION("""COMPUTED_VALUE"""),78.324)</f>
        <v>78.323999999999998</v>
      </c>
      <c r="F1105" s="2">
        <f ca="1">IFERROR(__xludf.DUMMYFUNCTION("""COMPUTED_VALUE"""),83.312)</f>
        <v>83.311999999999998</v>
      </c>
      <c r="G1105" s="2">
        <f ca="1">IFERROR(__xludf.DUMMYFUNCTION("""COMPUTED_VALUE"""),0.68214)</f>
        <v>0.68213999999999997</v>
      </c>
      <c r="H1105" s="2">
        <f ca="1">IFERROR(__xludf.DUMMYFUNCTION("""COMPUTED_VALUE"""),55.458)</f>
        <v>55.457999999999998</v>
      </c>
      <c r="I1105" s="2">
        <f ca="1">IFERROR(__xludf.DUMMYFUNCTION("""COMPUTED_VALUE"""),58.021)</f>
        <v>58.021000000000001</v>
      </c>
      <c r="J1105" s="2">
        <f ca="1">IFERROR(__xludf.DUMMYFUNCTION("""COMPUTED_VALUE"""),47.313)</f>
        <v>47.313000000000002</v>
      </c>
      <c r="K1105" s="2">
        <f ca="1">IFERROR(__xludf.DUMMYFUNCTION("""COMPUTED_VALUE"""),57.991)</f>
        <v>57.991</v>
      </c>
      <c r="L1105" s="2">
        <f ca="1">IFERROR(__xludf.DUMMYFUNCTION("""COMPUTED_VALUE"""),10.245)</f>
        <v>10.244999999999999</v>
      </c>
      <c r="M1105" s="2">
        <f ca="1">IFERROR(__xludf.DUMMYFUNCTION("""COMPUTED_VALUE"""),15.152)</f>
        <v>15.151999999999999</v>
      </c>
      <c r="U1105" s="3" t="e">
        <f ca="1"/>
        <v>#NAME?</v>
      </c>
    </row>
    <row r="1106" spans="3:21" ht="12.5" x14ac:dyDescent="0.25">
      <c r="C1106" s="4">
        <f ca="1">IFERROR(__xludf.DUMMYFUNCTION("""COMPUTED_VALUE"""),41445.9986111111)</f>
        <v>41445.998611111099</v>
      </c>
      <c r="D1106" s="2">
        <f ca="1">IFERROR(__xludf.DUMMYFUNCTION("""COMPUTED_VALUE"""),59.568)</f>
        <v>59.567999999999998</v>
      </c>
      <c r="E1106" s="2">
        <f ca="1">IFERROR(__xludf.DUMMYFUNCTION("""COMPUTED_VALUE"""),77.2)</f>
        <v>77.2</v>
      </c>
      <c r="F1106" s="2">
        <f ca="1">IFERROR(__xludf.DUMMYFUNCTION("""COMPUTED_VALUE"""),83.32)</f>
        <v>83.32</v>
      </c>
      <c r="G1106" s="2">
        <f ca="1">IFERROR(__xludf.DUMMYFUNCTION("""COMPUTED_VALUE"""),0.70367)</f>
        <v>0.70367000000000002</v>
      </c>
      <c r="H1106" s="2">
        <f ca="1">IFERROR(__xludf.DUMMYFUNCTION("""COMPUTED_VALUE"""),54.071)</f>
        <v>54.070999999999998</v>
      </c>
      <c r="I1106" s="2">
        <f ca="1">IFERROR(__xludf.DUMMYFUNCTION("""COMPUTED_VALUE"""),57.283)</f>
        <v>57.283000000000001</v>
      </c>
      <c r="J1106" s="2">
        <f ca="1">IFERROR(__xludf.DUMMYFUNCTION("""COMPUTED_VALUE"""),47.245)</f>
        <v>47.244999999999997</v>
      </c>
      <c r="K1106" s="2">
        <f ca="1">IFERROR(__xludf.DUMMYFUNCTION("""COMPUTED_VALUE"""),58.049)</f>
        <v>58.048999999999999</v>
      </c>
      <c r="L1106" s="2">
        <f ca="1">IFERROR(__xludf.DUMMYFUNCTION("""COMPUTED_VALUE"""),10.26)</f>
        <v>10.26</v>
      </c>
      <c r="M1106" s="2">
        <f ca="1">IFERROR(__xludf.DUMMYFUNCTION("""COMPUTED_VALUE"""),15.167)</f>
        <v>15.167</v>
      </c>
      <c r="U1106" s="3" t="e">
        <f ca="1"/>
        <v>#NAME?</v>
      </c>
    </row>
    <row r="1107" spans="3:21" ht="12.5" x14ac:dyDescent="0.25">
      <c r="C1107" s="4">
        <f ca="1">IFERROR(__xludf.DUMMYFUNCTION("""COMPUTED_VALUE"""),41446.9986111111)</f>
        <v>41446.998611111099</v>
      </c>
      <c r="D1107" s="2">
        <f ca="1">IFERROR(__xludf.DUMMYFUNCTION("""COMPUTED_VALUE"""),59.36)</f>
        <v>59.36</v>
      </c>
      <c r="E1107" s="2">
        <f ca="1">IFERROR(__xludf.DUMMYFUNCTION("""COMPUTED_VALUE"""),78.463)</f>
        <v>78.462999999999994</v>
      </c>
      <c r="F1107" s="2">
        <f ca="1">IFERROR(__xludf.DUMMYFUNCTION("""COMPUTED_VALUE"""),83.597)</f>
        <v>83.596999999999994</v>
      </c>
      <c r="G1107" s="2">
        <f ca="1">IFERROR(__xludf.DUMMYFUNCTION("""COMPUTED_VALUE"""),0.67592)</f>
        <v>0.67591999999999997</v>
      </c>
      <c r="H1107" s="2">
        <f ca="1">IFERROR(__xludf.DUMMYFUNCTION("""COMPUTED_VALUE"""),54.439)</f>
        <v>54.439</v>
      </c>
      <c r="I1107" s="2">
        <f ca="1">IFERROR(__xludf.DUMMYFUNCTION("""COMPUTED_VALUE"""),57.295)</f>
        <v>57.295000000000002</v>
      </c>
      <c r="J1107" s="2">
        <f ca="1">IFERROR(__xludf.DUMMYFUNCTION("""COMPUTED_VALUE"""),46.557)</f>
        <v>46.557000000000002</v>
      </c>
      <c r="K1107" s="2">
        <f ca="1">IFERROR(__xludf.DUMMYFUNCTION("""COMPUTED_VALUE"""),57.646)</f>
        <v>57.646000000000001</v>
      </c>
      <c r="L1107" s="2">
        <f ca="1">IFERROR(__xludf.DUMMYFUNCTION("""COMPUTED_VALUE"""),10.215)</f>
        <v>10.215</v>
      </c>
      <c r="M1107" s="2">
        <f ca="1">IFERROR(__xludf.DUMMYFUNCTION("""COMPUTED_VALUE"""),15.195)</f>
        <v>15.195</v>
      </c>
      <c r="U1107" s="3" t="e">
        <f ca="1"/>
        <v>#NAME?</v>
      </c>
    </row>
    <row r="1108" spans="3:21" ht="12.5" x14ac:dyDescent="0.25">
      <c r="C1108" s="4">
        <f ca="1">IFERROR(__xludf.DUMMYFUNCTION("""COMPUTED_VALUE"""),41447.9986111111)</f>
        <v>41447.998611111099</v>
      </c>
      <c r="D1108" s="2">
        <f ca="1">IFERROR(__xludf.DUMMYFUNCTION("""COMPUTED_VALUE"""),59.268)</f>
        <v>59.268000000000001</v>
      </c>
      <c r="E1108" s="2">
        <f ca="1">IFERROR(__xludf.DUMMYFUNCTION("""COMPUTED_VALUE"""),78.704)</f>
        <v>78.703999999999994</v>
      </c>
      <c r="F1108" s="2">
        <f ca="1">IFERROR(__xludf.DUMMYFUNCTION("""COMPUTED_VALUE"""),83.2)</f>
        <v>83.2</v>
      </c>
      <c r="G1108" s="2">
        <f ca="1">IFERROR(__xludf.DUMMYFUNCTION("""COMPUTED_VALUE"""),0.66923)</f>
        <v>0.66922999999999999</v>
      </c>
      <c r="H1108" s="2">
        <f ca="1">IFERROR(__xludf.DUMMYFUNCTION("""COMPUTED_VALUE"""),54.651)</f>
        <v>54.651000000000003</v>
      </c>
      <c r="I1108" s="2">
        <f ca="1">IFERROR(__xludf.DUMMYFUNCTION("""COMPUTED_VALUE"""),57.384)</f>
        <v>57.384</v>
      </c>
      <c r="J1108" s="2">
        <f ca="1">IFERROR(__xludf.DUMMYFUNCTION("""COMPUTED_VALUE"""),46.608)</f>
        <v>46.607999999999997</v>
      </c>
      <c r="K1108" s="2">
        <f ca="1">IFERROR(__xludf.DUMMYFUNCTION("""COMPUTED_VALUE"""),57.408)</f>
        <v>57.408000000000001</v>
      </c>
      <c r="L1108" s="2">
        <f ca="1">IFERROR(__xludf.DUMMYFUNCTION("""COMPUTED_VALUE"""),10.202)</f>
        <v>10.202</v>
      </c>
      <c r="M1108" s="2">
        <f ca="1">IFERROR(__xludf.DUMMYFUNCTION("""COMPUTED_VALUE"""),15.195)</f>
        <v>15.195</v>
      </c>
      <c r="U1108" s="3" t="e">
        <f ca="1"/>
        <v>#NAME?</v>
      </c>
    </row>
    <row r="1109" spans="3:21" ht="12.5" x14ac:dyDescent="0.25">
      <c r="C1109" s="4">
        <f ca="1">IFERROR(__xludf.DUMMYFUNCTION("""COMPUTED_VALUE"""),41448.9986111111)</f>
        <v>41448.998611111099</v>
      </c>
      <c r="D1109" s="2">
        <f ca="1">IFERROR(__xludf.DUMMYFUNCTION("""COMPUTED_VALUE"""),59.268)</f>
        <v>59.268000000000001</v>
      </c>
      <c r="E1109" s="2">
        <f ca="1">IFERROR(__xludf.DUMMYFUNCTION("""COMPUTED_VALUE"""),80.573)</f>
        <v>80.572999999999993</v>
      </c>
      <c r="F1109" s="2">
        <f ca="1">IFERROR(__xludf.DUMMYFUNCTION("""COMPUTED_VALUE"""),83.482)</f>
        <v>83.481999999999999</v>
      </c>
      <c r="G1109" s="2">
        <f ca="1">IFERROR(__xludf.DUMMYFUNCTION("""COMPUTED_VALUE"""),0.66871)</f>
        <v>0.66871000000000003</v>
      </c>
      <c r="H1109" s="2">
        <f ca="1">IFERROR(__xludf.DUMMYFUNCTION("""COMPUTED_VALUE"""),53.858)</f>
        <v>53.857999999999997</v>
      </c>
      <c r="I1109" s="2">
        <f ca="1">IFERROR(__xludf.DUMMYFUNCTION("""COMPUTED_VALUE"""),56.553)</f>
        <v>56.552999999999997</v>
      </c>
      <c r="J1109" s="2">
        <f ca="1">IFERROR(__xludf.DUMMYFUNCTION("""COMPUTED_VALUE"""),46.656)</f>
        <v>46.655999999999999</v>
      </c>
      <c r="K1109" s="2">
        <f ca="1">IFERROR(__xludf.DUMMYFUNCTION("""COMPUTED_VALUE"""),58.431)</f>
        <v>58.430999999999997</v>
      </c>
      <c r="L1109" s="2">
        <f ca="1">IFERROR(__xludf.DUMMYFUNCTION("""COMPUTED_VALUE"""),10.193)</f>
        <v>10.193</v>
      </c>
      <c r="M1109" s="2">
        <f ca="1">IFERROR(__xludf.DUMMYFUNCTION("""COMPUTED_VALUE"""),15.195)</f>
        <v>15.195</v>
      </c>
      <c r="U1109" s="3" t="e">
        <f ca="1"/>
        <v>#NAME?</v>
      </c>
    </row>
    <row r="1110" spans="3:21" ht="12.5" x14ac:dyDescent="0.25">
      <c r="C1110" s="4">
        <f ca="1">IFERROR(__xludf.DUMMYFUNCTION("""COMPUTED_VALUE"""),41449.9986111111)</f>
        <v>41449.998611111099</v>
      </c>
      <c r="D1110" s="2">
        <f ca="1">IFERROR(__xludf.DUMMYFUNCTION("""COMPUTED_VALUE"""),59.808)</f>
        <v>59.808</v>
      </c>
      <c r="E1110" s="2">
        <f ca="1">IFERROR(__xludf.DUMMYFUNCTION("""COMPUTED_VALUE"""),80.809)</f>
        <v>80.808999999999997</v>
      </c>
      <c r="F1110" s="2">
        <f ca="1">IFERROR(__xludf.DUMMYFUNCTION("""COMPUTED_VALUE"""),83.482)</f>
        <v>83.481999999999999</v>
      </c>
      <c r="G1110" s="2">
        <f ca="1">IFERROR(__xludf.DUMMYFUNCTION("""COMPUTED_VALUE"""),0.67735)</f>
        <v>0.67735000000000001</v>
      </c>
      <c r="H1110" s="2">
        <f ca="1">IFERROR(__xludf.DUMMYFUNCTION("""COMPUTED_VALUE"""),54.662)</f>
        <v>54.661999999999999</v>
      </c>
      <c r="I1110" s="2">
        <f ca="1">IFERROR(__xludf.DUMMYFUNCTION("""COMPUTED_VALUE"""),57.426)</f>
        <v>57.426000000000002</v>
      </c>
      <c r="J1110" s="2">
        <f ca="1">IFERROR(__xludf.DUMMYFUNCTION("""COMPUTED_VALUE"""),45.987)</f>
        <v>45.987000000000002</v>
      </c>
      <c r="K1110" s="2">
        <f ca="1">IFERROR(__xludf.DUMMYFUNCTION("""COMPUTED_VALUE"""),59.088)</f>
        <v>59.088000000000001</v>
      </c>
      <c r="L1110" s="2">
        <f ca="1">IFERROR(__xludf.DUMMYFUNCTION("""COMPUTED_VALUE"""),10.145)</f>
        <v>10.145</v>
      </c>
      <c r="M1110" s="2">
        <f ca="1">IFERROR(__xludf.DUMMYFUNCTION("""COMPUTED_VALUE"""),15.128)</f>
        <v>15.128</v>
      </c>
      <c r="U1110" s="3" t="e">
        <f ca="1"/>
        <v>#NAME?</v>
      </c>
    </row>
    <row r="1111" spans="3:21" ht="12.5" x14ac:dyDescent="0.25">
      <c r="C1111" s="4">
        <f ca="1">IFERROR(__xludf.DUMMYFUNCTION("""COMPUTED_VALUE"""),41450.9986111111)</f>
        <v>41450.998611111099</v>
      </c>
      <c r="D1111" s="2">
        <f ca="1">IFERROR(__xludf.DUMMYFUNCTION("""COMPUTED_VALUE"""),59.658)</f>
        <v>59.658000000000001</v>
      </c>
      <c r="E1111" s="2">
        <f ca="1">IFERROR(__xludf.DUMMYFUNCTION("""COMPUTED_VALUE"""),79.767)</f>
        <v>79.766999999999996</v>
      </c>
      <c r="F1111" s="2">
        <f ca="1">IFERROR(__xludf.DUMMYFUNCTION("""COMPUTED_VALUE"""),84.08)</f>
        <v>84.08</v>
      </c>
      <c r="G1111" s="2">
        <f ca="1">IFERROR(__xludf.DUMMYFUNCTION("""COMPUTED_VALUE"""),0.66266)</f>
        <v>0.66266000000000003</v>
      </c>
      <c r="H1111" s="2">
        <f ca="1">IFERROR(__xludf.DUMMYFUNCTION("""COMPUTED_VALUE"""),54.563)</f>
        <v>54.563000000000002</v>
      </c>
      <c r="I1111" s="2">
        <f ca="1">IFERROR(__xludf.DUMMYFUNCTION("""COMPUTED_VALUE"""),57.817)</f>
        <v>57.817</v>
      </c>
      <c r="J1111" s="2">
        <f ca="1">IFERROR(__xludf.DUMMYFUNCTION("""COMPUTED_VALUE"""),46.747)</f>
        <v>46.747</v>
      </c>
      <c r="K1111" s="2">
        <f ca="1">IFERROR(__xludf.DUMMYFUNCTION("""COMPUTED_VALUE"""),59.191)</f>
        <v>59.191000000000003</v>
      </c>
      <c r="L1111" s="2">
        <f ca="1">IFERROR(__xludf.DUMMYFUNCTION("""COMPUTED_VALUE"""),10.057)</f>
        <v>10.057</v>
      </c>
      <c r="M1111" s="2">
        <f ca="1">IFERROR(__xludf.DUMMYFUNCTION("""COMPUTED_VALUE"""),15.276)</f>
        <v>15.276</v>
      </c>
      <c r="U1111" s="3" t="e">
        <f ca="1"/>
        <v>#NAME?</v>
      </c>
    </row>
    <row r="1112" spans="3:21" ht="12.5" x14ac:dyDescent="0.25">
      <c r="C1112" s="4">
        <f ca="1">IFERROR(__xludf.DUMMYFUNCTION("""COMPUTED_VALUE"""),41451.9986111111)</f>
        <v>41451.998611111099</v>
      </c>
      <c r="D1112" s="2">
        <f ca="1">IFERROR(__xludf.DUMMYFUNCTION("""COMPUTED_VALUE"""),60.713)</f>
        <v>60.713000000000001</v>
      </c>
      <c r="E1112" s="2">
        <f ca="1">IFERROR(__xludf.DUMMYFUNCTION("""COMPUTED_VALUE"""),81.004)</f>
        <v>81.004000000000005</v>
      </c>
      <c r="F1112" s="2">
        <f ca="1">IFERROR(__xludf.DUMMYFUNCTION("""COMPUTED_VALUE"""),83.901)</f>
        <v>83.900999999999996</v>
      </c>
      <c r="G1112" s="2">
        <f ca="1">IFERROR(__xludf.DUMMYFUNCTION("""COMPUTED_VALUE"""),0.67824)</f>
        <v>0.67823999999999995</v>
      </c>
      <c r="H1112" s="2">
        <f ca="1">IFERROR(__xludf.DUMMYFUNCTION("""COMPUTED_VALUE"""),55.123)</f>
        <v>55.122999999999998</v>
      </c>
      <c r="I1112" s="2">
        <f ca="1">IFERROR(__xludf.DUMMYFUNCTION("""COMPUTED_VALUE"""),58.941)</f>
        <v>58.941000000000003</v>
      </c>
      <c r="J1112" s="2">
        <f ca="1">IFERROR(__xludf.DUMMYFUNCTION("""COMPUTED_VALUE"""),46.821)</f>
        <v>46.820999999999998</v>
      </c>
      <c r="K1112" s="2">
        <f ca="1">IFERROR(__xludf.DUMMYFUNCTION("""COMPUTED_VALUE"""),59.167)</f>
        <v>59.167000000000002</v>
      </c>
      <c r="L1112" s="2">
        <f ca="1">IFERROR(__xludf.DUMMYFUNCTION("""COMPUTED_VALUE"""),10.08)</f>
        <v>10.08</v>
      </c>
      <c r="M1112" s="2">
        <f ca="1">IFERROR(__xludf.DUMMYFUNCTION("""COMPUTED_VALUE"""),15.327)</f>
        <v>15.327</v>
      </c>
      <c r="U1112" s="3" t="e">
        <f ca="1"/>
        <v>#NAME?</v>
      </c>
    </row>
    <row r="1113" spans="3:21" ht="12.5" x14ac:dyDescent="0.25">
      <c r="C1113" s="4">
        <f ca="1">IFERROR(__xludf.DUMMYFUNCTION("""COMPUTED_VALUE"""),41452.9986111111)</f>
        <v>41452.998611111099</v>
      </c>
      <c r="D1113" s="2">
        <f ca="1">IFERROR(__xludf.DUMMYFUNCTION("""COMPUTED_VALUE"""),60.188)</f>
        <v>60.188000000000002</v>
      </c>
      <c r="E1113" s="2">
        <f ca="1">IFERROR(__xludf.DUMMYFUNCTION("""COMPUTED_VALUE"""),81.08)</f>
        <v>81.08</v>
      </c>
      <c r="F1113" s="2">
        <f ca="1">IFERROR(__xludf.DUMMYFUNCTION("""COMPUTED_VALUE"""),83.632)</f>
        <v>83.632000000000005</v>
      </c>
      <c r="G1113" s="2">
        <f ca="1">IFERROR(__xludf.DUMMYFUNCTION("""COMPUTED_VALUE"""),0.67174)</f>
        <v>0.67174</v>
      </c>
      <c r="H1113" s="2">
        <f ca="1">IFERROR(__xludf.DUMMYFUNCTION("""COMPUTED_VALUE"""),54.314)</f>
        <v>54.314</v>
      </c>
      <c r="I1113" s="2">
        <f ca="1">IFERROR(__xludf.DUMMYFUNCTION("""COMPUTED_VALUE"""),59.069)</f>
        <v>59.069000000000003</v>
      </c>
      <c r="J1113" s="2">
        <f ca="1">IFERROR(__xludf.DUMMYFUNCTION("""COMPUTED_VALUE"""),47.794)</f>
        <v>47.793999999999997</v>
      </c>
      <c r="K1113" s="2">
        <f ca="1">IFERROR(__xludf.DUMMYFUNCTION("""COMPUTED_VALUE"""),58.309)</f>
        <v>58.308999999999997</v>
      </c>
      <c r="L1113" s="2">
        <f ca="1">IFERROR(__xludf.DUMMYFUNCTION("""COMPUTED_VALUE"""),10.075)</f>
        <v>10.074999999999999</v>
      </c>
      <c r="M1113" s="2">
        <f ca="1">IFERROR(__xludf.DUMMYFUNCTION("""COMPUTED_VALUE"""),15.349)</f>
        <v>15.349</v>
      </c>
      <c r="U1113" s="3" t="e">
        <f ca="1"/>
        <v>#NAME?</v>
      </c>
    </row>
    <row r="1114" spans="3:21" ht="12.5" x14ac:dyDescent="0.25">
      <c r="C1114" s="4">
        <f ca="1">IFERROR(__xludf.DUMMYFUNCTION("""COMPUTED_VALUE"""),41453.9986111111)</f>
        <v>41453.998611111099</v>
      </c>
      <c r="D1114" s="2">
        <f ca="1">IFERROR(__xludf.DUMMYFUNCTION("""COMPUTED_VALUE"""),59.526)</f>
        <v>59.526000000000003</v>
      </c>
      <c r="E1114" s="2">
        <f ca="1">IFERROR(__xludf.DUMMYFUNCTION("""COMPUTED_VALUE"""),81.15)</f>
        <v>81.150000000000006</v>
      </c>
      <c r="F1114" s="2">
        <f ca="1">IFERROR(__xludf.DUMMYFUNCTION("""COMPUTED_VALUE"""),84.064)</f>
        <v>84.063999999999993</v>
      </c>
      <c r="G1114" s="2">
        <f ca="1">IFERROR(__xludf.DUMMYFUNCTION("""COMPUTED_VALUE"""),0.65847)</f>
        <v>0.65847</v>
      </c>
      <c r="H1114" s="2">
        <f ca="1">IFERROR(__xludf.DUMMYFUNCTION("""COMPUTED_VALUE"""),53.977)</f>
        <v>53.976999999999997</v>
      </c>
      <c r="I1114" s="2">
        <f ca="1">IFERROR(__xludf.DUMMYFUNCTION("""COMPUTED_VALUE"""),58.35)</f>
        <v>58.35</v>
      </c>
      <c r="J1114" s="2">
        <f ca="1">IFERROR(__xludf.DUMMYFUNCTION("""COMPUTED_VALUE"""),47.771)</f>
        <v>47.771000000000001</v>
      </c>
      <c r="K1114" s="2">
        <f ca="1">IFERROR(__xludf.DUMMYFUNCTION("""COMPUTED_VALUE"""),59.755)</f>
        <v>59.755000000000003</v>
      </c>
      <c r="L1114" s="2">
        <f ca="1">IFERROR(__xludf.DUMMYFUNCTION("""COMPUTED_VALUE"""),10.072)</f>
        <v>10.071999999999999</v>
      </c>
      <c r="M1114" s="2">
        <f ca="1">IFERROR(__xludf.DUMMYFUNCTION("""COMPUTED_VALUE"""),15.402)</f>
        <v>15.401999999999999</v>
      </c>
      <c r="U1114" s="3" t="e">
        <f ca="1"/>
        <v>#NAME?</v>
      </c>
    </row>
    <row r="1115" spans="3:21" ht="12.5" x14ac:dyDescent="0.25">
      <c r="C1115" s="4">
        <f ca="1">IFERROR(__xludf.DUMMYFUNCTION("""COMPUTED_VALUE"""),41454.9986111111)</f>
        <v>41454.998611111099</v>
      </c>
      <c r="D1115" s="2">
        <f ca="1">IFERROR(__xludf.DUMMYFUNCTION("""COMPUTED_VALUE"""),59.526)</f>
        <v>59.526000000000003</v>
      </c>
      <c r="E1115" s="2">
        <f ca="1">IFERROR(__xludf.DUMMYFUNCTION("""COMPUTED_VALUE"""),80.635)</f>
        <v>80.635000000000005</v>
      </c>
      <c r="F1115" s="2">
        <f ca="1">IFERROR(__xludf.DUMMYFUNCTION("""COMPUTED_VALUE"""),84.335)</f>
        <v>84.334999999999994</v>
      </c>
      <c r="G1115" s="2">
        <f ca="1">IFERROR(__xludf.DUMMYFUNCTION("""COMPUTED_VALUE"""),0.65823)</f>
        <v>0.65822999999999998</v>
      </c>
      <c r="H1115" s="2">
        <f ca="1">IFERROR(__xludf.DUMMYFUNCTION("""COMPUTED_VALUE"""),54.309)</f>
        <v>54.308999999999997</v>
      </c>
      <c r="I1115" s="2">
        <f ca="1">IFERROR(__xludf.DUMMYFUNCTION("""COMPUTED_VALUE"""),58.72)</f>
        <v>58.72</v>
      </c>
      <c r="J1115" s="2">
        <f ca="1">IFERROR(__xludf.DUMMYFUNCTION("""COMPUTED_VALUE"""),47.311)</f>
        <v>47.311</v>
      </c>
      <c r="K1115" s="2">
        <f ca="1">IFERROR(__xludf.DUMMYFUNCTION("""COMPUTED_VALUE"""),59.495)</f>
        <v>59.494999999999997</v>
      </c>
      <c r="L1115" s="2">
        <f ca="1">IFERROR(__xludf.DUMMYFUNCTION("""COMPUTED_VALUE"""),10.043)</f>
        <v>10.042999999999999</v>
      </c>
      <c r="M1115" s="2">
        <f ca="1">IFERROR(__xludf.DUMMYFUNCTION("""COMPUTED_VALUE"""),15.385)</f>
        <v>15.385</v>
      </c>
      <c r="U1115" s="3" t="e">
        <f ca="1"/>
        <v>#NAME?</v>
      </c>
    </row>
    <row r="1116" spans="3:21" ht="12.5" x14ac:dyDescent="0.25">
      <c r="C1116" s="4">
        <f ca="1">IFERROR(__xludf.DUMMYFUNCTION("""COMPUTED_VALUE"""),41455.9986111111)</f>
        <v>41455.998611111099</v>
      </c>
      <c r="D1116" s="2">
        <f ca="1">IFERROR(__xludf.DUMMYFUNCTION("""COMPUTED_VALUE"""),59.526)</f>
        <v>59.526000000000003</v>
      </c>
      <c r="E1116" s="2">
        <f ca="1">IFERROR(__xludf.DUMMYFUNCTION("""COMPUTED_VALUE"""),80.813)</f>
        <v>80.813000000000002</v>
      </c>
      <c r="F1116" s="2">
        <f ca="1">IFERROR(__xludf.DUMMYFUNCTION("""COMPUTED_VALUE"""),84.412)</f>
        <v>84.412000000000006</v>
      </c>
      <c r="G1116" s="2">
        <f ca="1">IFERROR(__xludf.DUMMYFUNCTION("""COMPUTED_VALUE"""),0.65821)</f>
        <v>0.65820999999999996</v>
      </c>
      <c r="H1116" s="2">
        <f ca="1">IFERROR(__xludf.DUMMYFUNCTION("""COMPUTED_VALUE"""),54.64)</f>
        <v>54.64</v>
      </c>
      <c r="I1116" s="2">
        <f ca="1">IFERROR(__xludf.DUMMYFUNCTION("""COMPUTED_VALUE"""),58.762)</f>
        <v>58.762</v>
      </c>
      <c r="J1116" s="2">
        <f ca="1">IFERROR(__xludf.DUMMYFUNCTION("""COMPUTED_VALUE"""),47.951)</f>
        <v>47.951000000000001</v>
      </c>
      <c r="K1116" s="2">
        <f ca="1">IFERROR(__xludf.DUMMYFUNCTION("""COMPUTED_VALUE"""),60.162)</f>
        <v>60.161999999999999</v>
      </c>
      <c r="L1116" s="2">
        <f ca="1">IFERROR(__xludf.DUMMYFUNCTION("""COMPUTED_VALUE"""),9.9515)</f>
        <v>9.9514999999999993</v>
      </c>
      <c r="M1116" s="2">
        <f ca="1">IFERROR(__xludf.DUMMYFUNCTION("""COMPUTED_VALUE"""),15.402)</f>
        <v>15.401999999999999</v>
      </c>
      <c r="U1116" s="3" t="e">
        <f ca="1"/>
        <v>#NAME?</v>
      </c>
    </row>
    <row r="1117" spans="3:21" ht="12.5" x14ac:dyDescent="0.25">
      <c r="C1117" s="4">
        <f ca="1">IFERROR(__xludf.DUMMYFUNCTION("""COMPUTED_VALUE"""),41456.9986111111)</f>
        <v>41456.998611111099</v>
      </c>
      <c r="D1117" s="2">
        <f ca="1">IFERROR(__xludf.DUMMYFUNCTION("""COMPUTED_VALUE"""),59.378)</f>
        <v>59.378</v>
      </c>
      <c r="E1117" s="2">
        <f ca="1">IFERROR(__xludf.DUMMYFUNCTION("""COMPUTED_VALUE"""),81.574)</f>
        <v>81.573999999999998</v>
      </c>
      <c r="F1117" s="2">
        <f ca="1">IFERROR(__xludf.DUMMYFUNCTION("""COMPUTED_VALUE"""),84.345)</f>
        <v>84.344999999999999</v>
      </c>
      <c r="G1117" s="2">
        <f ca="1">IFERROR(__xludf.DUMMYFUNCTION("""COMPUTED_VALUE"""),0.65821)</f>
        <v>0.65820999999999996</v>
      </c>
      <c r="H1117" s="2">
        <f ca="1">IFERROR(__xludf.DUMMYFUNCTION("""COMPUTED_VALUE"""),54.413)</f>
        <v>54.412999999999997</v>
      </c>
      <c r="I1117" s="2">
        <f ca="1">IFERROR(__xludf.DUMMYFUNCTION("""COMPUTED_VALUE"""),58.815)</f>
        <v>58.814999999999998</v>
      </c>
      <c r="J1117" s="2">
        <f ca="1">IFERROR(__xludf.DUMMYFUNCTION("""COMPUTED_VALUE"""),47.995)</f>
        <v>47.994999999999997</v>
      </c>
      <c r="K1117" s="2">
        <f ca="1">IFERROR(__xludf.DUMMYFUNCTION("""COMPUTED_VALUE"""),61.088)</f>
        <v>61.088000000000001</v>
      </c>
      <c r="L1117" s="2">
        <f ca="1">IFERROR(__xludf.DUMMYFUNCTION("""COMPUTED_VALUE"""),10.066)</f>
        <v>10.066000000000001</v>
      </c>
      <c r="M1117" s="2">
        <f ca="1">IFERROR(__xludf.DUMMYFUNCTION("""COMPUTED_VALUE"""),15.428)</f>
        <v>15.428000000000001</v>
      </c>
      <c r="U1117" s="3" t="e">
        <f ca="1"/>
        <v>#NAME?</v>
      </c>
    </row>
    <row r="1118" spans="3:21" ht="12.5" x14ac:dyDescent="0.25">
      <c r="C1118" s="4">
        <f ca="1">IFERROR(__xludf.DUMMYFUNCTION("""COMPUTED_VALUE"""),41457.9986111111)</f>
        <v>41457.998611111099</v>
      </c>
      <c r="D1118" s="2">
        <f ca="1">IFERROR(__xludf.DUMMYFUNCTION("""COMPUTED_VALUE"""),59.548)</f>
        <v>59.548000000000002</v>
      </c>
      <c r="E1118" s="2">
        <f ca="1">IFERROR(__xludf.DUMMYFUNCTION("""COMPUTED_VALUE"""),81.181)</f>
        <v>81.180999999999997</v>
      </c>
      <c r="F1118" s="2">
        <f ca="1">IFERROR(__xludf.DUMMYFUNCTION("""COMPUTED_VALUE"""),83.855)</f>
        <v>83.855000000000004</v>
      </c>
      <c r="G1118" s="2">
        <f ca="1">IFERROR(__xludf.DUMMYFUNCTION("""COMPUTED_VALUE"""),0.65409)</f>
        <v>0.65408999999999995</v>
      </c>
      <c r="H1118" s="2">
        <f ca="1">IFERROR(__xludf.DUMMYFUNCTION("""COMPUTED_VALUE"""),54.22)</f>
        <v>54.22</v>
      </c>
      <c r="I1118" s="2">
        <f ca="1">IFERROR(__xludf.DUMMYFUNCTION("""COMPUTED_VALUE"""),58.708)</f>
        <v>58.707999999999998</v>
      </c>
      <c r="J1118" s="2">
        <f ca="1">IFERROR(__xludf.DUMMYFUNCTION("""COMPUTED_VALUE"""),48.058)</f>
        <v>48.058</v>
      </c>
      <c r="K1118" s="2">
        <f ca="1">IFERROR(__xludf.DUMMYFUNCTION("""COMPUTED_VALUE"""),60.904)</f>
        <v>60.904000000000003</v>
      </c>
      <c r="L1118" s="2">
        <f ca="1">IFERROR(__xludf.DUMMYFUNCTION("""COMPUTED_VALUE"""),10.066)</f>
        <v>10.066000000000001</v>
      </c>
      <c r="M1118" s="2">
        <f ca="1">IFERROR(__xludf.DUMMYFUNCTION("""COMPUTED_VALUE"""),15.366)</f>
        <v>15.366</v>
      </c>
      <c r="U1118" s="3" t="e">
        <f ca="1"/>
        <v>#NAME?</v>
      </c>
    </row>
    <row r="1119" spans="3:21" ht="12.5" x14ac:dyDescent="0.25">
      <c r="C1119" s="4">
        <f ca="1">IFERROR(__xludf.DUMMYFUNCTION("""COMPUTED_VALUE"""),41458.9986111111)</f>
        <v>41458.998611111099</v>
      </c>
      <c r="D1119" s="2">
        <f ca="1">IFERROR(__xludf.DUMMYFUNCTION("""COMPUTED_VALUE"""),60.219)</f>
        <v>60.219000000000001</v>
      </c>
      <c r="E1119" s="2">
        <f ca="1">IFERROR(__xludf.DUMMYFUNCTION("""COMPUTED_VALUE"""),79.4)</f>
        <v>79.400000000000006</v>
      </c>
      <c r="F1119" s="2">
        <f ca="1">IFERROR(__xludf.DUMMYFUNCTION("""COMPUTED_VALUE"""),84.263)</f>
        <v>84.263000000000005</v>
      </c>
      <c r="G1119" s="2">
        <f ca="1">IFERROR(__xludf.DUMMYFUNCTION("""COMPUTED_VALUE"""),0.63524)</f>
        <v>0.63524000000000003</v>
      </c>
      <c r="H1119" s="2">
        <f ca="1">IFERROR(__xludf.DUMMYFUNCTION("""COMPUTED_VALUE"""),54.554)</f>
        <v>54.554000000000002</v>
      </c>
      <c r="I1119" s="2">
        <f ca="1">IFERROR(__xludf.DUMMYFUNCTION("""COMPUTED_VALUE"""),58.543)</f>
        <v>58.542999999999999</v>
      </c>
      <c r="J1119" s="2">
        <f ca="1">IFERROR(__xludf.DUMMYFUNCTION("""COMPUTED_VALUE"""),47.944)</f>
        <v>47.944000000000003</v>
      </c>
      <c r="K1119" s="2">
        <f ca="1">IFERROR(__xludf.DUMMYFUNCTION("""COMPUTED_VALUE"""),60.291)</f>
        <v>60.290999999999997</v>
      </c>
      <c r="L1119" s="2">
        <f ca="1">IFERROR(__xludf.DUMMYFUNCTION("""COMPUTED_VALUE"""),10.088)</f>
        <v>10.087999999999999</v>
      </c>
      <c r="M1119" s="2">
        <f ca="1">IFERROR(__xludf.DUMMYFUNCTION("""COMPUTED_VALUE"""),15.443)</f>
        <v>15.443</v>
      </c>
      <c r="U1119" s="3" t="e">
        <f ca="1"/>
        <v>#NAME?</v>
      </c>
    </row>
    <row r="1120" spans="3:21" ht="12.5" x14ac:dyDescent="0.25">
      <c r="C1120" s="4">
        <f ca="1">IFERROR(__xludf.DUMMYFUNCTION("""COMPUTED_VALUE"""),41459.9986111111)</f>
        <v>41459.998611111099</v>
      </c>
      <c r="D1120" s="2">
        <f ca="1">IFERROR(__xludf.DUMMYFUNCTION("""COMPUTED_VALUE"""),60.175)</f>
        <v>60.174999999999997</v>
      </c>
      <c r="E1120" s="2">
        <f ca="1">IFERROR(__xludf.DUMMYFUNCTION("""COMPUTED_VALUE"""),81.186)</f>
        <v>81.186000000000007</v>
      </c>
      <c r="F1120" s="2">
        <f ca="1">IFERROR(__xludf.DUMMYFUNCTION("""COMPUTED_VALUE"""),85.068)</f>
        <v>85.067999999999998</v>
      </c>
      <c r="G1120" s="2">
        <f ca="1">IFERROR(__xludf.DUMMYFUNCTION("""COMPUTED_VALUE"""),0.63249)</f>
        <v>0.63249</v>
      </c>
      <c r="H1120" s="2">
        <f ca="1">IFERROR(__xludf.DUMMYFUNCTION("""COMPUTED_VALUE"""),55.038)</f>
        <v>55.037999999999997</v>
      </c>
      <c r="I1120" s="2">
        <f ca="1">IFERROR(__xludf.DUMMYFUNCTION("""COMPUTED_VALUE"""),58.664)</f>
        <v>58.664000000000001</v>
      </c>
      <c r="J1120" s="2">
        <f ca="1">IFERROR(__xludf.DUMMYFUNCTION("""COMPUTED_VALUE"""),47.953)</f>
        <v>47.953000000000003</v>
      </c>
      <c r="K1120" s="2">
        <f ca="1">IFERROR(__xludf.DUMMYFUNCTION("""COMPUTED_VALUE"""),60.961)</f>
        <v>60.960999999999999</v>
      </c>
      <c r="L1120" s="2">
        <f ca="1">IFERROR(__xludf.DUMMYFUNCTION("""COMPUTED_VALUE"""),10.108)</f>
        <v>10.108000000000001</v>
      </c>
      <c r="M1120" s="2">
        <f ca="1">IFERROR(__xludf.DUMMYFUNCTION("""COMPUTED_VALUE"""),15.475)</f>
        <v>15.475</v>
      </c>
      <c r="U1120" s="3" t="e">
        <f ca="1"/>
        <v>#NAME?</v>
      </c>
    </row>
    <row r="1121" spans="3:21" ht="12.5" x14ac:dyDescent="0.25">
      <c r="C1121" s="4">
        <f ca="1">IFERROR(__xludf.DUMMYFUNCTION("""COMPUTED_VALUE"""),41460.9986111111)</f>
        <v>41460.998611111099</v>
      </c>
      <c r="D1121" s="2">
        <f ca="1">IFERROR(__xludf.DUMMYFUNCTION("""COMPUTED_VALUE"""),60.223)</f>
        <v>60.222999999999999</v>
      </c>
      <c r="E1121" s="2">
        <f ca="1">IFERROR(__xludf.DUMMYFUNCTION("""COMPUTED_VALUE"""),81.089)</f>
        <v>81.088999999999999</v>
      </c>
      <c r="F1121" s="2">
        <f ca="1">IFERROR(__xludf.DUMMYFUNCTION("""COMPUTED_VALUE"""),85.819)</f>
        <v>85.819000000000003</v>
      </c>
      <c r="G1121" s="2">
        <f ca="1">IFERROR(__xludf.DUMMYFUNCTION("""COMPUTED_VALUE"""),0.63914)</f>
        <v>0.63914000000000004</v>
      </c>
      <c r="H1121" s="2">
        <f ca="1">IFERROR(__xludf.DUMMYFUNCTION("""COMPUTED_VALUE"""),55.184)</f>
        <v>55.183999999999997</v>
      </c>
      <c r="I1121" s="2">
        <f ca="1">IFERROR(__xludf.DUMMYFUNCTION("""COMPUTED_VALUE"""),58.739)</f>
        <v>58.738999999999997</v>
      </c>
      <c r="J1121" s="2">
        <f ca="1">IFERROR(__xludf.DUMMYFUNCTION("""COMPUTED_VALUE"""),48.263)</f>
        <v>48.262999999999998</v>
      </c>
      <c r="K1121" s="2">
        <f ca="1">IFERROR(__xludf.DUMMYFUNCTION("""COMPUTED_VALUE"""),62.267)</f>
        <v>62.267000000000003</v>
      </c>
      <c r="L1121" s="2">
        <f ca="1">IFERROR(__xludf.DUMMYFUNCTION("""COMPUTED_VALUE"""),10.066)</f>
        <v>10.066000000000001</v>
      </c>
      <c r="M1121" s="2">
        <f ca="1">IFERROR(__xludf.DUMMYFUNCTION("""COMPUTED_VALUE"""),15.535)</f>
        <v>15.535</v>
      </c>
      <c r="U1121" s="3" t="e">
        <f ca="1"/>
        <v>#NAME?</v>
      </c>
    </row>
    <row r="1122" spans="3:21" ht="12.5" x14ac:dyDescent="0.25">
      <c r="C1122" s="4">
        <f ca="1">IFERROR(__xludf.DUMMYFUNCTION("""COMPUTED_VALUE"""),41461.9986111111)</f>
        <v>41461.998611111099</v>
      </c>
      <c r="D1122" s="2">
        <f ca="1">IFERROR(__xludf.DUMMYFUNCTION("""COMPUTED_VALUE"""),60.223)</f>
        <v>60.222999999999999</v>
      </c>
      <c r="E1122" s="2">
        <f ca="1">IFERROR(__xludf.DUMMYFUNCTION("""COMPUTED_VALUE"""),81.364)</f>
        <v>81.364000000000004</v>
      </c>
      <c r="F1122" s="2">
        <f ca="1">IFERROR(__xludf.DUMMYFUNCTION("""COMPUTED_VALUE"""),85.922)</f>
        <v>85.921999999999997</v>
      </c>
      <c r="G1122" s="2">
        <f ca="1">IFERROR(__xludf.DUMMYFUNCTION("""COMPUTED_VALUE"""),0.63774)</f>
        <v>0.63773999999999997</v>
      </c>
      <c r="H1122" s="2">
        <f ca="1">IFERROR(__xludf.DUMMYFUNCTION("""COMPUTED_VALUE"""),55.778)</f>
        <v>55.777999999999999</v>
      </c>
      <c r="I1122" s="2">
        <f ca="1">IFERROR(__xludf.DUMMYFUNCTION("""COMPUTED_VALUE"""),58.976)</f>
        <v>58.975999999999999</v>
      </c>
      <c r="J1122" s="2">
        <f ca="1">IFERROR(__xludf.DUMMYFUNCTION("""COMPUTED_VALUE"""),48.13)</f>
        <v>48.13</v>
      </c>
      <c r="K1122" s="2">
        <f ca="1">IFERROR(__xludf.DUMMYFUNCTION("""COMPUTED_VALUE"""),63.044)</f>
        <v>63.043999999999997</v>
      </c>
      <c r="L1122" s="2">
        <f ca="1">IFERROR(__xludf.DUMMYFUNCTION("""COMPUTED_VALUE"""),10.066)</f>
        <v>10.066000000000001</v>
      </c>
      <c r="M1122" s="2">
        <f ca="1">IFERROR(__xludf.DUMMYFUNCTION("""COMPUTED_VALUE"""),15.535)</f>
        <v>15.535</v>
      </c>
      <c r="U1122" s="3" t="e">
        <f ca="1"/>
        <v>#NAME?</v>
      </c>
    </row>
    <row r="1123" spans="3:21" ht="12.5" x14ac:dyDescent="0.25">
      <c r="C1123" s="4">
        <f ca="1">IFERROR(__xludf.DUMMYFUNCTION("""COMPUTED_VALUE"""),41462.9986111111)</f>
        <v>41462.998611111099</v>
      </c>
      <c r="D1123" s="2">
        <f ca="1">IFERROR(__xludf.DUMMYFUNCTION("""COMPUTED_VALUE"""),60.223)</f>
        <v>60.222999999999999</v>
      </c>
      <c r="E1123" s="2">
        <f ca="1">IFERROR(__xludf.DUMMYFUNCTION("""COMPUTED_VALUE"""),81.907)</f>
        <v>81.906999999999996</v>
      </c>
      <c r="F1123" s="2">
        <f ca="1">IFERROR(__xludf.DUMMYFUNCTION("""COMPUTED_VALUE"""),85.889)</f>
        <v>85.888999999999996</v>
      </c>
      <c r="G1123" s="2">
        <f ca="1">IFERROR(__xludf.DUMMYFUNCTION("""COMPUTED_VALUE"""),0.63784)</f>
        <v>0.63783999999999996</v>
      </c>
      <c r="H1123" s="2">
        <f ca="1">IFERROR(__xludf.DUMMYFUNCTION("""COMPUTED_VALUE"""),55.724)</f>
        <v>55.723999999999997</v>
      </c>
      <c r="I1123" s="2">
        <f ca="1">IFERROR(__xludf.DUMMYFUNCTION("""COMPUTED_VALUE"""),59.233)</f>
        <v>59.232999999999997</v>
      </c>
      <c r="J1123" s="2">
        <f ca="1">IFERROR(__xludf.DUMMYFUNCTION("""COMPUTED_VALUE"""),48.25)</f>
        <v>48.25</v>
      </c>
      <c r="K1123" s="2">
        <f ca="1">IFERROR(__xludf.DUMMYFUNCTION("""COMPUTED_VALUE"""),62.75)</f>
        <v>62.75</v>
      </c>
      <c r="L1123" s="2">
        <f ca="1">IFERROR(__xludf.DUMMYFUNCTION("""COMPUTED_VALUE"""),10.009)</f>
        <v>10.009</v>
      </c>
      <c r="M1123" s="2">
        <f ca="1">IFERROR(__xludf.DUMMYFUNCTION("""COMPUTED_VALUE"""),15.535)</f>
        <v>15.535</v>
      </c>
      <c r="U1123" s="3" t="e">
        <f ca="1"/>
        <v>#NAME?</v>
      </c>
    </row>
    <row r="1124" spans="3:21" ht="12.5" x14ac:dyDescent="0.25">
      <c r="C1124" s="4">
        <f ca="1">IFERROR(__xludf.DUMMYFUNCTION("""COMPUTED_VALUE"""),41463.9986111111)</f>
        <v>41463.998611111099</v>
      </c>
      <c r="D1124" s="2">
        <f ca="1">IFERROR(__xludf.DUMMYFUNCTION("""COMPUTED_VALUE"""),60.688)</f>
        <v>60.688000000000002</v>
      </c>
      <c r="E1124" s="2">
        <f ca="1">IFERROR(__xludf.DUMMYFUNCTION("""COMPUTED_VALUE"""),81.45)</f>
        <v>81.45</v>
      </c>
      <c r="F1124" s="2">
        <f ca="1">IFERROR(__xludf.DUMMYFUNCTION("""COMPUTED_VALUE"""),84.724)</f>
        <v>84.724000000000004</v>
      </c>
      <c r="G1124" s="2">
        <f ca="1">IFERROR(__xludf.DUMMYFUNCTION("""COMPUTED_VALUE"""),0.63995)</f>
        <v>0.63995000000000002</v>
      </c>
      <c r="H1124" s="2">
        <f ca="1">IFERROR(__xludf.DUMMYFUNCTION("""COMPUTED_VALUE"""),55.617)</f>
        <v>55.616999999999997</v>
      </c>
      <c r="I1124" s="2">
        <f ca="1">IFERROR(__xludf.DUMMYFUNCTION("""COMPUTED_VALUE"""),59.105)</f>
        <v>59.104999999999997</v>
      </c>
      <c r="J1124" s="2">
        <f ca="1">IFERROR(__xludf.DUMMYFUNCTION("""COMPUTED_VALUE"""),48.341)</f>
        <v>48.341000000000001</v>
      </c>
      <c r="K1124" s="2">
        <f ca="1">IFERROR(__xludf.DUMMYFUNCTION("""COMPUTED_VALUE"""),62.813)</f>
        <v>62.813000000000002</v>
      </c>
      <c r="L1124" s="2">
        <f ca="1">IFERROR(__xludf.DUMMYFUNCTION("""COMPUTED_VALUE"""),10.019)</f>
        <v>10.019</v>
      </c>
      <c r="M1124" s="2">
        <f ca="1">IFERROR(__xludf.DUMMYFUNCTION("""COMPUTED_VALUE"""),15.831)</f>
        <v>15.831</v>
      </c>
      <c r="U1124" s="3" t="e">
        <f ca="1"/>
        <v>#NAME?</v>
      </c>
    </row>
    <row r="1125" spans="3:21" ht="12.5" x14ac:dyDescent="0.25">
      <c r="C1125" s="4">
        <f ca="1">IFERROR(__xludf.DUMMYFUNCTION("""COMPUTED_VALUE"""),41464.9986111111)</f>
        <v>41464.998611111099</v>
      </c>
      <c r="D1125" s="2">
        <f ca="1">IFERROR(__xludf.DUMMYFUNCTION("""COMPUTED_VALUE"""),60.095)</f>
        <v>60.094999999999999</v>
      </c>
      <c r="E1125" s="2">
        <f ca="1">IFERROR(__xludf.DUMMYFUNCTION("""COMPUTED_VALUE"""),82.123)</f>
        <v>82.123000000000005</v>
      </c>
      <c r="F1125" s="2">
        <f ca="1">IFERROR(__xludf.DUMMYFUNCTION("""COMPUTED_VALUE"""),86.715)</f>
        <v>86.715000000000003</v>
      </c>
      <c r="G1125" s="2">
        <f ca="1">IFERROR(__xludf.DUMMYFUNCTION("""COMPUTED_VALUE"""),0.63386)</f>
        <v>0.63385999999999998</v>
      </c>
      <c r="H1125" s="2">
        <f ca="1">IFERROR(__xludf.DUMMYFUNCTION("""COMPUTED_VALUE"""),56.009)</f>
        <v>56.009</v>
      </c>
      <c r="I1125" s="2">
        <f ca="1">IFERROR(__xludf.DUMMYFUNCTION("""COMPUTED_VALUE"""),59.367)</f>
        <v>59.366999999999997</v>
      </c>
      <c r="J1125" s="2">
        <f ca="1">IFERROR(__xludf.DUMMYFUNCTION("""COMPUTED_VALUE"""),48.217)</f>
        <v>48.216999999999999</v>
      </c>
      <c r="K1125" s="2">
        <f ca="1">IFERROR(__xludf.DUMMYFUNCTION("""COMPUTED_VALUE"""),62.373)</f>
        <v>62.372999999999998</v>
      </c>
      <c r="L1125" s="2">
        <f ca="1">IFERROR(__xludf.DUMMYFUNCTION("""COMPUTED_VALUE"""),10.033)</f>
        <v>10.032999999999999</v>
      </c>
      <c r="M1125" s="2">
        <f ca="1">IFERROR(__xludf.DUMMYFUNCTION("""COMPUTED_VALUE"""),15.882)</f>
        <v>15.882</v>
      </c>
      <c r="U1125" s="3" t="e">
        <f ca="1"/>
        <v>#NAME?</v>
      </c>
    </row>
    <row r="1126" spans="3:21" ht="12.5" x14ac:dyDescent="0.25">
      <c r="C1126" s="4">
        <f ca="1">IFERROR(__xludf.DUMMYFUNCTION("""COMPUTED_VALUE"""),41465.9986111111)</f>
        <v>41465.998611111099</v>
      </c>
      <c r="D1126" s="2">
        <f ca="1">IFERROR(__xludf.DUMMYFUNCTION("""COMPUTED_VALUE"""),59.888)</f>
        <v>59.887999999999998</v>
      </c>
      <c r="E1126" s="2">
        <f ca="1">IFERROR(__xludf.DUMMYFUNCTION("""COMPUTED_VALUE"""),83.281)</f>
        <v>83.281000000000006</v>
      </c>
      <c r="F1126" s="2">
        <f ca="1">IFERROR(__xludf.DUMMYFUNCTION("""COMPUTED_VALUE"""),86.322)</f>
        <v>86.322000000000003</v>
      </c>
      <c r="G1126" s="2">
        <f ca="1">IFERROR(__xludf.DUMMYFUNCTION("""COMPUTED_VALUE"""),0.63843)</f>
        <v>0.63843000000000005</v>
      </c>
      <c r="H1126" s="2">
        <f ca="1">IFERROR(__xludf.DUMMYFUNCTION("""COMPUTED_VALUE"""),56.047)</f>
        <v>56.046999999999997</v>
      </c>
      <c r="I1126" s="2">
        <f ca="1">IFERROR(__xludf.DUMMYFUNCTION("""COMPUTED_VALUE"""),59.543)</f>
        <v>59.542999999999999</v>
      </c>
      <c r="J1126" s="2">
        <f ca="1">IFERROR(__xludf.DUMMYFUNCTION("""COMPUTED_VALUE"""),48.336)</f>
        <v>48.335999999999999</v>
      </c>
      <c r="K1126" s="2">
        <f ca="1">IFERROR(__xludf.DUMMYFUNCTION("""COMPUTED_VALUE"""),61.511)</f>
        <v>61.511000000000003</v>
      </c>
      <c r="L1126" s="2">
        <f ca="1">IFERROR(__xludf.DUMMYFUNCTION("""COMPUTED_VALUE"""),9.9996)</f>
        <v>9.9995999999999992</v>
      </c>
      <c r="M1126" s="2">
        <f ca="1">IFERROR(__xludf.DUMMYFUNCTION("""COMPUTED_VALUE"""),15.744)</f>
        <v>15.744</v>
      </c>
      <c r="U1126" s="3" t="e">
        <f ca="1"/>
        <v>#NAME?</v>
      </c>
    </row>
    <row r="1127" spans="3:21" ht="12.5" x14ac:dyDescent="0.25">
      <c r="C1127" s="4">
        <f ca="1">IFERROR(__xludf.DUMMYFUNCTION("""COMPUTED_VALUE"""),41466.9986111111)</f>
        <v>41466.998611111099</v>
      </c>
      <c r="D1127" s="2">
        <f ca="1">IFERROR(__xludf.DUMMYFUNCTION("""COMPUTED_VALUE"""),59.827)</f>
        <v>59.826999999999998</v>
      </c>
      <c r="E1127" s="2">
        <f ca="1">IFERROR(__xludf.DUMMYFUNCTION("""COMPUTED_VALUE"""),84.124)</f>
        <v>84.123999999999995</v>
      </c>
      <c r="F1127" s="2">
        <f ca="1">IFERROR(__xludf.DUMMYFUNCTION("""COMPUTED_VALUE"""),87.306)</f>
        <v>87.305999999999997</v>
      </c>
      <c r="G1127" s="2">
        <f ca="1">IFERROR(__xludf.DUMMYFUNCTION("""COMPUTED_VALUE"""),0.64468)</f>
        <v>0.64468000000000003</v>
      </c>
      <c r="H1127" s="2">
        <f ca="1">IFERROR(__xludf.DUMMYFUNCTION("""COMPUTED_VALUE"""),56.134)</f>
        <v>56.134</v>
      </c>
      <c r="I1127" s="2">
        <f ca="1">IFERROR(__xludf.DUMMYFUNCTION("""COMPUTED_VALUE"""),59.118)</f>
        <v>59.118000000000002</v>
      </c>
      <c r="J1127" s="2">
        <f ca="1">IFERROR(__xludf.DUMMYFUNCTION("""COMPUTED_VALUE"""),48.366)</f>
        <v>48.366</v>
      </c>
      <c r="K1127" s="2">
        <f ca="1">IFERROR(__xludf.DUMMYFUNCTION("""COMPUTED_VALUE"""),62.431)</f>
        <v>62.430999999999997</v>
      </c>
      <c r="L1127" s="2">
        <f ca="1">IFERROR(__xludf.DUMMYFUNCTION("""COMPUTED_VALUE"""),10.029)</f>
        <v>10.029</v>
      </c>
      <c r="M1127" s="2">
        <f ca="1">IFERROR(__xludf.DUMMYFUNCTION("""COMPUTED_VALUE"""),15.79)</f>
        <v>15.79</v>
      </c>
      <c r="U1127" s="3" t="e">
        <f ca="1"/>
        <v>#NAME?</v>
      </c>
    </row>
    <row r="1128" spans="3:21" ht="12.5" x14ac:dyDescent="0.25">
      <c r="C1128" s="4">
        <f ca="1">IFERROR(__xludf.DUMMYFUNCTION("""COMPUTED_VALUE"""),41467.9986111111)</f>
        <v>41467.998611111099</v>
      </c>
      <c r="D1128" s="2">
        <f ca="1">IFERROR(__xludf.DUMMYFUNCTION("""COMPUTED_VALUE"""),59.884)</f>
        <v>59.884</v>
      </c>
      <c r="E1128" s="2">
        <f ca="1">IFERROR(__xludf.DUMMYFUNCTION("""COMPUTED_VALUE"""),84.654)</f>
        <v>84.653999999999996</v>
      </c>
      <c r="F1128" s="2">
        <f ca="1">IFERROR(__xludf.DUMMYFUNCTION("""COMPUTED_VALUE"""),88.568)</f>
        <v>88.567999999999998</v>
      </c>
      <c r="G1128" s="2">
        <f ca="1">IFERROR(__xludf.DUMMYFUNCTION("""COMPUTED_VALUE"""),0.62092)</f>
        <v>0.62092000000000003</v>
      </c>
      <c r="H1128" s="2">
        <f ca="1">IFERROR(__xludf.DUMMYFUNCTION("""COMPUTED_VALUE"""),56.114)</f>
        <v>56.113999999999997</v>
      </c>
      <c r="I1128" s="2">
        <f ca="1">IFERROR(__xludf.DUMMYFUNCTION("""COMPUTED_VALUE"""),59.116)</f>
        <v>59.116</v>
      </c>
      <c r="J1128" s="2">
        <f ca="1">IFERROR(__xludf.DUMMYFUNCTION("""COMPUTED_VALUE"""),49.195)</f>
        <v>49.195</v>
      </c>
      <c r="K1128" s="2">
        <f ca="1">IFERROR(__xludf.DUMMYFUNCTION("""COMPUTED_VALUE"""),62.932)</f>
        <v>62.932000000000002</v>
      </c>
      <c r="L1128" s="2">
        <f ca="1">IFERROR(__xludf.DUMMYFUNCTION("""COMPUTED_VALUE"""),10.021)</f>
        <v>10.021000000000001</v>
      </c>
      <c r="M1128" s="2">
        <f ca="1">IFERROR(__xludf.DUMMYFUNCTION("""COMPUTED_VALUE"""),15.655)</f>
        <v>15.654999999999999</v>
      </c>
      <c r="U1128" s="3" t="e">
        <f ca="1"/>
        <v>#NAME?</v>
      </c>
    </row>
    <row r="1129" spans="3:21" ht="12.5" x14ac:dyDescent="0.25">
      <c r="C1129" s="4">
        <f ca="1">IFERROR(__xludf.DUMMYFUNCTION("""COMPUTED_VALUE"""),41468.9986111111)</f>
        <v>41468.998611111099</v>
      </c>
      <c r="D1129" s="2">
        <f ca="1">IFERROR(__xludf.DUMMYFUNCTION("""COMPUTED_VALUE"""),59.884)</f>
        <v>59.884</v>
      </c>
      <c r="E1129" s="2">
        <f ca="1">IFERROR(__xludf.DUMMYFUNCTION("""COMPUTED_VALUE"""),85.482)</f>
        <v>85.481999999999999</v>
      </c>
      <c r="F1129" s="2">
        <f ca="1">IFERROR(__xludf.DUMMYFUNCTION("""COMPUTED_VALUE"""),88.682)</f>
        <v>88.682000000000002</v>
      </c>
      <c r="G1129" s="2">
        <f ca="1">IFERROR(__xludf.DUMMYFUNCTION("""COMPUTED_VALUE"""),0.62645)</f>
        <v>0.62644999999999995</v>
      </c>
      <c r="H1129" s="2">
        <f ca="1">IFERROR(__xludf.DUMMYFUNCTION("""COMPUTED_VALUE"""),57.404)</f>
        <v>57.404000000000003</v>
      </c>
      <c r="I1129" s="2">
        <f ca="1">IFERROR(__xludf.DUMMYFUNCTION("""COMPUTED_VALUE"""),60.461)</f>
        <v>60.460999999999999</v>
      </c>
      <c r="J1129" s="2">
        <f ca="1">IFERROR(__xludf.DUMMYFUNCTION("""COMPUTED_VALUE"""),48.503)</f>
        <v>48.503</v>
      </c>
      <c r="K1129" s="2">
        <f ca="1">IFERROR(__xludf.DUMMYFUNCTION("""COMPUTED_VALUE"""),63.877)</f>
        <v>63.877000000000002</v>
      </c>
      <c r="L1129" s="2">
        <f ca="1">IFERROR(__xludf.DUMMYFUNCTION("""COMPUTED_VALUE"""),10.031)</f>
        <v>10.031000000000001</v>
      </c>
      <c r="M1129" s="2">
        <f ca="1">IFERROR(__xludf.DUMMYFUNCTION("""COMPUTED_VALUE"""),15.655)</f>
        <v>15.654999999999999</v>
      </c>
      <c r="U1129" s="3" t="e">
        <f ca="1"/>
        <v>#NAME?</v>
      </c>
    </row>
    <row r="1130" spans="3:21" ht="12.5" x14ac:dyDescent="0.25">
      <c r="C1130" s="4">
        <f ca="1">IFERROR(__xludf.DUMMYFUNCTION("""COMPUTED_VALUE"""),41469.9986111111)</f>
        <v>41469.998611111099</v>
      </c>
      <c r="D1130" s="2">
        <f ca="1">IFERROR(__xludf.DUMMYFUNCTION("""COMPUTED_VALUE"""),59.884)</f>
        <v>59.884</v>
      </c>
      <c r="E1130" s="2">
        <f ca="1">IFERROR(__xludf.DUMMYFUNCTION("""COMPUTED_VALUE"""),85.868)</f>
        <v>85.867999999999995</v>
      </c>
      <c r="F1130" s="2">
        <f ca="1">IFERROR(__xludf.DUMMYFUNCTION("""COMPUTED_VALUE"""),87.735)</f>
        <v>87.734999999999999</v>
      </c>
      <c r="G1130" s="2">
        <f ca="1">IFERROR(__xludf.DUMMYFUNCTION("""COMPUTED_VALUE"""),0.62645)</f>
        <v>0.62644999999999995</v>
      </c>
      <c r="H1130" s="2">
        <f ca="1">IFERROR(__xludf.DUMMYFUNCTION("""COMPUTED_VALUE"""),57.584)</f>
        <v>57.584000000000003</v>
      </c>
      <c r="I1130" s="2">
        <f ca="1">IFERROR(__xludf.DUMMYFUNCTION("""COMPUTED_VALUE"""),60.986)</f>
        <v>60.985999999999997</v>
      </c>
      <c r="J1130" s="2">
        <f ca="1">IFERROR(__xludf.DUMMYFUNCTION("""COMPUTED_VALUE"""),49.18)</f>
        <v>49.18</v>
      </c>
      <c r="K1130" s="2">
        <f ca="1">IFERROR(__xludf.DUMMYFUNCTION("""COMPUTED_VALUE"""),63.152)</f>
        <v>63.152000000000001</v>
      </c>
      <c r="L1130" s="2">
        <f ca="1">IFERROR(__xludf.DUMMYFUNCTION("""COMPUTED_VALUE"""),10.018)</f>
        <v>10.018000000000001</v>
      </c>
      <c r="M1130" s="2">
        <f ca="1">IFERROR(__xludf.DUMMYFUNCTION("""COMPUTED_VALUE"""),15.655)</f>
        <v>15.654999999999999</v>
      </c>
      <c r="U1130" s="3" t="e">
        <f ca="1"/>
        <v>#NAME?</v>
      </c>
    </row>
    <row r="1131" spans="3:21" ht="12.5" x14ac:dyDescent="0.25">
      <c r="C1131" s="4">
        <f ca="1">IFERROR(__xludf.DUMMYFUNCTION("""COMPUTED_VALUE"""),41470.9986111111)</f>
        <v>41470.998611111099</v>
      </c>
      <c r="D1131" s="2">
        <f ca="1">IFERROR(__xludf.DUMMYFUNCTION("""COMPUTED_VALUE"""),59.808)</f>
        <v>59.808</v>
      </c>
      <c r="E1131" s="2">
        <f ca="1">IFERROR(__xludf.DUMMYFUNCTION("""COMPUTED_VALUE"""),84.32)</f>
        <v>84.32</v>
      </c>
      <c r="F1131" s="2">
        <f ca="1">IFERROR(__xludf.DUMMYFUNCTION("""COMPUTED_VALUE"""),88.774)</f>
        <v>88.774000000000001</v>
      </c>
      <c r="G1131" s="2">
        <f ca="1">IFERROR(__xludf.DUMMYFUNCTION("""COMPUTED_VALUE"""),0.63134)</f>
        <v>0.63134000000000001</v>
      </c>
      <c r="H1131" s="2">
        <f ca="1">IFERROR(__xludf.DUMMYFUNCTION("""COMPUTED_VALUE"""),57.137)</f>
        <v>57.137</v>
      </c>
      <c r="I1131" s="2">
        <f ca="1">IFERROR(__xludf.DUMMYFUNCTION("""COMPUTED_VALUE"""),60.68)</f>
        <v>60.68</v>
      </c>
      <c r="J1131" s="2">
        <f ca="1">IFERROR(__xludf.DUMMYFUNCTION("""COMPUTED_VALUE"""),49.403)</f>
        <v>49.402999999999999</v>
      </c>
      <c r="K1131" s="2">
        <f ca="1">IFERROR(__xludf.DUMMYFUNCTION("""COMPUTED_VALUE"""),64.189)</f>
        <v>64.188999999999993</v>
      </c>
      <c r="L1131" s="2">
        <f ca="1">IFERROR(__xludf.DUMMYFUNCTION("""COMPUTED_VALUE"""),10.041)</f>
        <v>10.041</v>
      </c>
      <c r="M1131" s="2">
        <f ca="1">IFERROR(__xludf.DUMMYFUNCTION("""COMPUTED_VALUE"""),15.819)</f>
        <v>15.819000000000001</v>
      </c>
      <c r="U1131" s="3" t="e">
        <f ca="1"/>
        <v>#NAME?</v>
      </c>
    </row>
    <row r="1132" spans="3:21" ht="12.5" x14ac:dyDescent="0.25">
      <c r="C1132" s="4">
        <f ca="1">IFERROR(__xludf.DUMMYFUNCTION("""COMPUTED_VALUE"""),41471.9986111111)</f>
        <v>41471.998611111099</v>
      </c>
      <c r="D1132" s="2">
        <f ca="1">IFERROR(__xludf.DUMMYFUNCTION("""COMPUTED_VALUE"""),59.293)</f>
        <v>59.292999999999999</v>
      </c>
      <c r="E1132" s="2">
        <f ca="1">IFERROR(__xludf.DUMMYFUNCTION("""COMPUTED_VALUE"""),84.559)</f>
        <v>84.558999999999997</v>
      </c>
      <c r="F1132" s="2">
        <f ca="1">IFERROR(__xludf.DUMMYFUNCTION("""COMPUTED_VALUE"""),90.546)</f>
        <v>90.546000000000006</v>
      </c>
      <c r="G1132" s="2">
        <f ca="1">IFERROR(__xludf.DUMMYFUNCTION("""COMPUTED_VALUE"""),0.63336)</f>
        <v>0.63336000000000003</v>
      </c>
      <c r="H1132" s="2">
        <f ca="1">IFERROR(__xludf.DUMMYFUNCTION("""COMPUTED_VALUE"""),57.517)</f>
        <v>57.517000000000003</v>
      </c>
      <c r="I1132" s="2">
        <f ca="1">IFERROR(__xludf.DUMMYFUNCTION("""COMPUTED_VALUE"""),61.097)</f>
        <v>61.097000000000001</v>
      </c>
      <c r="J1132" s="2">
        <f ca="1">IFERROR(__xludf.DUMMYFUNCTION("""COMPUTED_VALUE"""),49.508)</f>
        <v>49.508000000000003</v>
      </c>
      <c r="K1132" s="2">
        <f ca="1">IFERROR(__xludf.DUMMYFUNCTION("""COMPUTED_VALUE"""),63.529)</f>
        <v>63.529000000000003</v>
      </c>
      <c r="L1132" s="2">
        <f ca="1">IFERROR(__xludf.DUMMYFUNCTION("""COMPUTED_VALUE"""),10.071)</f>
        <v>10.071</v>
      </c>
      <c r="M1132" s="2">
        <f ca="1">IFERROR(__xludf.DUMMYFUNCTION("""COMPUTED_VALUE"""),16.019)</f>
        <v>16.018999999999998</v>
      </c>
      <c r="U1132" s="3" t="e">
        <f ca="1"/>
        <v>#NAME?</v>
      </c>
    </row>
    <row r="1133" spans="3:21" ht="12.5" x14ac:dyDescent="0.25">
      <c r="C1133" s="4">
        <f ca="1">IFERROR(__xludf.DUMMYFUNCTION("""COMPUTED_VALUE"""),41472.9986111111)</f>
        <v>41472.998611111099</v>
      </c>
      <c r="D1133" s="2">
        <f ca="1">IFERROR(__xludf.DUMMYFUNCTION("""COMPUTED_VALUE"""),59.323)</f>
        <v>59.323</v>
      </c>
      <c r="E1133" s="2">
        <f ca="1">IFERROR(__xludf.DUMMYFUNCTION("""COMPUTED_VALUE"""),85.727)</f>
        <v>85.727000000000004</v>
      </c>
      <c r="F1133" s="2">
        <f ca="1">IFERROR(__xludf.DUMMYFUNCTION("""COMPUTED_VALUE"""),91.16)</f>
        <v>91.16</v>
      </c>
      <c r="G1133" s="2">
        <f ca="1">IFERROR(__xludf.DUMMYFUNCTION("""COMPUTED_VALUE"""),0.63505)</f>
        <v>0.63505</v>
      </c>
      <c r="H1133" s="2">
        <f ca="1">IFERROR(__xludf.DUMMYFUNCTION("""COMPUTED_VALUE"""),57.997)</f>
        <v>57.997</v>
      </c>
      <c r="I1133" s="2">
        <f ca="1">IFERROR(__xludf.DUMMYFUNCTION("""COMPUTED_VALUE"""),61.133)</f>
        <v>61.133000000000003</v>
      </c>
      <c r="J1133" s="2">
        <f ca="1">IFERROR(__xludf.DUMMYFUNCTION("""COMPUTED_VALUE"""),49.892)</f>
        <v>49.892000000000003</v>
      </c>
      <c r="K1133" s="2">
        <f ca="1">IFERROR(__xludf.DUMMYFUNCTION("""COMPUTED_VALUE"""),63.37)</f>
        <v>63.37</v>
      </c>
      <c r="L1133" s="2">
        <f ca="1">IFERROR(__xludf.DUMMYFUNCTION("""COMPUTED_VALUE"""),10.07)</f>
        <v>10.07</v>
      </c>
      <c r="M1133" s="2">
        <f ca="1">IFERROR(__xludf.DUMMYFUNCTION("""COMPUTED_VALUE"""),15.985)</f>
        <v>15.984999999999999</v>
      </c>
      <c r="U1133" s="3" t="e">
        <f ca="1"/>
        <v>#NAME?</v>
      </c>
    </row>
    <row r="1134" spans="3:21" ht="12.5" x14ac:dyDescent="0.25">
      <c r="C1134" s="4">
        <f ca="1">IFERROR(__xludf.DUMMYFUNCTION("""COMPUTED_VALUE"""),41473.9986111111)</f>
        <v>41473.998611111099</v>
      </c>
      <c r="D1134" s="2">
        <f ca="1">IFERROR(__xludf.DUMMYFUNCTION("""COMPUTED_VALUE"""),59.738)</f>
        <v>59.738</v>
      </c>
      <c r="E1134" s="2">
        <f ca="1">IFERROR(__xludf.DUMMYFUNCTION("""COMPUTED_VALUE"""),85.902)</f>
        <v>85.902000000000001</v>
      </c>
      <c r="F1134" s="2">
        <f ca="1">IFERROR(__xludf.DUMMYFUNCTION("""COMPUTED_VALUE"""),90.591)</f>
        <v>90.590999999999994</v>
      </c>
      <c r="G1134" s="2">
        <f ca="1">IFERROR(__xludf.DUMMYFUNCTION("""COMPUTED_VALUE"""),0.6335)</f>
        <v>0.63349999999999995</v>
      </c>
      <c r="H1134" s="2">
        <f ca="1">IFERROR(__xludf.DUMMYFUNCTION("""COMPUTED_VALUE"""),57.048)</f>
        <v>57.048000000000002</v>
      </c>
      <c r="I1134" s="2">
        <f ca="1">IFERROR(__xludf.DUMMYFUNCTION("""COMPUTED_VALUE"""),60.199)</f>
        <v>60.198999999999998</v>
      </c>
      <c r="J1134" s="2">
        <f ca="1">IFERROR(__xludf.DUMMYFUNCTION("""COMPUTED_VALUE"""),50.11)</f>
        <v>50.11</v>
      </c>
      <c r="K1134" s="2">
        <f ca="1">IFERROR(__xludf.DUMMYFUNCTION("""COMPUTED_VALUE"""),63.432)</f>
        <v>63.432000000000002</v>
      </c>
      <c r="L1134" s="2">
        <f ca="1">IFERROR(__xludf.DUMMYFUNCTION("""COMPUTED_VALUE"""),10.075)</f>
        <v>10.074999999999999</v>
      </c>
      <c r="M1134" s="2">
        <f ca="1">IFERROR(__xludf.DUMMYFUNCTION("""COMPUTED_VALUE"""),16.218)</f>
        <v>16.218</v>
      </c>
      <c r="U1134" s="3" t="e">
        <f ca="1"/>
        <v>#NAME?</v>
      </c>
    </row>
    <row r="1135" spans="3:21" ht="12.5" x14ac:dyDescent="0.25">
      <c r="C1135" s="4">
        <f ca="1">IFERROR(__xludf.DUMMYFUNCTION("""COMPUTED_VALUE"""),41474.9986111111)</f>
        <v>41474.998611111099</v>
      </c>
      <c r="D1135" s="2">
        <f ca="1">IFERROR(__xludf.DUMMYFUNCTION("""COMPUTED_VALUE"""),59.333)</f>
        <v>59.332999999999998</v>
      </c>
      <c r="E1135" s="2">
        <f ca="1">IFERROR(__xludf.DUMMYFUNCTION("""COMPUTED_VALUE"""),88.716)</f>
        <v>88.715999999999994</v>
      </c>
      <c r="F1135" s="2">
        <f ca="1">IFERROR(__xludf.DUMMYFUNCTION("""COMPUTED_VALUE"""),91.045)</f>
        <v>91.045000000000002</v>
      </c>
      <c r="G1135" s="2">
        <f ca="1">IFERROR(__xludf.DUMMYFUNCTION("""COMPUTED_VALUE"""),0.62667)</f>
        <v>0.62666999999999995</v>
      </c>
      <c r="H1135" s="2">
        <f ca="1">IFERROR(__xludf.DUMMYFUNCTION("""COMPUTED_VALUE"""),57.051)</f>
        <v>57.051000000000002</v>
      </c>
      <c r="I1135" s="2">
        <f ca="1">IFERROR(__xludf.DUMMYFUNCTION("""COMPUTED_VALUE"""),60.199)</f>
        <v>60.198999999999998</v>
      </c>
      <c r="J1135" s="2">
        <f ca="1">IFERROR(__xludf.DUMMYFUNCTION("""COMPUTED_VALUE"""),49.408)</f>
        <v>49.408000000000001</v>
      </c>
      <c r="K1135" s="2">
        <f ca="1">IFERROR(__xludf.DUMMYFUNCTION("""COMPUTED_VALUE"""),64.075)</f>
        <v>64.075000000000003</v>
      </c>
      <c r="L1135" s="2">
        <f ca="1">IFERROR(__xludf.DUMMYFUNCTION("""COMPUTED_VALUE"""),10.074)</f>
        <v>10.074</v>
      </c>
      <c r="M1135" s="2">
        <f ca="1">IFERROR(__xludf.DUMMYFUNCTION("""COMPUTED_VALUE"""),16.161)</f>
        <v>16.161000000000001</v>
      </c>
      <c r="U1135" s="3" t="e">
        <f ca="1"/>
        <v>#NAME?</v>
      </c>
    </row>
    <row r="1136" spans="3:21" ht="12.5" x14ac:dyDescent="0.25">
      <c r="C1136" s="4">
        <f ca="1">IFERROR(__xludf.DUMMYFUNCTION("""COMPUTED_VALUE"""),41475.9986111111)</f>
        <v>41475.998611111099</v>
      </c>
      <c r="D1136" s="2">
        <f ca="1">IFERROR(__xludf.DUMMYFUNCTION("""COMPUTED_VALUE"""),59.333)</f>
        <v>59.332999999999998</v>
      </c>
      <c r="E1136" s="2">
        <f ca="1">IFERROR(__xludf.DUMMYFUNCTION("""COMPUTED_VALUE"""),91.716)</f>
        <v>91.715999999999994</v>
      </c>
      <c r="F1136" s="2">
        <f ca="1">IFERROR(__xludf.DUMMYFUNCTION("""COMPUTED_VALUE"""),90.227)</f>
        <v>90.227000000000004</v>
      </c>
      <c r="G1136" s="2">
        <f ca="1">IFERROR(__xludf.DUMMYFUNCTION("""COMPUTED_VALUE"""),0.63634)</f>
        <v>0.63634000000000002</v>
      </c>
      <c r="H1136" s="2">
        <f ca="1">IFERROR(__xludf.DUMMYFUNCTION("""COMPUTED_VALUE"""),57.875)</f>
        <v>57.875</v>
      </c>
      <c r="I1136" s="2">
        <f ca="1">IFERROR(__xludf.DUMMYFUNCTION("""COMPUTED_VALUE"""),60.974)</f>
        <v>60.973999999999997</v>
      </c>
      <c r="J1136" s="2">
        <f ca="1">IFERROR(__xludf.DUMMYFUNCTION("""COMPUTED_VALUE"""),49.408)</f>
        <v>49.408000000000001</v>
      </c>
      <c r="K1136" s="2">
        <f ca="1">IFERROR(__xludf.DUMMYFUNCTION("""COMPUTED_VALUE"""),63.493)</f>
        <v>63.493000000000002</v>
      </c>
      <c r="L1136" s="2">
        <f ca="1">IFERROR(__xludf.DUMMYFUNCTION("""COMPUTED_VALUE"""),10.077)</f>
        <v>10.077</v>
      </c>
      <c r="M1136" s="2">
        <f ca="1">IFERROR(__xludf.DUMMYFUNCTION("""COMPUTED_VALUE"""),16.137)</f>
        <v>16.137</v>
      </c>
      <c r="U1136" s="3" t="e">
        <f ca="1"/>
        <v>#NAME?</v>
      </c>
    </row>
    <row r="1137" spans="3:21" ht="12.5" x14ac:dyDescent="0.25">
      <c r="C1137" s="4">
        <f ca="1">IFERROR(__xludf.DUMMYFUNCTION("""COMPUTED_VALUE"""),41477.9986111111)</f>
        <v>41477.998611111099</v>
      </c>
      <c r="D1137" s="2">
        <f ca="1">IFERROR(__xludf.DUMMYFUNCTION("""COMPUTED_VALUE"""),59.718)</f>
        <v>59.718000000000004</v>
      </c>
      <c r="E1137" s="2">
        <f ca="1">IFERROR(__xludf.DUMMYFUNCTION("""COMPUTED_VALUE"""),88.029)</f>
        <v>88.028999999999996</v>
      </c>
      <c r="F1137" s="2">
        <f ca="1">IFERROR(__xludf.DUMMYFUNCTION("""COMPUTED_VALUE"""),88.856)</f>
        <v>88.855999999999995</v>
      </c>
      <c r="G1137" s="2">
        <f ca="1">IFERROR(__xludf.DUMMYFUNCTION("""COMPUTED_VALUE"""),0.6431)</f>
        <v>0.6431</v>
      </c>
      <c r="H1137" s="2">
        <f ca="1">IFERROR(__xludf.DUMMYFUNCTION("""COMPUTED_VALUE"""),57.941)</f>
        <v>57.941000000000003</v>
      </c>
      <c r="I1137" s="2">
        <f ca="1">IFERROR(__xludf.DUMMYFUNCTION("""COMPUTED_VALUE"""),61.175)</f>
        <v>61.174999999999997</v>
      </c>
      <c r="J1137" s="2">
        <f ca="1">IFERROR(__xludf.DUMMYFUNCTION("""COMPUTED_VALUE"""),50.09)</f>
        <v>50.09</v>
      </c>
      <c r="K1137" s="2">
        <f ca="1">IFERROR(__xludf.DUMMYFUNCTION("""COMPUTED_VALUE"""),64.377)</f>
        <v>64.376999999999995</v>
      </c>
      <c r="L1137" s="2">
        <f ca="1">IFERROR(__xludf.DUMMYFUNCTION("""COMPUTED_VALUE"""),10.136)</f>
        <v>10.135999999999999</v>
      </c>
      <c r="M1137" s="2">
        <f ca="1">IFERROR(__xludf.DUMMYFUNCTION("""COMPUTED_VALUE"""),16.137)</f>
        <v>16.137</v>
      </c>
      <c r="U1137" s="3" t="e">
        <f ca="1"/>
        <v>#NAME?</v>
      </c>
    </row>
    <row r="1138" spans="3:21" ht="12.5" x14ac:dyDescent="0.25">
      <c r="C1138" s="4">
        <f ca="1">IFERROR(__xludf.DUMMYFUNCTION("""COMPUTED_VALUE"""),41478.9986111111)</f>
        <v>41478.998611111099</v>
      </c>
      <c r="D1138" s="2">
        <f ca="1">IFERROR(__xludf.DUMMYFUNCTION("""COMPUTED_VALUE"""),59.758)</f>
        <v>59.758000000000003</v>
      </c>
      <c r="E1138" s="2">
        <f ca="1">IFERROR(__xludf.DUMMYFUNCTION("""COMPUTED_VALUE"""),86.38)</f>
        <v>86.38</v>
      </c>
      <c r="F1138" s="2">
        <f ca="1">IFERROR(__xludf.DUMMYFUNCTION("""COMPUTED_VALUE"""),90.309)</f>
        <v>90.308999999999997</v>
      </c>
      <c r="G1138" s="2">
        <f ca="1">IFERROR(__xludf.DUMMYFUNCTION("""COMPUTED_VALUE"""),0.63589)</f>
        <v>0.63588999999999996</v>
      </c>
      <c r="H1138" s="2">
        <f ca="1">IFERROR(__xludf.DUMMYFUNCTION("""COMPUTED_VALUE"""),59.504)</f>
        <v>59.503999999999998</v>
      </c>
      <c r="I1138" s="2">
        <f ca="1">IFERROR(__xludf.DUMMYFUNCTION("""COMPUTED_VALUE"""),63.247)</f>
        <v>63.247</v>
      </c>
      <c r="J1138" s="2">
        <f ca="1">IFERROR(__xludf.DUMMYFUNCTION("""COMPUTED_VALUE"""),50.135)</f>
        <v>50.134999999999998</v>
      </c>
      <c r="K1138" s="2">
        <f ca="1">IFERROR(__xludf.DUMMYFUNCTION("""COMPUTED_VALUE"""),63.627)</f>
        <v>63.627000000000002</v>
      </c>
      <c r="L1138" s="2">
        <f ca="1">IFERROR(__xludf.DUMMYFUNCTION("""COMPUTED_VALUE"""),10.12)</f>
        <v>10.119999999999999</v>
      </c>
      <c r="M1138" s="2">
        <f ca="1">IFERROR(__xludf.DUMMYFUNCTION("""COMPUTED_VALUE"""),16.283)</f>
        <v>16.283000000000001</v>
      </c>
      <c r="U1138" s="3" t="e">
        <f ca="1"/>
        <v>#NAME?</v>
      </c>
    </row>
    <row r="1139" spans="3:21" ht="12.5" x14ac:dyDescent="0.25">
      <c r="C1139" s="4">
        <f ca="1">IFERROR(__xludf.DUMMYFUNCTION("""COMPUTED_VALUE"""),41479.9986111111)</f>
        <v>41479.998611111099</v>
      </c>
      <c r="D1139" s="2">
        <f ca="1">IFERROR(__xludf.DUMMYFUNCTION("""COMPUTED_VALUE"""),59.127)</f>
        <v>59.127000000000002</v>
      </c>
      <c r="E1139" s="2">
        <f ca="1">IFERROR(__xludf.DUMMYFUNCTION("""COMPUTED_VALUE"""),86.802)</f>
        <v>86.802000000000007</v>
      </c>
      <c r="F1139" s="2">
        <f ca="1">IFERROR(__xludf.DUMMYFUNCTION("""COMPUTED_VALUE"""),91.234)</f>
        <v>91.233999999999995</v>
      </c>
      <c r="G1139" s="2">
        <f ca="1">IFERROR(__xludf.DUMMYFUNCTION("""COMPUTED_VALUE"""),0.63655)</f>
        <v>0.63654999999999995</v>
      </c>
      <c r="H1139" s="2">
        <f ca="1">IFERROR(__xludf.DUMMYFUNCTION("""COMPUTED_VALUE"""),61.508)</f>
        <v>61.508000000000003</v>
      </c>
      <c r="I1139" s="2">
        <f ca="1">IFERROR(__xludf.DUMMYFUNCTION("""COMPUTED_VALUE"""),65.527)</f>
        <v>65.527000000000001</v>
      </c>
      <c r="J1139" s="2">
        <f ca="1">IFERROR(__xludf.DUMMYFUNCTION("""COMPUTED_VALUE"""),51.621)</f>
        <v>51.621000000000002</v>
      </c>
      <c r="K1139" s="2">
        <f ca="1">IFERROR(__xludf.DUMMYFUNCTION("""COMPUTED_VALUE"""),62.94)</f>
        <v>62.94</v>
      </c>
      <c r="L1139" s="2">
        <f ca="1">IFERROR(__xludf.DUMMYFUNCTION("""COMPUTED_VALUE"""),10.063)</f>
        <v>10.063000000000001</v>
      </c>
      <c r="M1139" s="2">
        <f ca="1">IFERROR(__xludf.DUMMYFUNCTION("""COMPUTED_VALUE"""),16.243)</f>
        <v>16.242999999999999</v>
      </c>
      <c r="U1139" s="3" t="e">
        <f ca="1"/>
        <v>#NAME?</v>
      </c>
    </row>
    <row r="1140" spans="3:21" ht="12.5" x14ac:dyDescent="0.25">
      <c r="C1140" s="4">
        <f ca="1">IFERROR(__xludf.DUMMYFUNCTION("""COMPUTED_VALUE"""),41480.9986111111)</f>
        <v>41480.998611111099</v>
      </c>
      <c r="D1140" s="2">
        <f ca="1">IFERROR(__xludf.DUMMYFUNCTION("""COMPUTED_VALUE"""),58.89)</f>
        <v>58.89</v>
      </c>
      <c r="E1140" s="2">
        <f ca="1">IFERROR(__xludf.DUMMYFUNCTION("""COMPUTED_VALUE"""),87.926)</f>
        <v>87.926000000000002</v>
      </c>
      <c r="F1140" s="2">
        <f ca="1">IFERROR(__xludf.DUMMYFUNCTION("""COMPUTED_VALUE"""),91.909)</f>
        <v>91.909000000000006</v>
      </c>
      <c r="G1140" s="2">
        <f ca="1">IFERROR(__xludf.DUMMYFUNCTION("""COMPUTED_VALUE"""),0.64037)</f>
        <v>0.64036999999999999</v>
      </c>
      <c r="H1140" s="2">
        <f ca="1">IFERROR(__xludf.DUMMYFUNCTION("""COMPUTED_VALUE"""),59.319)</f>
        <v>59.319000000000003</v>
      </c>
      <c r="I1140" s="2">
        <f ca="1">IFERROR(__xludf.DUMMYFUNCTION("""COMPUTED_VALUE"""),63.109)</f>
        <v>63.109000000000002</v>
      </c>
      <c r="J1140" s="2">
        <f ca="1">IFERROR(__xludf.DUMMYFUNCTION("""COMPUTED_VALUE"""),53.895)</f>
        <v>53.895000000000003</v>
      </c>
      <c r="K1140" s="2">
        <f ca="1">IFERROR(__xludf.DUMMYFUNCTION("""COMPUTED_VALUE"""),62.994)</f>
        <v>62.994</v>
      </c>
      <c r="L1140" s="2">
        <f ca="1">IFERROR(__xludf.DUMMYFUNCTION("""COMPUTED_VALUE"""),10.067)</f>
        <v>10.067</v>
      </c>
      <c r="M1140" s="2">
        <f ca="1">IFERROR(__xludf.DUMMYFUNCTION("""COMPUTED_VALUE"""),16.53)</f>
        <v>16.53</v>
      </c>
      <c r="U1140" s="3" t="e">
        <f ca="1"/>
        <v>#NAME?</v>
      </c>
    </row>
    <row r="1141" spans="3:21" ht="12.5" x14ac:dyDescent="0.25">
      <c r="C1141" s="4">
        <f ca="1">IFERROR(__xludf.DUMMYFUNCTION("""COMPUTED_VALUE"""),41481.9986111111)</f>
        <v>41481.998611111099</v>
      </c>
      <c r="D1141" s="2">
        <f ca="1">IFERROR(__xludf.DUMMYFUNCTION("""COMPUTED_VALUE"""),59.038)</f>
        <v>59.037999999999997</v>
      </c>
      <c r="E1141" s="2">
        <f ca="1">IFERROR(__xludf.DUMMYFUNCTION("""COMPUTED_VALUE"""),86.987)</f>
        <v>86.986999999999995</v>
      </c>
      <c r="F1141" s="2">
        <f ca="1">IFERROR(__xludf.DUMMYFUNCTION("""COMPUTED_VALUE"""),90.779)</f>
        <v>90.778999999999996</v>
      </c>
      <c r="G1141" s="2">
        <f ca="1">IFERROR(__xludf.DUMMYFUNCTION("""COMPUTED_VALUE"""),0.6342)</f>
        <v>0.63419999999999999</v>
      </c>
      <c r="H1141" s="2">
        <f ca="1">IFERROR(__xludf.DUMMYFUNCTION("""COMPUTED_VALUE"""),58.474)</f>
        <v>58.473999999999997</v>
      </c>
      <c r="I1141" s="2">
        <f ca="1">IFERROR(__xludf.DUMMYFUNCTION("""COMPUTED_VALUE"""),62.349)</f>
        <v>62.348999999999997</v>
      </c>
      <c r="J1141" s="2">
        <f ca="1">IFERROR(__xludf.DUMMYFUNCTION("""COMPUTED_VALUE"""),52.119)</f>
        <v>52.119</v>
      </c>
      <c r="K1141" s="2">
        <f ca="1">IFERROR(__xludf.DUMMYFUNCTION("""COMPUTED_VALUE"""),62.994)</f>
        <v>62.994</v>
      </c>
      <c r="L1141" s="2">
        <f ca="1">IFERROR(__xludf.DUMMYFUNCTION("""COMPUTED_VALUE"""),10.051)</f>
        <v>10.051</v>
      </c>
      <c r="M1141" s="2">
        <f ca="1">IFERROR(__xludf.DUMMYFUNCTION("""COMPUTED_VALUE"""),16.387)</f>
        <v>16.387</v>
      </c>
      <c r="U1141" s="3" t="e">
        <f ca="1"/>
        <v>#NAME?</v>
      </c>
    </row>
    <row r="1142" spans="3:21" ht="12.5" x14ac:dyDescent="0.25">
      <c r="C1142" s="4">
        <f ca="1">IFERROR(__xludf.DUMMYFUNCTION("""COMPUTED_VALUE"""),41482.9986111111)</f>
        <v>41482.998611111099</v>
      </c>
      <c r="D1142" s="2">
        <f ca="1">IFERROR(__xludf.DUMMYFUNCTION("""COMPUTED_VALUE"""),59.038)</f>
        <v>59.037999999999997</v>
      </c>
      <c r="E1142" s="2">
        <f ca="1">IFERROR(__xludf.DUMMYFUNCTION("""COMPUTED_VALUE"""),88.982)</f>
        <v>88.981999999999999</v>
      </c>
      <c r="F1142" s="2">
        <f ca="1">IFERROR(__xludf.DUMMYFUNCTION("""COMPUTED_VALUE"""),92.297)</f>
        <v>92.296999999999997</v>
      </c>
      <c r="G1142" s="2">
        <f ca="1">IFERROR(__xludf.DUMMYFUNCTION("""COMPUTED_VALUE"""),0.63006)</f>
        <v>0.63005999999999995</v>
      </c>
      <c r="H1142" s="2">
        <f ca="1">IFERROR(__xludf.DUMMYFUNCTION("""COMPUTED_VALUE"""),58.453)</f>
        <v>58.453000000000003</v>
      </c>
      <c r="I1142" s="2">
        <f ca="1">IFERROR(__xludf.DUMMYFUNCTION("""COMPUTED_VALUE"""),62.3)</f>
        <v>62.3</v>
      </c>
      <c r="J1142" s="2">
        <f ca="1">IFERROR(__xludf.DUMMYFUNCTION("""COMPUTED_VALUE"""),51.532)</f>
        <v>51.531999999999996</v>
      </c>
      <c r="K1142" s="2">
        <f ca="1">IFERROR(__xludf.DUMMYFUNCTION("""COMPUTED_VALUE"""),62.805)</f>
        <v>62.805</v>
      </c>
      <c r="L1142" s="2">
        <f ca="1">IFERROR(__xludf.DUMMYFUNCTION("""COMPUTED_VALUE"""),10.032)</f>
        <v>10.032</v>
      </c>
      <c r="M1142" s="2">
        <f ca="1">IFERROR(__xludf.DUMMYFUNCTION("""COMPUTED_VALUE"""),16.206)</f>
        <v>16.206</v>
      </c>
      <c r="U1142" s="3" t="e">
        <f ca="1"/>
        <v>#NAME?</v>
      </c>
    </row>
    <row r="1143" spans="3:21" ht="12.5" x14ac:dyDescent="0.25">
      <c r="C1143" s="4">
        <f ca="1">IFERROR(__xludf.DUMMYFUNCTION("""COMPUTED_VALUE"""),41483.9986111111)</f>
        <v>41483.998611111099</v>
      </c>
      <c r="D1143" s="2">
        <f ca="1">IFERROR(__xludf.DUMMYFUNCTION("""COMPUTED_VALUE"""),59.06)</f>
        <v>59.06</v>
      </c>
      <c r="E1143" s="2">
        <f ca="1">IFERROR(__xludf.DUMMYFUNCTION("""COMPUTED_VALUE"""),88.479)</f>
        <v>88.478999999999999</v>
      </c>
      <c r="F1143" s="2">
        <f ca="1">IFERROR(__xludf.DUMMYFUNCTION("""COMPUTED_VALUE"""),91.521)</f>
        <v>91.521000000000001</v>
      </c>
      <c r="G1143" s="2">
        <f ca="1">IFERROR(__xludf.DUMMYFUNCTION("""COMPUTED_VALUE"""),0.62695)</f>
        <v>0.62695000000000001</v>
      </c>
      <c r="H1143" s="2">
        <f ca="1">IFERROR(__xludf.DUMMYFUNCTION("""COMPUTED_VALUE"""),59.49)</f>
        <v>59.49</v>
      </c>
      <c r="I1143" s="2">
        <f ca="1">IFERROR(__xludf.DUMMYFUNCTION("""COMPUTED_VALUE"""),63.211)</f>
        <v>63.210999999999999</v>
      </c>
      <c r="J1143" s="2">
        <f ca="1">IFERROR(__xludf.DUMMYFUNCTION("""COMPUTED_VALUE"""),51.501)</f>
        <v>51.500999999999998</v>
      </c>
      <c r="K1143" s="2">
        <f ca="1">IFERROR(__xludf.DUMMYFUNCTION("""COMPUTED_VALUE"""),62.571)</f>
        <v>62.570999999999998</v>
      </c>
      <c r="L1143" s="2">
        <f ca="1">IFERROR(__xludf.DUMMYFUNCTION("""COMPUTED_VALUE"""),10.033)</f>
        <v>10.032999999999999</v>
      </c>
      <c r="M1143" s="2">
        <f ca="1">IFERROR(__xludf.DUMMYFUNCTION("""COMPUTED_VALUE"""),16.206)</f>
        <v>16.206</v>
      </c>
      <c r="U1143" s="3" t="e">
        <f ca="1"/>
        <v>#NAME?</v>
      </c>
    </row>
    <row r="1144" spans="3:21" ht="12.5" x14ac:dyDescent="0.25">
      <c r="C1144" s="4">
        <f ca="1">IFERROR(__xludf.DUMMYFUNCTION("""COMPUTED_VALUE"""),41484.9986111111)</f>
        <v>41484.998611111099</v>
      </c>
      <c r="D1144" s="2">
        <f ca="1">IFERROR(__xludf.DUMMYFUNCTION("""COMPUTED_VALUE"""),59.412)</f>
        <v>59.411999999999999</v>
      </c>
      <c r="E1144" s="2">
        <f ca="1">IFERROR(__xludf.DUMMYFUNCTION("""COMPUTED_VALUE"""),86.525)</f>
        <v>86.525000000000006</v>
      </c>
      <c r="F1144" s="2">
        <f ca="1">IFERROR(__xludf.DUMMYFUNCTION("""COMPUTED_VALUE"""),91.323)</f>
        <v>91.322999999999993</v>
      </c>
      <c r="G1144" s="2">
        <f ca="1">IFERROR(__xludf.DUMMYFUNCTION("""COMPUTED_VALUE"""),0.63129)</f>
        <v>0.63129000000000002</v>
      </c>
      <c r="H1144" s="2">
        <f ca="1">IFERROR(__xludf.DUMMYFUNCTION("""COMPUTED_VALUE"""),59.321)</f>
        <v>59.320999999999998</v>
      </c>
      <c r="I1144" s="2">
        <f ca="1">IFERROR(__xludf.DUMMYFUNCTION("""COMPUTED_VALUE"""),62.478)</f>
        <v>62.478000000000002</v>
      </c>
      <c r="J1144" s="2">
        <f ca="1">IFERROR(__xludf.DUMMYFUNCTION("""COMPUTED_VALUE"""),52.194)</f>
        <v>52.194000000000003</v>
      </c>
      <c r="K1144" s="2">
        <f ca="1">IFERROR(__xludf.DUMMYFUNCTION("""COMPUTED_VALUE"""),63.547)</f>
        <v>63.546999999999997</v>
      </c>
      <c r="L1144" s="2">
        <f ca="1">IFERROR(__xludf.DUMMYFUNCTION("""COMPUTED_VALUE"""),10.043)</f>
        <v>10.042999999999999</v>
      </c>
      <c r="M1144" s="2">
        <f ca="1">IFERROR(__xludf.DUMMYFUNCTION("""COMPUTED_VALUE"""),16.206)</f>
        <v>16.206</v>
      </c>
      <c r="U1144" s="3" t="e">
        <f ca="1"/>
        <v>#NAME?</v>
      </c>
    </row>
    <row r="1145" spans="3:21" ht="12.5" x14ac:dyDescent="0.25">
      <c r="C1145" s="4">
        <f ca="1">IFERROR(__xludf.DUMMYFUNCTION("""COMPUTED_VALUE"""),41485.9986111111)</f>
        <v>41485.998611111099</v>
      </c>
      <c r="D1145" s="2">
        <f ca="1">IFERROR(__xludf.DUMMYFUNCTION("""COMPUTED_VALUE"""),60.808)</f>
        <v>60.808</v>
      </c>
      <c r="E1145" s="2">
        <f ca="1">IFERROR(__xludf.DUMMYFUNCTION("""COMPUTED_VALUE"""),84.4)</f>
        <v>84.4</v>
      </c>
      <c r="F1145" s="2">
        <f ca="1">IFERROR(__xludf.DUMMYFUNCTION("""COMPUTED_VALUE"""),91.383)</f>
        <v>91.382999999999996</v>
      </c>
      <c r="G1145" s="2">
        <f ca="1">IFERROR(__xludf.DUMMYFUNCTION("""COMPUTED_VALUE"""),0.63713)</f>
        <v>0.63712999999999997</v>
      </c>
      <c r="H1145" s="2">
        <f ca="1">IFERROR(__xludf.DUMMYFUNCTION("""COMPUTED_VALUE"""),61.219)</f>
        <v>61.219000000000001</v>
      </c>
      <c r="I1145" s="2">
        <f ca="1">IFERROR(__xludf.DUMMYFUNCTION("""COMPUTED_VALUE"""),64.132)</f>
        <v>64.132000000000005</v>
      </c>
      <c r="J1145" s="2">
        <f ca="1">IFERROR(__xludf.DUMMYFUNCTION("""COMPUTED_VALUE"""),51.75)</f>
        <v>51.75</v>
      </c>
      <c r="K1145" s="2">
        <f ca="1">IFERROR(__xludf.DUMMYFUNCTION("""COMPUTED_VALUE"""),62.86)</f>
        <v>62.86</v>
      </c>
      <c r="L1145" s="2">
        <f ca="1">IFERROR(__xludf.DUMMYFUNCTION("""COMPUTED_VALUE"""),10.038)</f>
        <v>10.038</v>
      </c>
      <c r="M1145" s="2">
        <f ca="1">IFERROR(__xludf.DUMMYFUNCTION("""COMPUTED_VALUE"""),16.166)</f>
        <v>16.166</v>
      </c>
      <c r="U1145" s="3" t="e">
        <f ca="1"/>
        <v>#NAME?</v>
      </c>
    </row>
    <row r="1146" spans="3:21" ht="12.5" x14ac:dyDescent="0.25">
      <c r="C1146" s="4">
        <f ca="1">IFERROR(__xludf.DUMMYFUNCTION("""COMPUTED_VALUE"""),41486.9986111111)</f>
        <v>41486.998611111099</v>
      </c>
      <c r="D1146" s="2">
        <f ca="1">IFERROR(__xludf.DUMMYFUNCTION("""COMPUTED_VALUE"""),60.63)</f>
        <v>60.63</v>
      </c>
      <c r="E1146" s="2">
        <f ca="1">IFERROR(__xludf.DUMMYFUNCTION("""COMPUTED_VALUE"""),85.984)</f>
        <v>85.983999999999995</v>
      </c>
      <c r="F1146" s="2">
        <f ca="1">IFERROR(__xludf.DUMMYFUNCTION("""COMPUTED_VALUE"""),92.289)</f>
        <v>92.289000000000001</v>
      </c>
      <c r="G1146" s="2">
        <f ca="1">IFERROR(__xludf.DUMMYFUNCTION("""COMPUTED_VALUE"""),0.63865)</f>
        <v>0.63865000000000005</v>
      </c>
      <c r="H1146" s="2">
        <f ca="1">IFERROR(__xludf.DUMMYFUNCTION("""COMPUTED_VALUE"""),61.401)</f>
        <v>61.401000000000003</v>
      </c>
      <c r="I1146" s="2">
        <f ca="1">IFERROR(__xludf.DUMMYFUNCTION("""COMPUTED_VALUE"""),63.852)</f>
        <v>63.851999999999997</v>
      </c>
      <c r="J1146" s="2">
        <f ca="1">IFERROR(__xludf.DUMMYFUNCTION("""COMPUTED_VALUE"""),52.868)</f>
        <v>52.868000000000002</v>
      </c>
      <c r="K1146" s="2">
        <f ca="1">IFERROR(__xludf.DUMMYFUNCTION("""COMPUTED_VALUE"""),62.44)</f>
        <v>62.44</v>
      </c>
      <c r="L1146" s="2">
        <f ca="1">IFERROR(__xludf.DUMMYFUNCTION("""COMPUTED_VALUE"""),9.9871)</f>
        <v>9.9870999999999999</v>
      </c>
      <c r="M1146" s="2">
        <f ca="1">IFERROR(__xludf.DUMMYFUNCTION("""COMPUTED_VALUE"""),16.212)</f>
        <v>16.212</v>
      </c>
      <c r="U1146" s="3" t="e">
        <f ca="1"/>
        <v>#NAME?</v>
      </c>
    </row>
    <row r="1147" spans="3:21" ht="12.5" x14ac:dyDescent="0.25">
      <c r="C1147" s="4">
        <f ca="1">IFERROR(__xludf.DUMMYFUNCTION("""COMPUTED_VALUE"""),41487.9986111111)</f>
        <v>41487.998611111099</v>
      </c>
      <c r="D1147" s="2">
        <f ca="1">IFERROR(__xludf.DUMMYFUNCTION("""COMPUTED_VALUE"""),60.433)</f>
        <v>60.433</v>
      </c>
      <c r="E1147" s="2">
        <f ca="1">IFERROR(__xludf.DUMMYFUNCTION("""COMPUTED_VALUE"""),85.984)</f>
        <v>85.983999999999995</v>
      </c>
      <c r="F1147" s="2">
        <f ca="1">IFERROR(__xludf.DUMMYFUNCTION("""COMPUTED_VALUE"""),91.879)</f>
        <v>91.879000000000005</v>
      </c>
      <c r="G1147" s="2">
        <f ca="1">IFERROR(__xludf.DUMMYFUNCTION("""COMPUTED_VALUE"""),0.63403)</f>
        <v>0.63402999999999998</v>
      </c>
      <c r="H1147" s="2">
        <f ca="1">IFERROR(__xludf.DUMMYFUNCTION("""COMPUTED_VALUE"""),60.208)</f>
        <v>60.207999999999998</v>
      </c>
      <c r="I1147" s="2">
        <f ca="1">IFERROR(__xludf.DUMMYFUNCTION("""COMPUTED_VALUE"""),62.786)</f>
        <v>62.786000000000001</v>
      </c>
      <c r="J1147" s="2">
        <f ca="1">IFERROR(__xludf.DUMMYFUNCTION("""COMPUTED_VALUE"""),52.568)</f>
        <v>52.567999999999998</v>
      </c>
      <c r="K1147" s="2">
        <f ca="1">IFERROR(__xludf.DUMMYFUNCTION("""COMPUTED_VALUE"""),62.413)</f>
        <v>62.412999999999997</v>
      </c>
      <c r="L1147" s="2">
        <f ca="1">IFERROR(__xludf.DUMMYFUNCTION("""COMPUTED_VALUE"""),9.9622)</f>
        <v>9.9621999999999993</v>
      </c>
      <c r="M1147" s="2">
        <f ca="1">IFERROR(__xludf.DUMMYFUNCTION("""COMPUTED_VALUE"""),16.395)</f>
        <v>16.395</v>
      </c>
      <c r="U1147" s="3" t="e">
        <f ca="1"/>
        <v>#NAME?</v>
      </c>
    </row>
    <row r="1148" spans="3:21" ht="12.5" x14ac:dyDescent="0.25">
      <c r="C1148" s="4">
        <f ca="1">IFERROR(__xludf.DUMMYFUNCTION("""COMPUTED_VALUE"""),41488.9986111111)</f>
        <v>41488.998611111099</v>
      </c>
      <c r="D1148" s="2">
        <f ca="1">IFERROR(__xludf.DUMMYFUNCTION("""COMPUTED_VALUE"""),61)</f>
        <v>61</v>
      </c>
      <c r="E1148" s="2">
        <f ca="1">IFERROR(__xludf.DUMMYFUNCTION("""COMPUTED_VALUE"""),86.389)</f>
        <v>86.388999999999996</v>
      </c>
      <c r="F1148" s="2">
        <f ca="1">IFERROR(__xludf.DUMMYFUNCTION("""COMPUTED_VALUE"""),92.947)</f>
        <v>92.947000000000003</v>
      </c>
      <c r="G1148" s="2">
        <f ca="1">IFERROR(__xludf.DUMMYFUNCTION("""COMPUTED_VALUE"""),0.62476)</f>
        <v>0.62475999999999998</v>
      </c>
      <c r="H1148" s="2">
        <f ca="1">IFERROR(__xludf.DUMMYFUNCTION("""COMPUTED_VALUE"""),59.948)</f>
        <v>59.948</v>
      </c>
      <c r="I1148" s="2">
        <f ca="1">IFERROR(__xludf.DUMMYFUNCTION("""COMPUTED_VALUE"""),62.688)</f>
        <v>62.688000000000002</v>
      </c>
      <c r="J1148" s="2">
        <f ca="1">IFERROR(__xludf.DUMMYFUNCTION("""COMPUTED_VALUE"""),51.498)</f>
        <v>51.497999999999998</v>
      </c>
      <c r="K1148" s="2">
        <f ca="1">IFERROR(__xludf.DUMMYFUNCTION("""COMPUTED_VALUE"""),62.477)</f>
        <v>62.476999999999997</v>
      </c>
      <c r="L1148" s="2">
        <f ca="1">IFERROR(__xludf.DUMMYFUNCTION("""COMPUTED_VALUE"""),9.9187)</f>
        <v>9.9186999999999994</v>
      </c>
      <c r="M1148" s="2">
        <f ca="1">IFERROR(__xludf.DUMMYFUNCTION("""COMPUTED_VALUE"""),16.383)</f>
        <v>16.382999999999999</v>
      </c>
      <c r="U1148" s="3" t="e">
        <f ca="1"/>
        <v>#NAME?</v>
      </c>
    </row>
    <row r="1149" spans="3:21" ht="12.5" x14ac:dyDescent="0.25">
      <c r="C1149" s="4">
        <f ca="1">IFERROR(__xludf.DUMMYFUNCTION("""COMPUTED_VALUE"""),41489.9986111111)</f>
        <v>41489.998611111099</v>
      </c>
      <c r="D1149" s="2">
        <f ca="1">IFERROR(__xludf.DUMMYFUNCTION("""COMPUTED_VALUE"""),61.098)</f>
        <v>61.097999999999999</v>
      </c>
      <c r="E1149" s="2">
        <f ca="1">IFERROR(__xludf.DUMMYFUNCTION("""COMPUTED_VALUE"""),84.61)</f>
        <v>84.61</v>
      </c>
      <c r="F1149" s="2">
        <f ca="1">IFERROR(__xludf.DUMMYFUNCTION("""COMPUTED_VALUE"""),91.764)</f>
        <v>91.763999999999996</v>
      </c>
      <c r="G1149" s="2">
        <f ca="1">IFERROR(__xludf.DUMMYFUNCTION("""COMPUTED_VALUE"""),0.61835)</f>
        <v>0.61834999999999996</v>
      </c>
      <c r="H1149" s="2">
        <f ca="1">IFERROR(__xludf.DUMMYFUNCTION("""COMPUTED_VALUE"""),59.948)</f>
        <v>59.948</v>
      </c>
      <c r="I1149" s="2">
        <f ca="1">IFERROR(__xludf.DUMMYFUNCTION("""COMPUTED_VALUE"""),62.688)</f>
        <v>62.688000000000002</v>
      </c>
      <c r="J1149" s="2">
        <f ca="1">IFERROR(__xludf.DUMMYFUNCTION("""COMPUTED_VALUE"""),51.211)</f>
        <v>51.210999999999999</v>
      </c>
      <c r="K1149" s="2">
        <f ca="1">IFERROR(__xludf.DUMMYFUNCTION("""COMPUTED_VALUE"""),62.924)</f>
        <v>62.923999999999999</v>
      </c>
      <c r="L1149" s="2">
        <f ca="1">IFERROR(__xludf.DUMMYFUNCTION("""COMPUTED_VALUE"""),9.9535)</f>
        <v>9.9535</v>
      </c>
      <c r="M1149" s="2">
        <f ca="1">IFERROR(__xludf.DUMMYFUNCTION("""COMPUTED_VALUE"""),16.396)</f>
        <v>16.396000000000001</v>
      </c>
      <c r="U1149" s="3" t="e">
        <f ca="1"/>
        <v>#NAME?</v>
      </c>
    </row>
    <row r="1150" spans="3:21" ht="12.5" x14ac:dyDescent="0.25">
      <c r="C1150" s="4">
        <f ca="1">IFERROR(__xludf.DUMMYFUNCTION("""COMPUTED_VALUE"""),41490.9986111111)</f>
        <v>41490.998611111099</v>
      </c>
      <c r="D1150" s="2">
        <f ca="1">IFERROR(__xludf.DUMMYFUNCTION("""COMPUTED_VALUE"""),61.098)</f>
        <v>61.097999999999999</v>
      </c>
      <c r="E1150" s="2">
        <f ca="1">IFERROR(__xludf.DUMMYFUNCTION("""COMPUTED_VALUE"""),84.139)</f>
        <v>84.138999999999996</v>
      </c>
      <c r="F1150" s="2">
        <f ca="1">IFERROR(__xludf.DUMMYFUNCTION("""COMPUTED_VALUE"""),90.47)</f>
        <v>90.47</v>
      </c>
      <c r="G1150" s="2">
        <f ca="1">IFERROR(__xludf.DUMMYFUNCTION("""COMPUTED_VALUE"""),0.61381)</f>
        <v>0.61380999999999997</v>
      </c>
      <c r="H1150" s="2">
        <f ca="1">IFERROR(__xludf.DUMMYFUNCTION("""COMPUTED_VALUE"""),59.948)</f>
        <v>59.948</v>
      </c>
      <c r="I1150" s="2">
        <f ca="1">IFERROR(__xludf.DUMMYFUNCTION("""COMPUTED_VALUE"""),62.688)</f>
        <v>62.688000000000002</v>
      </c>
      <c r="J1150" s="2">
        <f ca="1">IFERROR(__xludf.DUMMYFUNCTION("""COMPUTED_VALUE"""),51.211)</f>
        <v>51.210999999999999</v>
      </c>
      <c r="K1150" s="2">
        <f ca="1">IFERROR(__xludf.DUMMYFUNCTION("""COMPUTED_VALUE"""),61.693)</f>
        <v>61.692999999999998</v>
      </c>
      <c r="L1150" s="2">
        <f ca="1">IFERROR(__xludf.DUMMYFUNCTION("""COMPUTED_VALUE"""),9.9431)</f>
        <v>9.9430999999999994</v>
      </c>
      <c r="M1150" s="2">
        <f ca="1">IFERROR(__xludf.DUMMYFUNCTION("""COMPUTED_VALUE"""),16.396)</f>
        <v>16.396000000000001</v>
      </c>
      <c r="U1150" s="3" t="e">
        <f ca="1"/>
        <v>#NAME?</v>
      </c>
    </row>
    <row r="1151" spans="3:21" ht="12.5" x14ac:dyDescent="0.25">
      <c r="C1151" s="4">
        <f ca="1">IFERROR(__xludf.DUMMYFUNCTION("""COMPUTED_VALUE"""),41491.9986111111)</f>
        <v>41491.998611111099</v>
      </c>
      <c r="D1151" s="2">
        <f ca="1">IFERROR(__xludf.DUMMYFUNCTION("""COMPUTED_VALUE"""),60.877)</f>
        <v>60.877000000000002</v>
      </c>
      <c r="E1151" s="2">
        <f ca="1">IFERROR(__xludf.DUMMYFUNCTION("""COMPUTED_VALUE"""),84.601)</f>
        <v>84.600999999999999</v>
      </c>
      <c r="F1151" s="2">
        <f ca="1">IFERROR(__xludf.DUMMYFUNCTION("""COMPUTED_VALUE"""),90.554)</f>
        <v>90.554000000000002</v>
      </c>
      <c r="G1151" s="2">
        <f ca="1">IFERROR(__xludf.DUMMYFUNCTION("""COMPUTED_VALUE"""),0.62057)</f>
        <v>0.62056999999999995</v>
      </c>
      <c r="H1151" s="2">
        <f ca="1">IFERROR(__xludf.DUMMYFUNCTION("""COMPUTED_VALUE"""),60.135)</f>
        <v>60.134999999999998</v>
      </c>
      <c r="I1151" s="2">
        <f ca="1">IFERROR(__xludf.DUMMYFUNCTION("""COMPUTED_VALUE"""),62.833)</f>
        <v>62.832999999999998</v>
      </c>
      <c r="J1151" s="2">
        <f ca="1">IFERROR(__xludf.DUMMYFUNCTION("""COMPUTED_VALUE"""),51.211)</f>
        <v>51.210999999999999</v>
      </c>
      <c r="K1151" s="2">
        <f ca="1">IFERROR(__xludf.DUMMYFUNCTION("""COMPUTED_VALUE"""),63.225)</f>
        <v>63.225000000000001</v>
      </c>
      <c r="L1151" s="2">
        <f ca="1">IFERROR(__xludf.DUMMYFUNCTION("""COMPUTED_VALUE"""),9.9455)</f>
        <v>9.9454999999999991</v>
      </c>
      <c r="M1151" s="2">
        <f ca="1">IFERROR(__xludf.DUMMYFUNCTION("""COMPUTED_VALUE"""),16.396)</f>
        <v>16.396000000000001</v>
      </c>
      <c r="U1151" s="3" t="e">
        <f ca="1"/>
        <v>#NAME?</v>
      </c>
    </row>
    <row r="1152" spans="3:21" ht="12.5" x14ac:dyDescent="0.25">
      <c r="C1152" s="4">
        <f ca="1">IFERROR(__xludf.DUMMYFUNCTION("""COMPUTED_VALUE"""),41492.9986111111)</f>
        <v>41492.998611111099</v>
      </c>
      <c r="D1152" s="2">
        <f ca="1">IFERROR(__xludf.DUMMYFUNCTION("""COMPUTED_VALUE"""),60.783)</f>
        <v>60.783000000000001</v>
      </c>
      <c r="E1152" s="2">
        <f ca="1">IFERROR(__xludf.DUMMYFUNCTION("""COMPUTED_VALUE"""),84.251)</f>
        <v>84.251000000000005</v>
      </c>
      <c r="F1152" s="2">
        <f ca="1">IFERROR(__xludf.DUMMYFUNCTION("""COMPUTED_VALUE"""),90.554)</f>
        <v>90.554000000000002</v>
      </c>
      <c r="G1152" s="2">
        <f ca="1">IFERROR(__xludf.DUMMYFUNCTION("""COMPUTED_VALUE"""),0.62347)</f>
        <v>0.62346999999999997</v>
      </c>
      <c r="H1152" s="2">
        <f ca="1">IFERROR(__xludf.DUMMYFUNCTION("""COMPUTED_VALUE"""),59.333)</f>
        <v>59.332999999999998</v>
      </c>
      <c r="I1152" s="2">
        <f ca="1">IFERROR(__xludf.DUMMYFUNCTION("""COMPUTED_VALUE"""),61.613)</f>
        <v>61.613</v>
      </c>
      <c r="J1152" s="2">
        <f ca="1">IFERROR(__xludf.DUMMYFUNCTION("""COMPUTED_VALUE"""),51.365)</f>
        <v>51.365000000000002</v>
      </c>
      <c r="K1152" s="2">
        <f ca="1">IFERROR(__xludf.DUMMYFUNCTION("""COMPUTED_VALUE"""),63.1)</f>
        <v>63.1</v>
      </c>
      <c r="L1152" s="2">
        <f ca="1">IFERROR(__xludf.DUMMYFUNCTION("""COMPUTED_VALUE"""),9.9496)</f>
        <v>9.9496000000000002</v>
      </c>
      <c r="M1152" s="2">
        <f ca="1">IFERROR(__xludf.DUMMYFUNCTION("""COMPUTED_VALUE"""),16.523)</f>
        <v>16.523</v>
      </c>
      <c r="U1152" s="3" t="e">
        <f ca="1"/>
        <v>#NAME?</v>
      </c>
    </row>
    <row r="1153" spans="3:21" ht="12.5" x14ac:dyDescent="0.25">
      <c r="C1153" s="4">
        <f ca="1">IFERROR(__xludf.DUMMYFUNCTION("""COMPUTED_VALUE"""),41493.9986111111)</f>
        <v>41493.998611111099</v>
      </c>
      <c r="D1153" s="2">
        <f ca="1">IFERROR(__xludf.DUMMYFUNCTION("""COMPUTED_VALUE"""),61.203)</f>
        <v>61.203000000000003</v>
      </c>
      <c r="E1153" s="2">
        <f ca="1">IFERROR(__xludf.DUMMYFUNCTION("""COMPUTED_VALUE"""),84.28)</f>
        <v>84.28</v>
      </c>
      <c r="F1153" s="2">
        <f ca="1">IFERROR(__xludf.DUMMYFUNCTION("""COMPUTED_VALUE"""),90.341)</f>
        <v>90.340999999999994</v>
      </c>
      <c r="G1153" s="2">
        <f ca="1">IFERROR(__xludf.DUMMYFUNCTION("""COMPUTED_VALUE"""),0.62863)</f>
        <v>0.62863000000000002</v>
      </c>
      <c r="H1153" s="2">
        <f ca="1">IFERROR(__xludf.DUMMYFUNCTION("""COMPUTED_VALUE"""),58.956)</f>
        <v>58.956000000000003</v>
      </c>
      <c r="I1153" s="2">
        <f ca="1">IFERROR(__xludf.DUMMYFUNCTION("""COMPUTED_VALUE"""),61.283)</f>
        <v>61.283000000000001</v>
      </c>
      <c r="J1153" s="2">
        <f ca="1">IFERROR(__xludf.DUMMYFUNCTION("""COMPUTED_VALUE"""),50.275)</f>
        <v>50.274999999999999</v>
      </c>
      <c r="K1153" s="2">
        <f ca="1">IFERROR(__xludf.DUMMYFUNCTION("""COMPUTED_VALUE"""),63.224)</f>
        <v>63.223999999999997</v>
      </c>
      <c r="L1153" s="2">
        <f ca="1">IFERROR(__xludf.DUMMYFUNCTION("""COMPUTED_VALUE"""),9.9546)</f>
        <v>9.9545999999999992</v>
      </c>
      <c r="M1153" s="2">
        <f ca="1">IFERROR(__xludf.DUMMYFUNCTION("""COMPUTED_VALUE"""),16.361)</f>
        <v>16.361000000000001</v>
      </c>
      <c r="U1153" s="3" t="e">
        <f ca="1"/>
        <v>#NAME?</v>
      </c>
    </row>
    <row r="1154" spans="3:21" ht="12.5" x14ac:dyDescent="0.25">
      <c r="C1154" s="4">
        <f ca="1">IFERROR(__xludf.DUMMYFUNCTION("""COMPUTED_VALUE"""),41494.9986111111)</f>
        <v>41494.998611111099</v>
      </c>
      <c r="D1154" s="2">
        <f ca="1">IFERROR(__xludf.DUMMYFUNCTION("""COMPUTED_VALUE"""),60.724)</f>
        <v>60.723999999999997</v>
      </c>
      <c r="E1154" s="2">
        <f ca="1">IFERROR(__xludf.DUMMYFUNCTION("""COMPUTED_VALUE"""),84.684)</f>
        <v>84.683999999999997</v>
      </c>
      <c r="F1154" s="2">
        <f ca="1">IFERROR(__xludf.DUMMYFUNCTION("""COMPUTED_VALUE"""),90.142)</f>
        <v>90.141999999999996</v>
      </c>
      <c r="G1154" s="2">
        <f ca="1">IFERROR(__xludf.DUMMYFUNCTION("""COMPUTED_VALUE"""),0.62377)</f>
        <v>0.62377000000000005</v>
      </c>
      <c r="H1154" s="2">
        <f ca="1">IFERROR(__xludf.DUMMYFUNCTION("""COMPUTED_VALUE"""),58.937)</f>
        <v>58.936999999999998</v>
      </c>
      <c r="I1154" s="2">
        <f ca="1">IFERROR(__xludf.DUMMYFUNCTION("""COMPUTED_VALUE"""),61.609)</f>
        <v>61.609000000000002</v>
      </c>
      <c r="J1154" s="2">
        <f ca="1">IFERROR(__xludf.DUMMYFUNCTION("""COMPUTED_VALUE"""),49.94)</f>
        <v>49.94</v>
      </c>
      <c r="K1154" s="2">
        <f ca="1">IFERROR(__xludf.DUMMYFUNCTION("""COMPUTED_VALUE"""),62.22)</f>
        <v>62.22</v>
      </c>
      <c r="L1154" s="2">
        <f ca="1">IFERROR(__xludf.DUMMYFUNCTION("""COMPUTED_VALUE"""),9.9551)</f>
        <v>9.9550999999999998</v>
      </c>
      <c r="M1154" s="2">
        <f ca="1">IFERROR(__xludf.DUMMYFUNCTION("""COMPUTED_VALUE"""),16.305)</f>
        <v>16.305</v>
      </c>
      <c r="U1154" s="3" t="e">
        <f ca="1"/>
        <v>#NAME?</v>
      </c>
    </row>
    <row r="1155" spans="3:21" ht="12.5" x14ac:dyDescent="0.25">
      <c r="C1155" s="4">
        <f ca="1">IFERROR(__xludf.DUMMYFUNCTION("""COMPUTED_VALUE"""),41495.9986111111)</f>
        <v>41495.998611111099</v>
      </c>
      <c r="D1155" s="2">
        <f ca="1">IFERROR(__xludf.DUMMYFUNCTION("""COMPUTED_VALUE"""),60.672)</f>
        <v>60.671999999999997</v>
      </c>
      <c r="E1155" s="2">
        <f ca="1">IFERROR(__xludf.DUMMYFUNCTION("""COMPUTED_VALUE"""),83.717)</f>
        <v>83.716999999999999</v>
      </c>
      <c r="F1155" s="2">
        <f ca="1">IFERROR(__xludf.DUMMYFUNCTION("""COMPUTED_VALUE"""),91.89)</f>
        <v>91.89</v>
      </c>
      <c r="G1155" s="2">
        <f ca="1">IFERROR(__xludf.DUMMYFUNCTION("""COMPUTED_VALUE"""),0.62303)</f>
        <v>0.62302999999999997</v>
      </c>
      <c r="H1155" s="2">
        <f ca="1">IFERROR(__xludf.DUMMYFUNCTION("""COMPUTED_VALUE"""),58.581)</f>
        <v>58.581000000000003</v>
      </c>
      <c r="I1155" s="2">
        <f ca="1">IFERROR(__xludf.DUMMYFUNCTION("""COMPUTED_VALUE"""),61.223)</f>
        <v>61.222999999999999</v>
      </c>
      <c r="J1155" s="2">
        <f ca="1">IFERROR(__xludf.DUMMYFUNCTION("""COMPUTED_VALUE"""),50.2)</f>
        <v>50.2</v>
      </c>
      <c r="K1155" s="2">
        <f ca="1">IFERROR(__xludf.DUMMYFUNCTION("""COMPUTED_VALUE"""),63.294)</f>
        <v>63.293999999999997</v>
      </c>
      <c r="L1155" s="2">
        <f ca="1">IFERROR(__xludf.DUMMYFUNCTION("""COMPUTED_VALUE"""),9.9787)</f>
        <v>9.9786999999999999</v>
      </c>
      <c r="M1155" s="2">
        <f ca="1">IFERROR(__xludf.DUMMYFUNCTION("""COMPUTED_VALUE"""),16.288)</f>
        <v>16.288</v>
      </c>
      <c r="U1155" s="3" t="e">
        <f ca="1"/>
        <v>#NAME?</v>
      </c>
    </row>
    <row r="1156" spans="3:21" ht="12.5" x14ac:dyDescent="0.25">
      <c r="C1156" s="4">
        <f ca="1">IFERROR(__xludf.DUMMYFUNCTION("""COMPUTED_VALUE"""),41498.9986111111)</f>
        <v>41498.998611111099</v>
      </c>
      <c r="D1156" s="2">
        <f ca="1">IFERROR(__xludf.DUMMYFUNCTION("""COMPUTED_VALUE"""),61.37)</f>
        <v>61.37</v>
      </c>
      <c r="E1156" s="2">
        <f ca="1">IFERROR(__xludf.DUMMYFUNCTION("""COMPUTED_VALUE"""),84.58)</f>
        <v>84.58</v>
      </c>
      <c r="F1156" s="2">
        <f ca="1">IFERROR(__xludf.DUMMYFUNCTION("""COMPUTED_VALUE"""),90.525)</f>
        <v>90.525000000000006</v>
      </c>
      <c r="G1156" s="2">
        <f ca="1">IFERROR(__xludf.DUMMYFUNCTION("""COMPUTED_VALUE"""),0.62649)</f>
        <v>0.62648999999999999</v>
      </c>
      <c r="H1156" s="2">
        <f ca="1">IFERROR(__xludf.DUMMYFUNCTION("""COMPUTED_VALUE"""),58.595)</f>
        <v>58.594999999999999</v>
      </c>
      <c r="I1156" s="2">
        <f ca="1">IFERROR(__xludf.DUMMYFUNCTION("""COMPUTED_VALUE"""),61.223)</f>
        <v>61.222999999999999</v>
      </c>
      <c r="J1156" s="2">
        <f ca="1">IFERROR(__xludf.DUMMYFUNCTION("""COMPUTED_VALUE"""),49.912)</f>
        <v>49.911999999999999</v>
      </c>
      <c r="K1156" s="2">
        <f ca="1">IFERROR(__xludf.DUMMYFUNCTION("""COMPUTED_VALUE"""),63.002)</f>
        <v>63.002000000000002</v>
      </c>
      <c r="L1156" s="2">
        <f ca="1">IFERROR(__xludf.DUMMYFUNCTION("""COMPUTED_VALUE"""),10.005)</f>
        <v>10.005000000000001</v>
      </c>
      <c r="M1156" s="2">
        <f ca="1">IFERROR(__xludf.DUMMYFUNCTION("""COMPUTED_VALUE"""),16.303)</f>
        <v>16.303000000000001</v>
      </c>
      <c r="U1156" s="3" t="e">
        <f ca="1"/>
        <v>#NAME?</v>
      </c>
    </row>
    <row r="1157" spans="3:21" ht="12.5" x14ac:dyDescent="0.25">
      <c r="C1157" s="4">
        <f ca="1">IFERROR(__xludf.DUMMYFUNCTION("""COMPUTED_VALUE"""),41499.9986111111)</f>
        <v>41499.998611111099</v>
      </c>
      <c r="D1157" s="2">
        <f ca="1">IFERROR(__xludf.DUMMYFUNCTION("""COMPUTED_VALUE"""),61.45)</f>
        <v>61.45</v>
      </c>
      <c r="E1157" s="2">
        <f ca="1">IFERROR(__xludf.DUMMYFUNCTION("""COMPUTED_VALUE"""),85.553)</f>
        <v>85.552999999999997</v>
      </c>
      <c r="F1157" s="2">
        <f ca="1">IFERROR(__xludf.DUMMYFUNCTION("""COMPUTED_VALUE"""),89.559)</f>
        <v>89.558999999999997</v>
      </c>
      <c r="G1157" s="2">
        <f ca="1">IFERROR(__xludf.DUMMYFUNCTION("""COMPUTED_VALUE"""),0.62639)</f>
        <v>0.62639</v>
      </c>
      <c r="H1157" s="2">
        <f ca="1">IFERROR(__xludf.DUMMYFUNCTION("""COMPUTED_VALUE"""),59.152)</f>
        <v>59.152000000000001</v>
      </c>
      <c r="I1157" s="2">
        <f ca="1">IFERROR(__xludf.DUMMYFUNCTION("""COMPUTED_VALUE"""),61.411)</f>
        <v>61.411000000000001</v>
      </c>
      <c r="J1157" s="2">
        <f ca="1">IFERROR(__xludf.DUMMYFUNCTION("""COMPUTED_VALUE"""),49.912)</f>
        <v>49.911999999999999</v>
      </c>
      <c r="K1157" s="2">
        <f ca="1">IFERROR(__xludf.DUMMYFUNCTION("""COMPUTED_VALUE"""),63.006)</f>
        <v>63.006</v>
      </c>
      <c r="L1157" s="2">
        <f ca="1">IFERROR(__xludf.DUMMYFUNCTION("""COMPUTED_VALUE"""),9.9994)</f>
        <v>9.9993999999999996</v>
      </c>
      <c r="M1157" s="2">
        <f ca="1">IFERROR(__xludf.DUMMYFUNCTION("""COMPUTED_VALUE"""),16.303)</f>
        <v>16.303000000000001</v>
      </c>
      <c r="U1157" s="3" t="e">
        <f ca="1"/>
        <v>#NAME?</v>
      </c>
    </row>
    <row r="1158" spans="3:21" ht="12.5" x14ac:dyDescent="0.25">
      <c r="C1158" s="4">
        <f ca="1">IFERROR(__xludf.DUMMYFUNCTION("""COMPUTED_VALUE"""),41500.9986111111)</f>
        <v>41500.998611111099</v>
      </c>
      <c r="D1158" s="2">
        <f ca="1">IFERROR(__xludf.DUMMYFUNCTION("""COMPUTED_VALUE"""),61.29)</f>
        <v>61.29</v>
      </c>
      <c r="E1158" s="2">
        <f ca="1">IFERROR(__xludf.DUMMYFUNCTION("""COMPUTED_VALUE"""),83.502)</f>
        <v>83.501999999999995</v>
      </c>
      <c r="F1158" s="2">
        <f ca="1">IFERROR(__xludf.DUMMYFUNCTION("""COMPUTED_VALUE"""),89.803)</f>
        <v>89.802999999999997</v>
      </c>
      <c r="G1158" s="2">
        <f ca="1">IFERROR(__xludf.DUMMYFUNCTION("""COMPUTED_VALUE"""),0.62573)</f>
        <v>0.62573000000000001</v>
      </c>
      <c r="H1158" s="2">
        <f ca="1">IFERROR(__xludf.DUMMYFUNCTION("""COMPUTED_VALUE"""),58.522)</f>
        <v>58.521999999999998</v>
      </c>
      <c r="I1158" s="2">
        <f ca="1">IFERROR(__xludf.DUMMYFUNCTION("""COMPUTED_VALUE"""),60.833)</f>
        <v>60.832999999999998</v>
      </c>
      <c r="J1158" s="2">
        <f ca="1">IFERROR(__xludf.DUMMYFUNCTION("""COMPUTED_VALUE"""),50.186)</f>
        <v>50.186</v>
      </c>
      <c r="K1158" s="2">
        <f ca="1">IFERROR(__xludf.DUMMYFUNCTION("""COMPUTED_VALUE"""),62.952)</f>
        <v>62.951999999999998</v>
      </c>
      <c r="L1158" s="2">
        <f ca="1">IFERROR(__xludf.DUMMYFUNCTION("""COMPUTED_VALUE"""),9.9997)</f>
        <v>9.9997000000000007</v>
      </c>
      <c r="M1158" s="2">
        <f ca="1">IFERROR(__xludf.DUMMYFUNCTION("""COMPUTED_VALUE"""),16.303)</f>
        <v>16.303000000000001</v>
      </c>
      <c r="U1158" s="3" t="e">
        <f ca="1"/>
        <v>#NAME?</v>
      </c>
    </row>
    <row r="1159" spans="3:21" ht="12.5" x14ac:dyDescent="0.25">
      <c r="C1159" s="4">
        <f ca="1">IFERROR(__xludf.DUMMYFUNCTION("""COMPUTED_VALUE"""),41501.9986111111)</f>
        <v>41501.998611111099</v>
      </c>
      <c r="D1159" s="2">
        <f ca="1">IFERROR(__xludf.DUMMYFUNCTION("""COMPUTED_VALUE"""),61.26)</f>
        <v>61.26</v>
      </c>
      <c r="E1159" s="2">
        <f ca="1">IFERROR(__xludf.DUMMYFUNCTION("""COMPUTED_VALUE"""),81.95)</f>
        <v>81.95</v>
      </c>
      <c r="F1159" s="2">
        <f ca="1">IFERROR(__xludf.DUMMYFUNCTION("""COMPUTED_VALUE"""),89.675)</f>
        <v>89.674999999999997</v>
      </c>
      <c r="G1159" s="2">
        <f ca="1">IFERROR(__xludf.DUMMYFUNCTION("""COMPUTED_VALUE"""),0.62661)</f>
        <v>0.62661</v>
      </c>
      <c r="H1159" s="2">
        <f ca="1">IFERROR(__xludf.DUMMYFUNCTION("""COMPUTED_VALUE"""),59.234)</f>
        <v>59.234000000000002</v>
      </c>
      <c r="I1159" s="2">
        <f ca="1">IFERROR(__xludf.DUMMYFUNCTION("""COMPUTED_VALUE"""),61.49)</f>
        <v>61.49</v>
      </c>
      <c r="J1159" s="2">
        <f ca="1">IFERROR(__xludf.DUMMYFUNCTION("""COMPUTED_VALUE"""),49.741)</f>
        <v>49.741</v>
      </c>
      <c r="K1159" s="2">
        <f ca="1">IFERROR(__xludf.DUMMYFUNCTION("""COMPUTED_VALUE"""),63.193)</f>
        <v>63.192999999999998</v>
      </c>
      <c r="L1159" s="2">
        <f ca="1">IFERROR(__xludf.DUMMYFUNCTION("""COMPUTED_VALUE"""),10.008)</f>
        <v>10.007999999999999</v>
      </c>
      <c r="M1159" s="2">
        <f ca="1">IFERROR(__xludf.DUMMYFUNCTION("""COMPUTED_VALUE"""),16.283)</f>
        <v>16.283000000000001</v>
      </c>
      <c r="U1159" s="3" t="e">
        <f ca="1"/>
        <v>#NAME?</v>
      </c>
    </row>
    <row r="1160" spans="3:21" ht="12.5" x14ac:dyDescent="0.25">
      <c r="C1160" s="4">
        <f ca="1">IFERROR(__xludf.DUMMYFUNCTION("""COMPUTED_VALUE"""),41502.9986111111)</f>
        <v>41502.998611111099</v>
      </c>
      <c r="D1160" s="2">
        <f ca="1">IFERROR(__xludf.DUMMYFUNCTION("""COMPUTED_VALUE"""),61.658)</f>
        <v>61.658000000000001</v>
      </c>
      <c r="E1160" s="2">
        <f ca="1">IFERROR(__xludf.DUMMYFUNCTION("""COMPUTED_VALUE"""),84.157)</f>
        <v>84.156999999999996</v>
      </c>
      <c r="F1160" s="2">
        <f ca="1">IFERROR(__xludf.DUMMYFUNCTION("""COMPUTED_VALUE"""),90.658)</f>
        <v>90.658000000000001</v>
      </c>
      <c r="G1160" s="2">
        <f ca="1">IFERROR(__xludf.DUMMYFUNCTION("""COMPUTED_VALUE"""),0.62346)</f>
        <v>0.62346000000000001</v>
      </c>
      <c r="H1160" s="2">
        <f ca="1">IFERROR(__xludf.DUMMYFUNCTION("""COMPUTED_VALUE"""),60.153)</f>
        <v>60.152999999999999</v>
      </c>
      <c r="I1160" s="2">
        <f ca="1">IFERROR(__xludf.DUMMYFUNCTION("""COMPUTED_VALUE"""),61.91)</f>
        <v>61.91</v>
      </c>
      <c r="J1160" s="2">
        <f ca="1">IFERROR(__xludf.DUMMYFUNCTION("""COMPUTED_VALUE"""),50.285)</f>
        <v>50.284999999999997</v>
      </c>
      <c r="K1160" s="2">
        <f ca="1">IFERROR(__xludf.DUMMYFUNCTION("""COMPUTED_VALUE"""),63.004)</f>
        <v>63.003999999999998</v>
      </c>
      <c r="L1160" s="2">
        <f ca="1">IFERROR(__xludf.DUMMYFUNCTION("""COMPUTED_VALUE"""),10.006)</f>
        <v>10.006</v>
      </c>
      <c r="M1160" s="2">
        <f ca="1">IFERROR(__xludf.DUMMYFUNCTION("""COMPUTED_VALUE"""),16.142)</f>
        <v>16.141999999999999</v>
      </c>
      <c r="U1160" s="3" t="e">
        <f ca="1"/>
        <v>#NAME?</v>
      </c>
    </row>
    <row r="1161" spans="3:21" ht="12.5" x14ac:dyDescent="0.25">
      <c r="C1161" s="4">
        <f ca="1">IFERROR(__xludf.DUMMYFUNCTION("""COMPUTED_VALUE"""),41503.9986111111)</f>
        <v>41503.998611111099</v>
      </c>
      <c r="D1161" s="2">
        <f ca="1">IFERROR(__xludf.DUMMYFUNCTION("""COMPUTED_VALUE"""),61.658)</f>
        <v>61.658000000000001</v>
      </c>
      <c r="E1161" s="2">
        <f ca="1">IFERROR(__xludf.DUMMYFUNCTION("""COMPUTED_VALUE"""),84.855)</f>
        <v>84.855000000000004</v>
      </c>
      <c r="F1161" s="2">
        <f ca="1">IFERROR(__xludf.DUMMYFUNCTION("""COMPUTED_VALUE"""),89.22)</f>
        <v>89.22</v>
      </c>
      <c r="G1161" s="2">
        <f ca="1">IFERROR(__xludf.DUMMYFUNCTION("""COMPUTED_VALUE"""),0.63204)</f>
        <v>0.63204000000000005</v>
      </c>
      <c r="H1161" s="2">
        <f ca="1">IFERROR(__xludf.DUMMYFUNCTION("""COMPUTED_VALUE"""),58.243)</f>
        <v>58.243000000000002</v>
      </c>
      <c r="I1161" s="2">
        <f ca="1">IFERROR(__xludf.DUMMYFUNCTION("""COMPUTED_VALUE"""),60.103)</f>
        <v>60.103000000000002</v>
      </c>
      <c r="J1161" s="2">
        <f ca="1">IFERROR(__xludf.DUMMYFUNCTION("""COMPUTED_VALUE"""),50.79)</f>
        <v>50.79</v>
      </c>
      <c r="K1161" s="2">
        <f ca="1">IFERROR(__xludf.DUMMYFUNCTION("""COMPUTED_VALUE"""),62.991)</f>
        <v>62.991</v>
      </c>
      <c r="L1161" s="2">
        <f ca="1">IFERROR(__xludf.DUMMYFUNCTION("""COMPUTED_VALUE"""),10.025)</f>
        <v>10.025</v>
      </c>
      <c r="M1161" s="2">
        <f ca="1">IFERROR(__xludf.DUMMYFUNCTION("""COMPUTED_VALUE"""),16.151)</f>
        <v>16.151</v>
      </c>
      <c r="U1161" s="3" t="e">
        <f ca="1"/>
        <v>#NAME?</v>
      </c>
    </row>
    <row r="1162" spans="3:21" ht="12.5" x14ac:dyDescent="0.25">
      <c r="C1162" s="4">
        <f ca="1">IFERROR(__xludf.DUMMYFUNCTION("""COMPUTED_VALUE"""),41504.9986111111)</f>
        <v>41504.998611111099</v>
      </c>
      <c r="D1162" s="2">
        <f ca="1">IFERROR(__xludf.DUMMYFUNCTION("""COMPUTED_VALUE"""),62.49)</f>
        <v>62.49</v>
      </c>
      <c r="E1162" s="2">
        <f ca="1">IFERROR(__xludf.DUMMYFUNCTION("""COMPUTED_VALUE"""),84.405)</f>
        <v>84.405000000000001</v>
      </c>
      <c r="F1162" s="2">
        <f ca="1">IFERROR(__xludf.DUMMYFUNCTION("""COMPUTED_VALUE"""),90.723)</f>
        <v>90.722999999999999</v>
      </c>
      <c r="G1162" s="2">
        <f ca="1">IFERROR(__xludf.DUMMYFUNCTION("""COMPUTED_VALUE"""),0.63079)</f>
        <v>0.63078999999999996</v>
      </c>
      <c r="H1162" s="2">
        <f ca="1">IFERROR(__xludf.DUMMYFUNCTION("""COMPUTED_VALUE"""),58.496)</f>
        <v>58.496000000000002</v>
      </c>
      <c r="I1162" s="2">
        <f ca="1">IFERROR(__xludf.DUMMYFUNCTION("""COMPUTED_VALUE"""),60.386)</f>
        <v>60.386000000000003</v>
      </c>
      <c r="J1162" s="2">
        <f ca="1">IFERROR(__xludf.DUMMYFUNCTION("""COMPUTED_VALUE"""),49.502)</f>
        <v>49.502000000000002</v>
      </c>
      <c r="K1162" s="2">
        <f ca="1">IFERROR(__xludf.DUMMYFUNCTION("""COMPUTED_VALUE"""),63.731)</f>
        <v>63.731000000000002</v>
      </c>
      <c r="L1162" s="2">
        <f ca="1">IFERROR(__xludf.DUMMYFUNCTION("""COMPUTED_VALUE"""),10.029)</f>
        <v>10.029</v>
      </c>
      <c r="M1162" s="2">
        <f ca="1">IFERROR(__xludf.DUMMYFUNCTION("""COMPUTED_VALUE"""),16.264)</f>
        <v>16.263999999999999</v>
      </c>
      <c r="U1162" s="3" t="e">
        <f ca="1"/>
        <v>#NAME?</v>
      </c>
    </row>
    <row r="1163" spans="3:21" ht="12.5" x14ac:dyDescent="0.25">
      <c r="C1163" s="4">
        <f ca="1">IFERROR(__xludf.DUMMYFUNCTION("""COMPUTED_VALUE"""),41505.9986111111)</f>
        <v>41505.998611111099</v>
      </c>
      <c r="D1163" s="2">
        <f ca="1">IFERROR(__xludf.DUMMYFUNCTION("""COMPUTED_VALUE"""),63.85)</f>
        <v>63.85</v>
      </c>
      <c r="E1163" s="2">
        <f ca="1">IFERROR(__xludf.DUMMYFUNCTION("""COMPUTED_VALUE"""),84.517)</f>
        <v>84.516999999999996</v>
      </c>
      <c r="F1163" s="2">
        <f ca="1">IFERROR(__xludf.DUMMYFUNCTION("""COMPUTED_VALUE"""),90.724)</f>
        <v>90.724000000000004</v>
      </c>
      <c r="G1163" s="2">
        <f ca="1">IFERROR(__xludf.DUMMYFUNCTION("""COMPUTED_VALUE"""),0.63089)</f>
        <v>0.63088999999999995</v>
      </c>
      <c r="H1163" s="2">
        <f ca="1">IFERROR(__xludf.DUMMYFUNCTION("""COMPUTED_VALUE"""),58.457)</f>
        <v>58.457000000000001</v>
      </c>
      <c r="I1163" s="2">
        <f ca="1">IFERROR(__xludf.DUMMYFUNCTION("""COMPUTED_VALUE"""),60.386)</f>
        <v>60.386000000000003</v>
      </c>
      <c r="J1163" s="2">
        <f ca="1">IFERROR(__xludf.DUMMYFUNCTION("""COMPUTED_VALUE"""),49.703)</f>
        <v>49.703000000000003</v>
      </c>
      <c r="K1163" s="2">
        <f ca="1">IFERROR(__xludf.DUMMYFUNCTION("""COMPUTED_VALUE"""),63.866)</f>
        <v>63.866</v>
      </c>
      <c r="L1163" s="2">
        <f ca="1">IFERROR(__xludf.DUMMYFUNCTION("""COMPUTED_VALUE"""),10.052)</f>
        <v>10.052</v>
      </c>
      <c r="M1163" s="2">
        <f ca="1">IFERROR(__xludf.DUMMYFUNCTION("""COMPUTED_VALUE"""),16.154)</f>
        <v>16.154</v>
      </c>
      <c r="U1163" s="3" t="e">
        <f ca="1"/>
        <v>#NAME?</v>
      </c>
    </row>
    <row r="1164" spans="3:21" ht="12.5" x14ac:dyDescent="0.25">
      <c r="C1164" s="4">
        <f ca="1">IFERROR(__xludf.DUMMYFUNCTION("""COMPUTED_VALUE"""),41506.9986111111)</f>
        <v>41506.998611111099</v>
      </c>
      <c r="D1164" s="2">
        <f ca="1">IFERROR(__xludf.DUMMYFUNCTION("""COMPUTED_VALUE"""),63.36)</f>
        <v>63.36</v>
      </c>
      <c r="E1164" s="2">
        <f ca="1">IFERROR(__xludf.DUMMYFUNCTION("""COMPUTED_VALUE"""),84.346)</f>
        <v>84.346000000000004</v>
      </c>
      <c r="F1164" s="2">
        <f ca="1">IFERROR(__xludf.DUMMYFUNCTION("""COMPUTED_VALUE"""),90.395)</f>
        <v>90.394999999999996</v>
      </c>
      <c r="G1164" s="2">
        <f ca="1">IFERROR(__xludf.DUMMYFUNCTION("""COMPUTED_VALUE"""),0.63082)</f>
        <v>0.63082000000000005</v>
      </c>
      <c r="H1164" s="2">
        <f ca="1">IFERROR(__xludf.DUMMYFUNCTION("""COMPUTED_VALUE"""),58.886)</f>
        <v>58.886000000000003</v>
      </c>
      <c r="I1164" s="2">
        <f ca="1">IFERROR(__xludf.DUMMYFUNCTION("""COMPUTED_VALUE"""),60.884)</f>
        <v>60.884</v>
      </c>
      <c r="J1164" s="2">
        <f ca="1">IFERROR(__xludf.DUMMYFUNCTION("""COMPUTED_VALUE"""),49.703)</f>
        <v>49.703000000000003</v>
      </c>
      <c r="K1164" s="2">
        <f ca="1">IFERROR(__xludf.DUMMYFUNCTION("""COMPUTED_VALUE"""),63.004)</f>
        <v>63.003999999999998</v>
      </c>
      <c r="L1164" s="2">
        <f ca="1">IFERROR(__xludf.DUMMYFUNCTION("""COMPUTED_VALUE"""),10.003)</f>
        <v>10.003</v>
      </c>
      <c r="M1164" s="2">
        <f ca="1">IFERROR(__xludf.DUMMYFUNCTION("""COMPUTED_VALUE"""),16.154)</f>
        <v>16.154</v>
      </c>
      <c r="U1164" s="3" t="e">
        <f ca="1"/>
        <v>#NAME?</v>
      </c>
    </row>
    <row r="1165" spans="3:21" ht="12.5" x14ac:dyDescent="0.25">
      <c r="C1165" s="4">
        <f ca="1">IFERROR(__xludf.DUMMYFUNCTION("""COMPUTED_VALUE"""),41507.9986111111)</f>
        <v>41507.998611111099</v>
      </c>
      <c r="D1165" s="2">
        <f ca="1">IFERROR(__xludf.DUMMYFUNCTION("""COMPUTED_VALUE"""),64.69)</f>
        <v>64.69</v>
      </c>
      <c r="E1165" s="2">
        <f ca="1">IFERROR(__xludf.DUMMYFUNCTION("""COMPUTED_VALUE"""),83.641)</f>
        <v>83.641000000000005</v>
      </c>
      <c r="F1165" s="2">
        <f ca="1">IFERROR(__xludf.DUMMYFUNCTION("""COMPUTED_VALUE"""),89.114)</f>
        <v>89.114000000000004</v>
      </c>
      <c r="G1165" s="2">
        <f ca="1">IFERROR(__xludf.DUMMYFUNCTION("""COMPUTED_VALUE"""),0.62941)</f>
        <v>0.62941000000000003</v>
      </c>
      <c r="H1165" s="2">
        <f ca="1">IFERROR(__xludf.DUMMYFUNCTION("""COMPUTED_VALUE"""),58.938)</f>
        <v>58.938000000000002</v>
      </c>
      <c r="I1165" s="2">
        <f ca="1">IFERROR(__xludf.DUMMYFUNCTION("""COMPUTED_VALUE"""),60.827)</f>
        <v>60.826999999999998</v>
      </c>
      <c r="J1165" s="2">
        <f ca="1">IFERROR(__xludf.DUMMYFUNCTION("""COMPUTED_VALUE"""),50.096)</f>
        <v>50.095999999999997</v>
      </c>
      <c r="K1165" s="2">
        <f ca="1">IFERROR(__xludf.DUMMYFUNCTION("""COMPUTED_VALUE"""),63.365)</f>
        <v>63.365000000000002</v>
      </c>
      <c r="L1165" s="2">
        <f ca="1">IFERROR(__xludf.DUMMYFUNCTION("""COMPUTED_VALUE"""),9.9619)</f>
        <v>9.9619</v>
      </c>
      <c r="M1165" s="2">
        <f ca="1">IFERROR(__xludf.DUMMYFUNCTION("""COMPUTED_VALUE"""),16.154)</f>
        <v>16.154</v>
      </c>
      <c r="U1165" s="3" t="e">
        <f ca="1"/>
        <v>#NAME?</v>
      </c>
    </row>
    <row r="1166" spans="3:21" ht="12.5" x14ac:dyDescent="0.25">
      <c r="C1166" s="4">
        <f ca="1">IFERROR(__xludf.DUMMYFUNCTION("""COMPUTED_VALUE"""),41508.9986111111)</f>
        <v>41508.998611111099</v>
      </c>
      <c r="D1166" s="2">
        <f ca="1">IFERROR(__xludf.DUMMYFUNCTION("""COMPUTED_VALUE"""),64.41)</f>
        <v>64.41</v>
      </c>
      <c r="E1166" s="2">
        <f ca="1">IFERROR(__xludf.DUMMYFUNCTION("""COMPUTED_VALUE"""),83.1)</f>
        <v>83.1</v>
      </c>
      <c r="F1166" s="2">
        <f ca="1">IFERROR(__xludf.DUMMYFUNCTION("""COMPUTED_VALUE"""),90.487)</f>
        <v>90.486999999999995</v>
      </c>
      <c r="G1166" s="2">
        <f ca="1">IFERROR(__xludf.DUMMYFUNCTION("""COMPUTED_VALUE"""),0.63003)</f>
        <v>0.63002999999999998</v>
      </c>
      <c r="H1166" s="2">
        <f ca="1">IFERROR(__xludf.DUMMYFUNCTION("""COMPUTED_VALUE"""),58.874)</f>
        <v>58.874000000000002</v>
      </c>
      <c r="I1166" s="2">
        <f ca="1">IFERROR(__xludf.DUMMYFUNCTION("""COMPUTED_VALUE"""),60.879)</f>
        <v>60.878999999999998</v>
      </c>
      <c r="J1166" s="2">
        <f ca="1">IFERROR(__xludf.DUMMYFUNCTION("""COMPUTED_VALUE"""),50.024)</f>
        <v>50.024000000000001</v>
      </c>
      <c r="K1166" s="2">
        <f ca="1">IFERROR(__xludf.DUMMYFUNCTION("""COMPUTED_VALUE"""),63.539)</f>
        <v>63.539000000000001</v>
      </c>
      <c r="L1166" s="2">
        <f ca="1">IFERROR(__xludf.DUMMYFUNCTION("""COMPUTED_VALUE"""),9.9887)</f>
        <v>9.9886999999999997</v>
      </c>
      <c r="M1166" s="2">
        <f ca="1">IFERROR(__xludf.DUMMYFUNCTION("""COMPUTED_VALUE"""),16.258)</f>
        <v>16.257999999999999</v>
      </c>
      <c r="U1166" s="3" t="e">
        <f ca="1"/>
        <v>#NAME?</v>
      </c>
    </row>
    <row r="1167" spans="3:21" ht="12.5" x14ac:dyDescent="0.25">
      <c r="C1167" s="4">
        <f ca="1">IFERROR(__xludf.DUMMYFUNCTION("""COMPUTED_VALUE"""),41509.9986111111)</f>
        <v>41509.998611111099</v>
      </c>
      <c r="D1167" s="2">
        <f ca="1">IFERROR(__xludf.DUMMYFUNCTION("""COMPUTED_VALUE"""),63.198)</f>
        <v>63.198</v>
      </c>
      <c r="E1167" s="2">
        <f ca="1">IFERROR(__xludf.DUMMYFUNCTION("""COMPUTED_VALUE"""),84.899)</f>
        <v>84.899000000000001</v>
      </c>
      <c r="F1167" s="2">
        <f ca="1">IFERROR(__xludf.DUMMYFUNCTION("""COMPUTED_VALUE"""),90.217)</f>
        <v>90.216999999999999</v>
      </c>
      <c r="G1167" s="2">
        <f ca="1">IFERROR(__xludf.DUMMYFUNCTION("""COMPUTED_VALUE"""),0.62398)</f>
        <v>0.62397999999999998</v>
      </c>
      <c r="H1167" s="2">
        <f ca="1">IFERROR(__xludf.DUMMYFUNCTION("""COMPUTED_VALUE"""),58.414)</f>
        <v>58.414000000000001</v>
      </c>
      <c r="I1167" s="2">
        <f ca="1">IFERROR(__xludf.DUMMYFUNCTION("""COMPUTED_VALUE"""),60.463)</f>
        <v>60.463000000000001</v>
      </c>
      <c r="J1167" s="2">
        <f ca="1">IFERROR(__xludf.DUMMYFUNCTION("""COMPUTED_VALUE"""),49.972)</f>
        <v>49.972000000000001</v>
      </c>
      <c r="K1167" s="2">
        <f ca="1">IFERROR(__xludf.DUMMYFUNCTION("""COMPUTED_VALUE"""),62.624)</f>
        <v>62.624000000000002</v>
      </c>
      <c r="L1167" s="2">
        <f ca="1">IFERROR(__xludf.DUMMYFUNCTION("""COMPUTED_VALUE"""),9.9953)</f>
        <v>9.9953000000000003</v>
      </c>
      <c r="M1167" s="2">
        <f ca="1">IFERROR(__xludf.DUMMYFUNCTION("""COMPUTED_VALUE"""),16.269)</f>
        <v>16.268999999999998</v>
      </c>
      <c r="U1167" s="3" t="e">
        <f ca="1"/>
        <v>#NAME?</v>
      </c>
    </row>
    <row r="1168" spans="3:21" ht="12.5" x14ac:dyDescent="0.25">
      <c r="C1168" s="4">
        <f ca="1">IFERROR(__xludf.DUMMYFUNCTION("""COMPUTED_VALUE"""),41510.9986111111)</f>
        <v>41510.998611111099</v>
      </c>
      <c r="D1168" s="2">
        <f ca="1">IFERROR(__xludf.DUMMYFUNCTION("""COMPUTED_VALUE"""),63.198)</f>
        <v>63.198</v>
      </c>
      <c r="E1168" s="2">
        <f ca="1">IFERROR(__xludf.DUMMYFUNCTION("""COMPUTED_VALUE"""),84.564)</f>
        <v>84.563999999999993</v>
      </c>
      <c r="F1168" s="2">
        <f ca="1">IFERROR(__xludf.DUMMYFUNCTION("""COMPUTED_VALUE"""),89.689)</f>
        <v>89.688999999999993</v>
      </c>
      <c r="G1168" s="2">
        <f ca="1">IFERROR(__xludf.DUMMYFUNCTION("""COMPUTED_VALUE"""),0.62093)</f>
        <v>0.62092999999999998</v>
      </c>
      <c r="H1168" s="2">
        <f ca="1">IFERROR(__xludf.DUMMYFUNCTION("""COMPUTED_VALUE"""),58.08)</f>
        <v>58.08</v>
      </c>
      <c r="I1168" s="2">
        <f ca="1">IFERROR(__xludf.DUMMYFUNCTION("""COMPUTED_VALUE"""),60.152)</f>
        <v>60.152000000000001</v>
      </c>
      <c r="J1168" s="2">
        <f ca="1">IFERROR(__xludf.DUMMYFUNCTION("""COMPUTED_VALUE"""),49.724)</f>
        <v>49.723999999999997</v>
      </c>
      <c r="K1168" s="2">
        <f ca="1">IFERROR(__xludf.DUMMYFUNCTION("""COMPUTED_VALUE"""),63.627)</f>
        <v>63.627000000000002</v>
      </c>
      <c r="L1168" s="2">
        <f ca="1">IFERROR(__xludf.DUMMYFUNCTION("""COMPUTED_VALUE"""),9.9936)</f>
        <v>9.9936000000000007</v>
      </c>
      <c r="M1168" s="2">
        <f ca="1">IFERROR(__xludf.DUMMYFUNCTION("""COMPUTED_VALUE"""),16.098)</f>
        <v>16.097999999999999</v>
      </c>
      <c r="U1168" s="3" t="e">
        <f ca="1"/>
        <v>#NAME?</v>
      </c>
    </row>
    <row r="1169" spans="3:21" ht="12.5" x14ac:dyDescent="0.25">
      <c r="C1169" s="4">
        <f ca="1">IFERROR(__xludf.DUMMYFUNCTION("""COMPUTED_VALUE"""),41511.9986111111)</f>
        <v>41511.998611111099</v>
      </c>
      <c r="D1169" s="2">
        <f ca="1">IFERROR(__xludf.DUMMYFUNCTION("""COMPUTED_VALUE"""),64.07)</f>
        <v>64.069999999999993</v>
      </c>
      <c r="E1169" s="2">
        <f ca="1">IFERROR(__xludf.DUMMYFUNCTION("""COMPUTED_VALUE"""),84.391)</f>
        <v>84.391000000000005</v>
      </c>
      <c r="F1169" s="2">
        <f ca="1">IFERROR(__xludf.DUMMYFUNCTION("""COMPUTED_VALUE"""),90.132)</f>
        <v>90.132000000000005</v>
      </c>
      <c r="G1169" s="2">
        <f ca="1">IFERROR(__xludf.DUMMYFUNCTION("""COMPUTED_VALUE"""),0.62485)</f>
        <v>0.62485000000000002</v>
      </c>
      <c r="H1169" s="2">
        <f ca="1">IFERROR(__xludf.DUMMYFUNCTION("""COMPUTED_VALUE"""),58.239)</f>
        <v>58.238999999999997</v>
      </c>
      <c r="I1169" s="2">
        <f ca="1">IFERROR(__xludf.DUMMYFUNCTION("""COMPUTED_VALUE"""),60.651)</f>
        <v>60.651000000000003</v>
      </c>
      <c r="J1169" s="2">
        <f ca="1">IFERROR(__xludf.DUMMYFUNCTION("""COMPUTED_VALUE"""),49.397)</f>
        <v>49.396999999999998</v>
      </c>
      <c r="K1169" s="2">
        <f ca="1">IFERROR(__xludf.DUMMYFUNCTION("""COMPUTED_VALUE"""),63.725)</f>
        <v>63.725000000000001</v>
      </c>
      <c r="L1169" s="2">
        <f ca="1">IFERROR(__xludf.DUMMYFUNCTION("""COMPUTED_VALUE"""),10.034)</f>
        <v>10.034000000000001</v>
      </c>
      <c r="M1169" s="2">
        <f ca="1">IFERROR(__xludf.DUMMYFUNCTION("""COMPUTED_VALUE"""),16.033)</f>
        <v>16.033000000000001</v>
      </c>
      <c r="U1169" s="3" t="e">
        <f ca="1"/>
        <v>#NAME?</v>
      </c>
    </row>
    <row r="1170" spans="3:21" ht="12.5" x14ac:dyDescent="0.25">
      <c r="C1170" s="4">
        <f ca="1">IFERROR(__xludf.DUMMYFUNCTION("""COMPUTED_VALUE"""),41512.9986111111)</f>
        <v>41512.998611111099</v>
      </c>
      <c r="D1170" s="2">
        <f ca="1">IFERROR(__xludf.DUMMYFUNCTION("""COMPUTED_VALUE"""),64.293)</f>
        <v>64.293000000000006</v>
      </c>
      <c r="E1170" s="2">
        <f ca="1">IFERROR(__xludf.DUMMYFUNCTION("""COMPUTED_VALUE"""),84.744)</f>
        <v>84.744</v>
      </c>
      <c r="F1170" s="2">
        <f ca="1">IFERROR(__xludf.DUMMYFUNCTION("""COMPUTED_VALUE"""),90.851)</f>
        <v>90.850999999999999</v>
      </c>
      <c r="G1170" s="2">
        <f ca="1">IFERROR(__xludf.DUMMYFUNCTION("""COMPUTED_VALUE"""),0.62573)</f>
        <v>0.62573000000000001</v>
      </c>
      <c r="H1170" s="2">
        <f ca="1">IFERROR(__xludf.DUMMYFUNCTION("""COMPUTED_VALUE"""),58.48)</f>
        <v>58.48</v>
      </c>
      <c r="I1170" s="2">
        <f ca="1">IFERROR(__xludf.DUMMYFUNCTION("""COMPUTED_VALUE"""),60.991)</f>
        <v>60.991</v>
      </c>
      <c r="J1170" s="2">
        <f ca="1">IFERROR(__xludf.DUMMYFUNCTION("""COMPUTED_VALUE"""),49.743)</f>
        <v>49.743000000000002</v>
      </c>
      <c r="K1170" s="2">
        <f ca="1">IFERROR(__xludf.DUMMYFUNCTION("""COMPUTED_VALUE"""),65.333)</f>
        <v>65.332999999999998</v>
      </c>
      <c r="L1170" s="2">
        <f ca="1">IFERROR(__xludf.DUMMYFUNCTION("""COMPUTED_VALUE"""),10.037)</f>
        <v>10.037000000000001</v>
      </c>
      <c r="M1170" s="2">
        <f ca="1">IFERROR(__xludf.DUMMYFUNCTION("""COMPUTED_VALUE"""),16.074)</f>
        <v>16.074000000000002</v>
      </c>
      <c r="U1170" s="3" t="e">
        <f ca="1"/>
        <v>#NAME?</v>
      </c>
    </row>
    <row r="1171" spans="3:21" ht="12.5" x14ac:dyDescent="0.25">
      <c r="C1171" s="4">
        <f ca="1">IFERROR(__xludf.DUMMYFUNCTION("""COMPUTED_VALUE"""),41513.9986111111)</f>
        <v>41513.998611111099</v>
      </c>
      <c r="D1171" s="2">
        <f ca="1">IFERROR(__xludf.DUMMYFUNCTION("""COMPUTED_VALUE"""),66.303)</f>
        <v>66.302999999999997</v>
      </c>
      <c r="E1171" s="2">
        <f ca="1">IFERROR(__xludf.DUMMYFUNCTION("""COMPUTED_VALUE"""),84.046)</f>
        <v>84.046000000000006</v>
      </c>
      <c r="F1171" s="2">
        <f ca="1">IFERROR(__xludf.DUMMYFUNCTION("""COMPUTED_VALUE"""),90.501)</f>
        <v>90.501000000000005</v>
      </c>
      <c r="G1171" s="2">
        <f ca="1">IFERROR(__xludf.DUMMYFUNCTION("""COMPUTED_VALUE"""),0.62559)</f>
        <v>0.62558999999999998</v>
      </c>
      <c r="H1171" s="2">
        <f ca="1">IFERROR(__xludf.DUMMYFUNCTION("""COMPUTED_VALUE"""),58.246)</f>
        <v>58.246000000000002</v>
      </c>
      <c r="I1171" s="2">
        <f ca="1">IFERROR(__xludf.DUMMYFUNCTION("""COMPUTED_VALUE"""),60.571)</f>
        <v>60.570999999999998</v>
      </c>
      <c r="J1171" s="2">
        <f ca="1">IFERROR(__xludf.DUMMYFUNCTION("""COMPUTED_VALUE"""),50.025)</f>
        <v>50.024999999999999</v>
      </c>
      <c r="K1171" s="2">
        <f ca="1">IFERROR(__xludf.DUMMYFUNCTION("""COMPUTED_VALUE"""),65.605)</f>
        <v>65.605000000000004</v>
      </c>
      <c r="L1171" s="2">
        <f ca="1">IFERROR(__xludf.DUMMYFUNCTION("""COMPUTED_VALUE"""),10.1)</f>
        <v>10.1</v>
      </c>
      <c r="M1171" s="2">
        <f ca="1">IFERROR(__xludf.DUMMYFUNCTION("""COMPUTED_VALUE"""),16.074)</f>
        <v>16.074000000000002</v>
      </c>
      <c r="U1171" s="3" t="e">
        <f ca="1"/>
        <v>#NAME?</v>
      </c>
    </row>
    <row r="1172" spans="3:21" ht="12.5" x14ac:dyDescent="0.25">
      <c r="C1172" s="4">
        <f ca="1">IFERROR(__xludf.DUMMYFUNCTION("""COMPUTED_VALUE"""),41514.9986111111)</f>
        <v>41514.998611111099</v>
      </c>
      <c r="D1172" s="2">
        <f ca="1">IFERROR(__xludf.DUMMYFUNCTION("""COMPUTED_VALUE"""),67.35)</f>
        <v>67.349999999999994</v>
      </c>
      <c r="E1172" s="2">
        <f ca="1">IFERROR(__xludf.DUMMYFUNCTION("""COMPUTED_VALUE"""),82.8706)</f>
        <v>82.870599999999996</v>
      </c>
      <c r="F1172" s="2">
        <f ca="1">IFERROR(__xludf.DUMMYFUNCTION("""COMPUTED_VALUE"""),90.506)</f>
        <v>90.506</v>
      </c>
      <c r="G1172" s="2">
        <f ca="1">IFERROR(__xludf.DUMMYFUNCTION("""COMPUTED_VALUE"""),0.63007)</f>
        <v>0.63007000000000002</v>
      </c>
      <c r="H1172" s="2">
        <f ca="1">IFERROR(__xludf.DUMMYFUNCTION("""COMPUTED_VALUE"""),58.616)</f>
        <v>58.616</v>
      </c>
      <c r="I1172" s="2">
        <f ca="1">IFERROR(__xludf.DUMMYFUNCTION("""COMPUTED_VALUE"""),60.401)</f>
        <v>60.401000000000003</v>
      </c>
      <c r="J1172" s="2">
        <f ca="1">IFERROR(__xludf.DUMMYFUNCTION("""COMPUTED_VALUE"""),49.779)</f>
        <v>49.779000000000003</v>
      </c>
      <c r="K1172" s="2">
        <f ca="1">IFERROR(__xludf.DUMMYFUNCTION("""COMPUTED_VALUE"""),64.469)</f>
        <v>64.468999999999994</v>
      </c>
      <c r="L1172" s="2">
        <f ca="1">IFERROR(__xludf.DUMMYFUNCTION("""COMPUTED_VALUE"""),10.071)</f>
        <v>10.071</v>
      </c>
      <c r="M1172" s="2">
        <f ca="1">IFERROR(__xludf.DUMMYFUNCTION("""COMPUTED_VALUE"""),16.08)</f>
        <v>16.079999999999998</v>
      </c>
      <c r="U1172" s="3" t="e">
        <f ca="1"/>
        <v>#NAME?</v>
      </c>
    </row>
    <row r="1173" spans="3:21" ht="12.5" x14ac:dyDescent="0.25">
      <c r="C1173" s="4">
        <f ca="1">IFERROR(__xludf.DUMMYFUNCTION("""COMPUTED_VALUE"""),41515.9986111111)</f>
        <v>41515.998611111099</v>
      </c>
      <c r="D1173" s="2">
        <f ca="1">IFERROR(__xludf.DUMMYFUNCTION("""COMPUTED_VALUE"""),67.39)</f>
        <v>67.39</v>
      </c>
      <c r="E1173" s="2">
        <f ca="1">IFERROR(__xludf.DUMMYFUNCTION("""COMPUTED_VALUE"""),82.8706)</f>
        <v>82.870599999999996</v>
      </c>
      <c r="F1173" s="2">
        <f ca="1">IFERROR(__xludf.DUMMYFUNCTION("""COMPUTED_VALUE"""),90.599)</f>
        <v>90.599000000000004</v>
      </c>
      <c r="G1173" s="2">
        <f ca="1">IFERROR(__xludf.DUMMYFUNCTION("""COMPUTED_VALUE"""),0.62543)</f>
        <v>0.62543000000000004</v>
      </c>
      <c r="H1173" s="2">
        <f ca="1">IFERROR(__xludf.DUMMYFUNCTION("""COMPUTED_VALUE"""),58.565)</f>
        <v>58.564999999999998</v>
      </c>
      <c r="I1173" s="2">
        <f ca="1">IFERROR(__xludf.DUMMYFUNCTION("""COMPUTED_VALUE"""),60.394)</f>
        <v>60.393999999999998</v>
      </c>
      <c r="J1173" s="2">
        <f ca="1">IFERROR(__xludf.DUMMYFUNCTION("""COMPUTED_VALUE"""),49.872)</f>
        <v>49.872</v>
      </c>
      <c r="K1173" s="2">
        <f ca="1">IFERROR(__xludf.DUMMYFUNCTION("""COMPUTED_VALUE"""),65.641)</f>
        <v>65.641000000000005</v>
      </c>
      <c r="L1173" s="2">
        <f ca="1">IFERROR(__xludf.DUMMYFUNCTION("""COMPUTED_VALUE"""),9.9945)</f>
        <v>9.9945000000000004</v>
      </c>
      <c r="M1173" s="2">
        <f ca="1">IFERROR(__xludf.DUMMYFUNCTION("""COMPUTED_VALUE"""),16.175)</f>
        <v>16.175000000000001</v>
      </c>
      <c r="U1173" s="3" t="e">
        <f ca="1"/>
        <v>#NAME?</v>
      </c>
    </row>
    <row r="1174" spans="3:21" ht="12.5" x14ac:dyDescent="0.25">
      <c r="C1174" s="4">
        <f ca="1">IFERROR(__xludf.DUMMYFUNCTION("""COMPUTED_VALUE"""),41516.9986111111)</f>
        <v>41516.998611111099</v>
      </c>
      <c r="D1174" s="2">
        <f ca="1">IFERROR(__xludf.DUMMYFUNCTION("""COMPUTED_VALUE"""),65.698)</f>
        <v>65.697999999999993</v>
      </c>
      <c r="E1174" s="2">
        <f ca="1">IFERROR(__xludf.DUMMYFUNCTION("""COMPUTED_VALUE"""),83.299)</f>
        <v>83.299000000000007</v>
      </c>
      <c r="F1174" s="2">
        <f ca="1">IFERROR(__xludf.DUMMYFUNCTION("""COMPUTED_VALUE"""),91.651)</f>
        <v>91.650999999999996</v>
      </c>
      <c r="G1174" s="2">
        <f ca="1">IFERROR(__xludf.DUMMYFUNCTION("""COMPUTED_VALUE"""),0.6252)</f>
        <v>0.62519999999999998</v>
      </c>
      <c r="H1174" s="2">
        <f ca="1">IFERROR(__xludf.DUMMYFUNCTION("""COMPUTED_VALUE"""),57.97)</f>
        <v>57.97</v>
      </c>
      <c r="I1174" s="2">
        <f ca="1">IFERROR(__xludf.DUMMYFUNCTION("""COMPUTED_VALUE"""),59.711)</f>
        <v>59.710999999999999</v>
      </c>
      <c r="J1174" s="2">
        <f ca="1">IFERROR(__xludf.DUMMYFUNCTION("""COMPUTED_VALUE"""),49.977)</f>
        <v>49.976999999999997</v>
      </c>
      <c r="K1174" s="2">
        <f ca="1">IFERROR(__xludf.DUMMYFUNCTION("""COMPUTED_VALUE"""),65.686)</f>
        <v>65.686000000000007</v>
      </c>
      <c r="L1174" s="2">
        <f ca="1">IFERROR(__xludf.DUMMYFUNCTION("""COMPUTED_VALUE"""),10.031)</f>
        <v>10.031000000000001</v>
      </c>
      <c r="M1174" s="2">
        <f ca="1">IFERROR(__xludf.DUMMYFUNCTION("""COMPUTED_VALUE"""),16.555)</f>
        <v>16.555</v>
      </c>
      <c r="U1174" s="3" t="e">
        <f ca="1"/>
        <v>#NAME?</v>
      </c>
    </row>
    <row r="1175" spans="3:21" ht="12.5" x14ac:dyDescent="0.25">
      <c r="C1175" s="4">
        <f ca="1">IFERROR(__xludf.DUMMYFUNCTION("""COMPUTED_VALUE"""),41517.9986111111)</f>
        <v>41517.998611111099</v>
      </c>
      <c r="D1175" s="2">
        <f ca="1">IFERROR(__xludf.DUMMYFUNCTION("""COMPUTED_VALUE"""),65.698)</f>
        <v>65.697999999999993</v>
      </c>
      <c r="E1175" s="2">
        <f ca="1">IFERROR(__xludf.DUMMYFUNCTION("""COMPUTED_VALUE"""),83.647)</f>
        <v>83.647000000000006</v>
      </c>
      <c r="F1175" s="2">
        <f ca="1">IFERROR(__xludf.DUMMYFUNCTION("""COMPUTED_VALUE"""),91.79)</f>
        <v>91.79</v>
      </c>
      <c r="G1175" s="2">
        <f ca="1">IFERROR(__xludf.DUMMYFUNCTION("""COMPUTED_VALUE"""),0.63189)</f>
        <v>0.63188999999999995</v>
      </c>
      <c r="H1175" s="2">
        <f ca="1">IFERROR(__xludf.DUMMYFUNCTION("""COMPUTED_VALUE"""),57.956)</f>
        <v>57.956000000000003</v>
      </c>
      <c r="I1175" s="2">
        <f ca="1">IFERROR(__xludf.DUMMYFUNCTION("""COMPUTED_VALUE"""),59.665)</f>
        <v>59.664999999999999</v>
      </c>
      <c r="J1175" s="2">
        <f ca="1">IFERROR(__xludf.DUMMYFUNCTION("""COMPUTED_VALUE"""),49.413)</f>
        <v>49.412999999999997</v>
      </c>
      <c r="K1175" s="2">
        <f ca="1">IFERROR(__xludf.DUMMYFUNCTION("""COMPUTED_VALUE"""),65.754)</f>
        <v>65.754000000000005</v>
      </c>
      <c r="L1175" s="2">
        <f ca="1">IFERROR(__xludf.DUMMYFUNCTION("""COMPUTED_VALUE"""),10.091)</f>
        <v>10.090999999999999</v>
      </c>
      <c r="M1175" s="2">
        <f ca="1">IFERROR(__xludf.DUMMYFUNCTION("""COMPUTED_VALUE"""),16.507)</f>
        <v>16.507000000000001</v>
      </c>
      <c r="U1175" s="3" t="e">
        <f ca="1"/>
        <v>#NAME?</v>
      </c>
    </row>
    <row r="1176" spans="3:21" ht="12.5" x14ac:dyDescent="0.25">
      <c r="C1176" s="4">
        <f ca="1">IFERROR(__xludf.DUMMYFUNCTION("""COMPUTED_VALUE"""),41518.9986111111)</f>
        <v>41518.998611111099</v>
      </c>
      <c r="D1176" s="2">
        <f ca="1">IFERROR(__xludf.DUMMYFUNCTION("""COMPUTED_VALUE"""),66.59)</f>
        <v>66.59</v>
      </c>
      <c r="E1176" s="2">
        <f ca="1">IFERROR(__xludf.DUMMYFUNCTION("""COMPUTED_VALUE"""),84.064)</f>
        <v>84.063999999999993</v>
      </c>
      <c r="F1176" s="2">
        <f ca="1">IFERROR(__xludf.DUMMYFUNCTION("""COMPUTED_VALUE"""),90.481)</f>
        <v>90.480999999999995</v>
      </c>
      <c r="G1176" s="2">
        <f ca="1">IFERROR(__xludf.DUMMYFUNCTION("""COMPUTED_VALUE"""),0.63508)</f>
        <v>0.63507999999999998</v>
      </c>
      <c r="H1176" s="2">
        <f ca="1">IFERROR(__xludf.DUMMYFUNCTION("""COMPUTED_VALUE"""),57.481)</f>
        <v>57.481000000000002</v>
      </c>
      <c r="I1176" s="2">
        <f ca="1">IFERROR(__xludf.DUMMYFUNCTION("""COMPUTED_VALUE"""),59.376)</f>
        <v>59.375999999999998</v>
      </c>
      <c r="J1176" s="2">
        <f ca="1">IFERROR(__xludf.DUMMYFUNCTION("""COMPUTED_VALUE"""),49.275)</f>
        <v>49.274999999999999</v>
      </c>
      <c r="K1176" s="2">
        <f ca="1">IFERROR(__xludf.DUMMYFUNCTION("""COMPUTED_VALUE"""),65.565)</f>
        <v>65.564999999999998</v>
      </c>
      <c r="L1176" s="2">
        <f ca="1">IFERROR(__xludf.DUMMYFUNCTION("""COMPUTED_VALUE"""),10.131)</f>
        <v>10.131</v>
      </c>
      <c r="M1176" s="2">
        <f ca="1">IFERROR(__xludf.DUMMYFUNCTION("""COMPUTED_VALUE"""),16.453)</f>
        <v>16.452999999999999</v>
      </c>
      <c r="U1176" s="3" t="e">
        <f ca="1"/>
        <v>#NAME?</v>
      </c>
    </row>
    <row r="1177" spans="3:21" ht="12.5" x14ac:dyDescent="0.25">
      <c r="C1177" s="4">
        <f ca="1">IFERROR(__xludf.DUMMYFUNCTION("""COMPUTED_VALUE"""),41519.9986111111)</f>
        <v>41519.998611111099</v>
      </c>
      <c r="D1177" s="2">
        <f ca="1">IFERROR(__xludf.DUMMYFUNCTION("""COMPUTED_VALUE"""),66.51)</f>
        <v>66.510000000000005</v>
      </c>
      <c r="E1177" s="2">
        <f ca="1">IFERROR(__xludf.DUMMYFUNCTION("""COMPUTED_VALUE"""),83.517)</f>
        <v>83.516999999999996</v>
      </c>
      <c r="F1177" s="2">
        <f ca="1">IFERROR(__xludf.DUMMYFUNCTION("""COMPUTED_VALUE"""),90.664)</f>
        <v>90.664000000000001</v>
      </c>
      <c r="G1177" s="2">
        <f ca="1">IFERROR(__xludf.DUMMYFUNCTION("""COMPUTED_VALUE"""),0.62565)</f>
        <v>0.62565000000000004</v>
      </c>
      <c r="H1177" s="2">
        <f ca="1">IFERROR(__xludf.DUMMYFUNCTION("""COMPUTED_VALUE"""),57.93)</f>
        <v>57.93</v>
      </c>
      <c r="I1177" s="2">
        <f ca="1">IFERROR(__xludf.DUMMYFUNCTION("""COMPUTED_VALUE"""),59.592)</f>
        <v>59.591999999999999</v>
      </c>
      <c r="J1177" s="2">
        <f ca="1">IFERROR(__xludf.DUMMYFUNCTION("""COMPUTED_VALUE"""),49.049)</f>
        <v>49.048999999999999</v>
      </c>
      <c r="K1177" s="2">
        <f ca="1">IFERROR(__xludf.DUMMYFUNCTION("""COMPUTED_VALUE"""),65.598)</f>
        <v>65.597999999999999</v>
      </c>
      <c r="L1177" s="2">
        <f ca="1">IFERROR(__xludf.DUMMYFUNCTION("""COMPUTED_VALUE"""),10.135)</f>
        <v>10.135</v>
      </c>
      <c r="M1177" s="2">
        <f ca="1">IFERROR(__xludf.DUMMYFUNCTION("""COMPUTED_VALUE"""),16.608)</f>
        <v>16.608000000000001</v>
      </c>
      <c r="U1177" s="3" t="e">
        <f ca="1"/>
        <v>#NAME?</v>
      </c>
    </row>
    <row r="1178" spans="3:21" ht="12.5" x14ac:dyDescent="0.25">
      <c r="C1178" s="4">
        <f ca="1">IFERROR(__xludf.DUMMYFUNCTION("""COMPUTED_VALUE"""),41520.9986111111)</f>
        <v>41520.998611111099</v>
      </c>
      <c r="D1178" s="2">
        <f ca="1">IFERROR(__xludf.DUMMYFUNCTION("""COMPUTED_VALUE"""),68.61)</f>
        <v>68.61</v>
      </c>
      <c r="E1178" s="2">
        <f ca="1">IFERROR(__xludf.DUMMYFUNCTION("""COMPUTED_VALUE"""),82.94)</f>
        <v>82.94</v>
      </c>
      <c r="F1178" s="2">
        <f ca="1">IFERROR(__xludf.DUMMYFUNCTION("""COMPUTED_VALUE"""),90.735)</f>
        <v>90.734999999999999</v>
      </c>
      <c r="G1178" s="2">
        <f ca="1">IFERROR(__xludf.DUMMYFUNCTION("""COMPUTED_VALUE"""),0.6386)</f>
        <v>0.63859999999999995</v>
      </c>
      <c r="H1178" s="2">
        <f ca="1">IFERROR(__xludf.DUMMYFUNCTION("""COMPUTED_VALUE"""),58.069)</f>
        <v>58.069000000000003</v>
      </c>
      <c r="I1178" s="2">
        <f ca="1">IFERROR(__xludf.DUMMYFUNCTION("""COMPUTED_VALUE"""),59.721)</f>
        <v>59.720999999999997</v>
      </c>
      <c r="J1178" s="2">
        <f ca="1">IFERROR(__xludf.DUMMYFUNCTION("""COMPUTED_VALUE"""),49.202)</f>
        <v>49.201999999999998</v>
      </c>
      <c r="K1178" s="2">
        <f ca="1">IFERROR(__xludf.DUMMYFUNCTION("""COMPUTED_VALUE"""),66.38)</f>
        <v>66.38</v>
      </c>
      <c r="L1178" s="2">
        <f ca="1">IFERROR(__xludf.DUMMYFUNCTION("""COMPUTED_VALUE"""),10.198)</f>
        <v>10.198</v>
      </c>
      <c r="M1178" s="2">
        <f ca="1">IFERROR(__xludf.DUMMYFUNCTION("""COMPUTED_VALUE"""),16.634)</f>
        <v>16.634</v>
      </c>
      <c r="U1178" s="3" t="e">
        <f ca="1"/>
        <v>#NAME?</v>
      </c>
    </row>
    <row r="1179" spans="3:21" ht="12.5" x14ac:dyDescent="0.25">
      <c r="C1179" s="4">
        <f ca="1">IFERROR(__xludf.DUMMYFUNCTION("""COMPUTED_VALUE"""),41521.9986111111)</f>
        <v>41521.998611111099</v>
      </c>
      <c r="D1179" s="2">
        <f ca="1">IFERROR(__xludf.DUMMYFUNCTION("""COMPUTED_VALUE"""),66.27)</f>
        <v>66.27</v>
      </c>
      <c r="E1179" s="2">
        <f ca="1">IFERROR(__xludf.DUMMYFUNCTION("""COMPUTED_VALUE"""),82.546)</f>
        <v>82.546000000000006</v>
      </c>
      <c r="F1179" s="2">
        <f ca="1">IFERROR(__xludf.DUMMYFUNCTION("""COMPUTED_VALUE"""),89.642)</f>
        <v>89.641999999999996</v>
      </c>
      <c r="G1179" s="2">
        <f ca="1">IFERROR(__xludf.DUMMYFUNCTION("""COMPUTED_VALUE"""),0.63749)</f>
        <v>0.63749</v>
      </c>
      <c r="H1179" s="2">
        <f ca="1">IFERROR(__xludf.DUMMYFUNCTION("""COMPUTED_VALUE"""),58.424)</f>
        <v>58.423999999999999</v>
      </c>
      <c r="I1179" s="2">
        <f ca="1">IFERROR(__xludf.DUMMYFUNCTION("""COMPUTED_VALUE"""),59.723)</f>
        <v>59.722999999999999</v>
      </c>
      <c r="J1179" s="2">
        <f ca="1">IFERROR(__xludf.DUMMYFUNCTION("""COMPUTED_VALUE"""),49.357)</f>
        <v>49.356999999999999</v>
      </c>
      <c r="K1179" s="2">
        <f ca="1">IFERROR(__xludf.DUMMYFUNCTION("""COMPUTED_VALUE"""),65.936)</f>
        <v>65.936000000000007</v>
      </c>
      <c r="L1179" s="2">
        <f ca="1">IFERROR(__xludf.DUMMYFUNCTION("""COMPUTED_VALUE"""),10.093)</f>
        <v>10.093</v>
      </c>
      <c r="M1179" s="2">
        <f ca="1">IFERROR(__xludf.DUMMYFUNCTION("""COMPUTED_VALUE"""),16.634)</f>
        <v>16.634</v>
      </c>
      <c r="U1179" s="3" t="e">
        <f ca="1"/>
        <v>#NAME?</v>
      </c>
    </row>
    <row r="1180" spans="3:21" ht="12.5" x14ac:dyDescent="0.25">
      <c r="C1180" s="4">
        <f ca="1">IFERROR(__xludf.DUMMYFUNCTION("""COMPUTED_VALUE"""),41522.9986111111)</f>
        <v>41522.998611111099</v>
      </c>
      <c r="D1180" s="2">
        <f ca="1">IFERROR(__xludf.DUMMYFUNCTION("""COMPUTED_VALUE"""),65.66)</f>
        <v>65.66</v>
      </c>
      <c r="E1180" s="2">
        <f ca="1">IFERROR(__xludf.DUMMYFUNCTION("""COMPUTED_VALUE"""),81.94)</f>
        <v>81.94</v>
      </c>
      <c r="F1180" s="2">
        <f ca="1">IFERROR(__xludf.DUMMYFUNCTION("""COMPUTED_VALUE"""),90.898)</f>
        <v>90.897999999999996</v>
      </c>
      <c r="G1180" s="2">
        <f ca="1">IFERROR(__xludf.DUMMYFUNCTION("""COMPUTED_VALUE"""),0.63911)</f>
        <v>0.63910999999999996</v>
      </c>
      <c r="H1180" s="2">
        <f ca="1">IFERROR(__xludf.DUMMYFUNCTION("""COMPUTED_VALUE"""),58.414)</f>
        <v>58.414000000000001</v>
      </c>
      <c r="I1180" s="2">
        <f ca="1">IFERROR(__xludf.DUMMYFUNCTION("""COMPUTED_VALUE"""),59.432)</f>
        <v>59.432000000000002</v>
      </c>
      <c r="J1180" s="2">
        <f ca="1">IFERROR(__xludf.DUMMYFUNCTION("""COMPUTED_VALUE"""),49.524)</f>
        <v>49.524000000000001</v>
      </c>
      <c r="K1180" s="2">
        <f ca="1">IFERROR(__xludf.DUMMYFUNCTION("""COMPUTED_VALUE"""),65.785)</f>
        <v>65.784999999999997</v>
      </c>
      <c r="L1180" s="2">
        <f ca="1">IFERROR(__xludf.DUMMYFUNCTION("""COMPUTED_VALUE"""),10.126)</f>
        <v>10.125999999999999</v>
      </c>
      <c r="M1180" s="2">
        <f ca="1">IFERROR(__xludf.DUMMYFUNCTION("""COMPUTED_VALUE"""),16.574)</f>
        <v>16.574000000000002</v>
      </c>
      <c r="U1180" s="3" t="e">
        <f ca="1"/>
        <v>#NAME?</v>
      </c>
    </row>
    <row r="1181" spans="3:21" ht="12.5" x14ac:dyDescent="0.25">
      <c r="C1181" s="4">
        <f ca="1">IFERROR(__xludf.DUMMYFUNCTION("""COMPUTED_VALUE"""),41523.9986111111)</f>
        <v>41523.998611111099</v>
      </c>
      <c r="D1181" s="2">
        <f ca="1">IFERROR(__xludf.DUMMYFUNCTION("""COMPUTED_VALUE"""),65.238)</f>
        <v>65.238</v>
      </c>
      <c r="E1181" s="2">
        <f ca="1">IFERROR(__xludf.DUMMYFUNCTION("""COMPUTED_VALUE"""),82.669)</f>
        <v>82.668999999999997</v>
      </c>
      <c r="F1181" s="2">
        <f ca="1">IFERROR(__xludf.DUMMYFUNCTION("""COMPUTED_VALUE"""),91.05)</f>
        <v>91.05</v>
      </c>
      <c r="G1181" s="2">
        <f ca="1">IFERROR(__xludf.DUMMYFUNCTION("""COMPUTED_VALUE"""),0.63715)</f>
        <v>0.63714999999999999</v>
      </c>
      <c r="H1181" s="2">
        <f ca="1">IFERROR(__xludf.DUMMYFUNCTION("""COMPUTED_VALUE"""),57.933)</f>
        <v>57.933</v>
      </c>
      <c r="I1181" s="2">
        <f ca="1">IFERROR(__xludf.DUMMYFUNCTION("""COMPUTED_VALUE"""),58.92)</f>
        <v>58.92</v>
      </c>
      <c r="J1181" s="2">
        <f ca="1">IFERROR(__xludf.DUMMYFUNCTION("""COMPUTED_VALUE"""),49.418)</f>
        <v>49.417999999999999</v>
      </c>
      <c r="K1181" s="2">
        <f ca="1">IFERROR(__xludf.DUMMYFUNCTION("""COMPUTED_VALUE"""),65.921)</f>
        <v>65.921000000000006</v>
      </c>
      <c r="L1181" s="2">
        <f ca="1">IFERROR(__xludf.DUMMYFUNCTION("""COMPUTED_VALUE"""),10.123)</f>
        <v>10.122999999999999</v>
      </c>
      <c r="M1181" s="2">
        <f ca="1">IFERROR(__xludf.DUMMYFUNCTION("""COMPUTED_VALUE"""),16.548)</f>
        <v>16.547999999999998</v>
      </c>
      <c r="U1181" s="3" t="e">
        <f ca="1"/>
        <v>#NAME?</v>
      </c>
    </row>
    <row r="1182" spans="3:21" ht="12.5" x14ac:dyDescent="0.25">
      <c r="C1182" s="4">
        <f ca="1">IFERROR(__xludf.DUMMYFUNCTION("""COMPUTED_VALUE"""),41524.9986111111)</f>
        <v>41524.998611111099</v>
      </c>
      <c r="D1182" s="2">
        <f ca="1">IFERROR(__xludf.DUMMYFUNCTION("""COMPUTED_VALUE"""),65.238)</f>
        <v>65.238</v>
      </c>
      <c r="E1182" s="2">
        <f ca="1">IFERROR(__xludf.DUMMYFUNCTION("""COMPUTED_VALUE"""),83.361)</f>
        <v>83.361000000000004</v>
      </c>
      <c r="F1182" s="2">
        <f ca="1">IFERROR(__xludf.DUMMYFUNCTION("""COMPUTED_VALUE"""),92.57)</f>
        <v>92.57</v>
      </c>
      <c r="G1182" s="2">
        <f ca="1">IFERROR(__xludf.DUMMYFUNCTION("""COMPUTED_VALUE"""),0.62923)</f>
        <v>0.62922999999999996</v>
      </c>
      <c r="H1182" s="2">
        <f ca="1">IFERROR(__xludf.DUMMYFUNCTION("""COMPUTED_VALUE"""),57.716)</f>
        <v>57.716000000000001</v>
      </c>
      <c r="I1182" s="2">
        <f ca="1">IFERROR(__xludf.DUMMYFUNCTION("""COMPUTED_VALUE"""),58.886)</f>
        <v>58.886000000000003</v>
      </c>
      <c r="J1182" s="2">
        <f ca="1">IFERROR(__xludf.DUMMYFUNCTION("""COMPUTED_VALUE"""),49.089)</f>
        <v>49.088999999999999</v>
      </c>
      <c r="K1182" s="2">
        <f ca="1">IFERROR(__xludf.DUMMYFUNCTION("""COMPUTED_VALUE"""),65.54)</f>
        <v>65.540000000000006</v>
      </c>
      <c r="L1182" s="2">
        <f ca="1">IFERROR(__xludf.DUMMYFUNCTION("""COMPUTED_VALUE"""),10.103)</f>
        <v>10.103</v>
      </c>
      <c r="M1182" s="2">
        <f ca="1">IFERROR(__xludf.DUMMYFUNCTION("""COMPUTED_VALUE"""),16.663)</f>
        <v>16.663</v>
      </c>
      <c r="U1182" s="3" t="e">
        <f ca="1"/>
        <v>#NAME?</v>
      </c>
    </row>
    <row r="1183" spans="3:21" ht="12.5" x14ac:dyDescent="0.25">
      <c r="C1183" s="4">
        <f ca="1">IFERROR(__xludf.DUMMYFUNCTION("""COMPUTED_VALUE"""),41525.9986111111)</f>
        <v>41525.998611111099</v>
      </c>
      <c r="D1183" s="2">
        <f ca="1">IFERROR(__xludf.DUMMYFUNCTION("""COMPUTED_VALUE"""),65.238)</f>
        <v>65.238</v>
      </c>
      <c r="E1183" s="2">
        <f ca="1">IFERROR(__xludf.DUMMYFUNCTION("""COMPUTED_VALUE"""),83.565)</f>
        <v>83.564999999999998</v>
      </c>
      <c r="F1183" s="2">
        <f ca="1">IFERROR(__xludf.DUMMYFUNCTION("""COMPUTED_VALUE"""),92.281)</f>
        <v>92.281000000000006</v>
      </c>
      <c r="G1183" s="2">
        <f ca="1">IFERROR(__xludf.DUMMYFUNCTION("""COMPUTED_VALUE"""),0.62871)</f>
        <v>0.62870999999999999</v>
      </c>
      <c r="H1183" s="2">
        <f ca="1">IFERROR(__xludf.DUMMYFUNCTION("""COMPUTED_VALUE"""),57.761)</f>
        <v>57.761000000000003</v>
      </c>
      <c r="I1183" s="2">
        <f ca="1">IFERROR(__xludf.DUMMYFUNCTION("""COMPUTED_VALUE"""),58.449)</f>
        <v>58.448999999999998</v>
      </c>
      <c r="J1183" s="2">
        <f ca="1">IFERROR(__xludf.DUMMYFUNCTION("""COMPUTED_VALUE"""),48.942)</f>
        <v>48.942</v>
      </c>
      <c r="K1183" s="2">
        <f ca="1">IFERROR(__xludf.DUMMYFUNCTION("""COMPUTED_VALUE"""),65.672)</f>
        <v>65.671999999999997</v>
      </c>
      <c r="L1183" s="2">
        <f ca="1">IFERROR(__xludf.DUMMYFUNCTION("""COMPUTED_VALUE"""),10.144)</f>
        <v>10.144</v>
      </c>
      <c r="M1183" s="2">
        <f ca="1">IFERROR(__xludf.DUMMYFUNCTION("""COMPUTED_VALUE"""),16.533)</f>
        <v>16.533000000000001</v>
      </c>
      <c r="U1183" s="3" t="e">
        <f ca="1"/>
        <v>#NAME?</v>
      </c>
    </row>
    <row r="1184" spans="3:21" ht="12.5" x14ac:dyDescent="0.25">
      <c r="C1184" s="4">
        <f ca="1">IFERROR(__xludf.DUMMYFUNCTION("""COMPUTED_VALUE"""),41526.9986111111)</f>
        <v>41526.998611111099</v>
      </c>
      <c r="D1184" s="2">
        <f ca="1">IFERROR(__xludf.DUMMYFUNCTION("""COMPUTED_VALUE"""),64.06)</f>
        <v>64.06</v>
      </c>
      <c r="E1184" s="2">
        <f ca="1">IFERROR(__xludf.DUMMYFUNCTION("""COMPUTED_VALUE"""),83.41)</f>
        <v>83.41</v>
      </c>
      <c r="F1184" s="2">
        <f ca="1">IFERROR(__xludf.DUMMYFUNCTION("""COMPUTED_VALUE"""),91.277)</f>
        <v>91.277000000000001</v>
      </c>
      <c r="G1184" s="2">
        <f ca="1">IFERROR(__xludf.DUMMYFUNCTION("""COMPUTED_VALUE"""),0.62486)</f>
        <v>0.62485999999999997</v>
      </c>
      <c r="H1184" s="2">
        <f ca="1">IFERROR(__xludf.DUMMYFUNCTION("""COMPUTED_VALUE"""),57.551)</f>
        <v>57.551000000000002</v>
      </c>
      <c r="I1184" s="2">
        <f ca="1">IFERROR(__xludf.DUMMYFUNCTION("""COMPUTED_VALUE"""),58.825)</f>
        <v>58.825000000000003</v>
      </c>
      <c r="J1184" s="2">
        <f ca="1">IFERROR(__xludf.DUMMYFUNCTION("""COMPUTED_VALUE"""),48.57)</f>
        <v>48.57</v>
      </c>
      <c r="K1184" s="2">
        <f ca="1">IFERROR(__xludf.DUMMYFUNCTION("""COMPUTED_VALUE"""),66.238)</f>
        <v>66.238</v>
      </c>
      <c r="L1184" s="2">
        <f ca="1">IFERROR(__xludf.DUMMYFUNCTION("""COMPUTED_VALUE"""),10.064)</f>
        <v>10.064</v>
      </c>
      <c r="M1184" s="2">
        <f ca="1">IFERROR(__xludf.DUMMYFUNCTION("""COMPUTED_VALUE"""),16.518)</f>
        <v>16.518000000000001</v>
      </c>
      <c r="U1184" s="3" t="e">
        <f ca="1"/>
        <v>#NAME?</v>
      </c>
    </row>
    <row r="1185" spans="3:21" ht="12.5" x14ac:dyDescent="0.25">
      <c r="C1185" s="4">
        <f ca="1">IFERROR(__xludf.DUMMYFUNCTION("""COMPUTED_VALUE"""),41527.9986111111)</f>
        <v>41527.998611111099</v>
      </c>
      <c r="D1185" s="2">
        <f ca="1">IFERROR(__xludf.DUMMYFUNCTION("""COMPUTED_VALUE"""),63.62)</f>
        <v>63.62</v>
      </c>
      <c r="E1185" s="2">
        <f ca="1">IFERROR(__xludf.DUMMYFUNCTION("""COMPUTED_VALUE"""),83.489)</f>
        <v>83.489000000000004</v>
      </c>
      <c r="F1185" s="2">
        <f ca="1">IFERROR(__xludf.DUMMYFUNCTION("""COMPUTED_VALUE"""),93.242)</f>
        <v>93.242000000000004</v>
      </c>
      <c r="G1185" s="2">
        <f ca="1">IFERROR(__xludf.DUMMYFUNCTION("""COMPUTED_VALUE"""),0.62454)</f>
        <v>0.62453999999999998</v>
      </c>
      <c r="H1185" s="2">
        <f ca="1">IFERROR(__xludf.DUMMYFUNCTION("""COMPUTED_VALUE"""),58.43)</f>
        <v>58.43</v>
      </c>
      <c r="I1185" s="2">
        <f ca="1">IFERROR(__xludf.DUMMYFUNCTION("""COMPUTED_VALUE"""),59.383)</f>
        <v>59.383000000000003</v>
      </c>
      <c r="J1185" s="2">
        <f ca="1">IFERROR(__xludf.DUMMYFUNCTION("""COMPUTED_VALUE"""),48.953)</f>
        <v>48.953000000000003</v>
      </c>
      <c r="K1185" s="2">
        <f ca="1">IFERROR(__xludf.DUMMYFUNCTION("""COMPUTED_VALUE"""),65.951)</f>
        <v>65.950999999999993</v>
      </c>
      <c r="L1185" s="2">
        <f ca="1">IFERROR(__xludf.DUMMYFUNCTION("""COMPUTED_VALUE"""),10.064)</f>
        <v>10.064</v>
      </c>
      <c r="M1185" s="2">
        <f ca="1">IFERROR(__xludf.DUMMYFUNCTION("""COMPUTED_VALUE"""),16.518)</f>
        <v>16.518000000000001</v>
      </c>
      <c r="U1185" s="3" t="e">
        <f ca="1"/>
        <v>#NAME?</v>
      </c>
    </row>
    <row r="1186" spans="3:21" ht="12.5" x14ac:dyDescent="0.25">
      <c r="C1186" s="4">
        <f ca="1">IFERROR(__xludf.DUMMYFUNCTION("""COMPUTED_VALUE"""),41528.9986111111)</f>
        <v>41528.998611111099</v>
      </c>
      <c r="D1186" s="2">
        <f ca="1">IFERROR(__xludf.DUMMYFUNCTION("""COMPUTED_VALUE"""),63.16)</f>
        <v>63.16</v>
      </c>
      <c r="E1186" s="2">
        <f ca="1">IFERROR(__xludf.DUMMYFUNCTION("""COMPUTED_VALUE"""),83.807)</f>
        <v>83.807000000000002</v>
      </c>
      <c r="F1186" s="2">
        <f ca="1">IFERROR(__xludf.DUMMYFUNCTION("""COMPUTED_VALUE"""),93.046)</f>
        <v>93.046000000000006</v>
      </c>
      <c r="G1186" s="2">
        <f ca="1">IFERROR(__xludf.DUMMYFUNCTION("""COMPUTED_VALUE"""),0.62174)</f>
        <v>0.62173999999999996</v>
      </c>
      <c r="H1186" s="2">
        <f ca="1">IFERROR(__xludf.DUMMYFUNCTION("""COMPUTED_VALUE"""),58.849)</f>
        <v>58.848999999999997</v>
      </c>
      <c r="I1186" s="2">
        <f ca="1">IFERROR(__xludf.DUMMYFUNCTION("""COMPUTED_VALUE"""),59.549)</f>
        <v>59.548999999999999</v>
      </c>
      <c r="J1186" s="2">
        <f ca="1">IFERROR(__xludf.DUMMYFUNCTION("""COMPUTED_VALUE"""),49.442)</f>
        <v>49.442</v>
      </c>
      <c r="K1186" s="2">
        <f ca="1">IFERROR(__xludf.DUMMYFUNCTION("""COMPUTED_VALUE"""),65.949)</f>
        <v>65.948999999999998</v>
      </c>
      <c r="L1186" s="2">
        <f ca="1">IFERROR(__xludf.DUMMYFUNCTION("""COMPUTED_VALUE"""),10.061)</f>
        <v>10.061</v>
      </c>
      <c r="M1186" s="2">
        <f ca="1">IFERROR(__xludf.DUMMYFUNCTION("""COMPUTED_VALUE"""),16.518)</f>
        <v>16.518000000000001</v>
      </c>
      <c r="U1186" s="3" t="e">
        <f ca="1"/>
        <v>#NAME?</v>
      </c>
    </row>
    <row r="1187" spans="3:21" ht="12.5" x14ac:dyDescent="0.25">
      <c r="C1187" s="4">
        <f ca="1">IFERROR(__xludf.DUMMYFUNCTION("""COMPUTED_VALUE"""),41529.9986111111)</f>
        <v>41529.998611111099</v>
      </c>
      <c r="D1187" s="2">
        <f ca="1">IFERROR(__xludf.DUMMYFUNCTION("""COMPUTED_VALUE"""),63.62)</f>
        <v>63.62</v>
      </c>
      <c r="E1187" s="2">
        <f ca="1">IFERROR(__xludf.DUMMYFUNCTION("""COMPUTED_VALUE"""),83.807)</f>
        <v>83.807000000000002</v>
      </c>
      <c r="F1187" s="2">
        <f ca="1">IFERROR(__xludf.DUMMYFUNCTION("""COMPUTED_VALUE"""),93.403)</f>
        <v>93.403000000000006</v>
      </c>
      <c r="G1187" s="2">
        <f ca="1">IFERROR(__xludf.DUMMYFUNCTION("""COMPUTED_VALUE"""),0.62638)</f>
        <v>0.62638000000000005</v>
      </c>
      <c r="H1187" s="2">
        <f ca="1">IFERROR(__xludf.DUMMYFUNCTION("""COMPUTED_VALUE"""),58.878)</f>
        <v>58.878</v>
      </c>
      <c r="I1187" s="2">
        <f ca="1">IFERROR(__xludf.DUMMYFUNCTION("""COMPUTED_VALUE"""),59.698)</f>
        <v>59.698</v>
      </c>
      <c r="J1187" s="2">
        <f ca="1">IFERROR(__xludf.DUMMYFUNCTION("""COMPUTED_VALUE"""),49.68)</f>
        <v>49.68</v>
      </c>
      <c r="K1187" s="2">
        <f ca="1">IFERROR(__xludf.DUMMYFUNCTION("""COMPUTED_VALUE"""),67.372)</f>
        <v>67.372</v>
      </c>
      <c r="L1187" s="2">
        <f ca="1">IFERROR(__xludf.DUMMYFUNCTION("""COMPUTED_VALUE"""),9.9791)</f>
        <v>9.9791000000000007</v>
      </c>
      <c r="M1187" s="2">
        <f ca="1">IFERROR(__xludf.DUMMYFUNCTION("""COMPUTED_VALUE"""),16.708)</f>
        <v>16.707999999999998</v>
      </c>
      <c r="U1187" s="3" t="e">
        <f ca="1"/>
        <v>#NAME?</v>
      </c>
    </row>
    <row r="1188" spans="3:21" ht="12.5" x14ac:dyDescent="0.25">
      <c r="C1188" s="4">
        <f ca="1">IFERROR(__xludf.DUMMYFUNCTION("""COMPUTED_VALUE"""),41530.9986111111)</f>
        <v>41530.998611111099</v>
      </c>
      <c r="D1188" s="2">
        <f ca="1">IFERROR(__xludf.DUMMYFUNCTION("""COMPUTED_VALUE"""),63.373)</f>
        <v>63.372999999999998</v>
      </c>
      <c r="E1188" s="2">
        <f ca="1">IFERROR(__xludf.DUMMYFUNCTION("""COMPUTED_VALUE"""),83.797)</f>
        <v>83.796999999999997</v>
      </c>
      <c r="F1188" s="2">
        <f ca="1">IFERROR(__xludf.DUMMYFUNCTION("""COMPUTED_VALUE"""),93.349)</f>
        <v>93.349000000000004</v>
      </c>
      <c r="G1188" s="2">
        <f ca="1">IFERROR(__xludf.DUMMYFUNCTION("""COMPUTED_VALUE"""),0.62068)</f>
        <v>0.62068000000000001</v>
      </c>
      <c r="H1188" s="2">
        <f ca="1">IFERROR(__xludf.DUMMYFUNCTION("""COMPUTED_VALUE"""),58.764)</f>
        <v>58.764000000000003</v>
      </c>
      <c r="I1188" s="2">
        <f ca="1">IFERROR(__xludf.DUMMYFUNCTION("""COMPUTED_VALUE"""),59.309)</f>
        <v>59.308999999999997</v>
      </c>
      <c r="J1188" s="2">
        <f ca="1">IFERROR(__xludf.DUMMYFUNCTION("""COMPUTED_VALUE"""),49.578)</f>
        <v>49.578000000000003</v>
      </c>
      <c r="K1188" s="2">
        <f ca="1">IFERROR(__xludf.DUMMYFUNCTION("""COMPUTED_VALUE"""),68.219)</f>
        <v>68.218999999999994</v>
      </c>
      <c r="L1188" s="2">
        <f ca="1">IFERROR(__xludf.DUMMYFUNCTION("""COMPUTED_VALUE"""),10.015)</f>
        <v>10.015000000000001</v>
      </c>
      <c r="M1188" s="2">
        <f ca="1">IFERROR(__xludf.DUMMYFUNCTION("""COMPUTED_VALUE"""),16.73)</f>
        <v>16.73</v>
      </c>
      <c r="U1188" s="3" t="e">
        <f ca="1"/>
        <v>#NAME?</v>
      </c>
    </row>
    <row r="1189" spans="3:21" ht="12.5" x14ac:dyDescent="0.25">
      <c r="C1189" s="4">
        <f ca="1">IFERROR(__xludf.DUMMYFUNCTION("""COMPUTED_VALUE"""),41531.9986111111)</f>
        <v>41531.998611111099</v>
      </c>
      <c r="D1189" s="2">
        <f ca="1">IFERROR(__xludf.DUMMYFUNCTION("""COMPUTED_VALUE"""),63.373)</f>
        <v>63.372999999999998</v>
      </c>
      <c r="E1189" s="2">
        <f ca="1">IFERROR(__xludf.DUMMYFUNCTION("""COMPUTED_VALUE"""),84.155)</f>
        <v>84.155000000000001</v>
      </c>
      <c r="F1189" s="2">
        <f ca="1">IFERROR(__xludf.DUMMYFUNCTION("""COMPUTED_VALUE"""),93.212)</f>
        <v>93.212000000000003</v>
      </c>
      <c r="G1189" s="2">
        <f ca="1">IFERROR(__xludf.DUMMYFUNCTION("""COMPUTED_VALUE"""),0.61949)</f>
        <v>0.61948999999999999</v>
      </c>
      <c r="H1189" s="2">
        <f ca="1">IFERROR(__xludf.DUMMYFUNCTION("""COMPUTED_VALUE"""),59.263)</f>
        <v>59.262999999999998</v>
      </c>
      <c r="I1189" s="2">
        <f ca="1">IFERROR(__xludf.DUMMYFUNCTION("""COMPUTED_VALUE"""),59.518)</f>
        <v>59.518000000000001</v>
      </c>
      <c r="J1189" s="2">
        <f ca="1">IFERROR(__xludf.DUMMYFUNCTION("""COMPUTED_VALUE"""),49.273)</f>
        <v>49.273000000000003</v>
      </c>
      <c r="K1189" s="2">
        <f ca="1">IFERROR(__xludf.DUMMYFUNCTION("""COMPUTED_VALUE"""),68.772)</f>
        <v>68.772000000000006</v>
      </c>
      <c r="L1189" s="2">
        <f ca="1">IFERROR(__xludf.DUMMYFUNCTION("""COMPUTED_VALUE"""),10.025)</f>
        <v>10.025</v>
      </c>
      <c r="M1189" s="2">
        <f ca="1">IFERROR(__xludf.DUMMYFUNCTION("""COMPUTED_VALUE"""),16.687)</f>
        <v>16.687000000000001</v>
      </c>
      <c r="U1189" s="3" t="e">
        <f ca="1"/>
        <v>#NAME?</v>
      </c>
    </row>
    <row r="1190" spans="3:21" ht="12.5" x14ac:dyDescent="0.25">
      <c r="C1190" s="4">
        <f ca="1">IFERROR(__xludf.DUMMYFUNCTION("""COMPUTED_VALUE"""),41532.9986111111)</f>
        <v>41532.998611111099</v>
      </c>
      <c r="D1190" s="2">
        <f ca="1">IFERROR(__xludf.DUMMYFUNCTION("""COMPUTED_VALUE"""),63.29)</f>
        <v>63.29</v>
      </c>
      <c r="E1190" s="2">
        <f ca="1">IFERROR(__xludf.DUMMYFUNCTION("""COMPUTED_VALUE"""),84.319)</f>
        <v>84.319000000000003</v>
      </c>
      <c r="F1190" s="2">
        <f ca="1">IFERROR(__xludf.DUMMYFUNCTION("""COMPUTED_VALUE"""),94.738)</f>
        <v>94.738</v>
      </c>
      <c r="G1190" s="2">
        <f ca="1">IFERROR(__xludf.DUMMYFUNCTION("""COMPUTED_VALUE"""),0.61949)</f>
        <v>0.61948999999999999</v>
      </c>
      <c r="H1190" s="2">
        <f ca="1">IFERROR(__xludf.DUMMYFUNCTION("""COMPUTED_VALUE"""),59.248)</f>
        <v>59.247999999999998</v>
      </c>
      <c r="I1190" s="2">
        <f ca="1">IFERROR(__xludf.DUMMYFUNCTION("""COMPUTED_VALUE"""),59.518)</f>
        <v>59.518000000000001</v>
      </c>
      <c r="J1190" s="2">
        <f ca="1">IFERROR(__xludf.DUMMYFUNCTION("""COMPUTED_VALUE"""),49.426)</f>
        <v>49.426000000000002</v>
      </c>
      <c r="K1190" s="2">
        <f ca="1">IFERROR(__xludf.DUMMYFUNCTION("""COMPUTED_VALUE"""),69.387)</f>
        <v>69.387</v>
      </c>
      <c r="L1190" s="2">
        <f ca="1">IFERROR(__xludf.DUMMYFUNCTION("""COMPUTED_VALUE"""),9.9724)</f>
        <v>9.9724000000000004</v>
      </c>
      <c r="M1190" s="2">
        <f ca="1">IFERROR(__xludf.DUMMYFUNCTION("""COMPUTED_VALUE"""),16.678)</f>
        <v>16.678000000000001</v>
      </c>
      <c r="U1190" s="3" t="e">
        <f ca="1"/>
        <v>#NAME?</v>
      </c>
    </row>
    <row r="1191" spans="3:21" ht="12.5" x14ac:dyDescent="0.25">
      <c r="C1191" s="4">
        <f ca="1">IFERROR(__xludf.DUMMYFUNCTION("""COMPUTED_VALUE"""),41533.9986111111)</f>
        <v>41533.998611111099</v>
      </c>
      <c r="D1191" s="2">
        <f ca="1">IFERROR(__xludf.DUMMYFUNCTION("""COMPUTED_VALUE"""),63.29)</f>
        <v>63.29</v>
      </c>
      <c r="E1191" s="2">
        <f ca="1">IFERROR(__xludf.DUMMYFUNCTION("""COMPUTED_VALUE"""),84.779)</f>
        <v>84.778999999999996</v>
      </c>
      <c r="F1191" s="2">
        <f ca="1">IFERROR(__xludf.DUMMYFUNCTION("""COMPUTED_VALUE"""),94.256)</f>
        <v>94.256</v>
      </c>
      <c r="G1191" s="2">
        <f ca="1">IFERROR(__xludf.DUMMYFUNCTION("""COMPUTED_VALUE"""),0.61435)</f>
        <v>0.61434999999999995</v>
      </c>
      <c r="H1191" s="2">
        <f ca="1">IFERROR(__xludf.DUMMYFUNCTION("""COMPUTED_VALUE"""),59.221)</f>
        <v>59.220999999999997</v>
      </c>
      <c r="I1191" s="2">
        <f ca="1">IFERROR(__xludf.DUMMYFUNCTION("""COMPUTED_VALUE"""),59.488)</f>
        <v>59.488</v>
      </c>
      <c r="J1191" s="2">
        <f ca="1">IFERROR(__xludf.DUMMYFUNCTION("""COMPUTED_VALUE"""),49.426)</f>
        <v>49.426000000000002</v>
      </c>
      <c r="K1191" s="2">
        <f ca="1">IFERROR(__xludf.DUMMYFUNCTION("""COMPUTED_VALUE"""),69.627)</f>
        <v>69.626999999999995</v>
      </c>
      <c r="L1191" s="2">
        <f ca="1">IFERROR(__xludf.DUMMYFUNCTION("""COMPUTED_VALUE"""),10.025)</f>
        <v>10.025</v>
      </c>
      <c r="M1191" s="2">
        <f ca="1">IFERROR(__xludf.DUMMYFUNCTION("""COMPUTED_VALUE"""),16.787)</f>
        <v>16.786999999999999</v>
      </c>
      <c r="U1191" s="3" t="e">
        <f ca="1"/>
        <v>#NAME?</v>
      </c>
    </row>
    <row r="1192" spans="3:21" ht="12.5" x14ac:dyDescent="0.25">
      <c r="C1192" s="4">
        <f ca="1">IFERROR(__xludf.DUMMYFUNCTION("""COMPUTED_VALUE"""),41534.9986111111)</f>
        <v>41534.998611111099</v>
      </c>
      <c r="D1192" s="2">
        <f ca="1">IFERROR(__xludf.DUMMYFUNCTION("""COMPUTED_VALUE"""),63.18)</f>
        <v>63.18</v>
      </c>
      <c r="E1192" s="2">
        <f ca="1">IFERROR(__xludf.DUMMYFUNCTION("""COMPUTED_VALUE"""),84.726)</f>
        <v>84.725999999999999</v>
      </c>
      <c r="F1192" s="2">
        <f ca="1">IFERROR(__xludf.DUMMYFUNCTION("""COMPUTED_VALUE"""),94.078)</f>
        <v>94.078000000000003</v>
      </c>
      <c r="G1192" s="2">
        <f ca="1">IFERROR(__xludf.DUMMYFUNCTION("""COMPUTED_VALUE"""),0.6155)</f>
        <v>0.61550000000000005</v>
      </c>
      <c r="H1192" s="2">
        <f ca="1">IFERROR(__xludf.DUMMYFUNCTION("""COMPUTED_VALUE"""),59.402)</f>
        <v>59.402000000000001</v>
      </c>
      <c r="I1192" s="2">
        <f ca="1">IFERROR(__xludf.DUMMYFUNCTION("""COMPUTED_VALUE"""),59.701)</f>
        <v>59.701000000000001</v>
      </c>
      <c r="J1192" s="2">
        <f ca="1">IFERROR(__xludf.DUMMYFUNCTION("""COMPUTED_VALUE"""),49.448)</f>
        <v>49.448</v>
      </c>
      <c r="K1192" s="2">
        <f ca="1">IFERROR(__xludf.DUMMYFUNCTION("""COMPUTED_VALUE"""),68.564)</f>
        <v>68.563999999999993</v>
      </c>
      <c r="L1192" s="2">
        <f ca="1">IFERROR(__xludf.DUMMYFUNCTION("""COMPUTED_VALUE"""),10.043)</f>
        <v>10.042999999999999</v>
      </c>
      <c r="M1192" s="2">
        <f ca="1">IFERROR(__xludf.DUMMYFUNCTION("""COMPUTED_VALUE"""),16.787)</f>
        <v>16.786999999999999</v>
      </c>
      <c r="U1192" s="3" t="e">
        <f ca="1"/>
        <v>#NAME?</v>
      </c>
    </row>
    <row r="1193" spans="3:21" ht="12.5" x14ac:dyDescent="0.25">
      <c r="C1193" s="4">
        <f ca="1">IFERROR(__xludf.DUMMYFUNCTION("""COMPUTED_VALUE"""),41535.9986111111)</f>
        <v>41535.998611111099</v>
      </c>
      <c r="D1193" s="2">
        <f ca="1">IFERROR(__xludf.DUMMYFUNCTION("""COMPUTED_VALUE"""),63.58)</f>
        <v>63.58</v>
      </c>
      <c r="E1193" s="2">
        <f ca="1">IFERROR(__xludf.DUMMYFUNCTION("""COMPUTED_VALUE"""),84.832)</f>
        <v>84.831999999999994</v>
      </c>
      <c r="F1193" s="2">
        <f ca="1">IFERROR(__xludf.DUMMYFUNCTION("""COMPUTED_VALUE"""),94.011)</f>
        <v>94.010999999999996</v>
      </c>
      <c r="G1193" s="2">
        <f ca="1">IFERROR(__xludf.DUMMYFUNCTION("""COMPUTED_VALUE"""),0.61697)</f>
        <v>0.61697000000000002</v>
      </c>
      <c r="H1193" s="2">
        <f ca="1">IFERROR(__xludf.DUMMYFUNCTION("""COMPUTED_VALUE"""),59.402)</f>
        <v>59.402000000000001</v>
      </c>
      <c r="I1193" s="2">
        <f ca="1">IFERROR(__xludf.DUMMYFUNCTION("""COMPUTED_VALUE"""),59.459)</f>
        <v>59.459000000000003</v>
      </c>
      <c r="J1193" s="2">
        <f ca="1">IFERROR(__xludf.DUMMYFUNCTION("""COMPUTED_VALUE"""),49.525)</f>
        <v>49.524999999999999</v>
      </c>
      <c r="K1193" s="2">
        <f ca="1">IFERROR(__xludf.DUMMYFUNCTION("""COMPUTED_VALUE"""),68.562)</f>
        <v>68.561999999999998</v>
      </c>
      <c r="L1193" s="2">
        <f ca="1">IFERROR(__xludf.DUMMYFUNCTION("""COMPUTED_VALUE"""),10.061)</f>
        <v>10.061</v>
      </c>
      <c r="M1193" s="2">
        <f ca="1">IFERROR(__xludf.DUMMYFUNCTION("""COMPUTED_VALUE"""),17.013)</f>
        <v>17.013000000000002</v>
      </c>
      <c r="U1193" s="3" t="e">
        <f ca="1"/>
        <v>#NAME?</v>
      </c>
    </row>
    <row r="1194" spans="3:21" ht="12.5" x14ac:dyDescent="0.25">
      <c r="C1194" s="4">
        <f ca="1">IFERROR(__xludf.DUMMYFUNCTION("""COMPUTED_VALUE"""),41536.9986111111)</f>
        <v>41536.998611111099</v>
      </c>
      <c r="D1194" s="2">
        <f ca="1">IFERROR(__xludf.DUMMYFUNCTION("""COMPUTED_VALUE"""),62.19)</f>
        <v>62.19</v>
      </c>
      <c r="E1194" s="2">
        <f ca="1">IFERROR(__xludf.DUMMYFUNCTION("""COMPUTED_VALUE"""),84.832)</f>
        <v>84.831999999999994</v>
      </c>
      <c r="F1194" s="2">
        <f ca="1">IFERROR(__xludf.DUMMYFUNCTION("""COMPUTED_VALUE"""),94.011)</f>
        <v>94.010999999999996</v>
      </c>
      <c r="G1194" s="2">
        <f ca="1">IFERROR(__xludf.DUMMYFUNCTION("""COMPUTED_VALUE"""),0.60737)</f>
        <v>0.60736999999999997</v>
      </c>
      <c r="H1194" s="2">
        <f ca="1">IFERROR(__xludf.DUMMYFUNCTION("""COMPUTED_VALUE"""),59.212)</f>
        <v>59.212000000000003</v>
      </c>
      <c r="I1194" s="2">
        <f ca="1">IFERROR(__xludf.DUMMYFUNCTION("""COMPUTED_VALUE"""),59.269)</f>
        <v>59.268999999999998</v>
      </c>
      <c r="J1194" s="2">
        <f ca="1">IFERROR(__xludf.DUMMYFUNCTION("""COMPUTED_VALUE"""),49.522)</f>
        <v>49.521999999999998</v>
      </c>
      <c r="K1194" s="2">
        <f ca="1">IFERROR(__xludf.DUMMYFUNCTION("""COMPUTED_VALUE"""),69.532)</f>
        <v>69.531999999999996</v>
      </c>
      <c r="L1194" s="2">
        <f ca="1">IFERROR(__xludf.DUMMYFUNCTION("""COMPUTED_VALUE"""),10.053)</f>
        <v>10.053000000000001</v>
      </c>
      <c r="M1194" s="2">
        <f ca="1">IFERROR(__xludf.DUMMYFUNCTION("""COMPUTED_VALUE"""),17.384)</f>
        <v>17.384</v>
      </c>
      <c r="U1194" s="3" t="e">
        <f ca="1"/>
        <v>#NAME?</v>
      </c>
    </row>
    <row r="1195" spans="3:21" ht="12.5" x14ac:dyDescent="0.25">
      <c r="C1195" s="4">
        <f ca="1">IFERROR(__xludf.DUMMYFUNCTION("""COMPUTED_VALUE"""),41537.9986111111)</f>
        <v>41537.998611111099</v>
      </c>
      <c r="D1195" s="2">
        <f ca="1">IFERROR(__xludf.DUMMYFUNCTION("""COMPUTED_VALUE"""),62.228)</f>
        <v>62.228000000000002</v>
      </c>
      <c r="E1195" s="2">
        <f ca="1">IFERROR(__xludf.DUMMYFUNCTION("""COMPUTED_VALUE"""),84.82)</f>
        <v>84.82</v>
      </c>
      <c r="F1195" s="2">
        <f ca="1">IFERROR(__xludf.DUMMYFUNCTION("""COMPUTED_VALUE"""),94.384)</f>
        <v>94.384</v>
      </c>
      <c r="G1195" s="2">
        <f ca="1">IFERROR(__xludf.DUMMYFUNCTION("""COMPUTED_VALUE"""),0.60958)</f>
        <v>0.60958000000000001</v>
      </c>
      <c r="H1195" s="2">
        <f ca="1">IFERROR(__xludf.DUMMYFUNCTION("""COMPUTED_VALUE"""),59.062)</f>
        <v>59.061999999999998</v>
      </c>
      <c r="I1195" s="2">
        <f ca="1">IFERROR(__xludf.DUMMYFUNCTION("""COMPUTED_VALUE"""),58.936)</f>
        <v>58.936</v>
      </c>
      <c r="J1195" s="2">
        <f ca="1">IFERROR(__xludf.DUMMYFUNCTION("""COMPUTED_VALUE"""),49.671)</f>
        <v>49.670999999999999</v>
      </c>
      <c r="K1195" s="2">
        <f ca="1">IFERROR(__xludf.DUMMYFUNCTION("""COMPUTED_VALUE"""),69.647)</f>
        <v>69.647000000000006</v>
      </c>
      <c r="L1195" s="2">
        <f ca="1">IFERROR(__xludf.DUMMYFUNCTION("""COMPUTED_VALUE"""),10.062)</f>
        <v>10.061999999999999</v>
      </c>
      <c r="M1195" s="2">
        <f ca="1">IFERROR(__xludf.DUMMYFUNCTION("""COMPUTED_VALUE"""),17.25)</f>
        <v>17.25</v>
      </c>
      <c r="U1195" s="3" t="e">
        <f ca="1"/>
        <v>#NAME?</v>
      </c>
    </row>
    <row r="1196" spans="3:21" ht="12.5" x14ac:dyDescent="0.25">
      <c r="C1196" s="4">
        <f ca="1">IFERROR(__xludf.DUMMYFUNCTION("""COMPUTED_VALUE"""),41538.9986111111)</f>
        <v>41538.998611111099</v>
      </c>
      <c r="D1196" s="2">
        <f ca="1">IFERROR(__xludf.DUMMYFUNCTION("""COMPUTED_VALUE"""),62.228)</f>
        <v>62.228000000000002</v>
      </c>
      <c r="E1196" s="2">
        <f ca="1">IFERROR(__xludf.DUMMYFUNCTION("""COMPUTED_VALUE"""),84.81)</f>
        <v>84.81</v>
      </c>
      <c r="F1196" s="2">
        <f ca="1">IFERROR(__xludf.DUMMYFUNCTION("""COMPUTED_VALUE"""),94.432)</f>
        <v>94.432000000000002</v>
      </c>
      <c r="G1196" s="2">
        <f ca="1">IFERROR(__xludf.DUMMYFUNCTION("""COMPUTED_VALUE"""),0.60922)</f>
        <v>0.60921999999999998</v>
      </c>
      <c r="H1196" s="2">
        <f ca="1">IFERROR(__xludf.DUMMYFUNCTION("""COMPUTED_VALUE"""),58.913)</f>
        <v>58.912999999999997</v>
      </c>
      <c r="I1196" s="2">
        <f ca="1">IFERROR(__xludf.DUMMYFUNCTION("""COMPUTED_VALUE"""),58.804)</f>
        <v>58.804000000000002</v>
      </c>
      <c r="J1196" s="2">
        <f ca="1">IFERROR(__xludf.DUMMYFUNCTION("""COMPUTED_VALUE"""),49.616)</f>
        <v>49.616</v>
      </c>
      <c r="K1196" s="2">
        <f ca="1">IFERROR(__xludf.DUMMYFUNCTION("""COMPUTED_VALUE"""),72.217)</f>
        <v>72.216999999999999</v>
      </c>
      <c r="L1196" s="2">
        <f ca="1">IFERROR(__xludf.DUMMYFUNCTION("""COMPUTED_VALUE"""),9.9391)</f>
        <v>9.9390999999999998</v>
      </c>
      <c r="M1196" s="2">
        <f ca="1">IFERROR(__xludf.DUMMYFUNCTION("""COMPUTED_VALUE"""),17.612)</f>
        <v>17.611999999999998</v>
      </c>
      <c r="U1196" s="3" t="e">
        <f ca="1"/>
        <v>#NAME?</v>
      </c>
    </row>
    <row r="1197" spans="3:21" ht="12.5" x14ac:dyDescent="0.25">
      <c r="C1197" s="4">
        <f ca="1">IFERROR(__xludf.DUMMYFUNCTION("""COMPUTED_VALUE"""),41539.9986111111)</f>
        <v>41539.998611111099</v>
      </c>
      <c r="D1197" s="2">
        <f ca="1">IFERROR(__xludf.DUMMYFUNCTION("""COMPUTED_VALUE"""),62.72)</f>
        <v>62.72</v>
      </c>
      <c r="E1197" s="2">
        <f ca="1">IFERROR(__xludf.DUMMYFUNCTION("""COMPUTED_VALUE"""),84.191)</f>
        <v>84.191000000000003</v>
      </c>
      <c r="F1197" s="2">
        <f ca="1">IFERROR(__xludf.DUMMYFUNCTION("""COMPUTED_VALUE"""),95.164)</f>
        <v>95.164000000000001</v>
      </c>
      <c r="G1197" s="2">
        <f ca="1">IFERROR(__xludf.DUMMYFUNCTION("""COMPUTED_VALUE"""),0.60903)</f>
        <v>0.60902999999999996</v>
      </c>
      <c r="H1197" s="2">
        <f ca="1">IFERROR(__xludf.DUMMYFUNCTION("""COMPUTED_VALUE"""),58.913)</f>
        <v>58.912999999999997</v>
      </c>
      <c r="I1197" s="2">
        <f ca="1">IFERROR(__xludf.DUMMYFUNCTION("""COMPUTED_VALUE"""),58.804)</f>
        <v>58.804000000000002</v>
      </c>
      <c r="J1197" s="2">
        <f ca="1">IFERROR(__xludf.DUMMYFUNCTION("""COMPUTED_VALUE"""),49.734)</f>
        <v>49.734000000000002</v>
      </c>
      <c r="K1197" s="2">
        <f ca="1">IFERROR(__xludf.DUMMYFUNCTION("""COMPUTED_VALUE"""),74.554)</f>
        <v>74.554000000000002</v>
      </c>
      <c r="L1197" s="2">
        <f ca="1">IFERROR(__xludf.DUMMYFUNCTION("""COMPUTED_VALUE"""),10.069)</f>
        <v>10.069000000000001</v>
      </c>
      <c r="M1197" s="2">
        <f ca="1">IFERROR(__xludf.DUMMYFUNCTION("""COMPUTED_VALUE"""),17.536)</f>
        <v>17.536000000000001</v>
      </c>
      <c r="U1197" s="3" t="e">
        <f ca="1"/>
        <v>#NAME?</v>
      </c>
    </row>
    <row r="1198" spans="3:21" ht="12.5" x14ac:dyDescent="0.25">
      <c r="C1198" s="4">
        <f ca="1">IFERROR(__xludf.DUMMYFUNCTION("""COMPUTED_VALUE"""),41540.9986111111)</f>
        <v>41540.998611111099</v>
      </c>
      <c r="D1198" s="2">
        <f ca="1">IFERROR(__xludf.DUMMYFUNCTION("""COMPUTED_VALUE"""),62.68)</f>
        <v>62.68</v>
      </c>
      <c r="E1198" s="2">
        <f ca="1">IFERROR(__xludf.DUMMYFUNCTION("""COMPUTED_VALUE"""),83.957)</f>
        <v>83.956999999999994</v>
      </c>
      <c r="F1198" s="2">
        <f ca="1">IFERROR(__xludf.DUMMYFUNCTION("""COMPUTED_VALUE"""),95.944)</f>
        <v>95.944000000000003</v>
      </c>
      <c r="G1198" s="2">
        <f ca="1">IFERROR(__xludf.DUMMYFUNCTION("""COMPUTED_VALUE"""),0.60956)</f>
        <v>0.60955999999999999</v>
      </c>
      <c r="H1198" s="2">
        <f ca="1">IFERROR(__xludf.DUMMYFUNCTION("""COMPUTED_VALUE"""),58.949)</f>
        <v>58.948999999999998</v>
      </c>
      <c r="I1198" s="2">
        <f ca="1">IFERROR(__xludf.DUMMYFUNCTION("""COMPUTED_VALUE"""),58.838)</f>
        <v>58.838000000000001</v>
      </c>
      <c r="J1198" s="2">
        <f ca="1">IFERROR(__xludf.DUMMYFUNCTION("""COMPUTED_VALUE"""),49.734)</f>
        <v>49.734000000000002</v>
      </c>
      <c r="K1198" s="2">
        <f ca="1">IFERROR(__xludf.DUMMYFUNCTION("""COMPUTED_VALUE"""),71.402)</f>
        <v>71.402000000000001</v>
      </c>
      <c r="L1198" s="2">
        <f ca="1">IFERROR(__xludf.DUMMYFUNCTION("""COMPUTED_VALUE"""),10.095)</f>
        <v>10.095000000000001</v>
      </c>
      <c r="M1198" s="2">
        <f ca="1">IFERROR(__xludf.DUMMYFUNCTION("""COMPUTED_VALUE"""),17.206)</f>
        <v>17.206</v>
      </c>
      <c r="U1198" s="3" t="e">
        <f ca="1"/>
        <v>#NAME?</v>
      </c>
    </row>
    <row r="1199" spans="3:21" ht="12.5" x14ac:dyDescent="0.25">
      <c r="C1199" s="4">
        <f ca="1">IFERROR(__xludf.DUMMYFUNCTION("""COMPUTED_VALUE"""),41541.9986111111)</f>
        <v>41541.998611111099</v>
      </c>
      <c r="D1199" s="2">
        <f ca="1">IFERROR(__xludf.DUMMYFUNCTION("""COMPUTED_VALUE"""),62.72)</f>
        <v>62.72</v>
      </c>
      <c r="E1199" s="2">
        <f ca="1">IFERROR(__xludf.DUMMYFUNCTION("""COMPUTED_VALUE"""),83.465)</f>
        <v>83.465000000000003</v>
      </c>
      <c r="F1199" s="2">
        <f ca="1">IFERROR(__xludf.DUMMYFUNCTION("""COMPUTED_VALUE"""),95.499)</f>
        <v>95.498999999999995</v>
      </c>
      <c r="G1199" s="2">
        <f ca="1">IFERROR(__xludf.DUMMYFUNCTION("""COMPUTED_VALUE"""),0.6048)</f>
        <v>0.6048</v>
      </c>
      <c r="H1199" s="2">
        <f ca="1">IFERROR(__xludf.DUMMYFUNCTION("""COMPUTED_VALUE"""),58.701)</f>
        <v>58.701000000000001</v>
      </c>
      <c r="I1199" s="2">
        <f ca="1">IFERROR(__xludf.DUMMYFUNCTION("""COMPUTED_VALUE"""),58.878)</f>
        <v>58.878</v>
      </c>
      <c r="J1199" s="2">
        <f ca="1">IFERROR(__xludf.DUMMYFUNCTION("""COMPUTED_VALUE"""),49.716)</f>
        <v>49.716000000000001</v>
      </c>
      <c r="K1199" s="2">
        <f ca="1">IFERROR(__xludf.DUMMYFUNCTION("""COMPUTED_VALUE"""),70.658)</f>
        <v>70.658000000000001</v>
      </c>
      <c r="L1199" s="2">
        <f ca="1">IFERROR(__xludf.DUMMYFUNCTION("""COMPUTED_VALUE"""),10.046)</f>
        <v>10.045999999999999</v>
      </c>
      <c r="M1199" s="2">
        <f ca="1">IFERROR(__xludf.DUMMYFUNCTION("""COMPUTED_VALUE"""),17.206)</f>
        <v>17.206</v>
      </c>
      <c r="U1199" s="3" t="e">
        <f ca="1"/>
        <v>#NAME?</v>
      </c>
    </row>
    <row r="1200" spans="3:21" ht="12.5" x14ac:dyDescent="0.25">
      <c r="C1200" s="4">
        <f ca="1">IFERROR(__xludf.DUMMYFUNCTION("""COMPUTED_VALUE"""),41542.9986111111)</f>
        <v>41542.998611111099</v>
      </c>
      <c r="D1200" s="2">
        <f ca="1">IFERROR(__xludf.DUMMYFUNCTION("""COMPUTED_VALUE"""),62.43)</f>
        <v>62.43</v>
      </c>
      <c r="E1200" s="2">
        <f ca="1">IFERROR(__xludf.DUMMYFUNCTION("""COMPUTED_VALUE"""),83.279)</f>
        <v>83.278999999999996</v>
      </c>
      <c r="F1200" s="2">
        <f ca="1">IFERROR(__xludf.DUMMYFUNCTION("""COMPUTED_VALUE"""),96.343)</f>
        <v>96.343000000000004</v>
      </c>
      <c r="G1200" s="2">
        <f ca="1">IFERROR(__xludf.DUMMYFUNCTION("""COMPUTED_VALUE"""),0.60882)</f>
        <v>0.60882000000000003</v>
      </c>
      <c r="H1200" s="2">
        <f ca="1">IFERROR(__xludf.DUMMYFUNCTION("""COMPUTED_VALUE"""),58.064)</f>
        <v>58.064</v>
      </c>
      <c r="I1200" s="2">
        <f ca="1">IFERROR(__xludf.DUMMYFUNCTION("""COMPUTED_VALUE"""),58.511)</f>
        <v>58.511000000000003</v>
      </c>
      <c r="J1200" s="2">
        <f ca="1">IFERROR(__xludf.DUMMYFUNCTION("""COMPUTED_VALUE"""),49.692)</f>
        <v>49.692</v>
      </c>
      <c r="K1200" s="2">
        <f ca="1">IFERROR(__xludf.DUMMYFUNCTION("""COMPUTED_VALUE"""),70.608)</f>
        <v>70.608000000000004</v>
      </c>
      <c r="L1200" s="2">
        <f ca="1">IFERROR(__xludf.DUMMYFUNCTION("""COMPUTED_VALUE"""),10.012)</f>
        <v>10.012</v>
      </c>
      <c r="M1200" s="2">
        <f ca="1">IFERROR(__xludf.DUMMYFUNCTION("""COMPUTED_VALUE"""),17.444)</f>
        <v>17.443999999999999</v>
      </c>
      <c r="U1200" s="3" t="e">
        <f ca="1"/>
        <v>#NAME?</v>
      </c>
    </row>
    <row r="1201" spans="3:21" ht="12.5" x14ac:dyDescent="0.25">
      <c r="C1201" s="4">
        <f ca="1">IFERROR(__xludf.DUMMYFUNCTION("""COMPUTED_VALUE"""),41543.9986111111)</f>
        <v>41543.998611111099</v>
      </c>
      <c r="D1201" s="2">
        <f ca="1">IFERROR(__xludf.DUMMYFUNCTION("""COMPUTED_VALUE"""),61.73)</f>
        <v>61.73</v>
      </c>
      <c r="E1201" s="2">
        <f ca="1">IFERROR(__xludf.DUMMYFUNCTION("""COMPUTED_VALUE"""),83.279)</f>
        <v>83.278999999999996</v>
      </c>
      <c r="F1201" s="2">
        <f ca="1">IFERROR(__xludf.DUMMYFUNCTION("""COMPUTED_VALUE"""),97.624)</f>
        <v>97.623999999999995</v>
      </c>
      <c r="G1201" s="2">
        <f ca="1">IFERROR(__xludf.DUMMYFUNCTION("""COMPUTED_VALUE"""),0.60544)</f>
        <v>0.60543999999999998</v>
      </c>
      <c r="H1201" s="2">
        <f ca="1">IFERROR(__xludf.DUMMYFUNCTION("""COMPUTED_VALUE"""),57.945)</f>
        <v>57.945</v>
      </c>
      <c r="I1201" s="2">
        <f ca="1">IFERROR(__xludf.DUMMYFUNCTION("""COMPUTED_VALUE"""),58.363)</f>
        <v>58.363</v>
      </c>
      <c r="J1201" s="2">
        <f ca="1">IFERROR(__xludf.DUMMYFUNCTION("""COMPUTED_VALUE"""),49.343)</f>
        <v>49.343000000000004</v>
      </c>
      <c r="K1201" s="2">
        <f ca="1">IFERROR(__xludf.DUMMYFUNCTION("""COMPUTED_VALUE"""),71.426)</f>
        <v>71.426000000000002</v>
      </c>
      <c r="L1201" s="2">
        <f ca="1">IFERROR(__xludf.DUMMYFUNCTION("""COMPUTED_VALUE"""),10.014)</f>
        <v>10.013999999999999</v>
      </c>
      <c r="M1201" s="2">
        <f ca="1">IFERROR(__xludf.DUMMYFUNCTION("""COMPUTED_VALUE"""),17.504)</f>
        <v>17.504000000000001</v>
      </c>
      <c r="U1201" s="3" t="e">
        <f ca="1"/>
        <v>#NAME?</v>
      </c>
    </row>
    <row r="1202" spans="3:21" ht="12.5" x14ac:dyDescent="0.25">
      <c r="C1202" s="4">
        <f ca="1">IFERROR(__xludf.DUMMYFUNCTION("""COMPUTED_VALUE"""),41544.9986111111)</f>
        <v>41544.998611111099</v>
      </c>
      <c r="D1202" s="2">
        <f ca="1">IFERROR(__xludf.DUMMYFUNCTION("""COMPUTED_VALUE"""),62.508)</f>
        <v>62.508000000000003</v>
      </c>
      <c r="E1202" s="2">
        <f ca="1">IFERROR(__xludf.DUMMYFUNCTION("""COMPUTED_VALUE"""),83.925)</f>
        <v>83.924999999999997</v>
      </c>
      <c r="F1202" s="2">
        <f ca="1">IFERROR(__xludf.DUMMYFUNCTION("""COMPUTED_VALUE"""),98.717)</f>
        <v>98.716999999999999</v>
      </c>
      <c r="G1202" s="2">
        <f ca="1">IFERROR(__xludf.DUMMYFUNCTION("""COMPUTED_VALUE"""),0.60627)</f>
        <v>0.60626999999999998</v>
      </c>
      <c r="H1202" s="2">
        <f ca="1">IFERROR(__xludf.DUMMYFUNCTION("""COMPUTED_VALUE"""),58.164)</f>
        <v>58.164000000000001</v>
      </c>
      <c r="I1202" s="2">
        <f ca="1">IFERROR(__xludf.DUMMYFUNCTION("""COMPUTED_VALUE"""),58.905)</f>
        <v>58.905000000000001</v>
      </c>
      <c r="J1202" s="2">
        <f ca="1">IFERROR(__xludf.DUMMYFUNCTION("""COMPUTED_VALUE"""),49.334)</f>
        <v>49.334000000000003</v>
      </c>
      <c r="K1202" s="2">
        <f ca="1">IFERROR(__xludf.DUMMYFUNCTION("""COMPUTED_VALUE"""),70.558)</f>
        <v>70.558000000000007</v>
      </c>
      <c r="L1202" s="2">
        <f ca="1">IFERROR(__xludf.DUMMYFUNCTION("""COMPUTED_VALUE"""),10.118)</f>
        <v>10.118</v>
      </c>
      <c r="M1202" s="2">
        <f ca="1">IFERROR(__xludf.DUMMYFUNCTION("""COMPUTED_VALUE"""),18.051)</f>
        <v>18.050999999999998</v>
      </c>
      <c r="U1202" s="3" t="e">
        <f ca="1"/>
        <v>#NAME?</v>
      </c>
    </row>
    <row r="1203" spans="3:21" ht="12.5" x14ac:dyDescent="0.25">
      <c r="C1203" s="4">
        <f ca="1">IFERROR(__xludf.DUMMYFUNCTION("""COMPUTED_VALUE"""),41545.9986111111)</f>
        <v>41545.998611111099</v>
      </c>
      <c r="D1203" s="2">
        <f ca="1">IFERROR(__xludf.DUMMYFUNCTION("""COMPUTED_VALUE"""),62.909)</f>
        <v>62.908999999999999</v>
      </c>
      <c r="E1203" s="2">
        <f ca="1">IFERROR(__xludf.DUMMYFUNCTION("""COMPUTED_VALUE"""),83.388)</f>
        <v>83.388000000000005</v>
      </c>
      <c r="F1203" s="2">
        <f ca="1">IFERROR(__xludf.DUMMYFUNCTION("""COMPUTED_VALUE"""),98.797)</f>
        <v>98.796999999999997</v>
      </c>
      <c r="G1203" s="2">
        <f ca="1">IFERROR(__xludf.DUMMYFUNCTION("""COMPUTED_VALUE"""),0.59643)</f>
        <v>0.59643000000000002</v>
      </c>
      <c r="H1203" s="2">
        <f ca="1">IFERROR(__xludf.DUMMYFUNCTION("""COMPUTED_VALUE"""),58.276)</f>
        <v>58.276000000000003</v>
      </c>
      <c r="I1203" s="2">
        <f ca="1">IFERROR(__xludf.DUMMYFUNCTION("""COMPUTED_VALUE"""),59.245)</f>
        <v>59.244999999999997</v>
      </c>
      <c r="J1203" s="2">
        <f ca="1">IFERROR(__xludf.DUMMYFUNCTION("""COMPUTED_VALUE"""),49.486)</f>
        <v>49.485999999999997</v>
      </c>
      <c r="K1203" s="2">
        <f ca="1">IFERROR(__xludf.DUMMYFUNCTION("""COMPUTED_VALUE"""),72.14)</f>
        <v>72.14</v>
      </c>
      <c r="L1203" s="2">
        <f ca="1">IFERROR(__xludf.DUMMYFUNCTION("""COMPUTED_VALUE"""),10.07)</f>
        <v>10.07</v>
      </c>
      <c r="M1203" s="2">
        <f ca="1">IFERROR(__xludf.DUMMYFUNCTION("""COMPUTED_VALUE"""),18.336)</f>
        <v>18.335999999999999</v>
      </c>
      <c r="U1203" s="3" t="e">
        <f ca="1"/>
        <v>#NAME?</v>
      </c>
    </row>
    <row r="1204" spans="3:21" ht="12.5" x14ac:dyDescent="0.25">
      <c r="C1204" s="4">
        <f ca="1">IFERROR(__xludf.DUMMYFUNCTION("""COMPUTED_VALUE"""),41546.9986111111)</f>
        <v>41546.998611111099</v>
      </c>
      <c r="D1204" s="2">
        <f ca="1">IFERROR(__xludf.DUMMYFUNCTION("""COMPUTED_VALUE"""),62.91)</f>
        <v>62.91</v>
      </c>
      <c r="E1204" s="2">
        <f ca="1">IFERROR(__xludf.DUMMYFUNCTION("""COMPUTED_VALUE"""),82.967)</f>
        <v>82.966999999999999</v>
      </c>
      <c r="F1204" s="2">
        <f ca="1">IFERROR(__xludf.DUMMYFUNCTION("""COMPUTED_VALUE"""),100.07)</f>
        <v>100.07</v>
      </c>
      <c r="G1204" s="2">
        <f ca="1">IFERROR(__xludf.DUMMYFUNCTION("""COMPUTED_VALUE"""),0.59649)</f>
        <v>0.59648999999999996</v>
      </c>
      <c r="H1204" s="2">
        <f ca="1">IFERROR(__xludf.DUMMYFUNCTION("""COMPUTED_VALUE"""),58.273)</f>
        <v>58.273000000000003</v>
      </c>
      <c r="I1204" s="2">
        <f ca="1">IFERROR(__xludf.DUMMYFUNCTION("""COMPUTED_VALUE"""),59.245)</f>
        <v>59.244999999999997</v>
      </c>
      <c r="J1204" s="2">
        <f ca="1">IFERROR(__xludf.DUMMYFUNCTION("""COMPUTED_VALUE"""),49.677)</f>
        <v>49.677</v>
      </c>
      <c r="K1204" s="2">
        <f ca="1">IFERROR(__xludf.DUMMYFUNCTION("""COMPUTED_VALUE"""),71.623)</f>
        <v>71.623000000000005</v>
      </c>
      <c r="L1204" s="2">
        <f ca="1">IFERROR(__xludf.DUMMYFUNCTION("""COMPUTED_VALUE"""),10.029)</f>
        <v>10.029</v>
      </c>
      <c r="M1204" s="2">
        <f ca="1">IFERROR(__xludf.DUMMYFUNCTION("""COMPUTED_VALUE"""),18.347)</f>
        <v>18.347000000000001</v>
      </c>
      <c r="U1204" s="3" t="e">
        <f ca="1"/>
        <v>#NAME?</v>
      </c>
    </row>
    <row r="1205" spans="3:21" ht="12.5" x14ac:dyDescent="0.25">
      <c r="C1205" s="4">
        <f ca="1">IFERROR(__xludf.DUMMYFUNCTION("""COMPUTED_VALUE"""),41547.9986111111)</f>
        <v>41547.998611111099</v>
      </c>
      <c r="D1205" s="2">
        <f ca="1">IFERROR(__xludf.DUMMYFUNCTION("""COMPUTED_VALUE"""),62.58)</f>
        <v>62.58</v>
      </c>
      <c r="E1205" s="2">
        <f ca="1">IFERROR(__xludf.DUMMYFUNCTION("""COMPUTED_VALUE"""),84.266)</f>
        <v>84.266000000000005</v>
      </c>
      <c r="F1205" s="2">
        <f ca="1">IFERROR(__xludf.DUMMYFUNCTION("""COMPUTED_VALUE"""),100.21)</f>
        <v>100.21</v>
      </c>
      <c r="G1205" s="2">
        <f ca="1">IFERROR(__xludf.DUMMYFUNCTION("""COMPUTED_VALUE"""),0.59266)</f>
        <v>0.59265999999999996</v>
      </c>
      <c r="H1205" s="2">
        <f ca="1">IFERROR(__xludf.DUMMYFUNCTION("""COMPUTED_VALUE"""),58.868)</f>
        <v>58.868000000000002</v>
      </c>
      <c r="I1205" s="2">
        <f ca="1">IFERROR(__xludf.DUMMYFUNCTION("""COMPUTED_VALUE"""),59.713)</f>
        <v>59.713000000000001</v>
      </c>
      <c r="J1205" s="2">
        <f ca="1">IFERROR(__xludf.DUMMYFUNCTION("""COMPUTED_VALUE"""),49.677)</f>
        <v>49.677</v>
      </c>
      <c r="K1205" s="2">
        <f ca="1">IFERROR(__xludf.DUMMYFUNCTION("""COMPUTED_VALUE"""),69.789)</f>
        <v>69.789000000000001</v>
      </c>
      <c r="L1205" s="2">
        <f ca="1">IFERROR(__xludf.DUMMYFUNCTION("""COMPUTED_VALUE"""),10.048)</f>
        <v>10.048</v>
      </c>
      <c r="M1205" s="2">
        <f ca="1">IFERROR(__xludf.DUMMYFUNCTION("""COMPUTED_VALUE"""),17.887)</f>
        <v>17.887</v>
      </c>
      <c r="U1205" s="3" t="e">
        <f ca="1"/>
        <v>#NAME?</v>
      </c>
    </row>
    <row r="1206" spans="3:21" ht="12.5" x14ac:dyDescent="0.25">
      <c r="C1206" s="4">
        <f ca="1">IFERROR(__xludf.DUMMYFUNCTION("""COMPUTED_VALUE"""),41548.9986111111)</f>
        <v>41548.998611111099</v>
      </c>
      <c r="D1206" s="2">
        <f ca="1">IFERROR(__xludf.DUMMYFUNCTION("""COMPUTED_VALUE"""),62.61)</f>
        <v>62.61</v>
      </c>
      <c r="E1206" s="2">
        <f ca="1">IFERROR(__xludf.DUMMYFUNCTION("""COMPUTED_VALUE"""),83.619)</f>
        <v>83.619</v>
      </c>
      <c r="F1206" s="2">
        <f ca="1">IFERROR(__xludf.DUMMYFUNCTION("""COMPUTED_VALUE"""),98.386)</f>
        <v>98.385999999999996</v>
      </c>
      <c r="G1206" s="2">
        <f ca="1">IFERROR(__xludf.DUMMYFUNCTION("""COMPUTED_VALUE"""),0.5915)</f>
        <v>0.59150000000000003</v>
      </c>
      <c r="H1206" s="2">
        <f ca="1">IFERROR(__xludf.DUMMYFUNCTION("""COMPUTED_VALUE"""),58.674)</f>
        <v>58.673999999999999</v>
      </c>
      <c r="I1206" s="2">
        <f ca="1">IFERROR(__xludf.DUMMYFUNCTION("""COMPUTED_VALUE"""),59.199)</f>
        <v>59.198999999999998</v>
      </c>
      <c r="J1206" s="2">
        <f ca="1">IFERROR(__xludf.DUMMYFUNCTION("""COMPUTED_VALUE"""),50.031)</f>
        <v>50.030999999999999</v>
      </c>
      <c r="K1206" s="2">
        <f ca="1">IFERROR(__xludf.DUMMYFUNCTION("""COMPUTED_VALUE"""),69.554)</f>
        <v>69.554000000000002</v>
      </c>
      <c r="L1206" s="2">
        <f ca="1">IFERROR(__xludf.DUMMYFUNCTION("""COMPUTED_VALUE"""),10.011)</f>
        <v>10.010999999999999</v>
      </c>
      <c r="M1206" s="2">
        <f ca="1">IFERROR(__xludf.DUMMYFUNCTION("""COMPUTED_VALUE"""),17.887)</f>
        <v>17.887</v>
      </c>
      <c r="U1206" s="3" t="e">
        <f ca="1"/>
        <v>#NAME?</v>
      </c>
    </row>
    <row r="1207" spans="3:21" ht="12.5" x14ac:dyDescent="0.25">
      <c r="C1207" s="4">
        <f ca="1">IFERROR(__xludf.DUMMYFUNCTION("""COMPUTED_VALUE"""),41549.9986111111)</f>
        <v>41549.998611111099</v>
      </c>
      <c r="D1207" s="2">
        <f ca="1">IFERROR(__xludf.DUMMYFUNCTION("""COMPUTED_VALUE"""),62.07)</f>
        <v>62.07</v>
      </c>
      <c r="E1207" s="2">
        <f ca="1">IFERROR(__xludf.DUMMYFUNCTION("""COMPUTED_VALUE"""),82.8513)</f>
        <v>82.851299999999995</v>
      </c>
      <c r="F1207" s="2">
        <f ca="1">IFERROR(__xludf.DUMMYFUNCTION("""COMPUTED_VALUE"""),98.386)</f>
        <v>98.385999999999996</v>
      </c>
      <c r="G1207" s="2">
        <f ca="1">IFERROR(__xludf.DUMMYFUNCTION("""COMPUTED_VALUE"""),0.5931)</f>
        <v>0.59309999999999996</v>
      </c>
      <c r="H1207" s="2">
        <f ca="1">IFERROR(__xludf.DUMMYFUNCTION("""COMPUTED_VALUE"""),58.491)</f>
        <v>58.491</v>
      </c>
      <c r="I1207" s="2">
        <f ca="1">IFERROR(__xludf.DUMMYFUNCTION("""COMPUTED_VALUE"""),58.921)</f>
        <v>58.920999999999999</v>
      </c>
      <c r="J1207" s="2">
        <f ca="1">IFERROR(__xludf.DUMMYFUNCTION("""COMPUTED_VALUE"""),49.655)</f>
        <v>49.655000000000001</v>
      </c>
      <c r="K1207" s="2">
        <f ca="1">IFERROR(__xludf.DUMMYFUNCTION("""COMPUTED_VALUE"""),69.573)</f>
        <v>69.572999999999993</v>
      </c>
      <c r="L1207" s="2">
        <f ca="1">IFERROR(__xludf.DUMMYFUNCTION("""COMPUTED_VALUE"""),9.9356)</f>
        <v>9.9356000000000009</v>
      </c>
      <c r="M1207" s="2">
        <f ca="1">IFERROR(__xludf.DUMMYFUNCTION("""COMPUTED_VALUE"""),18.13)</f>
        <v>18.13</v>
      </c>
      <c r="U1207" s="3" t="e">
        <f ca="1"/>
        <v>#NAME?</v>
      </c>
    </row>
    <row r="1208" spans="3:21" ht="12.5" x14ac:dyDescent="0.25">
      <c r="C1208" s="4">
        <f ca="1">IFERROR(__xludf.DUMMYFUNCTION("""COMPUTED_VALUE"""),41550.9986111111)</f>
        <v>41550.998611111099</v>
      </c>
      <c r="D1208" s="2">
        <f ca="1">IFERROR(__xludf.DUMMYFUNCTION("""COMPUTED_VALUE"""),61.96)</f>
        <v>61.96</v>
      </c>
      <c r="E1208" s="2">
        <f ca="1">IFERROR(__xludf.DUMMYFUNCTION("""COMPUTED_VALUE"""),84.554)</f>
        <v>84.554000000000002</v>
      </c>
      <c r="F1208" s="2">
        <f ca="1">IFERROR(__xludf.DUMMYFUNCTION("""COMPUTED_VALUE"""),99.789)</f>
        <v>99.789000000000001</v>
      </c>
      <c r="G1208" s="2">
        <f ca="1">IFERROR(__xludf.DUMMYFUNCTION("""COMPUTED_VALUE"""),0.60102)</f>
        <v>0.60102</v>
      </c>
      <c r="H1208" s="2">
        <f ca="1">IFERROR(__xludf.DUMMYFUNCTION("""COMPUTED_VALUE"""),59.376)</f>
        <v>59.375999999999998</v>
      </c>
      <c r="I1208" s="2">
        <f ca="1">IFERROR(__xludf.DUMMYFUNCTION("""COMPUTED_VALUE"""),59.823)</f>
        <v>59.823</v>
      </c>
      <c r="J1208" s="2">
        <f ca="1">IFERROR(__xludf.DUMMYFUNCTION("""COMPUTED_VALUE"""),49.525)</f>
        <v>49.524999999999999</v>
      </c>
      <c r="K1208" s="2">
        <f ca="1">IFERROR(__xludf.DUMMYFUNCTION("""COMPUTED_VALUE"""),69.573)</f>
        <v>69.572999999999993</v>
      </c>
      <c r="L1208" s="2">
        <f ca="1">IFERROR(__xludf.DUMMYFUNCTION("""COMPUTED_VALUE"""),9.9622)</f>
        <v>9.9621999999999993</v>
      </c>
      <c r="M1208" s="2">
        <f ca="1">IFERROR(__xludf.DUMMYFUNCTION("""COMPUTED_VALUE"""),18.107)</f>
        <v>18.106999999999999</v>
      </c>
      <c r="U1208" s="3" t="e">
        <f ca="1"/>
        <v>#NAME?</v>
      </c>
    </row>
    <row r="1209" spans="3:21" ht="12.5" x14ac:dyDescent="0.25">
      <c r="C1209" s="4">
        <f ca="1">IFERROR(__xludf.DUMMYFUNCTION("""COMPUTED_VALUE"""),41551.9986111111)</f>
        <v>41551.998611111099</v>
      </c>
      <c r="D1209" s="2">
        <f ca="1">IFERROR(__xludf.DUMMYFUNCTION("""COMPUTED_VALUE"""),61.428)</f>
        <v>61.427999999999997</v>
      </c>
      <c r="E1209" s="2">
        <f ca="1">IFERROR(__xludf.DUMMYFUNCTION("""COMPUTED_VALUE"""),84.738)</f>
        <v>84.738</v>
      </c>
      <c r="F1209" s="2">
        <f ca="1">IFERROR(__xludf.DUMMYFUNCTION("""COMPUTED_VALUE"""),100.07)</f>
        <v>100.07</v>
      </c>
      <c r="G1209" s="2">
        <f ca="1">IFERROR(__xludf.DUMMYFUNCTION("""COMPUTED_VALUE"""),0.59629)</f>
        <v>0.59628999999999999</v>
      </c>
      <c r="H1209" s="2">
        <f ca="1">IFERROR(__xludf.DUMMYFUNCTION("""COMPUTED_VALUE"""),58.965)</f>
        <v>58.965000000000003</v>
      </c>
      <c r="I1209" s="2">
        <f ca="1">IFERROR(__xludf.DUMMYFUNCTION("""COMPUTED_VALUE"""),59.656)</f>
        <v>59.655999999999999</v>
      </c>
      <c r="J1209" s="2">
        <f ca="1">IFERROR(__xludf.DUMMYFUNCTION("""COMPUTED_VALUE"""),50.157)</f>
        <v>50.156999999999996</v>
      </c>
      <c r="K1209" s="2">
        <f ca="1">IFERROR(__xludf.DUMMYFUNCTION("""COMPUTED_VALUE"""),69.897)</f>
        <v>69.897000000000006</v>
      </c>
      <c r="L1209" s="2">
        <f ca="1">IFERROR(__xludf.DUMMYFUNCTION("""COMPUTED_VALUE"""),9.9437)</f>
        <v>9.9436999999999998</v>
      </c>
      <c r="M1209" s="2">
        <f ca="1">IFERROR(__xludf.DUMMYFUNCTION("""COMPUTED_VALUE"""),18.679)</f>
        <v>18.678999999999998</v>
      </c>
      <c r="U1209" s="3" t="e">
        <f ca="1"/>
        <v>#NAME?</v>
      </c>
    </row>
    <row r="1210" spans="3:21" ht="12.5" x14ac:dyDescent="0.25">
      <c r="C1210" s="4">
        <f ca="1">IFERROR(__xludf.DUMMYFUNCTION("""COMPUTED_VALUE"""),41552.9986111111)</f>
        <v>41552.998611111099</v>
      </c>
      <c r="D1210" s="2">
        <f ca="1">IFERROR(__xludf.DUMMYFUNCTION("""COMPUTED_VALUE"""),61.428)</f>
        <v>61.427999999999997</v>
      </c>
      <c r="E1210" s="2">
        <f ca="1">IFERROR(__xludf.DUMMYFUNCTION("""COMPUTED_VALUE"""),85.574)</f>
        <v>85.573999999999998</v>
      </c>
      <c r="F1210" s="2">
        <f ca="1">IFERROR(__xludf.DUMMYFUNCTION("""COMPUTED_VALUE"""),103.01)</f>
        <v>103.01</v>
      </c>
      <c r="G1210" s="2">
        <f ca="1">IFERROR(__xludf.DUMMYFUNCTION("""COMPUTED_VALUE"""),0.60201)</f>
        <v>0.60201000000000005</v>
      </c>
      <c r="H1210" s="2">
        <f ca="1">IFERROR(__xludf.DUMMYFUNCTION("""COMPUTED_VALUE"""),58.159)</f>
        <v>58.158999999999999</v>
      </c>
      <c r="I1210" s="2">
        <f ca="1">IFERROR(__xludf.DUMMYFUNCTION("""COMPUTED_VALUE"""),59.159)</f>
        <v>59.158999999999999</v>
      </c>
      <c r="J1210" s="2">
        <f ca="1">IFERROR(__xludf.DUMMYFUNCTION("""COMPUTED_VALUE"""),50.096)</f>
        <v>50.095999999999997</v>
      </c>
      <c r="K1210" s="2">
        <f ca="1">IFERROR(__xludf.DUMMYFUNCTION("""COMPUTED_VALUE"""),68.214)</f>
        <v>68.213999999999999</v>
      </c>
      <c r="L1210" s="2">
        <f ca="1">IFERROR(__xludf.DUMMYFUNCTION("""COMPUTED_VALUE"""),9.9376)</f>
        <v>9.9375999999999998</v>
      </c>
      <c r="M1210" s="2">
        <f ca="1">IFERROR(__xludf.DUMMYFUNCTION("""COMPUTED_VALUE"""),18.042)</f>
        <v>18.042000000000002</v>
      </c>
      <c r="U1210" s="3" t="e">
        <f ca="1"/>
        <v>#NAME?</v>
      </c>
    </row>
    <row r="1211" spans="3:21" ht="12.5" x14ac:dyDescent="0.25">
      <c r="C1211" s="4">
        <f ca="1">IFERROR(__xludf.DUMMYFUNCTION("""COMPUTED_VALUE"""),41553.9986111111)</f>
        <v>41553.998611111099</v>
      </c>
      <c r="D1211" s="2">
        <f ca="1">IFERROR(__xludf.DUMMYFUNCTION("""COMPUTED_VALUE"""),61.38)</f>
        <v>61.38</v>
      </c>
      <c r="E1211" s="2">
        <f ca="1">IFERROR(__xludf.DUMMYFUNCTION("""COMPUTED_VALUE"""),85.287)</f>
        <v>85.287000000000006</v>
      </c>
      <c r="F1211" s="2">
        <f ca="1">IFERROR(__xludf.DUMMYFUNCTION("""COMPUTED_VALUE"""),106.78)</f>
        <v>106.78</v>
      </c>
      <c r="G1211" s="2">
        <f ca="1">IFERROR(__xludf.DUMMYFUNCTION("""COMPUTED_VALUE"""),0.60263)</f>
        <v>0.60263</v>
      </c>
      <c r="H1211" s="2">
        <f ca="1">IFERROR(__xludf.DUMMYFUNCTION("""COMPUTED_VALUE"""),59.374)</f>
        <v>59.374000000000002</v>
      </c>
      <c r="I1211" s="2">
        <f ca="1">IFERROR(__xludf.DUMMYFUNCTION("""COMPUTED_VALUE"""),60.406)</f>
        <v>60.405999999999999</v>
      </c>
      <c r="J1211" s="2">
        <f ca="1">IFERROR(__xludf.DUMMYFUNCTION("""COMPUTED_VALUE"""),49.69)</f>
        <v>49.69</v>
      </c>
      <c r="K1211" s="2">
        <f ca="1">IFERROR(__xludf.DUMMYFUNCTION("""COMPUTED_VALUE"""),67.912)</f>
        <v>67.912000000000006</v>
      </c>
      <c r="L1211" s="2">
        <f ca="1">IFERROR(__xludf.DUMMYFUNCTION("""COMPUTED_VALUE"""),9.888)</f>
        <v>9.8879999999999999</v>
      </c>
      <c r="M1211" s="2">
        <f ca="1">IFERROR(__xludf.DUMMYFUNCTION("""COMPUTED_VALUE"""),17.876)</f>
        <v>17.876000000000001</v>
      </c>
      <c r="U1211" s="3" t="e">
        <f ca="1"/>
        <v>#NAME?</v>
      </c>
    </row>
    <row r="1212" spans="3:21" ht="12.5" x14ac:dyDescent="0.25">
      <c r="C1212" s="4">
        <f ca="1">IFERROR(__xludf.DUMMYFUNCTION("""COMPUTED_VALUE"""),41554.9986111111)</f>
        <v>41554.998611111099</v>
      </c>
      <c r="D1212" s="2">
        <f ca="1">IFERROR(__xludf.DUMMYFUNCTION("""COMPUTED_VALUE"""),61.6)</f>
        <v>61.6</v>
      </c>
      <c r="E1212" s="2">
        <f ca="1">IFERROR(__xludf.DUMMYFUNCTION("""COMPUTED_VALUE"""),84.804)</f>
        <v>84.804000000000002</v>
      </c>
      <c r="F1212" s="2">
        <f ca="1">IFERROR(__xludf.DUMMYFUNCTION("""COMPUTED_VALUE"""),103.09)</f>
        <v>103.09</v>
      </c>
      <c r="G1212" s="2">
        <f ca="1">IFERROR(__xludf.DUMMYFUNCTION("""COMPUTED_VALUE"""),0.60263)</f>
        <v>0.60263</v>
      </c>
      <c r="H1212" s="2">
        <f ca="1">IFERROR(__xludf.DUMMYFUNCTION("""COMPUTED_VALUE"""),59.173)</f>
        <v>59.173000000000002</v>
      </c>
      <c r="I1212" s="2">
        <f ca="1">IFERROR(__xludf.DUMMYFUNCTION("""COMPUTED_VALUE"""),60.356)</f>
        <v>60.356000000000002</v>
      </c>
      <c r="J1212" s="2">
        <f ca="1">IFERROR(__xludf.DUMMYFUNCTION("""COMPUTED_VALUE"""),50.787)</f>
        <v>50.786999999999999</v>
      </c>
      <c r="K1212" s="2">
        <f ca="1">IFERROR(__xludf.DUMMYFUNCTION("""COMPUTED_VALUE"""),68.357)</f>
        <v>68.356999999999999</v>
      </c>
      <c r="L1212" s="2">
        <f ca="1">IFERROR(__xludf.DUMMYFUNCTION("""COMPUTED_VALUE"""),9.7784)</f>
        <v>9.7783999999999995</v>
      </c>
      <c r="M1212" s="2">
        <f ca="1">IFERROR(__xludf.DUMMYFUNCTION("""COMPUTED_VALUE"""),17.762)</f>
        <v>17.762</v>
      </c>
      <c r="U1212" s="3" t="e">
        <f ca="1"/>
        <v>#NAME?</v>
      </c>
    </row>
    <row r="1213" spans="3:21" ht="12.5" x14ac:dyDescent="0.25">
      <c r="C1213" s="4">
        <f ca="1">IFERROR(__xludf.DUMMYFUNCTION("""COMPUTED_VALUE"""),41555.9986111111)</f>
        <v>41555.998611111099</v>
      </c>
      <c r="D1213" s="2">
        <f ca="1">IFERROR(__xludf.DUMMYFUNCTION("""COMPUTED_VALUE"""),62.03)</f>
        <v>62.03</v>
      </c>
      <c r="E1213" s="2">
        <f ca="1">IFERROR(__xludf.DUMMYFUNCTION("""COMPUTED_VALUE"""),84.991)</f>
        <v>84.991</v>
      </c>
      <c r="F1213" s="2">
        <f ca="1">IFERROR(__xludf.DUMMYFUNCTION("""COMPUTED_VALUE"""),101.85)</f>
        <v>101.85</v>
      </c>
      <c r="G1213" s="2">
        <f ca="1">IFERROR(__xludf.DUMMYFUNCTION("""COMPUTED_VALUE"""),0.59865)</f>
        <v>0.59865000000000002</v>
      </c>
      <c r="H1213" s="2">
        <f ca="1">IFERROR(__xludf.DUMMYFUNCTION("""COMPUTED_VALUE"""),59.237)</f>
        <v>59.237000000000002</v>
      </c>
      <c r="I1213" s="2">
        <f ca="1">IFERROR(__xludf.DUMMYFUNCTION("""COMPUTED_VALUE"""),60.686)</f>
        <v>60.686</v>
      </c>
      <c r="J1213" s="2">
        <f ca="1">IFERROR(__xludf.DUMMYFUNCTION("""COMPUTED_VALUE"""),50.605)</f>
        <v>50.604999999999997</v>
      </c>
      <c r="K1213" s="2">
        <f ca="1">IFERROR(__xludf.DUMMYFUNCTION("""COMPUTED_VALUE"""),68.165)</f>
        <v>68.165000000000006</v>
      </c>
      <c r="L1213" s="2">
        <f ca="1">IFERROR(__xludf.DUMMYFUNCTION("""COMPUTED_VALUE"""),9.8715)</f>
        <v>9.8714999999999993</v>
      </c>
      <c r="M1213" s="2">
        <f ca="1">IFERROR(__xludf.DUMMYFUNCTION("""COMPUTED_VALUE"""),17.762)</f>
        <v>17.762</v>
      </c>
      <c r="U1213" s="3" t="e">
        <f ca="1"/>
        <v>#NAME?</v>
      </c>
    </row>
    <row r="1214" spans="3:21" ht="12.5" x14ac:dyDescent="0.25">
      <c r="C1214" s="4">
        <f ca="1">IFERROR(__xludf.DUMMYFUNCTION("""COMPUTED_VALUE"""),41556.9986111111)</f>
        <v>41556.998611111099</v>
      </c>
      <c r="D1214" s="2">
        <f ca="1">IFERROR(__xludf.DUMMYFUNCTION("""COMPUTED_VALUE"""),61.81)</f>
        <v>61.81</v>
      </c>
      <c r="E1214" s="2">
        <f ca="1">IFERROR(__xludf.DUMMYFUNCTION("""COMPUTED_VALUE"""),84.546)</f>
        <v>84.546000000000006</v>
      </c>
      <c r="F1214" s="2">
        <f ca="1">IFERROR(__xludf.DUMMYFUNCTION("""COMPUTED_VALUE"""),101.76)</f>
        <v>101.76</v>
      </c>
      <c r="G1214" s="2">
        <f ca="1">IFERROR(__xludf.DUMMYFUNCTION("""COMPUTED_VALUE"""),0.60364)</f>
        <v>0.60363999999999995</v>
      </c>
      <c r="H1214" s="2">
        <f ca="1">IFERROR(__xludf.DUMMYFUNCTION("""COMPUTED_VALUE"""),59.216)</f>
        <v>59.216000000000001</v>
      </c>
      <c r="I1214" s="2">
        <f ca="1">IFERROR(__xludf.DUMMYFUNCTION("""COMPUTED_VALUE"""),60.512)</f>
        <v>60.512</v>
      </c>
      <c r="J1214" s="2">
        <f ca="1">IFERROR(__xludf.DUMMYFUNCTION("""COMPUTED_VALUE"""),50.98)</f>
        <v>50.98</v>
      </c>
      <c r="K1214" s="2">
        <f ca="1">IFERROR(__xludf.DUMMYFUNCTION("""COMPUTED_VALUE"""),68.176)</f>
        <v>68.176000000000002</v>
      </c>
      <c r="L1214" s="2">
        <f ca="1">IFERROR(__xludf.DUMMYFUNCTION("""COMPUTED_VALUE"""),9.9402)</f>
        <v>9.9402000000000008</v>
      </c>
      <c r="M1214" s="2">
        <f ca="1">IFERROR(__xludf.DUMMYFUNCTION("""COMPUTED_VALUE"""),17.762)</f>
        <v>17.762</v>
      </c>
      <c r="U1214" s="3" t="e">
        <f ca="1"/>
        <v>#NAME?</v>
      </c>
    </row>
    <row r="1215" spans="3:21" ht="12.5" x14ac:dyDescent="0.25">
      <c r="C1215" s="4">
        <f ca="1">IFERROR(__xludf.DUMMYFUNCTION("""COMPUTED_VALUE"""),41557.9986111111)</f>
        <v>41557.998611111099</v>
      </c>
      <c r="D1215" s="2">
        <f ca="1">IFERROR(__xludf.DUMMYFUNCTION("""COMPUTED_VALUE"""),61.61)</f>
        <v>61.61</v>
      </c>
      <c r="E1215" s="2">
        <f ca="1">IFERROR(__xludf.DUMMYFUNCTION("""COMPUTED_VALUE"""),84.206)</f>
        <v>84.206000000000003</v>
      </c>
      <c r="F1215" s="2">
        <f ca="1">IFERROR(__xludf.DUMMYFUNCTION("""COMPUTED_VALUE"""),103.31)</f>
        <v>103.31</v>
      </c>
      <c r="G1215" s="2">
        <f ca="1">IFERROR(__xludf.DUMMYFUNCTION("""COMPUTED_VALUE"""),0.59504)</f>
        <v>0.59504000000000001</v>
      </c>
      <c r="H1215" s="2">
        <f ca="1">IFERROR(__xludf.DUMMYFUNCTION("""COMPUTED_VALUE"""),58.708)</f>
        <v>58.707999999999998</v>
      </c>
      <c r="I1215" s="2">
        <f ca="1">IFERROR(__xludf.DUMMYFUNCTION("""COMPUTED_VALUE"""),60.23)</f>
        <v>60.23</v>
      </c>
      <c r="J1215" s="2">
        <f ca="1">IFERROR(__xludf.DUMMYFUNCTION("""COMPUTED_VALUE"""),50.777)</f>
        <v>50.777000000000001</v>
      </c>
      <c r="K1215" s="2">
        <f ca="1">IFERROR(__xludf.DUMMYFUNCTION("""COMPUTED_VALUE"""),68.502)</f>
        <v>68.501999999999995</v>
      </c>
      <c r="L1215" s="2">
        <f ca="1">IFERROR(__xludf.DUMMYFUNCTION("""COMPUTED_VALUE"""),9.9432)</f>
        <v>9.9431999999999992</v>
      </c>
      <c r="M1215" s="2">
        <f ca="1">IFERROR(__xludf.DUMMYFUNCTION("""COMPUTED_VALUE"""),17.441)</f>
        <v>17.440999999999999</v>
      </c>
      <c r="U1215" s="3" t="e">
        <f ca="1"/>
        <v>#NAME?</v>
      </c>
    </row>
    <row r="1216" spans="3:21" ht="12.5" x14ac:dyDescent="0.25">
      <c r="C1216" s="4">
        <f ca="1">IFERROR(__xludf.DUMMYFUNCTION("""COMPUTED_VALUE"""),41558.9986111111)</f>
        <v>41558.998611111099</v>
      </c>
      <c r="D1216" s="2">
        <f ca="1">IFERROR(__xludf.DUMMYFUNCTION("""COMPUTED_VALUE"""),60.96)</f>
        <v>60.96</v>
      </c>
      <c r="E1216" s="2">
        <f ca="1">IFERROR(__xludf.DUMMYFUNCTION("""COMPUTED_VALUE"""),84.5)</f>
        <v>84.5</v>
      </c>
      <c r="F1216" s="2">
        <f ca="1">IFERROR(__xludf.DUMMYFUNCTION("""COMPUTED_VALUE"""),102.51)</f>
        <v>102.51</v>
      </c>
      <c r="G1216" s="2">
        <f ca="1">IFERROR(__xludf.DUMMYFUNCTION("""COMPUTED_VALUE"""),0.59545)</f>
        <v>0.59545000000000003</v>
      </c>
      <c r="H1216" s="2">
        <f ca="1">IFERROR(__xludf.DUMMYFUNCTION("""COMPUTED_VALUE"""),59.005)</f>
        <v>59.005000000000003</v>
      </c>
      <c r="I1216" s="2">
        <f ca="1">IFERROR(__xludf.DUMMYFUNCTION("""COMPUTED_VALUE"""),60.335)</f>
        <v>60.335000000000001</v>
      </c>
      <c r="J1216" s="2">
        <f ca="1">IFERROR(__xludf.DUMMYFUNCTION("""COMPUTED_VALUE"""),50.567)</f>
        <v>50.567</v>
      </c>
      <c r="K1216" s="2">
        <f ca="1">IFERROR(__xludf.DUMMYFUNCTION("""COMPUTED_VALUE"""),67.696)</f>
        <v>67.695999999999998</v>
      </c>
      <c r="L1216" s="2">
        <f ca="1">IFERROR(__xludf.DUMMYFUNCTION("""COMPUTED_VALUE"""),9.9272)</f>
        <v>9.9271999999999991</v>
      </c>
      <c r="M1216" s="2">
        <f ca="1">IFERROR(__xludf.DUMMYFUNCTION("""COMPUTED_VALUE"""),17.321)</f>
        <v>17.321000000000002</v>
      </c>
      <c r="U1216" s="3" t="e">
        <f ca="1"/>
        <v>#NAME?</v>
      </c>
    </row>
    <row r="1217" spans="3:21" ht="12.5" x14ac:dyDescent="0.25">
      <c r="C1217" s="4">
        <f ca="1">IFERROR(__xludf.DUMMYFUNCTION("""COMPUTED_VALUE"""),41559.9986111111)</f>
        <v>41559.998611111099</v>
      </c>
      <c r="D1217" s="2">
        <f ca="1">IFERROR(__xludf.DUMMYFUNCTION("""COMPUTED_VALUE"""),61.013)</f>
        <v>61.012999999999998</v>
      </c>
      <c r="E1217" s="2">
        <f ca="1">IFERROR(__xludf.DUMMYFUNCTION("""COMPUTED_VALUE"""),84.313)</f>
        <v>84.313000000000002</v>
      </c>
      <c r="F1217" s="2">
        <f ca="1">IFERROR(__xludf.DUMMYFUNCTION("""COMPUTED_VALUE"""),105.15)</f>
        <v>105.15</v>
      </c>
      <c r="G1217" s="2">
        <f ca="1">IFERROR(__xludf.DUMMYFUNCTION("""COMPUTED_VALUE"""),0.59504)</f>
        <v>0.59504000000000001</v>
      </c>
      <c r="H1217" s="2">
        <f ca="1">IFERROR(__xludf.DUMMYFUNCTION("""COMPUTED_VALUE"""),58.747)</f>
        <v>58.747</v>
      </c>
      <c r="I1217" s="2">
        <f ca="1">IFERROR(__xludf.DUMMYFUNCTION("""COMPUTED_VALUE"""),60.07)</f>
        <v>60.07</v>
      </c>
      <c r="J1217" s="2">
        <f ca="1">IFERROR(__xludf.DUMMYFUNCTION("""COMPUTED_VALUE"""),50.521)</f>
        <v>50.521000000000001</v>
      </c>
      <c r="K1217" s="2">
        <f ca="1">IFERROR(__xludf.DUMMYFUNCTION("""COMPUTED_VALUE"""),68.383)</f>
        <v>68.382999999999996</v>
      </c>
      <c r="L1217" s="2">
        <f ca="1">IFERROR(__xludf.DUMMYFUNCTION("""COMPUTED_VALUE"""),9.9)</f>
        <v>9.9</v>
      </c>
      <c r="M1217" s="2">
        <f ca="1">IFERROR(__xludf.DUMMYFUNCTION("""COMPUTED_VALUE"""),17.195)</f>
        <v>17.195</v>
      </c>
      <c r="U1217" s="3" t="e">
        <f ca="1"/>
        <v>#NAME?</v>
      </c>
    </row>
    <row r="1218" spans="3:21" ht="12.5" x14ac:dyDescent="0.25">
      <c r="C1218" s="4">
        <f ca="1">IFERROR(__xludf.DUMMYFUNCTION("""COMPUTED_VALUE"""),41560.9986111111)</f>
        <v>41560.998611111099</v>
      </c>
      <c r="D1218" s="2">
        <f ca="1">IFERROR(__xludf.DUMMYFUNCTION("""COMPUTED_VALUE"""),60.99)</f>
        <v>60.99</v>
      </c>
      <c r="E1218" s="2">
        <f ca="1">IFERROR(__xludf.DUMMYFUNCTION("""COMPUTED_VALUE"""),84.716)</f>
        <v>84.715999999999994</v>
      </c>
      <c r="F1218" s="2">
        <f ca="1">IFERROR(__xludf.DUMMYFUNCTION("""COMPUTED_VALUE"""),104.69)</f>
        <v>104.69</v>
      </c>
      <c r="G1218" s="2">
        <f ca="1">IFERROR(__xludf.DUMMYFUNCTION("""COMPUTED_VALUE"""),0.59566)</f>
        <v>0.59565999999999997</v>
      </c>
      <c r="H1218" s="2">
        <f ca="1">IFERROR(__xludf.DUMMYFUNCTION("""COMPUTED_VALUE"""),58.42)</f>
        <v>58.42</v>
      </c>
      <c r="I1218" s="2">
        <f ca="1">IFERROR(__xludf.DUMMYFUNCTION("""COMPUTED_VALUE"""),59.774)</f>
        <v>59.774000000000001</v>
      </c>
      <c r="J1218" s="2">
        <f ca="1">IFERROR(__xludf.DUMMYFUNCTION("""COMPUTED_VALUE"""),50.304)</f>
        <v>50.304000000000002</v>
      </c>
      <c r="K1218" s="2">
        <f ca="1">IFERROR(__xludf.DUMMYFUNCTION("""COMPUTED_VALUE"""),69.361)</f>
        <v>69.361000000000004</v>
      </c>
      <c r="L1218" s="2">
        <f ca="1">IFERROR(__xludf.DUMMYFUNCTION("""COMPUTED_VALUE"""),9.9)</f>
        <v>9.9</v>
      </c>
      <c r="M1218" s="2">
        <f ca="1">IFERROR(__xludf.DUMMYFUNCTION("""COMPUTED_VALUE"""),17.321)</f>
        <v>17.321000000000002</v>
      </c>
      <c r="U1218" s="3" t="e">
        <f ca="1"/>
        <v>#NAME?</v>
      </c>
    </row>
    <row r="1219" spans="3:21" ht="12.5" x14ac:dyDescent="0.25">
      <c r="C1219" s="4">
        <f ca="1">IFERROR(__xludf.DUMMYFUNCTION("""COMPUTED_VALUE"""),41561.9986111111)</f>
        <v>41561.998611111099</v>
      </c>
      <c r="D1219" s="2">
        <f ca="1">IFERROR(__xludf.DUMMYFUNCTION("""COMPUTED_VALUE"""),61.38)</f>
        <v>61.38</v>
      </c>
      <c r="E1219" s="2">
        <f ca="1">IFERROR(__xludf.DUMMYFUNCTION("""COMPUTED_VALUE"""),85.036)</f>
        <v>85.036000000000001</v>
      </c>
      <c r="F1219" s="2">
        <f ca="1">IFERROR(__xludf.DUMMYFUNCTION("""COMPUTED_VALUE"""),102.8)</f>
        <v>102.8</v>
      </c>
      <c r="G1219" s="2">
        <f ca="1">IFERROR(__xludf.DUMMYFUNCTION("""COMPUTED_VALUE"""),0.59629)</f>
        <v>0.59628999999999999</v>
      </c>
      <c r="H1219" s="2">
        <f ca="1">IFERROR(__xludf.DUMMYFUNCTION("""COMPUTED_VALUE"""),58.798)</f>
        <v>58.798000000000002</v>
      </c>
      <c r="I1219" s="2">
        <f ca="1">IFERROR(__xludf.DUMMYFUNCTION("""COMPUTED_VALUE"""),59.587)</f>
        <v>59.587000000000003</v>
      </c>
      <c r="J1219" s="2">
        <f ca="1">IFERROR(__xludf.DUMMYFUNCTION("""COMPUTED_VALUE"""),50.023)</f>
        <v>50.023000000000003</v>
      </c>
      <c r="K1219" s="2">
        <f ca="1">IFERROR(__xludf.DUMMYFUNCTION("""COMPUTED_VALUE"""),67.771)</f>
        <v>67.771000000000001</v>
      </c>
      <c r="L1219" s="2">
        <f ca="1">IFERROR(__xludf.DUMMYFUNCTION("""COMPUTED_VALUE"""),9.9187)</f>
        <v>9.9186999999999994</v>
      </c>
      <c r="M1219" s="2">
        <f ca="1">IFERROR(__xludf.DUMMYFUNCTION("""COMPUTED_VALUE"""),17.253)</f>
        <v>17.253</v>
      </c>
      <c r="U1219" s="3" t="e">
        <f ca="1"/>
        <v>#NAME?</v>
      </c>
    </row>
    <row r="1220" spans="3:21" ht="12.5" x14ac:dyDescent="0.25">
      <c r="C1220" s="4">
        <f ca="1">IFERROR(__xludf.DUMMYFUNCTION("""COMPUTED_VALUE"""),41562.9986111111)</f>
        <v>41562.998611111099</v>
      </c>
      <c r="D1220" s="2">
        <f ca="1">IFERROR(__xludf.DUMMYFUNCTION("""COMPUTED_VALUE"""),61.83)</f>
        <v>61.83</v>
      </c>
      <c r="E1220" s="2">
        <f ca="1">IFERROR(__xludf.DUMMYFUNCTION("""COMPUTED_VALUE"""),85.038)</f>
        <v>85.037999999999997</v>
      </c>
      <c r="F1220" s="2">
        <f ca="1">IFERROR(__xludf.DUMMYFUNCTION("""COMPUTED_VALUE"""),101.98)</f>
        <v>101.98</v>
      </c>
      <c r="G1220" s="2">
        <f ca="1">IFERROR(__xludf.DUMMYFUNCTION("""COMPUTED_VALUE"""),0.59429)</f>
        <v>0.59428999999999998</v>
      </c>
      <c r="H1220" s="2">
        <f ca="1">IFERROR(__xludf.DUMMYFUNCTION("""COMPUTED_VALUE"""),58.517)</f>
        <v>58.517000000000003</v>
      </c>
      <c r="I1220" s="2">
        <f ca="1">IFERROR(__xludf.DUMMYFUNCTION("""COMPUTED_VALUE"""),60.023)</f>
        <v>60.023000000000003</v>
      </c>
      <c r="J1220" s="2">
        <f ca="1">IFERROR(__xludf.DUMMYFUNCTION("""COMPUTED_VALUE"""),50.139)</f>
        <v>50.139000000000003</v>
      </c>
      <c r="K1220" s="2">
        <f ca="1">IFERROR(__xludf.DUMMYFUNCTION("""COMPUTED_VALUE"""),68.364)</f>
        <v>68.364000000000004</v>
      </c>
      <c r="L1220" s="2">
        <f ca="1">IFERROR(__xludf.DUMMYFUNCTION("""COMPUTED_VALUE"""),9.9594)</f>
        <v>9.9594000000000005</v>
      </c>
      <c r="M1220" s="2">
        <f ca="1">IFERROR(__xludf.DUMMYFUNCTION("""COMPUTED_VALUE"""),17.253)</f>
        <v>17.253</v>
      </c>
      <c r="U1220" s="3" t="e">
        <f ca="1"/>
        <v>#NAME?</v>
      </c>
    </row>
    <row r="1221" spans="3:21" ht="12.5" x14ac:dyDescent="0.25">
      <c r="C1221" s="4">
        <f ca="1">IFERROR(__xludf.DUMMYFUNCTION("""COMPUTED_VALUE"""),41563.9986111111)</f>
        <v>41563.998611111099</v>
      </c>
      <c r="D1221" s="2">
        <f ca="1">IFERROR(__xludf.DUMMYFUNCTION("""COMPUTED_VALUE"""),61.45)</f>
        <v>61.45</v>
      </c>
      <c r="E1221" s="2">
        <f ca="1">IFERROR(__xludf.DUMMYFUNCTION("""COMPUTED_VALUE"""),84.345)</f>
        <v>84.344999999999999</v>
      </c>
      <c r="F1221" s="2">
        <f ca="1">IFERROR(__xludf.DUMMYFUNCTION("""COMPUTED_VALUE"""),101.99)</f>
        <v>101.99</v>
      </c>
      <c r="G1221" s="2">
        <f ca="1">IFERROR(__xludf.DUMMYFUNCTION("""COMPUTED_VALUE"""),0.59176)</f>
        <v>0.59175999999999995</v>
      </c>
      <c r="H1221" s="2">
        <f ca="1">IFERROR(__xludf.DUMMYFUNCTION("""COMPUTED_VALUE"""),58.041)</f>
        <v>58.040999999999997</v>
      </c>
      <c r="I1221" s="2">
        <f ca="1">IFERROR(__xludf.DUMMYFUNCTION("""COMPUTED_VALUE"""),59.782)</f>
        <v>59.781999999999996</v>
      </c>
      <c r="J1221" s="2">
        <f ca="1">IFERROR(__xludf.DUMMYFUNCTION("""COMPUTED_VALUE"""),50.354)</f>
        <v>50.353999999999999</v>
      </c>
      <c r="K1221" s="2">
        <f ca="1">IFERROR(__xludf.DUMMYFUNCTION("""COMPUTED_VALUE"""),68.349)</f>
        <v>68.349000000000004</v>
      </c>
      <c r="L1221" s="2">
        <f ca="1">IFERROR(__xludf.DUMMYFUNCTION("""COMPUTED_VALUE"""),9.9585)</f>
        <v>9.9585000000000008</v>
      </c>
      <c r="M1221" s="2">
        <f ca="1">IFERROR(__xludf.DUMMYFUNCTION("""COMPUTED_VALUE"""),17.231)</f>
        <v>17.231000000000002</v>
      </c>
      <c r="U1221" s="3" t="e">
        <f ca="1"/>
        <v>#NAME?</v>
      </c>
    </row>
    <row r="1222" spans="3:21" ht="12.5" x14ac:dyDescent="0.25">
      <c r="C1222" s="4">
        <f ca="1">IFERROR(__xludf.DUMMYFUNCTION("""COMPUTED_VALUE"""),41564.9986111111)</f>
        <v>41564.998611111099</v>
      </c>
      <c r="D1222" s="2">
        <f ca="1">IFERROR(__xludf.DUMMYFUNCTION("""COMPUTED_VALUE"""),61.1)</f>
        <v>61.1</v>
      </c>
      <c r="E1222" s="2">
        <f ca="1">IFERROR(__xludf.DUMMYFUNCTION("""COMPUTED_VALUE"""),84.455)</f>
        <v>84.454999999999998</v>
      </c>
      <c r="F1222" s="2">
        <f ca="1">IFERROR(__xludf.DUMMYFUNCTION("""COMPUTED_VALUE"""),101.99)</f>
        <v>101.99</v>
      </c>
      <c r="G1222" s="2">
        <f ca="1">IFERROR(__xludf.DUMMYFUNCTION("""COMPUTED_VALUE"""),0.59155)</f>
        <v>0.59155000000000002</v>
      </c>
      <c r="H1222" s="2">
        <f ca="1">IFERROR(__xludf.DUMMYFUNCTION("""COMPUTED_VALUE"""),57.544)</f>
        <v>57.543999999999997</v>
      </c>
      <c r="I1222" s="2">
        <f ca="1">IFERROR(__xludf.DUMMYFUNCTION("""COMPUTED_VALUE"""),59.65)</f>
        <v>59.65</v>
      </c>
      <c r="J1222" s="2">
        <f ca="1">IFERROR(__xludf.DUMMYFUNCTION("""COMPUTED_VALUE"""),50.296)</f>
        <v>50.295999999999999</v>
      </c>
      <c r="K1222" s="2">
        <f ca="1">IFERROR(__xludf.DUMMYFUNCTION("""COMPUTED_VALUE"""),68.893)</f>
        <v>68.893000000000001</v>
      </c>
      <c r="L1222" s="2">
        <f ca="1">IFERROR(__xludf.DUMMYFUNCTION("""COMPUTED_VALUE"""),9.9674)</f>
        <v>9.9673999999999996</v>
      </c>
      <c r="M1222" s="2">
        <f ca="1">IFERROR(__xludf.DUMMYFUNCTION("""COMPUTED_VALUE"""),17.231)</f>
        <v>17.231000000000002</v>
      </c>
      <c r="U1222" s="3" t="e">
        <f ca="1"/>
        <v>#NAME?</v>
      </c>
    </row>
    <row r="1223" spans="3:21" ht="12.5" x14ac:dyDescent="0.25">
      <c r="C1223" s="4">
        <f ca="1">IFERROR(__xludf.DUMMYFUNCTION("""COMPUTED_VALUE"""),41565.9986111111)</f>
        <v>41565.998611111099</v>
      </c>
      <c r="D1223" s="2">
        <f ca="1">IFERROR(__xludf.DUMMYFUNCTION("""COMPUTED_VALUE"""),61.233)</f>
        <v>61.232999999999997</v>
      </c>
      <c r="E1223" s="2">
        <f ca="1">IFERROR(__xludf.DUMMYFUNCTION("""COMPUTED_VALUE"""),84.749)</f>
        <v>84.748999999999995</v>
      </c>
      <c r="F1223" s="2">
        <f ca="1">IFERROR(__xludf.DUMMYFUNCTION("""COMPUTED_VALUE"""),102.31)</f>
        <v>102.31</v>
      </c>
      <c r="G1223" s="2">
        <f ca="1">IFERROR(__xludf.DUMMYFUNCTION("""COMPUTED_VALUE"""),0.59047)</f>
        <v>0.59047000000000005</v>
      </c>
      <c r="H1223" s="2">
        <f ca="1">IFERROR(__xludf.DUMMYFUNCTION("""COMPUTED_VALUE"""),57.544)</f>
        <v>57.543999999999997</v>
      </c>
      <c r="I1223" s="2">
        <f ca="1">IFERROR(__xludf.DUMMYFUNCTION("""COMPUTED_VALUE"""),59.65)</f>
        <v>59.65</v>
      </c>
      <c r="J1223" s="2">
        <f ca="1">IFERROR(__xludf.DUMMYFUNCTION("""COMPUTED_VALUE"""),50.19)</f>
        <v>50.19</v>
      </c>
      <c r="K1223" s="2">
        <f ca="1">IFERROR(__xludf.DUMMYFUNCTION("""COMPUTED_VALUE"""),68.67)</f>
        <v>68.67</v>
      </c>
      <c r="L1223" s="2">
        <f ca="1">IFERROR(__xludf.DUMMYFUNCTION("""COMPUTED_VALUE"""),10.003)</f>
        <v>10.003</v>
      </c>
      <c r="M1223" s="2">
        <f ca="1">IFERROR(__xludf.DUMMYFUNCTION("""COMPUTED_VALUE"""),17.201)</f>
        <v>17.201000000000001</v>
      </c>
      <c r="U1223" s="3" t="e">
        <f ca="1"/>
        <v>#NAME?</v>
      </c>
    </row>
    <row r="1224" spans="3:21" ht="12.5" x14ac:dyDescent="0.25">
      <c r="C1224" s="4">
        <f ca="1">IFERROR(__xludf.DUMMYFUNCTION("""COMPUTED_VALUE"""),41566.9986111111)</f>
        <v>41566.998611111099</v>
      </c>
      <c r="D1224" s="2">
        <f ca="1">IFERROR(__xludf.DUMMYFUNCTION("""COMPUTED_VALUE"""),61.233)</f>
        <v>61.232999999999997</v>
      </c>
      <c r="E1224" s="2">
        <f ca="1">IFERROR(__xludf.DUMMYFUNCTION("""COMPUTED_VALUE"""),84.276)</f>
        <v>84.275999999999996</v>
      </c>
      <c r="F1224" s="2">
        <f ca="1">IFERROR(__xludf.DUMMYFUNCTION("""COMPUTED_VALUE"""),100.33)</f>
        <v>100.33</v>
      </c>
      <c r="G1224" s="2">
        <f ca="1">IFERROR(__xludf.DUMMYFUNCTION("""COMPUTED_VALUE"""),0.58825)</f>
        <v>0.58825000000000005</v>
      </c>
      <c r="H1224" s="2">
        <f ca="1">IFERROR(__xludf.DUMMYFUNCTION("""COMPUTED_VALUE"""),57.059)</f>
        <v>57.058999999999997</v>
      </c>
      <c r="I1224" s="2">
        <f ca="1">IFERROR(__xludf.DUMMYFUNCTION("""COMPUTED_VALUE"""),59.032)</f>
        <v>59.031999999999996</v>
      </c>
      <c r="J1224" s="2">
        <f ca="1">IFERROR(__xludf.DUMMYFUNCTION("""COMPUTED_VALUE"""),50.19)</f>
        <v>50.19</v>
      </c>
      <c r="K1224" s="2">
        <f ca="1">IFERROR(__xludf.DUMMYFUNCTION("""COMPUTED_VALUE"""),68.693)</f>
        <v>68.692999999999998</v>
      </c>
      <c r="L1224" s="2">
        <f ca="1">IFERROR(__xludf.DUMMYFUNCTION("""COMPUTED_VALUE"""),10.0246)</f>
        <v>10.0246</v>
      </c>
      <c r="M1224" s="2">
        <f ca="1">IFERROR(__xludf.DUMMYFUNCTION("""COMPUTED_VALUE"""),17.31)</f>
        <v>17.309999999999999</v>
      </c>
      <c r="U1224" s="3" t="e">
        <f ca="1"/>
        <v>#NAME?</v>
      </c>
    </row>
    <row r="1225" spans="3:21" ht="12.5" x14ac:dyDescent="0.25">
      <c r="C1225" s="4">
        <f ca="1">IFERROR(__xludf.DUMMYFUNCTION("""COMPUTED_VALUE"""),41567.9986111111)</f>
        <v>41567.998611111099</v>
      </c>
      <c r="D1225" s="2">
        <f ca="1">IFERROR(__xludf.DUMMYFUNCTION("""COMPUTED_VALUE"""),61.24)</f>
        <v>61.24</v>
      </c>
      <c r="E1225" s="2">
        <f ca="1">IFERROR(__xludf.DUMMYFUNCTION("""COMPUTED_VALUE"""),84.83)</f>
        <v>84.83</v>
      </c>
      <c r="F1225" s="2">
        <f ca="1">IFERROR(__xludf.DUMMYFUNCTION("""COMPUTED_VALUE"""),100.01)</f>
        <v>100.01</v>
      </c>
      <c r="G1225" s="2">
        <f ca="1">IFERROR(__xludf.DUMMYFUNCTION("""COMPUTED_VALUE"""),0.58891)</f>
        <v>0.58891000000000004</v>
      </c>
      <c r="H1225" s="2">
        <f ca="1">IFERROR(__xludf.DUMMYFUNCTION("""COMPUTED_VALUE"""),57.366)</f>
        <v>57.366</v>
      </c>
      <c r="I1225" s="2">
        <f ca="1">IFERROR(__xludf.DUMMYFUNCTION("""COMPUTED_VALUE"""),59.295)</f>
        <v>59.295000000000002</v>
      </c>
      <c r="J1225" s="2">
        <f ca="1">IFERROR(__xludf.DUMMYFUNCTION("""COMPUTED_VALUE"""),49.8)</f>
        <v>49.8</v>
      </c>
      <c r="K1225" s="2">
        <f ca="1">IFERROR(__xludf.DUMMYFUNCTION("""COMPUTED_VALUE"""),68.568)</f>
        <v>68.567999999999998</v>
      </c>
      <c r="L1225" s="2">
        <f ca="1">IFERROR(__xludf.DUMMYFUNCTION("""COMPUTED_VALUE"""),10.06736)</f>
        <v>10.067360000000001</v>
      </c>
      <c r="M1225" s="2">
        <f ca="1">IFERROR(__xludf.DUMMYFUNCTION("""COMPUTED_VALUE"""),16.932)</f>
        <v>16.931999999999999</v>
      </c>
      <c r="U1225" s="3" t="e">
        <f ca="1"/>
        <v>#NAME?</v>
      </c>
    </row>
    <row r="1226" spans="3:21" ht="12.5" x14ac:dyDescent="0.25">
      <c r="C1226" s="4">
        <f ca="1">IFERROR(__xludf.DUMMYFUNCTION("""COMPUTED_VALUE"""),41568.9986111111)</f>
        <v>41568.998611111099</v>
      </c>
      <c r="D1226" s="2">
        <f ca="1">IFERROR(__xludf.DUMMYFUNCTION("""COMPUTED_VALUE"""),60.62)</f>
        <v>60.62</v>
      </c>
      <c r="E1226" s="2">
        <f ca="1">IFERROR(__xludf.DUMMYFUNCTION("""COMPUTED_VALUE"""),84.807)</f>
        <v>84.807000000000002</v>
      </c>
      <c r="F1226" s="2">
        <f ca="1">IFERROR(__xludf.DUMMYFUNCTION("""COMPUTED_VALUE"""),100.55)</f>
        <v>100.55</v>
      </c>
      <c r="G1226" s="2">
        <f ca="1">IFERROR(__xludf.DUMMYFUNCTION("""COMPUTED_VALUE"""),0.5856)</f>
        <v>0.58560000000000001</v>
      </c>
      <c r="H1226" s="2">
        <f ca="1">IFERROR(__xludf.DUMMYFUNCTION("""COMPUTED_VALUE"""),56.968)</f>
        <v>56.968000000000004</v>
      </c>
      <c r="I1226" s="2">
        <f ca="1">IFERROR(__xludf.DUMMYFUNCTION("""COMPUTED_VALUE"""),59.235)</f>
        <v>59.234999999999999</v>
      </c>
      <c r="J1226" s="2">
        <f ca="1">IFERROR(__xludf.DUMMYFUNCTION("""COMPUTED_VALUE"""),49.965)</f>
        <v>49.965000000000003</v>
      </c>
      <c r="K1226" s="2">
        <f ca="1">IFERROR(__xludf.DUMMYFUNCTION("""COMPUTED_VALUE"""),68.121)</f>
        <v>68.120999999999995</v>
      </c>
      <c r="L1226" s="2">
        <f ca="1">IFERROR(__xludf.DUMMYFUNCTION("""COMPUTED_VALUE"""),10.08561)</f>
        <v>10.085610000000001</v>
      </c>
      <c r="M1226" s="2">
        <f ca="1">IFERROR(__xludf.DUMMYFUNCTION("""COMPUTED_VALUE"""),16.942)</f>
        <v>16.942</v>
      </c>
      <c r="U1226" s="3" t="e">
        <f ca="1"/>
        <v>#NAME?</v>
      </c>
    </row>
    <row r="1227" spans="3:21" ht="12.5" x14ac:dyDescent="0.25">
      <c r="C1227" s="4">
        <f ca="1">IFERROR(__xludf.DUMMYFUNCTION("""COMPUTED_VALUE"""),41569.9986111111)</f>
        <v>41569.998611111099</v>
      </c>
      <c r="D1227" s="2">
        <f ca="1">IFERROR(__xludf.DUMMYFUNCTION("""COMPUTED_VALUE"""),61.19)</f>
        <v>61.19</v>
      </c>
      <c r="E1227" s="2">
        <f ca="1">IFERROR(__xludf.DUMMYFUNCTION("""COMPUTED_VALUE"""),84.809)</f>
        <v>84.808999999999997</v>
      </c>
      <c r="F1227" s="2">
        <f ca="1">IFERROR(__xludf.DUMMYFUNCTION("""COMPUTED_VALUE"""),100.6)</f>
        <v>100.6</v>
      </c>
      <c r="G1227" s="2">
        <f ca="1">IFERROR(__xludf.DUMMYFUNCTION("""COMPUTED_VALUE"""),0.5895)</f>
        <v>0.58950000000000002</v>
      </c>
      <c r="H1227" s="2">
        <f ca="1">IFERROR(__xludf.DUMMYFUNCTION("""COMPUTED_VALUE"""),56.381)</f>
        <v>56.381</v>
      </c>
      <c r="I1227" s="2">
        <f ca="1">IFERROR(__xludf.DUMMYFUNCTION("""COMPUTED_VALUE"""),58.613)</f>
        <v>58.613</v>
      </c>
      <c r="J1227" s="2">
        <f ca="1">IFERROR(__xludf.DUMMYFUNCTION("""COMPUTED_VALUE"""),49.917)</f>
        <v>49.917000000000002</v>
      </c>
      <c r="K1227" s="2">
        <f ca="1">IFERROR(__xludf.DUMMYFUNCTION("""COMPUTED_VALUE"""),69.003)</f>
        <v>69.003</v>
      </c>
      <c r="L1227" s="2">
        <f ca="1">IFERROR(__xludf.DUMMYFUNCTION("""COMPUTED_VALUE"""),10.04977)</f>
        <v>10.049770000000001</v>
      </c>
      <c r="M1227" s="2">
        <f ca="1">IFERROR(__xludf.DUMMYFUNCTION("""COMPUTED_VALUE"""),16.942)</f>
        <v>16.942</v>
      </c>
      <c r="U1227" s="3" t="e">
        <f ca="1"/>
        <v>#NAME?</v>
      </c>
    </row>
    <row r="1228" spans="3:21" ht="12.5" x14ac:dyDescent="0.25">
      <c r="C1228" s="4">
        <f ca="1">IFERROR(__xludf.DUMMYFUNCTION("""COMPUTED_VALUE"""),41570.9986111111)</f>
        <v>41570.998611111099</v>
      </c>
      <c r="D1228" s="2">
        <f ca="1">IFERROR(__xludf.DUMMYFUNCTION("""COMPUTED_VALUE"""),61.52)</f>
        <v>61.52</v>
      </c>
      <c r="E1228" s="2">
        <f ca="1">IFERROR(__xludf.DUMMYFUNCTION("""COMPUTED_VALUE"""),84.888)</f>
        <v>84.888000000000005</v>
      </c>
      <c r="F1228" s="2">
        <f ca="1">IFERROR(__xludf.DUMMYFUNCTION("""COMPUTED_VALUE"""),100.61)</f>
        <v>100.61</v>
      </c>
      <c r="G1228" s="2">
        <f ca="1">IFERROR(__xludf.DUMMYFUNCTION("""COMPUTED_VALUE"""),0.58636)</f>
        <v>0.58635999999999999</v>
      </c>
      <c r="H1228" s="2">
        <f ca="1">IFERROR(__xludf.DUMMYFUNCTION("""COMPUTED_VALUE"""),56.636)</f>
        <v>56.636000000000003</v>
      </c>
      <c r="I1228" s="2">
        <f ca="1">IFERROR(__xludf.DUMMYFUNCTION("""COMPUTED_VALUE"""),58.901)</f>
        <v>58.901000000000003</v>
      </c>
      <c r="J1228" s="2">
        <f ca="1">IFERROR(__xludf.DUMMYFUNCTION("""COMPUTED_VALUE"""),49.461)</f>
        <v>49.460999999999999</v>
      </c>
      <c r="K1228" s="2">
        <f ca="1">IFERROR(__xludf.DUMMYFUNCTION("""COMPUTED_VALUE"""),69.464)</f>
        <v>69.463999999999999</v>
      </c>
      <c r="L1228" s="2">
        <f ca="1">IFERROR(__xludf.DUMMYFUNCTION("""COMPUTED_VALUE"""),10.04102)</f>
        <v>10.04102</v>
      </c>
      <c r="M1228" s="2">
        <f ca="1">IFERROR(__xludf.DUMMYFUNCTION("""COMPUTED_VALUE"""),17.076)</f>
        <v>17.076000000000001</v>
      </c>
      <c r="U1228" s="3" t="e">
        <f ca="1"/>
        <v>#NAME?</v>
      </c>
    </row>
    <row r="1229" spans="3:21" ht="12.5" x14ac:dyDescent="0.25">
      <c r="C1229" s="4">
        <f ca="1">IFERROR(__xludf.DUMMYFUNCTION("""COMPUTED_VALUE"""),41571.9986111111)</f>
        <v>41571.998611111099</v>
      </c>
      <c r="D1229" s="2">
        <f ca="1">IFERROR(__xludf.DUMMYFUNCTION("""COMPUTED_VALUE"""),61.45)</f>
        <v>61.45</v>
      </c>
      <c r="E1229" s="2">
        <f ca="1">IFERROR(__xludf.DUMMYFUNCTION("""COMPUTED_VALUE"""),84.314)</f>
        <v>84.313999999999993</v>
      </c>
      <c r="F1229" s="2">
        <f ca="1">IFERROR(__xludf.DUMMYFUNCTION("""COMPUTED_VALUE"""),100.95)</f>
        <v>100.95</v>
      </c>
      <c r="G1229" s="2">
        <f ca="1">IFERROR(__xludf.DUMMYFUNCTION("""COMPUTED_VALUE"""),0.58721)</f>
        <v>0.58721000000000001</v>
      </c>
      <c r="H1229" s="2">
        <f ca="1">IFERROR(__xludf.DUMMYFUNCTION("""COMPUTED_VALUE"""),56.841)</f>
        <v>56.841000000000001</v>
      </c>
      <c r="I1229" s="2">
        <f ca="1">IFERROR(__xludf.DUMMYFUNCTION("""COMPUTED_VALUE"""),58.773)</f>
        <v>58.773000000000003</v>
      </c>
      <c r="J1229" s="2">
        <f ca="1">IFERROR(__xludf.DUMMYFUNCTION("""COMPUTED_VALUE"""),49.65)</f>
        <v>49.65</v>
      </c>
      <c r="K1229" s="2">
        <f ca="1">IFERROR(__xludf.DUMMYFUNCTION("""COMPUTED_VALUE"""),69.097)</f>
        <v>69.096999999999994</v>
      </c>
      <c r="L1229" s="2">
        <f ca="1">IFERROR(__xludf.DUMMYFUNCTION("""COMPUTED_VALUE"""),10.02844)</f>
        <v>10.02844</v>
      </c>
      <c r="M1229" s="2">
        <f ca="1">IFERROR(__xludf.DUMMYFUNCTION("""COMPUTED_VALUE"""),17.065)</f>
        <v>17.065000000000001</v>
      </c>
      <c r="U1229" s="3" t="e">
        <f ca="1"/>
        <v>#NAME?</v>
      </c>
    </row>
    <row r="1230" spans="3:21" ht="12.5" x14ac:dyDescent="0.25">
      <c r="C1230" s="4">
        <f ca="1">IFERROR(__xludf.DUMMYFUNCTION("""COMPUTED_VALUE"""),41572.9986111111)</f>
        <v>41572.998611111099</v>
      </c>
      <c r="D1230" s="2">
        <f ca="1">IFERROR(__xludf.DUMMYFUNCTION("""COMPUTED_VALUE"""),61.458)</f>
        <v>61.457999999999998</v>
      </c>
      <c r="E1230" s="2">
        <f ca="1">IFERROR(__xludf.DUMMYFUNCTION("""COMPUTED_VALUE"""),84.69)</f>
        <v>84.69</v>
      </c>
      <c r="F1230" s="2">
        <f ca="1">IFERROR(__xludf.DUMMYFUNCTION("""COMPUTED_VALUE"""),99.805)</f>
        <v>99.805000000000007</v>
      </c>
      <c r="G1230" s="2">
        <f ca="1">IFERROR(__xludf.DUMMYFUNCTION("""COMPUTED_VALUE"""),0.59346)</f>
        <v>0.59345999999999999</v>
      </c>
      <c r="H1230" s="2">
        <f ca="1">IFERROR(__xludf.DUMMYFUNCTION("""COMPUTED_VALUE"""),56.839)</f>
        <v>56.838999999999999</v>
      </c>
      <c r="I1230" s="2">
        <f ca="1">IFERROR(__xludf.DUMMYFUNCTION("""COMPUTED_VALUE"""),58.773)</f>
        <v>58.773000000000003</v>
      </c>
      <c r="J1230" s="2">
        <f ca="1">IFERROR(__xludf.DUMMYFUNCTION("""COMPUTED_VALUE"""),49.715)</f>
        <v>49.715000000000003</v>
      </c>
      <c r="K1230" s="2">
        <f ca="1">IFERROR(__xludf.DUMMYFUNCTION("""COMPUTED_VALUE"""),68.865)</f>
        <v>68.864999999999995</v>
      </c>
      <c r="L1230" s="2">
        <f ca="1">IFERROR(__xludf.DUMMYFUNCTION("""COMPUTED_VALUE"""),10.01229)</f>
        <v>10.01229</v>
      </c>
      <c r="M1230" s="2">
        <f ca="1">IFERROR(__xludf.DUMMYFUNCTION("""COMPUTED_VALUE"""),17.076)</f>
        <v>17.076000000000001</v>
      </c>
      <c r="U1230" s="3" t="e">
        <f ca="1"/>
        <v>#NAME?</v>
      </c>
    </row>
    <row r="1231" spans="3:21" ht="12.5" x14ac:dyDescent="0.25">
      <c r="C1231" s="4">
        <f ca="1">IFERROR(__xludf.DUMMYFUNCTION("""COMPUTED_VALUE"""),41573.9986111111)</f>
        <v>41573.998611111099</v>
      </c>
      <c r="D1231" s="2">
        <f ca="1">IFERROR(__xludf.DUMMYFUNCTION("""COMPUTED_VALUE"""),61.458)</f>
        <v>61.457999999999998</v>
      </c>
      <c r="E1231" s="2">
        <f ca="1">IFERROR(__xludf.DUMMYFUNCTION("""COMPUTED_VALUE"""),84.232)</f>
        <v>84.231999999999999</v>
      </c>
      <c r="F1231" s="2">
        <f ca="1">IFERROR(__xludf.DUMMYFUNCTION("""COMPUTED_VALUE"""),100.72)</f>
        <v>100.72</v>
      </c>
      <c r="G1231" s="2">
        <f ca="1">IFERROR(__xludf.DUMMYFUNCTION("""COMPUTED_VALUE"""),0.59255)</f>
        <v>0.59255000000000002</v>
      </c>
      <c r="H1231" s="2">
        <f ca="1">IFERROR(__xludf.DUMMYFUNCTION("""COMPUTED_VALUE"""),57.023)</f>
        <v>57.023000000000003</v>
      </c>
      <c r="I1231" s="2">
        <f ca="1">IFERROR(__xludf.DUMMYFUNCTION("""COMPUTED_VALUE"""),58.801)</f>
        <v>58.801000000000002</v>
      </c>
      <c r="J1231" s="2">
        <f ca="1">IFERROR(__xludf.DUMMYFUNCTION("""COMPUTED_VALUE"""),49.715)</f>
        <v>49.715000000000003</v>
      </c>
      <c r="K1231" s="2">
        <f ca="1">IFERROR(__xludf.DUMMYFUNCTION("""COMPUTED_VALUE"""),69.122)</f>
        <v>69.122</v>
      </c>
      <c r="L1231" s="2">
        <f ca="1">IFERROR(__xludf.DUMMYFUNCTION("""COMPUTED_VALUE"""),9.994668)</f>
        <v>9.9946680000000008</v>
      </c>
      <c r="M1231" s="2">
        <f ca="1">IFERROR(__xludf.DUMMYFUNCTION("""COMPUTED_VALUE"""),16.997)</f>
        <v>16.997</v>
      </c>
      <c r="U1231" s="3" t="e">
        <f ca="1"/>
        <v>#NAME?</v>
      </c>
    </row>
    <row r="1232" spans="3:21" ht="12.5" x14ac:dyDescent="0.25">
      <c r="C1232" s="4">
        <f ca="1">IFERROR(__xludf.DUMMYFUNCTION("""COMPUTED_VALUE"""),41574.9986111111)</f>
        <v>41574.998611111099</v>
      </c>
      <c r="D1232" s="2">
        <f ca="1">IFERROR(__xludf.DUMMYFUNCTION("""COMPUTED_VALUE"""),61.44)</f>
        <v>61.44</v>
      </c>
      <c r="E1232" s="2">
        <f ca="1">IFERROR(__xludf.DUMMYFUNCTION("""COMPUTED_VALUE"""),84.347)</f>
        <v>84.346999999999994</v>
      </c>
      <c r="F1232" s="2">
        <f ca="1">IFERROR(__xludf.DUMMYFUNCTION("""COMPUTED_VALUE"""),102.15)</f>
        <v>102.15</v>
      </c>
      <c r="G1232" s="2">
        <f ca="1">IFERROR(__xludf.DUMMYFUNCTION("""COMPUTED_VALUE"""),0.59274)</f>
        <v>0.59274000000000004</v>
      </c>
      <c r="H1232" s="2">
        <f ca="1">IFERROR(__xludf.DUMMYFUNCTION("""COMPUTED_VALUE"""),56.754)</f>
        <v>56.753999999999998</v>
      </c>
      <c r="I1232" s="2">
        <f ca="1">IFERROR(__xludf.DUMMYFUNCTION("""COMPUTED_VALUE"""),58.489)</f>
        <v>58.488999999999997</v>
      </c>
      <c r="J1232" s="2">
        <f ca="1">IFERROR(__xludf.DUMMYFUNCTION("""COMPUTED_VALUE"""),49.789)</f>
        <v>49.789000000000001</v>
      </c>
      <c r="K1232" s="2">
        <f ca="1">IFERROR(__xludf.DUMMYFUNCTION("""COMPUTED_VALUE"""),68.623)</f>
        <v>68.623000000000005</v>
      </c>
      <c r="L1232" s="2">
        <f ca="1">IFERROR(__xludf.DUMMYFUNCTION("""COMPUTED_VALUE"""),9.99822)</f>
        <v>9.9982199999999999</v>
      </c>
      <c r="M1232" s="2">
        <f ca="1">IFERROR(__xludf.DUMMYFUNCTION("""COMPUTED_VALUE"""),16.806)</f>
        <v>16.806000000000001</v>
      </c>
      <c r="U1232" s="3" t="e">
        <f ca="1"/>
        <v>#NAME?</v>
      </c>
    </row>
    <row r="1233" spans="3:21" ht="12.5" x14ac:dyDescent="0.25">
      <c r="C1233" s="4">
        <f ca="1">IFERROR(__xludf.DUMMYFUNCTION("""COMPUTED_VALUE"""),41575.9986111111)</f>
        <v>41575.998611111099</v>
      </c>
      <c r="D1233" s="2">
        <f ca="1">IFERROR(__xludf.DUMMYFUNCTION("""COMPUTED_VALUE"""),61.51)</f>
        <v>61.51</v>
      </c>
      <c r="E1233" s="2">
        <f ca="1">IFERROR(__xludf.DUMMYFUNCTION("""COMPUTED_VALUE"""),84.12)</f>
        <v>84.12</v>
      </c>
      <c r="F1233" s="2">
        <f ca="1">IFERROR(__xludf.DUMMYFUNCTION("""COMPUTED_VALUE"""),98.941)</f>
        <v>98.941000000000003</v>
      </c>
      <c r="G1233" s="2">
        <f ca="1">IFERROR(__xludf.DUMMYFUNCTION("""COMPUTED_VALUE"""),0.59322)</f>
        <v>0.59321999999999997</v>
      </c>
      <c r="H1233" s="2">
        <f ca="1">IFERROR(__xludf.DUMMYFUNCTION("""COMPUTED_VALUE"""),56.95)</f>
        <v>56.95</v>
      </c>
      <c r="I1233" s="2">
        <f ca="1">IFERROR(__xludf.DUMMYFUNCTION("""COMPUTED_VALUE"""),58.565)</f>
        <v>58.564999999999998</v>
      </c>
      <c r="J1233" s="2">
        <f ca="1">IFERROR(__xludf.DUMMYFUNCTION("""COMPUTED_VALUE"""),49.561)</f>
        <v>49.561</v>
      </c>
      <c r="K1233" s="2">
        <f ca="1">IFERROR(__xludf.DUMMYFUNCTION("""COMPUTED_VALUE"""),67.716)</f>
        <v>67.715999999999994</v>
      </c>
      <c r="L1233" s="2">
        <f ca="1">IFERROR(__xludf.DUMMYFUNCTION("""COMPUTED_VALUE"""),10.02866)</f>
        <v>10.02866</v>
      </c>
      <c r="M1233" s="2">
        <f ca="1">IFERROR(__xludf.DUMMYFUNCTION("""COMPUTED_VALUE"""),17.018)</f>
        <v>17.018000000000001</v>
      </c>
      <c r="U1233" s="3" t="e">
        <f ca="1"/>
        <v>#NAME?</v>
      </c>
    </row>
    <row r="1234" spans="3:21" ht="12.5" x14ac:dyDescent="0.25">
      <c r="C1234" s="4">
        <f ca="1">IFERROR(__xludf.DUMMYFUNCTION("""COMPUTED_VALUE"""),41576.9986111111)</f>
        <v>41576.998611111099</v>
      </c>
      <c r="D1234" s="2">
        <f ca="1">IFERROR(__xludf.DUMMYFUNCTION("""COMPUTED_VALUE"""),61.45)</f>
        <v>61.45</v>
      </c>
      <c r="E1234" s="2">
        <f ca="1">IFERROR(__xludf.DUMMYFUNCTION("""COMPUTED_VALUE"""),84.12)</f>
        <v>84.12</v>
      </c>
      <c r="F1234" s="2">
        <f ca="1">IFERROR(__xludf.DUMMYFUNCTION("""COMPUTED_VALUE"""),99.6)</f>
        <v>99.6</v>
      </c>
      <c r="G1234" s="2">
        <f ca="1">IFERROR(__xludf.DUMMYFUNCTION("""COMPUTED_VALUE"""),0.59728)</f>
        <v>0.59728000000000003</v>
      </c>
      <c r="H1234" s="2">
        <f ca="1">IFERROR(__xludf.DUMMYFUNCTION("""COMPUTED_VALUE"""),56.005)</f>
        <v>56.005000000000003</v>
      </c>
      <c r="I1234" s="2">
        <f ca="1">IFERROR(__xludf.DUMMYFUNCTION("""COMPUTED_VALUE"""),58.074)</f>
        <v>58.073999999999998</v>
      </c>
      <c r="J1234" s="2">
        <f ca="1">IFERROR(__xludf.DUMMYFUNCTION("""COMPUTED_VALUE"""),49.734)</f>
        <v>49.734000000000002</v>
      </c>
      <c r="K1234" s="2">
        <f ca="1">IFERROR(__xludf.DUMMYFUNCTION("""COMPUTED_VALUE"""),67.399)</f>
        <v>67.399000000000001</v>
      </c>
      <c r="L1234" s="2">
        <f ca="1">IFERROR(__xludf.DUMMYFUNCTION("""COMPUTED_VALUE"""),10.01341)</f>
        <v>10.01341</v>
      </c>
      <c r="M1234" s="2">
        <f ca="1">IFERROR(__xludf.DUMMYFUNCTION("""COMPUTED_VALUE"""),17.018)</f>
        <v>17.018000000000001</v>
      </c>
      <c r="U1234" s="3" t="e">
        <f ca="1"/>
        <v>#NAME?</v>
      </c>
    </row>
    <row r="1235" spans="3:21" ht="12.5" x14ac:dyDescent="0.25">
      <c r="C1235" s="4">
        <f ca="1">IFERROR(__xludf.DUMMYFUNCTION("""COMPUTED_VALUE"""),41577.9986111111)</f>
        <v>41577.998611111099</v>
      </c>
      <c r="D1235" s="2">
        <f ca="1">IFERROR(__xludf.DUMMYFUNCTION("""COMPUTED_VALUE"""),61.32)</f>
        <v>61.32</v>
      </c>
      <c r="E1235" s="2">
        <f ca="1">IFERROR(__xludf.DUMMYFUNCTION("""COMPUTED_VALUE"""),83.815)</f>
        <v>83.814999999999998</v>
      </c>
      <c r="F1235" s="2">
        <f ca="1">IFERROR(__xludf.DUMMYFUNCTION("""COMPUTED_VALUE"""),99.599)</f>
        <v>99.599000000000004</v>
      </c>
      <c r="G1235" s="2">
        <f ca="1">IFERROR(__xludf.DUMMYFUNCTION("""COMPUTED_VALUE"""),0.59463)</f>
        <v>0.59462999999999999</v>
      </c>
      <c r="H1235" s="2">
        <f ca="1">IFERROR(__xludf.DUMMYFUNCTION("""COMPUTED_VALUE"""),55.922)</f>
        <v>55.921999999999997</v>
      </c>
      <c r="I1235" s="2">
        <f ca="1">IFERROR(__xludf.DUMMYFUNCTION("""COMPUTED_VALUE"""),57.939)</f>
        <v>57.939</v>
      </c>
      <c r="J1235" s="2">
        <f ca="1">IFERROR(__xludf.DUMMYFUNCTION("""COMPUTED_VALUE"""),49.42)</f>
        <v>49.42</v>
      </c>
      <c r="K1235" s="2">
        <f ca="1">IFERROR(__xludf.DUMMYFUNCTION("""COMPUTED_VALUE"""),67.8)</f>
        <v>67.8</v>
      </c>
      <c r="L1235" s="2">
        <f ca="1">IFERROR(__xludf.DUMMYFUNCTION("""COMPUTED_VALUE"""),9.999363)</f>
        <v>9.9993630000000007</v>
      </c>
      <c r="M1235" s="2">
        <f ca="1">IFERROR(__xludf.DUMMYFUNCTION("""COMPUTED_VALUE"""),17.128)</f>
        <v>17.128</v>
      </c>
      <c r="U1235" s="3" t="e">
        <f ca="1"/>
        <v>#NAME?</v>
      </c>
    </row>
    <row r="1236" spans="3:21" ht="12.5" x14ac:dyDescent="0.25">
      <c r="C1236" s="4">
        <f ca="1">IFERROR(__xludf.DUMMYFUNCTION("""COMPUTED_VALUE"""),41578.9986111111)</f>
        <v>41578.998611111099</v>
      </c>
      <c r="D1236" s="2">
        <f ca="1">IFERROR(__xludf.DUMMYFUNCTION("""COMPUTED_VALUE"""),62.22)</f>
        <v>62.22</v>
      </c>
      <c r="E1236" s="2">
        <f ca="1">IFERROR(__xludf.DUMMYFUNCTION("""COMPUTED_VALUE"""),83.923)</f>
        <v>83.923000000000002</v>
      </c>
      <c r="F1236" s="2">
        <f ca="1">IFERROR(__xludf.DUMMYFUNCTION("""COMPUTED_VALUE"""),100.38)</f>
        <v>100.38</v>
      </c>
      <c r="G1236" s="2">
        <f ca="1">IFERROR(__xludf.DUMMYFUNCTION("""COMPUTED_VALUE"""),0.59232)</f>
        <v>0.59231999999999996</v>
      </c>
      <c r="H1236" s="2">
        <f ca="1">IFERROR(__xludf.DUMMYFUNCTION("""COMPUTED_VALUE"""),55.862)</f>
        <v>55.862000000000002</v>
      </c>
      <c r="I1236" s="2">
        <f ca="1">IFERROR(__xludf.DUMMYFUNCTION("""COMPUTED_VALUE"""),57.68)</f>
        <v>57.68</v>
      </c>
      <c r="J1236" s="2">
        <f ca="1">IFERROR(__xludf.DUMMYFUNCTION("""COMPUTED_VALUE"""),49.23)</f>
        <v>49.23</v>
      </c>
      <c r="K1236" s="2">
        <f ca="1">IFERROR(__xludf.DUMMYFUNCTION("""COMPUTED_VALUE"""),68.203)</f>
        <v>68.203000000000003</v>
      </c>
      <c r="L1236" s="2">
        <f ca="1">IFERROR(__xludf.DUMMYFUNCTION("""COMPUTED_VALUE"""),10.02088)</f>
        <v>10.02088</v>
      </c>
      <c r="M1236" s="2">
        <f ca="1">IFERROR(__xludf.DUMMYFUNCTION("""COMPUTED_VALUE"""),17.038)</f>
        <v>17.038</v>
      </c>
      <c r="U1236" s="3" t="e">
        <f ca="1"/>
        <v>#NAME?</v>
      </c>
    </row>
    <row r="1237" spans="3:21" ht="12.5" x14ac:dyDescent="0.25">
      <c r="C1237" s="4">
        <f ca="1">IFERROR(__xludf.DUMMYFUNCTION("""COMPUTED_VALUE"""),41579.9986111111)</f>
        <v>41579.998611111099</v>
      </c>
      <c r="D1237" s="2">
        <f ca="1">IFERROR(__xludf.DUMMYFUNCTION("""COMPUTED_VALUE"""),61.743)</f>
        <v>61.743000000000002</v>
      </c>
      <c r="E1237" s="2">
        <f ca="1">IFERROR(__xludf.DUMMYFUNCTION("""COMPUTED_VALUE"""),83.934)</f>
        <v>83.933999999999997</v>
      </c>
      <c r="F1237" s="2">
        <f ca="1">IFERROR(__xludf.DUMMYFUNCTION("""COMPUTED_VALUE"""),100.34)</f>
        <v>100.34</v>
      </c>
      <c r="G1237" s="2">
        <f ca="1">IFERROR(__xludf.DUMMYFUNCTION("""COMPUTED_VALUE"""),0.59165)</f>
        <v>0.59165000000000001</v>
      </c>
      <c r="H1237" s="2">
        <f ca="1">IFERROR(__xludf.DUMMYFUNCTION("""COMPUTED_VALUE"""),55.879)</f>
        <v>55.878999999999998</v>
      </c>
      <c r="I1237" s="2">
        <f ca="1">IFERROR(__xludf.DUMMYFUNCTION("""COMPUTED_VALUE"""),57.68)</f>
        <v>57.68</v>
      </c>
      <c r="J1237" s="2">
        <f ca="1">IFERROR(__xludf.DUMMYFUNCTION("""COMPUTED_VALUE"""),49.117)</f>
        <v>49.116999999999997</v>
      </c>
      <c r="K1237" s="2">
        <f ca="1">IFERROR(__xludf.DUMMYFUNCTION("""COMPUTED_VALUE"""),68.527)</f>
        <v>68.527000000000001</v>
      </c>
      <c r="L1237" s="2">
        <f ca="1">IFERROR(__xludf.DUMMYFUNCTION("""COMPUTED_VALUE"""),10.04652)</f>
        <v>10.046519999999999</v>
      </c>
      <c r="M1237" s="2">
        <f ca="1">IFERROR(__xludf.DUMMYFUNCTION("""COMPUTED_VALUE"""),17.046)</f>
        <v>17.045999999999999</v>
      </c>
      <c r="U1237" s="3" t="e">
        <f ca="1"/>
        <v>#NAME?</v>
      </c>
    </row>
    <row r="1238" spans="3:21" ht="12.5" x14ac:dyDescent="0.25">
      <c r="C1238" s="4">
        <f ca="1">IFERROR(__xludf.DUMMYFUNCTION("""COMPUTED_VALUE"""),41580.9986111111)</f>
        <v>41580.998611111099</v>
      </c>
      <c r="D1238" s="2">
        <f ca="1">IFERROR(__xludf.DUMMYFUNCTION("""COMPUTED_VALUE"""),61.743)</f>
        <v>61.743000000000002</v>
      </c>
      <c r="E1238" s="2">
        <f ca="1">IFERROR(__xludf.DUMMYFUNCTION("""COMPUTED_VALUE"""),84.907)</f>
        <v>84.906999999999996</v>
      </c>
      <c r="F1238" s="2">
        <f ca="1">IFERROR(__xludf.DUMMYFUNCTION("""COMPUTED_VALUE"""),100.36)</f>
        <v>100.36</v>
      </c>
      <c r="G1238" s="2">
        <f ca="1">IFERROR(__xludf.DUMMYFUNCTION("""COMPUTED_VALUE"""),0.5938)</f>
        <v>0.59379999999999999</v>
      </c>
      <c r="H1238" s="2">
        <f ca="1">IFERROR(__xludf.DUMMYFUNCTION("""COMPUTED_VALUE"""),55.677)</f>
        <v>55.677</v>
      </c>
      <c r="I1238" s="2">
        <f ca="1">IFERROR(__xludf.DUMMYFUNCTION("""COMPUTED_VALUE"""),57.391)</f>
        <v>57.390999999999998</v>
      </c>
      <c r="J1238" s="2">
        <f ca="1">IFERROR(__xludf.DUMMYFUNCTION("""COMPUTED_VALUE"""),49.117)</f>
        <v>49.116999999999997</v>
      </c>
      <c r="K1238" s="2">
        <f ca="1">IFERROR(__xludf.DUMMYFUNCTION("""COMPUTED_VALUE"""),67.858)</f>
        <v>67.858000000000004</v>
      </c>
      <c r="L1238" s="2">
        <f ca="1">IFERROR(__xludf.DUMMYFUNCTION("""COMPUTED_VALUE"""),10.08647)</f>
        <v>10.08647</v>
      </c>
      <c r="M1238" s="2">
        <f ca="1">IFERROR(__xludf.DUMMYFUNCTION("""COMPUTED_VALUE"""),16.899)</f>
        <v>16.899000000000001</v>
      </c>
      <c r="U1238" s="3" t="e">
        <f ca="1"/>
        <v>#NAME?</v>
      </c>
    </row>
    <row r="1239" spans="3:21" ht="12.5" x14ac:dyDescent="0.25">
      <c r="C1239" s="4">
        <f ca="1">IFERROR(__xludf.DUMMYFUNCTION("""COMPUTED_VALUE"""),41581.9986111111)</f>
        <v>41581.998611111099</v>
      </c>
      <c r="D1239" s="2">
        <f ca="1">IFERROR(__xludf.DUMMYFUNCTION("""COMPUTED_VALUE"""),62.2)</f>
        <v>62.2</v>
      </c>
      <c r="E1239" s="2">
        <f ca="1">IFERROR(__xludf.DUMMYFUNCTION("""COMPUTED_VALUE"""),84.929)</f>
        <v>84.929000000000002</v>
      </c>
      <c r="F1239" s="2">
        <f ca="1">IFERROR(__xludf.DUMMYFUNCTION("""COMPUTED_VALUE"""),100.29)</f>
        <v>100.29</v>
      </c>
      <c r="G1239" s="2">
        <f ca="1">IFERROR(__xludf.DUMMYFUNCTION("""COMPUTED_VALUE"""),0.59431)</f>
        <v>0.59431</v>
      </c>
      <c r="H1239" s="2">
        <f ca="1">IFERROR(__xludf.DUMMYFUNCTION("""COMPUTED_VALUE"""),55.538)</f>
        <v>55.537999999999997</v>
      </c>
      <c r="I1239" s="2">
        <f ca="1">IFERROR(__xludf.DUMMYFUNCTION("""COMPUTED_VALUE"""),57.424)</f>
        <v>57.423999999999999</v>
      </c>
      <c r="J1239" s="2">
        <f ca="1">IFERROR(__xludf.DUMMYFUNCTION("""COMPUTED_VALUE"""),48.887)</f>
        <v>48.887</v>
      </c>
      <c r="K1239" s="2">
        <f ca="1">IFERROR(__xludf.DUMMYFUNCTION("""COMPUTED_VALUE"""),67.321)</f>
        <v>67.320999999999998</v>
      </c>
      <c r="L1239" s="2">
        <f ca="1">IFERROR(__xludf.DUMMYFUNCTION("""COMPUTED_VALUE"""),10.04684)</f>
        <v>10.04684</v>
      </c>
      <c r="M1239" s="2">
        <f ca="1">IFERROR(__xludf.DUMMYFUNCTION("""COMPUTED_VALUE"""),16.869)</f>
        <v>16.869</v>
      </c>
      <c r="U1239" s="3" t="e">
        <f ca="1"/>
        <v>#NAME?</v>
      </c>
    </row>
    <row r="1240" spans="3:21" ht="12.5" x14ac:dyDescent="0.25">
      <c r="C1240" s="4">
        <f ca="1">IFERROR(__xludf.DUMMYFUNCTION("""COMPUTED_VALUE"""),41582.9986111111)</f>
        <v>41582.998611111099</v>
      </c>
      <c r="D1240" s="2">
        <f ca="1">IFERROR(__xludf.DUMMYFUNCTION("""COMPUTED_VALUE"""),61.98)</f>
        <v>61.98</v>
      </c>
      <c r="E1240" s="2">
        <f ca="1">IFERROR(__xludf.DUMMYFUNCTION("""COMPUTED_VALUE"""),85.395)</f>
        <v>85.394999999999996</v>
      </c>
      <c r="F1240" s="2">
        <f ca="1">IFERROR(__xludf.DUMMYFUNCTION("""COMPUTED_VALUE"""),99.466)</f>
        <v>99.465999999999994</v>
      </c>
      <c r="G1240" s="2">
        <f ca="1">IFERROR(__xludf.DUMMYFUNCTION("""COMPUTED_VALUE"""),0.59043)</f>
        <v>0.59043000000000001</v>
      </c>
      <c r="H1240" s="2">
        <f ca="1">IFERROR(__xludf.DUMMYFUNCTION("""COMPUTED_VALUE"""),55.781)</f>
        <v>55.780999999999999</v>
      </c>
      <c r="I1240" s="2">
        <f ca="1">IFERROR(__xludf.DUMMYFUNCTION("""COMPUTED_VALUE"""),57.506)</f>
        <v>57.506</v>
      </c>
      <c r="J1240" s="2">
        <f ca="1">IFERROR(__xludf.DUMMYFUNCTION("""COMPUTED_VALUE"""),48.894)</f>
        <v>48.893999999999998</v>
      </c>
      <c r="K1240" s="2">
        <f ca="1">IFERROR(__xludf.DUMMYFUNCTION("""COMPUTED_VALUE"""),66.862)</f>
        <v>66.861999999999995</v>
      </c>
      <c r="L1240" s="2">
        <f ca="1">IFERROR(__xludf.DUMMYFUNCTION("""COMPUTED_VALUE"""),10.05918)</f>
        <v>10.05918</v>
      </c>
      <c r="M1240" s="2">
        <f ca="1">IFERROR(__xludf.DUMMYFUNCTION("""COMPUTED_VALUE"""),16.724)</f>
        <v>16.724</v>
      </c>
      <c r="U1240" s="3" t="e">
        <f ca="1"/>
        <v>#NAME?</v>
      </c>
    </row>
    <row r="1241" spans="3:21" ht="12.5" x14ac:dyDescent="0.25">
      <c r="C1241" s="4">
        <f ca="1">IFERROR(__xludf.DUMMYFUNCTION("""COMPUTED_VALUE"""),41583.9986111111)</f>
        <v>41583.998611111099</v>
      </c>
      <c r="D1241" s="2">
        <f ca="1">IFERROR(__xludf.DUMMYFUNCTION("""COMPUTED_VALUE"""),62.16)</f>
        <v>62.16</v>
      </c>
      <c r="E1241" s="2">
        <f ca="1">IFERROR(__xludf.DUMMYFUNCTION("""COMPUTED_VALUE"""),84.2641)</f>
        <v>84.264099999999999</v>
      </c>
      <c r="F1241" s="2">
        <f ca="1">IFERROR(__xludf.DUMMYFUNCTION("""COMPUTED_VALUE"""),100.87)</f>
        <v>100.87</v>
      </c>
      <c r="G1241" s="2">
        <f ca="1">IFERROR(__xludf.DUMMYFUNCTION("""COMPUTED_VALUE"""),0.59541)</f>
        <v>0.59540999999999999</v>
      </c>
      <c r="H1241" s="2">
        <f ca="1">IFERROR(__xludf.DUMMYFUNCTION("""COMPUTED_VALUE"""),55.727)</f>
        <v>55.726999999999997</v>
      </c>
      <c r="I1241" s="2">
        <f ca="1">IFERROR(__xludf.DUMMYFUNCTION("""COMPUTED_VALUE"""),58.161)</f>
        <v>58.161000000000001</v>
      </c>
      <c r="J1241" s="2">
        <f ca="1">IFERROR(__xludf.DUMMYFUNCTION("""COMPUTED_VALUE"""),48.841)</f>
        <v>48.841000000000001</v>
      </c>
      <c r="K1241" s="2">
        <f ca="1">IFERROR(__xludf.DUMMYFUNCTION("""COMPUTED_VALUE"""),66.34)</f>
        <v>66.34</v>
      </c>
      <c r="L1241" s="2">
        <f ca="1">IFERROR(__xludf.DUMMYFUNCTION("""COMPUTED_VALUE"""),10.08463)</f>
        <v>10.084630000000001</v>
      </c>
      <c r="M1241" s="2">
        <f ca="1">IFERROR(__xludf.DUMMYFUNCTION("""COMPUTED_VALUE"""),16.724)</f>
        <v>16.724</v>
      </c>
      <c r="U1241" s="3" t="e">
        <f ca="1"/>
        <v>#NAME?</v>
      </c>
    </row>
    <row r="1242" spans="3:21" ht="12.5" x14ac:dyDescent="0.25">
      <c r="C1242" s="4">
        <f ca="1">IFERROR(__xludf.DUMMYFUNCTION("""COMPUTED_VALUE"""),41584.9986111111)</f>
        <v>41584.998611111099</v>
      </c>
      <c r="D1242" s="2">
        <f ca="1">IFERROR(__xludf.DUMMYFUNCTION("""COMPUTED_VALUE"""),62.47)</f>
        <v>62.47</v>
      </c>
      <c r="E1242" s="2">
        <f ca="1">IFERROR(__xludf.DUMMYFUNCTION("""COMPUTED_VALUE"""),85.459)</f>
        <v>85.459000000000003</v>
      </c>
      <c r="F1242" s="2">
        <f ca="1">IFERROR(__xludf.DUMMYFUNCTION("""COMPUTED_VALUE"""),100.79)</f>
        <v>100.79</v>
      </c>
      <c r="G1242" s="2">
        <f ca="1">IFERROR(__xludf.DUMMYFUNCTION("""COMPUTED_VALUE"""),0.58956)</f>
        <v>0.58955999999999997</v>
      </c>
      <c r="H1242" s="2">
        <f ca="1">IFERROR(__xludf.DUMMYFUNCTION("""COMPUTED_VALUE"""),55.125)</f>
        <v>55.125</v>
      </c>
      <c r="I1242" s="2">
        <f ca="1">IFERROR(__xludf.DUMMYFUNCTION("""COMPUTED_VALUE"""),58.032)</f>
        <v>58.031999999999996</v>
      </c>
      <c r="J1242" s="2">
        <f ca="1">IFERROR(__xludf.DUMMYFUNCTION("""COMPUTED_VALUE"""),49.205)</f>
        <v>49.204999999999998</v>
      </c>
      <c r="K1242" s="2">
        <f ca="1">IFERROR(__xludf.DUMMYFUNCTION("""COMPUTED_VALUE"""),67.007)</f>
        <v>67.007000000000005</v>
      </c>
      <c r="L1242" s="2">
        <f ca="1">IFERROR(__xludf.DUMMYFUNCTION("""COMPUTED_VALUE"""),10.13709)</f>
        <v>10.137090000000001</v>
      </c>
      <c r="M1242" s="2">
        <f ca="1">IFERROR(__xludf.DUMMYFUNCTION("""COMPUTED_VALUE"""),16.711)</f>
        <v>16.710999999999999</v>
      </c>
      <c r="U1242" s="3" t="e">
        <f ca="1"/>
        <v>#NAME?</v>
      </c>
    </row>
    <row r="1243" spans="3:21" ht="12.5" x14ac:dyDescent="0.25">
      <c r="C1243" s="4">
        <f ca="1">IFERROR(__xludf.DUMMYFUNCTION("""COMPUTED_VALUE"""),41585.9986111111)</f>
        <v>41585.998611111099</v>
      </c>
      <c r="D1243" s="2">
        <f ca="1">IFERROR(__xludf.DUMMYFUNCTION("""COMPUTED_VALUE"""),62.85)</f>
        <v>62.85</v>
      </c>
      <c r="E1243" s="2">
        <f ca="1">IFERROR(__xludf.DUMMYFUNCTION("""COMPUTED_VALUE"""),84.88)</f>
        <v>84.88</v>
      </c>
      <c r="F1243" s="2">
        <f ca="1">IFERROR(__xludf.DUMMYFUNCTION("""COMPUTED_VALUE"""),101.66)</f>
        <v>101.66</v>
      </c>
      <c r="G1243" s="2">
        <f ca="1">IFERROR(__xludf.DUMMYFUNCTION("""COMPUTED_VALUE"""),0.58831)</f>
        <v>0.58831</v>
      </c>
      <c r="H1243" s="2">
        <f ca="1">IFERROR(__xludf.DUMMYFUNCTION("""COMPUTED_VALUE"""),55.705)</f>
        <v>55.704999999999998</v>
      </c>
      <c r="I1243" s="2">
        <f ca="1">IFERROR(__xludf.DUMMYFUNCTION("""COMPUTED_VALUE"""),58.739)</f>
        <v>58.738999999999997</v>
      </c>
      <c r="J1243" s="2">
        <f ca="1">IFERROR(__xludf.DUMMYFUNCTION("""COMPUTED_VALUE"""),49.148)</f>
        <v>49.148000000000003</v>
      </c>
      <c r="K1243" s="2">
        <f ca="1">IFERROR(__xludf.DUMMYFUNCTION("""COMPUTED_VALUE"""),67.491)</f>
        <v>67.491</v>
      </c>
      <c r="L1243" s="2">
        <f ca="1">IFERROR(__xludf.DUMMYFUNCTION("""COMPUTED_VALUE"""),10.1701)</f>
        <v>10.1701</v>
      </c>
      <c r="M1243" s="2">
        <f ca="1">IFERROR(__xludf.DUMMYFUNCTION("""COMPUTED_VALUE"""),16.771)</f>
        <v>16.771000000000001</v>
      </c>
      <c r="U1243" s="3" t="e">
        <f ca="1"/>
        <v>#NAME?</v>
      </c>
    </row>
    <row r="1244" spans="3:21" ht="12.5" x14ac:dyDescent="0.25">
      <c r="C1244" s="4">
        <f ca="1">IFERROR(__xludf.DUMMYFUNCTION("""COMPUTED_VALUE"""),41586.9986111111)</f>
        <v>41586.998611111099</v>
      </c>
      <c r="D1244" s="2">
        <f ca="1">IFERROR(__xludf.DUMMYFUNCTION("""COMPUTED_VALUE"""),62.473)</f>
        <v>62.472999999999999</v>
      </c>
      <c r="E1244" s="2">
        <f ca="1">IFERROR(__xludf.DUMMYFUNCTION("""COMPUTED_VALUE"""),85.315)</f>
        <v>85.314999999999998</v>
      </c>
      <c r="F1244" s="2">
        <f ca="1">IFERROR(__xludf.DUMMYFUNCTION("""COMPUTED_VALUE"""),101.23)</f>
        <v>101.23</v>
      </c>
      <c r="G1244" s="2">
        <f ca="1">IFERROR(__xludf.DUMMYFUNCTION("""COMPUTED_VALUE"""),0.58987)</f>
        <v>0.58987000000000001</v>
      </c>
      <c r="H1244" s="2">
        <f ca="1">IFERROR(__xludf.DUMMYFUNCTION("""COMPUTED_VALUE"""),55.741)</f>
        <v>55.741</v>
      </c>
      <c r="I1244" s="2">
        <f ca="1">IFERROR(__xludf.DUMMYFUNCTION("""COMPUTED_VALUE"""),58.749)</f>
        <v>58.749000000000002</v>
      </c>
      <c r="J1244" s="2">
        <f ca="1">IFERROR(__xludf.DUMMYFUNCTION("""COMPUTED_VALUE"""),49.509)</f>
        <v>49.509</v>
      </c>
      <c r="K1244" s="2">
        <f ca="1">IFERROR(__xludf.DUMMYFUNCTION("""COMPUTED_VALUE"""),67.721)</f>
        <v>67.721000000000004</v>
      </c>
      <c r="L1244" s="2">
        <f ca="1">IFERROR(__xludf.DUMMYFUNCTION("""COMPUTED_VALUE"""),10.18925)</f>
        <v>10.189249999999999</v>
      </c>
      <c r="M1244" s="2">
        <f ca="1">IFERROR(__xludf.DUMMYFUNCTION("""COMPUTED_VALUE"""),16.888)</f>
        <v>16.888000000000002</v>
      </c>
      <c r="U1244" s="3" t="e">
        <f ca="1"/>
        <v>#NAME?</v>
      </c>
    </row>
    <row r="1245" spans="3:21" ht="12.5" x14ac:dyDescent="0.25">
      <c r="C1245" s="4">
        <f ca="1">IFERROR(__xludf.DUMMYFUNCTION("""COMPUTED_VALUE"""),41587.9986111111)</f>
        <v>41587.998611111099</v>
      </c>
      <c r="D1245" s="2">
        <f ca="1">IFERROR(__xludf.DUMMYFUNCTION("""COMPUTED_VALUE"""),63.339)</f>
        <v>63.338999999999999</v>
      </c>
      <c r="E1245" s="2">
        <f ca="1">IFERROR(__xludf.DUMMYFUNCTION("""COMPUTED_VALUE"""),84.87)</f>
        <v>84.87</v>
      </c>
      <c r="F1245" s="2">
        <f ca="1">IFERROR(__xludf.DUMMYFUNCTION("""COMPUTED_VALUE"""),101.08)</f>
        <v>101.08</v>
      </c>
      <c r="G1245" s="2">
        <f ca="1">IFERROR(__xludf.DUMMYFUNCTION("""COMPUTED_VALUE"""),0.5894)</f>
        <v>0.58940000000000003</v>
      </c>
      <c r="H1245" s="2">
        <f ca="1">IFERROR(__xludf.DUMMYFUNCTION("""COMPUTED_VALUE"""),55.741)</f>
        <v>55.741</v>
      </c>
      <c r="I1245" s="2">
        <f ca="1">IFERROR(__xludf.DUMMYFUNCTION("""COMPUTED_VALUE"""),58.749)</f>
        <v>58.749000000000002</v>
      </c>
      <c r="J1245" s="2">
        <f ca="1">IFERROR(__xludf.DUMMYFUNCTION("""COMPUTED_VALUE"""),49.545)</f>
        <v>49.545000000000002</v>
      </c>
      <c r="K1245" s="2">
        <f ca="1">IFERROR(__xludf.DUMMYFUNCTION("""COMPUTED_VALUE"""),67.476)</f>
        <v>67.475999999999999</v>
      </c>
      <c r="L1245" s="2">
        <f ca="1">IFERROR(__xludf.DUMMYFUNCTION("""COMPUTED_VALUE"""),10.19856)</f>
        <v>10.198560000000001</v>
      </c>
      <c r="M1245" s="2">
        <f ca="1">IFERROR(__xludf.DUMMYFUNCTION("""COMPUTED_VALUE"""),16.828)</f>
        <v>16.827999999999999</v>
      </c>
      <c r="U1245" s="3" t="e">
        <f ca="1"/>
        <v>#NAME?</v>
      </c>
    </row>
    <row r="1246" spans="3:21" ht="12.5" x14ac:dyDescent="0.25">
      <c r="C1246" s="4">
        <f ca="1">IFERROR(__xludf.DUMMYFUNCTION("""COMPUTED_VALUE"""),41588.9986111111)</f>
        <v>41588.998611111099</v>
      </c>
      <c r="D1246" s="2">
        <f ca="1">IFERROR(__xludf.DUMMYFUNCTION("""COMPUTED_VALUE"""),63.34)</f>
        <v>63.34</v>
      </c>
      <c r="E1246" s="2">
        <f ca="1">IFERROR(__xludf.DUMMYFUNCTION("""COMPUTED_VALUE"""),84.783)</f>
        <v>84.783000000000001</v>
      </c>
      <c r="F1246" s="2">
        <f ca="1">IFERROR(__xludf.DUMMYFUNCTION("""COMPUTED_VALUE"""),101.25)</f>
        <v>101.25</v>
      </c>
      <c r="G1246" s="2">
        <f ca="1">IFERROR(__xludf.DUMMYFUNCTION("""COMPUTED_VALUE"""),0.58958)</f>
        <v>0.58957999999999999</v>
      </c>
      <c r="H1246" s="2">
        <f ca="1">IFERROR(__xludf.DUMMYFUNCTION("""COMPUTED_VALUE"""),55.139)</f>
        <v>55.139000000000003</v>
      </c>
      <c r="I1246" s="2">
        <f ca="1">IFERROR(__xludf.DUMMYFUNCTION("""COMPUTED_VALUE"""),58.225)</f>
        <v>58.225000000000001</v>
      </c>
      <c r="J1246" s="2">
        <f ca="1">IFERROR(__xludf.DUMMYFUNCTION("""COMPUTED_VALUE"""),49.545)</f>
        <v>49.545000000000002</v>
      </c>
      <c r="K1246" s="2">
        <f ca="1">IFERROR(__xludf.DUMMYFUNCTION("""COMPUTED_VALUE"""),67.654)</f>
        <v>67.653999999999996</v>
      </c>
      <c r="L1246" s="2">
        <f ca="1">IFERROR(__xludf.DUMMYFUNCTION("""COMPUTED_VALUE"""),10.23388)</f>
        <v>10.233879999999999</v>
      </c>
      <c r="M1246" s="2">
        <f ca="1">IFERROR(__xludf.DUMMYFUNCTION("""COMPUTED_VALUE"""),16.774)</f>
        <v>16.774000000000001</v>
      </c>
      <c r="U1246" s="3" t="e">
        <f ca="1"/>
        <v>#NAME?</v>
      </c>
    </row>
    <row r="1247" spans="3:21" ht="12.5" x14ac:dyDescent="0.25">
      <c r="C1247" s="4">
        <f ca="1">IFERROR(__xludf.DUMMYFUNCTION("""COMPUTED_VALUE"""),41589.9986111111)</f>
        <v>41589.998611111099</v>
      </c>
      <c r="D1247" s="2">
        <f ca="1">IFERROR(__xludf.DUMMYFUNCTION("""COMPUTED_VALUE"""),63.48)</f>
        <v>63.48</v>
      </c>
      <c r="E1247" s="2">
        <f ca="1">IFERROR(__xludf.DUMMYFUNCTION("""COMPUTED_VALUE"""),84.683)</f>
        <v>84.683000000000007</v>
      </c>
      <c r="F1247" s="2">
        <f ca="1">IFERROR(__xludf.DUMMYFUNCTION("""COMPUTED_VALUE"""),99.673)</f>
        <v>99.673000000000002</v>
      </c>
      <c r="G1247" s="2">
        <f ca="1">IFERROR(__xludf.DUMMYFUNCTION("""COMPUTED_VALUE"""),0.59028)</f>
        <v>0.59028000000000003</v>
      </c>
      <c r="H1247" s="2">
        <f ca="1">IFERROR(__xludf.DUMMYFUNCTION("""COMPUTED_VALUE"""),55.274)</f>
        <v>55.274000000000001</v>
      </c>
      <c r="I1247" s="2">
        <f ca="1">IFERROR(__xludf.DUMMYFUNCTION("""COMPUTED_VALUE"""),58.435)</f>
        <v>58.435000000000002</v>
      </c>
      <c r="J1247" s="2">
        <f ca="1">IFERROR(__xludf.DUMMYFUNCTION("""COMPUTED_VALUE"""),49.124)</f>
        <v>49.124000000000002</v>
      </c>
      <c r="K1247" s="2">
        <f ca="1">IFERROR(__xludf.DUMMYFUNCTION("""COMPUTED_VALUE"""),67.897)</f>
        <v>67.897000000000006</v>
      </c>
      <c r="L1247" s="2">
        <f ca="1">IFERROR(__xludf.DUMMYFUNCTION("""COMPUTED_VALUE"""),10.2624)</f>
        <v>10.2624</v>
      </c>
      <c r="M1247" s="2">
        <f ca="1">IFERROR(__xludf.DUMMYFUNCTION("""COMPUTED_VALUE"""),16.597)</f>
        <v>16.597000000000001</v>
      </c>
      <c r="U1247" s="3" t="e">
        <f ca="1"/>
        <v>#NAME?</v>
      </c>
    </row>
    <row r="1248" spans="3:21" ht="12.5" x14ac:dyDescent="0.25">
      <c r="C1248" s="4">
        <f ca="1">IFERROR(__xludf.DUMMYFUNCTION("""COMPUTED_VALUE"""),41590.9986111111)</f>
        <v>41590.998611111099</v>
      </c>
      <c r="D1248" s="2">
        <f ca="1">IFERROR(__xludf.DUMMYFUNCTION("""COMPUTED_VALUE"""),63.96)</f>
        <v>63.96</v>
      </c>
      <c r="E1248" s="2">
        <f ca="1">IFERROR(__xludf.DUMMYFUNCTION("""COMPUTED_VALUE"""),84.756)</f>
        <v>84.756</v>
      </c>
      <c r="F1248" s="2">
        <f ca="1">IFERROR(__xludf.DUMMYFUNCTION("""COMPUTED_VALUE"""),98.34)</f>
        <v>98.34</v>
      </c>
      <c r="G1248" s="2">
        <f ca="1">IFERROR(__xludf.DUMMYFUNCTION("""COMPUTED_VALUE"""),0.59051)</f>
        <v>0.59050999999999998</v>
      </c>
      <c r="H1248" s="2">
        <f ca="1">IFERROR(__xludf.DUMMYFUNCTION("""COMPUTED_VALUE"""),54.883)</f>
        <v>54.883000000000003</v>
      </c>
      <c r="I1248" s="2">
        <f ca="1">IFERROR(__xludf.DUMMYFUNCTION("""COMPUTED_VALUE"""),57.892)</f>
        <v>57.892000000000003</v>
      </c>
      <c r="J1248" s="2">
        <f ca="1">IFERROR(__xludf.DUMMYFUNCTION("""COMPUTED_VALUE"""),49.278)</f>
        <v>49.277999999999999</v>
      </c>
      <c r="K1248" s="2">
        <f ca="1">IFERROR(__xludf.DUMMYFUNCTION("""COMPUTED_VALUE"""),67.898)</f>
        <v>67.897999999999996</v>
      </c>
      <c r="L1248" s="2">
        <f ca="1">IFERROR(__xludf.DUMMYFUNCTION("""COMPUTED_VALUE"""),10.24002)</f>
        <v>10.240019999999999</v>
      </c>
      <c r="M1248" s="2">
        <f ca="1">IFERROR(__xludf.DUMMYFUNCTION("""COMPUTED_VALUE"""),16.611)</f>
        <v>16.611000000000001</v>
      </c>
      <c r="U1248" s="3" t="e">
        <f ca="1"/>
        <v>#NAME?</v>
      </c>
    </row>
    <row r="1249" spans="3:21" ht="12.5" x14ac:dyDescent="0.25">
      <c r="C1249" s="4">
        <f ca="1">IFERROR(__xludf.DUMMYFUNCTION("""COMPUTED_VALUE"""),41591.9986111111)</f>
        <v>41591.998611111099</v>
      </c>
      <c r="D1249" s="2">
        <f ca="1">IFERROR(__xludf.DUMMYFUNCTION("""COMPUTED_VALUE"""),63.37)</f>
        <v>63.37</v>
      </c>
      <c r="E1249" s="2">
        <f ca="1">IFERROR(__xludf.DUMMYFUNCTION("""COMPUTED_VALUE"""),84.781)</f>
        <v>84.781000000000006</v>
      </c>
      <c r="F1249" s="2">
        <f ca="1">IFERROR(__xludf.DUMMYFUNCTION("""COMPUTED_VALUE"""),97.829)</f>
        <v>97.828999999999994</v>
      </c>
      <c r="G1249" s="2">
        <f ca="1">IFERROR(__xludf.DUMMYFUNCTION("""COMPUTED_VALUE"""),0.59328)</f>
        <v>0.59328000000000003</v>
      </c>
      <c r="H1249" s="2">
        <f ca="1">IFERROR(__xludf.DUMMYFUNCTION("""COMPUTED_VALUE"""),55.043)</f>
        <v>55.042999999999999</v>
      </c>
      <c r="I1249" s="2">
        <f ca="1">IFERROR(__xludf.DUMMYFUNCTION("""COMPUTED_VALUE"""),58.174)</f>
        <v>58.173999999999999</v>
      </c>
      <c r="J1249" s="2">
        <f ca="1">IFERROR(__xludf.DUMMYFUNCTION("""COMPUTED_VALUE"""),49.152)</f>
        <v>49.152000000000001</v>
      </c>
      <c r="K1249" s="2">
        <f ca="1">IFERROR(__xludf.DUMMYFUNCTION("""COMPUTED_VALUE"""),67.873)</f>
        <v>67.873000000000005</v>
      </c>
      <c r="L1249" s="2">
        <f ca="1">IFERROR(__xludf.DUMMYFUNCTION("""COMPUTED_VALUE"""),10.21379)</f>
        <v>10.213789999999999</v>
      </c>
      <c r="M1249" s="2">
        <f ca="1">IFERROR(__xludf.DUMMYFUNCTION("""COMPUTED_VALUE"""),16.605)</f>
        <v>16.605</v>
      </c>
      <c r="U1249" s="3" t="e">
        <f ca="1"/>
        <v>#NAME?</v>
      </c>
    </row>
    <row r="1250" spans="3:21" ht="12.5" x14ac:dyDescent="0.25">
      <c r="C1250" s="4">
        <f ca="1">IFERROR(__xludf.DUMMYFUNCTION("""COMPUTED_VALUE"""),41592.9986111111)</f>
        <v>41592.998611111099</v>
      </c>
      <c r="D1250" s="2">
        <f ca="1">IFERROR(__xludf.DUMMYFUNCTION("""COMPUTED_VALUE"""),63.04)</f>
        <v>63.04</v>
      </c>
      <c r="E1250" s="2">
        <f ca="1">IFERROR(__xludf.DUMMYFUNCTION("""COMPUTED_VALUE"""),84.8)</f>
        <v>84.8</v>
      </c>
      <c r="F1250" s="2">
        <f ca="1">IFERROR(__xludf.DUMMYFUNCTION("""COMPUTED_VALUE"""),98.462)</f>
        <v>98.462000000000003</v>
      </c>
      <c r="G1250" s="2">
        <f ca="1">IFERROR(__xludf.DUMMYFUNCTION("""COMPUTED_VALUE"""),0.59012)</f>
        <v>0.59011999999999998</v>
      </c>
      <c r="H1250" s="2">
        <f ca="1">IFERROR(__xludf.DUMMYFUNCTION("""COMPUTED_VALUE"""),55.249)</f>
        <v>55.249000000000002</v>
      </c>
      <c r="I1250" s="2">
        <f ca="1">IFERROR(__xludf.DUMMYFUNCTION("""COMPUTED_VALUE"""),58.218)</f>
        <v>58.218000000000004</v>
      </c>
      <c r="J1250" s="2">
        <f ca="1">IFERROR(__xludf.DUMMYFUNCTION("""COMPUTED_VALUE"""),49.022)</f>
        <v>49.021999999999998</v>
      </c>
      <c r="K1250" s="2">
        <f ca="1">IFERROR(__xludf.DUMMYFUNCTION("""COMPUTED_VALUE"""),68.2)</f>
        <v>68.2</v>
      </c>
      <c r="L1250" s="2">
        <f ca="1">IFERROR(__xludf.DUMMYFUNCTION("""COMPUTED_VALUE"""),10.11458)</f>
        <v>10.11458</v>
      </c>
      <c r="M1250" s="2">
        <f ca="1">IFERROR(__xludf.DUMMYFUNCTION("""COMPUTED_VALUE"""),16.711)</f>
        <v>16.710999999999999</v>
      </c>
      <c r="U1250" s="3" t="e">
        <f ca="1"/>
        <v>#NAME?</v>
      </c>
    </row>
    <row r="1251" spans="3:21" ht="12.5" x14ac:dyDescent="0.25">
      <c r="C1251" s="4">
        <f ca="1">IFERROR(__xludf.DUMMYFUNCTION("""COMPUTED_VALUE"""),41593.9986111111)</f>
        <v>41593.998611111099</v>
      </c>
      <c r="D1251" s="2">
        <f ca="1">IFERROR(__xludf.DUMMYFUNCTION("""COMPUTED_VALUE"""),62.973)</f>
        <v>62.972999999999999</v>
      </c>
      <c r="E1251" s="2">
        <f ca="1">IFERROR(__xludf.DUMMYFUNCTION("""COMPUTED_VALUE"""),84.429)</f>
        <v>84.429000000000002</v>
      </c>
      <c r="F1251" s="2">
        <f ca="1">IFERROR(__xludf.DUMMYFUNCTION("""COMPUTED_VALUE"""),99.117)</f>
        <v>99.117000000000004</v>
      </c>
      <c r="G1251" s="2">
        <f ca="1">IFERROR(__xludf.DUMMYFUNCTION("""COMPUTED_VALUE"""),0.59861)</f>
        <v>0.59860999999999998</v>
      </c>
      <c r="H1251" s="2">
        <f ca="1">IFERROR(__xludf.DUMMYFUNCTION("""COMPUTED_VALUE"""),55.304)</f>
        <v>55.304000000000002</v>
      </c>
      <c r="I1251" s="2">
        <f ca="1">IFERROR(__xludf.DUMMYFUNCTION("""COMPUTED_VALUE"""),58.276)</f>
        <v>58.276000000000003</v>
      </c>
      <c r="J1251" s="2">
        <f ca="1">IFERROR(__xludf.DUMMYFUNCTION("""COMPUTED_VALUE"""),48.912)</f>
        <v>48.911999999999999</v>
      </c>
      <c r="K1251" s="2">
        <f ca="1">IFERROR(__xludf.DUMMYFUNCTION("""COMPUTED_VALUE"""),68.381)</f>
        <v>68.381</v>
      </c>
      <c r="L1251" s="2">
        <f ca="1">IFERROR(__xludf.DUMMYFUNCTION("""COMPUTED_VALUE"""),10.22945)</f>
        <v>10.22945</v>
      </c>
      <c r="M1251" s="2">
        <f ca="1">IFERROR(__xludf.DUMMYFUNCTION("""COMPUTED_VALUE"""),16.833)</f>
        <v>16.832999999999998</v>
      </c>
      <c r="U1251" s="3" t="e">
        <f ca="1"/>
        <v>#NAME?</v>
      </c>
    </row>
    <row r="1252" spans="3:21" ht="12.5" x14ac:dyDescent="0.25">
      <c r="C1252" s="4">
        <f ca="1">IFERROR(__xludf.DUMMYFUNCTION("""COMPUTED_VALUE"""),41594.9986111111)</f>
        <v>41594.998611111099</v>
      </c>
      <c r="D1252" s="2">
        <f ca="1">IFERROR(__xludf.DUMMYFUNCTION("""COMPUTED_VALUE"""),62.729)</f>
        <v>62.728999999999999</v>
      </c>
      <c r="E1252" s="2">
        <f ca="1">IFERROR(__xludf.DUMMYFUNCTION("""COMPUTED_VALUE"""),84.513)</f>
        <v>84.513000000000005</v>
      </c>
      <c r="F1252" s="2">
        <f ca="1">IFERROR(__xludf.DUMMYFUNCTION("""COMPUTED_VALUE"""),99.569)</f>
        <v>99.569000000000003</v>
      </c>
      <c r="G1252" s="2">
        <f ca="1">IFERROR(__xludf.DUMMYFUNCTION("""COMPUTED_VALUE"""),0.61233)</f>
        <v>0.61233000000000004</v>
      </c>
      <c r="H1252" s="2">
        <f ca="1">IFERROR(__xludf.DUMMYFUNCTION("""COMPUTED_VALUE"""),55.35)</f>
        <v>55.35</v>
      </c>
      <c r="I1252" s="2">
        <f ca="1">IFERROR(__xludf.DUMMYFUNCTION("""COMPUTED_VALUE"""),58.284)</f>
        <v>58.283999999999999</v>
      </c>
      <c r="J1252" s="2">
        <f ca="1">IFERROR(__xludf.DUMMYFUNCTION("""COMPUTED_VALUE"""),48.957)</f>
        <v>48.957000000000001</v>
      </c>
      <c r="K1252" s="2">
        <f ca="1">IFERROR(__xludf.DUMMYFUNCTION("""COMPUTED_VALUE"""),68.973)</f>
        <v>68.972999999999999</v>
      </c>
      <c r="L1252" s="2">
        <f ca="1">IFERROR(__xludf.DUMMYFUNCTION("""COMPUTED_VALUE"""),10.21182)</f>
        <v>10.211819999999999</v>
      </c>
      <c r="M1252" s="2">
        <f ca="1">IFERROR(__xludf.DUMMYFUNCTION("""COMPUTED_VALUE"""),16.73)</f>
        <v>16.73</v>
      </c>
      <c r="U1252" s="3" t="e">
        <f ca="1"/>
        <v>#NAME?</v>
      </c>
    </row>
    <row r="1253" spans="3:21" ht="12.5" x14ac:dyDescent="0.25">
      <c r="C1253" s="4">
        <f ca="1">IFERROR(__xludf.DUMMYFUNCTION("""COMPUTED_VALUE"""),41595.9986111111)</f>
        <v>41595.998611111099</v>
      </c>
      <c r="D1253" s="2">
        <f ca="1">IFERROR(__xludf.DUMMYFUNCTION("""COMPUTED_VALUE"""),62.71)</f>
        <v>62.71</v>
      </c>
      <c r="E1253" s="2">
        <f ca="1">IFERROR(__xludf.DUMMYFUNCTION("""COMPUTED_VALUE"""),84.73)</f>
        <v>84.73</v>
      </c>
      <c r="F1253" s="2">
        <f ca="1">IFERROR(__xludf.DUMMYFUNCTION("""COMPUTED_VALUE"""),98.56)</f>
        <v>98.56</v>
      </c>
      <c r="G1253" s="2">
        <f ca="1">IFERROR(__xludf.DUMMYFUNCTION("""COMPUTED_VALUE"""),0.60732)</f>
        <v>0.60731999999999997</v>
      </c>
      <c r="H1253" s="2">
        <f ca="1">IFERROR(__xludf.DUMMYFUNCTION("""COMPUTED_VALUE"""),55.3)</f>
        <v>55.3</v>
      </c>
      <c r="I1253" s="2">
        <f ca="1">IFERROR(__xludf.DUMMYFUNCTION("""COMPUTED_VALUE"""),58.318)</f>
        <v>58.317999999999998</v>
      </c>
      <c r="J1253" s="2">
        <f ca="1">IFERROR(__xludf.DUMMYFUNCTION("""COMPUTED_VALUE"""),48.985)</f>
        <v>48.984999999999999</v>
      </c>
      <c r="K1253" s="2">
        <f ca="1">IFERROR(__xludf.DUMMYFUNCTION("""COMPUTED_VALUE"""),68.797)</f>
        <v>68.796999999999997</v>
      </c>
      <c r="L1253" s="2">
        <f ca="1">IFERROR(__xludf.DUMMYFUNCTION("""COMPUTED_VALUE"""),10.18692)</f>
        <v>10.186920000000001</v>
      </c>
      <c r="M1253" s="2">
        <f ca="1">IFERROR(__xludf.DUMMYFUNCTION("""COMPUTED_VALUE"""),16.635)</f>
        <v>16.635000000000002</v>
      </c>
      <c r="U1253" s="3" t="e">
        <f ca="1"/>
        <v>#NAME?</v>
      </c>
    </row>
    <row r="1254" spans="3:21" ht="12.5" x14ac:dyDescent="0.25">
      <c r="C1254" s="4">
        <f ca="1">IFERROR(__xludf.DUMMYFUNCTION("""COMPUTED_VALUE"""),41596.9986111111)</f>
        <v>41596.998611111099</v>
      </c>
      <c r="D1254" s="2">
        <f ca="1">IFERROR(__xludf.DUMMYFUNCTION("""COMPUTED_VALUE"""),62.2)</f>
        <v>62.2</v>
      </c>
      <c r="E1254" s="2">
        <f ca="1">IFERROR(__xludf.DUMMYFUNCTION("""COMPUTED_VALUE"""),85.038)</f>
        <v>85.037999999999997</v>
      </c>
      <c r="F1254" s="2">
        <f ca="1">IFERROR(__xludf.DUMMYFUNCTION("""COMPUTED_VALUE"""),97.923)</f>
        <v>97.923000000000002</v>
      </c>
      <c r="G1254" s="2">
        <f ca="1">IFERROR(__xludf.DUMMYFUNCTION("""COMPUTED_VALUE"""),0.61446)</f>
        <v>0.61446000000000001</v>
      </c>
      <c r="H1254" s="2">
        <f ca="1">IFERROR(__xludf.DUMMYFUNCTION("""COMPUTED_VALUE"""),55.084)</f>
        <v>55.084000000000003</v>
      </c>
      <c r="I1254" s="2">
        <f ca="1">IFERROR(__xludf.DUMMYFUNCTION("""COMPUTED_VALUE"""),58.039)</f>
        <v>58.039000000000001</v>
      </c>
      <c r="J1254" s="2">
        <f ca="1">IFERROR(__xludf.DUMMYFUNCTION("""COMPUTED_VALUE"""),48.842)</f>
        <v>48.841999999999999</v>
      </c>
      <c r="K1254" s="2">
        <f ca="1">IFERROR(__xludf.DUMMYFUNCTION("""COMPUTED_VALUE"""),68.842)</f>
        <v>68.841999999999999</v>
      </c>
      <c r="L1254" s="2">
        <f ca="1">IFERROR(__xludf.DUMMYFUNCTION("""COMPUTED_VALUE"""),10.19892)</f>
        <v>10.198919999999999</v>
      </c>
      <c r="M1254" s="2">
        <f ca="1">IFERROR(__xludf.DUMMYFUNCTION("""COMPUTED_VALUE"""),16.671)</f>
        <v>16.670999999999999</v>
      </c>
      <c r="U1254" s="3" t="e">
        <f ca="1"/>
        <v>#NAME?</v>
      </c>
    </row>
    <row r="1255" spans="3:21" ht="12.5" x14ac:dyDescent="0.25">
      <c r="C1255" s="4">
        <f ca="1">IFERROR(__xludf.DUMMYFUNCTION("""COMPUTED_VALUE"""),41597.9986111111)</f>
        <v>41597.998611111099</v>
      </c>
      <c r="D1255" s="2">
        <f ca="1">IFERROR(__xludf.DUMMYFUNCTION("""COMPUTED_VALUE"""),62.11)</f>
        <v>62.11</v>
      </c>
      <c r="E1255" s="2">
        <f ca="1">IFERROR(__xludf.DUMMYFUNCTION("""COMPUTED_VALUE"""),85.108)</f>
        <v>85.108000000000004</v>
      </c>
      <c r="F1255" s="2">
        <f ca="1">IFERROR(__xludf.DUMMYFUNCTION("""COMPUTED_VALUE"""),97.259)</f>
        <v>97.259</v>
      </c>
      <c r="G1255" s="2">
        <f ca="1">IFERROR(__xludf.DUMMYFUNCTION("""COMPUTED_VALUE"""),0.61427)</f>
        <v>0.61426999999999998</v>
      </c>
      <c r="H1255" s="2">
        <f ca="1">IFERROR(__xludf.DUMMYFUNCTION("""COMPUTED_VALUE"""),55.123)</f>
        <v>55.122999999999998</v>
      </c>
      <c r="I1255" s="2">
        <f ca="1">IFERROR(__xludf.DUMMYFUNCTION("""COMPUTED_VALUE"""),58.097)</f>
        <v>58.097000000000001</v>
      </c>
      <c r="J1255" s="2">
        <f ca="1">IFERROR(__xludf.DUMMYFUNCTION("""COMPUTED_VALUE"""),48.71)</f>
        <v>48.71</v>
      </c>
      <c r="K1255" s="2">
        <f ca="1">IFERROR(__xludf.DUMMYFUNCTION("""COMPUTED_VALUE"""),68.834)</f>
        <v>68.834000000000003</v>
      </c>
      <c r="L1255" s="2">
        <f ca="1">IFERROR(__xludf.DUMMYFUNCTION("""COMPUTED_VALUE"""),10.18832)</f>
        <v>10.188319999999999</v>
      </c>
      <c r="M1255" s="2">
        <f ca="1">IFERROR(__xludf.DUMMYFUNCTION("""COMPUTED_VALUE"""),16.671)</f>
        <v>16.670999999999999</v>
      </c>
      <c r="U1255" s="3" t="e">
        <f ca="1"/>
        <v>#NAME?</v>
      </c>
    </row>
    <row r="1256" spans="3:21" ht="12.5" x14ac:dyDescent="0.25">
      <c r="C1256" s="4">
        <f ca="1">IFERROR(__xludf.DUMMYFUNCTION("""COMPUTED_VALUE"""),41598.9986111111)</f>
        <v>41598.998611111099</v>
      </c>
      <c r="D1256" s="2">
        <f ca="1">IFERROR(__xludf.DUMMYFUNCTION("""COMPUTED_VALUE"""),62.76)</f>
        <v>62.76</v>
      </c>
      <c r="E1256" s="2">
        <f ca="1">IFERROR(__xludf.DUMMYFUNCTION("""COMPUTED_VALUE"""),84.79)</f>
        <v>84.79</v>
      </c>
      <c r="F1256" s="2">
        <f ca="1">IFERROR(__xludf.DUMMYFUNCTION("""COMPUTED_VALUE"""),97.35)</f>
        <v>97.35</v>
      </c>
      <c r="G1256" s="2">
        <f ca="1">IFERROR(__xludf.DUMMYFUNCTION("""COMPUTED_VALUE"""),0.6053)</f>
        <v>0.60529999999999995</v>
      </c>
      <c r="H1256" s="2">
        <f ca="1">IFERROR(__xludf.DUMMYFUNCTION("""COMPUTED_VALUE"""),55.028)</f>
        <v>55.027999999999999</v>
      </c>
      <c r="I1256" s="2">
        <f ca="1">IFERROR(__xludf.DUMMYFUNCTION("""COMPUTED_VALUE"""),58.129)</f>
        <v>58.128999999999998</v>
      </c>
      <c r="J1256" s="2">
        <f ca="1">IFERROR(__xludf.DUMMYFUNCTION("""COMPUTED_VALUE"""),48.757)</f>
        <v>48.756999999999998</v>
      </c>
      <c r="K1256" s="2">
        <f ca="1">IFERROR(__xludf.DUMMYFUNCTION("""COMPUTED_VALUE"""),68.833)</f>
        <v>68.832999999999998</v>
      </c>
      <c r="L1256" s="2">
        <f ca="1">IFERROR(__xludf.DUMMYFUNCTION("""COMPUTED_VALUE"""),10.17812)</f>
        <v>10.17812</v>
      </c>
      <c r="M1256" s="2">
        <f ca="1">IFERROR(__xludf.DUMMYFUNCTION("""COMPUTED_VALUE"""),16.673)</f>
        <v>16.672999999999998</v>
      </c>
      <c r="U1256" s="3" t="e">
        <f ca="1"/>
        <v>#NAME?</v>
      </c>
    </row>
    <row r="1257" spans="3:21" ht="12.5" x14ac:dyDescent="0.25">
      <c r="C1257" s="4">
        <f ca="1">IFERROR(__xludf.DUMMYFUNCTION("""COMPUTED_VALUE"""),41599.9986111111)</f>
        <v>41599.998611111099</v>
      </c>
      <c r="D1257" s="2">
        <f ca="1">IFERROR(__xludf.DUMMYFUNCTION("""COMPUTED_VALUE"""),62.99)</f>
        <v>62.99</v>
      </c>
      <c r="E1257" s="2">
        <f ca="1">IFERROR(__xludf.DUMMYFUNCTION("""COMPUTED_VALUE"""),85.41)</f>
        <v>85.41</v>
      </c>
      <c r="F1257" s="2">
        <f ca="1">IFERROR(__xludf.DUMMYFUNCTION("""COMPUTED_VALUE"""),97.371)</f>
        <v>97.370999999999995</v>
      </c>
      <c r="G1257" s="2">
        <f ca="1">IFERROR(__xludf.DUMMYFUNCTION("""COMPUTED_VALUE"""),0.61016)</f>
        <v>0.61016000000000004</v>
      </c>
      <c r="H1257" s="2">
        <f ca="1">IFERROR(__xludf.DUMMYFUNCTION("""COMPUTED_VALUE"""),54.854)</f>
        <v>54.853999999999999</v>
      </c>
      <c r="I1257" s="2">
        <f ca="1">IFERROR(__xludf.DUMMYFUNCTION("""COMPUTED_VALUE"""),57.766)</f>
        <v>57.765999999999998</v>
      </c>
      <c r="J1257" s="2">
        <f ca="1">IFERROR(__xludf.DUMMYFUNCTION("""COMPUTED_VALUE"""),48.76)</f>
        <v>48.76</v>
      </c>
      <c r="K1257" s="2">
        <f ca="1">IFERROR(__xludf.DUMMYFUNCTION("""COMPUTED_VALUE"""),68.669)</f>
        <v>68.668999999999997</v>
      </c>
      <c r="L1257" s="2">
        <f ca="1">IFERROR(__xludf.DUMMYFUNCTION("""COMPUTED_VALUE"""),10.15338)</f>
        <v>10.15338</v>
      </c>
      <c r="M1257" s="2">
        <f ca="1">IFERROR(__xludf.DUMMYFUNCTION("""COMPUTED_VALUE"""),16.504)</f>
        <v>16.504000000000001</v>
      </c>
      <c r="U1257" s="3" t="e">
        <f ca="1"/>
        <v>#NAME?</v>
      </c>
    </row>
    <row r="1258" spans="3:21" ht="12.5" x14ac:dyDescent="0.25">
      <c r="C1258" s="4">
        <f ca="1">IFERROR(__xludf.DUMMYFUNCTION("""COMPUTED_VALUE"""),41600.9986111111)</f>
        <v>41600.998611111099</v>
      </c>
      <c r="D1258" s="2">
        <f ca="1">IFERROR(__xludf.DUMMYFUNCTION("""COMPUTED_VALUE"""),62.726)</f>
        <v>62.725999999999999</v>
      </c>
      <c r="E1258" s="2">
        <f ca="1">IFERROR(__xludf.DUMMYFUNCTION("""COMPUTED_VALUE"""),84.884)</f>
        <v>84.884</v>
      </c>
      <c r="F1258" s="2">
        <f ca="1">IFERROR(__xludf.DUMMYFUNCTION("""COMPUTED_VALUE"""),98.231)</f>
        <v>98.230999999999995</v>
      </c>
      <c r="G1258" s="2">
        <f ca="1">IFERROR(__xludf.DUMMYFUNCTION("""COMPUTED_VALUE"""),0.60814)</f>
        <v>0.60814000000000001</v>
      </c>
      <c r="H1258" s="2">
        <f ca="1">IFERROR(__xludf.DUMMYFUNCTION("""COMPUTED_VALUE"""),54.91)</f>
        <v>54.91</v>
      </c>
      <c r="I1258" s="2">
        <f ca="1">IFERROR(__xludf.DUMMYFUNCTION("""COMPUTED_VALUE"""),57.844)</f>
        <v>57.844000000000001</v>
      </c>
      <c r="J1258" s="2">
        <f ca="1">IFERROR(__xludf.DUMMYFUNCTION("""COMPUTED_VALUE"""),48.756)</f>
        <v>48.756</v>
      </c>
      <c r="K1258" s="2">
        <f ca="1">IFERROR(__xludf.DUMMYFUNCTION("""COMPUTED_VALUE"""),68.113)</f>
        <v>68.113</v>
      </c>
      <c r="L1258" s="2">
        <f ca="1">IFERROR(__xludf.DUMMYFUNCTION("""COMPUTED_VALUE"""),10.12668)</f>
        <v>10.12668</v>
      </c>
      <c r="M1258" s="2">
        <f ca="1">IFERROR(__xludf.DUMMYFUNCTION("""COMPUTED_VALUE"""),16.659)</f>
        <v>16.658999999999999</v>
      </c>
      <c r="U1258" s="3" t="e">
        <f ca="1"/>
        <v>#NAME?</v>
      </c>
    </row>
    <row r="1259" spans="3:21" ht="12.5" x14ac:dyDescent="0.25">
      <c r="C1259" s="4">
        <f ca="1">IFERROR(__xludf.DUMMYFUNCTION("""COMPUTED_VALUE"""),41601.9986111111)</f>
        <v>41601.998611111099</v>
      </c>
      <c r="D1259" s="2">
        <f ca="1">IFERROR(__xludf.DUMMYFUNCTION("""COMPUTED_VALUE"""),62.726)</f>
        <v>62.725999999999999</v>
      </c>
      <c r="E1259" s="2">
        <f ca="1">IFERROR(__xludf.DUMMYFUNCTION("""COMPUTED_VALUE"""),85.134)</f>
        <v>85.134</v>
      </c>
      <c r="F1259" s="2">
        <f ca="1">IFERROR(__xludf.DUMMYFUNCTION("""COMPUTED_VALUE"""),98.812)</f>
        <v>98.811999999999998</v>
      </c>
      <c r="G1259" s="2">
        <f ca="1">IFERROR(__xludf.DUMMYFUNCTION("""COMPUTED_VALUE"""),0.61422)</f>
        <v>0.61421999999999999</v>
      </c>
      <c r="H1259" s="2">
        <f ca="1">IFERROR(__xludf.DUMMYFUNCTION("""COMPUTED_VALUE"""),54.604)</f>
        <v>54.603999999999999</v>
      </c>
      <c r="I1259" s="2">
        <f ca="1">IFERROR(__xludf.DUMMYFUNCTION("""COMPUTED_VALUE"""),57.599)</f>
        <v>57.598999999999997</v>
      </c>
      <c r="J1259" s="2">
        <f ca="1">IFERROR(__xludf.DUMMYFUNCTION("""COMPUTED_VALUE"""),48.802)</f>
        <v>48.802</v>
      </c>
      <c r="K1259" s="2">
        <f ca="1">IFERROR(__xludf.DUMMYFUNCTION("""COMPUTED_VALUE"""),67.944)</f>
        <v>67.944000000000003</v>
      </c>
      <c r="L1259" s="2">
        <f ca="1">IFERROR(__xludf.DUMMYFUNCTION("""COMPUTED_VALUE"""),10.15296)</f>
        <v>10.15296</v>
      </c>
      <c r="M1259" s="2">
        <f ca="1">IFERROR(__xludf.DUMMYFUNCTION("""COMPUTED_VALUE"""),16.749)</f>
        <v>16.748999999999999</v>
      </c>
      <c r="U1259" s="3" t="e">
        <f ca="1"/>
        <v>#NAME?</v>
      </c>
    </row>
    <row r="1260" spans="3:21" ht="12.5" x14ac:dyDescent="0.25">
      <c r="C1260" s="4">
        <f ca="1">IFERROR(__xludf.DUMMYFUNCTION("""COMPUTED_VALUE"""),41602.9986111111)</f>
        <v>41602.998611111099</v>
      </c>
      <c r="D1260" s="2">
        <f ca="1">IFERROR(__xludf.DUMMYFUNCTION("""COMPUTED_VALUE"""),62.24)</f>
        <v>62.24</v>
      </c>
      <c r="E1260" s="2">
        <f ca="1">IFERROR(__xludf.DUMMYFUNCTION("""COMPUTED_VALUE"""),85.018)</f>
        <v>85.018000000000001</v>
      </c>
      <c r="F1260" s="2">
        <f ca="1">IFERROR(__xludf.DUMMYFUNCTION("""COMPUTED_VALUE"""),98.349)</f>
        <v>98.349000000000004</v>
      </c>
      <c r="G1260" s="2">
        <f ca="1">IFERROR(__xludf.DUMMYFUNCTION("""COMPUTED_VALUE"""),0.61422)</f>
        <v>0.61421999999999999</v>
      </c>
      <c r="H1260" s="2">
        <f ca="1">IFERROR(__xludf.DUMMYFUNCTION("""COMPUTED_VALUE"""),55.192)</f>
        <v>55.192</v>
      </c>
      <c r="I1260" s="2">
        <f ca="1">IFERROR(__xludf.DUMMYFUNCTION("""COMPUTED_VALUE"""),58.115)</f>
        <v>58.115000000000002</v>
      </c>
      <c r="J1260" s="2">
        <f ca="1">IFERROR(__xludf.DUMMYFUNCTION("""COMPUTED_VALUE"""),48.575)</f>
        <v>48.575000000000003</v>
      </c>
      <c r="K1260" s="2">
        <f ca="1">IFERROR(__xludf.DUMMYFUNCTION("""COMPUTED_VALUE"""),67.741)</f>
        <v>67.741</v>
      </c>
      <c r="L1260" s="2">
        <f ca="1">IFERROR(__xludf.DUMMYFUNCTION("""COMPUTED_VALUE"""),10.19035)</f>
        <v>10.19035</v>
      </c>
      <c r="M1260" s="2">
        <f ca="1">IFERROR(__xludf.DUMMYFUNCTION("""COMPUTED_VALUE"""),16.73)</f>
        <v>16.73</v>
      </c>
      <c r="U1260" s="3" t="e">
        <f ca="1"/>
        <v>#NAME?</v>
      </c>
    </row>
    <row r="1261" spans="3:21" ht="12.5" x14ac:dyDescent="0.25">
      <c r="C1261" s="4">
        <f ca="1">IFERROR(__xludf.DUMMYFUNCTION("""COMPUTED_VALUE"""),41603.9986111111)</f>
        <v>41603.998611111099</v>
      </c>
      <c r="D1261" s="2">
        <f ca="1">IFERROR(__xludf.DUMMYFUNCTION("""COMPUTED_VALUE"""),62.503)</f>
        <v>62.503</v>
      </c>
      <c r="E1261" s="2">
        <f ca="1">IFERROR(__xludf.DUMMYFUNCTION("""COMPUTED_VALUE"""),84.427)</f>
        <v>84.427000000000007</v>
      </c>
      <c r="F1261" s="2">
        <f ca="1">IFERROR(__xludf.DUMMYFUNCTION("""COMPUTED_VALUE"""),98.702)</f>
        <v>98.701999999999998</v>
      </c>
      <c r="G1261" s="2">
        <f ca="1">IFERROR(__xludf.DUMMYFUNCTION("""COMPUTED_VALUE"""),0.61198)</f>
        <v>0.61197999999999997</v>
      </c>
      <c r="H1261" s="2">
        <f ca="1">IFERROR(__xludf.DUMMYFUNCTION("""COMPUTED_VALUE"""),55.061)</f>
        <v>55.061</v>
      </c>
      <c r="I1261" s="2">
        <f ca="1">IFERROR(__xludf.DUMMYFUNCTION("""COMPUTED_VALUE"""),58.124)</f>
        <v>58.124000000000002</v>
      </c>
      <c r="J1261" s="2">
        <f ca="1">IFERROR(__xludf.DUMMYFUNCTION("""COMPUTED_VALUE"""),48.814)</f>
        <v>48.814</v>
      </c>
      <c r="K1261" s="2">
        <f ca="1">IFERROR(__xludf.DUMMYFUNCTION("""COMPUTED_VALUE"""),67.675)</f>
        <v>67.674999999999997</v>
      </c>
      <c r="L1261" s="2">
        <f ca="1">IFERROR(__xludf.DUMMYFUNCTION("""COMPUTED_VALUE"""),10.21526)</f>
        <v>10.215260000000001</v>
      </c>
      <c r="M1261" s="2">
        <f ca="1">IFERROR(__xludf.DUMMYFUNCTION("""COMPUTED_VALUE"""),16.732)</f>
        <v>16.731999999999999</v>
      </c>
      <c r="U1261" s="3" t="e">
        <f ca="1"/>
        <v>#NAME?</v>
      </c>
    </row>
    <row r="1262" spans="3:21" ht="12.5" x14ac:dyDescent="0.25">
      <c r="C1262" s="4">
        <f ca="1">IFERROR(__xludf.DUMMYFUNCTION("""COMPUTED_VALUE"""),41604.9986111111)</f>
        <v>41604.998611111099</v>
      </c>
      <c r="D1262" s="2">
        <f ca="1">IFERROR(__xludf.DUMMYFUNCTION("""COMPUTED_VALUE"""),62.46)</f>
        <v>62.46</v>
      </c>
      <c r="E1262" s="2">
        <f ca="1">IFERROR(__xludf.DUMMYFUNCTION("""COMPUTED_VALUE"""),84.427)</f>
        <v>84.427000000000007</v>
      </c>
      <c r="F1262" s="2">
        <f ca="1">IFERROR(__xludf.DUMMYFUNCTION("""COMPUTED_VALUE"""),98.995)</f>
        <v>98.995000000000005</v>
      </c>
      <c r="G1262" s="2">
        <f ca="1">IFERROR(__xludf.DUMMYFUNCTION("""COMPUTED_VALUE"""),0.61797)</f>
        <v>0.61797000000000002</v>
      </c>
      <c r="H1262" s="2">
        <f ca="1">IFERROR(__xludf.DUMMYFUNCTION("""COMPUTED_VALUE"""),55.003)</f>
        <v>55.003</v>
      </c>
      <c r="I1262" s="2">
        <f ca="1">IFERROR(__xludf.DUMMYFUNCTION("""COMPUTED_VALUE"""),58.085)</f>
        <v>58.085000000000001</v>
      </c>
      <c r="J1262" s="2">
        <f ca="1">IFERROR(__xludf.DUMMYFUNCTION("""COMPUTED_VALUE"""),48.892)</f>
        <v>48.892000000000003</v>
      </c>
      <c r="K1262" s="2">
        <f ca="1">IFERROR(__xludf.DUMMYFUNCTION("""COMPUTED_VALUE"""),67.669)</f>
        <v>67.668999999999997</v>
      </c>
      <c r="L1262" s="2">
        <f ca="1">IFERROR(__xludf.DUMMYFUNCTION("""COMPUTED_VALUE"""),10.1661)</f>
        <v>10.1661</v>
      </c>
      <c r="M1262" s="2">
        <f ca="1">IFERROR(__xludf.DUMMYFUNCTION("""COMPUTED_VALUE"""),16.732)</f>
        <v>16.731999999999999</v>
      </c>
      <c r="U1262" s="3" t="e">
        <f ca="1"/>
        <v>#NAME?</v>
      </c>
    </row>
    <row r="1263" spans="3:21" ht="12.5" x14ac:dyDescent="0.25">
      <c r="C1263" s="4">
        <f ca="1">IFERROR(__xludf.DUMMYFUNCTION("""COMPUTED_VALUE"""),41605.9986111111)</f>
        <v>41605.998611111099</v>
      </c>
      <c r="D1263" s="2">
        <f ca="1">IFERROR(__xludf.DUMMYFUNCTION("""COMPUTED_VALUE"""),62.54)</f>
        <v>62.54</v>
      </c>
      <c r="E1263" s="2">
        <f ca="1">IFERROR(__xludf.DUMMYFUNCTION("""COMPUTED_VALUE"""),84.581)</f>
        <v>84.581000000000003</v>
      </c>
      <c r="F1263" s="2">
        <f ca="1">IFERROR(__xludf.DUMMYFUNCTION("""COMPUTED_VALUE"""),98.995)</f>
        <v>98.995000000000005</v>
      </c>
      <c r="G1263" s="2">
        <f ca="1">IFERROR(__xludf.DUMMYFUNCTION("""COMPUTED_VALUE"""),0.61424)</f>
        <v>0.61424000000000001</v>
      </c>
      <c r="H1263" s="2">
        <f ca="1">IFERROR(__xludf.DUMMYFUNCTION("""COMPUTED_VALUE"""),55.404)</f>
        <v>55.404000000000003</v>
      </c>
      <c r="I1263" s="2">
        <f ca="1">IFERROR(__xludf.DUMMYFUNCTION("""COMPUTED_VALUE"""),58.307)</f>
        <v>58.307000000000002</v>
      </c>
      <c r="J1263" s="2">
        <f ca="1">IFERROR(__xludf.DUMMYFUNCTION("""COMPUTED_VALUE"""),48.918)</f>
        <v>48.917999999999999</v>
      </c>
      <c r="K1263" s="2">
        <f ca="1">IFERROR(__xludf.DUMMYFUNCTION("""COMPUTED_VALUE"""),68.166)</f>
        <v>68.165999999999997</v>
      </c>
      <c r="L1263" s="2">
        <f ca="1">IFERROR(__xludf.DUMMYFUNCTION("""COMPUTED_VALUE"""),10.14809)</f>
        <v>10.14809</v>
      </c>
      <c r="M1263" s="2">
        <f ca="1">IFERROR(__xludf.DUMMYFUNCTION("""COMPUTED_VALUE"""),16.727)</f>
        <v>16.727</v>
      </c>
      <c r="U1263" s="3" t="e">
        <f ca="1"/>
        <v>#NAME?</v>
      </c>
    </row>
    <row r="1264" spans="3:21" ht="12.5" x14ac:dyDescent="0.25">
      <c r="C1264" s="4">
        <f ca="1">IFERROR(__xludf.DUMMYFUNCTION("""COMPUTED_VALUE"""),41606.9986111111)</f>
        <v>41606.998611111099</v>
      </c>
      <c r="D1264" s="2">
        <f ca="1">IFERROR(__xludf.DUMMYFUNCTION("""COMPUTED_VALUE"""),62.413)</f>
        <v>62.412999999999997</v>
      </c>
      <c r="E1264" s="2">
        <f ca="1">IFERROR(__xludf.DUMMYFUNCTION("""COMPUTED_VALUE"""),84.859)</f>
        <v>84.858999999999995</v>
      </c>
      <c r="F1264" s="2">
        <f ca="1">IFERROR(__xludf.DUMMYFUNCTION("""COMPUTED_VALUE"""),99.041)</f>
        <v>99.040999999999997</v>
      </c>
      <c r="G1264" s="2">
        <f ca="1">IFERROR(__xludf.DUMMYFUNCTION("""COMPUTED_VALUE"""),0.61651)</f>
        <v>0.61651</v>
      </c>
      <c r="H1264" s="2">
        <f ca="1">IFERROR(__xludf.DUMMYFUNCTION("""COMPUTED_VALUE"""),55.593)</f>
        <v>55.593000000000004</v>
      </c>
      <c r="I1264" s="2">
        <f ca="1">IFERROR(__xludf.DUMMYFUNCTION("""COMPUTED_VALUE"""),58.419)</f>
        <v>58.418999999999997</v>
      </c>
      <c r="J1264" s="2">
        <f ca="1">IFERROR(__xludf.DUMMYFUNCTION("""COMPUTED_VALUE"""),49.105)</f>
        <v>49.104999999999997</v>
      </c>
      <c r="K1264" s="2">
        <f ca="1">IFERROR(__xludf.DUMMYFUNCTION("""COMPUTED_VALUE"""),67.809)</f>
        <v>67.808999999999997</v>
      </c>
      <c r="L1264" s="2">
        <f ca="1">IFERROR(__xludf.DUMMYFUNCTION("""COMPUTED_VALUE"""),10.13029)</f>
        <v>10.13029</v>
      </c>
      <c r="M1264" s="2">
        <f ca="1">IFERROR(__xludf.DUMMYFUNCTION("""COMPUTED_VALUE"""),16.747)</f>
        <v>16.747</v>
      </c>
      <c r="U1264" s="3" t="e">
        <f ca="1"/>
        <v>#NAME?</v>
      </c>
    </row>
    <row r="1265" spans="3:21" ht="12.5" x14ac:dyDescent="0.25">
      <c r="C1265" s="4">
        <f ca="1">IFERROR(__xludf.DUMMYFUNCTION("""COMPUTED_VALUE"""),41607.9986111111)</f>
        <v>41607.998611111099</v>
      </c>
      <c r="D1265" s="2">
        <f ca="1">IFERROR(__xludf.DUMMYFUNCTION("""COMPUTED_VALUE"""),62.392)</f>
        <v>62.392000000000003</v>
      </c>
      <c r="E1265" s="2">
        <f ca="1">IFERROR(__xludf.DUMMYFUNCTION("""COMPUTED_VALUE"""),84.751)</f>
        <v>84.751000000000005</v>
      </c>
      <c r="F1265" s="2">
        <f ca="1">IFERROR(__xludf.DUMMYFUNCTION("""COMPUTED_VALUE"""),99.331)</f>
        <v>99.331000000000003</v>
      </c>
      <c r="G1265" s="2">
        <f ca="1">IFERROR(__xludf.DUMMYFUNCTION("""COMPUTED_VALUE"""),0.61085)</f>
        <v>0.61085</v>
      </c>
      <c r="H1265" s="2">
        <f ca="1">IFERROR(__xludf.DUMMYFUNCTION("""COMPUTED_VALUE"""),55.592)</f>
        <v>55.591999999999999</v>
      </c>
      <c r="I1265" s="2">
        <f ca="1">IFERROR(__xludf.DUMMYFUNCTION("""COMPUTED_VALUE"""),58.415)</f>
        <v>58.414999999999999</v>
      </c>
      <c r="J1265" s="2">
        <f ca="1">IFERROR(__xludf.DUMMYFUNCTION("""COMPUTED_VALUE"""),49.038)</f>
        <v>49.037999999999997</v>
      </c>
      <c r="K1265" s="2">
        <f ca="1">IFERROR(__xludf.DUMMYFUNCTION("""COMPUTED_VALUE"""),67.402)</f>
        <v>67.402000000000001</v>
      </c>
      <c r="L1265" s="2">
        <f ca="1">IFERROR(__xludf.DUMMYFUNCTION("""COMPUTED_VALUE"""),10.10226)</f>
        <v>10.102259999999999</v>
      </c>
      <c r="M1265" s="2">
        <f ca="1">IFERROR(__xludf.DUMMYFUNCTION("""COMPUTED_VALUE"""),16.73)</f>
        <v>16.73</v>
      </c>
      <c r="U1265" s="3" t="e">
        <f ca="1"/>
        <v>#NAME?</v>
      </c>
    </row>
    <row r="1266" spans="3:21" ht="12.5" x14ac:dyDescent="0.25">
      <c r="C1266" s="4">
        <f ca="1">IFERROR(__xludf.DUMMYFUNCTION("""COMPUTED_VALUE"""),41608.9986111111)</f>
        <v>41608.998611111099</v>
      </c>
      <c r="D1266" s="2">
        <f ca="1">IFERROR(__xludf.DUMMYFUNCTION("""COMPUTED_VALUE"""),62.392)</f>
        <v>62.392000000000003</v>
      </c>
      <c r="E1266" s="2">
        <f ca="1">IFERROR(__xludf.DUMMYFUNCTION("""COMPUTED_VALUE"""),84.303)</f>
        <v>84.302999999999997</v>
      </c>
      <c r="F1266" s="2">
        <f ca="1">IFERROR(__xludf.DUMMYFUNCTION("""COMPUTED_VALUE"""),99.334)</f>
        <v>99.334000000000003</v>
      </c>
      <c r="G1266" s="2">
        <f ca="1">IFERROR(__xludf.DUMMYFUNCTION("""COMPUTED_VALUE"""),0.60802)</f>
        <v>0.60802</v>
      </c>
      <c r="H1266" s="2">
        <f ca="1">IFERROR(__xludf.DUMMYFUNCTION("""COMPUTED_VALUE"""),55.714)</f>
        <v>55.713999999999999</v>
      </c>
      <c r="I1266" s="2">
        <f ca="1">IFERROR(__xludf.DUMMYFUNCTION("""COMPUTED_VALUE"""),58.517)</f>
        <v>58.517000000000003</v>
      </c>
      <c r="J1266" s="2">
        <f ca="1">IFERROR(__xludf.DUMMYFUNCTION("""COMPUTED_VALUE"""),49.038)</f>
        <v>49.037999999999997</v>
      </c>
      <c r="K1266" s="2">
        <f ca="1">IFERROR(__xludf.DUMMYFUNCTION("""COMPUTED_VALUE"""),68.364)</f>
        <v>68.364000000000004</v>
      </c>
      <c r="L1266" s="2">
        <f ca="1">IFERROR(__xludf.DUMMYFUNCTION("""COMPUTED_VALUE"""),10.12054)</f>
        <v>10.12054</v>
      </c>
      <c r="M1266" s="2">
        <f ca="1">IFERROR(__xludf.DUMMYFUNCTION("""COMPUTED_VALUE"""),16.695)</f>
        <v>16.695</v>
      </c>
      <c r="U1266" s="3" t="e">
        <f ca="1"/>
        <v>#NAME?</v>
      </c>
    </row>
    <row r="1267" spans="3:21" ht="12.5" x14ac:dyDescent="0.25">
      <c r="C1267" s="4">
        <f ca="1">IFERROR(__xludf.DUMMYFUNCTION("""COMPUTED_VALUE"""),41609.9986111111)</f>
        <v>41609.998611111099</v>
      </c>
      <c r="D1267" s="2">
        <f ca="1">IFERROR(__xludf.DUMMYFUNCTION("""COMPUTED_VALUE"""),62.46)</f>
        <v>62.46</v>
      </c>
      <c r="E1267" s="2">
        <f ca="1">IFERROR(__xludf.DUMMYFUNCTION("""COMPUTED_VALUE"""),84.419)</f>
        <v>84.418999999999997</v>
      </c>
      <c r="F1267" s="2">
        <f ca="1">IFERROR(__xludf.DUMMYFUNCTION("""COMPUTED_VALUE"""),99.471)</f>
        <v>99.471000000000004</v>
      </c>
      <c r="G1267" s="2">
        <f ca="1">IFERROR(__xludf.DUMMYFUNCTION("""COMPUTED_VALUE"""),0.60802)</f>
        <v>0.60802</v>
      </c>
      <c r="H1267" s="2">
        <f ca="1">IFERROR(__xludf.DUMMYFUNCTION("""COMPUTED_VALUE"""),55.802)</f>
        <v>55.802</v>
      </c>
      <c r="I1267" s="2">
        <f ca="1">IFERROR(__xludf.DUMMYFUNCTION("""COMPUTED_VALUE"""),58.397)</f>
        <v>58.396999999999998</v>
      </c>
      <c r="J1267" s="2">
        <f ca="1">IFERROR(__xludf.DUMMYFUNCTION("""COMPUTED_VALUE"""),49.111)</f>
        <v>49.110999999999997</v>
      </c>
      <c r="K1267" s="2">
        <f ca="1">IFERROR(__xludf.DUMMYFUNCTION("""COMPUTED_VALUE"""),68.019)</f>
        <v>68.019000000000005</v>
      </c>
      <c r="L1267" s="2">
        <f ca="1">IFERROR(__xludf.DUMMYFUNCTION("""COMPUTED_VALUE"""),10.07319)</f>
        <v>10.07319</v>
      </c>
      <c r="M1267" s="2">
        <f ca="1">IFERROR(__xludf.DUMMYFUNCTION("""COMPUTED_VALUE"""),16.94)</f>
        <v>16.940000000000001</v>
      </c>
      <c r="U1267" s="3" t="e">
        <f ca="1"/>
        <v>#NAME?</v>
      </c>
    </row>
    <row r="1268" spans="3:21" ht="12.5" x14ac:dyDescent="0.25">
      <c r="C1268" s="4">
        <f ca="1">IFERROR(__xludf.DUMMYFUNCTION("""COMPUTED_VALUE"""),41610.9986111111)</f>
        <v>41610.998611111099</v>
      </c>
      <c r="D1268" s="2">
        <f ca="1">IFERROR(__xludf.DUMMYFUNCTION("""COMPUTED_VALUE"""),62.318)</f>
        <v>62.317999999999998</v>
      </c>
      <c r="E1268" s="2">
        <f ca="1">IFERROR(__xludf.DUMMYFUNCTION("""COMPUTED_VALUE"""),84.545)</f>
        <v>84.545000000000002</v>
      </c>
      <c r="F1268" s="2">
        <f ca="1">IFERROR(__xludf.DUMMYFUNCTION("""COMPUTED_VALUE"""),99.465)</f>
        <v>99.465000000000003</v>
      </c>
      <c r="G1268" s="2">
        <f ca="1">IFERROR(__xludf.DUMMYFUNCTION("""COMPUTED_VALUE"""),0.60537)</f>
        <v>0.60536999999999996</v>
      </c>
      <c r="H1268" s="2">
        <f ca="1">IFERROR(__xludf.DUMMYFUNCTION("""COMPUTED_VALUE"""),55.51)</f>
        <v>55.51</v>
      </c>
      <c r="I1268" s="2">
        <f ca="1">IFERROR(__xludf.DUMMYFUNCTION("""COMPUTED_VALUE"""),57.78)</f>
        <v>57.78</v>
      </c>
      <c r="J1268" s="2">
        <f ca="1">IFERROR(__xludf.DUMMYFUNCTION("""COMPUTED_VALUE"""),49.111)</f>
        <v>49.110999999999997</v>
      </c>
      <c r="K1268" s="2">
        <f ca="1">IFERROR(__xludf.DUMMYFUNCTION("""COMPUTED_VALUE"""),67.273)</f>
        <v>67.272999999999996</v>
      </c>
      <c r="L1268" s="2">
        <f ca="1">IFERROR(__xludf.DUMMYFUNCTION("""COMPUTED_VALUE"""),10.05678)</f>
        <v>10.05678</v>
      </c>
      <c r="M1268" s="2">
        <f ca="1">IFERROR(__xludf.DUMMYFUNCTION("""COMPUTED_VALUE"""),16.81)</f>
        <v>16.809999999999999</v>
      </c>
      <c r="U1268" s="3" t="e">
        <f ca="1"/>
        <v>#NAME?</v>
      </c>
    </row>
    <row r="1269" spans="3:21" ht="12.5" x14ac:dyDescent="0.25">
      <c r="C1269" s="4">
        <f ca="1">IFERROR(__xludf.DUMMYFUNCTION("""COMPUTED_VALUE"""),41611.9986111111)</f>
        <v>41611.998611111099</v>
      </c>
      <c r="D1269" s="2">
        <f ca="1">IFERROR(__xludf.DUMMYFUNCTION("""COMPUTED_VALUE"""),62.363)</f>
        <v>62.363</v>
      </c>
      <c r="E1269" s="2">
        <f ca="1">IFERROR(__xludf.DUMMYFUNCTION("""COMPUTED_VALUE"""),84.624)</f>
        <v>84.623999999999995</v>
      </c>
      <c r="F1269" s="2">
        <f ca="1">IFERROR(__xludf.DUMMYFUNCTION("""COMPUTED_VALUE"""),99.342)</f>
        <v>99.341999999999999</v>
      </c>
      <c r="G1269" s="2">
        <f ca="1">IFERROR(__xludf.DUMMYFUNCTION("""COMPUTED_VALUE"""),0.61087)</f>
        <v>0.61087000000000002</v>
      </c>
      <c r="H1269" s="2">
        <f ca="1">IFERROR(__xludf.DUMMYFUNCTION("""COMPUTED_VALUE"""),55.214)</f>
        <v>55.213999999999999</v>
      </c>
      <c r="I1269" s="2">
        <f ca="1">IFERROR(__xludf.DUMMYFUNCTION("""COMPUTED_VALUE"""),57.381)</f>
        <v>57.381</v>
      </c>
      <c r="J1269" s="2">
        <f ca="1">IFERROR(__xludf.DUMMYFUNCTION("""COMPUTED_VALUE"""),48.949)</f>
        <v>48.948999999999998</v>
      </c>
      <c r="K1269" s="2">
        <f ca="1">IFERROR(__xludf.DUMMYFUNCTION("""COMPUTED_VALUE"""),68.628)</f>
        <v>68.628</v>
      </c>
      <c r="L1269" s="2">
        <f ca="1">IFERROR(__xludf.DUMMYFUNCTION("""COMPUTED_VALUE"""),10.03522)</f>
        <v>10.035220000000001</v>
      </c>
      <c r="M1269" s="2">
        <f ca="1">IFERROR(__xludf.DUMMYFUNCTION("""COMPUTED_VALUE"""),16.81)</f>
        <v>16.809999999999999</v>
      </c>
      <c r="U1269" s="3" t="e">
        <f ca="1"/>
        <v>#NAME?</v>
      </c>
    </row>
    <row r="1270" spans="3:21" ht="12.5" x14ac:dyDescent="0.25">
      <c r="C1270" s="4">
        <f ca="1">IFERROR(__xludf.DUMMYFUNCTION("""COMPUTED_VALUE"""),41612.9986111111)</f>
        <v>41612.998611111099</v>
      </c>
      <c r="D1270" s="2">
        <f ca="1">IFERROR(__xludf.DUMMYFUNCTION("""COMPUTED_VALUE"""),61.7)</f>
        <v>61.7</v>
      </c>
      <c r="E1270" s="2">
        <f ca="1">IFERROR(__xludf.DUMMYFUNCTION("""COMPUTED_VALUE"""),83.995)</f>
        <v>83.995000000000005</v>
      </c>
      <c r="F1270" s="2">
        <f ca="1">IFERROR(__xludf.DUMMYFUNCTION("""COMPUTED_VALUE"""),99.342)</f>
        <v>99.341999999999999</v>
      </c>
      <c r="G1270" s="2">
        <f ca="1">IFERROR(__xludf.DUMMYFUNCTION("""COMPUTED_VALUE"""),0.60626)</f>
        <v>0.60626000000000002</v>
      </c>
      <c r="H1270" s="2">
        <f ca="1">IFERROR(__xludf.DUMMYFUNCTION("""COMPUTED_VALUE"""),55.186)</f>
        <v>55.186</v>
      </c>
      <c r="I1270" s="2">
        <f ca="1">IFERROR(__xludf.DUMMYFUNCTION("""COMPUTED_VALUE"""),57.213)</f>
        <v>57.213000000000001</v>
      </c>
      <c r="J1270" s="2">
        <f ca="1">IFERROR(__xludf.DUMMYFUNCTION("""COMPUTED_VALUE"""),48.794)</f>
        <v>48.793999999999997</v>
      </c>
      <c r="K1270" s="2">
        <f ca="1">IFERROR(__xludf.DUMMYFUNCTION("""COMPUTED_VALUE"""),68.733)</f>
        <v>68.733000000000004</v>
      </c>
      <c r="L1270" s="2">
        <f ca="1">IFERROR(__xludf.DUMMYFUNCTION("""COMPUTED_VALUE"""),10.09215)</f>
        <v>10.09215</v>
      </c>
      <c r="M1270" s="2">
        <f ca="1">IFERROR(__xludf.DUMMYFUNCTION("""COMPUTED_VALUE"""),16.934)</f>
        <v>16.934000000000001</v>
      </c>
      <c r="U1270" s="3" t="e">
        <f ca="1"/>
        <v>#NAME?</v>
      </c>
    </row>
    <row r="1271" spans="3:21" ht="12.5" x14ac:dyDescent="0.25">
      <c r="C1271" s="4">
        <f ca="1">IFERROR(__xludf.DUMMYFUNCTION("""COMPUTED_VALUE"""),41613.9986111111)</f>
        <v>41613.998611111099</v>
      </c>
      <c r="D1271" s="2">
        <f ca="1">IFERROR(__xludf.DUMMYFUNCTION("""COMPUTED_VALUE"""),61.58)</f>
        <v>61.58</v>
      </c>
      <c r="E1271" s="2">
        <f ca="1">IFERROR(__xludf.DUMMYFUNCTION("""COMPUTED_VALUE"""),83.962)</f>
        <v>83.962000000000003</v>
      </c>
      <c r="F1271" s="2">
        <f ca="1">IFERROR(__xludf.DUMMYFUNCTION("""COMPUTED_VALUE"""),99.355)</f>
        <v>99.355000000000004</v>
      </c>
      <c r="G1271" s="2">
        <f ca="1">IFERROR(__xludf.DUMMYFUNCTION("""COMPUTED_VALUE"""),0.60546)</f>
        <v>0.60546</v>
      </c>
      <c r="H1271" s="2">
        <f ca="1">IFERROR(__xludf.DUMMYFUNCTION("""COMPUTED_VALUE"""),55.639)</f>
        <v>55.639000000000003</v>
      </c>
      <c r="I1271" s="2">
        <f ca="1">IFERROR(__xludf.DUMMYFUNCTION("""COMPUTED_VALUE"""),56.753)</f>
        <v>56.753</v>
      </c>
      <c r="J1271" s="2">
        <f ca="1">IFERROR(__xludf.DUMMYFUNCTION("""COMPUTED_VALUE"""),48.819)</f>
        <v>48.819000000000003</v>
      </c>
      <c r="K1271" s="2">
        <f ca="1">IFERROR(__xludf.DUMMYFUNCTION("""COMPUTED_VALUE"""),69.408)</f>
        <v>69.408000000000001</v>
      </c>
      <c r="L1271" s="2">
        <f ca="1">IFERROR(__xludf.DUMMYFUNCTION("""COMPUTED_VALUE"""),10.1203)</f>
        <v>10.1203</v>
      </c>
      <c r="M1271" s="2">
        <f ca="1">IFERROR(__xludf.DUMMYFUNCTION("""COMPUTED_VALUE"""),16.874)</f>
        <v>16.873999999999999</v>
      </c>
      <c r="U1271" s="3" t="e">
        <f ca="1"/>
        <v>#NAME?</v>
      </c>
    </row>
    <row r="1272" spans="3:21" ht="12.5" x14ac:dyDescent="0.25">
      <c r="C1272" s="4">
        <f ca="1">IFERROR(__xludf.DUMMYFUNCTION("""COMPUTED_VALUE"""),41614.9986111111)</f>
        <v>41614.998611111099</v>
      </c>
      <c r="D1272" s="2">
        <f ca="1">IFERROR(__xludf.DUMMYFUNCTION("""COMPUTED_VALUE"""),61.428)</f>
        <v>61.427999999999997</v>
      </c>
      <c r="E1272" s="2">
        <f ca="1">IFERROR(__xludf.DUMMYFUNCTION("""COMPUTED_VALUE"""),83.968)</f>
        <v>83.968000000000004</v>
      </c>
      <c r="F1272" s="2">
        <f ca="1">IFERROR(__xludf.DUMMYFUNCTION("""COMPUTED_VALUE"""),99.278)</f>
        <v>99.278000000000006</v>
      </c>
      <c r="G1272" s="2">
        <f ca="1">IFERROR(__xludf.DUMMYFUNCTION("""COMPUTED_VALUE"""),0.61038)</f>
        <v>0.61038000000000003</v>
      </c>
      <c r="H1272" s="2">
        <f ca="1">IFERROR(__xludf.DUMMYFUNCTION("""COMPUTED_VALUE"""),55.693)</f>
        <v>55.692999999999998</v>
      </c>
      <c r="I1272" s="2">
        <f ca="1">IFERROR(__xludf.DUMMYFUNCTION("""COMPUTED_VALUE"""),56.805)</f>
        <v>56.805</v>
      </c>
      <c r="J1272" s="2">
        <f ca="1">IFERROR(__xludf.DUMMYFUNCTION("""COMPUTED_VALUE"""),48.924)</f>
        <v>48.923999999999999</v>
      </c>
      <c r="K1272" s="2">
        <f ca="1">IFERROR(__xludf.DUMMYFUNCTION("""COMPUTED_VALUE"""),69.206)</f>
        <v>69.206000000000003</v>
      </c>
      <c r="L1272" s="2">
        <f ca="1">IFERROR(__xludf.DUMMYFUNCTION("""COMPUTED_VALUE"""),10.1298)</f>
        <v>10.129799999999999</v>
      </c>
      <c r="M1272" s="2">
        <f ca="1">IFERROR(__xludf.DUMMYFUNCTION("""COMPUTED_VALUE"""),16.923)</f>
        <v>16.922999999999998</v>
      </c>
      <c r="U1272" s="3" t="e">
        <f ca="1"/>
        <v>#NAME?</v>
      </c>
    </row>
    <row r="1273" spans="3:21" ht="12.5" x14ac:dyDescent="0.25">
      <c r="C1273" s="4">
        <f ca="1">IFERROR(__xludf.DUMMYFUNCTION("""COMPUTED_VALUE"""),41615.9986111111)</f>
        <v>41615.998611111099</v>
      </c>
      <c r="D1273" s="2">
        <f ca="1">IFERROR(__xludf.DUMMYFUNCTION("""COMPUTED_VALUE"""),61.428)</f>
        <v>61.427999999999997</v>
      </c>
      <c r="E1273" s="2">
        <f ca="1">IFERROR(__xludf.DUMMYFUNCTION("""COMPUTED_VALUE"""),83.674)</f>
        <v>83.674000000000007</v>
      </c>
      <c r="F1273" s="2">
        <f ca="1">IFERROR(__xludf.DUMMYFUNCTION("""COMPUTED_VALUE"""),98.308)</f>
        <v>98.308000000000007</v>
      </c>
      <c r="G1273" s="2">
        <f ca="1">IFERROR(__xludf.DUMMYFUNCTION("""COMPUTED_VALUE"""),0.60751)</f>
        <v>0.60750999999999999</v>
      </c>
      <c r="H1273" s="2">
        <f ca="1">IFERROR(__xludf.DUMMYFUNCTION("""COMPUTED_VALUE"""),55.264)</f>
        <v>55.264000000000003</v>
      </c>
      <c r="I1273" s="2">
        <f ca="1">IFERROR(__xludf.DUMMYFUNCTION("""COMPUTED_VALUE"""),56.33)</f>
        <v>56.33</v>
      </c>
      <c r="J1273" s="2">
        <f ca="1">IFERROR(__xludf.DUMMYFUNCTION("""COMPUTED_VALUE"""),48.971)</f>
        <v>48.970999999999997</v>
      </c>
      <c r="K1273" s="2">
        <f ca="1">IFERROR(__xludf.DUMMYFUNCTION("""COMPUTED_VALUE"""),68.709)</f>
        <v>68.709000000000003</v>
      </c>
      <c r="L1273" s="2">
        <f ca="1">IFERROR(__xludf.DUMMYFUNCTION("""COMPUTED_VALUE"""),10.14265)</f>
        <v>10.14265</v>
      </c>
      <c r="M1273" s="2">
        <f ca="1">IFERROR(__xludf.DUMMYFUNCTION("""COMPUTED_VALUE"""),17.008)</f>
        <v>17.007999999999999</v>
      </c>
      <c r="U1273" s="3" t="e">
        <f ca="1"/>
        <v>#NAME?</v>
      </c>
    </row>
    <row r="1274" spans="3:21" ht="12.5" x14ac:dyDescent="0.25">
      <c r="C1274" s="4">
        <f ca="1">IFERROR(__xludf.DUMMYFUNCTION("""COMPUTED_VALUE"""),41616.9986111111)</f>
        <v>41616.998611111099</v>
      </c>
      <c r="D1274" s="2">
        <f ca="1">IFERROR(__xludf.DUMMYFUNCTION("""COMPUTED_VALUE"""),61.15)</f>
        <v>61.15</v>
      </c>
      <c r="E1274" s="2">
        <f ca="1">IFERROR(__xludf.DUMMYFUNCTION("""COMPUTED_VALUE"""),83.722)</f>
        <v>83.721999999999994</v>
      </c>
      <c r="F1274" s="2">
        <f ca="1">IFERROR(__xludf.DUMMYFUNCTION("""COMPUTED_VALUE"""),98.04)</f>
        <v>98.04</v>
      </c>
      <c r="G1274" s="2">
        <f ca="1">IFERROR(__xludf.DUMMYFUNCTION("""COMPUTED_VALUE"""),0.60626)</f>
        <v>0.60626000000000002</v>
      </c>
      <c r="H1274" s="2">
        <f ca="1">IFERROR(__xludf.DUMMYFUNCTION("""COMPUTED_VALUE"""),55.576)</f>
        <v>55.576000000000001</v>
      </c>
      <c r="I1274" s="2">
        <f ca="1">IFERROR(__xludf.DUMMYFUNCTION("""COMPUTED_VALUE"""),56.437)</f>
        <v>56.436999999999998</v>
      </c>
      <c r="J1274" s="2">
        <f ca="1">IFERROR(__xludf.DUMMYFUNCTION("""COMPUTED_VALUE"""),48.621)</f>
        <v>48.621000000000002</v>
      </c>
      <c r="K1274" s="2">
        <f ca="1">IFERROR(__xludf.DUMMYFUNCTION("""COMPUTED_VALUE"""),68.815)</f>
        <v>68.814999999999998</v>
      </c>
      <c r="L1274" s="2">
        <f ca="1">IFERROR(__xludf.DUMMYFUNCTION("""COMPUTED_VALUE"""),10.12535)</f>
        <v>10.125349999999999</v>
      </c>
      <c r="M1274" s="2">
        <f ca="1">IFERROR(__xludf.DUMMYFUNCTION("""COMPUTED_VALUE"""),17.111)</f>
        <v>17.111000000000001</v>
      </c>
      <c r="U1274" s="3" t="e">
        <f ca="1"/>
        <v>#NAME?</v>
      </c>
    </row>
    <row r="1275" spans="3:21" ht="12.5" x14ac:dyDescent="0.25">
      <c r="C1275" s="4">
        <f ca="1">IFERROR(__xludf.DUMMYFUNCTION("""COMPUTED_VALUE"""),41617.9986111111)</f>
        <v>41617.998611111099</v>
      </c>
      <c r="D1275" s="2">
        <f ca="1">IFERROR(__xludf.DUMMYFUNCTION("""COMPUTED_VALUE"""),60.87)</f>
        <v>60.87</v>
      </c>
      <c r="E1275" s="2">
        <f ca="1">IFERROR(__xludf.DUMMYFUNCTION("""COMPUTED_VALUE"""),83.258)</f>
        <v>83.257999999999996</v>
      </c>
      <c r="F1275" s="2">
        <f ca="1">IFERROR(__xludf.DUMMYFUNCTION("""COMPUTED_VALUE"""),98.6)</f>
        <v>98.6</v>
      </c>
      <c r="G1275" s="2">
        <f ca="1">IFERROR(__xludf.DUMMYFUNCTION("""COMPUTED_VALUE"""),0.60835)</f>
        <v>0.60834999999999995</v>
      </c>
      <c r="H1275" s="2">
        <f ca="1">IFERROR(__xludf.DUMMYFUNCTION("""COMPUTED_VALUE"""),55.047)</f>
        <v>55.046999999999997</v>
      </c>
      <c r="I1275" s="2">
        <f ca="1">IFERROR(__xludf.DUMMYFUNCTION("""COMPUTED_VALUE"""),56.105)</f>
        <v>56.104999999999997</v>
      </c>
      <c r="J1275" s="2">
        <f ca="1">IFERROR(__xludf.DUMMYFUNCTION("""COMPUTED_VALUE"""),48.544)</f>
        <v>48.543999999999997</v>
      </c>
      <c r="K1275" s="2">
        <f ca="1">IFERROR(__xludf.DUMMYFUNCTION("""COMPUTED_VALUE"""),68.494)</f>
        <v>68.494</v>
      </c>
      <c r="L1275" s="2">
        <f ca="1">IFERROR(__xludf.DUMMYFUNCTION("""COMPUTED_VALUE"""),10.14272)</f>
        <v>10.142720000000001</v>
      </c>
      <c r="M1275" s="2">
        <f ca="1">IFERROR(__xludf.DUMMYFUNCTION("""COMPUTED_VALUE"""),17.009)</f>
        <v>17.009</v>
      </c>
      <c r="U1275" s="3" t="e">
        <f ca="1"/>
        <v>#NAME?</v>
      </c>
    </row>
    <row r="1276" spans="3:21" ht="12.5" x14ac:dyDescent="0.25">
      <c r="C1276" s="4">
        <f ca="1">IFERROR(__xludf.DUMMYFUNCTION("""COMPUTED_VALUE"""),41618.9986111111)</f>
        <v>41618.998611111099</v>
      </c>
      <c r="D1276" s="2">
        <f ca="1">IFERROR(__xludf.DUMMYFUNCTION("""COMPUTED_VALUE"""),60.98)</f>
        <v>60.98</v>
      </c>
      <c r="E1276" s="2">
        <f ca="1">IFERROR(__xludf.DUMMYFUNCTION("""COMPUTED_VALUE"""),83.258)</f>
        <v>83.257999999999996</v>
      </c>
      <c r="F1276" s="2">
        <f ca="1">IFERROR(__xludf.DUMMYFUNCTION("""COMPUTED_VALUE"""),98.325)</f>
        <v>98.325000000000003</v>
      </c>
      <c r="G1276" s="2">
        <f ca="1">IFERROR(__xludf.DUMMYFUNCTION("""COMPUTED_VALUE"""),0.60519)</f>
        <v>0.60519000000000001</v>
      </c>
      <c r="H1276" s="2">
        <f ca="1">IFERROR(__xludf.DUMMYFUNCTION("""COMPUTED_VALUE"""),54.79)</f>
        <v>54.79</v>
      </c>
      <c r="I1276" s="2">
        <f ca="1">IFERROR(__xludf.DUMMYFUNCTION("""COMPUTED_VALUE"""),56.209)</f>
        <v>56.209000000000003</v>
      </c>
      <c r="J1276" s="2">
        <f ca="1">IFERROR(__xludf.DUMMYFUNCTION("""COMPUTED_VALUE"""),48.406)</f>
        <v>48.405999999999999</v>
      </c>
      <c r="K1276" s="2">
        <f ca="1">IFERROR(__xludf.DUMMYFUNCTION("""COMPUTED_VALUE"""),68.321)</f>
        <v>68.320999999999998</v>
      </c>
      <c r="L1276" s="2">
        <f ca="1">IFERROR(__xludf.DUMMYFUNCTION("""COMPUTED_VALUE"""),10.13494)</f>
        <v>10.13494</v>
      </c>
      <c r="M1276" s="2">
        <f ca="1">IFERROR(__xludf.DUMMYFUNCTION("""COMPUTED_VALUE"""),17.009)</f>
        <v>17.009</v>
      </c>
      <c r="U1276" s="3" t="e">
        <f ca="1"/>
        <v>#NAME?</v>
      </c>
    </row>
    <row r="1277" spans="3:21" ht="12.5" x14ac:dyDescent="0.25">
      <c r="C1277" s="4">
        <f ca="1">IFERROR(__xludf.DUMMYFUNCTION("""COMPUTED_VALUE"""),41619.9986111111)</f>
        <v>41619.998611111099</v>
      </c>
      <c r="D1277" s="2">
        <f ca="1">IFERROR(__xludf.DUMMYFUNCTION("""COMPUTED_VALUE"""),61.59)</f>
        <v>61.59</v>
      </c>
      <c r="E1277" s="2">
        <f ca="1">IFERROR(__xludf.DUMMYFUNCTION("""COMPUTED_VALUE"""),83.257)</f>
        <v>83.257000000000005</v>
      </c>
      <c r="F1277" s="2">
        <f ca="1">IFERROR(__xludf.DUMMYFUNCTION("""COMPUTED_VALUE"""),98.325)</f>
        <v>98.325000000000003</v>
      </c>
      <c r="G1277" s="2">
        <f ca="1">IFERROR(__xludf.DUMMYFUNCTION("""COMPUTED_VALUE"""),0.60696)</f>
        <v>0.60696000000000006</v>
      </c>
      <c r="H1277" s="2">
        <f ca="1">IFERROR(__xludf.DUMMYFUNCTION("""COMPUTED_VALUE"""),54.22)</f>
        <v>54.22</v>
      </c>
      <c r="I1277" s="2">
        <f ca="1">IFERROR(__xludf.DUMMYFUNCTION("""COMPUTED_VALUE"""),56.235)</f>
        <v>56.234999999999999</v>
      </c>
      <c r="J1277" s="2">
        <f ca="1">IFERROR(__xludf.DUMMYFUNCTION("""COMPUTED_VALUE"""),48.335)</f>
        <v>48.335000000000001</v>
      </c>
      <c r="K1277" s="2">
        <f ca="1">IFERROR(__xludf.DUMMYFUNCTION("""COMPUTED_VALUE"""),68.541)</f>
        <v>68.540999999999997</v>
      </c>
      <c r="L1277" s="2">
        <f ca="1">IFERROR(__xludf.DUMMYFUNCTION("""COMPUTED_VALUE"""),10.14553)</f>
        <v>10.145530000000001</v>
      </c>
      <c r="M1277" s="2">
        <f ca="1">IFERROR(__xludf.DUMMYFUNCTION("""COMPUTED_VALUE"""),17.245)</f>
        <v>17.245000000000001</v>
      </c>
      <c r="U1277" s="3" t="e">
        <f ca="1"/>
        <v>#NAME?</v>
      </c>
    </row>
    <row r="1278" spans="3:21" ht="12.5" x14ac:dyDescent="0.25">
      <c r="C1278" s="4">
        <f ca="1">IFERROR(__xludf.DUMMYFUNCTION("""COMPUTED_VALUE"""),41620.9986111111)</f>
        <v>41620.998611111099</v>
      </c>
      <c r="D1278" s="2">
        <f ca="1">IFERROR(__xludf.DUMMYFUNCTION("""COMPUTED_VALUE"""),62.16)</f>
        <v>62.16</v>
      </c>
      <c r="E1278" s="2">
        <f ca="1">IFERROR(__xludf.DUMMYFUNCTION("""COMPUTED_VALUE"""),83.4)</f>
        <v>83.4</v>
      </c>
      <c r="F1278" s="2">
        <f ca="1">IFERROR(__xludf.DUMMYFUNCTION("""COMPUTED_VALUE"""),99.045)</f>
        <v>99.045000000000002</v>
      </c>
      <c r="G1278" s="2">
        <f ca="1">IFERROR(__xludf.DUMMYFUNCTION("""COMPUTED_VALUE"""),0.60769)</f>
        <v>0.60768999999999995</v>
      </c>
      <c r="H1278" s="2">
        <f ca="1">IFERROR(__xludf.DUMMYFUNCTION("""COMPUTED_VALUE"""),53.992)</f>
        <v>53.991999999999997</v>
      </c>
      <c r="I1278" s="2">
        <f ca="1">IFERROR(__xludf.DUMMYFUNCTION("""COMPUTED_VALUE"""),56.085)</f>
        <v>56.085000000000001</v>
      </c>
      <c r="J1278" s="2">
        <f ca="1">IFERROR(__xludf.DUMMYFUNCTION("""COMPUTED_VALUE"""),48.331)</f>
        <v>48.331000000000003</v>
      </c>
      <c r="K1278" s="2">
        <f ca="1">IFERROR(__xludf.DUMMYFUNCTION("""COMPUTED_VALUE"""),68.451)</f>
        <v>68.450999999999993</v>
      </c>
      <c r="L1278" s="2">
        <f ca="1">IFERROR(__xludf.DUMMYFUNCTION("""COMPUTED_VALUE"""),10.16216)</f>
        <v>10.16216</v>
      </c>
      <c r="M1278" s="2">
        <f ca="1">IFERROR(__xludf.DUMMYFUNCTION("""COMPUTED_VALUE"""),17.283)</f>
        <v>17.283000000000001</v>
      </c>
      <c r="U1278" s="3" t="e">
        <f ca="1"/>
        <v>#NAME?</v>
      </c>
    </row>
    <row r="1279" spans="3:21" ht="12.5" x14ac:dyDescent="0.25">
      <c r="C1279" s="4">
        <f ca="1">IFERROR(__xludf.DUMMYFUNCTION("""COMPUTED_VALUE"""),41621.9986111111)</f>
        <v>41621.998611111099</v>
      </c>
      <c r="D1279" s="2">
        <f ca="1">IFERROR(__xludf.DUMMYFUNCTION("""COMPUTED_VALUE"""),62.188)</f>
        <v>62.188000000000002</v>
      </c>
      <c r="E1279" s="2">
        <f ca="1">IFERROR(__xludf.DUMMYFUNCTION("""COMPUTED_VALUE"""),83.845)</f>
        <v>83.844999999999999</v>
      </c>
      <c r="F1279" s="2">
        <f ca="1">IFERROR(__xludf.DUMMYFUNCTION("""COMPUTED_VALUE"""),98.515)</f>
        <v>98.515000000000001</v>
      </c>
      <c r="G1279" s="2">
        <f ca="1">IFERROR(__xludf.DUMMYFUNCTION("""COMPUTED_VALUE"""),0.60763)</f>
        <v>0.60763</v>
      </c>
      <c r="H1279" s="2">
        <f ca="1">IFERROR(__xludf.DUMMYFUNCTION("""COMPUTED_VALUE"""),53.994)</f>
        <v>53.994</v>
      </c>
      <c r="I1279" s="2">
        <f ca="1">IFERROR(__xludf.DUMMYFUNCTION("""COMPUTED_VALUE"""),56.108)</f>
        <v>56.107999999999997</v>
      </c>
      <c r="J1279" s="2">
        <f ca="1">IFERROR(__xludf.DUMMYFUNCTION("""COMPUTED_VALUE"""),48.183)</f>
        <v>48.183</v>
      </c>
      <c r="K1279" s="2">
        <f ca="1">IFERROR(__xludf.DUMMYFUNCTION("""COMPUTED_VALUE"""),68.787)</f>
        <v>68.787000000000006</v>
      </c>
      <c r="L1279" s="2">
        <f ca="1">IFERROR(__xludf.DUMMYFUNCTION("""COMPUTED_VALUE"""),10.04017)</f>
        <v>10.04017</v>
      </c>
      <c r="M1279" s="2">
        <f ca="1">IFERROR(__xludf.DUMMYFUNCTION("""COMPUTED_VALUE"""),17.414)</f>
        <v>17.414000000000001</v>
      </c>
      <c r="U1279" s="3" t="e">
        <f ca="1"/>
        <v>#NAME?</v>
      </c>
    </row>
    <row r="1280" spans="3:21" ht="12.5" x14ac:dyDescent="0.25">
      <c r="C1280" s="4">
        <f ca="1">IFERROR(__xludf.DUMMYFUNCTION("""COMPUTED_VALUE"""),41622.9986111111)</f>
        <v>41622.998611111099</v>
      </c>
      <c r="D1280" s="2">
        <f ca="1">IFERROR(__xludf.DUMMYFUNCTION("""COMPUTED_VALUE"""),62.188)</f>
        <v>62.188000000000002</v>
      </c>
      <c r="E1280" s="2">
        <f ca="1">IFERROR(__xludf.DUMMYFUNCTION("""COMPUTED_VALUE"""),83.637)</f>
        <v>83.637</v>
      </c>
      <c r="F1280" s="2">
        <f ca="1">IFERROR(__xludf.DUMMYFUNCTION("""COMPUTED_VALUE"""),98.814)</f>
        <v>98.813999999999993</v>
      </c>
      <c r="G1280" s="2">
        <f ca="1">IFERROR(__xludf.DUMMYFUNCTION("""COMPUTED_VALUE"""),0.60622)</f>
        <v>0.60621999999999998</v>
      </c>
      <c r="H1280" s="2">
        <f ca="1">IFERROR(__xludf.DUMMYFUNCTION("""COMPUTED_VALUE"""),54.013)</f>
        <v>54.012999999999998</v>
      </c>
      <c r="I1280" s="2">
        <f ca="1">IFERROR(__xludf.DUMMYFUNCTION("""COMPUTED_VALUE"""),56.124)</f>
        <v>56.124000000000002</v>
      </c>
      <c r="J1280" s="2">
        <f ca="1">IFERROR(__xludf.DUMMYFUNCTION("""COMPUTED_VALUE"""),48.183)</f>
        <v>48.183</v>
      </c>
      <c r="K1280" s="2">
        <f ca="1">IFERROR(__xludf.DUMMYFUNCTION("""COMPUTED_VALUE"""),69.173)</f>
        <v>69.173000000000002</v>
      </c>
      <c r="L1280" s="2">
        <f ca="1">IFERROR(__xludf.DUMMYFUNCTION("""COMPUTED_VALUE"""),10.16884)</f>
        <v>10.168839999999999</v>
      </c>
      <c r="M1280" s="2">
        <f ca="1">IFERROR(__xludf.DUMMYFUNCTION("""COMPUTED_VALUE"""),17.253)</f>
        <v>17.253</v>
      </c>
      <c r="U1280" s="3" t="e">
        <f ca="1"/>
        <v>#NAME?</v>
      </c>
    </row>
    <row r="1281" spans="3:21" ht="12.5" x14ac:dyDescent="0.25">
      <c r="C1281" s="4">
        <f ca="1">IFERROR(__xludf.DUMMYFUNCTION("""COMPUTED_VALUE"""),41623.9986111111)</f>
        <v>41623.998611111099</v>
      </c>
      <c r="D1281" s="2">
        <f ca="1">IFERROR(__xludf.DUMMYFUNCTION("""COMPUTED_VALUE"""),62.188)</f>
        <v>62.188000000000002</v>
      </c>
      <c r="E1281" s="2">
        <f ca="1">IFERROR(__xludf.DUMMYFUNCTION("""COMPUTED_VALUE"""),84.687)</f>
        <v>84.686999999999998</v>
      </c>
      <c r="F1281" s="2">
        <f ca="1">IFERROR(__xludf.DUMMYFUNCTION("""COMPUTED_VALUE"""),100.27)</f>
        <v>100.27</v>
      </c>
      <c r="G1281" s="2">
        <f ca="1">IFERROR(__xludf.DUMMYFUNCTION("""COMPUTED_VALUE"""),0.60609)</f>
        <v>0.60609000000000002</v>
      </c>
      <c r="H1281" s="2">
        <f ca="1">IFERROR(__xludf.DUMMYFUNCTION("""COMPUTED_VALUE"""),54.204)</f>
        <v>54.204000000000001</v>
      </c>
      <c r="I1281" s="2">
        <f ca="1">IFERROR(__xludf.DUMMYFUNCTION("""COMPUTED_VALUE"""),56.192)</f>
        <v>56.192</v>
      </c>
      <c r="J1281" s="2">
        <f ca="1">IFERROR(__xludf.DUMMYFUNCTION("""COMPUTED_VALUE"""),48.24)</f>
        <v>48.24</v>
      </c>
      <c r="K1281" s="2">
        <f ca="1">IFERROR(__xludf.DUMMYFUNCTION("""COMPUTED_VALUE"""),69.162)</f>
        <v>69.162000000000006</v>
      </c>
      <c r="L1281" s="2">
        <f ca="1">IFERROR(__xludf.DUMMYFUNCTION("""COMPUTED_VALUE"""),10.20375)</f>
        <v>10.203749999999999</v>
      </c>
      <c r="M1281" s="2">
        <f ca="1">IFERROR(__xludf.DUMMYFUNCTION("""COMPUTED_VALUE"""),17.163)</f>
        <v>17.163</v>
      </c>
      <c r="U1281" s="3" t="e">
        <f ca="1"/>
        <v>#NAME?</v>
      </c>
    </row>
    <row r="1282" spans="3:21" ht="12.5" x14ac:dyDescent="0.25">
      <c r="C1282" s="4">
        <f ca="1">IFERROR(__xludf.DUMMYFUNCTION("""COMPUTED_VALUE"""),41624.9986111111)</f>
        <v>41624.998611111099</v>
      </c>
      <c r="D1282" s="2">
        <f ca="1">IFERROR(__xludf.DUMMYFUNCTION("""COMPUTED_VALUE"""),61.78)</f>
        <v>61.78</v>
      </c>
      <c r="E1282" s="2">
        <f ca="1">IFERROR(__xludf.DUMMYFUNCTION("""COMPUTED_VALUE"""),85.671)</f>
        <v>85.671000000000006</v>
      </c>
      <c r="F1282" s="2">
        <f ca="1">IFERROR(__xludf.DUMMYFUNCTION("""COMPUTED_VALUE"""),100.32)</f>
        <v>100.32</v>
      </c>
      <c r="G1282" s="2">
        <f ca="1">IFERROR(__xludf.DUMMYFUNCTION("""COMPUTED_VALUE"""),0.60462)</f>
        <v>0.60462000000000005</v>
      </c>
      <c r="H1282" s="2">
        <f ca="1">IFERROR(__xludf.DUMMYFUNCTION("""COMPUTED_VALUE"""),54.458)</f>
        <v>54.457999999999998</v>
      </c>
      <c r="I1282" s="2">
        <f ca="1">IFERROR(__xludf.DUMMYFUNCTION("""COMPUTED_VALUE"""),56.366)</f>
        <v>56.366</v>
      </c>
      <c r="J1282" s="2">
        <f ca="1">IFERROR(__xludf.DUMMYFUNCTION("""COMPUTED_VALUE"""),48.225)</f>
        <v>48.225000000000001</v>
      </c>
      <c r="K1282" s="2">
        <f ca="1">IFERROR(__xludf.DUMMYFUNCTION("""COMPUTED_VALUE"""),68.615)</f>
        <v>68.614999999999995</v>
      </c>
      <c r="L1282" s="2">
        <f ca="1">IFERROR(__xludf.DUMMYFUNCTION("""COMPUTED_VALUE"""),10.19401)</f>
        <v>10.19401</v>
      </c>
      <c r="M1282" s="2">
        <f ca="1">IFERROR(__xludf.DUMMYFUNCTION("""COMPUTED_VALUE"""),17.145)</f>
        <v>17.145</v>
      </c>
      <c r="U1282" s="3" t="e">
        <f ca="1"/>
        <v>#NAME?</v>
      </c>
    </row>
    <row r="1283" spans="3:21" ht="12.5" x14ac:dyDescent="0.25">
      <c r="C1283" s="4">
        <f ca="1">IFERROR(__xludf.DUMMYFUNCTION("""COMPUTED_VALUE"""),41625.9986111111)</f>
        <v>41625.998611111099</v>
      </c>
      <c r="D1283" s="2">
        <f ca="1">IFERROR(__xludf.DUMMYFUNCTION("""COMPUTED_VALUE"""),61.71)</f>
        <v>61.71</v>
      </c>
      <c r="E1283" s="2">
        <f ca="1">IFERROR(__xludf.DUMMYFUNCTION("""COMPUTED_VALUE"""),84.967)</f>
        <v>84.966999999999999</v>
      </c>
      <c r="F1283" s="2">
        <f ca="1">IFERROR(__xludf.DUMMYFUNCTION("""COMPUTED_VALUE"""),99.279)</f>
        <v>99.278999999999996</v>
      </c>
      <c r="G1283" s="2">
        <f ca="1">IFERROR(__xludf.DUMMYFUNCTION("""COMPUTED_VALUE"""),0.605)</f>
        <v>0.60499999999999998</v>
      </c>
      <c r="H1283" s="2">
        <f ca="1">IFERROR(__xludf.DUMMYFUNCTION("""COMPUTED_VALUE"""),54.65)</f>
        <v>54.65</v>
      </c>
      <c r="I1283" s="2">
        <f ca="1">IFERROR(__xludf.DUMMYFUNCTION("""COMPUTED_VALUE"""),55.636)</f>
        <v>55.636000000000003</v>
      </c>
      <c r="J1283" s="2">
        <f ca="1">IFERROR(__xludf.DUMMYFUNCTION("""COMPUTED_VALUE"""),48.362)</f>
        <v>48.362000000000002</v>
      </c>
      <c r="K1283" s="2">
        <f ca="1">IFERROR(__xludf.DUMMYFUNCTION("""COMPUTED_VALUE"""),68.515)</f>
        <v>68.515000000000001</v>
      </c>
      <c r="L1283" s="2">
        <f ca="1">IFERROR(__xludf.DUMMYFUNCTION("""COMPUTED_VALUE"""),10.20452)</f>
        <v>10.20452</v>
      </c>
      <c r="M1283" s="2">
        <f ca="1">IFERROR(__xludf.DUMMYFUNCTION("""COMPUTED_VALUE"""),17.145)</f>
        <v>17.145</v>
      </c>
      <c r="U1283" s="3" t="e">
        <f ca="1"/>
        <v>#NAME?</v>
      </c>
    </row>
    <row r="1284" spans="3:21" ht="12.5" x14ac:dyDescent="0.25">
      <c r="C1284" s="4">
        <f ca="1">IFERROR(__xludf.DUMMYFUNCTION("""COMPUTED_VALUE"""),41626.9986111111)</f>
        <v>41626.998611111099</v>
      </c>
      <c r="D1284" s="2">
        <f ca="1">IFERROR(__xludf.DUMMYFUNCTION("""COMPUTED_VALUE"""),62.03)</f>
        <v>62.03</v>
      </c>
      <c r="E1284" s="2">
        <f ca="1">IFERROR(__xludf.DUMMYFUNCTION("""COMPUTED_VALUE"""),85.876)</f>
        <v>85.876000000000005</v>
      </c>
      <c r="F1284" s="2">
        <f ca="1">IFERROR(__xludf.DUMMYFUNCTION("""COMPUTED_VALUE"""),99.99)</f>
        <v>99.99</v>
      </c>
      <c r="G1284" s="2">
        <f ca="1">IFERROR(__xludf.DUMMYFUNCTION("""COMPUTED_VALUE"""),0.60625)</f>
        <v>0.60624999999999996</v>
      </c>
      <c r="H1284" s="2">
        <f ca="1">IFERROR(__xludf.DUMMYFUNCTION("""COMPUTED_VALUE"""),54.198)</f>
        <v>54.198</v>
      </c>
      <c r="I1284" s="2">
        <f ca="1">IFERROR(__xludf.DUMMYFUNCTION("""COMPUTED_VALUE"""),55.67)</f>
        <v>55.67</v>
      </c>
      <c r="J1284" s="2">
        <f ca="1">IFERROR(__xludf.DUMMYFUNCTION("""COMPUTED_VALUE"""),48.274)</f>
        <v>48.274000000000001</v>
      </c>
      <c r="K1284" s="2">
        <f ca="1">IFERROR(__xludf.DUMMYFUNCTION("""COMPUTED_VALUE"""),68.867)</f>
        <v>68.867000000000004</v>
      </c>
      <c r="M1284" s="2">
        <f ca="1">IFERROR(__xludf.DUMMYFUNCTION("""COMPUTED_VALUE"""),17.073)</f>
        <v>17.073</v>
      </c>
      <c r="U1284" s="3" t="e">
        <f ca="1"/>
        <v>#NAME?</v>
      </c>
    </row>
    <row r="1285" spans="3:21" ht="12.5" x14ac:dyDescent="0.25">
      <c r="C1285" s="4">
        <f ca="1">IFERROR(__xludf.DUMMYFUNCTION("""COMPUTED_VALUE"""),41627.9986111111)</f>
        <v>41627.998611111099</v>
      </c>
      <c r="D1285" s="2">
        <f ca="1">IFERROR(__xludf.DUMMYFUNCTION("""COMPUTED_VALUE"""),62.46)</f>
        <v>62.46</v>
      </c>
      <c r="E1285" s="2">
        <f ca="1">IFERROR(__xludf.DUMMYFUNCTION("""COMPUTED_VALUE"""),86.216)</f>
        <v>86.215999999999994</v>
      </c>
      <c r="F1285" s="2">
        <f ca="1">IFERROR(__xludf.DUMMYFUNCTION("""COMPUTED_VALUE"""),101.37)</f>
        <v>101.37</v>
      </c>
      <c r="G1285" s="2">
        <f ca="1">IFERROR(__xludf.DUMMYFUNCTION("""COMPUTED_VALUE"""),0.60508)</f>
        <v>0.60507999999999995</v>
      </c>
      <c r="H1285" s="2">
        <f ca="1">IFERROR(__xludf.DUMMYFUNCTION("""COMPUTED_VALUE"""),54.393)</f>
        <v>54.393000000000001</v>
      </c>
      <c r="I1285" s="2">
        <f ca="1">IFERROR(__xludf.DUMMYFUNCTION("""COMPUTED_VALUE"""),56.507)</f>
        <v>56.506999999999998</v>
      </c>
      <c r="J1285" s="2">
        <f ca="1">IFERROR(__xludf.DUMMYFUNCTION("""COMPUTED_VALUE"""),48.354)</f>
        <v>48.353999999999999</v>
      </c>
      <c r="K1285" s="2">
        <f ca="1">IFERROR(__xludf.DUMMYFUNCTION("""COMPUTED_VALUE"""),68.375)</f>
        <v>68.375</v>
      </c>
      <c r="M1285" s="2">
        <f ca="1">IFERROR(__xludf.DUMMYFUNCTION("""COMPUTED_VALUE"""),16.934)</f>
        <v>16.934000000000001</v>
      </c>
      <c r="U1285" s="3" t="e">
        <f ca="1"/>
        <v>#NAME?</v>
      </c>
    </row>
    <row r="1286" spans="3:21" ht="12.5" x14ac:dyDescent="0.25">
      <c r="C1286" s="4">
        <f ca="1">IFERROR(__xludf.DUMMYFUNCTION("""COMPUTED_VALUE"""),41628.9986111111)</f>
        <v>41628.998611111099</v>
      </c>
      <c r="D1286" s="2">
        <f ca="1">IFERROR(__xludf.DUMMYFUNCTION("""COMPUTED_VALUE"""),61.993)</f>
        <v>61.993000000000002</v>
      </c>
      <c r="E1286" s="2">
        <f ca="1">IFERROR(__xludf.DUMMYFUNCTION("""COMPUTED_VALUE"""),85.366)</f>
        <v>85.366</v>
      </c>
      <c r="F1286" s="2">
        <f ca="1">IFERROR(__xludf.DUMMYFUNCTION("""COMPUTED_VALUE"""),101.03)</f>
        <v>101.03</v>
      </c>
      <c r="G1286" s="2">
        <f ca="1">IFERROR(__xludf.DUMMYFUNCTION("""COMPUTED_VALUE"""),0.60658)</f>
        <v>0.60658000000000001</v>
      </c>
      <c r="H1286" s="2">
        <f ca="1">IFERROR(__xludf.DUMMYFUNCTION("""COMPUTED_VALUE"""),54.438)</f>
        <v>54.438000000000002</v>
      </c>
      <c r="I1286" s="2">
        <f ca="1">IFERROR(__xludf.DUMMYFUNCTION("""COMPUTED_VALUE"""),56.084)</f>
        <v>56.084000000000003</v>
      </c>
      <c r="J1286" s="2">
        <f ca="1">IFERROR(__xludf.DUMMYFUNCTION("""COMPUTED_VALUE"""),48.991)</f>
        <v>48.991</v>
      </c>
      <c r="K1286" s="2">
        <f ca="1">IFERROR(__xludf.DUMMYFUNCTION("""COMPUTED_VALUE"""),68.831)</f>
        <v>68.831000000000003</v>
      </c>
      <c r="M1286" s="2">
        <f ca="1">IFERROR(__xludf.DUMMYFUNCTION("""COMPUTED_VALUE"""),16.91)</f>
        <v>16.91</v>
      </c>
      <c r="U1286" s="3" t="e">
        <f ca="1"/>
        <v>#NAME?</v>
      </c>
    </row>
    <row r="1287" spans="3:21" ht="12.5" x14ac:dyDescent="0.25">
      <c r="C1287" s="4">
        <f ca="1">IFERROR(__xludf.DUMMYFUNCTION("""COMPUTED_VALUE"""),41629.9986111111)</f>
        <v>41629.998611111099</v>
      </c>
      <c r="D1287" s="2">
        <f ca="1">IFERROR(__xludf.DUMMYFUNCTION("""COMPUTED_VALUE"""),61.993)</f>
        <v>61.993000000000002</v>
      </c>
      <c r="E1287" s="2">
        <f ca="1">IFERROR(__xludf.DUMMYFUNCTION("""COMPUTED_VALUE"""),85.252)</f>
        <v>85.251999999999995</v>
      </c>
      <c r="F1287" s="2">
        <f ca="1">IFERROR(__xludf.DUMMYFUNCTION("""COMPUTED_VALUE"""),101.18)</f>
        <v>101.18</v>
      </c>
      <c r="G1287" s="2">
        <f ca="1">IFERROR(__xludf.DUMMYFUNCTION("""COMPUTED_VALUE"""),0.60667)</f>
        <v>0.60667000000000004</v>
      </c>
      <c r="H1287" s="2">
        <f ca="1">IFERROR(__xludf.DUMMYFUNCTION("""COMPUTED_VALUE"""),54.569)</f>
        <v>54.569000000000003</v>
      </c>
      <c r="I1287" s="2">
        <f ca="1">IFERROR(__xludf.DUMMYFUNCTION("""COMPUTED_VALUE"""),56.689)</f>
        <v>56.689</v>
      </c>
      <c r="J1287" s="2">
        <f ca="1">IFERROR(__xludf.DUMMYFUNCTION("""COMPUTED_VALUE"""),49.037)</f>
        <v>49.036999999999999</v>
      </c>
      <c r="K1287" s="2">
        <f ca="1">IFERROR(__xludf.DUMMYFUNCTION("""COMPUTED_VALUE"""),68.853)</f>
        <v>68.852999999999994</v>
      </c>
      <c r="M1287" s="2">
        <f ca="1">IFERROR(__xludf.DUMMYFUNCTION("""COMPUTED_VALUE"""),17.087)</f>
        <v>17.087</v>
      </c>
      <c r="U1287" s="3" t="e">
        <f ca="1"/>
        <v>#NAME?</v>
      </c>
    </row>
    <row r="1288" spans="3:21" ht="12.5" x14ac:dyDescent="0.25">
      <c r="C1288" s="4">
        <f ca="1">IFERROR(__xludf.DUMMYFUNCTION("""COMPUTED_VALUE"""),41630.9986111111)</f>
        <v>41630.998611111099</v>
      </c>
      <c r="D1288" s="2">
        <f ca="1">IFERROR(__xludf.DUMMYFUNCTION("""COMPUTED_VALUE"""),62.02)</f>
        <v>62.02</v>
      </c>
      <c r="E1288" s="2">
        <f ca="1">IFERROR(__xludf.DUMMYFUNCTION("""COMPUTED_VALUE"""),84.749)</f>
        <v>84.748999999999995</v>
      </c>
      <c r="F1288" s="2">
        <f ca="1">IFERROR(__xludf.DUMMYFUNCTION("""COMPUTED_VALUE"""),101.46)</f>
        <v>101.46</v>
      </c>
      <c r="G1288" s="2">
        <f ca="1">IFERROR(__xludf.DUMMYFUNCTION("""COMPUTED_VALUE"""),0.60693)</f>
        <v>0.60692999999999997</v>
      </c>
      <c r="H1288" s="2">
        <f ca="1">IFERROR(__xludf.DUMMYFUNCTION("""COMPUTED_VALUE"""),55.027)</f>
        <v>55.027000000000001</v>
      </c>
      <c r="I1288" s="2">
        <f ca="1">IFERROR(__xludf.DUMMYFUNCTION("""COMPUTED_VALUE"""),56.72)</f>
        <v>56.72</v>
      </c>
      <c r="J1288" s="2">
        <f ca="1">IFERROR(__xludf.DUMMYFUNCTION("""COMPUTED_VALUE"""),49.037)</f>
        <v>49.036999999999999</v>
      </c>
      <c r="K1288" s="2">
        <f ca="1">IFERROR(__xludf.DUMMYFUNCTION("""COMPUTED_VALUE"""),68.851)</f>
        <v>68.850999999999999</v>
      </c>
      <c r="M1288" s="2">
        <f ca="1">IFERROR(__xludf.DUMMYFUNCTION("""COMPUTED_VALUE"""),17.149)</f>
        <v>17.149000000000001</v>
      </c>
      <c r="U1288" s="3" t="e">
        <f ca="1"/>
        <v>#NAME?</v>
      </c>
    </row>
    <row r="1289" spans="3:21" ht="12.5" x14ac:dyDescent="0.25">
      <c r="C1289" s="4">
        <f ca="1">IFERROR(__xludf.DUMMYFUNCTION("""COMPUTED_VALUE"""),41631.9986111111)</f>
        <v>41631.998611111099</v>
      </c>
      <c r="D1289" s="2">
        <f ca="1">IFERROR(__xludf.DUMMYFUNCTION("""COMPUTED_VALUE"""),61.84)</f>
        <v>61.84</v>
      </c>
      <c r="E1289" s="2">
        <f ca="1">IFERROR(__xludf.DUMMYFUNCTION("""COMPUTED_VALUE"""),84.539)</f>
        <v>84.539000000000001</v>
      </c>
      <c r="F1289" s="2">
        <f ca="1">IFERROR(__xludf.DUMMYFUNCTION("""COMPUTED_VALUE"""),101.22)</f>
        <v>101.22</v>
      </c>
      <c r="G1289" s="2">
        <f ca="1">IFERROR(__xludf.DUMMYFUNCTION("""COMPUTED_VALUE"""),0.60864)</f>
        <v>0.60863999999999996</v>
      </c>
      <c r="H1289" s="2">
        <f ca="1">IFERROR(__xludf.DUMMYFUNCTION("""COMPUTED_VALUE"""),54.95)</f>
        <v>54.95</v>
      </c>
      <c r="I1289" s="2">
        <f ca="1">IFERROR(__xludf.DUMMYFUNCTION("""COMPUTED_VALUE"""),56.076)</f>
        <v>56.076000000000001</v>
      </c>
      <c r="J1289" s="2">
        <f ca="1">IFERROR(__xludf.DUMMYFUNCTION("""COMPUTED_VALUE"""),49.374)</f>
        <v>49.374000000000002</v>
      </c>
      <c r="K1289" s="2">
        <f ca="1">IFERROR(__xludf.DUMMYFUNCTION("""COMPUTED_VALUE"""),68.944)</f>
        <v>68.944000000000003</v>
      </c>
      <c r="M1289" s="2">
        <f ca="1">IFERROR(__xludf.DUMMYFUNCTION("""COMPUTED_VALUE"""),17.078)</f>
        <v>17.077999999999999</v>
      </c>
      <c r="U1289" s="3" t="e">
        <f ca="1"/>
        <v>#NAME?</v>
      </c>
    </row>
    <row r="1290" spans="3:21" ht="12.5" x14ac:dyDescent="0.25">
      <c r="C1290" s="4">
        <f ca="1">IFERROR(__xludf.DUMMYFUNCTION("""COMPUTED_VALUE"""),41632.9986111111)</f>
        <v>41632.998611111099</v>
      </c>
      <c r="D1290" s="2">
        <f ca="1">IFERROR(__xludf.DUMMYFUNCTION("""COMPUTED_VALUE"""),61.748)</f>
        <v>61.747999999999998</v>
      </c>
      <c r="E1290" s="2">
        <f ca="1">IFERROR(__xludf.DUMMYFUNCTION("""COMPUTED_VALUE"""),84.541)</f>
        <v>84.540999999999997</v>
      </c>
      <c r="F1290" s="2">
        <f ca="1">IFERROR(__xludf.DUMMYFUNCTION("""COMPUTED_VALUE"""),101.49)</f>
        <v>101.49</v>
      </c>
      <c r="G1290" s="2">
        <f ca="1">IFERROR(__xludf.DUMMYFUNCTION("""COMPUTED_VALUE"""),0.61099)</f>
        <v>0.61099000000000003</v>
      </c>
      <c r="H1290" s="2">
        <f ca="1">IFERROR(__xludf.DUMMYFUNCTION("""COMPUTED_VALUE"""),54.606)</f>
        <v>54.606000000000002</v>
      </c>
      <c r="I1290" s="2">
        <f ca="1">IFERROR(__xludf.DUMMYFUNCTION("""COMPUTED_VALUE"""),55.82)</f>
        <v>55.82</v>
      </c>
      <c r="J1290" s="2">
        <f ca="1">IFERROR(__xludf.DUMMYFUNCTION("""COMPUTED_VALUE"""),49.089)</f>
        <v>49.088999999999999</v>
      </c>
      <c r="K1290" s="2">
        <f ca="1">IFERROR(__xludf.DUMMYFUNCTION("""COMPUTED_VALUE"""),68.506)</f>
        <v>68.506</v>
      </c>
      <c r="M1290" s="2">
        <f ca="1">IFERROR(__xludf.DUMMYFUNCTION("""COMPUTED_VALUE"""),17.078)</f>
        <v>17.077999999999999</v>
      </c>
      <c r="U1290" s="3" t="e">
        <f ca="1"/>
        <v>#NAME?</v>
      </c>
    </row>
    <row r="1291" spans="3:21" ht="12.5" x14ac:dyDescent="0.25">
      <c r="C1291" s="4">
        <f ca="1">IFERROR(__xludf.DUMMYFUNCTION("""COMPUTED_VALUE"""),41633.9986111111)</f>
        <v>41633.998611111099</v>
      </c>
      <c r="D1291" s="2">
        <f ca="1">IFERROR(__xludf.DUMMYFUNCTION("""COMPUTED_VALUE"""),61.79)</f>
        <v>61.79</v>
      </c>
      <c r="E1291" s="2">
        <f ca="1">IFERROR(__xludf.DUMMYFUNCTION("""COMPUTED_VALUE"""),84.285)</f>
        <v>84.284999999999997</v>
      </c>
      <c r="F1291" s="2">
        <f ca="1">IFERROR(__xludf.DUMMYFUNCTION("""COMPUTED_VALUE"""),101.4)</f>
        <v>101.4</v>
      </c>
      <c r="G1291" s="2">
        <f ca="1">IFERROR(__xludf.DUMMYFUNCTION("""COMPUTED_VALUE"""),0.60512)</f>
        <v>0.60511999999999999</v>
      </c>
      <c r="H1291" s="2">
        <f ca="1">IFERROR(__xludf.DUMMYFUNCTION("""COMPUTED_VALUE"""),55.021)</f>
        <v>55.021000000000001</v>
      </c>
      <c r="I1291" s="2">
        <f ca="1">IFERROR(__xludf.DUMMYFUNCTION("""COMPUTED_VALUE"""),56.029)</f>
        <v>56.029000000000003</v>
      </c>
      <c r="J1291" s="2">
        <f ca="1">IFERROR(__xludf.DUMMYFUNCTION("""COMPUTED_VALUE"""),48.89)</f>
        <v>48.89</v>
      </c>
      <c r="K1291" s="2">
        <f ca="1">IFERROR(__xludf.DUMMYFUNCTION("""COMPUTED_VALUE"""),68.918)</f>
        <v>68.918000000000006</v>
      </c>
      <c r="M1291" s="2">
        <f ca="1">IFERROR(__xludf.DUMMYFUNCTION("""COMPUTED_VALUE"""),16.945)</f>
        <v>16.945</v>
      </c>
      <c r="U1291" s="3" t="e">
        <f ca="1"/>
        <v>#NAME?</v>
      </c>
    </row>
    <row r="1292" spans="3:21" ht="12.5" x14ac:dyDescent="0.25">
      <c r="C1292" s="4">
        <f ca="1">IFERROR(__xludf.DUMMYFUNCTION("""COMPUTED_VALUE"""),41634.9986111111)</f>
        <v>41634.998611111099</v>
      </c>
      <c r="D1292" s="2">
        <f ca="1">IFERROR(__xludf.DUMMYFUNCTION("""COMPUTED_VALUE"""),61.89)</f>
        <v>61.89</v>
      </c>
      <c r="E1292" s="2">
        <f ca="1">IFERROR(__xludf.DUMMYFUNCTION("""COMPUTED_VALUE"""),84.536)</f>
        <v>84.536000000000001</v>
      </c>
      <c r="F1292" s="2">
        <f ca="1">IFERROR(__xludf.DUMMYFUNCTION("""COMPUTED_VALUE"""),101.04)</f>
        <v>101.04</v>
      </c>
      <c r="G1292" s="2">
        <f ca="1">IFERROR(__xludf.DUMMYFUNCTION("""COMPUTED_VALUE"""),0.60268)</f>
        <v>0.60267999999999999</v>
      </c>
      <c r="H1292" s="2">
        <f ca="1">IFERROR(__xludf.DUMMYFUNCTION("""COMPUTED_VALUE"""),54.884)</f>
        <v>54.884</v>
      </c>
      <c r="I1292" s="2">
        <f ca="1">IFERROR(__xludf.DUMMYFUNCTION("""COMPUTED_VALUE"""),56.313)</f>
        <v>56.313000000000002</v>
      </c>
      <c r="J1292" s="2">
        <f ca="1">IFERROR(__xludf.DUMMYFUNCTION("""COMPUTED_VALUE"""),49.025)</f>
        <v>49.024999999999999</v>
      </c>
      <c r="K1292" s="2">
        <f ca="1">IFERROR(__xludf.DUMMYFUNCTION("""COMPUTED_VALUE"""),68.696)</f>
        <v>68.695999999999998</v>
      </c>
      <c r="M1292" s="2">
        <f ca="1">IFERROR(__xludf.DUMMYFUNCTION("""COMPUTED_VALUE"""),17.017)</f>
        <v>17.016999999999999</v>
      </c>
      <c r="U1292" s="3" t="e">
        <f ca="1"/>
        <v>#NAME?</v>
      </c>
    </row>
    <row r="1293" spans="3:21" ht="12.5" x14ac:dyDescent="0.25">
      <c r="C1293" s="4">
        <f ca="1">IFERROR(__xludf.DUMMYFUNCTION("""COMPUTED_VALUE"""),41635.9986111111)</f>
        <v>41635.998611111099</v>
      </c>
      <c r="D1293" s="2">
        <f ca="1">IFERROR(__xludf.DUMMYFUNCTION("""COMPUTED_VALUE"""),61.933)</f>
        <v>61.933</v>
      </c>
      <c r="E1293" s="2">
        <f ca="1">IFERROR(__xludf.DUMMYFUNCTION("""COMPUTED_VALUE"""),84.423)</f>
        <v>84.423000000000002</v>
      </c>
      <c r="F1293" s="2">
        <f ca="1">IFERROR(__xludf.DUMMYFUNCTION("""COMPUTED_VALUE"""),100.47)</f>
        <v>100.47</v>
      </c>
      <c r="G1293" s="2">
        <f ca="1">IFERROR(__xludf.DUMMYFUNCTION("""COMPUTED_VALUE"""),0.59245)</f>
        <v>0.59245000000000003</v>
      </c>
      <c r="H1293" s="2">
        <f ca="1">IFERROR(__xludf.DUMMYFUNCTION("""COMPUTED_VALUE"""),54.875)</f>
        <v>54.875</v>
      </c>
      <c r="I1293" s="2">
        <f ca="1">IFERROR(__xludf.DUMMYFUNCTION("""COMPUTED_VALUE"""),56.313)</f>
        <v>56.313000000000002</v>
      </c>
      <c r="J1293" s="2">
        <f ca="1">IFERROR(__xludf.DUMMYFUNCTION("""COMPUTED_VALUE"""),49.09)</f>
        <v>49.09</v>
      </c>
      <c r="K1293" s="2">
        <f ca="1">IFERROR(__xludf.DUMMYFUNCTION("""COMPUTED_VALUE"""),68.819)</f>
        <v>68.819000000000003</v>
      </c>
      <c r="M1293" s="2">
        <f ca="1">IFERROR(__xludf.DUMMYFUNCTION("""COMPUTED_VALUE"""),17.005)</f>
        <v>17.004999999999999</v>
      </c>
      <c r="U1293" s="3" t="e">
        <f ca="1"/>
        <v>#NAME?</v>
      </c>
    </row>
    <row r="1294" spans="3:21" ht="12.5" x14ac:dyDescent="0.25">
      <c r="C1294" s="4">
        <f ca="1">IFERROR(__xludf.DUMMYFUNCTION("""COMPUTED_VALUE"""),41636.9986111111)</f>
        <v>41636.998611111099</v>
      </c>
      <c r="D1294" s="2">
        <f ca="1">IFERROR(__xludf.DUMMYFUNCTION("""COMPUTED_VALUE"""),61.933)</f>
        <v>61.933</v>
      </c>
      <c r="E1294" s="2">
        <f ca="1">IFERROR(__xludf.DUMMYFUNCTION("""COMPUTED_VALUE"""),84.643)</f>
        <v>84.643000000000001</v>
      </c>
      <c r="F1294" s="2">
        <f ca="1">IFERROR(__xludf.DUMMYFUNCTION("""COMPUTED_VALUE"""),100.52)</f>
        <v>100.52</v>
      </c>
      <c r="G1294" s="2">
        <f ca="1">IFERROR(__xludf.DUMMYFUNCTION("""COMPUTED_VALUE"""),0.59117)</f>
        <v>0.59116999999999997</v>
      </c>
      <c r="H1294" s="2">
        <f ca="1">IFERROR(__xludf.DUMMYFUNCTION("""COMPUTED_VALUE"""),54.769)</f>
        <v>54.768999999999998</v>
      </c>
      <c r="I1294" s="2">
        <f ca="1">IFERROR(__xludf.DUMMYFUNCTION("""COMPUTED_VALUE"""),56.213)</f>
        <v>56.213000000000001</v>
      </c>
      <c r="J1294" s="2">
        <f ca="1">IFERROR(__xludf.DUMMYFUNCTION("""COMPUTED_VALUE"""),49.09)</f>
        <v>49.09</v>
      </c>
      <c r="K1294" s="2">
        <f ca="1">IFERROR(__xludf.DUMMYFUNCTION("""COMPUTED_VALUE"""),68.807)</f>
        <v>68.807000000000002</v>
      </c>
      <c r="M1294" s="2">
        <f ca="1">IFERROR(__xludf.DUMMYFUNCTION("""COMPUTED_VALUE"""),17.026)</f>
        <v>17.026</v>
      </c>
      <c r="U1294" s="3" t="e">
        <f ca="1"/>
        <v>#NAME?</v>
      </c>
    </row>
    <row r="1295" spans="3:21" ht="12.5" x14ac:dyDescent="0.25">
      <c r="C1295" s="4">
        <f ca="1">IFERROR(__xludf.DUMMYFUNCTION("""COMPUTED_VALUE"""),41637.9986111111)</f>
        <v>41637.998611111099</v>
      </c>
      <c r="D1295" s="2">
        <f ca="1">IFERROR(__xludf.DUMMYFUNCTION("""COMPUTED_VALUE"""),61.67)</f>
        <v>61.67</v>
      </c>
      <c r="E1295" s="2">
        <f ca="1">IFERROR(__xludf.DUMMYFUNCTION("""COMPUTED_VALUE"""),84.698)</f>
        <v>84.697999999999993</v>
      </c>
      <c r="F1295" s="2">
        <f ca="1">IFERROR(__xludf.DUMMYFUNCTION("""COMPUTED_VALUE"""),101.03)</f>
        <v>101.03</v>
      </c>
      <c r="G1295" s="2">
        <f ca="1">IFERROR(__xludf.DUMMYFUNCTION("""COMPUTED_VALUE"""),0.59141)</f>
        <v>0.59140999999999999</v>
      </c>
      <c r="H1295" s="2">
        <f ca="1">IFERROR(__xludf.DUMMYFUNCTION("""COMPUTED_VALUE"""),54.662)</f>
        <v>54.661999999999999</v>
      </c>
      <c r="I1295" s="2">
        <f ca="1">IFERROR(__xludf.DUMMYFUNCTION("""COMPUTED_VALUE"""),56.258)</f>
        <v>56.258000000000003</v>
      </c>
      <c r="J1295" s="2">
        <f ca="1">IFERROR(__xludf.DUMMYFUNCTION("""COMPUTED_VALUE"""),48.943)</f>
        <v>48.942999999999998</v>
      </c>
      <c r="K1295" s="2">
        <f ca="1">IFERROR(__xludf.DUMMYFUNCTION("""COMPUTED_VALUE"""),68.807)</f>
        <v>68.807000000000002</v>
      </c>
      <c r="M1295" s="2">
        <f ca="1">IFERROR(__xludf.DUMMYFUNCTION("""COMPUTED_VALUE"""),16.992)</f>
        <v>16.992000000000001</v>
      </c>
      <c r="U1295" s="3" t="e">
        <f ca="1"/>
        <v>#NAME?</v>
      </c>
    </row>
    <row r="1296" spans="3:21" ht="12.5" x14ac:dyDescent="0.25">
      <c r="C1296" s="4">
        <f ca="1">IFERROR(__xludf.DUMMYFUNCTION("""COMPUTED_VALUE"""),41638.9986111111)</f>
        <v>41638.998611111099</v>
      </c>
      <c r="D1296" s="2">
        <f ca="1">IFERROR(__xludf.DUMMYFUNCTION("""COMPUTED_VALUE"""),61.78)</f>
        <v>61.78</v>
      </c>
      <c r="E1296" s="2">
        <f ca="1">IFERROR(__xludf.DUMMYFUNCTION("""COMPUTED_VALUE"""),84.87)</f>
        <v>84.87</v>
      </c>
      <c r="F1296" s="2">
        <f ca="1">IFERROR(__xludf.DUMMYFUNCTION("""COMPUTED_VALUE"""),101.79)</f>
        <v>101.79</v>
      </c>
      <c r="G1296" s="2">
        <f ca="1">IFERROR(__xludf.DUMMYFUNCTION("""COMPUTED_VALUE"""),0.59323)</f>
        <v>0.59323000000000004</v>
      </c>
      <c r="H1296" s="2">
        <f ca="1">IFERROR(__xludf.DUMMYFUNCTION("""COMPUTED_VALUE"""),55.678)</f>
        <v>55.677999999999997</v>
      </c>
      <c r="I1296" s="2">
        <f ca="1">IFERROR(__xludf.DUMMYFUNCTION("""COMPUTED_VALUE"""),56.349)</f>
        <v>56.348999999999997</v>
      </c>
      <c r="J1296" s="2">
        <f ca="1">IFERROR(__xludf.DUMMYFUNCTION("""COMPUTED_VALUE"""),49.017)</f>
        <v>49.017000000000003</v>
      </c>
      <c r="K1296" s="2">
        <f ca="1">IFERROR(__xludf.DUMMYFUNCTION("""COMPUTED_VALUE"""),68.52)</f>
        <v>68.52</v>
      </c>
      <c r="M1296" s="2">
        <f ca="1">IFERROR(__xludf.DUMMYFUNCTION("""COMPUTED_VALUE"""),16.987)</f>
        <v>16.986999999999998</v>
      </c>
      <c r="U1296" s="3" t="e">
        <f ca="1"/>
        <v>#NAME?</v>
      </c>
    </row>
    <row r="1297" spans="3:21" ht="12.5" x14ac:dyDescent="0.25">
      <c r="C1297" s="4">
        <f ca="1">IFERROR(__xludf.DUMMYFUNCTION("""COMPUTED_VALUE"""),41639.9986111111)</f>
        <v>41639.998611111099</v>
      </c>
      <c r="D1297" s="2">
        <f ca="1">IFERROR(__xludf.DUMMYFUNCTION("""COMPUTED_VALUE"""),61.803)</f>
        <v>61.802999999999997</v>
      </c>
      <c r="E1297" s="2">
        <f ca="1">IFERROR(__xludf.DUMMYFUNCTION("""COMPUTED_VALUE"""),84.87)</f>
        <v>84.87</v>
      </c>
      <c r="F1297" s="2">
        <f ca="1">IFERROR(__xludf.DUMMYFUNCTION("""COMPUTED_VALUE"""),101.77)</f>
        <v>101.77</v>
      </c>
      <c r="G1297" s="2">
        <f ca="1">IFERROR(__xludf.DUMMYFUNCTION("""COMPUTED_VALUE"""),0.58896)</f>
        <v>0.58896000000000004</v>
      </c>
      <c r="H1297" s="2">
        <f ca="1">IFERROR(__xludf.DUMMYFUNCTION("""COMPUTED_VALUE"""),55.851)</f>
        <v>55.850999999999999</v>
      </c>
      <c r="I1297" s="2">
        <f ca="1">IFERROR(__xludf.DUMMYFUNCTION("""COMPUTED_VALUE"""),56.444)</f>
        <v>56.444000000000003</v>
      </c>
      <c r="J1297" s="2">
        <f ca="1">IFERROR(__xludf.DUMMYFUNCTION("""COMPUTED_VALUE"""),49.241)</f>
        <v>49.241</v>
      </c>
      <c r="K1297" s="2">
        <f ca="1">IFERROR(__xludf.DUMMYFUNCTION("""COMPUTED_VALUE"""),68.618)</f>
        <v>68.617999999999995</v>
      </c>
      <c r="M1297" s="2">
        <f ca="1">IFERROR(__xludf.DUMMYFUNCTION("""COMPUTED_VALUE"""),16.987)</f>
        <v>16.986999999999998</v>
      </c>
      <c r="U1297" s="3" t="e">
        <f ca="1"/>
        <v>#NAME?</v>
      </c>
    </row>
    <row r="1298" spans="3:21" ht="12.5" x14ac:dyDescent="0.25">
      <c r="C1298" s="4">
        <f ca="1">IFERROR(__xludf.DUMMYFUNCTION("""COMPUTED_VALUE"""),41640.9986111111)</f>
        <v>41640.998611111099</v>
      </c>
      <c r="D1298" s="2">
        <f ca="1">IFERROR(__xludf.DUMMYFUNCTION("""COMPUTED_VALUE"""),61.84)</f>
        <v>61.84</v>
      </c>
      <c r="E1298" s="2">
        <f ca="1">IFERROR(__xludf.DUMMYFUNCTION("""COMPUTED_VALUE"""),84.585)</f>
        <v>84.584999999999994</v>
      </c>
      <c r="F1298" s="2">
        <f ca="1">IFERROR(__xludf.DUMMYFUNCTION("""COMPUTED_VALUE"""),101.77)</f>
        <v>101.77</v>
      </c>
      <c r="G1298" s="2">
        <f ca="1">IFERROR(__xludf.DUMMYFUNCTION("""COMPUTED_VALUE"""),0.59214)</f>
        <v>0.59214</v>
      </c>
      <c r="H1298" s="2">
        <f ca="1">IFERROR(__xludf.DUMMYFUNCTION("""COMPUTED_VALUE"""),55.763)</f>
        <v>55.762999999999998</v>
      </c>
      <c r="I1298" s="2">
        <f ca="1">IFERROR(__xludf.DUMMYFUNCTION("""COMPUTED_VALUE"""),56.3)</f>
        <v>56.3</v>
      </c>
      <c r="J1298" s="2">
        <f ca="1">IFERROR(__xludf.DUMMYFUNCTION("""COMPUTED_VALUE"""),49.326)</f>
        <v>49.326000000000001</v>
      </c>
      <c r="K1298" s="2">
        <f ca="1">IFERROR(__xludf.DUMMYFUNCTION("""COMPUTED_VALUE"""),68.734)</f>
        <v>68.733999999999995</v>
      </c>
      <c r="M1298" s="2">
        <f ca="1">IFERROR(__xludf.DUMMYFUNCTION("""COMPUTED_VALUE"""),17.005)</f>
        <v>17.004999999999999</v>
      </c>
      <c r="U1298" s="3" t="e">
        <f ca="1"/>
        <v>#NAME?</v>
      </c>
    </row>
    <row r="1299" spans="3:21" ht="12.5" x14ac:dyDescent="0.25">
      <c r="C1299" s="4">
        <f ca="1">IFERROR(__xludf.DUMMYFUNCTION("""COMPUTED_VALUE"""),41641.9986111111)</f>
        <v>41641.998611111099</v>
      </c>
      <c r="D1299" s="2">
        <f ca="1">IFERROR(__xludf.DUMMYFUNCTION("""COMPUTED_VALUE"""),62.06)</f>
        <v>62.06</v>
      </c>
      <c r="E1299" s="2">
        <f ca="1">IFERROR(__xludf.DUMMYFUNCTION("""COMPUTED_VALUE"""),85.149)</f>
        <v>85.149000000000001</v>
      </c>
      <c r="F1299" s="2">
        <f ca="1">IFERROR(__xludf.DUMMYFUNCTION("""COMPUTED_VALUE"""),101.03)</f>
        <v>101.03</v>
      </c>
      <c r="G1299" s="2">
        <f ca="1">IFERROR(__xludf.DUMMYFUNCTION("""COMPUTED_VALUE"""),0.59494)</f>
        <v>0.59494000000000002</v>
      </c>
      <c r="H1299" s="2">
        <f ca="1">IFERROR(__xludf.DUMMYFUNCTION("""COMPUTED_VALUE"""),55.748)</f>
        <v>55.747999999999998</v>
      </c>
      <c r="I1299" s="2">
        <f ca="1">IFERROR(__xludf.DUMMYFUNCTION("""COMPUTED_VALUE"""),56.37)</f>
        <v>56.37</v>
      </c>
      <c r="J1299" s="2">
        <f ca="1">IFERROR(__xludf.DUMMYFUNCTION("""COMPUTED_VALUE"""),49.14)</f>
        <v>49.14</v>
      </c>
      <c r="K1299" s="2">
        <f ca="1">IFERROR(__xludf.DUMMYFUNCTION("""COMPUTED_VALUE"""),69.443)</f>
        <v>69.442999999999998</v>
      </c>
      <c r="M1299" s="2">
        <f ca="1">IFERROR(__xludf.DUMMYFUNCTION("""COMPUTED_VALUE"""),16.967)</f>
        <v>16.966999999999999</v>
      </c>
      <c r="U1299" s="3" t="e">
        <f ca="1"/>
        <v>#NAME?</v>
      </c>
    </row>
    <row r="1300" spans="3:21" ht="12.5" x14ac:dyDescent="0.25">
      <c r="C1300" s="4">
        <f ca="1">IFERROR(__xludf.DUMMYFUNCTION("""COMPUTED_VALUE"""),41642.9986111111)</f>
        <v>41642.998611111099</v>
      </c>
      <c r="D1300" s="2">
        <f ca="1">IFERROR(__xludf.DUMMYFUNCTION("""COMPUTED_VALUE"""),62.183)</f>
        <v>62.183</v>
      </c>
      <c r="E1300" s="2">
        <f ca="1">IFERROR(__xludf.DUMMYFUNCTION("""COMPUTED_VALUE"""),84.783)</f>
        <v>84.783000000000001</v>
      </c>
      <c r="F1300" s="2">
        <f ca="1">IFERROR(__xludf.DUMMYFUNCTION("""COMPUTED_VALUE"""),100.91)</f>
        <v>100.91</v>
      </c>
      <c r="G1300" s="2">
        <f ca="1">IFERROR(__xludf.DUMMYFUNCTION("""COMPUTED_VALUE"""),0.60048)</f>
        <v>0.60048000000000001</v>
      </c>
      <c r="H1300" s="2">
        <f ca="1">IFERROR(__xludf.DUMMYFUNCTION("""COMPUTED_VALUE"""),55.773)</f>
        <v>55.773000000000003</v>
      </c>
      <c r="I1300" s="2">
        <f ca="1">IFERROR(__xludf.DUMMYFUNCTION("""COMPUTED_VALUE"""),56.37)</f>
        <v>56.37</v>
      </c>
      <c r="J1300" s="2">
        <f ca="1">IFERROR(__xludf.DUMMYFUNCTION("""COMPUTED_VALUE"""),49.085)</f>
        <v>49.085000000000001</v>
      </c>
      <c r="K1300" s="2">
        <f ca="1">IFERROR(__xludf.DUMMYFUNCTION("""COMPUTED_VALUE"""),69.437)</f>
        <v>69.436999999999998</v>
      </c>
      <c r="M1300" s="2">
        <f ca="1">IFERROR(__xludf.DUMMYFUNCTION("""COMPUTED_VALUE"""),16.979)</f>
        <v>16.978999999999999</v>
      </c>
      <c r="U1300" s="3" t="e">
        <f ca="1"/>
        <v>#NAME?</v>
      </c>
    </row>
    <row r="1301" spans="3:21" ht="12.5" x14ac:dyDescent="0.25">
      <c r="C1301" s="4">
        <f ca="1">IFERROR(__xludf.DUMMYFUNCTION("""COMPUTED_VALUE"""),41643.9986111111)</f>
        <v>41643.998611111099</v>
      </c>
      <c r="D1301" s="2">
        <f ca="1">IFERROR(__xludf.DUMMYFUNCTION("""COMPUTED_VALUE"""),62.183)</f>
        <v>62.183</v>
      </c>
      <c r="E1301" s="2">
        <f ca="1">IFERROR(__xludf.DUMMYFUNCTION("""COMPUTED_VALUE"""),84.307)</f>
        <v>84.307000000000002</v>
      </c>
      <c r="F1301" s="2">
        <f ca="1">IFERROR(__xludf.DUMMYFUNCTION("""COMPUTED_VALUE"""),101.24)</f>
        <v>101.24</v>
      </c>
      <c r="G1301" s="2">
        <f ca="1">IFERROR(__xludf.DUMMYFUNCTION("""COMPUTED_VALUE"""),0.60356)</f>
        <v>0.60355999999999999</v>
      </c>
      <c r="H1301" s="2">
        <f ca="1">IFERROR(__xludf.DUMMYFUNCTION("""COMPUTED_VALUE"""),55.539)</f>
        <v>55.539000000000001</v>
      </c>
      <c r="I1301" s="2">
        <f ca="1">IFERROR(__xludf.DUMMYFUNCTION("""COMPUTED_VALUE"""),56.248)</f>
        <v>56.247999999999998</v>
      </c>
      <c r="J1301" s="2">
        <f ca="1">IFERROR(__xludf.DUMMYFUNCTION("""COMPUTED_VALUE"""),49.085)</f>
        <v>49.085000000000001</v>
      </c>
      <c r="K1301" s="2">
        <f ca="1">IFERROR(__xludf.DUMMYFUNCTION("""COMPUTED_VALUE"""),69.877)</f>
        <v>69.876999999999995</v>
      </c>
      <c r="M1301" s="2">
        <f ca="1">IFERROR(__xludf.DUMMYFUNCTION("""COMPUTED_VALUE"""),16.798)</f>
        <v>16.797999999999998</v>
      </c>
      <c r="U1301" s="3" t="e">
        <f ca="1"/>
        <v>#NAME?</v>
      </c>
    </row>
    <row r="1302" spans="3:21" ht="12.5" x14ac:dyDescent="0.25">
      <c r="C1302" s="4">
        <f ca="1">IFERROR(__xludf.DUMMYFUNCTION("""COMPUTED_VALUE"""),41644.9986111111)</f>
        <v>41644.998611111099</v>
      </c>
      <c r="D1302" s="2">
        <f ca="1">IFERROR(__xludf.DUMMYFUNCTION("""COMPUTED_VALUE"""),62.23)</f>
        <v>62.23</v>
      </c>
      <c r="E1302" s="2">
        <f ca="1">IFERROR(__xludf.DUMMYFUNCTION("""COMPUTED_VALUE"""),85.311)</f>
        <v>85.311000000000007</v>
      </c>
      <c r="F1302" s="2">
        <f ca="1">IFERROR(__xludf.DUMMYFUNCTION("""COMPUTED_VALUE"""),101.1)</f>
        <v>101.1</v>
      </c>
      <c r="G1302" s="2">
        <f ca="1">IFERROR(__xludf.DUMMYFUNCTION("""COMPUTED_VALUE"""),0.6038)</f>
        <v>0.6038</v>
      </c>
      <c r="H1302" s="2">
        <f ca="1">IFERROR(__xludf.DUMMYFUNCTION("""COMPUTED_VALUE"""),55.809)</f>
        <v>55.808999999999997</v>
      </c>
      <c r="I1302" s="2">
        <f ca="1">IFERROR(__xludf.DUMMYFUNCTION("""COMPUTED_VALUE"""),56.439)</f>
        <v>56.439</v>
      </c>
      <c r="J1302" s="2">
        <f ca="1">IFERROR(__xludf.DUMMYFUNCTION("""COMPUTED_VALUE"""),48.955)</f>
        <v>48.954999999999998</v>
      </c>
      <c r="K1302" s="2">
        <f ca="1">IFERROR(__xludf.DUMMYFUNCTION("""COMPUTED_VALUE"""),69.955)</f>
        <v>69.954999999999998</v>
      </c>
      <c r="M1302" s="2">
        <f ca="1">IFERROR(__xludf.DUMMYFUNCTION("""COMPUTED_VALUE"""),16.766)</f>
        <v>16.765999999999998</v>
      </c>
      <c r="U1302" s="3" t="e">
        <f ca="1"/>
        <v>#NAME?</v>
      </c>
    </row>
    <row r="1303" spans="3:21" ht="12.5" x14ac:dyDescent="0.25">
      <c r="C1303" s="4">
        <f ca="1">IFERROR(__xludf.DUMMYFUNCTION("""COMPUTED_VALUE"""),41645.9986111111)</f>
        <v>41645.998611111099</v>
      </c>
      <c r="D1303" s="2">
        <f ca="1">IFERROR(__xludf.DUMMYFUNCTION("""COMPUTED_VALUE"""),62.31)</f>
        <v>62.31</v>
      </c>
      <c r="E1303" s="2">
        <f ca="1">IFERROR(__xludf.DUMMYFUNCTION("""COMPUTED_VALUE"""),84.688)</f>
        <v>84.688000000000002</v>
      </c>
      <c r="F1303" s="2">
        <f ca="1">IFERROR(__xludf.DUMMYFUNCTION("""COMPUTED_VALUE"""),101.89)</f>
        <v>101.89</v>
      </c>
      <c r="G1303" s="2">
        <f ca="1">IFERROR(__xludf.DUMMYFUNCTION("""COMPUTED_VALUE"""),0.60161)</f>
        <v>0.60160999999999998</v>
      </c>
      <c r="H1303" s="2">
        <f ca="1">IFERROR(__xludf.DUMMYFUNCTION("""COMPUTED_VALUE"""),56.075)</f>
        <v>56.075000000000003</v>
      </c>
      <c r="I1303" s="2">
        <f ca="1">IFERROR(__xludf.DUMMYFUNCTION("""COMPUTED_VALUE"""),56.454)</f>
        <v>56.454000000000001</v>
      </c>
      <c r="J1303" s="2">
        <f ca="1">IFERROR(__xludf.DUMMYFUNCTION("""COMPUTED_VALUE"""),49.11)</f>
        <v>49.11</v>
      </c>
      <c r="K1303" s="2">
        <f ca="1">IFERROR(__xludf.DUMMYFUNCTION("""COMPUTED_VALUE"""),69.955)</f>
        <v>69.954999999999998</v>
      </c>
      <c r="M1303" s="2">
        <f ca="1">IFERROR(__xludf.DUMMYFUNCTION("""COMPUTED_VALUE"""),16.724)</f>
        <v>16.724</v>
      </c>
      <c r="U1303" s="3" t="e">
        <f ca="1"/>
        <v>#NAME?</v>
      </c>
    </row>
    <row r="1304" spans="3:21" ht="12.5" x14ac:dyDescent="0.25">
      <c r="C1304" s="4">
        <f ca="1">IFERROR(__xludf.DUMMYFUNCTION("""COMPUTED_VALUE"""),41646.9986111111)</f>
        <v>41646.998611111099</v>
      </c>
      <c r="D1304" s="2">
        <f ca="1">IFERROR(__xludf.DUMMYFUNCTION("""COMPUTED_VALUE"""),62.08)</f>
        <v>62.08</v>
      </c>
      <c r="E1304" s="2">
        <f ca="1">IFERROR(__xludf.DUMMYFUNCTION("""COMPUTED_VALUE"""),84.612)</f>
        <v>84.611999999999995</v>
      </c>
      <c r="F1304" s="2">
        <f ca="1">IFERROR(__xludf.DUMMYFUNCTION("""COMPUTED_VALUE"""),102.12)</f>
        <v>102.12</v>
      </c>
      <c r="G1304" s="2">
        <f ca="1">IFERROR(__xludf.DUMMYFUNCTION("""COMPUTED_VALUE"""),0.59915)</f>
        <v>0.59914999999999996</v>
      </c>
      <c r="H1304" s="2">
        <f ca="1">IFERROR(__xludf.DUMMYFUNCTION("""COMPUTED_VALUE"""),55.957)</f>
        <v>55.957000000000001</v>
      </c>
      <c r="I1304" s="2">
        <f ca="1">IFERROR(__xludf.DUMMYFUNCTION("""COMPUTED_VALUE"""),56.402)</f>
        <v>56.402000000000001</v>
      </c>
      <c r="J1304" s="2">
        <f ca="1">IFERROR(__xludf.DUMMYFUNCTION("""COMPUTED_VALUE"""),49.063)</f>
        <v>49.063000000000002</v>
      </c>
      <c r="K1304" s="2">
        <f ca="1">IFERROR(__xludf.DUMMYFUNCTION("""COMPUTED_VALUE"""),69.514)</f>
        <v>69.513999999999996</v>
      </c>
      <c r="M1304" s="2">
        <f ca="1">IFERROR(__xludf.DUMMYFUNCTION("""COMPUTED_VALUE"""),16.724)</f>
        <v>16.724</v>
      </c>
      <c r="U1304" s="3" t="e">
        <f ca="1"/>
        <v>#NAME?</v>
      </c>
    </row>
    <row r="1305" spans="3:21" ht="12.5" x14ac:dyDescent="0.25">
      <c r="C1305" s="4">
        <f ca="1">IFERROR(__xludf.DUMMYFUNCTION("""COMPUTED_VALUE"""),41647.9986111111)</f>
        <v>41647.998611111099</v>
      </c>
      <c r="D1305" s="2">
        <f ca="1">IFERROR(__xludf.DUMMYFUNCTION("""COMPUTED_VALUE"""),62.12)</f>
        <v>62.12</v>
      </c>
      <c r="E1305" s="2">
        <f ca="1">IFERROR(__xludf.DUMMYFUNCTION("""COMPUTED_VALUE"""),84.696)</f>
        <v>84.695999999999998</v>
      </c>
      <c r="F1305" s="2">
        <f ca="1">IFERROR(__xludf.DUMMYFUNCTION("""COMPUTED_VALUE"""),102.12)</f>
        <v>102.12</v>
      </c>
      <c r="G1305" s="2">
        <f ca="1">IFERROR(__xludf.DUMMYFUNCTION("""COMPUTED_VALUE"""),0.60196)</f>
        <v>0.60196000000000005</v>
      </c>
      <c r="H1305" s="2">
        <f ca="1">IFERROR(__xludf.DUMMYFUNCTION("""COMPUTED_VALUE"""),56.026)</f>
        <v>56.026000000000003</v>
      </c>
      <c r="I1305" s="2">
        <f ca="1">IFERROR(__xludf.DUMMYFUNCTION("""COMPUTED_VALUE"""),56.809)</f>
        <v>56.808999999999997</v>
      </c>
      <c r="J1305" s="2">
        <f ca="1">IFERROR(__xludf.DUMMYFUNCTION("""COMPUTED_VALUE"""),49.026)</f>
        <v>49.026000000000003</v>
      </c>
      <c r="K1305" s="2">
        <f ca="1">IFERROR(__xludf.DUMMYFUNCTION("""COMPUTED_VALUE"""),70.014)</f>
        <v>70.013999999999996</v>
      </c>
      <c r="M1305" s="2">
        <f ca="1">IFERROR(__xludf.DUMMYFUNCTION("""COMPUTED_VALUE"""),16.649)</f>
        <v>16.649000000000001</v>
      </c>
      <c r="U1305" s="3" t="e">
        <f ca="1"/>
        <v>#NAME?</v>
      </c>
    </row>
    <row r="1306" spans="3:21" ht="12.5" x14ac:dyDescent="0.25">
      <c r="C1306" s="4">
        <f ca="1">IFERROR(__xludf.DUMMYFUNCTION("""COMPUTED_VALUE"""),41648.9986111111)</f>
        <v>41648.998611111099</v>
      </c>
      <c r="D1306" s="2">
        <f ca="1">IFERROR(__xludf.DUMMYFUNCTION("""COMPUTED_VALUE"""),61.78)</f>
        <v>61.78</v>
      </c>
      <c r="E1306" s="2">
        <f ca="1">IFERROR(__xludf.DUMMYFUNCTION("""COMPUTED_VALUE"""),84.663)</f>
        <v>84.662999999999997</v>
      </c>
      <c r="F1306" s="2">
        <f ca="1">IFERROR(__xludf.DUMMYFUNCTION("""COMPUTED_VALUE"""),102.25)</f>
        <v>102.25</v>
      </c>
      <c r="G1306" s="2">
        <f ca="1">IFERROR(__xludf.DUMMYFUNCTION("""COMPUTED_VALUE"""),0.59457)</f>
        <v>0.59457000000000004</v>
      </c>
      <c r="H1306" s="2">
        <f ca="1">IFERROR(__xludf.DUMMYFUNCTION("""COMPUTED_VALUE"""),55.87)</f>
        <v>55.87</v>
      </c>
      <c r="I1306" s="2">
        <f ca="1">IFERROR(__xludf.DUMMYFUNCTION("""COMPUTED_VALUE"""),56.322)</f>
        <v>56.322000000000003</v>
      </c>
      <c r="J1306" s="2">
        <f ca="1">IFERROR(__xludf.DUMMYFUNCTION("""COMPUTED_VALUE"""),49.298)</f>
        <v>49.298000000000002</v>
      </c>
      <c r="K1306" s="2">
        <f ca="1">IFERROR(__xludf.DUMMYFUNCTION("""COMPUTED_VALUE"""),69.363)</f>
        <v>69.363</v>
      </c>
      <c r="M1306" s="2">
        <f ca="1">IFERROR(__xludf.DUMMYFUNCTION("""COMPUTED_VALUE"""),16.572)</f>
        <v>16.571999999999999</v>
      </c>
      <c r="U1306" s="3" t="e">
        <f ca="1"/>
        <v>#NAME?</v>
      </c>
    </row>
    <row r="1307" spans="3:21" ht="12.5" x14ac:dyDescent="0.25">
      <c r="C1307" s="4">
        <f ca="1">IFERROR(__xludf.DUMMYFUNCTION("""COMPUTED_VALUE"""),41649.9986111111)</f>
        <v>41649.998611111099</v>
      </c>
      <c r="D1307" s="2">
        <f ca="1">IFERROR(__xludf.DUMMYFUNCTION("""COMPUTED_VALUE"""),61.9)</f>
        <v>61.9</v>
      </c>
      <c r="E1307" s="2">
        <f ca="1">IFERROR(__xludf.DUMMYFUNCTION("""COMPUTED_VALUE"""),85.483)</f>
        <v>85.483000000000004</v>
      </c>
      <c r="F1307" s="2">
        <f ca="1">IFERROR(__xludf.DUMMYFUNCTION("""COMPUTED_VALUE"""),101.85)</f>
        <v>101.85</v>
      </c>
      <c r="G1307" s="2">
        <f ca="1">IFERROR(__xludf.DUMMYFUNCTION("""COMPUTED_VALUE"""),0.59836)</f>
        <v>0.59836</v>
      </c>
      <c r="H1307" s="2">
        <f ca="1">IFERROR(__xludf.DUMMYFUNCTION("""COMPUTED_VALUE"""),55.838)</f>
        <v>55.838000000000001</v>
      </c>
      <c r="I1307" s="2">
        <f ca="1">IFERROR(__xludf.DUMMYFUNCTION("""COMPUTED_VALUE"""),56.247)</f>
        <v>56.247</v>
      </c>
      <c r="J1307" s="2">
        <f ca="1">IFERROR(__xludf.DUMMYFUNCTION("""COMPUTED_VALUE"""),49.122)</f>
        <v>49.122</v>
      </c>
      <c r="K1307" s="2">
        <f ca="1">IFERROR(__xludf.DUMMYFUNCTION("""COMPUTED_VALUE"""),69.106)</f>
        <v>69.105999999999995</v>
      </c>
      <c r="M1307" s="2">
        <f ca="1">IFERROR(__xludf.DUMMYFUNCTION("""COMPUTED_VALUE"""),16.602)</f>
        <v>16.602</v>
      </c>
      <c r="U1307" s="3" t="e">
        <f ca="1"/>
        <v>#NAME?</v>
      </c>
    </row>
    <row r="1308" spans="3:21" ht="12.5" x14ac:dyDescent="0.25">
      <c r="C1308" s="4">
        <f ca="1">IFERROR(__xludf.DUMMYFUNCTION("""COMPUTED_VALUE"""),41650.9986111111)</f>
        <v>41650.998611111099</v>
      </c>
      <c r="D1308" s="2">
        <f ca="1">IFERROR(__xludf.DUMMYFUNCTION("""COMPUTED_VALUE"""),61.9)</f>
        <v>61.9</v>
      </c>
      <c r="E1308" s="2">
        <f ca="1">IFERROR(__xludf.DUMMYFUNCTION("""COMPUTED_VALUE"""),85.369)</f>
        <v>85.369</v>
      </c>
      <c r="F1308" s="2">
        <f ca="1">IFERROR(__xludf.DUMMYFUNCTION("""COMPUTED_VALUE"""),102.13)</f>
        <v>102.13</v>
      </c>
      <c r="G1308" s="2">
        <f ca="1">IFERROR(__xludf.DUMMYFUNCTION("""COMPUTED_VALUE"""),0.59503)</f>
        <v>0.59502999999999995</v>
      </c>
      <c r="H1308" s="2">
        <f ca="1">IFERROR(__xludf.DUMMYFUNCTION("""COMPUTED_VALUE"""),55.998)</f>
        <v>55.997999999999998</v>
      </c>
      <c r="I1308" s="2">
        <f ca="1">IFERROR(__xludf.DUMMYFUNCTION("""COMPUTED_VALUE"""),56.343)</f>
        <v>56.343000000000004</v>
      </c>
      <c r="J1308" s="2">
        <f ca="1">IFERROR(__xludf.DUMMYFUNCTION("""COMPUTED_VALUE"""),49.066)</f>
        <v>49.066000000000003</v>
      </c>
      <c r="K1308" s="2">
        <f ca="1">IFERROR(__xludf.DUMMYFUNCTION("""COMPUTED_VALUE"""),69.112)</f>
        <v>69.111999999999995</v>
      </c>
      <c r="M1308" s="2">
        <f ca="1">IFERROR(__xludf.DUMMYFUNCTION("""COMPUTED_VALUE"""),16.768)</f>
        <v>16.768000000000001</v>
      </c>
      <c r="U1308" s="3" t="e">
        <f ca="1"/>
        <v>#NAME?</v>
      </c>
    </row>
    <row r="1309" spans="3:21" ht="12.5" x14ac:dyDescent="0.25">
      <c r="C1309" s="4">
        <f ca="1">IFERROR(__xludf.DUMMYFUNCTION("""COMPUTED_VALUE"""),41651.9986111111)</f>
        <v>41651.998611111099</v>
      </c>
      <c r="D1309" s="2">
        <f ca="1">IFERROR(__xludf.DUMMYFUNCTION("""COMPUTED_VALUE"""),61.44)</f>
        <v>61.44</v>
      </c>
      <c r="E1309" s="2">
        <f ca="1">IFERROR(__xludf.DUMMYFUNCTION("""COMPUTED_VALUE"""),85.307)</f>
        <v>85.307000000000002</v>
      </c>
      <c r="F1309" s="2">
        <f ca="1">IFERROR(__xludf.DUMMYFUNCTION("""COMPUTED_VALUE"""),101.54)</f>
        <v>101.54</v>
      </c>
      <c r="G1309" s="2">
        <f ca="1">IFERROR(__xludf.DUMMYFUNCTION("""COMPUTED_VALUE"""),0.59544)</f>
        <v>0.59543999999999997</v>
      </c>
      <c r="H1309" s="2">
        <f ca="1">IFERROR(__xludf.DUMMYFUNCTION("""COMPUTED_VALUE"""),55.838)</f>
        <v>55.838000000000001</v>
      </c>
      <c r="I1309" s="2">
        <f ca="1">IFERROR(__xludf.DUMMYFUNCTION("""COMPUTED_VALUE"""),56.382)</f>
        <v>56.381999999999998</v>
      </c>
      <c r="J1309" s="2">
        <f ca="1">IFERROR(__xludf.DUMMYFUNCTION("""COMPUTED_VALUE"""),49.114)</f>
        <v>49.113999999999997</v>
      </c>
      <c r="K1309" s="2">
        <f ca="1">IFERROR(__xludf.DUMMYFUNCTION("""COMPUTED_VALUE"""),69.184)</f>
        <v>69.183999999999997</v>
      </c>
      <c r="M1309" s="2">
        <f ca="1">IFERROR(__xludf.DUMMYFUNCTION("""COMPUTED_VALUE"""),16.923)</f>
        <v>16.922999999999998</v>
      </c>
      <c r="U1309" s="3" t="e">
        <f ca="1"/>
        <v>#NAME?</v>
      </c>
    </row>
    <row r="1310" spans="3:21" ht="12.5" x14ac:dyDescent="0.25">
      <c r="C1310" s="4">
        <f ca="1">IFERROR(__xludf.DUMMYFUNCTION("""COMPUTED_VALUE"""),41652.9986111111)</f>
        <v>41652.998611111099</v>
      </c>
      <c r="D1310" s="2">
        <f ca="1">IFERROR(__xludf.DUMMYFUNCTION("""COMPUTED_VALUE"""),61.47)</f>
        <v>61.47</v>
      </c>
      <c r="E1310" s="2">
        <f ca="1">IFERROR(__xludf.DUMMYFUNCTION("""COMPUTED_VALUE"""),85.354)</f>
        <v>85.353999999999999</v>
      </c>
      <c r="F1310" s="2">
        <f ca="1">IFERROR(__xludf.DUMMYFUNCTION("""COMPUTED_VALUE"""),100.76)</f>
        <v>100.76</v>
      </c>
      <c r="G1310" s="2">
        <f ca="1">IFERROR(__xludf.DUMMYFUNCTION("""COMPUTED_VALUE"""),0.59701)</f>
        <v>0.59701000000000004</v>
      </c>
      <c r="H1310" s="2">
        <f ca="1">IFERROR(__xludf.DUMMYFUNCTION("""COMPUTED_VALUE"""),56.027)</f>
        <v>56.027000000000001</v>
      </c>
      <c r="I1310" s="2">
        <f ca="1">IFERROR(__xludf.DUMMYFUNCTION("""COMPUTED_VALUE"""),56.715)</f>
        <v>56.715000000000003</v>
      </c>
      <c r="J1310" s="2">
        <f ca="1">IFERROR(__xludf.DUMMYFUNCTION("""COMPUTED_VALUE"""),49.063)</f>
        <v>49.063000000000002</v>
      </c>
      <c r="K1310" s="2">
        <f ca="1">IFERROR(__xludf.DUMMYFUNCTION("""COMPUTED_VALUE"""),69.206)</f>
        <v>69.206000000000003</v>
      </c>
      <c r="M1310" s="2">
        <f ca="1">IFERROR(__xludf.DUMMYFUNCTION("""COMPUTED_VALUE"""),16.931)</f>
        <v>16.931000000000001</v>
      </c>
      <c r="U1310" s="3" t="e">
        <f ca="1"/>
        <v>#NAME?</v>
      </c>
    </row>
    <row r="1311" spans="3:21" ht="12.5" x14ac:dyDescent="0.25">
      <c r="C1311" s="4">
        <f ca="1">IFERROR(__xludf.DUMMYFUNCTION("""COMPUTED_VALUE"""),41653.9986111111)</f>
        <v>41653.998611111099</v>
      </c>
      <c r="D1311" s="2">
        <f ca="1">IFERROR(__xludf.DUMMYFUNCTION("""COMPUTED_VALUE"""),61.47)</f>
        <v>61.47</v>
      </c>
      <c r="E1311" s="2">
        <f ca="1">IFERROR(__xludf.DUMMYFUNCTION("""COMPUTED_VALUE"""),85.354)</f>
        <v>85.353999999999999</v>
      </c>
      <c r="F1311" s="2">
        <f ca="1">IFERROR(__xludf.DUMMYFUNCTION("""COMPUTED_VALUE"""),100.34)</f>
        <v>100.34</v>
      </c>
      <c r="G1311" s="2">
        <f ca="1">IFERROR(__xludf.DUMMYFUNCTION("""COMPUTED_VALUE"""),0.59424)</f>
        <v>0.59423999999999999</v>
      </c>
      <c r="H1311" s="2">
        <f ca="1">IFERROR(__xludf.DUMMYFUNCTION("""COMPUTED_VALUE"""),55.951)</f>
        <v>55.951000000000001</v>
      </c>
      <c r="I1311" s="2">
        <f ca="1">IFERROR(__xludf.DUMMYFUNCTION("""COMPUTED_VALUE"""),56.16)</f>
        <v>56.16</v>
      </c>
      <c r="J1311" s="2">
        <f ca="1">IFERROR(__xludf.DUMMYFUNCTION("""COMPUTED_VALUE"""),49.226)</f>
        <v>49.225999999999999</v>
      </c>
      <c r="K1311" s="2">
        <f ca="1">IFERROR(__xludf.DUMMYFUNCTION("""COMPUTED_VALUE"""),69.267)</f>
        <v>69.266999999999996</v>
      </c>
      <c r="M1311" s="2">
        <f ca="1">IFERROR(__xludf.DUMMYFUNCTION("""COMPUTED_VALUE"""),16.931)</f>
        <v>16.931000000000001</v>
      </c>
      <c r="U1311" s="3" t="e">
        <f ca="1"/>
        <v>#NAME?</v>
      </c>
    </row>
    <row r="1312" spans="3:21" ht="12.5" x14ac:dyDescent="0.25">
      <c r="C1312" s="4">
        <f ca="1">IFERROR(__xludf.DUMMYFUNCTION("""COMPUTED_VALUE"""),41654.9986111111)</f>
        <v>41654.998611111099</v>
      </c>
      <c r="D1312" s="2">
        <f ca="1">IFERROR(__xludf.DUMMYFUNCTION("""COMPUTED_VALUE"""),61.54)</f>
        <v>61.54</v>
      </c>
      <c r="E1312" s="2">
        <f ca="1">IFERROR(__xludf.DUMMYFUNCTION("""COMPUTED_VALUE"""),85.185)</f>
        <v>85.185000000000002</v>
      </c>
      <c r="F1312" s="2">
        <f ca="1">IFERROR(__xludf.DUMMYFUNCTION("""COMPUTED_VALUE"""),100.25)</f>
        <v>100.25</v>
      </c>
      <c r="G1312" s="2">
        <f ca="1">IFERROR(__xludf.DUMMYFUNCTION("""COMPUTED_VALUE"""),0.5907)</f>
        <v>0.5907</v>
      </c>
      <c r="H1312" s="2">
        <f ca="1">IFERROR(__xludf.DUMMYFUNCTION("""COMPUTED_VALUE"""),56.013)</f>
        <v>56.012999999999998</v>
      </c>
      <c r="I1312" s="2">
        <f ca="1">IFERROR(__xludf.DUMMYFUNCTION("""COMPUTED_VALUE"""),56.01)</f>
        <v>56.01</v>
      </c>
      <c r="J1312" s="2">
        <f ca="1">IFERROR(__xludf.DUMMYFUNCTION("""COMPUTED_VALUE"""),49.198)</f>
        <v>49.198</v>
      </c>
      <c r="K1312" s="2">
        <f ca="1">IFERROR(__xludf.DUMMYFUNCTION("""COMPUTED_VALUE"""),68.899)</f>
        <v>68.899000000000001</v>
      </c>
      <c r="M1312" s="2">
        <f ca="1">IFERROR(__xludf.DUMMYFUNCTION("""COMPUTED_VALUE"""),16.931)</f>
        <v>16.931000000000001</v>
      </c>
      <c r="U1312" s="3" t="e">
        <f ca="1"/>
        <v>#NAME?</v>
      </c>
    </row>
    <row r="1313" spans="3:21" ht="12.5" x14ac:dyDescent="0.25">
      <c r="C1313" s="4">
        <f ca="1">IFERROR(__xludf.DUMMYFUNCTION("""COMPUTED_VALUE"""),41655.9986111111)</f>
        <v>41655.998611111099</v>
      </c>
      <c r="D1313" s="2">
        <f ca="1">IFERROR(__xludf.DUMMYFUNCTION("""COMPUTED_VALUE"""),61.42)</f>
        <v>61.42</v>
      </c>
      <c r="E1313" s="2">
        <f ca="1">IFERROR(__xludf.DUMMYFUNCTION("""COMPUTED_VALUE"""),85.174)</f>
        <v>85.174000000000007</v>
      </c>
      <c r="F1313" s="2">
        <f ca="1">IFERROR(__xludf.DUMMYFUNCTION("""COMPUTED_VALUE"""),99.882)</f>
        <v>99.882000000000005</v>
      </c>
      <c r="G1313" s="2">
        <f ca="1">IFERROR(__xludf.DUMMYFUNCTION("""COMPUTED_VALUE"""),0.58961)</f>
        <v>0.58960999999999997</v>
      </c>
      <c r="H1313" s="2">
        <f ca="1">IFERROR(__xludf.DUMMYFUNCTION("""COMPUTED_VALUE"""),55.772)</f>
        <v>55.771999999999998</v>
      </c>
      <c r="I1313" s="2">
        <f ca="1">IFERROR(__xludf.DUMMYFUNCTION("""COMPUTED_VALUE"""),55.903)</f>
        <v>55.902999999999999</v>
      </c>
      <c r="J1313" s="2">
        <f ca="1">IFERROR(__xludf.DUMMYFUNCTION("""COMPUTED_VALUE"""),49.19)</f>
        <v>49.19</v>
      </c>
      <c r="K1313" s="2">
        <f ca="1">IFERROR(__xludf.DUMMYFUNCTION("""COMPUTED_VALUE"""),68.98)</f>
        <v>68.98</v>
      </c>
      <c r="M1313" s="2">
        <f ca="1">IFERROR(__xludf.DUMMYFUNCTION("""COMPUTED_VALUE"""),16.82)</f>
        <v>16.82</v>
      </c>
      <c r="U1313" s="3" t="e">
        <f ca="1"/>
        <v>#NAME?</v>
      </c>
    </row>
    <row r="1314" spans="3:21" ht="12.5" x14ac:dyDescent="0.25">
      <c r="C1314" s="4">
        <f ca="1">IFERROR(__xludf.DUMMYFUNCTION("""COMPUTED_VALUE"""),41656.9986111111)</f>
        <v>41656.998611111099</v>
      </c>
      <c r="D1314" s="2">
        <f ca="1">IFERROR(__xludf.DUMMYFUNCTION("""COMPUTED_VALUE"""),61.538)</f>
        <v>61.537999999999997</v>
      </c>
      <c r="E1314" s="2">
        <f ca="1">IFERROR(__xludf.DUMMYFUNCTION("""COMPUTED_VALUE"""),85.122)</f>
        <v>85.122</v>
      </c>
      <c r="F1314" s="2">
        <f ca="1">IFERROR(__xludf.DUMMYFUNCTION("""COMPUTED_VALUE"""),100.34)</f>
        <v>100.34</v>
      </c>
      <c r="G1314" s="2">
        <f ca="1">IFERROR(__xludf.DUMMYFUNCTION("""COMPUTED_VALUE"""),0.58905)</f>
        <v>0.58904999999999996</v>
      </c>
      <c r="H1314" s="2">
        <f ca="1">IFERROR(__xludf.DUMMYFUNCTION("""COMPUTED_VALUE"""),55.777)</f>
        <v>55.777000000000001</v>
      </c>
      <c r="I1314" s="2">
        <f ca="1">IFERROR(__xludf.DUMMYFUNCTION("""COMPUTED_VALUE"""),55.903)</f>
        <v>55.902999999999999</v>
      </c>
      <c r="J1314" s="2">
        <f ca="1">IFERROR(__xludf.DUMMYFUNCTION("""COMPUTED_VALUE"""),49.017)</f>
        <v>49.017000000000003</v>
      </c>
      <c r="K1314" s="2">
        <f ca="1">IFERROR(__xludf.DUMMYFUNCTION("""COMPUTED_VALUE"""),69.037)</f>
        <v>69.037000000000006</v>
      </c>
      <c r="M1314" s="2">
        <f ca="1">IFERROR(__xludf.DUMMYFUNCTION("""COMPUTED_VALUE"""),16.801)</f>
        <v>16.800999999999998</v>
      </c>
      <c r="U1314" s="3" t="e">
        <f ca="1"/>
        <v>#NAME?</v>
      </c>
    </row>
    <row r="1315" spans="3:21" ht="12.5" x14ac:dyDescent="0.25">
      <c r="C1315" s="4">
        <f ca="1">IFERROR(__xludf.DUMMYFUNCTION("""COMPUTED_VALUE"""),41657.9986111111)</f>
        <v>41657.998611111099</v>
      </c>
      <c r="D1315" s="2">
        <f ca="1">IFERROR(__xludf.DUMMYFUNCTION("""COMPUTED_VALUE"""),61.538)</f>
        <v>61.537999999999997</v>
      </c>
      <c r="E1315" s="2">
        <f ca="1">IFERROR(__xludf.DUMMYFUNCTION("""COMPUTED_VALUE"""),84.737)</f>
        <v>84.736999999999995</v>
      </c>
      <c r="F1315" s="2">
        <f ca="1">IFERROR(__xludf.DUMMYFUNCTION("""COMPUTED_VALUE"""),100.35)</f>
        <v>100.35</v>
      </c>
      <c r="G1315" s="2">
        <f ca="1">IFERROR(__xludf.DUMMYFUNCTION("""COMPUTED_VALUE"""),0.58192)</f>
        <v>0.58191999999999999</v>
      </c>
      <c r="H1315" s="2">
        <f ca="1">IFERROR(__xludf.DUMMYFUNCTION("""COMPUTED_VALUE"""),55.642)</f>
        <v>55.642000000000003</v>
      </c>
      <c r="I1315" s="2">
        <f ca="1">IFERROR(__xludf.DUMMYFUNCTION("""COMPUTED_VALUE"""),55.83)</f>
        <v>55.83</v>
      </c>
      <c r="J1315" s="2">
        <f ca="1">IFERROR(__xludf.DUMMYFUNCTION("""COMPUTED_VALUE"""),49.017)</f>
        <v>49.017000000000003</v>
      </c>
      <c r="K1315" s="2">
        <f ca="1">IFERROR(__xludf.DUMMYFUNCTION("""COMPUTED_VALUE"""),69.385)</f>
        <v>69.385000000000005</v>
      </c>
      <c r="M1315" s="2">
        <f ca="1">IFERROR(__xludf.DUMMYFUNCTION("""COMPUTED_VALUE"""),16.888)</f>
        <v>16.888000000000002</v>
      </c>
      <c r="U1315" s="3" t="e">
        <f ca="1"/>
        <v>#NAME?</v>
      </c>
    </row>
    <row r="1316" spans="3:21" ht="12.5" x14ac:dyDescent="0.25">
      <c r="C1316" s="4">
        <f ca="1">IFERROR(__xludf.DUMMYFUNCTION("""COMPUTED_VALUE"""),41658.9986111111)</f>
        <v>41658.998611111099</v>
      </c>
      <c r="D1316" s="2">
        <f ca="1">IFERROR(__xludf.DUMMYFUNCTION("""COMPUTED_VALUE"""),61.55)</f>
        <v>61.55</v>
      </c>
      <c r="E1316" s="2">
        <f ca="1">IFERROR(__xludf.DUMMYFUNCTION("""COMPUTED_VALUE"""),84.897)</f>
        <v>84.897000000000006</v>
      </c>
      <c r="F1316" s="2">
        <f ca="1">IFERROR(__xludf.DUMMYFUNCTION("""COMPUTED_VALUE"""),100.86)</f>
        <v>100.86</v>
      </c>
      <c r="G1316" s="2">
        <f ca="1">IFERROR(__xludf.DUMMYFUNCTION("""COMPUTED_VALUE"""),0.58243)</f>
        <v>0.58243</v>
      </c>
      <c r="H1316" s="2">
        <f ca="1">IFERROR(__xludf.DUMMYFUNCTION("""COMPUTED_VALUE"""),56.038)</f>
        <v>56.037999999999997</v>
      </c>
      <c r="I1316" s="2">
        <f ca="1">IFERROR(__xludf.DUMMYFUNCTION("""COMPUTED_VALUE"""),56.054)</f>
        <v>56.054000000000002</v>
      </c>
      <c r="J1316" s="2">
        <f ca="1">IFERROR(__xludf.DUMMYFUNCTION("""COMPUTED_VALUE"""),48.919)</f>
        <v>48.918999999999997</v>
      </c>
      <c r="K1316" s="2">
        <f ca="1">IFERROR(__xludf.DUMMYFUNCTION("""COMPUTED_VALUE"""),69.436)</f>
        <v>69.436000000000007</v>
      </c>
      <c r="M1316" s="2">
        <f ca="1">IFERROR(__xludf.DUMMYFUNCTION("""COMPUTED_VALUE"""),17.005)</f>
        <v>17.004999999999999</v>
      </c>
      <c r="U1316" s="3" t="e">
        <f ca="1"/>
        <v>#NAME?</v>
      </c>
    </row>
    <row r="1317" spans="3:21" ht="12.5" x14ac:dyDescent="0.25">
      <c r="C1317" s="4">
        <f ca="1">IFERROR(__xludf.DUMMYFUNCTION("""COMPUTED_VALUE"""),41659.9986111111)</f>
        <v>41659.998611111099</v>
      </c>
      <c r="D1317" s="2">
        <f ca="1">IFERROR(__xludf.DUMMYFUNCTION("""COMPUTED_VALUE"""),61.618)</f>
        <v>61.618000000000002</v>
      </c>
      <c r="E1317" s="2">
        <f ca="1">IFERROR(__xludf.DUMMYFUNCTION("""COMPUTED_VALUE"""),85.213)</f>
        <v>85.212999999999994</v>
      </c>
      <c r="F1317" s="2">
        <f ca="1">IFERROR(__xludf.DUMMYFUNCTION("""COMPUTED_VALUE"""),100.91)</f>
        <v>100.91</v>
      </c>
      <c r="G1317" s="2">
        <f ca="1">IFERROR(__xludf.DUMMYFUNCTION("""COMPUTED_VALUE"""),0.58135)</f>
        <v>0.58135000000000003</v>
      </c>
      <c r="H1317" s="2">
        <f ca="1">IFERROR(__xludf.DUMMYFUNCTION("""COMPUTED_VALUE"""),55.805)</f>
        <v>55.805</v>
      </c>
      <c r="I1317" s="2">
        <f ca="1">IFERROR(__xludf.DUMMYFUNCTION("""COMPUTED_VALUE"""),55.862)</f>
        <v>55.862000000000002</v>
      </c>
      <c r="J1317" s="2">
        <f ca="1">IFERROR(__xludf.DUMMYFUNCTION("""COMPUTED_VALUE"""),49.11)</f>
        <v>49.11</v>
      </c>
      <c r="K1317" s="2">
        <f ca="1">IFERROR(__xludf.DUMMYFUNCTION("""COMPUTED_VALUE"""),69.165)</f>
        <v>69.165000000000006</v>
      </c>
      <c r="M1317" s="2">
        <f ca="1">IFERROR(__xludf.DUMMYFUNCTION("""COMPUTED_VALUE"""),16.878)</f>
        <v>16.878</v>
      </c>
      <c r="U1317" s="3" t="e">
        <f ca="1"/>
        <v>#NAME?</v>
      </c>
    </row>
    <row r="1318" spans="3:21" ht="12.5" x14ac:dyDescent="0.25">
      <c r="C1318" s="4">
        <f ca="1">IFERROR(__xludf.DUMMYFUNCTION("""COMPUTED_VALUE"""),41660.9986111111)</f>
        <v>41660.998611111099</v>
      </c>
      <c r="D1318" s="2">
        <f ca="1">IFERROR(__xludf.DUMMYFUNCTION("""COMPUTED_VALUE"""),61.97)</f>
        <v>61.97</v>
      </c>
      <c r="E1318" s="2">
        <f ca="1">IFERROR(__xludf.DUMMYFUNCTION("""COMPUTED_VALUE"""),85.274)</f>
        <v>85.274000000000001</v>
      </c>
      <c r="F1318" s="2">
        <f ca="1">IFERROR(__xludf.DUMMYFUNCTION("""COMPUTED_VALUE"""),101.24)</f>
        <v>101.24</v>
      </c>
      <c r="G1318" s="2">
        <f ca="1">IFERROR(__xludf.DUMMYFUNCTION("""COMPUTED_VALUE"""),0.58082)</f>
        <v>0.58082</v>
      </c>
      <c r="H1318" s="2">
        <f ca="1">IFERROR(__xludf.DUMMYFUNCTION("""COMPUTED_VALUE"""),55.529)</f>
        <v>55.529000000000003</v>
      </c>
      <c r="I1318" s="2">
        <f ca="1">IFERROR(__xludf.DUMMYFUNCTION("""COMPUTED_VALUE"""),55.624)</f>
        <v>55.624000000000002</v>
      </c>
      <c r="J1318" s="2">
        <f ca="1">IFERROR(__xludf.DUMMYFUNCTION("""COMPUTED_VALUE"""),48.986)</f>
        <v>48.985999999999997</v>
      </c>
      <c r="K1318" s="2">
        <f ca="1">IFERROR(__xludf.DUMMYFUNCTION("""COMPUTED_VALUE"""),69.713)</f>
        <v>69.712999999999994</v>
      </c>
      <c r="M1318" s="2">
        <f ca="1">IFERROR(__xludf.DUMMYFUNCTION("""COMPUTED_VALUE"""),16.878)</f>
        <v>16.878</v>
      </c>
      <c r="U1318" s="3" t="e">
        <f ca="1"/>
        <v>#NAME?</v>
      </c>
    </row>
    <row r="1319" spans="3:21" ht="12.5" x14ac:dyDescent="0.25">
      <c r="C1319" s="4">
        <f ca="1">IFERROR(__xludf.DUMMYFUNCTION("""COMPUTED_VALUE"""),41661.9986111111)</f>
        <v>41661.998611111099</v>
      </c>
      <c r="D1319" s="2">
        <f ca="1">IFERROR(__xludf.DUMMYFUNCTION("""COMPUTED_VALUE"""),61.87)</f>
        <v>61.87</v>
      </c>
      <c r="E1319" s="2">
        <f ca="1">IFERROR(__xludf.DUMMYFUNCTION("""COMPUTED_VALUE"""),85.205)</f>
        <v>85.204999999999998</v>
      </c>
      <c r="F1319" s="2">
        <f ca="1">IFERROR(__xludf.DUMMYFUNCTION("""COMPUTED_VALUE"""),101.36)</f>
        <v>101.36</v>
      </c>
      <c r="G1319" s="2">
        <f ca="1">IFERROR(__xludf.DUMMYFUNCTION("""COMPUTED_VALUE"""),0.57861)</f>
        <v>0.57860999999999996</v>
      </c>
      <c r="H1319" s="2">
        <f ca="1">IFERROR(__xludf.DUMMYFUNCTION("""COMPUTED_VALUE"""),55.488)</f>
        <v>55.488</v>
      </c>
      <c r="I1319" s="2">
        <f ca="1">IFERROR(__xludf.DUMMYFUNCTION("""COMPUTED_VALUE"""),55.677)</f>
        <v>55.677</v>
      </c>
      <c r="J1319" s="2">
        <f ca="1">IFERROR(__xludf.DUMMYFUNCTION("""COMPUTED_VALUE"""),48.902)</f>
        <v>48.902000000000001</v>
      </c>
      <c r="K1319" s="2">
        <f ca="1">IFERROR(__xludf.DUMMYFUNCTION("""COMPUTED_VALUE"""),69.163)</f>
        <v>69.162999999999997</v>
      </c>
      <c r="M1319" s="2">
        <f ca="1">IFERROR(__xludf.DUMMYFUNCTION("""COMPUTED_VALUE"""),16.885)</f>
        <v>16.885000000000002</v>
      </c>
      <c r="U1319" s="3" t="e">
        <f ca="1"/>
        <v>#NAME?</v>
      </c>
    </row>
    <row r="1320" spans="3:21" ht="12.5" x14ac:dyDescent="0.25">
      <c r="C1320" s="4">
        <f ca="1">IFERROR(__xludf.DUMMYFUNCTION("""COMPUTED_VALUE"""),41662.9986111111)</f>
        <v>41662.998611111099</v>
      </c>
      <c r="D1320" s="2">
        <f ca="1">IFERROR(__xludf.DUMMYFUNCTION("""COMPUTED_VALUE"""),62.13)</f>
        <v>62.13</v>
      </c>
      <c r="E1320" s="2">
        <f ca="1">IFERROR(__xludf.DUMMYFUNCTION("""COMPUTED_VALUE"""),85.145)</f>
        <v>85.144999999999996</v>
      </c>
      <c r="F1320" s="2">
        <f ca="1">IFERROR(__xludf.DUMMYFUNCTION("""COMPUTED_VALUE"""),101.36)</f>
        <v>101.36</v>
      </c>
      <c r="G1320" s="2">
        <f ca="1">IFERROR(__xludf.DUMMYFUNCTION("""COMPUTED_VALUE"""),0.57626)</f>
        <v>0.57625999999999999</v>
      </c>
      <c r="H1320" s="2">
        <f ca="1">IFERROR(__xludf.DUMMYFUNCTION("""COMPUTED_VALUE"""),55.097)</f>
        <v>55.097000000000001</v>
      </c>
      <c r="I1320" s="2">
        <f ca="1">IFERROR(__xludf.DUMMYFUNCTION("""COMPUTED_VALUE"""),55.833)</f>
        <v>55.832999999999998</v>
      </c>
      <c r="J1320" s="2">
        <f ca="1">IFERROR(__xludf.DUMMYFUNCTION("""COMPUTED_VALUE"""),48.981)</f>
        <v>48.981000000000002</v>
      </c>
      <c r="K1320" s="2">
        <f ca="1">IFERROR(__xludf.DUMMYFUNCTION("""COMPUTED_VALUE"""),69.362)</f>
        <v>69.361999999999995</v>
      </c>
      <c r="M1320" s="2">
        <f ca="1">IFERROR(__xludf.DUMMYFUNCTION("""COMPUTED_VALUE"""),16.836)</f>
        <v>16.835999999999999</v>
      </c>
      <c r="U1320" s="3" t="e">
        <f ca="1"/>
        <v>#NAME?</v>
      </c>
    </row>
    <row r="1321" spans="3:21" ht="12.5" x14ac:dyDescent="0.25">
      <c r="C1321" s="4">
        <f ca="1">IFERROR(__xludf.DUMMYFUNCTION("""COMPUTED_VALUE"""),41663.9986111111)</f>
        <v>41663.998611111099</v>
      </c>
      <c r="D1321" s="2">
        <f ca="1">IFERROR(__xludf.DUMMYFUNCTION("""COMPUTED_VALUE"""),62.688)</f>
        <v>62.688000000000002</v>
      </c>
      <c r="E1321" s="2">
        <f ca="1">IFERROR(__xludf.DUMMYFUNCTION("""COMPUTED_VALUE"""),84.971)</f>
        <v>84.971000000000004</v>
      </c>
      <c r="F1321" s="2">
        <f ca="1">IFERROR(__xludf.DUMMYFUNCTION("""COMPUTED_VALUE"""),100.53)</f>
        <v>100.53</v>
      </c>
      <c r="G1321" s="2">
        <f ca="1">IFERROR(__xludf.DUMMYFUNCTION("""COMPUTED_VALUE"""),0.58114)</f>
        <v>0.58113999999999999</v>
      </c>
      <c r="H1321" s="2">
        <f ca="1">IFERROR(__xludf.DUMMYFUNCTION("""COMPUTED_VALUE"""),55.17)</f>
        <v>55.17</v>
      </c>
      <c r="I1321" s="2">
        <f ca="1">IFERROR(__xludf.DUMMYFUNCTION("""COMPUTED_VALUE"""),55.836)</f>
        <v>55.835999999999999</v>
      </c>
      <c r="J1321" s="2">
        <f ca="1">IFERROR(__xludf.DUMMYFUNCTION("""COMPUTED_VALUE"""),48.714)</f>
        <v>48.713999999999999</v>
      </c>
      <c r="K1321" s="2">
        <f ca="1">IFERROR(__xludf.DUMMYFUNCTION("""COMPUTED_VALUE"""),69.191)</f>
        <v>69.191000000000003</v>
      </c>
      <c r="M1321" s="2">
        <f ca="1">IFERROR(__xludf.DUMMYFUNCTION("""COMPUTED_VALUE"""),16.811)</f>
        <v>16.811</v>
      </c>
      <c r="U1321" s="3" t="e">
        <f ca="1"/>
        <v>#NAME?</v>
      </c>
    </row>
    <row r="1322" spans="3:21" ht="12.5" x14ac:dyDescent="0.25">
      <c r="C1322" s="4">
        <f ca="1">IFERROR(__xludf.DUMMYFUNCTION("""COMPUTED_VALUE"""),41664.9986111111)</f>
        <v>41664.998611111099</v>
      </c>
      <c r="D1322" s="2">
        <f ca="1">IFERROR(__xludf.DUMMYFUNCTION("""COMPUTED_VALUE"""),62.688)</f>
        <v>62.688000000000002</v>
      </c>
      <c r="E1322" s="2">
        <f ca="1">IFERROR(__xludf.DUMMYFUNCTION("""COMPUTED_VALUE"""),84.722)</f>
        <v>84.721999999999994</v>
      </c>
      <c r="F1322" s="2">
        <f ca="1">IFERROR(__xludf.DUMMYFUNCTION("""COMPUTED_VALUE"""),100.83)</f>
        <v>100.83</v>
      </c>
      <c r="G1322" s="2">
        <f ca="1">IFERROR(__xludf.DUMMYFUNCTION("""COMPUTED_VALUE"""),0.58116)</f>
        <v>0.58116000000000001</v>
      </c>
      <c r="H1322" s="2">
        <f ca="1">IFERROR(__xludf.DUMMYFUNCTION("""COMPUTED_VALUE"""),55.013)</f>
        <v>55.012999999999998</v>
      </c>
      <c r="I1322" s="2">
        <f ca="1">IFERROR(__xludf.DUMMYFUNCTION("""COMPUTED_VALUE"""),55.799)</f>
        <v>55.798999999999999</v>
      </c>
      <c r="J1322" s="2">
        <f ca="1">IFERROR(__xludf.DUMMYFUNCTION("""COMPUTED_VALUE"""),48.74)</f>
        <v>48.74</v>
      </c>
      <c r="K1322" s="2">
        <f ca="1">IFERROR(__xludf.DUMMYFUNCTION("""COMPUTED_VALUE"""),68.634)</f>
        <v>68.634</v>
      </c>
      <c r="M1322" s="2">
        <f ca="1">IFERROR(__xludf.DUMMYFUNCTION("""COMPUTED_VALUE"""),16.823)</f>
        <v>16.823</v>
      </c>
      <c r="U1322" s="3" t="e">
        <f ca="1"/>
        <v>#NAME?</v>
      </c>
    </row>
    <row r="1323" spans="3:21" ht="12.5" x14ac:dyDescent="0.25">
      <c r="C1323" s="4">
        <f ca="1">IFERROR(__xludf.DUMMYFUNCTION("""COMPUTED_VALUE"""),41665.9986111111)</f>
        <v>41665.998611111099</v>
      </c>
      <c r="D1323" s="2">
        <f ca="1">IFERROR(__xludf.DUMMYFUNCTION("""COMPUTED_VALUE"""),62.73)</f>
        <v>62.73</v>
      </c>
      <c r="E1323" s="2">
        <f ca="1">IFERROR(__xludf.DUMMYFUNCTION("""COMPUTED_VALUE"""),84.65)</f>
        <v>84.65</v>
      </c>
      <c r="F1323" s="2">
        <f ca="1">IFERROR(__xludf.DUMMYFUNCTION("""COMPUTED_VALUE"""),101.64)</f>
        <v>101.64</v>
      </c>
      <c r="G1323" s="2">
        <f ca="1">IFERROR(__xludf.DUMMYFUNCTION("""COMPUTED_VALUE"""),0.58167)</f>
        <v>0.58167000000000002</v>
      </c>
      <c r="H1323" s="2">
        <f ca="1">IFERROR(__xludf.DUMMYFUNCTION("""COMPUTED_VALUE"""),55.318)</f>
        <v>55.317999999999998</v>
      </c>
      <c r="I1323" s="2">
        <f ca="1">IFERROR(__xludf.DUMMYFUNCTION("""COMPUTED_VALUE"""),55.938)</f>
        <v>55.938000000000002</v>
      </c>
      <c r="J1323" s="2">
        <f ca="1">IFERROR(__xludf.DUMMYFUNCTION("""COMPUTED_VALUE"""),48.719)</f>
        <v>48.719000000000001</v>
      </c>
      <c r="K1323" s="2">
        <f ca="1">IFERROR(__xludf.DUMMYFUNCTION("""COMPUTED_VALUE"""),68.626)</f>
        <v>68.626000000000005</v>
      </c>
      <c r="M1323" s="2">
        <f ca="1">IFERROR(__xludf.DUMMYFUNCTION("""COMPUTED_VALUE"""),16.85)</f>
        <v>16.850000000000001</v>
      </c>
      <c r="U1323" s="3" t="e">
        <f ca="1"/>
        <v>#NAME?</v>
      </c>
    </row>
    <row r="1324" spans="3:21" ht="12.5" x14ac:dyDescent="0.25">
      <c r="C1324" s="4">
        <f ca="1">IFERROR(__xludf.DUMMYFUNCTION("""COMPUTED_VALUE"""),41666.9986111111)</f>
        <v>41666.998611111099</v>
      </c>
      <c r="D1324" s="2">
        <f ca="1">IFERROR(__xludf.DUMMYFUNCTION("""COMPUTED_VALUE"""),63.38)</f>
        <v>63.38</v>
      </c>
      <c r="E1324" s="2">
        <f ca="1">IFERROR(__xludf.DUMMYFUNCTION("""COMPUTED_VALUE"""),84.697)</f>
        <v>84.697000000000003</v>
      </c>
      <c r="F1324" s="2">
        <f ca="1">IFERROR(__xludf.DUMMYFUNCTION("""COMPUTED_VALUE"""),101.6)</f>
        <v>101.6</v>
      </c>
      <c r="G1324" s="2">
        <f ca="1">IFERROR(__xludf.DUMMYFUNCTION("""COMPUTED_VALUE"""),0.57775)</f>
        <v>0.57774999999999999</v>
      </c>
      <c r="H1324" s="2">
        <f ca="1">IFERROR(__xludf.DUMMYFUNCTION("""COMPUTED_VALUE"""),55.357)</f>
        <v>55.356999999999999</v>
      </c>
      <c r="I1324" s="2">
        <f ca="1">IFERROR(__xludf.DUMMYFUNCTION("""COMPUTED_VALUE"""),55.755)</f>
        <v>55.755000000000003</v>
      </c>
      <c r="J1324" s="2">
        <f ca="1">IFERROR(__xludf.DUMMYFUNCTION("""COMPUTED_VALUE"""),48.796)</f>
        <v>48.795999999999999</v>
      </c>
      <c r="K1324" s="2">
        <f ca="1">IFERROR(__xludf.DUMMYFUNCTION("""COMPUTED_VALUE"""),68.742)</f>
        <v>68.742000000000004</v>
      </c>
      <c r="M1324" s="2">
        <f ca="1">IFERROR(__xludf.DUMMYFUNCTION("""COMPUTED_VALUE"""),16.862)</f>
        <v>16.861999999999998</v>
      </c>
      <c r="U1324" s="3" t="e">
        <f ca="1"/>
        <v>#NAME?</v>
      </c>
    </row>
    <row r="1325" spans="3:21" ht="12.5" x14ac:dyDescent="0.25">
      <c r="C1325" s="4">
        <f ca="1">IFERROR(__xludf.DUMMYFUNCTION("""COMPUTED_VALUE"""),41667.9986111111)</f>
        <v>41667.998611111099</v>
      </c>
      <c r="D1325" s="2">
        <f ca="1">IFERROR(__xludf.DUMMYFUNCTION("""COMPUTED_VALUE"""),62.38)</f>
        <v>62.38</v>
      </c>
      <c r="E1325" s="2">
        <f ca="1">IFERROR(__xludf.DUMMYFUNCTION("""COMPUTED_VALUE"""),84.776)</f>
        <v>84.775999999999996</v>
      </c>
      <c r="F1325" s="2">
        <f ca="1">IFERROR(__xludf.DUMMYFUNCTION("""COMPUTED_VALUE"""),101.14)</f>
        <v>101.14</v>
      </c>
      <c r="G1325" s="2">
        <f ca="1">IFERROR(__xludf.DUMMYFUNCTION("""COMPUTED_VALUE"""),0.58252)</f>
        <v>0.58252000000000004</v>
      </c>
      <c r="H1325" s="2">
        <f ca="1">IFERROR(__xludf.DUMMYFUNCTION("""COMPUTED_VALUE"""),55.385)</f>
        <v>55.384999999999998</v>
      </c>
      <c r="I1325" s="2">
        <f ca="1">IFERROR(__xludf.DUMMYFUNCTION("""COMPUTED_VALUE"""),55.949)</f>
        <v>55.948999999999998</v>
      </c>
      <c r="J1325" s="2">
        <f ca="1">IFERROR(__xludf.DUMMYFUNCTION("""COMPUTED_VALUE"""),48.739)</f>
        <v>48.738999999999997</v>
      </c>
      <c r="K1325" s="2">
        <f ca="1">IFERROR(__xludf.DUMMYFUNCTION("""COMPUTED_VALUE"""),68.868)</f>
        <v>68.867999999999995</v>
      </c>
      <c r="M1325" s="2">
        <f ca="1">IFERROR(__xludf.DUMMYFUNCTION("""COMPUTED_VALUE"""),16.862)</f>
        <v>16.861999999999998</v>
      </c>
      <c r="U1325" s="3" t="e">
        <f ca="1"/>
        <v>#NAME?</v>
      </c>
    </row>
    <row r="1326" spans="3:21" ht="12.5" x14ac:dyDescent="0.25">
      <c r="C1326" s="4">
        <f ca="1">IFERROR(__xludf.DUMMYFUNCTION("""COMPUTED_VALUE"""),41668.9986111111)</f>
        <v>41668.998611111099</v>
      </c>
      <c r="D1326" s="2">
        <f ca="1">IFERROR(__xludf.DUMMYFUNCTION("""COMPUTED_VALUE"""),62.468)</f>
        <v>62.468000000000004</v>
      </c>
      <c r="E1326" s="2">
        <f ca="1">IFERROR(__xludf.DUMMYFUNCTION("""COMPUTED_VALUE"""),84.987)</f>
        <v>84.986999999999995</v>
      </c>
      <c r="F1326" s="2">
        <f ca="1">IFERROR(__xludf.DUMMYFUNCTION("""COMPUTED_VALUE"""),101.28)</f>
        <v>101.28</v>
      </c>
      <c r="G1326" s="2">
        <f ca="1">IFERROR(__xludf.DUMMYFUNCTION("""COMPUTED_VALUE"""),0.5892)</f>
        <v>0.58919999999999995</v>
      </c>
      <c r="H1326" s="2">
        <f ca="1">IFERROR(__xludf.DUMMYFUNCTION("""COMPUTED_VALUE"""),55.596)</f>
        <v>55.595999999999997</v>
      </c>
      <c r="I1326" s="2">
        <f ca="1">IFERROR(__xludf.DUMMYFUNCTION("""COMPUTED_VALUE"""),55.573)</f>
        <v>55.573</v>
      </c>
      <c r="J1326" s="2">
        <f ca="1">IFERROR(__xludf.DUMMYFUNCTION("""COMPUTED_VALUE"""),48.594)</f>
        <v>48.594000000000001</v>
      </c>
      <c r="K1326" s="2">
        <f ca="1">IFERROR(__xludf.DUMMYFUNCTION("""COMPUTED_VALUE"""),68.439)</f>
        <v>68.438999999999993</v>
      </c>
      <c r="M1326" s="2">
        <f ca="1">IFERROR(__xludf.DUMMYFUNCTION("""COMPUTED_VALUE"""),16.79)</f>
        <v>16.79</v>
      </c>
      <c r="U1326" s="3" t="e">
        <f ca="1"/>
        <v>#NAME?</v>
      </c>
    </row>
    <row r="1327" spans="3:21" ht="12.5" x14ac:dyDescent="0.25">
      <c r="C1327" s="4">
        <f ca="1">IFERROR(__xludf.DUMMYFUNCTION("""COMPUTED_VALUE"""),41669.9986111111)</f>
        <v>41669.998611111099</v>
      </c>
      <c r="D1327" s="2">
        <f ca="1">IFERROR(__xludf.DUMMYFUNCTION("""COMPUTED_VALUE"""),62.31)</f>
        <v>62.31</v>
      </c>
      <c r="E1327" s="2">
        <f ca="1">IFERROR(__xludf.DUMMYFUNCTION("""COMPUTED_VALUE"""),84.386)</f>
        <v>84.385999999999996</v>
      </c>
      <c r="F1327" s="2">
        <f ca="1">IFERROR(__xludf.DUMMYFUNCTION("""COMPUTED_VALUE"""),101.32)</f>
        <v>101.32</v>
      </c>
      <c r="G1327" s="2">
        <f ca="1">IFERROR(__xludf.DUMMYFUNCTION("""COMPUTED_VALUE"""),0.58882)</f>
        <v>0.58882000000000001</v>
      </c>
      <c r="H1327" s="2">
        <f ca="1">IFERROR(__xludf.DUMMYFUNCTION("""COMPUTED_VALUE"""),55.376)</f>
        <v>55.375999999999998</v>
      </c>
      <c r="I1327" s="2">
        <f ca="1">IFERROR(__xludf.DUMMYFUNCTION("""COMPUTED_VALUE"""),55.048)</f>
        <v>55.048000000000002</v>
      </c>
      <c r="J1327" s="2">
        <f ca="1">IFERROR(__xludf.DUMMYFUNCTION("""COMPUTED_VALUE"""),48.34)</f>
        <v>48.34</v>
      </c>
      <c r="K1327" s="2">
        <f ca="1">IFERROR(__xludf.DUMMYFUNCTION("""COMPUTED_VALUE"""),68.133)</f>
        <v>68.132999999999996</v>
      </c>
      <c r="M1327" s="2">
        <f ca="1">IFERROR(__xludf.DUMMYFUNCTION("""COMPUTED_VALUE"""),16.82)</f>
        <v>16.82</v>
      </c>
      <c r="U1327" s="3" t="e">
        <f ca="1"/>
        <v>#NAME?</v>
      </c>
    </row>
    <row r="1328" spans="3:21" ht="12.5" x14ac:dyDescent="0.25">
      <c r="C1328" s="4">
        <f ca="1">IFERROR(__xludf.DUMMYFUNCTION("""COMPUTED_VALUE"""),41670.9986111111)</f>
        <v>41670.998611111099</v>
      </c>
      <c r="D1328" s="2">
        <f ca="1">IFERROR(__xludf.DUMMYFUNCTION("""COMPUTED_VALUE"""),62.678)</f>
        <v>62.677999999999997</v>
      </c>
      <c r="E1328" s="2">
        <f ca="1">IFERROR(__xludf.DUMMYFUNCTION("""COMPUTED_VALUE"""),84.362)</f>
        <v>84.361999999999995</v>
      </c>
      <c r="F1328" s="2">
        <f ca="1">IFERROR(__xludf.DUMMYFUNCTION("""COMPUTED_VALUE"""),101.2)</f>
        <v>101.2</v>
      </c>
      <c r="G1328" s="2">
        <f ca="1">IFERROR(__xludf.DUMMYFUNCTION("""COMPUTED_VALUE"""),0.59439)</f>
        <v>0.59438999999999997</v>
      </c>
      <c r="H1328" s="2">
        <f ca="1">IFERROR(__xludf.DUMMYFUNCTION("""COMPUTED_VALUE"""),55.397)</f>
        <v>55.396999999999998</v>
      </c>
      <c r="I1328" s="2">
        <f ca="1">IFERROR(__xludf.DUMMYFUNCTION("""COMPUTED_VALUE"""),55.092)</f>
        <v>55.091999999999999</v>
      </c>
      <c r="J1328" s="2">
        <f ca="1">IFERROR(__xludf.DUMMYFUNCTION("""COMPUTED_VALUE"""),48.106)</f>
        <v>48.106000000000002</v>
      </c>
      <c r="K1328" s="2">
        <f ca="1">IFERROR(__xludf.DUMMYFUNCTION("""COMPUTED_VALUE"""),68.413)</f>
        <v>68.412999999999997</v>
      </c>
      <c r="M1328" s="2">
        <f ca="1">IFERROR(__xludf.DUMMYFUNCTION("""COMPUTED_VALUE"""),16.826)</f>
        <v>16.826000000000001</v>
      </c>
      <c r="U1328" s="3" t="e">
        <f ca="1"/>
        <v>#NAME?</v>
      </c>
    </row>
    <row r="1329" spans="3:21" ht="12.5" x14ac:dyDescent="0.25">
      <c r="C1329" s="4">
        <f ca="1">IFERROR(__xludf.DUMMYFUNCTION("""COMPUTED_VALUE"""),41671.9986111111)</f>
        <v>41671.998611111099</v>
      </c>
      <c r="D1329" s="2">
        <f ca="1">IFERROR(__xludf.DUMMYFUNCTION("""COMPUTED_VALUE"""),62.678)</f>
        <v>62.677999999999997</v>
      </c>
      <c r="E1329" s="2">
        <f ca="1">IFERROR(__xludf.DUMMYFUNCTION("""COMPUTED_VALUE"""),85.046)</f>
        <v>85.046000000000006</v>
      </c>
      <c r="F1329" s="2">
        <f ca="1">IFERROR(__xludf.DUMMYFUNCTION("""COMPUTED_VALUE"""),101.08)</f>
        <v>101.08</v>
      </c>
      <c r="G1329" s="2">
        <f ca="1">IFERROR(__xludf.DUMMYFUNCTION("""COMPUTED_VALUE"""),0.59157)</f>
        <v>0.59157000000000004</v>
      </c>
      <c r="H1329" s="2">
        <f ca="1">IFERROR(__xludf.DUMMYFUNCTION("""COMPUTED_VALUE"""),55.442)</f>
        <v>55.442</v>
      </c>
      <c r="I1329" s="2">
        <f ca="1">IFERROR(__xludf.DUMMYFUNCTION("""COMPUTED_VALUE"""),55.213)</f>
        <v>55.213000000000001</v>
      </c>
      <c r="J1329" s="2">
        <f ca="1">IFERROR(__xludf.DUMMYFUNCTION("""COMPUTED_VALUE"""),48.15)</f>
        <v>48.15</v>
      </c>
      <c r="K1329" s="2">
        <f ca="1">IFERROR(__xludf.DUMMYFUNCTION("""COMPUTED_VALUE"""),68.524)</f>
        <v>68.524000000000001</v>
      </c>
      <c r="M1329" s="2">
        <f ca="1">IFERROR(__xludf.DUMMYFUNCTION("""COMPUTED_VALUE"""),16.836)</f>
        <v>16.835999999999999</v>
      </c>
      <c r="U1329" s="3" t="e">
        <f ca="1"/>
        <v>#NAME?</v>
      </c>
    </row>
    <row r="1330" spans="3:21" ht="12.5" x14ac:dyDescent="0.25">
      <c r="C1330" s="4">
        <f ca="1">IFERROR(__xludf.DUMMYFUNCTION("""COMPUTED_VALUE"""),41672.9986111111)</f>
        <v>41672.998611111099</v>
      </c>
      <c r="D1330" s="2">
        <f ca="1">IFERROR(__xludf.DUMMYFUNCTION("""COMPUTED_VALUE"""),62.5)</f>
        <v>62.5</v>
      </c>
      <c r="E1330" s="2">
        <f ca="1">IFERROR(__xludf.DUMMYFUNCTION("""COMPUTED_VALUE"""),84.742)</f>
        <v>84.742000000000004</v>
      </c>
      <c r="F1330" s="2">
        <f ca="1">IFERROR(__xludf.DUMMYFUNCTION("""COMPUTED_VALUE"""),101.03)</f>
        <v>101.03</v>
      </c>
      <c r="G1330" s="2">
        <f ca="1">IFERROR(__xludf.DUMMYFUNCTION("""COMPUTED_VALUE"""),0.59199)</f>
        <v>0.59199000000000002</v>
      </c>
      <c r="H1330" s="2">
        <f ca="1">IFERROR(__xludf.DUMMYFUNCTION("""COMPUTED_VALUE"""),54.868)</f>
        <v>54.868000000000002</v>
      </c>
      <c r="I1330" s="2">
        <f ca="1">IFERROR(__xludf.DUMMYFUNCTION("""COMPUTED_VALUE"""),54.707)</f>
        <v>54.707000000000001</v>
      </c>
      <c r="J1330" s="2">
        <f ca="1">IFERROR(__xludf.DUMMYFUNCTION("""COMPUTED_VALUE"""),48.285)</f>
        <v>48.284999999999997</v>
      </c>
      <c r="K1330" s="2">
        <f ca="1">IFERROR(__xludf.DUMMYFUNCTION("""COMPUTED_VALUE"""),68.567)</f>
        <v>68.566999999999993</v>
      </c>
      <c r="M1330" s="2">
        <f ca="1">IFERROR(__xludf.DUMMYFUNCTION("""COMPUTED_VALUE"""),16.896)</f>
        <v>16.896000000000001</v>
      </c>
      <c r="U1330" s="3" t="e">
        <f ca="1"/>
        <v>#NAME?</v>
      </c>
    </row>
    <row r="1331" spans="3:21" ht="12.5" x14ac:dyDescent="0.25">
      <c r="C1331" s="4">
        <f ca="1">IFERROR(__xludf.DUMMYFUNCTION("""COMPUTED_VALUE"""),41673.9986111111)</f>
        <v>41673.998611111099</v>
      </c>
      <c r="D1331" s="2">
        <f ca="1">IFERROR(__xludf.DUMMYFUNCTION("""COMPUTED_VALUE"""),62.87)</f>
        <v>62.87</v>
      </c>
      <c r="E1331" s="2">
        <f ca="1">IFERROR(__xludf.DUMMYFUNCTION("""COMPUTED_VALUE"""),85.084)</f>
        <v>85.084000000000003</v>
      </c>
      <c r="F1331" s="2">
        <f ca="1">IFERROR(__xludf.DUMMYFUNCTION("""COMPUTED_VALUE"""),101.56)</f>
        <v>101.56</v>
      </c>
      <c r="G1331" s="2">
        <f ca="1">IFERROR(__xludf.DUMMYFUNCTION("""COMPUTED_VALUE"""),0.59401)</f>
        <v>0.59401000000000004</v>
      </c>
      <c r="H1331" s="2">
        <f ca="1">IFERROR(__xludf.DUMMYFUNCTION("""COMPUTED_VALUE"""),54.557)</f>
        <v>54.557000000000002</v>
      </c>
      <c r="I1331" s="2">
        <f ca="1">IFERROR(__xludf.DUMMYFUNCTION("""COMPUTED_VALUE"""),54.797)</f>
        <v>54.796999999999997</v>
      </c>
      <c r="J1331" s="2">
        <f ca="1">IFERROR(__xludf.DUMMYFUNCTION("""COMPUTED_VALUE"""),47.957)</f>
        <v>47.957000000000001</v>
      </c>
      <c r="K1331" s="2">
        <f ca="1">IFERROR(__xludf.DUMMYFUNCTION("""COMPUTED_VALUE"""),68.104)</f>
        <v>68.103999999999999</v>
      </c>
      <c r="M1331" s="2">
        <f ca="1">IFERROR(__xludf.DUMMYFUNCTION("""COMPUTED_VALUE"""),16.93)</f>
        <v>16.93</v>
      </c>
      <c r="U1331" s="3" t="e">
        <f ca="1"/>
        <v>#NAME?</v>
      </c>
    </row>
    <row r="1332" spans="3:21" ht="12.5" x14ac:dyDescent="0.25">
      <c r="C1332" s="4">
        <f ca="1">IFERROR(__xludf.DUMMYFUNCTION("""COMPUTED_VALUE"""),41674.9986111111)</f>
        <v>41674.998611111099</v>
      </c>
      <c r="D1332" s="2">
        <f ca="1">IFERROR(__xludf.DUMMYFUNCTION("""COMPUTED_VALUE"""),62.13)</f>
        <v>62.13</v>
      </c>
      <c r="E1332" s="2">
        <f ca="1">IFERROR(__xludf.DUMMYFUNCTION("""COMPUTED_VALUE"""),85.157)</f>
        <v>85.156999999999996</v>
      </c>
      <c r="F1332" s="2">
        <f ca="1">IFERROR(__xludf.DUMMYFUNCTION("""COMPUTED_VALUE"""),101.95)</f>
        <v>101.95</v>
      </c>
      <c r="G1332" s="2">
        <f ca="1">IFERROR(__xludf.DUMMYFUNCTION("""COMPUTED_VALUE"""),0.59094)</f>
        <v>0.59094000000000002</v>
      </c>
      <c r="H1332" s="2">
        <f ca="1">IFERROR(__xludf.DUMMYFUNCTION("""COMPUTED_VALUE"""),55.028)</f>
        <v>55.027999999999999</v>
      </c>
      <c r="I1332" s="2">
        <f ca="1">IFERROR(__xludf.DUMMYFUNCTION("""COMPUTED_VALUE"""),55.015)</f>
        <v>55.015000000000001</v>
      </c>
      <c r="J1332" s="2">
        <f ca="1">IFERROR(__xludf.DUMMYFUNCTION("""COMPUTED_VALUE"""),48.012)</f>
        <v>48.012</v>
      </c>
      <c r="K1332" s="2">
        <f ca="1">IFERROR(__xludf.DUMMYFUNCTION("""COMPUTED_VALUE"""),68.303)</f>
        <v>68.302999999999997</v>
      </c>
      <c r="M1332" s="2">
        <f ca="1">IFERROR(__xludf.DUMMYFUNCTION("""COMPUTED_VALUE"""),16.93)</f>
        <v>16.93</v>
      </c>
      <c r="U1332" s="3" t="e">
        <f ca="1"/>
        <v>#NAME?</v>
      </c>
    </row>
    <row r="1333" spans="3:21" ht="12.5" x14ac:dyDescent="0.25">
      <c r="C1333" s="4">
        <f ca="1">IFERROR(__xludf.DUMMYFUNCTION("""COMPUTED_VALUE"""),41675.9986111111)</f>
        <v>41675.998611111099</v>
      </c>
      <c r="D1333" s="2">
        <f ca="1">IFERROR(__xludf.DUMMYFUNCTION("""COMPUTED_VALUE"""),62.23)</f>
        <v>62.23</v>
      </c>
      <c r="E1333" s="2">
        <f ca="1">IFERROR(__xludf.DUMMYFUNCTION("""COMPUTED_VALUE"""),84.829)</f>
        <v>84.828999999999994</v>
      </c>
      <c r="F1333" s="2">
        <f ca="1">IFERROR(__xludf.DUMMYFUNCTION("""COMPUTED_VALUE"""),102.07)</f>
        <v>102.07</v>
      </c>
      <c r="G1333" s="2">
        <f ca="1">IFERROR(__xludf.DUMMYFUNCTION("""COMPUTED_VALUE"""),0.59073)</f>
        <v>0.59072999999999998</v>
      </c>
      <c r="H1333" s="2">
        <f ca="1">IFERROR(__xludf.DUMMYFUNCTION("""COMPUTED_VALUE"""),55.165)</f>
        <v>55.164999999999999</v>
      </c>
      <c r="I1333" s="2">
        <f ca="1">IFERROR(__xludf.DUMMYFUNCTION("""COMPUTED_VALUE"""),55.16)</f>
        <v>55.16</v>
      </c>
      <c r="J1333" s="2">
        <f ca="1">IFERROR(__xludf.DUMMYFUNCTION("""COMPUTED_VALUE"""),48.269)</f>
        <v>48.268999999999998</v>
      </c>
      <c r="K1333" s="2">
        <f ca="1">IFERROR(__xludf.DUMMYFUNCTION("""COMPUTED_VALUE"""),68.02)</f>
        <v>68.02</v>
      </c>
      <c r="M1333" s="2">
        <f ca="1">IFERROR(__xludf.DUMMYFUNCTION("""COMPUTED_VALUE"""),16.943)</f>
        <v>16.943000000000001</v>
      </c>
      <c r="U1333" s="3" t="e">
        <f ca="1"/>
        <v>#NAME?</v>
      </c>
    </row>
    <row r="1334" spans="3:21" ht="12.5" x14ac:dyDescent="0.25">
      <c r="C1334" s="4">
        <f ca="1">IFERROR(__xludf.DUMMYFUNCTION("""COMPUTED_VALUE"""),41676.9986111111)</f>
        <v>41676.998611111099</v>
      </c>
      <c r="D1334" s="2">
        <f ca="1">IFERROR(__xludf.DUMMYFUNCTION("""COMPUTED_VALUE"""),62.23)</f>
        <v>62.23</v>
      </c>
      <c r="E1334" s="2">
        <f ca="1">IFERROR(__xludf.DUMMYFUNCTION("""COMPUTED_VALUE"""),85)</f>
        <v>85</v>
      </c>
      <c r="F1334" s="2">
        <f ca="1">IFERROR(__xludf.DUMMYFUNCTION("""COMPUTED_VALUE"""),101.65)</f>
        <v>101.65</v>
      </c>
      <c r="G1334" s="2">
        <f ca="1">IFERROR(__xludf.DUMMYFUNCTION("""COMPUTED_VALUE"""),0.59013)</f>
        <v>0.59013000000000004</v>
      </c>
      <c r="H1334" s="2">
        <f ca="1">IFERROR(__xludf.DUMMYFUNCTION("""COMPUTED_VALUE"""),55.224)</f>
        <v>55.223999999999997</v>
      </c>
      <c r="I1334" s="2">
        <f ca="1">IFERROR(__xludf.DUMMYFUNCTION("""COMPUTED_VALUE"""),55.085)</f>
        <v>55.085000000000001</v>
      </c>
      <c r="J1334" s="2">
        <f ca="1">IFERROR(__xludf.DUMMYFUNCTION("""COMPUTED_VALUE"""),48.239)</f>
        <v>48.238999999999997</v>
      </c>
      <c r="K1334" s="2">
        <f ca="1">IFERROR(__xludf.DUMMYFUNCTION("""COMPUTED_VALUE"""),67.665)</f>
        <v>67.665000000000006</v>
      </c>
      <c r="M1334" s="2">
        <f ca="1">IFERROR(__xludf.DUMMYFUNCTION("""COMPUTED_VALUE"""),16.964)</f>
        <v>16.963999999999999</v>
      </c>
      <c r="U1334" s="3" t="e">
        <f ca="1"/>
        <v>#NAME?</v>
      </c>
    </row>
    <row r="1335" spans="3:21" ht="12.5" x14ac:dyDescent="0.25">
      <c r="C1335" s="4">
        <f ca="1">IFERROR(__xludf.DUMMYFUNCTION("""COMPUTED_VALUE"""),41677.9986111111)</f>
        <v>41677.998611111099</v>
      </c>
      <c r="D1335" s="2">
        <f ca="1">IFERROR(__xludf.DUMMYFUNCTION("""COMPUTED_VALUE"""),62.298)</f>
        <v>62.298000000000002</v>
      </c>
      <c r="E1335" s="2">
        <f ca="1">IFERROR(__xludf.DUMMYFUNCTION("""COMPUTED_VALUE"""),85.056)</f>
        <v>85.055999999999997</v>
      </c>
      <c r="F1335" s="2">
        <f ca="1">IFERROR(__xludf.DUMMYFUNCTION("""COMPUTED_VALUE"""),102.03)</f>
        <v>102.03</v>
      </c>
      <c r="G1335" s="2">
        <f ca="1">IFERROR(__xludf.DUMMYFUNCTION("""COMPUTED_VALUE"""),0.58828)</f>
        <v>0.58828000000000003</v>
      </c>
      <c r="H1335" s="2">
        <f ca="1">IFERROR(__xludf.DUMMYFUNCTION("""COMPUTED_VALUE"""),55.275)</f>
        <v>55.274999999999999</v>
      </c>
      <c r="I1335" s="2">
        <f ca="1">IFERROR(__xludf.DUMMYFUNCTION("""COMPUTED_VALUE"""),55.131)</f>
        <v>55.131</v>
      </c>
      <c r="J1335" s="2">
        <f ca="1">IFERROR(__xludf.DUMMYFUNCTION("""COMPUTED_VALUE"""),48.314)</f>
        <v>48.314</v>
      </c>
      <c r="K1335" s="2">
        <f ca="1">IFERROR(__xludf.DUMMYFUNCTION("""COMPUTED_VALUE"""),67.948)</f>
        <v>67.947999999999993</v>
      </c>
      <c r="M1335" s="2">
        <f ca="1">IFERROR(__xludf.DUMMYFUNCTION("""COMPUTED_VALUE"""),16.902)</f>
        <v>16.902000000000001</v>
      </c>
      <c r="U1335" s="3" t="e">
        <f ca="1"/>
        <v>#NAME?</v>
      </c>
    </row>
    <row r="1336" spans="3:21" ht="12.5" x14ac:dyDescent="0.25">
      <c r="C1336" s="4">
        <f ca="1">IFERROR(__xludf.DUMMYFUNCTION("""COMPUTED_VALUE"""),41678.9986111111)</f>
        <v>41678.998611111099</v>
      </c>
      <c r="D1336" s="2">
        <f ca="1">IFERROR(__xludf.DUMMYFUNCTION("""COMPUTED_VALUE"""),62.298)</f>
        <v>62.298000000000002</v>
      </c>
      <c r="E1336" s="2">
        <f ca="1">IFERROR(__xludf.DUMMYFUNCTION("""COMPUTED_VALUE"""),84.206)</f>
        <v>84.206000000000003</v>
      </c>
      <c r="F1336" s="2">
        <f ca="1">IFERROR(__xludf.DUMMYFUNCTION("""COMPUTED_VALUE"""),102.27)</f>
        <v>102.27</v>
      </c>
      <c r="G1336" s="2">
        <f ca="1">IFERROR(__xludf.DUMMYFUNCTION("""COMPUTED_VALUE"""),0.58813)</f>
        <v>0.58813000000000004</v>
      </c>
      <c r="H1336" s="2">
        <f ca="1">IFERROR(__xludf.DUMMYFUNCTION("""COMPUTED_VALUE"""),55.044)</f>
        <v>55.043999999999997</v>
      </c>
      <c r="I1336" s="2">
        <f ca="1">IFERROR(__xludf.DUMMYFUNCTION("""COMPUTED_VALUE"""),54.953)</f>
        <v>54.953000000000003</v>
      </c>
      <c r="J1336" s="2">
        <f ca="1">IFERROR(__xludf.DUMMYFUNCTION("""COMPUTED_VALUE"""),48.374)</f>
        <v>48.374000000000002</v>
      </c>
      <c r="K1336" s="2">
        <f ca="1">IFERROR(__xludf.DUMMYFUNCTION("""COMPUTED_VALUE"""),67.552)</f>
        <v>67.552000000000007</v>
      </c>
      <c r="M1336" s="2">
        <f ca="1">IFERROR(__xludf.DUMMYFUNCTION("""COMPUTED_VALUE"""),16.913)</f>
        <v>16.913</v>
      </c>
      <c r="U1336" s="3" t="e">
        <f ca="1"/>
        <v>#NAME?</v>
      </c>
    </row>
    <row r="1337" spans="3:21" ht="12.5" x14ac:dyDescent="0.25">
      <c r="C1337" s="4">
        <f ca="1">IFERROR(__xludf.DUMMYFUNCTION("""COMPUTED_VALUE"""),41679.9986111111)</f>
        <v>41679.998611111099</v>
      </c>
      <c r="D1337" s="2">
        <f ca="1">IFERROR(__xludf.DUMMYFUNCTION("""COMPUTED_VALUE"""),62.09)</f>
        <v>62.09</v>
      </c>
      <c r="E1337" s="2">
        <f ca="1">IFERROR(__xludf.DUMMYFUNCTION("""COMPUTED_VALUE"""),84.456)</f>
        <v>84.456000000000003</v>
      </c>
      <c r="F1337" s="2">
        <f ca="1">IFERROR(__xludf.DUMMYFUNCTION("""COMPUTED_VALUE"""),102.58)</f>
        <v>102.58</v>
      </c>
      <c r="G1337" s="2">
        <f ca="1">IFERROR(__xludf.DUMMYFUNCTION("""COMPUTED_VALUE"""),0.58878)</f>
        <v>0.58877999999999997</v>
      </c>
      <c r="H1337" s="2">
        <f ca="1">IFERROR(__xludf.DUMMYFUNCTION("""COMPUTED_VALUE"""),55.447)</f>
        <v>55.447000000000003</v>
      </c>
      <c r="I1337" s="2">
        <f ca="1">IFERROR(__xludf.DUMMYFUNCTION("""COMPUTED_VALUE"""),55.184)</f>
        <v>55.183999999999997</v>
      </c>
      <c r="J1337" s="2">
        <f ca="1">IFERROR(__xludf.DUMMYFUNCTION("""COMPUTED_VALUE"""),48.181)</f>
        <v>48.180999999999997</v>
      </c>
      <c r="K1337" s="2">
        <f ca="1">IFERROR(__xludf.DUMMYFUNCTION("""COMPUTED_VALUE"""),67.538)</f>
        <v>67.537999999999997</v>
      </c>
      <c r="M1337" s="2">
        <f ca="1">IFERROR(__xludf.DUMMYFUNCTION("""COMPUTED_VALUE"""),16.82)</f>
        <v>16.82</v>
      </c>
      <c r="U1337" s="3" t="e">
        <f ca="1"/>
        <v>#NAME?</v>
      </c>
    </row>
    <row r="1338" spans="3:21" ht="12.5" x14ac:dyDescent="0.25">
      <c r="C1338" s="4">
        <f ca="1">IFERROR(__xludf.DUMMYFUNCTION("""COMPUTED_VALUE"""),41680.9986111111)</f>
        <v>41680.998611111099</v>
      </c>
      <c r="D1338" s="2">
        <f ca="1">IFERROR(__xludf.DUMMYFUNCTION("""COMPUTED_VALUE"""),62.448)</f>
        <v>62.448</v>
      </c>
      <c r="E1338" s="2">
        <f ca="1">IFERROR(__xludf.DUMMYFUNCTION("""COMPUTED_VALUE"""),83.947)</f>
        <v>83.947000000000003</v>
      </c>
      <c r="F1338" s="2">
        <f ca="1">IFERROR(__xludf.DUMMYFUNCTION("""COMPUTED_VALUE"""),102.32)</f>
        <v>102.32</v>
      </c>
      <c r="G1338" s="2">
        <f ca="1">IFERROR(__xludf.DUMMYFUNCTION("""COMPUTED_VALUE"""),0.58706)</f>
        <v>0.58706000000000003</v>
      </c>
      <c r="H1338" s="2">
        <f ca="1">IFERROR(__xludf.DUMMYFUNCTION("""COMPUTED_VALUE"""),55.771)</f>
        <v>55.771000000000001</v>
      </c>
      <c r="I1338" s="2">
        <f ca="1">IFERROR(__xludf.DUMMYFUNCTION("""COMPUTED_VALUE"""),54.865)</f>
        <v>54.865000000000002</v>
      </c>
      <c r="J1338" s="2">
        <f ca="1">IFERROR(__xludf.DUMMYFUNCTION("""COMPUTED_VALUE"""),48.265)</f>
        <v>48.265000000000001</v>
      </c>
      <c r="K1338" s="2">
        <f ca="1">IFERROR(__xludf.DUMMYFUNCTION("""COMPUTED_VALUE"""),67.524)</f>
        <v>67.524000000000001</v>
      </c>
      <c r="M1338" s="2">
        <f ca="1">IFERROR(__xludf.DUMMYFUNCTION("""COMPUTED_VALUE"""),16.853)</f>
        <v>16.853000000000002</v>
      </c>
      <c r="U1338" s="3" t="e">
        <f ca="1"/>
        <v>#NAME?</v>
      </c>
    </row>
    <row r="1339" spans="3:21" ht="12.5" x14ac:dyDescent="0.25">
      <c r="C1339" s="4">
        <f ca="1">IFERROR(__xludf.DUMMYFUNCTION("""COMPUTED_VALUE"""),41681.9986111111)</f>
        <v>41681.998611111099</v>
      </c>
      <c r="D1339" s="2">
        <f ca="1">IFERROR(__xludf.DUMMYFUNCTION("""COMPUTED_VALUE"""),62.03)</f>
        <v>62.03</v>
      </c>
      <c r="E1339" s="2">
        <f ca="1">IFERROR(__xludf.DUMMYFUNCTION("""COMPUTED_VALUE"""),84.02)</f>
        <v>84.02</v>
      </c>
      <c r="F1339" s="2">
        <f ca="1">IFERROR(__xludf.DUMMYFUNCTION("""COMPUTED_VALUE"""),102.02)</f>
        <v>102.02</v>
      </c>
      <c r="G1339" s="2">
        <f ca="1">IFERROR(__xludf.DUMMYFUNCTION("""COMPUTED_VALUE"""),0.58788)</f>
        <v>0.58787999999999996</v>
      </c>
      <c r="H1339" s="2">
        <f ca="1">IFERROR(__xludf.DUMMYFUNCTION("""COMPUTED_VALUE"""),55)</f>
        <v>55</v>
      </c>
      <c r="I1339" s="2">
        <f ca="1">IFERROR(__xludf.DUMMYFUNCTION("""COMPUTED_VALUE"""),54.177)</f>
        <v>54.177</v>
      </c>
      <c r="J1339" s="2">
        <f ca="1">IFERROR(__xludf.DUMMYFUNCTION("""COMPUTED_VALUE"""),48.308)</f>
        <v>48.308</v>
      </c>
      <c r="K1339" s="2">
        <f ca="1">IFERROR(__xludf.DUMMYFUNCTION("""COMPUTED_VALUE"""),67.571)</f>
        <v>67.570999999999998</v>
      </c>
      <c r="M1339" s="2">
        <f ca="1">IFERROR(__xludf.DUMMYFUNCTION("""COMPUTED_VALUE"""),16.853)</f>
        <v>16.853000000000002</v>
      </c>
      <c r="U1339" s="3" t="e">
        <f ca="1"/>
        <v>#NAME?</v>
      </c>
    </row>
    <row r="1340" spans="3:21" ht="12.5" x14ac:dyDescent="0.25">
      <c r="C1340" s="4">
        <f ca="1">IFERROR(__xludf.DUMMYFUNCTION("""COMPUTED_VALUE"""),41682.9986111111)</f>
        <v>41682.998611111099</v>
      </c>
      <c r="D1340" s="2">
        <f ca="1">IFERROR(__xludf.DUMMYFUNCTION("""COMPUTED_VALUE"""),61.68)</f>
        <v>61.68</v>
      </c>
      <c r="E1340" s="2">
        <f ca="1">IFERROR(__xludf.DUMMYFUNCTION("""COMPUTED_VALUE"""),84.175)</f>
        <v>84.174999999999997</v>
      </c>
      <c r="F1340" s="2">
        <f ca="1">IFERROR(__xludf.DUMMYFUNCTION("""COMPUTED_VALUE"""),102)</f>
        <v>102</v>
      </c>
      <c r="G1340" s="2">
        <f ca="1">IFERROR(__xludf.DUMMYFUNCTION("""COMPUTED_VALUE"""),0.59175)</f>
        <v>0.59175</v>
      </c>
      <c r="H1340" s="2">
        <f ca="1">IFERROR(__xludf.DUMMYFUNCTION("""COMPUTED_VALUE"""),55.388)</f>
        <v>55.387999999999998</v>
      </c>
      <c r="I1340" s="2">
        <f ca="1">IFERROR(__xludf.DUMMYFUNCTION("""COMPUTED_VALUE"""),54.509)</f>
        <v>54.509</v>
      </c>
      <c r="J1340" s="2">
        <f ca="1">IFERROR(__xludf.DUMMYFUNCTION("""COMPUTED_VALUE"""),47.858)</f>
        <v>47.857999999999997</v>
      </c>
      <c r="K1340" s="2">
        <f ca="1">IFERROR(__xludf.DUMMYFUNCTION("""COMPUTED_VALUE"""),67.927)</f>
        <v>67.927000000000007</v>
      </c>
      <c r="M1340" s="2">
        <f ca="1">IFERROR(__xludf.DUMMYFUNCTION("""COMPUTED_VALUE"""),16.727)</f>
        <v>16.727</v>
      </c>
      <c r="U1340" s="3" t="e">
        <f ca="1"/>
        <v>#NAME?</v>
      </c>
    </row>
    <row r="1341" spans="3:21" ht="12.5" x14ac:dyDescent="0.25">
      <c r="C1341" s="4">
        <f ca="1">IFERROR(__xludf.DUMMYFUNCTION("""COMPUTED_VALUE"""),41683.9986111111)</f>
        <v>41683.998611111099</v>
      </c>
      <c r="D1341" s="2">
        <f ca="1">IFERROR(__xludf.DUMMYFUNCTION("""COMPUTED_VALUE"""),62.15)</f>
        <v>62.15</v>
      </c>
      <c r="E1341" s="2">
        <f ca="1">IFERROR(__xludf.DUMMYFUNCTION("""COMPUTED_VALUE"""),84.033)</f>
        <v>84.033000000000001</v>
      </c>
      <c r="F1341" s="2">
        <f ca="1">IFERROR(__xludf.DUMMYFUNCTION("""COMPUTED_VALUE"""),102.12)</f>
        <v>102.12</v>
      </c>
      <c r="G1341" s="2">
        <f ca="1">IFERROR(__xludf.DUMMYFUNCTION("""COMPUTED_VALUE"""),0.59557)</f>
        <v>0.59557000000000004</v>
      </c>
      <c r="H1341" s="2">
        <f ca="1">IFERROR(__xludf.DUMMYFUNCTION("""COMPUTED_VALUE"""),55.268)</f>
        <v>55.268000000000001</v>
      </c>
      <c r="I1341" s="2">
        <f ca="1">IFERROR(__xludf.DUMMYFUNCTION("""COMPUTED_VALUE"""),54.226)</f>
        <v>54.225999999999999</v>
      </c>
      <c r="J1341" s="2">
        <f ca="1">IFERROR(__xludf.DUMMYFUNCTION("""COMPUTED_VALUE"""),47.975)</f>
        <v>47.975000000000001</v>
      </c>
      <c r="K1341" s="2">
        <f ca="1">IFERROR(__xludf.DUMMYFUNCTION("""COMPUTED_VALUE"""),67.687)</f>
        <v>67.686999999999998</v>
      </c>
      <c r="M1341" s="2">
        <f ca="1">IFERROR(__xludf.DUMMYFUNCTION("""COMPUTED_VALUE"""),16.736)</f>
        <v>16.736000000000001</v>
      </c>
      <c r="U1341" s="3" t="e">
        <f ca="1"/>
        <v>#NAME?</v>
      </c>
    </row>
    <row r="1342" spans="3:21" ht="12.5" x14ac:dyDescent="0.25">
      <c r="C1342" s="4">
        <f ca="1">IFERROR(__xludf.DUMMYFUNCTION("""COMPUTED_VALUE"""),41684.9986111111)</f>
        <v>41684.998611111099</v>
      </c>
      <c r="D1342" s="2">
        <f ca="1">IFERROR(__xludf.DUMMYFUNCTION("""COMPUTED_VALUE"""),61.848)</f>
        <v>61.847999999999999</v>
      </c>
      <c r="E1342" s="2">
        <f ca="1">IFERROR(__xludf.DUMMYFUNCTION("""COMPUTED_VALUE"""),83.492)</f>
        <v>83.492000000000004</v>
      </c>
      <c r="F1342" s="2">
        <f ca="1">IFERROR(__xludf.DUMMYFUNCTION("""COMPUTED_VALUE"""),102.22)</f>
        <v>102.22</v>
      </c>
      <c r="G1342" s="2">
        <f ca="1">IFERROR(__xludf.DUMMYFUNCTION("""COMPUTED_VALUE"""),0.59693)</f>
        <v>0.59692999999999996</v>
      </c>
      <c r="H1342" s="2">
        <f ca="1">IFERROR(__xludf.DUMMYFUNCTION("""COMPUTED_VALUE"""),55.315)</f>
        <v>55.314999999999998</v>
      </c>
      <c r="I1342" s="2">
        <f ca="1">IFERROR(__xludf.DUMMYFUNCTION("""COMPUTED_VALUE"""),54.245)</f>
        <v>54.244999999999997</v>
      </c>
      <c r="J1342" s="2">
        <f ca="1">IFERROR(__xludf.DUMMYFUNCTION("""COMPUTED_VALUE"""),47.742)</f>
        <v>47.741999999999997</v>
      </c>
      <c r="K1342" s="2">
        <f ca="1">IFERROR(__xludf.DUMMYFUNCTION("""COMPUTED_VALUE"""),68.882)</f>
        <v>68.882000000000005</v>
      </c>
      <c r="M1342" s="2">
        <f ca="1">IFERROR(__xludf.DUMMYFUNCTION("""COMPUTED_VALUE"""),16.736)</f>
        <v>16.736000000000001</v>
      </c>
      <c r="U1342" s="3" t="e">
        <f ca="1"/>
        <v>#NAME?</v>
      </c>
    </row>
    <row r="1343" spans="3:21" ht="12.5" x14ac:dyDescent="0.25">
      <c r="C1343" s="4">
        <f ca="1">IFERROR(__xludf.DUMMYFUNCTION("""COMPUTED_VALUE"""),41685.9986111111)</f>
        <v>41685.998611111099</v>
      </c>
      <c r="D1343" s="2">
        <f ca="1">IFERROR(__xludf.DUMMYFUNCTION("""COMPUTED_VALUE"""),61.848)</f>
        <v>61.847999999999999</v>
      </c>
      <c r="E1343" s="2">
        <f ca="1">IFERROR(__xludf.DUMMYFUNCTION("""COMPUTED_VALUE"""),82.812)</f>
        <v>82.811999999999998</v>
      </c>
      <c r="F1343" s="2">
        <f ca="1">IFERROR(__xludf.DUMMYFUNCTION("""COMPUTED_VALUE"""),102.06)</f>
        <v>102.06</v>
      </c>
      <c r="G1343" s="2">
        <f ca="1">IFERROR(__xludf.DUMMYFUNCTION("""COMPUTED_VALUE"""),0.59278)</f>
        <v>0.59277999999999997</v>
      </c>
      <c r="H1343" s="2">
        <f ca="1">IFERROR(__xludf.DUMMYFUNCTION("""COMPUTED_VALUE"""),55.49)</f>
        <v>55.49</v>
      </c>
      <c r="I1343" s="2">
        <f ca="1">IFERROR(__xludf.DUMMYFUNCTION("""COMPUTED_VALUE"""),54.346)</f>
        <v>54.345999999999997</v>
      </c>
      <c r="J1343" s="2">
        <f ca="1">IFERROR(__xludf.DUMMYFUNCTION("""COMPUTED_VALUE"""),47.793)</f>
        <v>47.792999999999999</v>
      </c>
      <c r="K1343" s="2">
        <f ca="1">IFERROR(__xludf.DUMMYFUNCTION("""COMPUTED_VALUE"""),70.027)</f>
        <v>70.027000000000001</v>
      </c>
      <c r="M1343" s="2">
        <f ca="1">IFERROR(__xludf.DUMMYFUNCTION("""COMPUTED_VALUE"""),16.755)</f>
        <v>16.754999999999999</v>
      </c>
      <c r="U1343" s="3" t="e">
        <f ca="1"/>
        <v>#NAME?</v>
      </c>
    </row>
    <row r="1344" spans="3:21" ht="12.5" x14ac:dyDescent="0.25">
      <c r="C1344" s="4">
        <f ca="1">IFERROR(__xludf.DUMMYFUNCTION("""COMPUTED_VALUE"""),41686.9986111111)</f>
        <v>41686.998611111099</v>
      </c>
      <c r="D1344" s="2">
        <f ca="1">IFERROR(__xludf.DUMMYFUNCTION("""COMPUTED_VALUE"""),61.83)</f>
        <v>61.83</v>
      </c>
      <c r="E1344" s="2">
        <f ca="1">IFERROR(__xludf.DUMMYFUNCTION("""COMPUTED_VALUE"""),82.685)</f>
        <v>82.685000000000002</v>
      </c>
      <c r="F1344" s="2">
        <f ca="1">IFERROR(__xludf.DUMMYFUNCTION("""COMPUTED_VALUE"""),102.13)</f>
        <v>102.13</v>
      </c>
      <c r="G1344" s="2">
        <f ca="1">IFERROR(__xludf.DUMMYFUNCTION("""COMPUTED_VALUE"""),0.59348)</f>
        <v>0.59348000000000001</v>
      </c>
      <c r="H1344" s="2">
        <f ca="1">IFERROR(__xludf.DUMMYFUNCTION("""COMPUTED_VALUE"""),55.44)</f>
        <v>55.44</v>
      </c>
      <c r="I1344" s="2">
        <f ca="1">IFERROR(__xludf.DUMMYFUNCTION("""COMPUTED_VALUE"""),54.225)</f>
        <v>54.225000000000001</v>
      </c>
      <c r="J1344" s="2">
        <f ca="1">IFERROR(__xludf.DUMMYFUNCTION("""COMPUTED_VALUE"""),47.906)</f>
        <v>47.905999999999999</v>
      </c>
      <c r="K1344" s="2">
        <f ca="1">IFERROR(__xludf.DUMMYFUNCTION("""COMPUTED_VALUE"""),70.099)</f>
        <v>70.099000000000004</v>
      </c>
      <c r="M1344" s="2">
        <f ca="1">IFERROR(__xludf.DUMMYFUNCTION("""COMPUTED_VALUE"""),16.722)</f>
        <v>16.722000000000001</v>
      </c>
      <c r="U1344" s="3" t="e">
        <f ca="1"/>
        <v>#NAME?</v>
      </c>
    </row>
    <row r="1345" spans="3:21" ht="12.5" x14ac:dyDescent="0.25">
      <c r="C1345" s="4">
        <f ca="1">IFERROR(__xludf.DUMMYFUNCTION("""COMPUTED_VALUE"""),41687.9986111111)</f>
        <v>41687.998611111099</v>
      </c>
      <c r="D1345" s="2">
        <f ca="1">IFERROR(__xludf.DUMMYFUNCTION("""COMPUTED_VALUE"""),61.79)</f>
        <v>61.79</v>
      </c>
      <c r="E1345" s="2">
        <f ca="1">IFERROR(__xludf.DUMMYFUNCTION("""COMPUTED_VALUE"""),82.287)</f>
        <v>82.287000000000006</v>
      </c>
      <c r="F1345" s="2">
        <f ca="1">IFERROR(__xludf.DUMMYFUNCTION("""COMPUTED_VALUE"""),102.24)</f>
        <v>102.24</v>
      </c>
      <c r="G1345" s="2">
        <f ca="1">IFERROR(__xludf.DUMMYFUNCTION("""COMPUTED_VALUE"""),0.59127)</f>
        <v>0.59126999999999996</v>
      </c>
      <c r="H1345" s="2">
        <f ca="1">IFERROR(__xludf.DUMMYFUNCTION("""COMPUTED_VALUE"""),55.345)</f>
        <v>55.344999999999999</v>
      </c>
      <c r="I1345" s="2">
        <f ca="1">IFERROR(__xludf.DUMMYFUNCTION("""COMPUTED_VALUE"""),54.125)</f>
        <v>54.125</v>
      </c>
      <c r="J1345" s="2">
        <f ca="1">IFERROR(__xludf.DUMMYFUNCTION("""COMPUTED_VALUE"""),47.78)</f>
        <v>47.78</v>
      </c>
      <c r="K1345" s="2">
        <f ca="1">IFERROR(__xludf.DUMMYFUNCTION("""COMPUTED_VALUE"""),70.211)</f>
        <v>70.210999999999999</v>
      </c>
      <c r="M1345" s="2">
        <f ca="1">IFERROR(__xludf.DUMMYFUNCTION("""COMPUTED_VALUE"""),16.754)</f>
        <v>16.754000000000001</v>
      </c>
      <c r="U1345" s="3" t="e">
        <f ca="1"/>
        <v>#NAME?</v>
      </c>
    </row>
    <row r="1346" spans="3:21" ht="12.5" x14ac:dyDescent="0.25">
      <c r="C1346" s="4">
        <f ca="1">IFERROR(__xludf.DUMMYFUNCTION("""COMPUTED_VALUE"""),41688.9986111111)</f>
        <v>41688.998611111099</v>
      </c>
      <c r="D1346" s="2">
        <f ca="1">IFERROR(__xludf.DUMMYFUNCTION("""COMPUTED_VALUE"""),62.21)</f>
        <v>62.21</v>
      </c>
      <c r="E1346" s="2">
        <f ca="1">IFERROR(__xludf.DUMMYFUNCTION("""COMPUTED_VALUE"""),82.357)</f>
        <v>82.356999999999999</v>
      </c>
      <c r="F1346" s="2">
        <f ca="1">IFERROR(__xludf.DUMMYFUNCTION("""COMPUTED_VALUE"""),101.95)</f>
        <v>101.95</v>
      </c>
      <c r="G1346" s="2">
        <f ca="1">IFERROR(__xludf.DUMMYFUNCTION("""COMPUTED_VALUE"""),0.58817)</f>
        <v>0.58816999999999997</v>
      </c>
      <c r="H1346" s="2">
        <f ca="1">IFERROR(__xludf.DUMMYFUNCTION("""COMPUTED_VALUE"""),55.376)</f>
        <v>55.375999999999998</v>
      </c>
      <c r="I1346" s="2">
        <f ca="1">IFERROR(__xludf.DUMMYFUNCTION("""COMPUTED_VALUE"""),54.136)</f>
        <v>54.136000000000003</v>
      </c>
      <c r="J1346" s="2">
        <f ca="1">IFERROR(__xludf.DUMMYFUNCTION("""COMPUTED_VALUE"""),47.653)</f>
        <v>47.652999999999999</v>
      </c>
      <c r="K1346" s="2">
        <f ca="1">IFERROR(__xludf.DUMMYFUNCTION("""COMPUTED_VALUE"""),70.331)</f>
        <v>70.331000000000003</v>
      </c>
      <c r="M1346" s="2">
        <f ca="1">IFERROR(__xludf.DUMMYFUNCTION("""COMPUTED_VALUE"""),16.754)</f>
        <v>16.754000000000001</v>
      </c>
      <c r="U1346" s="3" t="e">
        <f ca="1"/>
        <v>#NAME?</v>
      </c>
    </row>
    <row r="1347" spans="3:21" ht="12.5" x14ac:dyDescent="0.25">
      <c r="C1347" s="4">
        <f ca="1">IFERROR(__xludf.DUMMYFUNCTION("""COMPUTED_VALUE"""),41689.9986111111)</f>
        <v>41689.998611111099</v>
      </c>
      <c r="D1347" s="2">
        <f ca="1">IFERROR(__xludf.DUMMYFUNCTION("""COMPUTED_VALUE"""),62.26)</f>
        <v>62.26</v>
      </c>
      <c r="E1347" s="2">
        <f ca="1">IFERROR(__xludf.DUMMYFUNCTION("""COMPUTED_VALUE"""),82.352)</f>
        <v>82.352000000000004</v>
      </c>
      <c r="F1347" s="2">
        <f ca="1">IFERROR(__xludf.DUMMYFUNCTION("""COMPUTED_VALUE"""),102.01)</f>
        <v>102.01</v>
      </c>
      <c r="G1347" s="2">
        <f ca="1">IFERROR(__xludf.DUMMYFUNCTION("""COMPUTED_VALUE"""),0.58967)</f>
        <v>0.58967000000000003</v>
      </c>
      <c r="H1347" s="2">
        <f ca="1">IFERROR(__xludf.DUMMYFUNCTION("""COMPUTED_VALUE"""),55.716)</f>
        <v>55.716000000000001</v>
      </c>
      <c r="I1347" s="2">
        <f ca="1">IFERROR(__xludf.DUMMYFUNCTION("""COMPUTED_VALUE"""),54.561)</f>
        <v>54.561</v>
      </c>
      <c r="J1347" s="2">
        <f ca="1">IFERROR(__xludf.DUMMYFUNCTION("""COMPUTED_VALUE"""),47.42)</f>
        <v>47.42</v>
      </c>
      <c r="K1347" s="2">
        <f ca="1">IFERROR(__xludf.DUMMYFUNCTION("""COMPUTED_VALUE"""),69.484)</f>
        <v>69.483999999999995</v>
      </c>
      <c r="M1347" s="2">
        <f ca="1">IFERROR(__xludf.DUMMYFUNCTION("""COMPUTED_VALUE"""),16.757)</f>
        <v>16.757000000000001</v>
      </c>
      <c r="U1347" s="3" t="e">
        <f ca="1"/>
        <v>#NAME?</v>
      </c>
    </row>
    <row r="1348" spans="3:21" ht="12.5" x14ac:dyDescent="0.25">
      <c r="C1348" s="4">
        <f ca="1">IFERROR(__xludf.DUMMYFUNCTION("""COMPUTED_VALUE"""),41690.9986111111)</f>
        <v>41690.998611111099</v>
      </c>
      <c r="D1348" s="2">
        <f ca="1">IFERROR(__xludf.DUMMYFUNCTION("""COMPUTED_VALUE"""),62.13)</f>
        <v>62.13</v>
      </c>
      <c r="E1348" s="2">
        <f ca="1">IFERROR(__xludf.DUMMYFUNCTION("""COMPUTED_VALUE"""),82.585)</f>
        <v>82.584999999999994</v>
      </c>
      <c r="F1348" s="2">
        <f ca="1">IFERROR(__xludf.DUMMYFUNCTION("""COMPUTED_VALUE"""),101.3)</f>
        <v>101.3</v>
      </c>
      <c r="G1348" s="2">
        <f ca="1">IFERROR(__xludf.DUMMYFUNCTION("""COMPUTED_VALUE"""),0.58846)</f>
        <v>0.58845999999999998</v>
      </c>
      <c r="H1348" s="2">
        <f ca="1">IFERROR(__xludf.DUMMYFUNCTION("""COMPUTED_VALUE"""),55.326)</f>
        <v>55.326000000000001</v>
      </c>
      <c r="I1348" s="2">
        <f ca="1">IFERROR(__xludf.DUMMYFUNCTION("""COMPUTED_VALUE"""),54.097)</f>
        <v>54.097000000000001</v>
      </c>
      <c r="J1348" s="2">
        <f ca="1">IFERROR(__xludf.DUMMYFUNCTION("""COMPUTED_VALUE"""),47.623)</f>
        <v>47.622999999999998</v>
      </c>
      <c r="K1348" s="2">
        <f ca="1">IFERROR(__xludf.DUMMYFUNCTION("""COMPUTED_VALUE"""),69.737)</f>
        <v>69.736999999999995</v>
      </c>
      <c r="M1348" s="2">
        <f ca="1">IFERROR(__xludf.DUMMYFUNCTION("""COMPUTED_VALUE"""),16.776)</f>
        <v>16.776</v>
      </c>
      <c r="U1348" s="3" t="e">
        <f ca="1"/>
        <v>#NAME?</v>
      </c>
    </row>
    <row r="1349" spans="3:21" ht="12.5" x14ac:dyDescent="0.25">
      <c r="C1349" s="4">
        <f ca="1">IFERROR(__xludf.DUMMYFUNCTION("""COMPUTED_VALUE"""),41691.9986111111)</f>
        <v>41691.998611111099</v>
      </c>
      <c r="D1349" s="2">
        <f ca="1">IFERROR(__xludf.DUMMYFUNCTION("""COMPUTED_VALUE"""),62.133)</f>
        <v>62.133000000000003</v>
      </c>
      <c r="E1349" s="2">
        <f ca="1">IFERROR(__xludf.DUMMYFUNCTION("""COMPUTED_VALUE"""),82.699)</f>
        <v>82.698999999999998</v>
      </c>
      <c r="F1349" s="2">
        <f ca="1">IFERROR(__xludf.DUMMYFUNCTION("""COMPUTED_VALUE"""),100.67)</f>
        <v>100.67</v>
      </c>
      <c r="G1349" s="2">
        <f ca="1">IFERROR(__xludf.DUMMYFUNCTION("""COMPUTED_VALUE"""),0.58831)</f>
        <v>0.58831</v>
      </c>
      <c r="H1349" s="2">
        <f ca="1">IFERROR(__xludf.DUMMYFUNCTION("""COMPUTED_VALUE"""),55.386)</f>
        <v>55.386000000000003</v>
      </c>
      <c r="I1349" s="2">
        <f ca="1">IFERROR(__xludf.DUMMYFUNCTION("""COMPUTED_VALUE"""),54.14)</f>
        <v>54.14</v>
      </c>
      <c r="J1349" s="2">
        <f ca="1">IFERROR(__xludf.DUMMYFUNCTION("""COMPUTED_VALUE"""),47.522)</f>
        <v>47.521999999999998</v>
      </c>
      <c r="K1349" s="2">
        <f ca="1">IFERROR(__xludf.DUMMYFUNCTION("""COMPUTED_VALUE"""),69.258)</f>
        <v>69.257999999999996</v>
      </c>
      <c r="M1349" s="2">
        <f ca="1">IFERROR(__xludf.DUMMYFUNCTION("""COMPUTED_VALUE"""),16.872)</f>
        <v>16.872</v>
      </c>
      <c r="U1349" s="3" t="e">
        <f ca="1"/>
        <v>#NAME?</v>
      </c>
    </row>
    <row r="1350" spans="3:21" ht="12.5" x14ac:dyDescent="0.25">
      <c r="C1350" s="4">
        <f ca="1">IFERROR(__xludf.DUMMYFUNCTION("""COMPUTED_VALUE"""),41692.9986111111)</f>
        <v>41692.998611111099</v>
      </c>
      <c r="D1350" s="2">
        <f ca="1">IFERROR(__xludf.DUMMYFUNCTION("""COMPUTED_VALUE"""),62.133)</f>
        <v>62.133000000000003</v>
      </c>
      <c r="E1350" s="2">
        <f ca="1">IFERROR(__xludf.DUMMYFUNCTION("""COMPUTED_VALUE"""),82.385)</f>
        <v>82.385000000000005</v>
      </c>
      <c r="F1350" s="2">
        <f ca="1">IFERROR(__xludf.DUMMYFUNCTION("""COMPUTED_VALUE"""),100.96)</f>
        <v>100.96</v>
      </c>
      <c r="G1350" s="2">
        <f ca="1">IFERROR(__xludf.DUMMYFUNCTION("""COMPUTED_VALUE"""),0.58764)</f>
        <v>0.58764000000000005</v>
      </c>
      <c r="H1350" s="2">
        <f ca="1">IFERROR(__xludf.DUMMYFUNCTION("""COMPUTED_VALUE"""),55.292)</f>
        <v>55.292000000000002</v>
      </c>
      <c r="I1350" s="2">
        <f ca="1">IFERROR(__xludf.DUMMYFUNCTION("""COMPUTED_VALUE"""),54.078)</f>
        <v>54.078000000000003</v>
      </c>
      <c r="J1350" s="2">
        <f ca="1">IFERROR(__xludf.DUMMYFUNCTION("""COMPUTED_VALUE"""),47.581)</f>
        <v>47.581000000000003</v>
      </c>
      <c r="K1350" s="2">
        <f ca="1">IFERROR(__xludf.DUMMYFUNCTION("""COMPUTED_VALUE"""),69.161)</f>
        <v>69.161000000000001</v>
      </c>
      <c r="M1350" s="2">
        <f ca="1">IFERROR(__xludf.DUMMYFUNCTION("""COMPUTED_VALUE"""),16.845)</f>
        <v>16.844999999999999</v>
      </c>
      <c r="U1350" s="3" t="e">
        <f ca="1"/>
        <v>#NAME?</v>
      </c>
    </row>
    <row r="1351" spans="3:21" ht="12.5" x14ac:dyDescent="0.25">
      <c r="C1351" s="4">
        <f ca="1">IFERROR(__xludf.DUMMYFUNCTION("""COMPUTED_VALUE"""),41693.9986111111)</f>
        <v>41693.998611111099</v>
      </c>
      <c r="D1351" s="2">
        <f ca="1">IFERROR(__xludf.DUMMYFUNCTION("""COMPUTED_VALUE"""),62.01)</f>
        <v>62.01</v>
      </c>
      <c r="E1351" s="2">
        <f ca="1">IFERROR(__xludf.DUMMYFUNCTION("""COMPUTED_VALUE"""),82.837)</f>
        <v>82.837000000000003</v>
      </c>
      <c r="F1351" s="2">
        <f ca="1">IFERROR(__xludf.DUMMYFUNCTION("""COMPUTED_VALUE"""),100.68)</f>
        <v>100.68</v>
      </c>
      <c r="G1351" s="2">
        <f ca="1">IFERROR(__xludf.DUMMYFUNCTION("""COMPUTED_VALUE"""),0.58742)</f>
        <v>0.58742000000000005</v>
      </c>
      <c r="H1351" s="2">
        <f ca="1">IFERROR(__xludf.DUMMYFUNCTION("""COMPUTED_VALUE"""),55.591)</f>
        <v>55.591000000000001</v>
      </c>
      <c r="I1351" s="2">
        <f ca="1">IFERROR(__xludf.DUMMYFUNCTION("""COMPUTED_VALUE"""),54.24)</f>
        <v>54.24</v>
      </c>
      <c r="J1351" s="2">
        <f ca="1">IFERROR(__xludf.DUMMYFUNCTION("""COMPUTED_VALUE"""),47.53)</f>
        <v>47.53</v>
      </c>
      <c r="K1351" s="2">
        <f ca="1">IFERROR(__xludf.DUMMYFUNCTION("""COMPUTED_VALUE"""),69.139)</f>
        <v>69.138999999999996</v>
      </c>
      <c r="M1351" s="2">
        <f ca="1">IFERROR(__xludf.DUMMYFUNCTION("""COMPUTED_VALUE"""),16.915)</f>
        <v>16.914999999999999</v>
      </c>
      <c r="U1351" s="3" t="e">
        <f ca="1"/>
        <v>#NAME?</v>
      </c>
    </row>
    <row r="1352" spans="3:21" ht="12.5" x14ac:dyDescent="0.25">
      <c r="C1352" s="4">
        <f ca="1">IFERROR(__xludf.DUMMYFUNCTION("""COMPUTED_VALUE"""),41694.9986111111)</f>
        <v>41694.998611111099</v>
      </c>
      <c r="D1352" s="2">
        <f ca="1">IFERROR(__xludf.DUMMYFUNCTION("""COMPUTED_VALUE"""),62.068)</f>
        <v>62.067999999999998</v>
      </c>
      <c r="E1352" s="2">
        <f ca="1">IFERROR(__xludf.DUMMYFUNCTION("""COMPUTED_VALUE"""),82.258)</f>
        <v>82.257999999999996</v>
      </c>
      <c r="F1352" s="2">
        <f ca="1">IFERROR(__xludf.DUMMYFUNCTION("""COMPUTED_VALUE"""),100.56)</f>
        <v>100.56</v>
      </c>
      <c r="G1352" s="2">
        <f ca="1">IFERROR(__xludf.DUMMYFUNCTION("""COMPUTED_VALUE"""),0.58839)</f>
        <v>0.58838999999999997</v>
      </c>
      <c r="H1352" s="2">
        <f ca="1">IFERROR(__xludf.DUMMYFUNCTION("""COMPUTED_VALUE"""),55.415)</f>
        <v>55.414999999999999</v>
      </c>
      <c r="I1352" s="2">
        <f ca="1">IFERROR(__xludf.DUMMYFUNCTION("""COMPUTED_VALUE"""),54.359)</f>
        <v>54.359000000000002</v>
      </c>
      <c r="J1352" s="2">
        <f ca="1">IFERROR(__xludf.DUMMYFUNCTION("""COMPUTED_VALUE"""),47.68)</f>
        <v>47.68</v>
      </c>
      <c r="K1352" s="2">
        <f ca="1">IFERROR(__xludf.DUMMYFUNCTION("""COMPUTED_VALUE"""),68.95)</f>
        <v>68.95</v>
      </c>
      <c r="M1352" s="2">
        <f ca="1">IFERROR(__xludf.DUMMYFUNCTION("""COMPUTED_VALUE"""),17.067)</f>
        <v>17.067</v>
      </c>
      <c r="U1352" s="3" t="e">
        <f ca="1"/>
        <v>#NAME?</v>
      </c>
    </row>
    <row r="1353" spans="3:21" ht="12.5" x14ac:dyDescent="0.25">
      <c r="C1353" s="4">
        <f ca="1">IFERROR(__xludf.DUMMYFUNCTION("""COMPUTED_VALUE"""),41695.9986111111)</f>
        <v>41695.998611111099</v>
      </c>
      <c r="D1353" s="2">
        <f ca="1">IFERROR(__xludf.DUMMYFUNCTION("""COMPUTED_VALUE"""),61.978)</f>
        <v>61.978000000000002</v>
      </c>
      <c r="E1353" s="2">
        <f ca="1">IFERROR(__xludf.DUMMYFUNCTION("""COMPUTED_VALUE"""),82.343)</f>
        <v>82.343000000000004</v>
      </c>
      <c r="F1353" s="2">
        <f ca="1">IFERROR(__xludf.DUMMYFUNCTION("""COMPUTED_VALUE"""),100.98)</f>
        <v>100.98</v>
      </c>
      <c r="G1353" s="2">
        <f ca="1">IFERROR(__xludf.DUMMYFUNCTION("""COMPUTED_VALUE"""),0.58925)</f>
        <v>0.58925000000000005</v>
      </c>
      <c r="H1353" s="2">
        <f ca="1">IFERROR(__xludf.DUMMYFUNCTION("""COMPUTED_VALUE"""),55.336)</f>
        <v>55.335999999999999</v>
      </c>
      <c r="I1353" s="2">
        <f ca="1">IFERROR(__xludf.DUMMYFUNCTION("""COMPUTED_VALUE"""),54.272)</f>
        <v>54.271999999999998</v>
      </c>
      <c r="J1353" s="2">
        <f ca="1">IFERROR(__xludf.DUMMYFUNCTION("""COMPUTED_VALUE"""),47.607)</f>
        <v>47.606999999999999</v>
      </c>
      <c r="K1353" s="2">
        <f ca="1">IFERROR(__xludf.DUMMYFUNCTION("""COMPUTED_VALUE"""),69.349)</f>
        <v>69.349000000000004</v>
      </c>
      <c r="M1353" s="2">
        <f ca="1">IFERROR(__xludf.DUMMYFUNCTION("""COMPUTED_VALUE"""),17.067)</f>
        <v>17.067</v>
      </c>
      <c r="U1353" s="3" t="e">
        <f ca="1"/>
        <v>#NAME?</v>
      </c>
    </row>
    <row r="1354" spans="3:21" ht="12.5" x14ac:dyDescent="0.25">
      <c r="C1354" s="4">
        <f ca="1">IFERROR(__xludf.DUMMYFUNCTION("""COMPUTED_VALUE"""),41696.9986111111)</f>
        <v>41696.998611111099</v>
      </c>
      <c r="D1354" s="2">
        <f ca="1">IFERROR(__xludf.DUMMYFUNCTION("""COMPUTED_VALUE"""),62.15)</f>
        <v>62.15</v>
      </c>
      <c r="E1354" s="2">
        <f ca="1">IFERROR(__xludf.DUMMYFUNCTION("""COMPUTED_VALUE"""),81.741)</f>
        <v>81.741</v>
      </c>
      <c r="F1354" s="2">
        <f ca="1">IFERROR(__xludf.DUMMYFUNCTION("""COMPUTED_VALUE"""),101)</f>
        <v>101</v>
      </c>
      <c r="G1354" s="2">
        <f ca="1">IFERROR(__xludf.DUMMYFUNCTION("""COMPUTED_VALUE"""),0.58878)</f>
        <v>0.58877999999999997</v>
      </c>
      <c r="H1354" s="2">
        <f ca="1">IFERROR(__xludf.DUMMYFUNCTION("""COMPUTED_VALUE"""),55.744)</f>
        <v>55.744</v>
      </c>
      <c r="I1354" s="2">
        <f ca="1">IFERROR(__xludf.DUMMYFUNCTION("""COMPUTED_VALUE"""),54.699)</f>
        <v>54.698999999999998</v>
      </c>
      <c r="J1354" s="2">
        <f ca="1">IFERROR(__xludf.DUMMYFUNCTION("""COMPUTED_VALUE"""),47.414)</f>
        <v>47.414000000000001</v>
      </c>
      <c r="K1354" s="2">
        <f ca="1">IFERROR(__xludf.DUMMYFUNCTION("""COMPUTED_VALUE"""),69.094)</f>
        <v>69.093999999999994</v>
      </c>
      <c r="M1354" s="2">
        <f ca="1">IFERROR(__xludf.DUMMYFUNCTION("""COMPUTED_VALUE"""),17.079)</f>
        <v>17.079000000000001</v>
      </c>
      <c r="U1354" s="3" t="e">
        <f ca="1"/>
        <v>#NAME?</v>
      </c>
    </row>
    <row r="1355" spans="3:21" ht="12.5" x14ac:dyDescent="0.25">
      <c r="C1355" s="4">
        <f ca="1">IFERROR(__xludf.DUMMYFUNCTION("""COMPUTED_VALUE"""),41697.9986111111)</f>
        <v>41697.998611111099</v>
      </c>
      <c r="D1355" s="2">
        <f ca="1">IFERROR(__xludf.DUMMYFUNCTION("""COMPUTED_VALUE"""),62.02)</f>
        <v>62.02</v>
      </c>
      <c r="E1355" s="2">
        <f ca="1">IFERROR(__xludf.DUMMYFUNCTION("""COMPUTED_VALUE"""),82.536)</f>
        <v>82.536000000000001</v>
      </c>
      <c r="F1355" s="2">
        <f ca="1">IFERROR(__xludf.DUMMYFUNCTION("""COMPUTED_VALUE"""),101.05)</f>
        <v>101.05</v>
      </c>
      <c r="G1355" s="2">
        <f ca="1">IFERROR(__xludf.DUMMYFUNCTION("""COMPUTED_VALUE"""),0.58882)</f>
        <v>0.58882000000000001</v>
      </c>
      <c r="H1355" s="2">
        <f ca="1">IFERROR(__xludf.DUMMYFUNCTION("""COMPUTED_VALUE"""),55.774)</f>
        <v>55.774000000000001</v>
      </c>
      <c r="I1355" s="2">
        <f ca="1">IFERROR(__xludf.DUMMYFUNCTION("""COMPUTED_VALUE"""),54.656)</f>
        <v>54.655999999999999</v>
      </c>
      <c r="J1355" s="2">
        <f ca="1">IFERROR(__xludf.DUMMYFUNCTION("""COMPUTED_VALUE"""),47.8)</f>
        <v>47.8</v>
      </c>
      <c r="K1355" s="2">
        <f ca="1">IFERROR(__xludf.DUMMYFUNCTION("""COMPUTED_VALUE"""),69.175)</f>
        <v>69.174999999999997</v>
      </c>
      <c r="M1355" s="2">
        <f ca="1">IFERROR(__xludf.DUMMYFUNCTION("""COMPUTED_VALUE"""),17.255)</f>
        <v>17.254999999999999</v>
      </c>
      <c r="U1355" s="3" t="e">
        <f ca="1"/>
        <v>#NAME?</v>
      </c>
    </row>
    <row r="1356" spans="3:21" ht="12.5" x14ac:dyDescent="0.25">
      <c r="C1356" s="4">
        <f ca="1">IFERROR(__xludf.DUMMYFUNCTION("""COMPUTED_VALUE"""),41698.9986111111)</f>
        <v>41698.998611111099</v>
      </c>
      <c r="D1356" s="2">
        <f ca="1">IFERROR(__xludf.DUMMYFUNCTION("""COMPUTED_VALUE"""),61.788)</f>
        <v>61.787999999999997</v>
      </c>
      <c r="E1356" s="2">
        <f ca="1">IFERROR(__xludf.DUMMYFUNCTION("""COMPUTED_VALUE"""),82.808)</f>
        <v>82.808000000000007</v>
      </c>
      <c r="F1356" s="2">
        <f ca="1">IFERROR(__xludf.DUMMYFUNCTION("""COMPUTED_VALUE"""),101.11)</f>
        <v>101.11</v>
      </c>
      <c r="G1356" s="2">
        <f ca="1">IFERROR(__xludf.DUMMYFUNCTION("""COMPUTED_VALUE"""),0.58832)</f>
        <v>0.58831999999999995</v>
      </c>
      <c r="H1356" s="2">
        <f ca="1">IFERROR(__xludf.DUMMYFUNCTION("""COMPUTED_VALUE"""),55.837)</f>
        <v>55.837000000000003</v>
      </c>
      <c r="I1356" s="2">
        <f ca="1">IFERROR(__xludf.DUMMYFUNCTION("""COMPUTED_VALUE"""),54.71)</f>
        <v>54.71</v>
      </c>
      <c r="J1356" s="2">
        <f ca="1">IFERROR(__xludf.DUMMYFUNCTION("""COMPUTED_VALUE"""),47.682)</f>
        <v>47.682000000000002</v>
      </c>
      <c r="K1356" s="2">
        <f ca="1">IFERROR(__xludf.DUMMYFUNCTION("""COMPUTED_VALUE"""),69.188)</f>
        <v>69.188000000000002</v>
      </c>
      <c r="M1356" s="2">
        <f ca="1">IFERROR(__xludf.DUMMYFUNCTION("""COMPUTED_VALUE"""),16.983)</f>
        <v>16.983000000000001</v>
      </c>
      <c r="U1356" s="3" t="e">
        <f ca="1"/>
        <v>#NAME?</v>
      </c>
    </row>
    <row r="1357" spans="3:21" ht="12.5" x14ac:dyDescent="0.25">
      <c r="C1357" s="4">
        <f ca="1">IFERROR(__xludf.DUMMYFUNCTION("""COMPUTED_VALUE"""),41699.9986111111)</f>
        <v>41699.998611111099</v>
      </c>
      <c r="D1357" s="2">
        <f ca="1">IFERROR(__xludf.DUMMYFUNCTION("""COMPUTED_VALUE"""),61.788)</f>
        <v>61.787999999999997</v>
      </c>
      <c r="E1357" s="2">
        <f ca="1">IFERROR(__xludf.DUMMYFUNCTION("""COMPUTED_VALUE"""),83.242)</f>
        <v>83.242000000000004</v>
      </c>
      <c r="F1357" s="2">
        <f ca="1">IFERROR(__xludf.DUMMYFUNCTION("""COMPUTED_VALUE"""),101.85)</f>
        <v>101.85</v>
      </c>
      <c r="G1357" s="2">
        <f ca="1">IFERROR(__xludf.DUMMYFUNCTION("""COMPUTED_VALUE"""),0.5886)</f>
        <v>0.58860000000000001</v>
      </c>
      <c r="H1357" s="2">
        <f ca="1">IFERROR(__xludf.DUMMYFUNCTION("""COMPUTED_VALUE"""),55.404)</f>
        <v>55.404000000000003</v>
      </c>
      <c r="I1357" s="2">
        <f ca="1">IFERROR(__xludf.DUMMYFUNCTION("""COMPUTED_VALUE"""),54.346)</f>
        <v>54.345999999999997</v>
      </c>
      <c r="J1357" s="2">
        <f ca="1">IFERROR(__xludf.DUMMYFUNCTION("""COMPUTED_VALUE"""),47.732)</f>
        <v>47.731999999999999</v>
      </c>
      <c r="K1357" s="2">
        <f ca="1">IFERROR(__xludf.DUMMYFUNCTION("""COMPUTED_VALUE"""),69.327)</f>
        <v>69.326999999999998</v>
      </c>
      <c r="M1357" s="2">
        <f ca="1">IFERROR(__xludf.DUMMYFUNCTION("""COMPUTED_VALUE"""),17.007)</f>
        <v>17.007000000000001</v>
      </c>
      <c r="U1357" s="3" t="e">
        <f ca="1"/>
        <v>#NAME?</v>
      </c>
    </row>
    <row r="1358" spans="3:21" ht="12.5" x14ac:dyDescent="0.25">
      <c r="C1358" s="4">
        <f ca="1">IFERROR(__xludf.DUMMYFUNCTION("""COMPUTED_VALUE"""),41700.9986111111)</f>
        <v>41700.998611111099</v>
      </c>
      <c r="D1358" s="2">
        <f ca="1">IFERROR(__xludf.DUMMYFUNCTION("""COMPUTED_VALUE"""),61.82)</f>
        <v>61.82</v>
      </c>
      <c r="E1358" s="2">
        <f ca="1">IFERROR(__xludf.DUMMYFUNCTION("""COMPUTED_VALUE"""),83.735)</f>
        <v>83.734999999999999</v>
      </c>
      <c r="F1358" s="2">
        <f ca="1">IFERROR(__xludf.DUMMYFUNCTION("""COMPUTED_VALUE"""),102.28)</f>
        <v>102.28</v>
      </c>
      <c r="G1358" s="2">
        <f ca="1">IFERROR(__xludf.DUMMYFUNCTION("""COMPUTED_VALUE"""),0.58776)</f>
        <v>0.58775999999999995</v>
      </c>
      <c r="H1358" s="2">
        <f ca="1">IFERROR(__xludf.DUMMYFUNCTION("""COMPUTED_VALUE"""),55.64)</f>
        <v>55.64</v>
      </c>
      <c r="I1358" s="2">
        <f ca="1">IFERROR(__xludf.DUMMYFUNCTION("""COMPUTED_VALUE"""),54.725)</f>
        <v>54.725000000000001</v>
      </c>
      <c r="J1358" s="2">
        <f ca="1">IFERROR(__xludf.DUMMYFUNCTION("""COMPUTED_VALUE"""),47.391)</f>
        <v>47.390999999999998</v>
      </c>
      <c r="K1358" s="2">
        <f ca="1">IFERROR(__xludf.DUMMYFUNCTION("""COMPUTED_VALUE"""),69.307)</f>
        <v>69.307000000000002</v>
      </c>
      <c r="M1358" s="2">
        <f ca="1">IFERROR(__xludf.DUMMYFUNCTION("""COMPUTED_VALUE"""),16.964)</f>
        <v>16.963999999999999</v>
      </c>
      <c r="U1358" s="3" t="e">
        <f ca="1"/>
        <v>#NAME?</v>
      </c>
    </row>
    <row r="1359" spans="3:21" ht="12.5" x14ac:dyDescent="0.25">
      <c r="C1359" s="4">
        <f ca="1">IFERROR(__xludf.DUMMYFUNCTION("""COMPUTED_VALUE"""),41701.9986111111)</f>
        <v>41701.998611111099</v>
      </c>
      <c r="D1359" s="2">
        <f ca="1">IFERROR(__xludf.DUMMYFUNCTION("""COMPUTED_VALUE"""),62.17)</f>
        <v>62.17</v>
      </c>
      <c r="E1359" s="2">
        <f ca="1">IFERROR(__xludf.DUMMYFUNCTION("""COMPUTED_VALUE"""),83.483)</f>
        <v>83.483000000000004</v>
      </c>
      <c r="F1359" s="2">
        <f ca="1">IFERROR(__xludf.DUMMYFUNCTION("""COMPUTED_VALUE"""),102.91)</f>
        <v>102.91</v>
      </c>
      <c r="G1359" s="2">
        <f ca="1">IFERROR(__xludf.DUMMYFUNCTION("""COMPUTED_VALUE"""),0.587)</f>
        <v>0.58699999999999997</v>
      </c>
      <c r="H1359" s="2">
        <f ca="1">IFERROR(__xludf.DUMMYFUNCTION("""COMPUTED_VALUE"""),56.133)</f>
        <v>56.133000000000003</v>
      </c>
      <c r="I1359" s="2">
        <f ca="1">IFERROR(__xludf.DUMMYFUNCTION("""COMPUTED_VALUE"""),54.945)</f>
        <v>54.945</v>
      </c>
      <c r="J1359" s="2">
        <f ca="1">IFERROR(__xludf.DUMMYFUNCTION("""COMPUTED_VALUE"""),47.695)</f>
        <v>47.695</v>
      </c>
      <c r="K1359" s="2">
        <f ca="1">IFERROR(__xludf.DUMMYFUNCTION("""COMPUTED_VALUE"""),69.099)</f>
        <v>69.099000000000004</v>
      </c>
      <c r="M1359" s="2">
        <f ca="1">IFERROR(__xludf.DUMMYFUNCTION("""COMPUTED_VALUE"""),17.065)</f>
        <v>17.065000000000001</v>
      </c>
      <c r="U1359" s="3" t="e">
        <f ca="1"/>
        <v>#NAME?</v>
      </c>
    </row>
    <row r="1360" spans="3:21" ht="12.5" x14ac:dyDescent="0.25">
      <c r="C1360" s="4">
        <f ca="1">IFERROR(__xludf.DUMMYFUNCTION("""COMPUTED_VALUE"""),41702.9986111111)</f>
        <v>41702.998611111099</v>
      </c>
      <c r="D1360" s="2">
        <f ca="1">IFERROR(__xludf.DUMMYFUNCTION("""COMPUTED_VALUE"""),61.6)</f>
        <v>61.6</v>
      </c>
      <c r="E1360" s="2">
        <f ca="1">IFERROR(__xludf.DUMMYFUNCTION("""COMPUTED_VALUE"""),83.55)</f>
        <v>83.55</v>
      </c>
      <c r="F1360" s="2">
        <f ca="1">IFERROR(__xludf.DUMMYFUNCTION("""COMPUTED_VALUE"""),103.25)</f>
        <v>103.25</v>
      </c>
      <c r="G1360" s="2">
        <f ca="1">IFERROR(__xludf.DUMMYFUNCTION("""COMPUTED_VALUE"""),0.58093)</f>
        <v>0.58092999999999995</v>
      </c>
      <c r="H1360" s="2">
        <f ca="1">IFERROR(__xludf.DUMMYFUNCTION("""COMPUTED_VALUE"""),56.348)</f>
        <v>56.347999999999999</v>
      </c>
      <c r="I1360" s="2">
        <f ca="1">IFERROR(__xludf.DUMMYFUNCTION("""COMPUTED_VALUE"""),55.202)</f>
        <v>55.201999999999998</v>
      </c>
      <c r="J1360" s="2">
        <f ca="1">IFERROR(__xludf.DUMMYFUNCTION("""COMPUTED_VALUE"""),47.956)</f>
        <v>47.956000000000003</v>
      </c>
      <c r="K1360" s="2">
        <f ca="1">IFERROR(__xludf.DUMMYFUNCTION("""COMPUTED_VALUE"""),69.595)</f>
        <v>69.594999999999999</v>
      </c>
      <c r="M1360" s="2">
        <f ca="1">IFERROR(__xludf.DUMMYFUNCTION("""COMPUTED_VALUE"""),17.065)</f>
        <v>17.065000000000001</v>
      </c>
      <c r="U1360" s="3" t="e">
        <f ca="1"/>
        <v>#NAME?</v>
      </c>
    </row>
    <row r="1361" spans="3:21" ht="12.5" x14ac:dyDescent="0.25">
      <c r="C1361" s="4">
        <f ca="1">IFERROR(__xludf.DUMMYFUNCTION("""COMPUTED_VALUE"""),41703.9986111111)</f>
        <v>41703.998611111099</v>
      </c>
      <c r="D1361" s="2">
        <f ca="1">IFERROR(__xludf.DUMMYFUNCTION("""COMPUTED_VALUE"""),61.748)</f>
        <v>61.747999999999998</v>
      </c>
      <c r="E1361" s="2">
        <f ca="1">IFERROR(__xludf.DUMMYFUNCTION("""COMPUTED_VALUE"""),83.614)</f>
        <v>83.614000000000004</v>
      </c>
      <c r="F1361" s="2">
        <f ca="1">IFERROR(__xludf.DUMMYFUNCTION("""COMPUTED_VALUE"""),103.33)</f>
        <v>103.33</v>
      </c>
      <c r="G1361" s="2">
        <f ca="1">IFERROR(__xludf.DUMMYFUNCTION("""COMPUTED_VALUE"""),0.58357)</f>
        <v>0.58357000000000003</v>
      </c>
      <c r="H1361" s="2">
        <f ca="1">IFERROR(__xludf.DUMMYFUNCTION("""COMPUTED_VALUE"""),56.766)</f>
        <v>56.765999999999998</v>
      </c>
      <c r="I1361" s="2">
        <f ca="1">IFERROR(__xludf.DUMMYFUNCTION("""COMPUTED_VALUE"""),55.157)</f>
        <v>55.156999999999996</v>
      </c>
      <c r="J1361" s="2">
        <f ca="1">IFERROR(__xludf.DUMMYFUNCTION("""COMPUTED_VALUE"""),48.188)</f>
        <v>48.188000000000002</v>
      </c>
      <c r="K1361" s="2">
        <f ca="1">IFERROR(__xludf.DUMMYFUNCTION("""COMPUTED_VALUE"""),69.208)</f>
        <v>69.207999999999998</v>
      </c>
      <c r="M1361" s="2">
        <f ca="1">IFERROR(__xludf.DUMMYFUNCTION("""COMPUTED_VALUE"""),17.016)</f>
        <v>17.015999999999998</v>
      </c>
      <c r="U1361" s="3" t="e">
        <f ca="1"/>
        <v>#NAME?</v>
      </c>
    </row>
    <row r="1362" spans="3:21" ht="12.5" x14ac:dyDescent="0.25">
      <c r="C1362" s="4">
        <f ca="1">IFERROR(__xludf.DUMMYFUNCTION("""COMPUTED_VALUE"""),41704.9986111111)</f>
        <v>41704.998611111099</v>
      </c>
      <c r="D1362" s="2">
        <f ca="1">IFERROR(__xludf.DUMMYFUNCTION("""COMPUTED_VALUE"""),60.8)</f>
        <v>60.8</v>
      </c>
      <c r="E1362" s="2">
        <f ca="1">IFERROR(__xludf.DUMMYFUNCTION("""COMPUTED_VALUE"""),83.18)</f>
        <v>83.18</v>
      </c>
      <c r="F1362" s="2">
        <f ca="1">IFERROR(__xludf.DUMMYFUNCTION("""COMPUTED_VALUE"""),103.43)</f>
        <v>103.43</v>
      </c>
      <c r="G1362" s="2">
        <f ca="1">IFERROR(__xludf.DUMMYFUNCTION("""COMPUTED_VALUE"""),0.58508)</f>
        <v>0.58508000000000004</v>
      </c>
      <c r="H1362" s="2">
        <f ca="1">IFERROR(__xludf.DUMMYFUNCTION("""COMPUTED_VALUE"""),56.495)</f>
        <v>56.494999999999997</v>
      </c>
      <c r="I1362" s="2">
        <f ca="1">IFERROR(__xludf.DUMMYFUNCTION("""COMPUTED_VALUE"""),54.757)</f>
        <v>54.756999999999998</v>
      </c>
      <c r="J1362" s="2">
        <f ca="1">IFERROR(__xludf.DUMMYFUNCTION("""COMPUTED_VALUE"""),48.25)</f>
        <v>48.25</v>
      </c>
      <c r="K1362" s="2">
        <f ca="1">IFERROR(__xludf.DUMMYFUNCTION("""COMPUTED_VALUE"""),68.858)</f>
        <v>68.858000000000004</v>
      </c>
      <c r="M1362" s="2">
        <f ca="1">IFERROR(__xludf.DUMMYFUNCTION("""COMPUTED_VALUE"""),17.117)</f>
        <v>17.117000000000001</v>
      </c>
      <c r="U1362" s="3" t="e">
        <f ca="1"/>
        <v>#NAME?</v>
      </c>
    </row>
    <row r="1363" spans="3:21" ht="12.5" x14ac:dyDescent="0.25">
      <c r="C1363" s="4">
        <f ca="1">IFERROR(__xludf.DUMMYFUNCTION("""COMPUTED_VALUE"""),41705.9986111111)</f>
        <v>41705.998611111099</v>
      </c>
      <c r="D1363" s="2">
        <f ca="1">IFERROR(__xludf.DUMMYFUNCTION("""COMPUTED_VALUE"""),61.078)</f>
        <v>61.078000000000003</v>
      </c>
      <c r="E1363" s="2">
        <f ca="1">IFERROR(__xludf.DUMMYFUNCTION("""COMPUTED_VALUE"""),83.141)</f>
        <v>83.141000000000005</v>
      </c>
      <c r="F1363" s="2">
        <f ca="1">IFERROR(__xludf.DUMMYFUNCTION("""COMPUTED_VALUE"""),104.48)</f>
        <v>104.48</v>
      </c>
      <c r="G1363" s="2">
        <f ca="1">IFERROR(__xludf.DUMMYFUNCTION("""COMPUTED_VALUE"""),0.5769)</f>
        <v>0.57689999999999997</v>
      </c>
      <c r="H1363" s="2">
        <f ca="1">IFERROR(__xludf.DUMMYFUNCTION("""COMPUTED_VALUE"""),56.532)</f>
        <v>56.531999999999996</v>
      </c>
      <c r="I1363" s="2">
        <f ca="1">IFERROR(__xludf.DUMMYFUNCTION("""COMPUTED_VALUE"""),54.813)</f>
        <v>54.813000000000002</v>
      </c>
      <c r="J1363" s="2">
        <f ca="1">IFERROR(__xludf.DUMMYFUNCTION("""COMPUTED_VALUE"""),48.166)</f>
        <v>48.165999999999997</v>
      </c>
      <c r="K1363" s="2">
        <f ca="1">IFERROR(__xludf.DUMMYFUNCTION("""COMPUTED_VALUE"""),69.805)</f>
        <v>69.805000000000007</v>
      </c>
      <c r="M1363" s="2">
        <f ca="1">IFERROR(__xludf.DUMMYFUNCTION("""COMPUTED_VALUE"""),16.915)</f>
        <v>16.914999999999999</v>
      </c>
      <c r="U1363" s="3" t="e">
        <f ca="1"/>
        <v>#NAME?</v>
      </c>
    </row>
    <row r="1364" spans="3:21" ht="12.5" x14ac:dyDescent="0.25">
      <c r="C1364" s="4">
        <f ca="1">IFERROR(__xludf.DUMMYFUNCTION("""COMPUTED_VALUE"""),41706.9986111111)</f>
        <v>41706.998611111099</v>
      </c>
      <c r="D1364" s="2">
        <f ca="1">IFERROR(__xludf.DUMMYFUNCTION("""COMPUTED_VALUE"""),61.078)</f>
        <v>61.078000000000003</v>
      </c>
      <c r="E1364" s="2">
        <f ca="1">IFERROR(__xludf.DUMMYFUNCTION("""COMPUTED_VALUE"""),83.346)</f>
        <v>83.346000000000004</v>
      </c>
      <c r="F1364" s="2">
        <f ca="1">IFERROR(__xludf.DUMMYFUNCTION("""COMPUTED_VALUE"""),103.58)</f>
        <v>103.58</v>
      </c>
      <c r="G1364" s="2">
        <f ca="1">IFERROR(__xludf.DUMMYFUNCTION("""COMPUTED_VALUE"""),0.57419)</f>
        <v>0.57418999999999998</v>
      </c>
      <c r="H1364" s="2">
        <f ca="1">IFERROR(__xludf.DUMMYFUNCTION("""COMPUTED_VALUE"""),56.676)</f>
        <v>56.676000000000002</v>
      </c>
      <c r="I1364" s="2">
        <f ca="1">IFERROR(__xludf.DUMMYFUNCTION("""COMPUTED_VALUE"""),54.967)</f>
        <v>54.966999999999999</v>
      </c>
      <c r="J1364" s="2">
        <f ca="1">IFERROR(__xludf.DUMMYFUNCTION("""COMPUTED_VALUE"""),48.2)</f>
        <v>48.2</v>
      </c>
      <c r="K1364" s="2">
        <f ca="1">IFERROR(__xludf.DUMMYFUNCTION("""COMPUTED_VALUE"""),69.297)</f>
        <v>69.296999999999997</v>
      </c>
      <c r="M1364" s="2">
        <f ca="1">IFERROR(__xludf.DUMMYFUNCTION("""COMPUTED_VALUE"""),16.943)</f>
        <v>16.943000000000001</v>
      </c>
      <c r="U1364" s="3" t="e">
        <f ca="1"/>
        <v>#NAME?</v>
      </c>
    </row>
    <row r="1365" spans="3:21" ht="12.5" x14ac:dyDescent="0.25">
      <c r="C1365" s="4">
        <f ca="1">IFERROR(__xludf.DUMMYFUNCTION("""COMPUTED_VALUE"""),41707.9986111111)</f>
        <v>41707.998611111099</v>
      </c>
      <c r="D1365" s="2">
        <f ca="1">IFERROR(__xludf.DUMMYFUNCTION("""COMPUTED_VALUE"""),61.23)</f>
        <v>61.23</v>
      </c>
      <c r="E1365" s="2">
        <f ca="1">IFERROR(__xludf.DUMMYFUNCTION("""COMPUTED_VALUE"""),83.221)</f>
        <v>83.221000000000004</v>
      </c>
      <c r="F1365" s="2">
        <f ca="1">IFERROR(__xludf.DUMMYFUNCTION("""COMPUTED_VALUE"""),103.35)</f>
        <v>103.35</v>
      </c>
      <c r="G1365" s="2">
        <f ca="1">IFERROR(__xludf.DUMMYFUNCTION("""COMPUTED_VALUE"""),0.5767)</f>
        <v>0.57669999999999999</v>
      </c>
      <c r="H1365" s="2">
        <f ca="1">IFERROR(__xludf.DUMMYFUNCTION("""COMPUTED_VALUE"""),56.701)</f>
        <v>56.701000000000001</v>
      </c>
      <c r="I1365" s="2">
        <f ca="1">IFERROR(__xludf.DUMMYFUNCTION("""COMPUTED_VALUE"""),54.902)</f>
        <v>54.902000000000001</v>
      </c>
      <c r="J1365" s="2">
        <f ca="1">IFERROR(__xludf.DUMMYFUNCTION("""COMPUTED_VALUE"""),48.357)</f>
        <v>48.356999999999999</v>
      </c>
      <c r="K1365" s="2">
        <f ca="1">IFERROR(__xludf.DUMMYFUNCTION("""COMPUTED_VALUE"""),69.221)</f>
        <v>69.221000000000004</v>
      </c>
      <c r="M1365" s="2">
        <f ca="1">IFERROR(__xludf.DUMMYFUNCTION("""COMPUTED_VALUE"""),16.943)</f>
        <v>16.943000000000001</v>
      </c>
      <c r="U1365" s="3" t="e">
        <f ca="1"/>
        <v>#NAME?</v>
      </c>
    </row>
    <row r="1366" spans="3:21" ht="12.5" x14ac:dyDescent="0.25">
      <c r="C1366" s="4">
        <f ca="1">IFERROR(__xludf.DUMMYFUNCTION("""COMPUTED_VALUE"""),41708.9986111111)</f>
        <v>41708.998611111099</v>
      </c>
      <c r="D1366" s="2">
        <f ca="1">IFERROR(__xludf.DUMMYFUNCTION("""COMPUTED_VALUE"""),60.81)</f>
        <v>60.81</v>
      </c>
      <c r="E1366" s="2">
        <f ca="1">IFERROR(__xludf.DUMMYFUNCTION("""COMPUTED_VALUE"""),83.221)</f>
        <v>83.221000000000004</v>
      </c>
      <c r="F1366" s="2">
        <f ca="1">IFERROR(__xludf.DUMMYFUNCTION("""COMPUTED_VALUE"""),103.12)</f>
        <v>103.12</v>
      </c>
      <c r="G1366" s="2">
        <f ca="1">IFERROR(__xludf.DUMMYFUNCTION("""COMPUTED_VALUE"""),0.57468)</f>
        <v>0.57467999999999997</v>
      </c>
      <c r="H1366" s="2">
        <f ca="1">IFERROR(__xludf.DUMMYFUNCTION("""COMPUTED_VALUE"""),56.279)</f>
        <v>56.279000000000003</v>
      </c>
      <c r="I1366" s="2">
        <f ca="1">IFERROR(__xludf.DUMMYFUNCTION("""COMPUTED_VALUE"""),54.797)</f>
        <v>54.796999999999997</v>
      </c>
      <c r="J1366" s="2">
        <f ca="1">IFERROR(__xludf.DUMMYFUNCTION("""COMPUTED_VALUE"""),48.034)</f>
        <v>48.033999999999999</v>
      </c>
      <c r="K1366" s="2">
        <f ca="1">IFERROR(__xludf.DUMMYFUNCTION("""COMPUTED_VALUE"""),69.324)</f>
        <v>69.323999999999998</v>
      </c>
      <c r="M1366" s="2">
        <f ca="1">IFERROR(__xludf.DUMMYFUNCTION("""COMPUTED_VALUE"""),16.961)</f>
        <v>16.960999999999999</v>
      </c>
      <c r="U1366" s="3" t="e">
        <f ca="1"/>
        <v>#NAME?</v>
      </c>
    </row>
    <row r="1367" spans="3:21" ht="12.5" x14ac:dyDescent="0.25">
      <c r="C1367" s="4">
        <f ca="1">IFERROR(__xludf.DUMMYFUNCTION("""COMPUTED_VALUE"""),41709.9986111111)</f>
        <v>41709.998611111099</v>
      </c>
      <c r="D1367" s="2">
        <f ca="1">IFERROR(__xludf.DUMMYFUNCTION("""COMPUTED_VALUE"""),61.04)</f>
        <v>61.04</v>
      </c>
      <c r="E1367" s="2">
        <f ca="1">IFERROR(__xludf.DUMMYFUNCTION("""COMPUTED_VALUE"""),83.288)</f>
        <v>83.287999999999997</v>
      </c>
      <c r="F1367" s="2">
        <f ca="1">IFERROR(__xludf.DUMMYFUNCTION("""COMPUTED_VALUE"""),103.04)</f>
        <v>103.04</v>
      </c>
      <c r="G1367" s="2">
        <f ca="1">IFERROR(__xludf.DUMMYFUNCTION("""COMPUTED_VALUE"""),0.57765)</f>
        <v>0.57765</v>
      </c>
      <c r="H1367" s="2">
        <f ca="1">IFERROR(__xludf.DUMMYFUNCTION("""COMPUTED_VALUE"""),56.509)</f>
        <v>56.509</v>
      </c>
      <c r="I1367" s="2">
        <f ca="1">IFERROR(__xludf.DUMMYFUNCTION("""COMPUTED_VALUE"""),54.768)</f>
        <v>54.768000000000001</v>
      </c>
      <c r="J1367" s="2">
        <f ca="1">IFERROR(__xludf.DUMMYFUNCTION("""COMPUTED_VALUE"""),48.007)</f>
        <v>48.006999999999998</v>
      </c>
      <c r="K1367" s="2">
        <f ca="1">IFERROR(__xludf.DUMMYFUNCTION("""COMPUTED_VALUE"""),69.27)</f>
        <v>69.27</v>
      </c>
      <c r="M1367" s="2">
        <f ca="1">IFERROR(__xludf.DUMMYFUNCTION("""COMPUTED_VALUE"""),16.961)</f>
        <v>16.960999999999999</v>
      </c>
      <c r="U1367" s="3" t="e">
        <f ca="1"/>
        <v>#NAME?</v>
      </c>
    </row>
    <row r="1368" spans="3:21" ht="12.5" x14ac:dyDescent="0.25">
      <c r="C1368" s="4">
        <f ca="1">IFERROR(__xludf.DUMMYFUNCTION("""COMPUTED_VALUE"""),41710.9986111111)</f>
        <v>41710.998611111099</v>
      </c>
      <c r="D1368" s="2">
        <f ca="1">IFERROR(__xludf.DUMMYFUNCTION("""COMPUTED_VALUE"""),60.77)</f>
        <v>60.77</v>
      </c>
      <c r="E1368" s="2">
        <f ca="1">IFERROR(__xludf.DUMMYFUNCTION("""COMPUTED_VALUE"""),83.097)</f>
        <v>83.096999999999994</v>
      </c>
      <c r="F1368" s="2">
        <f ca="1">IFERROR(__xludf.DUMMYFUNCTION("""COMPUTED_VALUE"""),103.02)</f>
        <v>103.02</v>
      </c>
      <c r="G1368" s="2">
        <f ca="1">IFERROR(__xludf.DUMMYFUNCTION("""COMPUTED_VALUE"""),0.57798)</f>
        <v>0.57798000000000005</v>
      </c>
      <c r="H1368" s="2">
        <f ca="1">IFERROR(__xludf.DUMMYFUNCTION("""COMPUTED_VALUE"""),56.179)</f>
        <v>56.179000000000002</v>
      </c>
      <c r="I1368" s="2">
        <f ca="1">IFERROR(__xludf.DUMMYFUNCTION("""COMPUTED_VALUE"""),54.725)</f>
        <v>54.725000000000001</v>
      </c>
      <c r="J1368" s="2">
        <f ca="1">IFERROR(__xludf.DUMMYFUNCTION("""COMPUTED_VALUE"""),48.224)</f>
        <v>48.223999999999997</v>
      </c>
      <c r="K1368" s="2">
        <f ca="1">IFERROR(__xludf.DUMMYFUNCTION("""COMPUTED_VALUE"""),69.963)</f>
        <v>69.962999999999994</v>
      </c>
      <c r="M1368" s="2">
        <f ca="1">IFERROR(__xludf.DUMMYFUNCTION("""COMPUTED_VALUE"""),16.904)</f>
        <v>16.904</v>
      </c>
      <c r="U1368" s="3" t="e">
        <f ca="1"/>
        <v>#NAME?</v>
      </c>
    </row>
    <row r="1369" spans="3:21" ht="12.5" x14ac:dyDescent="0.25">
      <c r="C1369" s="4">
        <f ca="1">IFERROR(__xludf.DUMMYFUNCTION("""COMPUTED_VALUE"""),41711.9986111111)</f>
        <v>41711.998611111099</v>
      </c>
      <c r="D1369" s="2">
        <f ca="1">IFERROR(__xludf.DUMMYFUNCTION("""COMPUTED_VALUE"""),61.46)</f>
        <v>61.46</v>
      </c>
      <c r="E1369" s="2">
        <f ca="1">IFERROR(__xludf.DUMMYFUNCTION("""COMPUTED_VALUE"""),83.221)</f>
        <v>83.221000000000004</v>
      </c>
      <c r="F1369" s="2">
        <f ca="1">IFERROR(__xludf.DUMMYFUNCTION("""COMPUTED_VALUE"""),102.69)</f>
        <v>102.69</v>
      </c>
      <c r="G1369" s="2">
        <f ca="1">IFERROR(__xludf.DUMMYFUNCTION("""COMPUTED_VALUE"""),0.57215)</f>
        <v>0.57215000000000005</v>
      </c>
      <c r="H1369" s="2">
        <f ca="1">IFERROR(__xludf.DUMMYFUNCTION("""COMPUTED_VALUE"""),56.203)</f>
        <v>56.203000000000003</v>
      </c>
      <c r="I1369" s="2">
        <f ca="1">IFERROR(__xludf.DUMMYFUNCTION("""COMPUTED_VALUE"""),54.646)</f>
        <v>54.646000000000001</v>
      </c>
      <c r="J1369" s="2">
        <f ca="1">IFERROR(__xludf.DUMMYFUNCTION("""COMPUTED_VALUE"""),48.087)</f>
        <v>48.087000000000003</v>
      </c>
      <c r="K1369" s="2">
        <f ca="1">IFERROR(__xludf.DUMMYFUNCTION("""COMPUTED_VALUE"""),69.96)</f>
        <v>69.959999999999994</v>
      </c>
      <c r="M1369" s="2">
        <f ca="1">IFERROR(__xludf.DUMMYFUNCTION("""COMPUTED_VALUE"""),17.002)</f>
        <v>17.001999999999999</v>
      </c>
      <c r="U1369" s="3" t="e">
        <f ca="1"/>
        <v>#NAME?</v>
      </c>
    </row>
    <row r="1370" spans="3:21" ht="12.5" x14ac:dyDescent="0.25">
      <c r="C1370" s="4">
        <f ca="1">IFERROR(__xludf.DUMMYFUNCTION("""COMPUTED_VALUE"""),41712.9986111111)</f>
        <v>41712.998611111099</v>
      </c>
      <c r="D1370" s="2">
        <f ca="1">IFERROR(__xludf.DUMMYFUNCTION("""COMPUTED_VALUE"""),61.198)</f>
        <v>61.198</v>
      </c>
      <c r="E1370" s="2">
        <f ca="1">IFERROR(__xludf.DUMMYFUNCTION("""COMPUTED_VALUE"""),83.818)</f>
        <v>83.817999999999998</v>
      </c>
      <c r="F1370" s="2">
        <f ca="1">IFERROR(__xludf.DUMMYFUNCTION("""COMPUTED_VALUE"""),101.94)</f>
        <v>101.94</v>
      </c>
      <c r="G1370" s="2">
        <f ca="1">IFERROR(__xludf.DUMMYFUNCTION("""COMPUTED_VALUE"""),0.57358)</f>
        <v>0.57357999999999998</v>
      </c>
      <c r="H1370" s="2">
        <f ca="1">IFERROR(__xludf.DUMMYFUNCTION("""COMPUTED_VALUE"""),56.241)</f>
        <v>56.241</v>
      </c>
      <c r="I1370" s="2">
        <f ca="1">IFERROR(__xludf.DUMMYFUNCTION("""COMPUTED_VALUE"""),54.689)</f>
        <v>54.689</v>
      </c>
      <c r="J1370" s="2">
        <f ca="1">IFERROR(__xludf.DUMMYFUNCTION("""COMPUTED_VALUE"""),48.087)</f>
        <v>48.087000000000003</v>
      </c>
      <c r="K1370" s="2">
        <f ca="1">IFERROR(__xludf.DUMMYFUNCTION("""COMPUTED_VALUE"""),69.904)</f>
        <v>69.903999999999996</v>
      </c>
      <c r="M1370" s="2">
        <f ca="1">IFERROR(__xludf.DUMMYFUNCTION("""COMPUTED_VALUE"""),16.888)</f>
        <v>16.888000000000002</v>
      </c>
      <c r="U1370" s="3" t="e">
        <f ca="1"/>
        <v>#NAME?</v>
      </c>
    </row>
    <row r="1371" spans="3:21" ht="12.5" x14ac:dyDescent="0.25">
      <c r="C1371" s="4">
        <f ca="1">IFERROR(__xludf.DUMMYFUNCTION("""COMPUTED_VALUE"""),41713.9986111111)</f>
        <v>41713.998611111099</v>
      </c>
      <c r="D1371" s="2">
        <f ca="1">IFERROR(__xludf.DUMMYFUNCTION("""COMPUTED_VALUE"""),61.198)</f>
        <v>61.198</v>
      </c>
      <c r="E1371" s="2">
        <f ca="1">IFERROR(__xludf.DUMMYFUNCTION("""COMPUTED_VALUE"""),84.341)</f>
        <v>84.340999999999994</v>
      </c>
      <c r="F1371" s="2">
        <f ca="1">IFERROR(__xludf.DUMMYFUNCTION("""COMPUTED_VALUE"""),101.99)</f>
        <v>101.99</v>
      </c>
      <c r="G1371" s="2">
        <f ca="1">IFERROR(__xludf.DUMMYFUNCTION("""COMPUTED_VALUE"""),0.57295)</f>
        <v>0.57294999999999996</v>
      </c>
      <c r="H1371" s="2">
        <f ca="1">IFERROR(__xludf.DUMMYFUNCTION("""COMPUTED_VALUE"""),56.157)</f>
        <v>56.156999999999996</v>
      </c>
      <c r="I1371" s="2">
        <f ca="1">IFERROR(__xludf.DUMMYFUNCTION("""COMPUTED_VALUE"""),54.564)</f>
        <v>54.564</v>
      </c>
      <c r="J1371" s="2">
        <f ca="1">IFERROR(__xludf.DUMMYFUNCTION("""COMPUTED_VALUE"""),48.13)</f>
        <v>48.13</v>
      </c>
      <c r="K1371" s="2">
        <f ca="1">IFERROR(__xludf.DUMMYFUNCTION("""COMPUTED_VALUE"""),69.982)</f>
        <v>69.981999999999999</v>
      </c>
      <c r="M1371" s="2">
        <f ca="1">IFERROR(__xludf.DUMMYFUNCTION("""COMPUTED_VALUE"""),16.792)</f>
        <v>16.792000000000002</v>
      </c>
      <c r="U1371" s="3" t="e">
        <f ca="1"/>
        <v>#NAME?</v>
      </c>
    </row>
    <row r="1372" spans="3:21" ht="12.5" x14ac:dyDescent="0.25">
      <c r="C1372" s="4">
        <f ca="1">IFERROR(__xludf.DUMMYFUNCTION("""COMPUTED_VALUE"""),41714.9986111111)</f>
        <v>41714.998611111099</v>
      </c>
      <c r="D1372" s="2">
        <f ca="1">IFERROR(__xludf.DUMMYFUNCTION("""COMPUTED_VALUE"""),60.98)</f>
        <v>60.98</v>
      </c>
      <c r="E1372" s="2">
        <f ca="1">IFERROR(__xludf.DUMMYFUNCTION("""COMPUTED_VALUE"""),84.441)</f>
        <v>84.441000000000003</v>
      </c>
      <c r="F1372" s="2">
        <f ca="1">IFERROR(__xludf.DUMMYFUNCTION("""COMPUTED_VALUE"""),102.09)</f>
        <v>102.09</v>
      </c>
      <c r="G1372" s="2">
        <f ca="1">IFERROR(__xludf.DUMMYFUNCTION("""COMPUTED_VALUE"""),0.57541)</f>
        <v>0.57540999999999998</v>
      </c>
      <c r="H1372" s="2">
        <f ca="1">IFERROR(__xludf.DUMMYFUNCTION("""COMPUTED_VALUE"""),56.274)</f>
        <v>56.274000000000001</v>
      </c>
      <c r="I1372" s="2">
        <f ca="1">IFERROR(__xludf.DUMMYFUNCTION("""COMPUTED_VALUE"""),54.784)</f>
        <v>54.783999999999999</v>
      </c>
      <c r="J1372" s="2">
        <f ca="1">IFERROR(__xludf.DUMMYFUNCTION("""COMPUTED_VALUE"""),48.032)</f>
        <v>48.031999999999996</v>
      </c>
      <c r="K1372" s="2">
        <f ca="1">IFERROR(__xludf.DUMMYFUNCTION("""COMPUTED_VALUE"""),69.981)</f>
        <v>69.980999999999995</v>
      </c>
      <c r="M1372" s="2">
        <f ca="1">IFERROR(__xludf.DUMMYFUNCTION("""COMPUTED_VALUE"""),16.921)</f>
        <v>16.920999999999999</v>
      </c>
      <c r="U1372" s="3" t="e">
        <f ca="1"/>
        <v>#NAME?</v>
      </c>
    </row>
    <row r="1373" spans="3:21" ht="12.5" x14ac:dyDescent="0.25">
      <c r="C1373" s="4">
        <f ca="1">IFERROR(__xludf.DUMMYFUNCTION("""COMPUTED_VALUE"""),41715.9986111111)</f>
        <v>41715.998611111099</v>
      </c>
      <c r="D1373" s="2">
        <f ca="1">IFERROR(__xludf.DUMMYFUNCTION("""COMPUTED_VALUE"""),61.04)</f>
        <v>61.04</v>
      </c>
      <c r="E1373" s="2">
        <f ca="1">IFERROR(__xludf.DUMMYFUNCTION("""COMPUTED_VALUE"""),83.807)</f>
        <v>83.807000000000002</v>
      </c>
      <c r="F1373" s="2">
        <f ca="1">IFERROR(__xludf.DUMMYFUNCTION("""COMPUTED_VALUE"""),101.72)</f>
        <v>101.72</v>
      </c>
      <c r="G1373" s="2">
        <f ca="1">IFERROR(__xludf.DUMMYFUNCTION("""COMPUTED_VALUE"""),0.57838)</f>
        <v>0.57838000000000001</v>
      </c>
      <c r="H1373" s="2">
        <f ca="1">IFERROR(__xludf.DUMMYFUNCTION("""COMPUTED_VALUE"""),56.842)</f>
        <v>56.841999999999999</v>
      </c>
      <c r="I1373" s="2">
        <f ca="1">IFERROR(__xludf.DUMMYFUNCTION("""COMPUTED_VALUE"""),55.048)</f>
        <v>55.048000000000002</v>
      </c>
      <c r="J1373" s="2">
        <f ca="1">IFERROR(__xludf.DUMMYFUNCTION("""COMPUTED_VALUE"""),48.087)</f>
        <v>48.087000000000003</v>
      </c>
      <c r="K1373" s="2">
        <f ca="1">IFERROR(__xludf.DUMMYFUNCTION("""COMPUTED_VALUE"""),69.883)</f>
        <v>69.882999999999996</v>
      </c>
      <c r="M1373" s="2">
        <f ca="1">IFERROR(__xludf.DUMMYFUNCTION("""COMPUTED_VALUE"""),16.839)</f>
        <v>16.838999999999999</v>
      </c>
      <c r="U1373" s="3" t="e">
        <f ca="1"/>
        <v>#NAME?</v>
      </c>
    </row>
    <row r="1374" spans="3:21" ht="12.5" x14ac:dyDescent="0.25">
      <c r="C1374" s="4">
        <f ca="1">IFERROR(__xludf.DUMMYFUNCTION("""COMPUTED_VALUE"""),41716.9986111111)</f>
        <v>41716.998611111099</v>
      </c>
      <c r="D1374" s="2">
        <f ca="1">IFERROR(__xludf.DUMMYFUNCTION("""COMPUTED_VALUE"""),61.108)</f>
        <v>61.107999999999997</v>
      </c>
      <c r="E1374" s="2">
        <f ca="1">IFERROR(__xludf.DUMMYFUNCTION("""COMPUTED_VALUE"""),83.92)</f>
        <v>83.92</v>
      </c>
      <c r="F1374" s="2">
        <f ca="1">IFERROR(__xludf.DUMMYFUNCTION("""COMPUTED_VALUE"""),102.12)</f>
        <v>102.12</v>
      </c>
      <c r="G1374" s="2">
        <f ca="1">IFERROR(__xludf.DUMMYFUNCTION("""COMPUTED_VALUE"""),0.57785)</f>
        <v>0.57784999999999997</v>
      </c>
      <c r="H1374" s="2">
        <f ca="1">IFERROR(__xludf.DUMMYFUNCTION("""COMPUTED_VALUE"""),56.679)</f>
        <v>56.679000000000002</v>
      </c>
      <c r="I1374" s="2">
        <f ca="1">IFERROR(__xludf.DUMMYFUNCTION("""COMPUTED_VALUE"""),55.324)</f>
        <v>55.323999999999998</v>
      </c>
      <c r="J1374" s="2">
        <f ca="1">IFERROR(__xludf.DUMMYFUNCTION("""COMPUTED_VALUE"""),48.344)</f>
        <v>48.344000000000001</v>
      </c>
      <c r="K1374" s="2">
        <f ca="1">IFERROR(__xludf.DUMMYFUNCTION("""COMPUTED_VALUE"""),69.768)</f>
        <v>69.768000000000001</v>
      </c>
      <c r="M1374" s="2">
        <f ca="1">IFERROR(__xludf.DUMMYFUNCTION("""COMPUTED_VALUE"""),16.839)</f>
        <v>16.838999999999999</v>
      </c>
      <c r="U1374" s="3" t="e">
        <f ca="1"/>
        <v>#NAME?</v>
      </c>
    </row>
    <row r="1375" spans="3:21" ht="12.5" x14ac:dyDescent="0.25">
      <c r="C1375" s="4">
        <f ca="1">IFERROR(__xludf.DUMMYFUNCTION("""COMPUTED_VALUE"""),41717.9986111111)</f>
        <v>41717.998611111099</v>
      </c>
      <c r="D1375" s="2">
        <f ca="1">IFERROR(__xludf.DUMMYFUNCTION("""COMPUTED_VALUE"""),60.95)</f>
        <v>60.95</v>
      </c>
      <c r="E1375" s="2">
        <f ca="1">IFERROR(__xludf.DUMMYFUNCTION("""COMPUTED_VALUE"""),83.945)</f>
        <v>83.944999999999993</v>
      </c>
      <c r="F1375" s="2">
        <f ca="1">IFERROR(__xludf.DUMMYFUNCTION("""COMPUTED_VALUE"""),102.19)</f>
        <v>102.19</v>
      </c>
      <c r="G1375" s="2">
        <f ca="1">IFERROR(__xludf.DUMMYFUNCTION("""COMPUTED_VALUE"""),0.5785)</f>
        <v>0.57850000000000001</v>
      </c>
      <c r="H1375" s="2">
        <f ca="1">IFERROR(__xludf.DUMMYFUNCTION("""COMPUTED_VALUE"""),56.569)</f>
        <v>56.569000000000003</v>
      </c>
      <c r="I1375" s="2">
        <f ca="1">IFERROR(__xludf.DUMMYFUNCTION("""COMPUTED_VALUE"""),55.364)</f>
        <v>55.363999999999997</v>
      </c>
      <c r="J1375" s="2">
        <f ca="1">IFERROR(__xludf.DUMMYFUNCTION("""COMPUTED_VALUE"""),48.615)</f>
        <v>48.615000000000002</v>
      </c>
      <c r="K1375" s="2">
        <f ca="1">IFERROR(__xludf.DUMMYFUNCTION("""COMPUTED_VALUE"""),69.818)</f>
        <v>69.817999999999998</v>
      </c>
      <c r="M1375" s="2">
        <f ca="1">IFERROR(__xludf.DUMMYFUNCTION("""COMPUTED_VALUE"""),16.834)</f>
        <v>16.834</v>
      </c>
      <c r="U1375" s="3" t="e">
        <f ca="1"/>
        <v>#NAME?</v>
      </c>
    </row>
    <row r="1376" spans="3:21" ht="12.5" x14ac:dyDescent="0.25">
      <c r="C1376" s="4">
        <f ca="1">IFERROR(__xludf.DUMMYFUNCTION("""COMPUTED_VALUE"""),41718.9986111111)</f>
        <v>41718.998611111099</v>
      </c>
      <c r="D1376" s="2">
        <f ca="1">IFERROR(__xludf.DUMMYFUNCTION("""COMPUTED_VALUE"""),61.333)</f>
        <v>61.332999999999998</v>
      </c>
      <c r="E1376" s="2">
        <f ca="1">IFERROR(__xludf.DUMMYFUNCTION("""COMPUTED_VALUE"""),83.358)</f>
        <v>83.358000000000004</v>
      </c>
      <c r="F1376" s="2">
        <f ca="1">IFERROR(__xludf.DUMMYFUNCTION("""COMPUTED_VALUE"""),101.89)</f>
        <v>101.89</v>
      </c>
      <c r="G1376" s="2">
        <f ca="1">IFERROR(__xludf.DUMMYFUNCTION("""COMPUTED_VALUE"""),0.58107)</f>
        <v>0.58106999999999998</v>
      </c>
      <c r="H1376" s="2">
        <f ca="1">IFERROR(__xludf.DUMMYFUNCTION("""COMPUTED_VALUE"""),56.195)</f>
        <v>56.195</v>
      </c>
      <c r="I1376" s="2">
        <f ca="1">IFERROR(__xludf.DUMMYFUNCTION("""COMPUTED_VALUE"""),54.876)</f>
        <v>54.875999999999998</v>
      </c>
      <c r="J1376" s="2">
        <f ca="1">IFERROR(__xludf.DUMMYFUNCTION("""COMPUTED_VALUE"""),48.524)</f>
        <v>48.524000000000001</v>
      </c>
      <c r="K1376" s="2">
        <f ca="1">IFERROR(__xludf.DUMMYFUNCTION("""COMPUTED_VALUE"""),69.533)</f>
        <v>69.533000000000001</v>
      </c>
      <c r="M1376" s="2">
        <f ca="1">IFERROR(__xludf.DUMMYFUNCTION("""COMPUTED_VALUE"""),16.822)</f>
        <v>16.821999999999999</v>
      </c>
      <c r="U1376" s="3" t="e">
        <f ca="1"/>
        <v>#NAME?</v>
      </c>
    </row>
    <row r="1377" spans="3:21" ht="12.5" x14ac:dyDescent="0.25">
      <c r="C1377" s="4">
        <f ca="1">IFERROR(__xludf.DUMMYFUNCTION("""COMPUTED_VALUE"""),41719.9986111111)</f>
        <v>41719.998611111099</v>
      </c>
      <c r="D1377" s="2">
        <f ca="1">IFERROR(__xludf.DUMMYFUNCTION("""COMPUTED_VALUE"""),60.893)</f>
        <v>60.893000000000001</v>
      </c>
      <c r="E1377" s="2">
        <f ca="1">IFERROR(__xludf.DUMMYFUNCTION("""COMPUTED_VALUE"""),83.6)</f>
        <v>83.6</v>
      </c>
      <c r="F1377" s="2">
        <f ca="1">IFERROR(__xludf.DUMMYFUNCTION("""COMPUTED_VALUE"""),102.38)</f>
        <v>102.38</v>
      </c>
      <c r="G1377" s="2">
        <f ca="1">IFERROR(__xludf.DUMMYFUNCTION("""COMPUTED_VALUE"""),0.57717)</f>
        <v>0.57716999999999996</v>
      </c>
      <c r="H1377" s="2">
        <f ca="1">IFERROR(__xludf.DUMMYFUNCTION("""COMPUTED_VALUE"""),56.225)</f>
        <v>56.225000000000001</v>
      </c>
      <c r="I1377" s="2">
        <f ca="1">IFERROR(__xludf.DUMMYFUNCTION("""COMPUTED_VALUE"""),54.938)</f>
        <v>54.938000000000002</v>
      </c>
      <c r="J1377" s="2">
        <f ca="1">IFERROR(__xludf.DUMMYFUNCTION("""COMPUTED_VALUE"""),48.213)</f>
        <v>48.213000000000001</v>
      </c>
      <c r="K1377" s="2">
        <f ca="1">IFERROR(__xludf.DUMMYFUNCTION("""COMPUTED_VALUE"""),69.722)</f>
        <v>69.721999999999994</v>
      </c>
      <c r="M1377" s="2">
        <f ca="1">IFERROR(__xludf.DUMMYFUNCTION("""COMPUTED_VALUE"""),16.937)</f>
        <v>16.937000000000001</v>
      </c>
      <c r="U1377" s="3" t="e">
        <f ca="1"/>
        <v>#NAME?</v>
      </c>
    </row>
    <row r="1378" spans="3:21" ht="12.5" x14ac:dyDescent="0.25">
      <c r="C1378" s="4">
        <f ca="1">IFERROR(__xludf.DUMMYFUNCTION("""COMPUTED_VALUE"""),41720.9986111111)</f>
        <v>41720.998611111099</v>
      </c>
      <c r="D1378" s="2">
        <f ca="1">IFERROR(__xludf.DUMMYFUNCTION("""COMPUTED_VALUE"""),60.893)</f>
        <v>60.893000000000001</v>
      </c>
      <c r="E1378" s="2">
        <f ca="1">IFERROR(__xludf.DUMMYFUNCTION("""COMPUTED_VALUE"""),83.515)</f>
        <v>83.515000000000001</v>
      </c>
      <c r="F1378" s="2">
        <f ca="1">IFERROR(__xludf.DUMMYFUNCTION("""COMPUTED_VALUE"""),102.24)</f>
        <v>102.24</v>
      </c>
      <c r="G1378" s="2">
        <f ca="1">IFERROR(__xludf.DUMMYFUNCTION("""COMPUTED_VALUE"""),0.57819)</f>
        <v>0.57818999999999998</v>
      </c>
      <c r="H1378" s="2">
        <f ca="1">IFERROR(__xludf.DUMMYFUNCTION("""COMPUTED_VALUE"""),56.088)</f>
        <v>56.088000000000001</v>
      </c>
      <c r="I1378" s="2">
        <f ca="1">IFERROR(__xludf.DUMMYFUNCTION("""COMPUTED_VALUE"""),54.96)</f>
        <v>54.96</v>
      </c>
      <c r="J1378" s="2">
        <f ca="1">IFERROR(__xludf.DUMMYFUNCTION("""COMPUTED_VALUE"""),48.268)</f>
        <v>48.268000000000001</v>
      </c>
      <c r="K1378" s="2">
        <f ca="1">IFERROR(__xludf.DUMMYFUNCTION("""COMPUTED_VALUE"""),70.172)</f>
        <v>70.171999999999997</v>
      </c>
      <c r="M1378" s="2">
        <f ca="1">IFERROR(__xludf.DUMMYFUNCTION("""COMPUTED_VALUE"""),16.951)</f>
        <v>16.951000000000001</v>
      </c>
      <c r="U1378" s="3" t="e">
        <f ca="1"/>
        <v>#NAME?</v>
      </c>
    </row>
    <row r="1379" spans="3:21" ht="12.5" x14ac:dyDescent="0.25">
      <c r="C1379" s="4">
        <f ca="1">IFERROR(__xludf.DUMMYFUNCTION("""COMPUTED_VALUE"""),41721.9986111111)</f>
        <v>41721.998611111099</v>
      </c>
      <c r="D1379" s="2">
        <f ca="1">IFERROR(__xludf.DUMMYFUNCTION("""COMPUTED_VALUE"""),61.02)</f>
        <v>61.02</v>
      </c>
      <c r="E1379" s="2">
        <f ca="1">IFERROR(__xludf.DUMMYFUNCTION("""COMPUTED_VALUE"""),83.418)</f>
        <v>83.418000000000006</v>
      </c>
      <c r="F1379" s="2">
        <f ca="1">IFERROR(__xludf.DUMMYFUNCTION("""COMPUTED_VALUE"""),103.03)</f>
        <v>103.03</v>
      </c>
      <c r="G1379" s="2">
        <f ca="1">IFERROR(__xludf.DUMMYFUNCTION("""COMPUTED_VALUE"""),0.57669)</f>
        <v>0.57669000000000004</v>
      </c>
      <c r="H1379" s="2">
        <f ca="1">IFERROR(__xludf.DUMMYFUNCTION("""COMPUTED_VALUE"""),55.918)</f>
        <v>55.917999999999999</v>
      </c>
      <c r="I1379" s="2">
        <f ca="1">IFERROR(__xludf.DUMMYFUNCTION("""COMPUTED_VALUE"""),55.107)</f>
        <v>55.106999999999999</v>
      </c>
      <c r="J1379" s="2">
        <f ca="1">IFERROR(__xludf.DUMMYFUNCTION("""COMPUTED_VALUE"""),48.239)</f>
        <v>48.238999999999997</v>
      </c>
      <c r="K1379" s="2">
        <f ca="1">IFERROR(__xludf.DUMMYFUNCTION("""COMPUTED_VALUE"""),70.221)</f>
        <v>70.221000000000004</v>
      </c>
      <c r="M1379" s="2">
        <f ca="1">IFERROR(__xludf.DUMMYFUNCTION("""COMPUTED_VALUE"""),16.915)</f>
        <v>16.914999999999999</v>
      </c>
      <c r="U1379" s="3" t="e">
        <f ca="1"/>
        <v>#NAME?</v>
      </c>
    </row>
    <row r="1380" spans="3:21" ht="12.5" x14ac:dyDescent="0.25">
      <c r="C1380" s="4">
        <f ca="1">IFERROR(__xludf.DUMMYFUNCTION("""COMPUTED_VALUE"""),41722.9986111111)</f>
        <v>41722.998611111099</v>
      </c>
      <c r="D1380" s="2">
        <f ca="1">IFERROR(__xludf.DUMMYFUNCTION("""COMPUTED_VALUE"""),60.59)</f>
        <v>60.59</v>
      </c>
      <c r="E1380" s="2">
        <f ca="1">IFERROR(__xludf.DUMMYFUNCTION("""COMPUTED_VALUE"""),83.332)</f>
        <v>83.331999999999994</v>
      </c>
      <c r="F1380" s="2">
        <f ca="1">IFERROR(__xludf.DUMMYFUNCTION("""COMPUTED_VALUE"""),103.89)</f>
        <v>103.89</v>
      </c>
      <c r="G1380" s="2">
        <f ca="1">IFERROR(__xludf.DUMMYFUNCTION("""COMPUTED_VALUE"""),0.578)</f>
        <v>0.57799999999999996</v>
      </c>
      <c r="H1380" s="2">
        <f ca="1">IFERROR(__xludf.DUMMYFUNCTION("""COMPUTED_VALUE"""),55.98)</f>
        <v>55.98</v>
      </c>
      <c r="I1380" s="2">
        <f ca="1">IFERROR(__xludf.DUMMYFUNCTION("""COMPUTED_VALUE"""),55.008)</f>
        <v>55.008000000000003</v>
      </c>
      <c r="J1380" s="2">
        <f ca="1">IFERROR(__xludf.DUMMYFUNCTION("""COMPUTED_VALUE"""),48.051)</f>
        <v>48.051000000000002</v>
      </c>
      <c r="K1380" s="2">
        <f ca="1">IFERROR(__xludf.DUMMYFUNCTION("""COMPUTED_VALUE"""),70.3)</f>
        <v>70.3</v>
      </c>
      <c r="M1380" s="2">
        <f ca="1">IFERROR(__xludf.DUMMYFUNCTION("""COMPUTED_VALUE"""),16.916)</f>
        <v>16.916</v>
      </c>
      <c r="U1380" s="3" t="e">
        <f ca="1"/>
        <v>#NAME?</v>
      </c>
    </row>
    <row r="1381" spans="3:21" ht="12.5" x14ac:dyDescent="0.25">
      <c r="C1381" s="4">
        <f ca="1">IFERROR(__xludf.DUMMYFUNCTION("""COMPUTED_VALUE"""),41723.9986111111)</f>
        <v>41723.998611111099</v>
      </c>
      <c r="D1381" s="2">
        <f ca="1">IFERROR(__xludf.DUMMYFUNCTION("""COMPUTED_VALUE"""),60.22)</f>
        <v>60.22</v>
      </c>
      <c r="E1381" s="2">
        <f ca="1">IFERROR(__xludf.DUMMYFUNCTION("""COMPUTED_VALUE"""),83.333)</f>
        <v>83.332999999999998</v>
      </c>
      <c r="F1381" s="2">
        <f ca="1">IFERROR(__xludf.DUMMYFUNCTION("""COMPUTED_VALUE"""),103.58)</f>
        <v>103.58</v>
      </c>
      <c r="G1381" s="2">
        <f ca="1">IFERROR(__xludf.DUMMYFUNCTION("""COMPUTED_VALUE"""),0.57669)</f>
        <v>0.57669000000000004</v>
      </c>
      <c r="H1381" s="2">
        <f ca="1">IFERROR(__xludf.DUMMYFUNCTION("""COMPUTED_VALUE"""),55.831)</f>
        <v>55.831000000000003</v>
      </c>
      <c r="I1381" s="2">
        <f ca="1">IFERROR(__xludf.DUMMYFUNCTION("""COMPUTED_VALUE"""),54.921)</f>
        <v>54.920999999999999</v>
      </c>
      <c r="J1381" s="2">
        <f ca="1">IFERROR(__xludf.DUMMYFUNCTION("""COMPUTED_VALUE"""),48.081)</f>
        <v>48.081000000000003</v>
      </c>
      <c r="K1381" s="2">
        <f ca="1">IFERROR(__xludf.DUMMYFUNCTION("""COMPUTED_VALUE"""),70.215)</f>
        <v>70.215000000000003</v>
      </c>
      <c r="M1381" s="2">
        <f ca="1">IFERROR(__xludf.DUMMYFUNCTION("""COMPUTED_VALUE"""),16.916)</f>
        <v>16.916</v>
      </c>
      <c r="U1381" s="3" t="e">
        <f ca="1"/>
        <v>#NAME?</v>
      </c>
    </row>
    <row r="1382" spans="3:21" ht="12.5" x14ac:dyDescent="0.25">
      <c r="C1382" s="4">
        <f ca="1">IFERROR(__xludf.DUMMYFUNCTION("""COMPUTED_VALUE"""),41724.9986111111)</f>
        <v>41724.998611111099</v>
      </c>
      <c r="D1382" s="2">
        <f ca="1">IFERROR(__xludf.DUMMYFUNCTION("""COMPUTED_VALUE"""),60.16)</f>
        <v>60.16</v>
      </c>
      <c r="E1382" s="2">
        <f ca="1">IFERROR(__xludf.DUMMYFUNCTION("""COMPUTED_VALUE"""),83.407)</f>
        <v>83.406999999999996</v>
      </c>
      <c r="F1382" s="2">
        <f ca="1">IFERROR(__xludf.DUMMYFUNCTION("""COMPUTED_VALUE"""),103.45)</f>
        <v>103.45</v>
      </c>
      <c r="G1382" s="2">
        <f ca="1">IFERROR(__xludf.DUMMYFUNCTION("""COMPUTED_VALUE"""),0.57728)</f>
        <v>0.57728000000000002</v>
      </c>
      <c r="H1382" s="2">
        <f ca="1">IFERROR(__xludf.DUMMYFUNCTION("""COMPUTED_VALUE"""),55.776)</f>
        <v>55.776000000000003</v>
      </c>
      <c r="I1382" s="2">
        <f ca="1">IFERROR(__xludf.DUMMYFUNCTION("""COMPUTED_VALUE"""),54.784)</f>
        <v>54.783999999999999</v>
      </c>
      <c r="J1382" s="2">
        <f ca="1">IFERROR(__xludf.DUMMYFUNCTION("""COMPUTED_VALUE"""),48.061)</f>
        <v>48.061</v>
      </c>
      <c r="K1382" s="2">
        <f ca="1">IFERROR(__xludf.DUMMYFUNCTION("""COMPUTED_VALUE"""),69.697)</f>
        <v>69.697000000000003</v>
      </c>
      <c r="M1382" s="2">
        <f ca="1">IFERROR(__xludf.DUMMYFUNCTION("""COMPUTED_VALUE"""),16.883)</f>
        <v>16.882999999999999</v>
      </c>
      <c r="U1382" s="3" t="e">
        <f ca="1"/>
        <v>#NAME?</v>
      </c>
    </row>
    <row r="1383" spans="3:21" ht="12.5" x14ac:dyDescent="0.25">
      <c r="C1383" s="4">
        <f ca="1">IFERROR(__xludf.DUMMYFUNCTION("""COMPUTED_VALUE"""),41725.9986111111)</f>
        <v>41725.998611111099</v>
      </c>
      <c r="D1383" s="2">
        <f ca="1">IFERROR(__xludf.DUMMYFUNCTION("""COMPUTED_VALUE"""),60.238)</f>
        <v>60.238</v>
      </c>
      <c r="E1383" s="2">
        <f ca="1">IFERROR(__xludf.DUMMYFUNCTION("""COMPUTED_VALUE"""),83.452)</f>
        <v>83.451999999999998</v>
      </c>
      <c r="F1383" s="2">
        <f ca="1">IFERROR(__xludf.DUMMYFUNCTION("""COMPUTED_VALUE"""),103.62)</f>
        <v>103.62</v>
      </c>
      <c r="G1383" s="2">
        <f ca="1">IFERROR(__xludf.DUMMYFUNCTION("""COMPUTED_VALUE"""),0.57683)</f>
        <v>0.57682999999999995</v>
      </c>
      <c r="H1383" s="2">
        <f ca="1">IFERROR(__xludf.DUMMYFUNCTION("""COMPUTED_VALUE"""),64.73)</f>
        <v>64.73</v>
      </c>
      <c r="I1383" s="2">
        <f ca="1">IFERROR(__xludf.DUMMYFUNCTION("""COMPUTED_VALUE"""),54.729)</f>
        <v>54.728999999999999</v>
      </c>
      <c r="J1383" s="2">
        <f ca="1">IFERROR(__xludf.DUMMYFUNCTION("""COMPUTED_VALUE"""),47.981)</f>
        <v>47.981000000000002</v>
      </c>
      <c r="K1383" s="2">
        <f ca="1">IFERROR(__xludf.DUMMYFUNCTION("""COMPUTED_VALUE"""),69.517)</f>
        <v>69.516999999999996</v>
      </c>
      <c r="M1383" s="2">
        <f ca="1">IFERROR(__xludf.DUMMYFUNCTION("""COMPUTED_VALUE"""),16.898)</f>
        <v>16.898</v>
      </c>
      <c r="U1383" s="3" t="e">
        <f ca="1"/>
        <v>#NAME?</v>
      </c>
    </row>
    <row r="1384" spans="3:21" ht="12.5" x14ac:dyDescent="0.25">
      <c r="C1384" s="4">
        <f ca="1">IFERROR(__xludf.DUMMYFUNCTION("""COMPUTED_VALUE"""),41726.9986111111)</f>
        <v>41726.998611111099</v>
      </c>
      <c r="D1384" s="2">
        <f ca="1">IFERROR(__xludf.DUMMYFUNCTION("""COMPUTED_VALUE"""),59.883)</f>
        <v>59.883000000000003</v>
      </c>
      <c r="E1384" s="2">
        <f ca="1">IFERROR(__xludf.DUMMYFUNCTION("""COMPUTED_VALUE"""),83.415)</f>
        <v>83.415000000000006</v>
      </c>
      <c r="F1384" s="2">
        <f ca="1">IFERROR(__xludf.DUMMYFUNCTION("""COMPUTED_VALUE"""),103.3)</f>
        <v>103.3</v>
      </c>
      <c r="G1384" s="2">
        <f ca="1">IFERROR(__xludf.DUMMYFUNCTION("""COMPUTED_VALUE"""),0.57685)</f>
        <v>0.57684999999999997</v>
      </c>
      <c r="H1384" s="2">
        <f ca="1">IFERROR(__xludf.DUMMYFUNCTION("""COMPUTED_VALUE"""),55.739)</f>
        <v>55.738999999999997</v>
      </c>
      <c r="I1384" s="2">
        <f ca="1">IFERROR(__xludf.DUMMYFUNCTION("""COMPUTED_VALUE"""),54.655)</f>
        <v>54.655000000000001</v>
      </c>
      <c r="J1384" s="2">
        <f ca="1">IFERROR(__xludf.DUMMYFUNCTION("""COMPUTED_VALUE"""),47.932)</f>
        <v>47.932000000000002</v>
      </c>
      <c r="K1384" s="2">
        <f ca="1">IFERROR(__xludf.DUMMYFUNCTION("""COMPUTED_VALUE"""),69.371)</f>
        <v>69.370999999999995</v>
      </c>
      <c r="M1384" s="2">
        <f ca="1">IFERROR(__xludf.DUMMYFUNCTION("""COMPUTED_VALUE"""),16.874)</f>
        <v>16.873999999999999</v>
      </c>
      <c r="U1384" s="3" t="e">
        <f ca="1"/>
        <v>#NAME?</v>
      </c>
    </row>
    <row r="1385" spans="3:21" ht="12.5" x14ac:dyDescent="0.25">
      <c r="C1385" s="4">
        <f ca="1">IFERROR(__xludf.DUMMYFUNCTION("""COMPUTED_VALUE"""),41727.9986111111)</f>
        <v>41727.998611111099</v>
      </c>
      <c r="D1385" s="2">
        <f ca="1">IFERROR(__xludf.DUMMYFUNCTION("""COMPUTED_VALUE"""),59.883)</f>
        <v>59.883000000000003</v>
      </c>
      <c r="E1385" s="2">
        <f ca="1">IFERROR(__xludf.DUMMYFUNCTION("""COMPUTED_VALUE"""),82.828)</f>
        <v>82.828000000000003</v>
      </c>
      <c r="F1385" s="2">
        <f ca="1">IFERROR(__xludf.DUMMYFUNCTION("""COMPUTED_VALUE"""),103.64)</f>
        <v>103.64</v>
      </c>
      <c r="G1385" s="2">
        <f ca="1">IFERROR(__xludf.DUMMYFUNCTION("""COMPUTED_VALUE"""),0.57812)</f>
        <v>0.57811999999999997</v>
      </c>
      <c r="H1385" s="2">
        <f ca="1">IFERROR(__xludf.DUMMYFUNCTION("""COMPUTED_VALUE"""),55.774)</f>
        <v>55.774000000000001</v>
      </c>
      <c r="I1385" s="2">
        <f ca="1">IFERROR(__xludf.DUMMYFUNCTION("""COMPUTED_VALUE"""),54.845)</f>
        <v>54.844999999999999</v>
      </c>
      <c r="J1385" s="2">
        <f ca="1">IFERROR(__xludf.DUMMYFUNCTION("""COMPUTED_VALUE"""),47.968)</f>
        <v>47.968000000000004</v>
      </c>
      <c r="K1385" s="2">
        <f ca="1">IFERROR(__xludf.DUMMYFUNCTION("""COMPUTED_VALUE"""),69.532)</f>
        <v>69.531999999999996</v>
      </c>
      <c r="M1385" s="2">
        <f ca="1">IFERROR(__xludf.DUMMYFUNCTION("""COMPUTED_VALUE"""),16.921)</f>
        <v>16.920999999999999</v>
      </c>
      <c r="U1385" s="3" t="e">
        <f ca="1"/>
        <v>#NAME?</v>
      </c>
    </row>
    <row r="1386" spans="3:21" ht="12.5" x14ac:dyDescent="0.25">
      <c r="C1386" s="4">
        <f ca="1">IFERROR(__xludf.DUMMYFUNCTION("""COMPUTED_VALUE"""),41728.9986111111)</f>
        <v>41728.998611111099</v>
      </c>
      <c r="D1386" s="2">
        <f ca="1">IFERROR(__xludf.DUMMYFUNCTION("""COMPUTED_VALUE"""),59.84)</f>
        <v>59.84</v>
      </c>
      <c r="E1386" s="2">
        <f ca="1">IFERROR(__xludf.DUMMYFUNCTION("""COMPUTED_VALUE"""),82.429)</f>
        <v>82.429000000000002</v>
      </c>
      <c r="F1386" s="2">
        <f ca="1">IFERROR(__xludf.DUMMYFUNCTION("""COMPUTED_VALUE"""),103.7)</f>
        <v>103.7</v>
      </c>
      <c r="G1386" s="2">
        <f ca="1">IFERROR(__xludf.DUMMYFUNCTION("""COMPUTED_VALUE"""),0.5813)</f>
        <v>0.58130000000000004</v>
      </c>
      <c r="H1386" s="2">
        <f ca="1">IFERROR(__xludf.DUMMYFUNCTION("""COMPUTED_VALUE"""),55.998)</f>
        <v>55.997999999999998</v>
      </c>
      <c r="I1386" s="2">
        <f ca="1">IFERROR(__xludf.DUMMYFUNCTION("""COMPUTED_VALUE"""),55.012)</f>
        <v>55.012</v>
      </c>
      <c r="J1386" s="2">
        <f ca="1">IFERROR(__xludf.DUMMYFUNCTION("""COMPUTED_VALUE"""),48.075)</f>
        <v>48.075000000000003</v>
      </c>
      <c r="K1386" s="2">
        <f ca="1">IFERROR(__xludf.DUMMYFUNCTION("""COMPUTED_VALUE"""),69.583)</f>
        <v>69.582999999999998</v>
      </c>
      <c r="M1386" s="2">
        <f ca="1">IFERROR(__xludf.DUMMYFUNCTION("""COMPUTED_VALUE"""),16.885)</f>
        <v>16.885000000000002</v>
      </c>
      <c r="U1386" s="3" t="e">
        <f ca="1"/>
        <v>#NAME?</v>
      </c>
    </row>
    <row r="1387" spans="3:21" ht="12.5" x14ac:dyDescent="0.25">
      <c r="C1387" s="4">
        <f ca="1">IFERROR(__xludf.DUMMYFUNCTION("""COMPUTED_VALUE"""),41729.9986111111)</f>
        <v>41729.998611111099</v>
      </c>
      <c r="D1387" s="2">
        <f ca="1">IFERROR(__xludf.DUMMYFUNCTION("""COMPUTED_VALUE"""),60.008)</f>
        <v>60.008000000000003</v>
      </c>
      <c r="E1387" s="2">
        <f ca="1">IFERROR(__xludf.DUMMYFUNCTION("""COMPUTED_VALUE"""),82.502)</f>
        <v>82.501999999999995</v>
      </c>
      <c r="F1387" s="2">
        <f ca="1">IFERROR(__xludf.DUMMYFUNCTION("""COMPUTED_VALUE"""),103.61)</f>
        <v>103.61</v>
      </c>
      <c r="G1387" s="2">
        <f ca="1">IFERROR(__xludf.DUMMYFUNCTION("""COMPUTED_VALUE"""),0.58243)</f>
        <v>0.58243</v>
      </c>
      <c r="H1387" s="2">
        <f ca="1">IFERROR(__xludf.DUMMYFUNCTION("""COMPUTED_VALUE"""),55.906)</f>
        <v>55.905999999999999</v>
      </c>
      <c r="I1387" s="2">
        <f ca="1">IFERROR(__xludf.DUMMYFUNCTION("""COMPUTED_VALUE"""),55.006)</f>
        <v>55.006</v>
      </c>
      <c r="J1387" s="2">
        <f ca="1">IFERROR(__xludf.DUMMYFUNCTION("""COMPUTED_VALUE"""),48.023)</f>
        <v>48.023000000000003</v>
      </c>
      <c r="K1387" s="2">
        <f ca="1">IFERROR(__xludf.DUMMYFUNCTION("""COMPUTED_VALUE"""),69.75)</f>
        <v>69.75</v>
      </c>
      <c r="M1387" s="2">
        <f ca="1">IFERROR(__xludf.DUMMYFUNCTION("""COMPUTED_VALUE"""),16.822)</f>
        <v>16.821999999999999</v>
      </c>
      <c r="U1387" s="3" t="e">
        <f ca="1"/>
        <v>#NAME?</v>
      </c>
    </row>
    <row r="1388" spans="3:21" ht="12.5" x14ac:dyDescent="0.25">
      <c r="C1388" s="4">
        <f ca="1">IFERROR(__xludf.DUMMYFUNCTION("""COMPUTED_VALUE"""),41730.9986111111)</f>
        <v>41730.998611111099</v>
      </c>
      <c r="D1388" s="2">
        <f ca="1">IFERROR(__xludf.DUMMYFUNCTION("""COMPUTED_VALUE"""),59.78)</f>
        <v>59.78</v>
      </c>
      <c r="E1388" s="2">
        <f ca="1">IFERROR(__xludf.DUMMYFUNCTION("""COMPUTED_VALUE"""),82.33)</f>
        <v>82.33</v>
      </c>
      <c r="F1388" s="2">
        <f ca="1">IFERROR(__xludf.DUMMYFUNCTION("""COMPUTED_VALUE"""),103.24)</f>
        <v>103.24</v>
      </c>
      <c r="G1388" s="2">
        <f ca="1">IFERROR(__xludf.DUMMYFUNCTION("""COMPUTED_VALUE"""),0.58474)</f>
        <v>0.58474000000000004</v>
      </c>
      <c r="H1388" s="2">
        <f ca="1">IFERROR(__xludf.DUMMYFUNCTION("""COMPUTED_VALUE"""),56.078)</f>
        <v>56.078000000000003</v>
      </c>
      <c r="I1388" s="2">
        <f ca="1">IFERROR(__xludf.DUMMYFUNCTION("""COMPUTED_VALUE"""),55.245)</f>
        <v>55.244999999999997</v>
      </c>
      <c r="J1388" s="2">
        <f ca="1">IFERROR(__xludf.DUMMYFUNCTION("""COMPUTED_VALUE"""),47.976)</f>
        <v>47.975999999999999</v>
      </c>
      <c r="K1388" s="2">
        <f ca="1">IFERROR(__xludf.DUMMYFUNCTION("""COMPUTED_VALUE"""),69.294)</f>
        <v>69.293999999999997</v>
      </c>
      <c r="M1388" s="2">
        <f ca="1">IFERROR(__xludf.DUMMYFUNCTION("""COMPUTED_VALUE"""),16.822)</f>
        <v>16.821999999999999</v>
      </c>
      <c r="U1388" s="3" t="e">
        <f ca="1"/>
        <v>#NAME?</v>
      </c>
    </row>
    <row r="1389" spans="3:21" ht="12.5" x14ac:dyDescent="0.25">
      <c r="C1389" s="4">
        <f ca="1">IFERROR(__xludf.DUMMYFUNCTION("""COMPUTED_VALUE"""),41731.9986111111)</f>
        <v>41731.998611111099</v>
      </c>
      <c r="D1389" s="2">
        <f ca="1">IFERROR(__xludf.DUMMYFUNCTION("""COMPUTED_VALUE"""),59.898)</f>
        <v>59.898000000000003</v>
      </c>
      <c r="E1389" s="2">
        <f ca="1">IFERROR(__xludf.DUMMYFUNCTION("""COMPUTED_VALUE"""),82.544)</f>
        <v>82.543999999999997</v>
      </c>
      <c r="F1389" s="2">
        <f ca="1">IFERROR(__xludf.DUMMYFUNCTION("""COMPUTED_VALUE"""),103.24)</f>
        <v>103.24</v>
      </c>
      <c r="G1389" s="2">
        <f ca="1">IFERROR(__xludf.DUMMYFUNCTION("""COMPUTED_VALUE"""),0.58507)</f>
        <v>0.58506999999999998</v>
      </c>
      <c r="H1389" s="2">
        <f ca="1">IFERROR(__xludf.DUMMYFUNCTION("""COMPUTED_VALUE"""),56.089)</f>
        <v>56.088999999999999</v>
      </c>
      <c r="I1389" s="2">
        <f ca="1">IFERROR(__xludf.DUMMYFUNCTION("""COMPUTED_VALUE"""),54.958)</f>
        <v>54.957999999999998</v>
      </c>
      <c r="J1389" s="2">
        <f ca="1">IFERROR(__xludf.DUMMYFUNCTION("""COMPUTED_VALUE"""),47.995)</f>
        <v>47.994999999999997</v>
      </c>
      <c r="K1389" s="2">
        <f ca="1">IFERROR(__xludf.DUMMYFUNCTION("""COMPUTED_VALUE"""),69.368)</f>
        <v>69.367999999999995</v>
      </c>
      <c r="M1389" s="2">
        <f ca="1">IFERROR(__xludf.DUMMYFUNCTION("""COMPUTED_VALUE"""),16.831)</f>
        <v>16.831</v>
      </c>
      <c r="U1389" s="3" t="e">
        <f ca="1"/>
        <v>#NAME?</v>
      </c>
    </row>
    <row r="1390" spans="3:21" ht="12.5" x14ac:dyDescent="0.25">
      <c r="C1390" s="4">
        <f ca="1">IFERROR(__xludf.DUMMYFUNCTION("""COMPUTED_VALUE"""),41732.9986111111)</f>
        <v>41732.998611111099</v>
      </c>
      <c r="D1390" s="2">
        <f ca="1">IFERROR(__xludf.DUMMYFUNCTION("""COMPUTED_VALUE"""),60.39)</f>
        <v>60.39</v>
      </c>
      <c r="E1390" s="2">
        <f ca="1">IFERROR(__xludf.DUMMYFUNCTION("""COMPUTED_VALUE"""),81.417)</f>
        <v>81.417000000000002</v>
      </c>
      <c r="F1390" s="2">
        <f ca="1">IFERROR(__xludf.DUMMYFUNCTION("""COMPUTED_VALUE"""),103.13)</f>
        <v>103.13</v>
      </c>
      <c r="G1390" s="2">
        <f ca="1">IFERROR(__xludf.DUMMYFUNCTION("""COMPUTED_VALUE"""),0.58507)</f>
        <v>0.58506999999999998</v>
      </c>
      <c r="H1390" s="2">
        <f ca="1">IFERROR(__xludf.DUMMYFUNCTION("""COMPUTED_VALUE"""),56.151)</f>
        <v>56.151000000000003</v>
      </c>
      <c r="I1390" s="2">
        <f ca="1">IFERROR(__xludf.DUMMYFUNCTION("""COMPUTED_VALUE"""),55.013)</f>
        <v>55.012999999999998</v>
      </c>
      <c r="J1390" s="2">
        <f ca="1">IFERROR(__xludf.DUMMYFUNCTION("""COMPUTED_VALUE"""),47.973)</f>
        <v>47.972999999999999</v>
      </c>
      <c r="K1390" s="2">
        <f ca="1">IFERROR(__xludf.DUMMYFUNCTION("""COMPUTED_VALUE"""),69.971)</f>
        <v>69.971000000000004</v>
      </c>
      <c r="M1390" s="2">
        <f ca="1">IFERROR(__xludf.DUMMYFUNCTION("""COMPUTED_VALUE"""),16.926)</f>
        <v>16.925999999999998</v>
      </c>
      <c r="U1390" s="3" t="e">
        <f ca="1"/>
        <v>#NAME?</v>
      </c>
    </row>
    <row r="1391" spans="3:21" ht="12.5" x14ac:dyDescent="0.25">
      <c r="C1391" s="4">
        <f ca="1">IFERROR(__xludf.DUMMYFUNCTION("""COMPUTED_VALUE"""),41733.9986111111)</f>
        <v>41733.998611111099</v>
      </c>
      <c r="D1391" s="2">
        <f ca="1">IFERROR(__xludf.DUMMYFUNCTION("""COMPUTED_VALUE"""),60.078)</f>
        <v>60.078000000000003</v>
      </c>
      <c r="E1391" s="2">
        <f ca="1">IFERROR(__xludf.DUMMYFUNCTION("""COMPUTED_VALUE"""),81.51)</f>
        <v>81.510000000000005</v>
      </c>
      <c r="F1391" s="2">
        <f ca="1">IFERROR(__xludf.DUMMYFUNCTION("""COMPUTED_VALUE"""),103.29)</f>
        <v>103.29</v>
      </c>
      <c r="G1391" s="2">
        <f ca="1">IFERROR(__xludf.DUMMYFUNCTION("""COMPUTED_VALUE"""),0.59041)</f>
        <v>0.59040999999999999</v>
      </c>
      <c r="H1391" s="2">
        <f ca="1">IFERROR(__xludf.DUMMYFUNCTION("""COMPUTED_VALUE"""),56.026)</f>
        <v>56.026000000000003</v>
      </c>
      <c r="I1391" s="2">
        <f ca="1">IFERROR(__xludf.DUMMYFUNCTION("""COMPUTED_VALUE"""),54.919)</f>
        <v>54.918999999999997</v>
      </c>
      <c r="J1391" s="2">
        <f ca="1">IFERROR(__xludf.DUMMYFUNCTION("""COMPUTED_VALUE"""),48.02)</f>
        <v>48.02</v>
      </c>
      <c r="K1391" s="2">
        <f ca="1">IFERROR(__xludf.DUMMYFUNCTION("""COMPUTED_VALUE"""),69.854)</f>
        <v>69.853999999999999</v>
      </c>
      <c r="M1391" s="2">
        <f ca="1">IFERROR(__xludf.DUMMYFUNCTION("""COMPUTED_VALUE"""),16.771)</f>
        <v>16.771000000000001</v>
      </c>
      <c r="U1391" s="3" t="e">
        <f ca="1"/>
        <v>#NAME?</v>
      </c>
    </row>
    <row r="1392" spans="3:21" ht="12.5" x14ac:dyDescent="0.25">
      <c r="C1392" s="4">
        <f ca="1">IFERROR(__xludf.DUMMYFUNCTION("""COMPUTED_VALUE"""),41734.9986111111)</f>
        <v>41734.998611111099</v>
      </c>
      <c r="D1392" s="2">
        <f ca="1">IFERROR(__xludf.DUMMYFUNCTION("""COMPUTED_VALUE"""),60.078)</f>
        <v>60.078000000000003</v>
      </c>
      <c r="E1392" s="2">
        <f ca="1">IFERROR(__xludf.DUMMYFUNCTION("""COMPUTED_VALUE"""),81.476)</f>
        <v>81.475999999999999</v>
      </c>
      <c r="F1392" s="2">
        <f ca="1">IFERROR(__xludf.DUMMYFUNCTION("""COMPUTED_VALUE"""),103.29)</f>
        <v>103.29</v>
      </c>
      <c r="G1392" s="2">
        <f ca="1">IFERROR(__xludf.DUMMYFUNCTION("""COMPUTED_VALUE"""),0.58998)</f>
        <v>0.58997999999999995</v>
      </c>
      <c r="H1392" s="2">
        <f ca="1">IFERROR(__xludf.DUMMYFUNCTION("""COMPUTED_VALUE"""),56.164)</f>
        <v>56.164000000000001</v>
      </c>
      <c r="I1392" s="2">
        <f ca="1">IFERROR(__xludf.DUMMYFUNCTION("""COMPUTED_VALUE"""),55.052)</f>
        <v>55.052</v>
      </c>
      <c r="J1392" s="2">
        <f ca="1">IFERROR(__xludf.DUMMYFUNCTION("""COMPUTED_VALUE"""),47.926)</f>
        <v>47.926000000000002</v>
      </c>
      <c r="K1392" s="2">
        <f ca="1">IFERROR(__xludf.DUMMYFUNCTION("""COMPUTED_VALUE"""),70.1)</f>
        <v>70.099999999999994</v>
      </c>
      <c r="M1392" s="2">
        <f ca="1">IFERROR(__xludf.DUMMYFUNCTION("""COMPUTED_VALUE"""),16.811)</f>
        <v>16.811</v>
      </c>
      <c r="U1392" s="3" t="e">
        <f ca="1"/>
        <v>#NAME?</v>
      </c>
    </row>
    <row r="1393" spans="3:21" ht="12.5" x14ac:dyDescent="0.25">
      <c r="C1393" s="4">
        <f ca="1">IFERROR(__xludf.DUMMYFUNCTION("""COMPUTED_VALUE"""),41735.9986111111)</f>
        <v>41735.998611111099</v>
      </c>
      <c r="D1393" s="2">
        <f ca="1">IFERROR(__xludf.DUMMYFUNCTION("""COMPUTED_VALUE"""),59.67)</f>
        <v>59.67</v>
      </c>
      <c r="E1393" s="2">
        <f ca="1">IFERROR(__xludf.DUMMYFUNCTION("""COMPUTED_VALUE"""),80.19)</f>
        <v>80.19</v>
      </c>
      <c r="F1393" s="2">
        <f ca="1">IFERROR(__xludf.DUMMYFUNCTION("""COMPUTED_VALUE"""),103.22)</f>
        <v>103.22</v>
      </c>
      <c r="G1393" s="2">
        <f ca="1">IFERROR(__xludf.DUMMYFUNCTION("""COMPUTED_VALUE"""),0.59111)</f>
        <v>0.59111000000000002</v>
      </c>
      <c r="H1393" s="2">
        <f ca="1">IFERROR(__xludf.DUMMYFUNCTION("""COMPUTED_VALUE"""),55.603)</f>
        <v>55.603000000000002</v>
      </c>
      <c r="I1393" s="2">
        <f ca="1">IFERROR(__xludf.DUMMYFUNCTION("""COMPUTED_VALUE"""),54.461)</f>
        <v>54.460999999999999</v>
      </c>
      <c r="J1393" s="2">
        <f ca="1">IFERROR(__xludf.DUMMYFUNCTION("""COMPUTED_VALUE"""),47.968)</f>
        <v>47.968000000000004</v>
      </c>
      <c r="K1393" s="2">
        <f ca="1">IFERROR(__xludf.DUMMYFUNCTION("""COMPUTED_VALUE"""),70.144)</f>
        <v>70.144000000000005</v>
      </c>
      <c r="M1393" s="2">
        <f ca="1">IFERROR(__xludf.DUMMYFUNCTION("""COMPUTED_VALUE"""),16.553)</f>
        <v>16.553000000000001</v>
      </c>
      <c r="U1393" s="3" t="e">
        <f ca="1"/>
        <v>#NAME?</v>
      </c>
    </row>
    <row r="1394" spans="3:21" ht="12.5" x14ac:dyDescent="0.25">
      <c r="C1394" s="4">
        <f ca="1">IFERROR(__xludf.DUMMYFUNCTION("""COMPUTED_VALUE"""),41736.9986111111)</f>
        <v>41736.998611111099</v>
      </c>
      <c r="D1394" s="2">
        <f ca="1">IFERROR(__xludf.DUMMYFUNCTION("""COMPUTED_VALUE"""),60.108)</f>
        <v>60.107999999999997</v>
      </c>
      <c r="E1394" s="2">
        <f ca="1">IFERROR(__xludf.DUMMYFUNCTION("""COMPUTED_VALUE"""),79.8405)</f>
        <v>79.840500000000006</v>
      </c>
      <c r="F1394" s="2">
        <f ca="1">IFERROR(__xludf.DUMMYFUNCTION("""COMPUTED_VALUE"""),103.37)</f>
        <v>103.37</v>
      </c>
      <c r="G1394" s="2">
        <f ca="1">IFERROR(__xludf.DUMMYFUNCTION("""COMPUTED_VALUE"""),0.58899)</f>
        <v>0.58899000000000001</v>
      </c>
      <c r="H1394" s="2">
        <f ca="1">IFERROR(__xludf.DUMMYFUNCTION("""COMPUTED_VALUE"""),55.725)</f>
        <v>55.725000000000001</v>
      </c>
      <c r="I1394" s="2">
        <f ca="1">IFERROR(__xludf.DUMMYFUNCTION("""COMPUTED_VALUE"""),54.578)</f>
        <v>54.578000000000003</v>
      </c>
      <c r="J1394" s="2">
        <f ca="1">IFERROR(__xludf.DUMMYFUNCTION("""COMPUTED_VALUE"""),47.461)</f>
        <v>47.460999999999999</v>
      </c>
      <c r="K1394" s="2">
        <f ca="1">IFERROR(__xludf.DUMMYFUNCTION("""COMPUTED_VALUE"""),69.918)</f>
        <v>69.918000000000006</v>
      </c>
      <c r="M1394" s="2">
        <f ca="1">IFERROR(__xludf.DUMMYFUNCTION("""COMPUTED_VALUE"""),16.629)</f>
        <v>16.629000000000001</v>
      </c>
      <c r="U1394" s="3" t="e">
        <f ca="1"/>
        <v>#NAME?</v>
      </c>
    </row>
    <row r="1395" spans="3:21" ht="12.5" x14ac:dyDescent="0.25">
      <c r="C1395" s="4">
        <f ca="1">IFERROR(__xludf.DUMMYFUNCTION("""COMPUTED_VALUE"""),41737.9986111111)</f>
        <v>41737.998611111099</v>
      </c>
      <c r="D1395" s="2">
        <f ca="1">IFERROR(__xludf.DUMMYFUNCTION("""COMPUTED_VALUE"""),60.083)</f>
        <v>60.082999999999998</v>
      </c>
      <c r="E1395" s="2">
        <f ca="1">IFERROR(__xludf.DUMMYFUNCTION("""COMPUTED_VALUE"""),80.2)</f>
        <v>80.2</v>
      </c>
      <c r="F1395" s="2">
        <f ca="1">IFERROR(__xludf.DUMMYFUNCTION("""COMPUTED_VALUE"""),103.37)</f>
        <v>103.37</v>
      </c>
      <c r="G1395" s="2">
        <f ca="1">IFERROR(__xludf.DUMMYFUNCTION("""COMPUTED_VALUE"""),0.58895)</f>
        <v>0.58894999999999997</v>
      </c>
      <c r="H1395" s="2">
        <f ca="1">IFERROR(__xludf.DUMMYFUNCTION("""COMPUTED_VALUE"""),55.603)</f>
        <v>55.603000000000002</v>
      </c>
      <c r="I1395" s="2">
        <f ca="1">IFERROR(__xludf.DUMMYFUNCTION("""COMPUTED_VALUE"""),54.612)</f>
        <v>54.612000000000002</v>
      </c>
      <c r="J1395" s="2">
        <f ca="1">IFERROR(__xludf.DUMMYFUNCTION("""COMPUTED_VALUE"""),47.52)</f>
        <v>47.52</v>
      </c>
      <c r="K1395" s="2">
        <f ca="1">IFERROR(__xludf.DUMMYFUNCTION("""COMPUTED_VALUE"""),69.88)</f>
        <v>69.88</v>
      </c>
      <c r="M1395" s="2">
        <f ca="1">IFERROR(__xludf.DUMMYFUNCTION("""COMPUTED_VALUE"""),16.629)</f>
        <v>16.629000000000001</v>
      </c>
      <c r="U1395" s="3" t="e">
        <f ca="1"/>
        <v>#NAME?</v>
      </c>
    </row>
    <row r="1396" spans="3:21" ht="12.5" x14ac:dyDescent="0.25">
      <c r="C1396" s="4">
        <f ca="1">IFERROR(__xludf.DUMMYFUNCTION("""COMPUTED_VALUE"""),41738.9986111111)</f>
        <v>41738.998611111099</v>
      </c>
      <c r="D1396" s="2">
        <f ca="1">IFERROR(__xludf.DUMMYFUNCTION("""COMPUTED_VALUE"""),60.138)</f>
        <v>60.137999999999998</v>
      </c>
      <c r="E1396" s="2">
        <f ca="1">IFERROR(__xludf.DUMMYFUNCTION("""COMPUTED_VALUE"""),79.952)</f>
        <v>79.951999999999998</v>
      </c>
      <c r="F1396" s="2">
        <f ca="1">IFERROR(__xludf.DUMMYFUNCTION("""COMPUTED_VALUE"""),103.45)</f>
        <v>103.45</v>
      </c>
      <c r="G1396" s="2">
        <f ca="1">IFERROR(__xludf.DUMMYFUNCTION("""COMPUTED_VALUE"""),0.58945)</f>
        <v>0.58945000000000003</v>
      </c>
      <c r="H1396" s="2">
        <f ca="1">IFERROR(__xludf.DUMMYFUNCTION("""COMPUTED_VALUE"""),54.831)</f>
        <v>54.831000000000003</v>
      </c>
      <c r="I1396" s="2">
        <f ca="1">IFERROR(__xludf.DUMMYFUNCTION("""COMPUTED_VALUE"""),53.916)</f>
        <v>53.915999999999997</v>
      </c>
      <c r="J1396" s="2">
        <f ca="1">IFERROR(__xludf.DUMMYFUNCTION("""COMPUTED_VALUE"""),47.441)</f>
        <v>47.441000000000003</v>
      </c>
      <c r="K1396" s="2">
        <f ca="1">IFERROR(__xludf.DUMMYFUNCTION("""COMPUTED_VALUE"""),69.93)</f>
        <v>69.930000000000007</v>
      </c>
      <c r="M1396" s="2">
        <f ca="1">IFERROR(__xludf.DUMMYFUNCTION("""COMPUTED_VALUE"""),16.67)</f>
        <v>16.670000000000002</v>
      </c>
      <c r="U1396" s="3" t="e">
        <f ca="1"/>
        <v>#NAME?</v>
      </c>
    </row>
    <row r="1397" spans="3:21" ht="12.5" x14ac:dyDescent="0.25">
      <c r="C1397" s="4">
        <f ca="1">IFERROR(__xludf.DUMMYFUNCTION("""COMPUTED_VALUE"""),41739.9986111111)</f>
        <v>41739.998611111099</v>
      </c>
      <c r="D1397" s="2">
        <f ca="1">IFERROR(__xludf.DUMMYFUNCTION("""COMPUTED_VALUE"""),60.3)</f>
        <v>60.3</v>
      </c>
      <c r="E1397" s="2">
        <f ca="1">IFERROR(__xludf.DUMMYFUNCTION("""COMPUTED_VALUE"""),80.182)</f>
        <v>80.182000000000002</v>
      </c>
      <c r="F1397" s="2">
        <f ca="1">IFERROR(__xludf.DUMMYFUNCTION("""COMPUTED_VALUE"""),103.41)</f>
        <v>103.41</v>
      </c>
      <c r="G1397" s="2">
        <f ca="1">IFERROR(__xludf.DUMMYFUNCTION("""COMPUTED_VALUE"""),0.58989)</f>
        <v>0.58989000000000003</v>
      </c>
      <c r="H1397" s="2">
        <f ca="1">IFERROR(__xludf.DUMMYFUNCTION("""COMPUTED_VALUE"""),54.573)</f>
        <v>54.573</v>
      </c>
      <c r="I1397" s="2">
        <f ca="1">IFERROR(__xludf.DUMMYFUNCTION("""COMPUTED_VALUE"""),53.674)</f>
        <v>53.673999999999999</v>
      </c>
      <c r="J1397" s="2">
        <f ca="1">IFERROR(__xludf.DUMMYFUNCTION("""COMPUTED_VALUE"""),46.802)</f>
        <v>46.802</v>
      </c>
      <c r="K1397" s="2">
        <f ca="1">IFERROR(__xludf.DUMMYFUNCTION("""COMPUTED_VALUE"""),69.098)</f>
        <v>69.097999999999999</v>
      </c>
      <c r="M1397" s="2">
        <f ca="1">IFERROR(__xludf.DUMMYFUNCTION("""COMPUTED_VALUE"""),16.556)</f>
        <v>16.556000000000001</v>
      </c>
      <c r="U1397" s="3" t="e">
        <f ca="1"/>
        <v>#NAME?</v>
      </c>
    </row>
    <row r="1398" spans="3:21" ht="12.5" x14ac:dyDescent="0.25">
      <c r="C1398" s="4">
        <f ca="1">IFERROR(__xludf.DUMMYFUNCTION("""COMPUTED_VALUE"""),41740.9986111111)</f>
        <v>41740.998611111099</v>
      </c>
      <c r="D1398" s="2">
        <f ca="1">IFERROR(__xludf.DUMMYFUNCTION("""COMPUTED_VALUE"""),60.173)</f>
        <v>60.173000000000002</v>
      </c>
      <c r="E1398" s="2">
        <f ca="1">IFERROR(__xludf.DUMMYFUNCTION("""COMPUTED_VALUE"""),80.25)</f>
        <v>80.25</v>
      </c>
      <c r="F1398" s="2">
        <f ca="1">IFERROR(__xludf.DUMMYFUNCTION("""COMPUTED_VALUE"""),103.29)</f>
        <v>103.29</v>
      </c>
      <c r="G1398" s="2">
        <f ca="1">IFERROR(__xludf.DUMMYFUNCTION("""COMPUTED_VALUE"""),0.58955)</f>
        <v>0.58955000000000002</v>
      </c>
      <c r="H1398" s="2">
        <f ca="1">IFERROR(__xludf.DUMMYFUNCTION("""COMPUTED_VALUE"""),54.889)</f>
        <v>54.889000000000003</v>
      </c>
      <c r="I1398" s="2">
        <f ca="1">IFERROR(__xludf.DUMMYFUNCTION("""COMPUTED_VALUE"""),53.913)</f>
        <v>53.912999999999997</v>
      </c>
      <c r="J1398" s="2">
        <f ca="1">IFERROR(__xludf.DUMMYFUNCTION("""COMPUTED_VALUE"""),46.594)</f>
        <v>46.594000000000001</v>
      </c>
      <c r="K1398" s="2">
        <f ca="1">IFERROR(__xludf.DUMMYFUNCTION("""COMPUTED_VALUE"""),69.383)</f>
        <v>69.382999999999996</v>
      </c>
      <c r="M1398" s="2">
        <f ca="1">IFERROR(__xludf.DUMMYFUNCTION("""COMPUTED_VALUE"""),16.619)</f>
        <v>16.619</v>
      </c>
      <c r="U1398" s="3" t="e">
        <f ca="1"/>
        <v>#NAME?</v>
      </c>
    </row>
    <row r="1399" spans="3:21" ht="12.5" x14ac:dyDescent="0.25">
      <c r="C1399" s="4">
        <f ca="1">IFERROR(__xludf.DUMMYFUNCTION("""COMPUTED_VALUE"""),41741.9986111111)</f>
        <v>41741.998611111099</v>
      </c>
      <c r="D1399" s="2">
        <f ca="1">IFERROR(__xludf.DUMMYFUNCTION("""COMPUTED_VALUE"""),60.173)</f>
        <v>60.173000000000002</v>
      </c>
      <c r="E1399" s="2">
        <f ca="1">IFERROR(__xludf.DUMMYFUNCTION("""COMPUTED_VALUE"""),79.514)</f>
        <v>79.513999999999996</v>
      </c>
      <c r="F1399" s="2">
        <f ca="1">IFERROR(__xludf.DUMMYFUNCTION("""COMPUTED_VALUE"""),103.06)</f>
        <v>103.06</v>
      </c>
      <c r="G1399" s="2">
        <f ca="1">IFERROR(__xludf.DUMMYFUNCTION("""COMPUTED_VALUE"""),0.58962)</f>
        <v>0.58962000000000003</v>
      </c>
      <c r="H1399" s="2">
        <f ca="1">IFERROR(__xludf.DUMMYFUNCTION("""COMPUTED_VALUE"""),54.404)</f>
        <v>54.404000000000003</v>
      </c>
      <c r="I1399" s="2">
        <f ca="1">IFERROR(__xludf.DUMMYFUNCTION("""COMPUTED_VALUE"""),53.645)</f>
        <v>53.645000000000003</v>
      </c>
      <c r="J1399" s="2">
        <f ca="1">IFERROR(__xludf.DUMMYFUNCTION("""COMPUTED_VALUE"""),46.811)</f>
        <v>46.811</v>
      </c>
      <c r="K1399" s="2">
        <f ca="1">IFERROR(__xludf.DUMMYFUNCTION("""COMPUTED_VALUE"""),68.945)</f>
        <v>68.944999999999993</v>
      </c>
      <c r="M1399" s="2">
        <f ca="1">IFERROR(__xludf.DUMMYFUNCTION("""COMPUTED_VALUE"""),16.545)</f>
        <v>16.545000000000002</v>
      </c>
      <c r="U1399" s="3" t="e">
        <f ca="1"/>
        <v>#NAME?</v>
      </c>
    </row>
    <row r="1400" spans="3:21" ht="12.5" x14ac:dyDescent="0.25">
      <c r="C1400" s="4">
        <f ca="1">IFERROR(__xludf.DUMMYFUNCTION("""COMPUTED_VALUE"""),41742.9986111111)</f>
        <v>41742.998611111099</v>
      </c>
      <c r="D1400" s="2">
        <f ca="1">IFERROR(__xludf.DUMMYFUNCTION("""COMPUTED_VALUE"""),60.34)</f>
        <v>60.34</v>
      </c>
      <c r="E1400" s="2">
        <f ca="1">IFERROR(__xludf.DUMMYFUNCTION("""COMPUTED_VALUE"""),79.71)</f>
        <v>79.709999999999994</v>
      </c>
      <c r="F1400" s="2">
        <f ca="1">IFERROR(__xludf.DUMMYFUNCTION("""COMPUTED_VALUE"""),103.13)</f>
        <v>103.13</v>
      </c>
      <c r="G1400" s="2">
        <f ca="1">IFERROR(__xludf.DUMMYFUNCTION("""COMPUTED_VALUE"""),0.59168)</f>
        <v>0.59167999999999998</v>
      </c>
      <c r="H1400" s="2">
        <f ca="1">IFERROR(__xludf.DUMMYFUNCTION("""COMPUTED_VALUE"""),54.085)</f>
        <v>54.085000000000001</v>
      </c>
      <c r="I1400" s="2">
        <f ca="1">IFERROR(__xludf.DUMMYFUNCTION("""COMPUTED_VALUE"""),53.648)</f>
        <v>53.648000000000003</v>
      </c>
      <c r="J1400" s="2">
        <f ca="1">IFERROR(__xludf.DUMMYFUNCTION("""COMPUTED_VALUE"""),46.636)</f>
        <v>46.636000000000003</v>
      </c>
      <c r="K1400" s="2">
        <f ca="1">IFERROR(__xludf.DUMMYFUNCTION("""COMPUTED_VALUE"""),68.974)</f>
        <v>68.974000000000004</v>
      </c>
      <c r="M1400" s="2">
        <f ca="1">IFERROR(__xludf.DUMMYFUNCTION("""COMPUTED_VALUE"""),16.733)</f>
        <v>16.733000000000001</v>
      </c>
      <c r="U1400" s="3" t="e">
        <f ca="1"/>
        <v>#NAME?</v>
      </c>
    </row>
    <row r="1401" spans="3:21" ht="12.5" x14ac:dyDescent="0.25">
      <c r="C1401" s="4">
        <f ca="1">IFERROR(__xludf.DUMMYFUNCTION("""COMPUTED_VALUE"""),41743.9986111111)</f>
        <v>41743.998611111099</v>
      </c>
      <c r="D1401" s="2">
        <f ca="1">IFERROR(__xludf.DUMMYFUNCTION("""COMPUTED_VALUE"""),60.248)</f>
        <v>60.247999999999998</v>
      </c>
      <c r="E1401" s="2">
        <f ca="1">IFERROR(__xludf.DUMMYFUNCTION("""COMPUTED_VALUE"""),79.565)</f>
        <v>79.564999999999998</v>
      </c>
      <c r="F1401" s="2">
        <f ca="1">IFERROR(__xludf.DUMMYFUNCTION("""COMPUTED_VALUE"""),102.22)</f>
        <v>102.22</v>
      </c>
      <c r="G1401" s="2">
        <f ca="1">IFERROR(__xludf.DUMMYFUNCTION("""COMPUTED_VALUE"""),0.59154)</f>
        <v>0.59153999999999995</v>
      </c>
      <c r="H1401" s="2">
        <f ca="1">IFERROR(__xludf.DUMMYFUNCTION("""COMPUTED_VALUE"""),54.207)</f>
        <v>54.207000000000001</v>
      </c>
      <c r="I1401" s="2">
        <f ca="1">IFERROR(__xludf.DUMMYFUNCTION("""COMPUTED_VALUE"""),53.722)</f>
        <v>53.722000000000001</v>
      </c>
      <c r="J1401" s="2">
        <f ca="1">IFERROR(__xludf.DUMMYFUNCTION("""COMPUTED_VALUE"""),46.713)</f>
        <v>46.713000000000001</v>
      </c>
      <c r="K1401" s="2">
        <f ca="1">IFERROR(__xludf.DUMMYFUNCTION("""COMPUTED_VALUE"""),69.155)</f>
        <v>69.155000000000001</v>
      </c>
      <c r="M1401" s="2">
        <f ca="1">IFERROR(__xludf.DUMMYFUNCTION("""COMPUTED_VALUE"""),16.662)</f>
        <v>16.661999999999999</v>
      </c>
      <c r="U1401" s="3" t="e">
        <f ca="1"/>
        <v>#NAME?</v>
      </c>
    </row>
    <row r="1402" spans="3:21" ht="12.5" x14ac:dyDescent="0.25">
      <c r="C1402" s="4">
        <f ca="1">IFERROR(__xludf.DUMMYFUNCTION("""COMPUTED_VALUE"""),41744.9986111111)</f>
        <v>41744.998611111099</v>
      </c>
      <c r="D1402" s="2">
        <f ca="1">IFERROR(__xludf.DUMMYFUNCTION("""COMPUTED_VALUE"""),60.228)</f>
        <v>60.228000000000002</v>
      </c>
      <c r="E1402" s="2">
        <f ca="1">IFERROR(__xludf.DUMMYFUNCTION("""COMPUTED_VALUE"""),80.031)</f>
        <v>80.031000000000006</v>
      </c>
      <c r="F1402" s="2">
        <f ca="1">IFERROR(__xludf.DUMMYFUNCTION("""COMPUTED_VALUE"""),102.03)</f>
        <v>102.03</v>
      </c>
      <c r="G1402" s="2">
        <f ca="1">IFERROR(__xludf.DUMMYFUNCTION("""COMPUTED_VALUE"""),0.59231)</f>
        <v>0.59231</v>
      </c>
      <c r="H1402" s="2">
        <f ca="1">IFERROR(__xludf.DUMMYFUNCTION("""COMPUTED_VALUE"""),53.722)</f>
        <v>53.722000000000001</v>
      </c>
      <c r="I1402" s="2">
        <f ca="1">IFERROR(__xludf.DUMMYFUNCTION("""COMPUTED_VALUE"""),53.451)</f>
        <v>53.451000000000001</v>
      </c>
      <c r="J1402" s="2">
        <f ca="1">IFERROR(__xludf.DUMMYFUNCTION("""COMPUTED_VALUE"""),46.867)</f>
        <v>46.866999999999997</v>
      </c>
      <c r="K1402" s="2">
        <f ca="1">IFERROR(__xludf.DUMMYFUNCTION("""COMPUTED_VALUE"""),68.956)</f>
        <v>68.956000000000003</v>
      </c>
      <c r="M1402" s="2">
        <f ca="1">IFERROR(__xludf.DUMMYFUNCTION("""COMPUTED_VALUE"""),16.662)</f>
        <v>16.661999999999999</v>
      </c>
      <c r="U1402" s="3" t="e">
        <f ca="1"/>
        <v>#NAME?</v>
      </c>
    </row>
    <row r="1403" spans="3:21" ht="12.5" x14ac:dyDescent="0.25">
      <c r="C1403" s="4">
        <f ca="1">IFERROR(__xludf.DUMMYFUNCTION("""COMPUTED_VALUE"""),41745.9986111111)</f>
        <v>41745.998611111099</v>
      </c>
      <c r="D1403" s="2">
        <f ca="1">IFERROR(__xludf.DUMMYFUNCTION("""COMPUTED_VALUE"""),60.25)</f>
        <v>60.25</v>
      </c>
      <c r="E1403" s="2">
        <f ca="1">IFERROR(__xludf.DUMMYFUNCTION("""COMPUTED_VALUE"""),80.44)</f>
        <v>80.44</v>
      </c>
      <c r="F1403" s="2">
        <f ca="1">IFERROR(__xludf.DUMMYFUNCTION("""COMPUTED_VALUE"""),102.09)</f>
        <v>102.09</v>
      </c>
      <c r="G1403" s="2">
        <f ca="1">IFERROR(__xludf.DUMMYFUNCTION("""COMPUTED_VALUE"""),0.5907)</f>
        <v>0.5907</v>
      </c>
      <c r="H1403" s="2">
        <f ca="1">IFERROR(__xludf.DUMMYFUNCTION("""COMPUTED_VALUE"""),53.988)</f>
        <v>53.988</v>
      </c>
      <c r="I1403" s="2">
        <f ca="1">IFERROR(__xludf.DUMMYFUNCTION("""COMPUTED_VALUE"""),53.833)</f>
        <v>53.832999999999998</v>
      </c>
      <c r="J1403" s="2">
        <f ca="1">IFERROR(__xludf.DUMMYFUNCTION("""COMPUTED_VALUE"""),46.528)</f>
        <v>46.527999999999999</v>
      </c>
      <c r="K1403" s="2">
        <f ca="1">IFERROR(__xludf.DUMMYFUNCTION("""COMPUTED_VALUE"""),68.412)</f>
        <v>68.412000000000006</v>
      </c>
      <c r="M1403" s="2">
        <f ca="1">IFERROR(__xludf.DUMMYFUNCTION("""COMPUTED_VALUE"""),16.602)</f>
        <v>16.602</v>
      </c>
      <c r="U1403" s="3" t="e">
        <f ca="1"/>
        <v>#NAME?</v>
      </c>
    </row>
    <row r="1404" spans="3:21" ht="12.5" x14ac:dyDescent="0.25">
      <c r="C1404" s="4">
        <f ca="1">IFERROR(__xludf.DUMMYFUNCTION("""COMPUTED_VALUE"""),41746.9986111111)</f>
        <v>41746.998611111099</v>
      </c>
      <c r="D1404" s="2">
        <f ca="1">IFERROR(__xludf.DUMMYFUNCTION("""COMPUTED_VALUE"""),60.288)</f>
        <v>60.287999999999997</v>
      </c>
      <c r="E1404" s="2">
        <f ca="1">IFERROR(__xludf.DUMMYFUNCTION("""COMPUTED_VALUE"""),79.983)</f>
        <v>79.983000000000004</v>
      </c>
      <c r="F1404" s="2">
        <f ca="1">IFERROR(__xludf.DUMMYFUNCTION("""COMPUTED_VALUE"""),102.42)</f>
        <v>102.42</v>
      </c>
      <c r="G1404" s="2">
        <f ca="1">IFERROR(__xludf.DUMMYFUNCTION("""COMPUTED_VALUE"""),0.58598)</f>
        <v>0.58597999999999995</v>
      </c>
      <c r="H1404" s="2">
        <f ca="1">IFERROR(__xludf.DUMMYFUNCTION("""COMPUTED_VALUE"""),53.955)</f>
        <v>53.954999999999998</v>
      </c>
      <c r="I1404" s="2">
        <f ca="1">IFERROR(__xludf.DUMMYFUNCTION("""COMPUTED_VALUE"""),53.732)</f>
        <v>53.731999999999999</v>
      </c>
      <c r="J1404" s="2">
        <f ca="1">IFERROR(__xludf.DUMMYFUNCTION("""COMPUTED_VALUE"""),46.665)</f>
        <v>46.664999999999999</v>
      </c>
      <c r="K1404" s="2">
        <f ca="1">IFERROR(__xludf.DUMMYFUNCTION("""COMPUTED_VALUE"""),67.875)</f>
        <v>67.875</v>
      </c>
      <c r="M1404" s="2">
        <f ca="1">IFERROR(__xludf.DUMMYFUNCTION("""COMPUTED_VALUE"""),16.619)</f>
        <v>16.619</v>
      </c>
      <c r="U1404" s="3" t="e">
        <f ca="1"/>
        <v>#NAME?</v>
      </c>
    </row>
    <row r="1405" spans="3:21" ht="12.5" x14ac:dyDescent="0.25">
      <c r="C1405" s="4">
        <f ca="1">IFERROR(__xludf.DUMMYFUNCTION("""COMPUTED_VALUE"""),41747.9986111111)</f>
        <v>41747.998611111099</v>
      </c>
      <c r="D1405" s="2">
        <f ca="1">IFERROR(__xludf.DUMMYFUNCTION("""COMPUTED_VALUE"""),60.288)</f>
        <v>60.287999999999997</v>
      </c>
      <c r="E1405" s="2">
        <f ca="1">IFERROR(__xludf.DUMMYFUNCTION("""COMPUTED_VALUE"""),80.051)</f>
        <v>80.051000000000002</v>
      </c>
      <c r="F1405" s="2">
        <f ca="1">IFERROR(__xludf.DUMMYFUNCTION("""COMPUTED_VALUE"""),101.18)</f>
        <v>101.18</v>
      </c>
      <c r="G1405" s="2">
        <f ca="1">IFERROR(__xludf.DUMMYFUNCTION("""COMPUTED_VALUE"""),0.58387)</f>
        <v>0.58387</v>
      </c>
      <c r="H1405" s="2">
        <f ca="1">IFERROR(__xludf.DUMMYFUNCTION("""COMPUTED_VALUE"""),54.235)</f>
        <v>54.234999999999999</v>
      </c>
      <c r="I1405" s="2">
        <f ca="1">IFERROR(__xludf.DUMMYFUNCTION("""COMPUTED_VALUE"""),54.017)</f>
        <v>54.017000000000003</v>
      </c>
      <c r="J1405" s="2">
        <f ca="1">IFERROR(__xludf.DUMMYFUNCTION("""COMPUTED_VALUE"""),46.624)</f>
        <v>46.624000000000002</v>
      </c>
      <c r="K1405" s="2">
        <f ca="1">IFERROR(__xludf.DUMMYFUNCTION("""COMPUTED_VALUE"""),67.873)</f>
        <v>67.873000000000005</v>
      </c>
      <c r="M1405" s="2">
        <f ca="1">IFERROR(__xludf.DUMMYFUNCTION("""COMPUTED_VALUE"""),16.637)</f>
        <v>16.637</v>
      </c>
      <c r="U1405" s="3" t="e">
        <f ca="1"/>
        <v>#NAME?</v>
      </c>
    </row>
    <row r="1406" spans="3:21" ht="12.5" x14ac:dyDescent="0.25">
      <c r="C1406" s="4">
        <f ca="1">IFERROR(__xludf.DUMMYFUNCTION("""COMPUTED_VALUE"""),41748.9986111111)</f>
        <v>41748.998611111099</v>
      </c>
      <c r="D1406" s="2">
        <f ca="1">IFERROR(__xludf.DUMMYFUNCTION("""COMPUTED_VALUE"""),60.288)</f>
        <v>60.287999999999997</v>
      </c>
      <c r="E1406" s="2">
        <f ca="1">IFERROR(__xludf.DUMMYFUNCTION("""COMPUTED_VALUE"""),80.629)</f>
        <v>80.629000000000005</v>
      </c>
      <c r="F1406" s="2">
        <f ca="1">IFERROR(__xludf.DUMMYFUNCTION("""COMPUTED_VALUE"""),101.18)</f>
        <v>101.18</v>
      </c>
      <c r="G1406" s="2">
        <f ca="1">IFERROR(__xludf.DUMMYFUNCTION("""COMPUTED_VALUE"""),0.58453)</f>
        <v>0.58452999999999999</v>
      </c>
      <c r="H1406" s="2">
        <f ca="1">IFERROR(__xludf.DUMMYFUNCTION("""COMPUTED_VALUE"""),54.628)</f>
        <v>54.628</v>
      </c>
      <c r="I1406" s="2">
        <f ca="1">IFERROR(__xludf.DUMMYFUNCTION("""COMPUTED_VALUE"""),54.33)</f>
        <v>54.33</v>
      </c>
      <c r="J1406" s="2">
        <f ca="1">IFERROR(__xludf.DUMMYFUNCTION("""COMPUTED_VALUE"""),46.796)</f>
        <v>46.795999999999999</v>
      </c>
      <c r="K1406" s="2">
        <f ca="1">IFERROR(__xludf.DUMMYFUNCTION("""COMPUTED_VALUE"""),67.473)</f>
        <v>67.472999999999999</v>
      </c>
      <c r="M1406" s="2">
        <f ca="1">IFERROR(__xludf.DUMMYFUNCTION("""COMPUTED_VALUE"""),16.594)</f>
        <v>16.594000000000001</v>
      </c>
      <c r="U1406" s="3" t="e">
        <f ca="1"/>
        <v>#NAME?</v>
      </c>
    </row>
    <row r="1407" spans="3:21" ht="12.5" x14ac:dyDescent="0.25">
      <c r="C1407" s="4">
        <f ca="1">IFERROR(__xludf.DUMMYFUNCTION("""COMPUTED_VALUE"""),41749.9986111111)</f>
        <v>41749.998611111099</v>
      </c>
      <c r="D1407" s="2">
        <f ca="1">IFERROR(__xludf.DUMMYFUNCTION("""COMPUTED_VALUE"""),60.15)</f>
        <v>60.15</v>
      </c>
      <c r="E1407" s="2">
        <f ca="1">IFERROR(__xludf.DUMMYFUNCTION("""COMPUTED_VALUE"""),80.359)</f>
        <v>80.358999999999995</v>
      </c>
      <c r="F1407" s="2">
        <f ca="1">IFERROR(__xludf.DUMMYFUNCTION("""COMPUTED_VALUE"""),101.64)</f>
        <v>101.64</v>
      </c>
      <c r="G1407" s="2">
        <f ca="1">IFERROR(__xludf.DUMMYFUNCTION("""COMPUTED_VALUE"""),0.58454)</f>
        <v>0.58453999999999995</v>
      </c>
      <c r="H1407" s="2">
        <f ca="1">IFERROR(__xludf.DUMMYFUNCTION("""COMPUTED_VALUE"""),54.316)</f>
        <v>54.316000000000003</v>
      </c>
      <c r="I1407" s="2">
        <f ca="1">IFERROR(__xludf.DUMMYFUNCTION("""COMPUTED_VALUE"""),54.105)</f>
        <v>54.104999999999997</v>
      </c>
      <c r="J1407" s="2">
        <f ca="1">IFERROR(__xludf.DUMMYFUNCTION("""COMPUTED_VALUE"""),46.956)</f>
        <v>46.956000000000003</v>
      </c>
      <c r="K1407" s="2">
        <f ca="1">IFERROR(__xludf.DUMMYFUNCTION("""COMPUTED_VALUE"""),67.545)</f>
        <v>67.545000000000002</v>
      </c>
      <c r="M1407" s="2">
        <f ca="1">IFERROR(__xludf.DUMMYFUNCTION("""COMPUTED_VALUE"""),16.698)</f>
        <v>16.698</v>
      </c>
      <c r="U1407" s="3" t="e">
        <f ca="1"/>
        <v>#NAME?</v>
      </c>
    </row>
    <row r="1408" spans="3:21" ht="12.5" x14ac:dyDescent="0.25">
      <c r="C1408" s="4">
        <f ca="1">IFERROR(__xludf.DUMMYFUNCTION("""COMPUTED_VALUE"""),41750.9986111111)</f>
        <v>41750.998611111099</v>
      </c>
      <c r="D1408" s="2">
        <f ca="1">IFERROR(__xludf.DUMMYFUNCTION("""COMPUTED_VALUE"""),60.288)</f>
        <v>60.287999999999997</v>
      </c>
      <c r="E1408" s="2">
        <f ca="1">IFERROR(__xludf.DUMMYFUNCTION("""COMPUTED_VALUE"""),80.795)</f>
        <v>80.795000000000002</v>
      </c>
      <c r="F1408" s="2">
        <f ca="1">IFERROR(__xludf.DUMMYFUNCTION("""COMPUTED_VALUE"""),101.6)</f>
        <v>101.6</v>
      </c>
      <c r="G1408" s="2">
        <f ca="1">IFERROR(__xludf.DUMMYFUNCTION("""COMPUTED_VALUE"""),0.58812)</f>
        <v>0.58811999999999998</v>
      </c>
      <c r="H1408" s="2">
        <f ca="1">IFERROR(__xludf.DUMMYFUNCTION("""COMPUTED_VALUE"""),54.777)</f>
        <v>54.777000000000001</v>
      </c>
      <c r="I1408" s="2">
        <f ca="1">IFERROR(__xludf.DUMMYFUNCTION("""COMPUTED_VALUE"""),54.304)</f>
        <v>54.304000000000002</v>
      </c>
      <c r="J1408" s="2">
        <f ca="1">IFERROR(__xludf.DUMMYFUNCTION("""COMPUTED_VALUE"""),46.842)</f>
        <v>46.841999999999999</v>
      </c>
      <c r="K1408" s="2">
        <f ca="1">IFERROR(__xludf.DUMMYFUNCTION("""COMPUTED_VALUE"""),67.543)</f>
        <v>67.543000000000006</v>
      </c>
      <c r="M1408" s="2">
        <f ca="1">IFERROR(__xludf.DUMMYFUNCTION("""COMPUTED_VALUE"""),16.579)</f>
        <v>16.579000000000001</v>
      </c>
      <c r="U1408" s="3" t="e">
        <f ca="1"/>
        <v>#NAME?</v>
      </c>
    </row>
    <row r="1409" spans="3:21" ht="12.5" x14ac:dyDescent="0.25">
      <c r="C1409" s="4">
        <f ca="1">IFERROR(__xludf.DUMMYFUNCTION("""COMPUTED_VALUE"""),41751.9986111111)</f>
        <v>41751.998611111099</v>
      </c>
      <c r="D1409" s="2">
        <f ca="1">IFERROR(__xludf.DUMMYFUNCTION("""COMPUTED_VALUE"""),60.88)</f>
        <v>60.88</v>
      </c>
      <c r="E1409" s="2">
        <f ca="1">IFERROR(__xludf.DUMMYFUNCTION("""COMPUTED_VALUE"""),80.538)</f>
        <v>80.537999999999997</v>
      </c>
      <c r="F1409" s="2">
        <f ca="1">IFERROR(__xludf.DUMMYFUNCTION("""COMPUTED_VALUE"""),101.82)</f>
        <v>101.82</v>
      </c>
      <c r="G1409" s="2">
        <f ca="1">IFERROR(__xludf.DUMMYFUNCTION("""COMPUTED_VALUE"""),0.58794)</f>
        <v>0.58794000000000002</v>
      </c>
      <c r="H1409" s="2">
        <f ca="1">IFERROR(__xludf.DUMMYFUNCTION("""COMPUTED_VALUE"""),55.06)</f>
        <v>55.06</v>
      </c>
      <c r="I1409" s="2">
        <f ca="1">IFERROR(__xludf.DUMMYFUNCTION("""COMPUTED_VALUE"""),54.523)</f>
        <v>54.523000000000003</v>
      </c>
      <c r="J1409" s="2">
        <f ca="1">IFERROR(__xludf.DUMMYFUNCTION("""COMPUTED_VALUE"""),46.92)</f>
        <v>46.92</v>
      </c>
      <c r="K1409" s="2">
        <f ca="1">IFERROR(__xludf.DUMMYFUNCTION("""COMPUTED_VALUE"""),67.805)</f>
        <v>67.805000000000007</v>
      </c>
      <c r="M1409" s="2">
        <f ca="1">IFERROR(__xludf.DUMMYFUNCTION("""COMPUTED_VALUE"""),16.579)</f>
        <v>16.579000000000001</v>
      </c>
      <c r="U1409" s="3" t="e">
        <f ca="1"/>
        <v>#NAME?</v>
      </c>
    </row>
    <row r="1410" spans="3:21" ht="12.5" x14ac:dyDescent="0.25">
      <c r="C1410" s="4">
        <f ca="1">IFERROR(__xludf.DUMMYFUNCTION("""COMPUTED_VALUE"""),41752.9986111111)</f>
        <v>41752.998611111099</v>
      </c>
      <c r="D1410" s="2">
        <f ca="1">IFERROR(__xludf.DUMMYFUNCTION("""COMPUTED_VALUE"""),61.088)</f>
        <v>61.088000000000001</v>
      </c>
      <c r="E1410" s="2">
        <f ca="1">IFERROR(__xludf.DUMMYFUNCTION("""COMPUTED_VALUE"""),80.875)</f>
        <v>80.875</v>
      </c>
      <c r="F1410" s="2">
        <f ca="1">IFERROR(__xludf.DUMMYFUNCTION("""COMPUTED_VALUE"""),101.88)</f>
        <v>101.88</v>
      </c>
      <c r="G1410" s="2">
        <f ca="1">IFERROR(__xludf.DUMMYFUNCTION("""COMPUTED_VALUE"""),0.58769)</f>
        <v>0.58769000000000005</v>
      </c>
      <c r="H1410" s="2">
        <f ca="1">IFERROR(__xludf.DUMMYFUNCTION("""COMPUTED_VALUE"""),54.624)</f>
        <v>54.624000000000002</v>
      </c>
      <c r="I1410" s="2">
        <f ca="1">IFERROR(__xludf.DUMMYFUNCTION("""COMPUTED_VALUE"""),54.22)</f>
        <v>54.22</v>
      </c>
      <c r="J1410" s="2">
        <f ca="1">IFERROR(__xludf.DUMMYFUNCTION("""COMPUTED_VALUE"""),47.172)</f>
        <v>47.171999999999997</v>
      </c>
      <c r="K1410" s="2">
        <f ca="1">IFERROR(__xludf.DUMMYFUNCTION("""COMPUTED_VALUE"""),67.863)</f>
        <v>67.863</v>
      </c>
      <c r="M1410" s="2">
        <f ca="1">IFERROR(__xludf.DUMMYFUNCTION("""COMPUTED_VALUE"""),16.613)</f>
        <v>16.613</v>
      </c>
      <c r="U1410" s="3" t="e">
        <f ca="1"/>
        <v>#NAME?</v>
      </c>
    </row>
    <row r="1411" spans="3:21" ht="12.5" x14ac:dyDescent="0.25">
      <c r="C1411" s="4">
        <f ca="1">IFERROR(__xludf.DUMMYFUNCTION("""COMPUTED_VALUE"""),41753.9986111111)</f>
        <v>41753.998611111099</v>
      </c>
      <c r="D1411" s="2">
        <f ca="1">IFERROR(__xludf.DUMMYFUNCTION("""COMPUTED_VALUE"""),61.103)</f>
        <v>61.103000000000002</v>
      </c>
      <c r="E1411" s="2">
        <f ca="1">IFERROR(__xludf.DUMMYFUNCTION("""COMPUTED_VALUE"""),80.65)</f>
        <v>80.650000000000006</v>
      </c>
      <c r="F1411" s="2">
        <f ca="1">IFERROR(__xludf.DUMMYFUNCTION("""COMPUTED_VALUE"""),101.49)</f>
        <v>101.49</v>
      </c>
      <c r="G1411" s="2">
        <f ca="1">IFERROR(__xludf.DUMMYFUNCTION("""COMPUTED_VALUE"""),0.59385)</f>
        <v>0.59384999999999999</v>
      </c>
      <c r="H1411" s="2">
        <f ca="1">IFERROR(__xludf.DUMMYFUNCTION("""COMPUTED_VALUE"""),54.923)</f>
        <v>54.923000000000002</v>
      </c>
      <c r="I1411" s="2">
        <f ca="1">IFERROR(__xludf.DUMMYFUNCTION("""COMPUTED_VALUE"""),54.336)</f>
        <v>54.335999999999999</v>
      </c>
      <c r="J1411" s="2">
        <f ca="1">IFERROR(__xludf.DUMMYFUNCTION("""COMPUTED_VALUE"""),47.017)</f>
        <v>47.017000000000003</v>
      </c>
      <c r="K1411" s="2">
        <f ca="1">IFERROR(__xludf.DUMMYFUNCTION("""COMPUTED_VALUE"""),67.499)</f>
        <v>67.498999999999995</v>
      </c>
      <c r="M1411" s="2">
        <f ca="1">IFERROR(__xludf.DUMMYFUNCTION("""COMPUTED_VALUE"""),16.496)</f>
        <v>16.495999999999999</v>
      </c>
      <c r="U1411" s="3" t="e">
        <f ca="1"/>
        <v>#NAME?</v>
      </c>
    </row>
    <row r="1412" spans="3:21" ht="12.5" x14ac:dyDescent="0.25">
      <c r="C1412" s="4">
        <f ca="1">IFERROR(__xludf.DUMMYFUNCTION("""COMPUTED_VALUE"""),41754.9986111111)</f>
        <v>41754.998611111099</v>
      </c>
      <c r="D1412" s="2">
        <f ca="1">IFERROR(__xludf.DUMMYFUNCTION("""COMPUTED_VALUE"""),60.638)</f>
        <v>60.637999999999998</v>
      </c>
      <c r="E1412" s="2">
        <f ca="1">IFERROR(__xludf.DUMMYFUNCTION("""COMPUTED_VALUE"""),80.72)</f>
        <v>80.72</v>
      </c>
      <c r="F1412" s="2">
        <f ca="1">IFERROR(__xludf.DUMMYFUNCTION("""COMPUTED_VALUE"""),101.55)</f>
        <v>101.55</v>
      </c>
      <c r="G1412" s="2">
        <f ca="1">IFERROR(__xludf.DUMMYFUNCTION("""COMPUTED_VALUE"""),0.59263)</f>
        <v>0.59262999999999999</v>
      </c>
      <c r="H1412" s="2">
        <f ca="1">IFERROR(__xludf.DUMMYFUNCTION("""COMPUTED_VALUE"""),54.94)</f>
        <v>54.94</v>
      </c>
      <c r="I1412" s="2">
        <f ca="1">IFERROR(__xludf.DUMMYFUNCTION("""COMPUTED_VALUE"""),54.122)</f>
        <v>54.122</v>
      </c>
      <c r="J1412" s="2">
        <f ca="1">IFERROR(__xludf.DUMMYFUNCTION("""COMPUTED_VALUE"""),47.185)</f>
        <v>47.185000000000002</v>
      </c>
      <c r="K1412" s="2">
        <f ca="1">IFERROR(__xludf.DUMMYFUNCTION("""COMPUTED_VALUE"""),67.768)</f>
        <v>67.768000000000001</v>
      </c>
      <c r="M1412" s="2">
        <f ca="1">IFERROR(__xludf.DUMMYFUNCTION("""COMPUTED_VALUE"""),16.395)</f>
        <v>16.395</v>
      </c>
      <c r="U1412" s="3" t="e">
        <f ca="1"/>
        <v>#NAME?</v>
      </c>
    </row>
    <row r="1413" spans="3:21" ht="12.5" x14ac:dyDescent="0.25">
      <c r="C1413" s="4">
        <f ca="1">IFERROR(__xludf.DUMMYFUNCTION("""COMPUTED_VALUE"""),41755.9986111111)</f>
        <v>41755.998611111099</v>
      </c>
      <c r="D1413" s="2">
        <f ca="1">IFERROR(__xludf.DUMMYFUNCTION("""COMPUTED_VALUE"""),60.629)</f>
        <v>60.628999999999998</v>
      </c>
      <c r="E1413" s="2">
        <f ca="1">IFERROR(__xludf.DUMMYFUNCTION("""COMPUTED_VALUE"""),80.65)</f>
        <v>80.650000000000006</v>
      </c>
      <c r="F1413" s="2">
        <f ca="1">IFERROR(__xludf.DUMMYFUNCTION("""COMPUTED_VALUE"""),101.32)</f>
        <v>101.32</v>
      </c>
      <c r="G1413" s="2">
        <f ca="1">IFERROR(__xludf.DUMMYFUNCTION("""COMPUTED_VALUE"""),0.59296)</f>
        <v>0.59296000000000004</v>
      </c>
      <c r="H1413" s="2">
        <f ca="1">IFERROR(__xludf.DUMMYFUNCTION("""COMPUTED_VALUE"""),55.242)</f>
        <v>55.241999999999997</v>
      </c>
      <c r="I1413" s="2">
        <f ca="1">IFERROR(__xludf.DUMMYFUNCTION("""COMPUTED_VALUE"""),54.186)</f>
        <v>54.186</v>
      </c>
      <c r="J1413" s="2">
        <f ca="1">IFERROR(__xludf.DUMMYFUNCTION("""COMPUTED_VALUE"""),47.075)</f>
        <v>47.075000000000003</v>
      </c>
      <c r="K1413" s="2">
        <f ca="1">IFERROR(__xludf.DUMMYFUNCTION("""COMPUTED_VALUE"""),67.281)</f>
        <v>67.281000000000006</v>
      </c>
      <c r="M1413" s="2">
        <f ca="1">IFERROR(__xludf.DUMMYFUNCTION("""COMPUTED_VALUE"""),16.379)</f>
        <v>16.379000000000001</v>
      </c>
      <c r="U1413" s="3" t="e">
        <f ca="1"/>
        <v>#NAME?</v>
      </c>
    </row>
    <row r="1414" spans="3:21" ht="12.5" x14ac:dyDescent="0.25">
      <c r="C1414" s="4">
        <f ca="1">IFERROR(__xludf.DUMMYFUNCTION("""COMPUTED_VALUE"""),41756.9986111111)</f>
        <v>41756.998611111099</v>
      </c>
      <c r="D1414" s="2">
        <f ca="1">IFERROR(__xludf.DUMMYFUNCTION("""COMPUTED_VALUE"""),60.63)</f>
        <v>60.63</v>
      </c>
      <c r="E1414" s="2">
        <f ca="1">IFERROR(__xludf.DUMMYFUNCTION("""COMPUTED_VALUE"""),80.397)</f>
        <v>80.397000000000006</v>
      </c>
      <c r="F1414" s="2">
        <f ca="1">IFERROR(__xludf.DUMMYFUNCTION("""COMPUTED_VALUE"""),100.74)</f>
        <v>100.74</v>
      </c>
      <c r="G1414" s="2">
        <f ca="1">IFERROR(__xludf.DUMMYFUNCTION("""COMPUTED_VALUE"""),0.59296)</f>
        <v>0.59296000000000004</v>
      </c>
      <c r="H1414" s="2">
        <f ca="1">IFERROR(__xludf.DUMMYFUNCTION("""COMPUTED_VALUE"""),55.173)</f>
        <v>55.173000000000002</v>
      </c>
      <c r="I1414" s="2">
        <f ca="1">IFERROR(__xludf.DUMMYFUNCTION("""COMPUTED_VALUE"""),54.088)</f>
        <v>54.088000000000001</v>
      </c>
      <c r="J1414" s="2">
        <f ca="1">IFERROR(__xludf.DUMMYFUNCTION("""COMPUTED_VALUE"""),47.259)</f>
        <v>47.259</v>
      </c>
      <c r="K1414" s="2">
        <f ca="1">IFERROR(__xludf.DUMMYFUNCTION("""COMPUTED_VALUE"""),67.375)</f>
        <v>67.375</v>
      </c>
      <c r="M1414" s="2">
        <f ca="1">IFERROR(__xludf.DUMMYFUNCTION("""COMPUTED_VALUE"""),16.4)</f>
        <v>16.399999999999999</v>
      </c>
      <c r="U1414" s="3" t="e">
        <f ca="1"/>
        <v>#NAME?</v>
      </c>
    </row>
    <row r="1415" spans="3:21" ht="12.5" x14ac:dyDescent="0.25">
      <c r="C1415" s="4">
        <f ca="1">IFERROR(__xludf.DUMMYFUNCTION("""COMPUTED_VALUE"""),41757.9986111111)</f>
        <v>41757.998611111099</v>
      </c>
      <c r="D1415" s="2">
        <f ca="1">IFERROR(__xludf.DUMMYFUNCTION("""COMPUTED_VALUE"""),60.643)</f>
        <v>60.643000000000001</v>
      </c>
      <c r="E1415" s="2">
        <f ca="1">IFERROR(__xludf.DUMMYFUNCTION("""COMPUTED_VALUE"""),80.121)</f>
        <v>80.120999999999995</v>
      </c>
      <c r="F1415" s="2">
        <f ca="1">IFERROR(__xludf.DUMMYFUNCTION("""COMPUTED_VALUE"""),101.15)</f>
        <v>101.15</v>
      </c>
      <c r="G1415" s="2">
        <f ca="1">IFERROR(__xludf.DUMMYFUNCTION("""COMPUTED_VALUE"""),0.59155)</f>
        <v>0.59155000000000002</v>
      </c>
      <c r="H1415" s="2">
        <f ca="1">IFERROR(__xludf.DUMMYFUNCTION("""COMPUTED_VALUE"""),55.222)</f>
        <v>55.222000000000001</v>
      </c>
      <c r="I1415" s="2">
        <f ca="1">IFERROR(__xludf.DUMMYFUNCTION("""COMPUTED_VALUE"""),54.135)</f>
        <v>54.134999999999998</v>
      </c>
      <c r="J1415" s="2">
        <f ca="1">IFERROR(__xludf.DUMMYFUNCTION("""COMPUTED_VALUE"""),47.231)</f>
        <v>47.231000000000002</v>
      </c>
      <c r="K1415" s="2">
        <f ca="1">IFERROR(__xludf.DUMMYFUNCTION("""COMPUTED_VALUE"""),66.854)</f>
        <v>66.853999999999999</v>
      </c>
      <c r="M1415" s="2">
        <f ca="1">IFERROR(__xludf.DUMMYFUNCTION("""COMPUTED_VALUE"""),16.304)</f>
        <v>16.303999999999998</v>
      </c>
      <c r="U1415" s="3" t="e">
        <f ca="1"/>
        <v>#NAME?</v>
      </c>
    </row>
    <row r="1416" spans="3:21" ht="12.5" x14ac:dyDescent="0.25">
      <c r="C1416" s="4">
        <f ca="1">IFERROR(__xludf.DUMMYFUNCTION("""COMPUTED_VALUE"""),41758.9986111111)</f>
        <v>41758.998611111099</v>
      </c>
      <c r="D1416" s="2">
        <f ca="1">IFERROR(__xludf.DUMMYFUNCTION("""COMPUTED_VALUE"""),60.418)</f>
        <v>60.417999999999999</v>
      </c>
      <c r="E1416" s="2">
        <f ca="1">IFERROR(__xludf.DUMMYFUNCTION("""COMPUTED_VALUE"""),80.231)</f>
        <v>80.230999999999995</v>
      </c>
      <c r="F1416" s="2">
        <f ca="1">IFERROR(__xludf.DUMMYFUNCTION("""COMPUTED_VALUE"""),100.35)</f>
        <v>100.35</v>
      </c>
      <c r="G1416" s="2">
        <f ca="1">IFERROR(__xludf.DUMMYFUNCTION("""COMPUTED_VALUE"""),0.59078)</f>
        <v>0.59077999999999997</v>
      </c>
      <c r="H1416" s="2">
        <f ca="1">IFERROR(__xludf.DUMMYFUNCTION("""COMPUTED_VALUE"""),55.179)</f>
        <v>55.179000000000002</v>
      </c>
      <c r="I1416" s="2">
        <f ca="1">IFERROR(__xludf.DUMMYFUNCTION("""COMPUTED_VALUE"""),54.08)</f>
        <v>54.08</v>
      </c>
      <c r="J1416" s="2">
        <f ca="1">IFERROR(__xludf.DUMMYFUNCTION("""COMPUTED_VALUE"""),47.266)</f>
        <v>47.265999999999998</v>
      </c>
      <c r="K1416" s="2">
        <f ca="1">IFERROR(__xludf.DUMMYFUNCTION("""COMPUTED_VALUE"""),67.656)</f>
        <v>67.656000000000006</v>
      </c>
      <c r="M1416" s="2">
        <f ca="1">IFERROR(__xludf.DUMMYFUNCTION("""COMPUTED_VALUE"""),16.304)</f>
        <v>16.303999999999998</v>
      </c>
      <c r="U1416" s="3" t="e">
        <f ca="1"/>
        <v>#NAME?</v>
      </c>
    </row>
    <row r="1417" spans="3:21" ht="12.5" x14ac:dyDescent="0.25">
      <c r="C1417" s="4">
        <f ca="1">IFERROR(__xludf.DUMMYFUNCTION("""COMPUTED_VALUE"""),41759.9986111111)</f>
        <v>41759.998611111099</v>
      </c>
      <c r="D1417" s="2">
        <f ca="1">IFERROR(__xludf.DUMMYFUNCTION("""COMPUTED_VALUE"""),60.338)</f>
        <v>60.338000000000001</v>
      </c>
      <c r="E1417" s="2">
        <f ca="1">IFERROR(__xludf.DUMMYFUNCTION("""COMPUTED_VALUE"""),80.268)</f>
        <v>80.268000000000001</v>
      </c>
      <c r="F1417" s="2">
        <f ca="1">IFERROR(__xludf.DUMMYFUNCTION("""COMPUTED_VALUE"""),100.39)</f>
        <v>100.39</v>
      </c>
      <c r="G1417" s="2">
        <f ca="1">IFERROR(__xludf.DUMMYFUNCTION("""COMPUTED_VALUE"""),0.59089)</f>
        <v>0.59089000000000003</v>
      </c>
      <c r="H1417" s="2">
        <f ca="1">IFERROR(__xludf.DUMMYFUNCTION("""COMPUTED_VALUE"""),55.32)</f>
        <v>55.32</v>
      </c>
      <c r="I1417" s="2">
        <f ca="1">IFERROR(__xludf.DUMMYFUNCTION("""COMPUTED_VALUE"""),54.229)</f>
        <v>54.228999999999999</v>
      </c>
      <c r="J1417" s="2">
        <f ca="1">IFERROR(__xludf.DUMMYFUNCTION("""COMPUTED_VALUE"""),47.231)</f>
        <v>47.231000000000002</v>
      </c>
      <c r="K1417" s="2">
        <f ca="1">IFERROR(__xludf.DUMMYFUNCTION("""COMPUTED_VALUE"""),67.929)</f>
        <v>67.929000000000002</v>
      </c>
      <c r="M1417" s="2">
        <f ca="1">IFERROR(__xludf.DUMMYFUNCTION("""COMPUTED_VALUE"""),16.292)</f>
        <v>16.292000000000002</v>
      </c>
      <c r="U1417" s="3" t="e">
        <f ca="1"/>
        <v>#NAME?</v>
      </c>
    </row>
    <row r="1418" spans="3:21" ht="12.5" x14ac:dyDescent="0.25">
      <c r="C1418" s="4">
        <f ca="1">IFERROR(__xludf.DUMMYFUNCTION("""COMPUTED_VALUE"""),41760.9986111111)</f>
        <v>41760.998611111099</v>
      </c>
      <c r="D1418" s="2">
        <f ca="1">IFERROR(__xludf.DUMMYFUNCTION("""COMPUTED_VALUE"""),60.263)</f>
        <v>60.262999999999998</v>
      </c>
      <c r="E1418" s="2">
        <f ca="1">IFERROR(__xludf.DUMMYFUNCTION("""COMPUTED_VALUE"""),80.776)</f>
        <v>80.775999999999996</v>
      </c>
      <c r="F1418" s="2">
        <f ca="1">IFERROR(__xludf.DUMMYFUNCTION("""COMPUTED_VALUE"""),100.61)</f>
        <v>100.61</v>
      </c>
      <c r="G1418" s="2">
        <f ca="1">IFERROR(__xludf.DUMMYFUNCTION("""COMPUTED_VALUE"""),0.59453)</f>
        <v>0.59453</v>
      </c>
      <c r="H1418" s="2">
        <f ca="1">IFERROR(__xludf.DUMMYFUNCTION("""COMPUTED_VALUE"""),55.455)</f>
        <v>55.454999999999998</v>
      </c>
      <c r="I1418" s="2">
        <f ca="1">IFERROR(__xludf.DUMMYFUNCTION("""COMPUTED_VALUE"""),54.249)</f>
        <v>54.249000000000002</v>
      </c>
      <c r="J1418" s="2">
        <f ca="1">IFERROR(__xludf.DUMMYFUNCTION("""COMPUTED_VALUE"""),47.315)</f>
        <v>47.314999999999998</v>
      </c>
      <c r="K1418" s="2">
        <f ca="1">IFERROR(__xludf.DUMMYFUNCTION("""COMPUTED_VALUE"""),68.307)</f>
        <v>68.307000000000002</v>
      </c>
      <c r="M1418" s="2">
        <f ca="1">IFERROR(__xludf.DUMMYFUNCTION("""COMPUTED_VALUE"""),16.338)</f>
        <v>16.338000000000001</v>
      </c>
      <c r="U1418" s="3" t="e">
        <f ca="1"/>
        <v>#NAME?</v>
      </c>
    </row>
    <row r="1419" spans="3:21" ht="12.5" x14ac:dyDescent="0.25">
      <c r="C1419" s="4">
        <f ca="1">IFERROR(__xludf.DUMMYFUNCTION("""COMPUTED_VALUE"""),41761.9986111111)</f>
        <v>41761.998611111099</v>
      </c>
      <c r="D1419" s="2">
        <f ca="1">IFERROR(__xludf.DUMMYFUNCTION("""COMPUTED_VALUE"""),60.178)</f>
        <v>60.177999999999997</v>
      </c>
      <c r="E1419" s="2">
        <f ca="1">IFERROR(__xludf.DUMMYFUNCTION("""COMPUTED_VALUE"""),80.826)</f>
        <v>80.825999999999993</v>
      </c>
      <c r="F1419" s="2">
        <f ca="1">IFERROR(__xludf.DUMMYFUNCTION("""COMPUTED_VALUE"""),100.17)</f>
        <v>100.17</v>
      </c>
      <c r="G1419" s="2">
        <f ca="1">IFERROR(__xludf.DUMMYFUNCTION("""COMPUTED_VALUE"""),0.59411)</f>
        <v>0.59411000000000003</v>
      </c>
      <c r="H1419" s="2">
        <f ca="1">IFERROR(__xludf.DUMMYFUNCTION("""COMPUTED_VALUE"""),55.607)</f>
        <v>55.606999999999999</v>
      </c>
      <c r="I1419" s="2">
        <f ca="1">IFERROR(__xludf.DUMMYFUNCTION("""COMPUTED_VALUE"""),54.543)</f>
        <v>54.542999999999999</v>
      </c>
      <c r="J1419" s="2">
        <f ca="1">IFERROR(__xludf.DUMMYFUNCTION("""COMPUTED_VALUE"""),47.337)</f>
        <v>47.337000000000003</v>
      </c>
      <c r="K1419" s="2">
        <f ca="1">IFERROR(__xludf.DUMMYFUNCTION("""COMPUTED_VALUE"""),68.812)</f>
        <v>68.811999999999998</v>
      </c>
      <c r="M1419" s="2">
        <f ca="1">IFERROR(__xludf.DUMMYFUNCTION("""COMPUTED_VALUE"""),16.275)</f>
        <v>16.274999999999999</v>
      </c>
      <c r="U1419" s="3" t="e">
        <f ca="1"/>
        <v>#NAME?</v>
      </c>
    </row>
    <row r="1420" spans="3:21" ht="12.5" x14ac:dyDescent="0.25">
      <c r="C1420" s="4">
        <f ca="1">IFERROR(__xludf.DUMMYFUNCTION("""COMPUTED_VALUE"""),41762.9986111111)</f>
        <v>41762.998611111099</v>
      </c>
      <c r="D1420" s="2">
        <f ca="1">IFERROR(__xludf.DUMMYFUNCTION("""COMPUTED_VALUE"""),60.06)</f>
        <v>60.06</v>
      </c>
      <c r="E1420" s="2">
        <f ca="1">IFERROR(__xludf.DUMMYFUNCTION("""COMPUTED_VALUE"""),80.838)</f>
        <v>80.837999999999994</v>
      </c>
      <c r="F1420" s="2">
        <f ca="1">IFERROR(__xludf.DUMMYFUNCTION("""COMPUTED_VALUE"""),99.892)</f>
        <v>99.891999999999996</v>
      </c>
      <c r="G1420" s="2">
        <f ca="1">IFERROR(__xludf.DUMMYFUNCTION("""COMPUTED_VALUE"""),0.59484)</f>
        <v>0.59484000000000004</v>
      </c>
      <c r="H1420" s="2">
        <f ca="1">IFERROR(__xludf.DUMMYFUNCTION("""COMPUTED_VALUE"""),55.825)</f>
        <v>55.825000000000003</v>
      </c>
      <c r="I1420" s="2">
        <f ca="1">IFERROR(__xludf.DUMMYFUNCTION("""COMPUTED_VALUE"""),54.568)</f>
        <v>54.567999999999998</v>
      </c>
      <c r="J1420" s="2">
        <f ca="1">IFERROR(__xludf.DUMMYFUNCTION("""COMPUTED_VALUE"""),47.416)</f>
        <v>47.415999999999997</v>
      </c>
      <c r="K1420" s="2">
        <f ca="1">IFERROR(__xludf.DUMMYFUNCTION("""COMPUTED_VALUE"""),68.637)</f>
        <v>68.637</v>
      </c>
      <c r="M1420" s="2">
        <f ca="1">IFERROR(__xludf.DUMMYFUNCTION("""COMPUTED_VALUE"""),16.307)</f>
        <v>16.306999999999999</v>
      </c>
      <c r="U1420" s="3" t="e">
        <f ca="1"/>
        <v>#NAME?</v>
      </c>
    </row>
    <row r="1421" spans="3:21" ht="12.5" x14ac:dyDescent="0.25">
      <c r="C1421" s="4">
        <f ca="1">IFERROR(__xludf.DUMMYFUNCTION("""COMPUTED_VALUE"""),41763.9986111111)</f>
        <v>41763.998611111099</v>
      </c>
      <c r="D1421" s="2">
        <f ca="1">IFERROR(__xludf.DUMMYFUNCTION("""COMPUTED_VALUE"""),60.02)</f>
        <v>60.02</v>
      </c>
      <c r="E1421" s="2">
        <f ca="1">IFERROR(__xludf.DUMMYFUNCTION("""COMPUTED_VALUE"""),81.609)</f>
        <v>81.608999999999995</v>
      </c>
      <c r="F1421" s="2">
        <f ca="1">IFERROR(__xludf.DUMMYFUNCTION("""COMPUTED_VALUE"""),99.589)</f>
        <v>99.588999999999999</v>
      </c>
      <c r="G1421" s="2">
        <f ca="1">IFERROR(__xludf.DUMMYFUNCTION("""COMPUTED_VALUE"""),0.59484)</f>
        <v>0.59484000000000004</v>
      </c>
      <c r="H1421" s="2">
        <f ca="1">IFERROR(__xludf.DUMMYFUNCTION("""COMPUTED_VALUE"""),56.102)</f>
        <v>56.101999999999997</v>
      </c>
      <c r="I1421" s="2">
        <f ca="1">IFERROR(__xludf.DUMMYFUNCTION("""COMPUTED_VALUE"""),54.961)</f>
        <v>54.960999999999999</v>
      </c>
      <c r="J1421" s="2">
        <f ca="1">IFERROR(__xludf.DUMMYFUNCTION("""COMPUTED_VALUE"""),47.467)</f>
        <v>47.466999999999999</v>
      </c>
      <c r="K1421" s="2">
        <f ca="1">IFERROR(__xludf.DUMMYFUNCTION("""COMPUTED_VALUE"""),68.702)</f>
        <v>68.701999999999998</v>
      </c>
      <c r="M1421" s="2">
        <f ca="1">IFERROR(__xludf.DUMMYFUNCTION("""COMPUTED_VALUE"""),16.441)</f>
        <v>16.440999999999999</v>
      </c>
      <c r="U1421" s="3" t="e">
        <f ca="1"/>
        <v>#NAME?</v>
      </c>
    </row>
    <row r="1422" spans="3:21" ht="12.5" x14ac:dyDescent="0.25">
      <c r="C1422" s="4">
        <f ca="1">IFERROR(__xludf.DUMMYFUNCTION("""COMPUTED_VALUE"""),41764.9986111111)</f>
        <v>41764.998611111099</v>
      </c>
      <c r="D1422" s="2">
        <f ca="1">IFERROR(__xludf.DUMMYFUNCTION("""COMPUTED_VALUE"""),60.11)</f>
        <v>60.11</v>
      </c>
      <c r="E1422" s="2">
        <f ca="1">IFERROR(__xludf.DUMMYFUNCTION("""COMPUTED_VALUE"""),81.652)</f>
        <v>81.652000000000001</v>
      </c>
      <c r="F1422" s="2">
        <f ca="1">IFERROR(__xludf.DUMMYFUNCTION("""COMPUTED_VALUE"""),99.934)</f>
        <v>99.933999999999997</v>
      </c>
      <c r="G1422" s="2">
        <f ca="1">IFERROR(__xludf.DUMMYFUNCTION("""COMPUTED_VALUE"""),0.59337)</f>
        <v>0.59336999999999995</v>
      </c>
      <c r="H1422" s="2">
        <f ca="1">IFERROR(__xludf.DUMMYFUNCTION("""COMPUTED_VALUE"""),56.133)</f>
        <v>56.133000000000003</v>
      </c>
      <c r="I1422" s="2">
        <f ca="1">IFERROR(__xludf.DUMMYFUNCTION("""COMPUTED_VALUE"""),54.99)</f>
        <v>54.99</v>
      </c>
      <c r="J1422" s="2">
        <f ca="1">IFERROR(__xludf.DUMMYFUNCTION("""COMPUTED_VALUE"""),47.682)</f>
        <v>47.682000000000002</v>
      </c>
      <c r="K1422" s="2">
        <f ca="1">IFERROR(__xludf.DUMMYFUNCTION("""COMPUTED_VALUE"""),68.802)</f>
        <v>68.802000000000007</v>
      </c>
      <c r="M1422" s="2">
        <f ca="1">IFERROR(__xludf.DUMMYFUNCTION("""COMPUTED_VALUE"""),16.356)</f>
        <v>16.356000000000002</v>
      </c>
      <c r="U1422" s="3" t="e">
        <f ca="1"/>
        <v>#NAME?</v>
      </c>
    </row>
    <row r="1423" spans="3:21" ht="12.5" x14ac:dyDescent="0.25">
      <c r="C1423" s="4">
        <f ca="1">IFERROR(__xludf.DUMMYFUNCTION("""COMPUTED_VALUE"""),41765.9986111111)</f>
        <v>41765.998611111099</v>
      </c>
      <c r="D1423" s="2">
        <f ca="1">IFERROR(__xludf.DUMMYFUNCTION("""COMPUTED_VALUE"""),59.978)</f>
        <v>59.978000000000002</v>
      </c>
      <c r="E1423" s="2">
        <f ca="1">IFERROR(__xludf.DUMMYFUNCTION("""COMPUTED_VALUE"""),81.856)</f>
        <v>81.855999999999995</v>
      </c>
      <c r="F1423" s="2">
        <f ca="1">IFERROR(__xludf.DUMMYFUNCTION("""COMPUTED_VALUE"""),99.563)</f>
        <v>99.563000000000002</v>
      </c>
      <c r="G1423" s="2">
        <f ca="1">IFERROR(__xludf.DUMMYFUNCTION("""COMPUTED_VALUE"""),0.5918)</f>
        <v>0.59179999999999999</v>
      </c>
      <c r="H1423" s="2">
        <f ca="1">IFERROR(__xludf.DUMMYFUNCTION("""COMPUTED_VALUE"""),56.133)</f>
        <v>56.133000000000003</v>
      </c>
      <c r="I1423" s="2">
        <f ca="1">IFERROR(__xludf.DUMMYFUNCTION("""COMPUTED_VALUE"""),54.99)</f>
        <v>54.99</v>
      </c>
      <c r="J1423" s="2">
        <f ca="1">IFERROR(__xludf.DUMMYFUNCTION("""COMPUTED_VALUE"""),47.723)</f>
        <v>47.722999999999999</v>
      </c>
      <c r="K1423" s="2">
        <f ca="1">IFERROR(__xludf.DUMMYFUNCTION("""COMPUTED_VALUE"""),68.412)</f>
        <v>68.412000000000006</v>
      </c>
      <c r="M1423" s="2">
        <f ca="1">IFERROR(__xludf.DUMMYFUNCTION("""COMPUTED_VALUE"""),16.356)</f>
        <v>16.356000000000002</v>
      </c>
      <c r="U1423" s="3" t="e">
        <f ca="1"/>
        <v>#NAME?</v>
      </c>
    </row>
    <row r="1424" spans="3:21" ht="12.5" x14ac:dyDescent="0.25">
      <c r="C1424" s="4">
        <f ca="1">IFERROR(__xludf.DUMMYFUNCTION("""COMPUTED_VALUE"""),41766.9986111111)</f>
        <v>41766.998611111099</v>
      </c>
      <c r="D1424" s="2">
        <f ca="1">IFERROR(__xludf.DUMMYFUNCTION("""COMPUTED_VALUE"""),59.89)</f>
        <v>59.89</v>
      </c>
      <c r="E1424" s="2">
        <f ca="1">IFERROR(__xludf.DUMMYFUNCTION("""COMPUTED_VALUE"""),81.7)</f>
        <v>81.7</v>
      </c>
      <c r="F1424" s="2">
        <f ca="1">IFERROR(__xludf.DUMMYFUNCTION("""COMPUTED_VALUE"""),99.666)</f>
        <v>99.665999999999997</v>
      </c>
      <c r="G1424" s="2">
        <f ca="1">IFERROR(__xludf.DUMMYFUNCTION("""COMPUTED_VALUE"""),0.59053)</f>
        <v>0.59053</v>
      </c>
      <c r="H1424" s="2">
        <f ca="1">IFERROR(__xludf.DUMMYFUNCTION("""COMPUTED_VALUE"""),56.502)</f>
        <v>56.502000000000002</v>
      </c>
      <c r="I1424" s="2">
        <f ca="1">IFERROR(__xludf.DUMMYFUNCTION("""COMPUTED_VALUE"""),55.437)</f>
        <v>55.436999999999998</v>
      </c>
      <c r="J1424" s="2">
        <f ca="1">IFERROR(__xludf.DUMMYFUNCTION("""COMPUTED_VALUE"""),47.723)</f>
        <v>47.722999999999999</v>
      </c>
      <c r="K1424" s="2">
        <f ca="1">IFERROR(__xludf.DUMMYFUNCTION("""COMPUTED_VALUE"""),68.376)</f>
        <v>68.376000000000005</v>
      </c>
      <c r="M1424" s="2">
        <f ca="1">IFERROR(__xludf.DUMMYFUNCTION("""COMPUTED_VALUE"""),16.245)</f>
        <v>16.245000000000001</v>
      </c>
      <c r="U1424" s="3" t="e">
        <f ca="1"/>
        <v>#NAME?</v>
      </c>
    </row>
    <row r="1425" spans="3:21" ht="12.5" x14ac:dyDescent="0.25">
      <c r="C1425" s="4">
        <f ca="1">IFERROR(__xludf.DUMMYFUNCTION("""COMPUTED_VALUE"""),41767.9986111111)</f>
        <v>41767.998611111099</v>
      </c>
      <c r="D1425" s="2">
        <f ca="1">IFERROR(__xludf.DUMMYFUNCTION("""COMPUTED_VALUE"""),59.893)</f>
        <v>59.893000000000001</v>
      </c>
      <c r="E1425" s="2">
        <f ca="1">IFERROR(__xludf.DUMMYFUNCTION("""COMPUTED_VALUE"""),81.755)</f>
        <v>81.754999999999995</v>
      </c>
      <c r="F1425" s="2">
        <f ca="1">IFERROR(__xludf.DUMMYFUNCTION("""COMPUTED_VALUE"""),99.612)</f>
        <v>99.611999999999995</v>
      </c>
      <c r="G1425" s="2">
        <f ca="1">IFERROR(__xludf.DUMMYFUNCTION("""COMPUTED_VALUE"""),0.59014)</f>
        <v>0.59014</v>
      </c>
      <c r="H1425" s="2">
        <f ca="1">IFERROR(__xludf.DUMMYFUNCTION("""COMPUTED_VALUE"""),56.289)</f>
        <v>56.289000000000001</v>
      </c>
      <c r="I1425" s="2">
        <f ca="1">IFERROR(__xludf.DUMMYFUNCTION("""COMPUTED_VALUE"""),55.496)</f>
        <v>55.496000000000002</v>
      </c>
      <c r="J1425" s="2">
        <f ca="1">IFERROR(__xludf.DUMMYFUNCTION("""COMPUTED_VALUE"""),48.069)</f>
        <v>48.069000000000003</v>
      </c>
      <c r="K1425" s="2">
        <f ca="1">IFERROR(__xludf.DUMMYFUNCTION("""COMPUTED_VALUE"""),68.407)</f>
        <v>68.406999999999996</v>
      </c>
      <c r="M1425" s="2">
        <f ca="1">IFERROR(__xludf.DUMMYFUNCTION("""COMPUTED_VALUE"""),16.365)</f>
        <v>16.364999999999998</v>
      </c>
      <c r="U1425" s="3" t="e">
        <f ca="1"/>
        <v>#NAME?</v>
      </c>
    </row>
    <row r="1426" spans="3:21" ht="12.5" x14ac:dyDescent="0.25">
      <c r="C1426" s="4">
        <f ca="1">IFERROR(__xludf.DUMMYFUNCTION("""COMPUTED_VALUE"""),41768.9986111111)</f>
        <v>41768.998611111099</v>
      </c>
      <c r="D1426" s="2">
        <f ca="1">IFERROR(__xludf.DUMMYFUNCTION("""COMPUTED_VALUE"""),59.958)</f>
        <v>59.957999999999998</v>
      </c>
      <c r="E1426" s="2">
        <f ca="1">IFERROR(__xludf.DUMMYFUNCTION("""COMPUTED_VALUE"""),81.835)</f>
        <v>81.834999999999994</v>
      </c>
      <c r="F1426" s="2">
        <f ca="1">IFERROR(__xludf.DUMMYFUNCTION("""COMPUTED_VALUE"""),99.921)</f>
        <v>99.921000000000006</v>
      </c>
      <c r="G1426" s="2">
        <f ca="1">IFERROR(__xludf.DUMMYFUNCTION("""COMPUTED_VALUE"""),0.58914)</f>
        <v>0.58914</v>
      </c>
      <c r="H1426" s="2">
        <f ca="1">IFERROR(__xludf.DUMMYFUNCTION("""COMPUTED_VALUE"""),56.62)</f>
        <v>56.62</v>
      </c>
      <c r="I1426" s="2">
        <f ca="1">IFERROR(__xludf.DUMMYFUNCTION("""COMPUTED_VALUE"""),55.582)</f>
        <v>55.582000000000001</v>
      </c>
      <c r="J1426" s="2">
        <f ca="1">IFERROR(__xludf.DUMMYFUNCTION("""COMPUTED_VALUE"""),48.087)</f>
        <v>48.087000000000003</v>
      </c>
      <c r="K1426" s="2">
        <f ca="1">IFERROR(__xludf.DUMMYFUNCTION("""COMPUTED_VALUE"""),68.228)</f>
        <v>68.227999999999994</v>
      </c>
      <c r="M1426" s="2">
        <f ca="1">IFERROR(__xludf.DUMMYFUNCTION("""COMPUTED_VALUE"""),16.358)</f>
        <v>16.358000000000001</v>
      </c>
      <c r="U1426" s="3" t="e">
        <f ca="1"/>
        <v>#NAME?</v>
      </c>
    </row>
    <row r="1427" spans="3:21" ht="12.5" x14ac:dyDescent="0.25">
      <c r="C1427" s="4">
        <f ca="1">IFERROR(__xludf.DUMMYFUNCTION("""COMPUTED_VALUE"""),41769.9986111111)</f>
        <v>41769.998611111099</v>
      </c>
      <c r="D1427" s="2">
        <f ca="1">IFERROR(__xludf.DUMMYFUNCTION("""COMPUTED_VALUE"""),59.958)</f>
        <v>59.957999999999998</v>
      </c>
      <c r="E1427" s="2">
        <f ca="1">IFERROR(__xludf.DUMMYFUNCTION("""COMPUTED_VALUE"""),81.75)</f>
        <v>81.75</v>
      </c>
      <c r="F1427" s="2">
        <f ca="1">IFERROR(__xludf.DUMMYFUNCTION("""COMPUTED_VALUE"""),99.708)</f>
        <v>99.707999999999998</v>
      </c>
      <c r="G1427" s="2">
        <f ca="1">IFERROR(__xludf.DUMMYFUNCTION("""COMPUTED_VALUE"""),0.58965)</f>
        <v>0.58965000000000001</v>
      </c>
      <c r="H1427" s="2">
        <f ca="1">IFERROR(__xludf.DUMMYFUNCTION("""COMPUTED_VALUE"""),56.43)</f>
        <v>56.43</v>
      </c>
      <c r="I1427" s="2">
        <f ca="1">IFERROR(__xludf.DUMMYFUNCTION("""COMPUTED_VALUE"""),55.484)</f>
        <v>55.484000000000002</v>
      </c>
      <c r="J1427" s="2">
        <f ca="1">IFERROR(__xludf.DUMMYFUNCTION("""COMPUTED_VALUE"""),48.253)</f>
        <v>48.253</v>
      </c>
      <c r="K1427" s="2">
        <f ca="1">IFERROR(__xludf.DUMMYFUNCTION("""COMPUTED_VALUE"""),68.203)</f>
        <v>68.203000000000003</v>
      </c>
      <c r="M1427" s="2">
        <f ca="1">IFERROR(__xludf.DUMMYFUNCTION("""COMPUTED_VALUE"""),16.373)</f>
        <v>16.373000000000001</v>
      </c>
      <c r="U1427" s="3" t="e">
        <f ca="1"/>
        <v>#NAME?</v>
      </c>
    </row>
    <row r="1428" spans="3:21" ht="12.5" x14ac:dyDescent="0.25">
      <c r="C1428" s="4">
        <f ca="1">IFERROR(__xludf.DUMMYFUNCTION("""COMPUTED_VALUE"""),41770.9986111111)</f>
        <v>41770.998611111099</v>
      </c>
      <c r="D1428" s="2">
        <f ca="1">IFERROR(__xludf.DUMMYFUNCTION("""COMPUTED_VALUE"""),59.85)</f>
        <v>59.85</v>
      </c>
      <c r="E1428" s="2">
        <f ca="1">IFERROR(__xludf.DUMMYFUNCTION("""COMPUTED_VALUE"""),81.768)</f>
        <v>81.768000000000001</v>
      </c>
      <c r="F1428" s="2">
        <f ca="1">IFERROR(__xludf.DUMMYFUNCTION("""COMPUTED_VALUE"""),99.5)</f>
        <v>99.5</v>
      </c>
      <c r="G1428" s="2">
        <f ca="1">IFERROR(__xludf.DUMMYFUNCTION("""COMPUTED_VALUE"""),0.58965)</f>
        <v>0.58965000000000001</v>
      </c>
      <c r="H1428" s="2">
        <f ca="1">IFERROR(__xludf.DUMMYFUNCTION("""COMPUTED_VALUE"""),56.428)</f>
        <v>56.427999999999997</v>
      </c>
      <c r="I1428" s="2">
        <f ca="1">IFERROR(__xludf.DUMMYFUNCTION("""COMPUTED_VALUE"""),55.88)</f>
        <v>55.88</v>
      </c>
      <c r="J1428" s="2">
        <f ca="1">IFERROR(__xludf.DUMMYFUNCTION("""COMPUTED_VALUE"""),48.047)</f>
        <v>48.046999999999997</v>
      </c>
      <c r="K1428" s="2">
        <f ca="1">IFERROR(__xludf.DUMMYFUNCTION("""COMPUTED_VALUE"""),68.249)</f>
        <v>68.248999999999995</v>
      </c>
      <c r="M1428" s="2">
        <f ca="1">IFERROR(__xludf.DUMMYFUNCTION("""COMPUTED_VALUE"""),16.417)</f>
        <v>16.417000000000002</v>
      </c>
      <c r="U1428" s="3" t="e">
        <f ca="1"/>
        <v>#NAME?</v>
      </c>
    </row>
    <row r="1429" spans="3:21" ht="12.5" x14ac:dyDescent="0.25">
      <c r="C1429" s="4">
        <f ca="1">IFERROR(__xludf.DUMMYFUNCTION("""COMPUTED_VALUE"""),41771.9986111111)</f>
        <v>41771.998611111099</v>
      </c>
      <c r="D1429" s="2">
        <f ca="1">IFERROR(__xludf.DUMMYFUNCTION("""COMPUTED_VALUE"""),59.5)</f>
        <v>59.5</v>
      </c>
      <c r="E1429" s="2">
        <f ca="1">IFERROR(__xludf.DUMMYFUNCTION("""COMPUTED_VALUE"""),81.828)</f>
        <v>81.828000000000003</v>
      </c>
      <c r="F1429" s="2">
        <f ca="1">IFERROR(__xludf.DUMMYFUNCTION("""COMPUTED_VALUE"""),100.22)</f>
        <v>100.22</v>
      </c>
      <c r="G1429" s="2">
        <f ca="1">IFERROR(__xludf.DUMMYFUNCTION("""COMPUTED_VALUE"""),0.58938)</f>
        <v>0.58938000000000001</v>
      </c>
      <c r="H1429" s="2">
        <f ca="1">IFERROR(__xludf.DUMMYFUNCTION("""COMPUTED_VALUE"""),56.493)</f>
        <v>56.493000000000002</v>
      </c>
      <c r="I1429" s="2">
        <f ca="1">IFERROR(__xludf.DUMMYFUNCTION("""COMPUTED_VALUE"""),55.93)</f>
        <v>55.93</v>
      </c>
      <c r="J1429" s="2">
        <f ca="1">IFERROR(__xludf.DUMMYFUNCTION("""COMPUTED_VALUE"""),48.135)</f>
        <v>48.134999999999998</v>
      </c>
      <c r="K1429" s="2">
        <f ca="1">IFERROR(__xludf.DUMMYFUNCTION("""COMPUTED_VALUE"""),68.092)</f>
        <v>68.091999999999999</v>
      </c>
      <c r="M1429" s="2">
        <f ca="1">IFERROR(__xludf.DUMMYFUNCTION("""COMPUTED_VALUE"""),16.383)</f>
        <v>16.382999999999999</v>
      </c>
      <c r="U1429" s="3" t="e">
        <f ca="1"/>
        <v>#NAME?</v>
      </c>
    </row>
    <row r="1430" spans="3:21" ht="12.5" x14ac:dyDescent="0.25">
      <c r="C1430" s="4">
        <f ca="1">IFERROR(__xludf.DUMMYFUNCTION("""COMPUTED_VALUE"""),41772.9986111111)</f>
        <v>41772.998611111099</v>
      </c>
      <c r="D1430" s="2">
        <f ca="1">IFERROR(__xludf.DUMMYFUNCTION("""COMPUTED_VALUE"""),59.31)</f>
        <v>59.31</v>
      </c>
      <c r="E1430" s="2">
        <f ca="1">IFERROR(__xludf.DUMMYFUNCTION("""COMPUTED_VALUE"""),81.884)</f>
        <v>81.884</v>
      </c>
      <c r="F1430" s="2">
        <f ca="1">IFERROR(__xludf.DUMMYFUNCTION("""COMPUTED_VALUE"""),99.514)</f>
        <v>99.513999999999996</v>
      </c>
      <c r="G1430" s="2">
        <f ca="1">IFERROR(__xludf.DUMMYFUNCTION("""COMPUTED_VALUE"""),0.58835)</f>
        <v>0.58835000000000004</v>
      </c>
      <c r="H1430" s="2">
        <f ca="1">IFERROR(__xludf.DUMMYFUNCTION("""COMPUTED_VALUE"""),56.65)</f>
        <v>56.65</v>
      </c>
      <c r="I1430" s="2">
        <f ca="1">IFERROR(__xludf.DUMMYFUNCTION("""COMPUTED_VALUE"""),56.006)</f>
        <v>56.006</v>
      </c>
      <c r="J1430" s="2">
        <f ca="1">IFERROR(__xludf.DUMMYFUNCTION("""COMPUTED_VALUE"""),48.175)</f>
        <v>48.174999999999997</v>
      </c>
      <c r="K1430" s="2">
        <f ca="1">IFERROR(__xludf.DUMMYFUNCTION("""COMPUTED_VALUE"""),68.178)</f>
        <v>68.177999999999997</v>
      </c>
      <c r="M1430" s="2">
        <f ca="1">IFERROR(__xludf.DUMMYFUNCTION("""COMPUTED_VALUE"""),16.383)</f>
        <v>16.382999999999999</v>
      </c>
      <c r="U1430" s="3" t="e">
        <f ca="1"/>
        <v>#NAME?</v>
      </c>
    </row>
    <row r="1431" spans="3:21" ht="12.5" x14ac:dyDescent="0.25">
      <c r="C1431" s="4">
        <f ca="1">IFERROR(__xludf.DUMMYFUNCTION("""COMPUTED_VALUE"""),41773.9986111111)</f>
        <v>41773.998611111099</v>
      </c>
      <c r="D1431" s="2">
        <f ca="1">IFERROR(__xludf.DUMMYFUNCTION("""COMPUTED_VALUE"""),59.478)</f>
        <v>59.478000000000002</v>
      </c>
      <c r="E1431" s="2">
        <f ca="1">IFERROR(__xludf.DUMMYFUNCTION("""COMPUTED_VALUE"""),81.875)</f>
        <v>81.875</v>
      </c>
      <c r="F1431" s="2">
        <f ca="1">IFERROR(__xludf.DUMMYFUNCTION("""COMPUTED_VALUE"""),99.606)</f>
        <v>99.605999999999995</v>
      </c>
      <c r="G1431" s="2">
        <f ca="1">IFERROR(__xludf.DUMMYFUNCTION("""COMPUTED_VALUE"""),0.58332)</f>
        <v>0.58331999999999995</v>
      </c>
      <c r="H1431" s="2">
        <f ca="1">IFERROR(__xludf.DUMMYFUNCTION("""COMPUTED_VALUE"""),56.317)</f>
        <v>56.317</v>
      </c>
      <c r="I1431" s="2">
        <f ca="1">IFERROR(__xludf.DUMMYFUNCTION("""COMPUTED_VALUE"""),55.936)</f>
        <v>55.936</v>
      </c>
      <c r="J1431" s="2">
        <f ca="1">IFERROR(__xludf.DUMMYFUNCTION("""COMPUTED_VALUE"""),48.134)</f>
        <v>48.134</v>
      </c>
      <c r="K1431" s="2">
        <f ca="1">IFERROR(__xludf.DUMMYFUNCTION("""COMPUTED_VALUE"""),68.594)</f>
        <v>68.593999999999994</v>
      </c>
      <c r="M1431" s="2">
        <f ca="1">IFERROR(__xludf.DUMMYFUNCTION("""COMPUTED_VALUE"""),16.428)</f>
        <v>16.428000000000001</v>
      </c>
      <c r="U1431" s="3" t="e">
        <f ca="1"/>
        <v>#NAME?</v>
      </c>
    </row>
    <row r="1432" spans="3:21" ht="12.5" x14ac:dyDescent="0.25">
      <c r="C1432" s="4">
        <f ca="1">IFERROR(__xludf.DUMMYFUNCTION("""COMPUTED_VALUE"""),41774.9986111111)</f>
        <v>41774.998611111099</v>
      </c>
      <c r="D1432" s="2">
        <f ca="1">IFERROR(__xludf.DUMMYFUNCTION("""COMPUTED_VALUE"""),59.458)</f>
        <v>59.457999999999998</v>
      </c>
      <c r="E1432" s="2">
        <f ca="1">IFERROR(__xludf.DUMMYFUNCTION("""COMPUTED_VALUE"""),82.16)</f>
        <v>82.16</v>
      </c>
      <c r="F1432" s="2">
        <f ca="1">IFERROR(__xludf.DUMMYFUNCTION("""COMPUTED_VALUE"""),98.891)</f>
        <v>98.891000000000005</v>
      </c>
      <c r="G1432" s="2">
        <f ca="1">IFERROR(__xludf.DUMMYFUNCTION("""COMPUTED_VALUE"""),0.5884)</f>
        <v>0.58840000000000003</v>
      </c>
      <c r="H1432" s="2">
        <f ca="1">IFERROR(__xludf.DUMMYFUNCTION("""COMPUTED_VALUE"""),56.438)</f>
        <v>56.438000000000002</v>
      </c>
      <c r="I1432" s="2">
        <f ca="1">IFERROR(__xludf.DUMMYFUNCTION("""COMPUTED_VALUE"""),55.993)</f>
        <v>55.993000000000002</v>
      </c>
      <c r="J1432" s="2">
        <f ca="1">IFERROR(__xludf.DUMMYFUNCTION("""COMPUTED_VALUE"""),48.112)</f>
        <v>48.112000000000002</v>
      </c>
      <c r="K1432" s="2">
        <f ca="1">IFERROR(__xludf.DUMMYFUNCTION("""COMPUTED_VALUE"""),69.094)</f>
        <v>69.093999999999994</v>
      </c>
      <c r="M1432" s="2">
        <f ca="1">IFERROR(__xludf.DUMMYFUNCTION("""COMPUTED_VALUE"""),16.402)</f>
        <v>16.402000000000001</v>
      </c>
      <c r="U1432" s="3" t="e">
        <f ca="1"/>
        <v>#NAME?</v>
      </c>
    </row>
    <row r="1433" spans="3:21" ht="12.5" x14ac:dyDescent="0.25">
      <c r="C1433" s="4">
        <f ca="1">IFERROR(__xludf.DUMMYFUNCTION("""COMPUTED_VALUE"""),41775.9986111111)</f>
        <v>41775.998611111099</v>
      </c>
      <c r="D1433" s="2">
        <f ca="1">IFERROR(__xludf.DUMMYFUNCTION("""COMPUTED_VALUE"""),58.56)</f>
        <v>58.56</v>
      </c>
      <c r="E1433" s="2">
        <f ca="1">IFERROR(__xludf.DUMMYFUNCTION("""COMPUTED_VALUE"""),82.048)</f>
        <v>82.048000000000002</v>
      </c>
      <c r="F1433" s="2">
        <f ca="1">IFERROR(__xludf.DUMMYFUNCTION("""COMPUTED_VALUE"""),99.751)</f>
        <v>99.751000000000005</v>
      </c>
      <c r="G1433" s="2">
        <f ca="1">IFERROR(__xludf.DUMMYFUNCTION("""COMPUTED_VALUE"""),0.59589)</f>
        <v>0.59589000000000003</v>
      </c>
      <c r="H1433" s="2">
        <f ca="1">IFERROR(__xludf.DUMMYFUNCTION("""COMPUTED_VALUE"""),56.655)</f>
        <v>56.655000000000001</v>
      </c>
      <c r="I1433" s="2">
        <f ca="1">IFERROR(__xludf.DUMMYFUNCTION("""COMPUTED_VALUE"""),56.254)</f>
        <v>56.253999999999998</v>
      </c>
      <c r="J1433" s="2">
        <f ca="1">IFERROR(__xludf.DUMMYFUNCTION("""COMPUTED_VALUE"""),48.031)</f>
        <v>48.030999999999999</v>
      </c>
      <c r="K1433" s="2">
        <f ca="1">IFERROR(__xludf.DUMMYFUNCTION("""COMPUTED_VALUE"""),69.238)</f>
        <v>69.238</v>
      </c>
      <c r="M1433" s="2">
        <f ca="1">IFERROR(__xludf.DUMMYFUNCTION("""COMPUTED_VALUE"""),16.397)</f>
        <v>16.396999999999998</v>
      </c>
      <c r="U1433" s="3" t="e">
        <f ca="1"/>
        <v>#NAME?</v>
      </c>
    </row>
    <row r="1434" spans="3:21" ht="12.5" x14ac:dyDescent="0.25">
      <c r="C1434" s="4">
        <f ca="1">IFERROR(__xludf.DUMMYFUNCTION("""COMPUTED_VALUE"""),41776.9986111111)</f>
        <v>41776.998611111099</v>
      </c>
      <c r="D1434" s="2">
        <f ca="1">IFERROR(__xludf.DUMMYFUNCTION("""COMPUTED_VALUE"""),58.578)</f>
        <v>58.578000000000003</v>
      </c>
      <c r="E1434" s="2">
        <f ca="1">IFERROR(__xludf.DUMMYFUNCTION("""COMPUTED_VALUE"""),81.448)</f>
        <v>81.447999999999993</v>
      </c>
      <c r="F1434" s="2">
        <f ca="1">IFERROR(__xludf.DUMMYFUNCTION("""COMPUTED_VALUE"""),100.54)</f>
        <v>100.54</v>
      </c>
      <c r="G1434" s="2">
        <f ca="1">IFERROR(__xludf.DUMMYFUNCTION("""COMPUTED_VALUE"""),0.59642)</f>
        <v>0.59641999999999995</v>
      </c>
      <c r="H1434" s="2">
        <f ca="1">IFERROR(__xludf.DUMMYFUNCTION("""COMPUTED_VALUE"""),56.536)</f>
        <v>56.536000000000001</v>
      </c>
      <c r="I1434" s="2">
        <f ca="1">IFERROR(__xludf.DUMMYFUNCTION("""COMPUTED_VALUE"""),56.238)</f>
        <v>56.238</v>
      </c>
      <c r="J1434" s="2">
        <f ca="1">IFERROR(__xludf.DUMMYFUNCTION("""COMPUTED_VALUE"""),48.136)</f>
        <v>48.136000000000003</v>
      </c>
      <c r="K1434" s="2">
        <f ca="1">IFERROR(__xludf.DUMMYFUNCTION("""COMPUTED_VALUE"""),68.728)</f>
        <v>68.727999999999994</v>
      </c>
      <c r="M1434" s="2">
        <f ca="1">IFERROR(__xludf.DUMMYFUNCTION("""COMPUTED_VALUE"""),16.403)</f>
        <v>16.402999999999999</v>
      </c>
      <c r="U1434" s="3" t="e">
        <f ca="1"/>
        <v>#NAME?</v>
      </c>
    </row>
    <row r="1435" spans="3:21" ht="12.5" x14ac:dyDescent="0.25">
      <c r="C1435" s="4">
        <f ca="1">IFERROR(__xludf.DUMMYFUNCTION("""COMPUTED_VALUE"""),41777.9986111111)</f>
        <v>41777.998611111099</v>
      </c>
      <c r="D1435" s="2">
        <f ca="1">IFERROR(__xludf.DUMMYFUNCTION("""COMPUTED_VALUE"""),58.56)</f>
        <v>58.56</v>
      </c>
      <c r="E1435" s="2">
        <f ca="1">IFERROR(__xludf.DUMMYFUNCTION("""COMPUTED_VALUE"""),81.226)</f>
        <v>81.225999999999999</v>
      </c>
      <c r="F1435" s="2">
        <f ca="1">IFERROR(__xludf.DUMMYFUNCTION("""COMPUTED_VALUE"""),100.89)</f>
        <v>100.89</v>
      </c>
      <c r="G1435" s="2">
        <f ca="1">IFERROR(__xludf.DUMMYFUNCTION("""COMPUTED_VALUE"""),0.59642)</f>
        <v>0.59641999999999995</v>
      </c>
      <c r="H1435" s="2">
        <f ca="1">IFERROR(__xludf.DUMMYFUNCTION("""COMPUTED_VALUE"""),56.594)</f>
        <v>56.594000000000001</v>
      </c>
      <c r="I1435" s="2">
        <f ca="1">IFERROR(__xludf.DUMMYFUNCTION("""COMPUTED_VALUE"""),56.226)</f>
        <v>56.225999999999999</v>
      </c>
      <c r="J1435" s="2">
        <f ca="1">IFERROR(__xludf.DUMMYFUNCTION("""COMPUTED_VALUE"""),47.997)</f>
        <v>47.997</v>
      </c>
      <c r="K1435" s="2">
        <f ca="1">IFERROR(__xludf.DUMMYFUNCTION("""COMPUTED_VALUE"""),68.831)</f>
        <v>68.831000000000003</v>
      </c>
      <c r="M1435" s="2">
        <f ca="1">IFERROR(__xludf.DUMMYFUNCTION("""COMPUTED_VALUE"""),16.414)</f>
        <v>16.414000000000001</v>
      </c>
      <c r="U1435" s="3" t="e">
        <f ca="1"/>
        <v>#NAME?</v>
      </c>
    </row>
    <row r="1436" spans="3:21" ht="12.5" x14ac:dyDescent="0.25">
      <c r="C1436" s="4">
        <f ca="1">IFERROR(__xludf.DUMMYFUNCTION("""COMPUTED_VALUE"""),41778.9986111111)</f>
        <v>41778.998611111099</v>
      </c>
      <c r="D1436" s="2">
        <f ca="1">IFERROR(__xludf.DUMMYFUNCTION("""COMPUTED_VALUE"""),58.368)</f>
        <v>58.368000000000002</v>
      </c>
      <c r="E1436" s="2">
        <f ca="1">IFERROR(__xludf.DUMMYFUNCTION("""COMPUTED_VALUE"""),81.119)</f>
        <v>81.119</v>
      </c>
      <c r="F1436" s="2">
        <f ca="1">IFERROR(__xludf.DUMMYFUNCTION("""COMPUTED_VALUE"""),101.19)</f>
        <v>101.19</v>
      </c>
      <c r="G1436" s="2">
        <f ca="1">IFERROR(__xludf.DUMMYFUNCTION("""COMPUTED_VALUE"""),0.59361)</f>
        <v>0.59360999999999997</v>
      </c>
      <c r="H1436" s="2">
        <f ca="1">IFERROR(__xludf.DUMMYFUNCTION("""COMPUTED_VALUE"""),56.918)</f>
        <v>56.917999999999999</v>
      </c>
      <c r="I1436" s="2">
        <f ca="1">IFERROR(__xludf.DUMMYFUNCTION("""COMPUTED_VALUE"""),56.395)</f>
        <v>56.395000000000003</v>
      </c>
      <c r="J1436" s="2">
        <f ca="1">IFERROR(__xludf.DUMMYFUNCTION("""COMPUTED_VALUE"""),48.14)</f>
        <v>48.14</v>
      </c>
      <c r="K1436" s="2">
        <f ca="1">IFERROR(__xludf.DUMMYFUNCTION("""COMPUTED_VALUE"""),68.844)</f>
        <v>68.843999999999994</v>
      </c>
      <c r="M1436" s="2">
        <f ca="1">IFERROR(__xludf.DUMMYFUNCTION("""COMPUTED_VALUE"""),16.414)</f>
        <v>16.414000000000001</v>
      </c>
      <c r="U1436" s="3" t="e">
        <f ca="1"/>
        <v>#NAME?</v>
      </c>
    </row>
    <row r="1437" spans="3:21" ht="12.5" x14ac:dyDescent="0.25">
      <c r="C1437" s="4">
        <f ca="1">IFERROR(__xludf.DUMMYFUNCTION("""COMPUTED_VALUE"""),41779.9986111111)</f>
        <v>41779.998611111099</v>
      </c>
      <c r="D1437" s="2">
        <f ca="1">IFERROR(__xludf.DUMMYFUNCTION("""COMPUTED_VALUE"""),58.583)</f>
        <v>58.582999999999998</v>
      </c>
      <c r="E1437" s="2">
        <f ca="1">IFERROR(__xludf.DUMMYFUNCTION("""COMPUTED_VALUE"""),81.119)</f>
        <v>81.119</v>
      </c>
      <c r="F1437" s="2">
        <f ca="1">IFERROR(__xludf.DUMMYFUNCTION("""COMPUTED_VALUE"""),100.61)</f>
        <v>100.61</v>
      </c>
      <c r="G1437" s="2">
        <f ca="1">IFERROR(__xludf.DUMMYFUNCTION("""COMPUTED_VALUE"""),0.59233)</f>
        <v>0.59233000000000002</v>
      </c>
      <c r="H1437" s="2">
        <f ca="1">IFERROR(__xludf.DUMMYFUNCTION("""COMPUTED_VALUE"""),56.297)</f>
        <v>56.296999999999997</v>
      </c>
      <c r="I1437" s="2">
        <f ca="1">IFERROR(__xludf.DUMMYFUNCTION("""COMPUTED_VALUE"""),55.912)</f>
        <v>55.911999999999999</v>
      </c>
      <c r="J1437" s="2">
        <f ca="1">IFERROR(__xludf.DUMMYFUNCTION("""COMPUTED_VALUE"""),48.157)</f>
        <v>48.156999999999996</v>
      </c>
      <c r="K1437" s="2">
        <f ca="1">IFERROR(__xludf.DUMMYFUNCTION("""COMPUTED_VALUE"""),68.314)</f>
        <v>68.313999999999993</v>
      </c>
      <c r="M1437" s="2">
        <f ca="1">IFERROR(__xludf.DUMMYFUNCTION("""COMPUTED_VALUE"""),16.414)</f>
        <v>16.414000000000001</v>
      </c>
      <c r="U1437" s="3" t="e">
        <f ca="1"/>
        <v>#NAME?</v>
      </c>
    </row>
    <row r="1438" spans="3:21" ht="12.5" x14ac:dyDescent="0.25">
      <c r="C1438" s="4">
        <f ca="1">IFERROR(__xludf.DUMMYFUNCTION("""COMPUTED_VALUE"""),41780.9986111111)</f>
        <v>41780.998611111099</v>
      </c>
      <c r="D1438" s="2">
        <f ca="1">IFERROR(__xludf.DUMMYFUNCTION("""COMPUTED_VALUE"""),58.688)</f>
        <v>58.688000000000002</v>
      </c>
      <c r="E1438" s="2">
        <f ca="1">IFERROR(__xludf.DUMMYFUNCTION("""COMPUTED_VALUE"""),81.507)</f>
        <v>81.507000000000005</v>
      </c>
      <c r="F1438" s="2">
        <f ca="1">IFERROR(__xludf.DUMMYFUNCTION("""COMPUTED_VALUE"""),100.69)</f>
        <v>100.69</v>
      </c>
      <c r="G1438" s="2">
        <f ca="1">IFERROR(__xludf.DUMMYFUNCTION("""COMPUTED_VALUE"""),0.60167)</f>
        <v>0.60167000000000004</v>
      </c>
      <c r="H1438" s="2">
        <f ca="1">IFERROR(__xludf.DUMMYFUNCTION("""COMPUTED_VALUE"""),55.787)</f>
        <v>55.786999999999999</v>
      </c>
      <c r="I1438" s="2">
        <f ca="1">IFERROR(__xludf.DUMMYFUNCTION("""COMPUTED_VALUE"""),56.101)</f>
        <v>56.100999999999999</v>
      </c>
      <c r="J1438" s="2">
        <f ca="1">IFERROR(__xludf.DUMMYFUNCTION("""COMPUTED_VALUE"""),47.812)</f>
        <v>47.811999999999998</v>
      </c>
      <c r="K1438" s="2">
        <f ca="1">IFERROR(__xludf.DUMMYFUNCTION("""COMPUTED_VALUE"""),68.505)</f>
        <v>68.504999999999995</v>
      </c>
      <c r="M1438" s="2">
        <f ca="1">IFERROR(__xludf.DUMMYFUNCTION("""COMPUTED_VALUE"""),16.376)</f>
        <v>16.376000000000001</v>
      </c>
      <c r="U1438" s="3" t="e">
        <f ca="1"/>
        <v>#NAME?</v>
      </c>
    </row>
    <row r="1439" spans="3:21" ht="12.5" x14ac:dyDescent="0.25">
      <c r="C1439" s="4">
        <f ca="1">IFERROR(__xludf.DUMMYFUNCTION("""COMPUTED_VALUE"""),41781.9986111111)</f>
        <v>41781.998611111099</v>
      </c>
      <c r="D1439" s="2">
        <f ca="1">IFERROR(__xludf.DUMMYFUNCTION("""COMPUTED_VALUE"""),58.278)</f>
        <v>58.277999999999999</v>
      </c>
      <c r="E1439" s="2">
        <f ca="1">IFERROR(__xludf.DUMMYFUNCTION("""COMPUTED_VALUE"""),81.262)</f>
        <v>81.262</v>
      </c>
      <c r="F1439" s="2">
        <f ca="1">IFERROR(__xludf.DUMMYFUNCTION("""COMPUTED_VALUE"""),100.99)</f>
        <v>100.99</v>
      </c>
      <c r="G1439" s="2">
        <f ca="1">IFERROR(__xludf.DUMMYFUNCTION("""COMPUTED_VALUE"""),0.59935)</f>
        <v>0.59935000000000005</v>
      </c>
      <c r="H1439" s="2">
        <f ca="1">IFERROR(__xludf.DUMMYFUNCTION("""COMPUTED_VALUE"""),55.875)</f>
        <v>55.875</v>
      </c>
      <c r="I1439" s="2">
        <f ca="1">IFERROR(__xludf.DUMMYFUNCTION("""COMPUTED_VALUE"""),56.025)</f>
        <v>56.024999999999999</v>
      </c>
      <c r="J1439" s="2">
        <f ca="1">IFERROR(__xludf.DUMMYFUNCTION("""COMPUTED_VALUE"""),47.854)</f>
        <v>47.853999999999999</v>
      </c>
      <c r="K1439" s="2">
        <f ca="1">IFERROR(__xludf.DUMMYFUNCTION("""COMPUTED_VALUE"""),68.486)</f>
        <v>68.486000000000004</v>
      </c>
      <c r="M1439" s="2">
        <f ca="1">IFERROR(__xludf.DUMMYFUNCTION("""COMPUTED_VALUE"""),16.414)</f>
        <v>16.414000000000001</v>
      </c>
      <c r="U1439" s="3" t="e">
        <f ca="1"/>
        <v>#NAME?</v>
      </c>
    </row>
    <row r="1440" spans="3:21" ht="12.5" x14ac:dyDescent="0.25">
      <c r="C1440" s="4">
        <f ca="1">IFERROR(__xludf.DUMMYFUNCTION("""COMPUTED_VALUE"""),41782.9986111111)</f>
        <v>41782.998611111099</v>
      </c>
      <c r="D1440" s="2">
        <f ca="1">IFERROR(__xludf.DUMMYFUNCTION("""COMPUTED_VALUE"""),58.518)</f>
        <v>58.518000000000001</v>
      </c>
      <c r="E1440" s="2">
        <f ca="1">IFERROR(__xludf.DUMMYFUNCTION("""COMPUTED_VALUE"""),81.445)</f>
        <v>81.444999999999993</v>
      </c>
      <c r="F1440" s="2">
        <f ca="1">IFERROR(__xludf.DUMMYFUNCTION("""COMPUTED_VALUE"""),100.69)</f>
        <v>100.69</v>
      </c>
      <c r="G1440" s="2">
        <f ca="1">IFERROR(__xludf.DUMMYFUNCTION("""COMPUTED_VALUE"""),0.59857)</f>
        <v>0.59857000000000005</v>
      </c>
      <c r="H1440" s="2">
        <f ca="1">IFERROR(__xludf.DUMMYFUNCTION("""COMPUTED_VALUE"""),55.875)</f>
        <v>55.875</v>
      </c>
      <c r="I1440" s="2">
        <f ca="1">IFERROR(__xludf.DUMMYFUNCTION("""COMPUTED_VALUE"""),56.025)</f>
        <v>56.024999999999999</v>
      </c>
      <c r="J1440" s="2">
        <f ca="1">IFERROR(__xludf.DUMMYFUNCTION("""COMPUTED_VALUE"""),47.904)</f>
        <v>47.904000000000003</v>
      </c>
      <c r="K1440" s="2">
        <f ca="1">IFERROR(__xludf.DUMMYFUNCTION("""COMPUTED_VALUE"""),68.476)</f>
        <v>68.475999999999999</v>
      </c>
      <c r="M1440" s="2">
        <f ca="1">IFERROR(__xludf.DUMMYFUNCTION("""COMPUTED_VALUE"""),16.575)</f>
        <v>16.574999999999999</v>
      </c>
      <c r="U1440" s="3" t="e">
        <f ca="1"/>
        <v>#NAME?</v>
      </c>
    </row>
    <row r="1441" spans="3:21" ht="12.5" x14ac:dyDescent="0.25">
      <c r="C1441" s="4">
        <f ca="1">IFERROR(__xludf.DUMMYFUNCTION("""COMPUTED_VALUE"""),41783.9986111111)</f>
        <v>41783.998611111099</v>
      </c>
      <c r="D1441" s="2">
        <f ca="1">IFERROR(__xludf.DUMMYFUNCTION("""COMPUTED_VALUE"""),58.421)</f>
        <v>58.420999999999999</v>
      </c>
      <c r="E1441" s="2">
        <f ca="1">IFERROR(__xludf.DUMMYFUNCTION("""COMPUTED_VALUE"""),81.83)</f>
        <v>81.83</v>
      </c>
      <c r="F1441" s="2">
        <f ca="1">IFERROR(__xludf.DUMMYFUNCTION("""COMPUTED_VALUE"""),100.67)</f>
        <v>100.67</v>
      </c>
      <c r="G1441" s="2">
        <f ca="1">IFERROR(__xludf.DUMMYFUNCTION("""COMPUTED_VALUE"""),0.5993)</f>
        <v>0.59930000000000005</v>
      </c>
      <c r="H1441" s="2">
        <f ca="1">IFERROR(__xludf.DUMMYFUNCTION("""COMPUTED_VALUE"""),56.115)</f>
        <v>56.115000000000002</v>
      </c>
      <c r="I1441" s="2">
        <f ca="1">IFERROR(__xludf.DUMMYFUNCTION("""COMPUTED_VALUE"""),56.063)</f>
        <v>56.063000000000002</v>
      </c>
      <c r="J1441" s="2">
        <f ca="1">IFERROR(__xludf.DUMMYFUNCTION("""COMPUTED_VALUE"""),47.904)</f>
        <v>47.904000000000003</v>
      </c>
      <c r="K1441" s="2">
        <f ca="1">IFERROR(__xludf.DUMMYFUNCTION("""COMPUTED_VALUE"""),68.394)</f>
        <v>68.394000000000005</v>
      </c>
      <c r="M1441" s="2">
        <f ca="1">IFERROR(__xludf.DUMMYFUNCTION("""COMPUTED_VALUE"""),16.632)</f>
        <v>16.632000000000001</v>
      </c>
      <c r="U1441" s="3" t="e">
        <f ca="1"/>
        <v>#NAME?</v>
      </c>
    </row>
    <row r="1442" spans="3:21" ht="12.5" x14ac:dyDescent="0.25">
      <c r="C1442" s="4">
        <f ca="1">IFERROR(__xludf.DUMMYFUNCTION("""COMPUTED_VALUE"""),41784.9986111111)</f>
        <v>41784.998611111099</v>
      </c>
      <c r="D1442" s="2">
        <f ca="1">IFERROR(__xludf.DUMMYFUNCTION("""COMPUTED_VALUE"""),58.42)</f>
        <v>58.42</v>
      </c>
      <c r="E1442" s="2">
        <f ca="1">IFERROR(__xludf.DUMMYFUNCTION("""COMPUTED_VALUE"""),81.658)</f>
        <v>81.658000000000001</v>
      </c>
      <c r="F1442" s="2">
        <f ca="1">IFERROR(__xludf.DUMMYFUNCTION("""COMPUTED_VALUE"""),101.32)</f>
        <v>101.32</v>
      </c>
      <c r="G1442" s="2">
        <f ca="1">IFERROR(__xludf.DUMMYFUNCTION("""COMPUTED_VALUE"""),0.5977)</f>
        <v>0.59770000000000001</v>
      </c>
      <c r="H1442" s="2">
        <f ca="1">IFERROR(__xludf.DUMMYFUNCTION("""COMPUTED_VALUE"""),56.132)</f>
        <v>56.131999999999998</v>
      </c>
      <c r="I1442" s="2">
        <f ca="1">IFERROR(__xludf.DUMMYFUNCTION("""COMPUTED_VALUE"""),55.919)</f>
        <v>55.918999999999997</v>
      </c>
      <c r="J1442" s="2">
        <f ca="1">IFERROR(__xludf.DUMMYFUNCTION("""COMPUTED_VALUE"""),48.042)</f>
        <v>48.042000000000002</v>
      </c>
      <c r="K1442" s="2">
        <f ca="1">IFERROR(__xludf.DUMMYFUNCTION("""COMPUTED_VALUE"""),68.446)</f>
        <v>68.445999999999998</v>
      </c>
      <c r="M1442" s="2">
        <f ca="1">IFERROR(__xludf.DUMMYFUNCTION("""COMPUTED_VALUE"""),16.635)</f>
        <v>16.635000000000002</v>
      </c>
      <c r="U1442" s="3" t="e">
        <f ca="1"/>
        <v>#NAME?</v>
      </c>
    </row>
    <row r="1443" spans="3:21" ht="12.5" x14ac:dyDescent="0.25">
      <c r="C1443" s="4">
        <f ca="1">IFERROR(__xludf.DUMMYFUNCTION("""COMPUTED_VALUE"""),41785.9986111111)</f>
        <v>41785.998611111099</v>
      </c>
      <c r="D1443" s="2">
        <f ca="1">IFERROR(__xludf.DUMMYFUNCTION("""COMPUTED_VALUE"""),58.708)</f>
        <v>58.707999999999998</v>
      </c>
      <c r="E1443" s="2">
        <f ca="1">IFERROR(__xludf.DUMMYFUNCTION("""COMPUTED_VALUE"""),81.764)</f>
        <v>81.763999999999996</v>
      </c>
      <c r="F1443" s="2">
        <f ca="1">IFERROR(__xludf.DUMMYFUNCTION("""COMPUTED_VALUE"""),101.16)</f>
        <v>101.16</v>
      </c>
      <c r="G1443" s="2">
        <f ca="1">IFERROR(__xludf.DUMMYFUNCTION("""COMPUTED_VALUE"""),0.59661)</f>
        <v>0.59660999999999997</v>
      </c>
      <c r="H1443" s="2">
        <f ca="1">IFERROR(__xludf.DUMMYFUNCTION("""COMPUTED_VALUE"""),56.205)</f>
        <v>56.204999999999998</v>
      </c>
      <c r="I1443" s="2">
        <f ca="1">IFERROR(__xludf.DUMMYFUNCTION("""COMPUTED_VALUE"""),56.049)</f>
        <v>56.048999999999999</v>
      </c>
      <c r="J1443" s="2">
        <f ca="1">IFERROR(__xludf.DUMMYFUNCTION("""COMPUTED_VALUE"""),48)</f>
        <v>48</v>
      </c>
      <c r="K1443" s="2">
        <f ca="1">IFERROR(__xludf.DUMMYFUNCTION("""COMPUTED_VALUE"""),68.475)</f>
        <v>68.474999999999994</v>
      </c>
      <c r="M1443" s="2">
        <f ca="1">IFERROR(__xludf.DUMMYFUNCTION("""COMPUTED_VALUE"""),16.509)</f>
        <v>16.509</v>
      </c>
      <c r="U1443" s="3" t="e">
        <f ca="1"/>
        <v>#NAME?</v>
      </c>
    </row>
    <row r="1444" spans="3:21" ht="12.5" x14ac:dyDescent="0.25">
      <c r="C1444" s="4">
        <f ca="1">IFERROR(__xludf.DUMMYFUNCTION("""COMPUTED_VALUE"""),41786.9986111111)</f>
        <v>41786.998611111099</v>
      </c>
      <c r="D1444" s="2">
        <f ca="1">IFERROR(__xludf.DUMMYFUNCTION("""COMPUTED_VALUE"""),58.97)</f>
        <v>58.97</v>
      </c>
      <c r="E1444" s="2">
        <f ca="1">IFERROR(__xludf.DUMMYFUNCTION("""COMPUTED_VALUE"""),81.774)</f>
        <v>81.774000000000001</v>
      </c>
      <c r="F1444" s="2">
        <f ca="1">IFERROR(__xludf.DUMMYFUNCTION("""COMPUTED_VALUE"""),101.15)</f>
        <v>101.15</v>
      </c>
      <c r="G1444" s="2">
        <f ca="1">IFERROR(__xludf.DUMMYFUNCTION("""COMPUTED_VALUE"""),0.59596)</f>
        <v>0.59596000000000005</v>
      </c>
      <c r="H1444" s="2">
        <f ca="1">IFERROR(__xludf.DUMMYFUNCTION("""COMPUTED_VALUE"""),56.481)</f>
        <v>56.481000000000002</v>
      </c>
      <c r="I1444" s="2">
        <f ca="1">IFERROR(__xludf.DUMMYFUNCTION("""COMPUTED_VALUE"""),56.454)</f>
        <v>56.454000000000001</v>
      </c>
      <c r="J1444" s="2">
        <f ca="1">IFERROR(__xludf.DUMMYFUNCTION("""COMPUTED_VALUE"""),48.098)</f>
        <v>48.097999999999999</v>
      </c>
      <c r="K1444" s="2">
        <f ca="1">IFERROR(__xludf.DUMMYFUNCTION("""COMPUTED_VALUE"""),68.538)</f>
        <v>68.537999999999997</v>
      </c>
      <c r="M1444" s="2">
        <f ca="1">IFERROR(__xludf.DUMMYFUNCTION("""COMPUTED_VALUE"""),16.509)</f>
        <v>16.509</v>
      </c>
      <c r="U1444" s="3" t="e">
        <f ca="1"/>
        <v>#NAME?</v>
      </c>
    </row>
    <row r="1445" spans="3:21" ht="12.5" x14ac:dyDescent="0.25">
      <c r="C1445" s="4">
        <f ca="1">IFERROR(__xludf.DUMMYFUNCTION("""COMPUTED_VALUE"""),41787.9986111111)</f>
        <v>41787.998611111099</v>
      </c>
      <c r="D1445" s="2">
        <f ca="1">IFERROR(__xludf.DUMMYFUNCTION("""COMPUTED_VALUE"""),58.83)</f>
        <v>58.83</v>
      </c>
      <c r="E1445" s="2">
        <f ca="1">IFERROR(__xludf.DUMMYFUNCTION("""COMPUTED_VALUE"""),81.813)</f>
        <v>81.813000000000002</v>
      </c>
      <c r="F1445" s="2">
        <f ca="1">IFERROR(__xludf.DUMMYFUNCTION("""COMPUTED_VALUE"""),101.22)</f>
        <v>101.22</v>
      </c>
      <c r="G1445" s="2">
        <f ca="1">IFERROR(__xludf.DUMMYFUNCTION("""COMPUTED_VALUE"""),0.59238)</f>
        <v>0.59238000000000002</v>
      </c>
      <c r="H1445" s="2">
        <f ca="1">IFERROR(__xludf.DUMMYFUNCTION("""COMPUTED_VALUE"""),56.355)</f>
        <v>56.354999999999997</v>
      </c>
      <c r="I1445" s="2">
        <f ca="1">IFERROR(__xludf.DUMMYFUNCTION("""COMPUTED_VALUE"""),55.905)</f>
        <v>55.905000000000001</v>
      </c>
      <c r="J1445" s="2">
        <f ca="1">IFERROR(__xludf.DUMMYFUNCTION("""COMPUTED_VALUE"""),48.417)</f>
        <v>48.417000000000002</v>
      </c>
      <c r="K1445" s="2">
        <f ca="1">IFERROR(__xludf.DUMMYFUNCTION("""COMPUTED_VALUE"""),68.439)</f>
        <v>68.438999999999993</v>
      </c>
      <c r="M1445" s="2">
        <f ca="1">IFERROR(__xludf.DUMMYFUNCTION("""COMPUTED_VALUE"""),16.506)</f>
        <v>16.506</v>
      </c>
      <c r="U1445" s="3" t="e">
        <f ca="1"/>
        <v>#NAME?</v>
      </c>
    </row>
    <row r="1446" spans="3:21" ht="12.5" x14ac:dyDescent="0.25">
      <c r="C1446" s="4">
        <f ca="1">IFERROR(__xludf.DUMMYFUNCTION("""COMPUTED_VALUE"""),41788.9986111111)</f>
        <v>41788.998611111099</v>
      </c>
      <c r="D1446" s="2">
        <f ca="1">IFERROR(__xludf.DUMMYFUNCTION("""COMPUTED_VALUE"""),58.913)</f>
        <v>58.912999999999997</v>
      </c>
      <c r="E1446" s="2">
        <f ca="1">IFERROR(__xludf.DUMMYFUNCTION("""COMPUTED_VALUE"""),81.498)</f>
        <v>81.498000000000005</v>
      </c>
      <c r="F1446" s="2">
        <f ca="1">IFERROR(__xludf.DUMMYFUNCTION("""COMPUTED_VALUE"""),101)</f>
        <v>101</v>
      </c>
      <c r="G1446" s="2">
        <f ca="1">IFERROR(__xludf.DUMMYFUNCTION("""COMPUTED_VALUE"""),0.59304)</f>
        <v>0.59304000000000001</v>
      </c>
      <c r="H1446" s="2">
        <f ca="1">IFERROR(__xludf.DUMMYFUNCTION("""COMPUTED_VALUE"""),56.423)</f>
        <v>56.423000000000002</v>
      </c>
      <c r="I1446" s="2">
        <f ca="1">IFERROR(__xludf.DUMMYFUNCTION("""COMPUTED_VALUE"""),55.977)</f>
        <v>55.976999999999997</v>
      </c>
      <c r="J1446" s="2">
        <f ca="1">IFERROR(__xludf.DUMMYFUNCTION("""COMPUTED_VALUE"""),48.354)</f>
        <v>48.353999999999999</v>
      </c>
      <c r="K1446" s="2">
        <f ca="1">IFERROR(__xludf.DUMMYFUNCTION("""COMPUTED_VALUE"""),67.988)</f>
        <v>67.988</v>
      </c>
      <c r="M1446" s="2">
        <f ca="1">IFERROR(__xludf.DUMMYFUNCTION("""COMPUTED_VALUE"""),16.51)</f>
        <v>16.510000000000002</v>
      </c>
      <c r="U1446" s="3" t="e">
        <f ca="1"/>
        <v>#NAME?</v>
      </c>
    </row>
    <row r="1447" spans="3:21" ht="12.5" x14ac:dyDescent="0.25">
      <c r="C1447" s="4">
        <f ca="1">IFERROR(__xludf.DUMMYFUNCTION("""COMPUTED_VALUE"""),41789.9986111111)</f>
        <v>41789.998611111099</v>
      </c>
      <c r="D1447" s="2">
        <f ca="1">IFERROR(__xludf.DUMMYFUNCTION("""COMPUTED_VALUE"""),59.188)</f>
        <v>59.188000000000002</v>
      </c>
      <c r="E1447" s="2">
        <f ca="1">IFERROR(__xludf.DUMMYFUNCTION("""COMPUTED_VALUE"""),81.251)</f>
        <v>81.251000000000005</v>
      </c>
      <c r="F1447" s="2">
        <f ca="1">IFERROR(__xludf.DUMMYFUNCTION("""COMPUTED_VALUE"""),101.32)</f>
        <v>101.32</v>
      </c>
      <c r="G1447" s="2">
        <f ca="1">IFERROR(__xludf.DUMMYFUNCTION("""COMPUTED_VALUE"""),0.59363)</f>
        <v>0.59362999999999999</v>
      </c>
      <c r="H1447" s="2">
        <f ca="1">IFERROR(__xludf.DUMMYFUNCTION("""COMPUTED_VALUE"""),56.423)</f>
        <v>56.423000000000002</v>
      </c>
      <c r="I1447" s="2">
        <f ca="1">IFERROR(__xludf.DUMMYFUNCTION("""COMPUTED_VALUE"""),55.977)</f>
        <v>55.976999999999997</v>
      </c>
      <c r="J1447" s="2">
        <f ca="1">IFERROR(__xludf.DUMMYFUNCTION("""COMPUTED_VALUE"""),48.423)</f>
        <v>48.423000000000002</v>
      </c>
      <c r="K1447" s="2">
        <f ca="1">IFERROR(__xludf.DUMMYFUNCTION("""COMPUTED_VALUE"""),67.598)</f>
        <v>67.597999999999999</v>
      </c>
      <c r="M1447" s="2">
        <f ca="1">IFERROR(__xludf.DUMMYFUNCTION("""COMPUTED_VALUE"""),16.449)</f>
        <v>16.449000000000002</v>
      </c>
      <c r="U1447" s="3" t="e">
        <f ca="1"/>
        <v>#NAME?</v>
      </c>
    </row>
    <row r="1448" spans="3:21" ht="12.5" x14ac:dyDescent="0.25">
      <c r="C1448" s="4">
        <f ca="1">IFERROR(__xludf.DUMMYFUNCTION("""COMPUTED_VALUE"""),41790.9986111111)</f>
        <v>41790.998611111099</v>
      </c>
      <c r="D1448" s="2">
        <f ca="1">IFERROR(__xludf.DUMMYFUNCTION("""COMPUTED_VALUE"""),59.289)</f>
        <v>59.289000000000001</v>
      </c>
      <c r="E1448" s="2">
        <f ca="1">IFERROR(__xludf.DUMMYFUNCTION("""COMPUTED_VALUE"""),81.302)</f>
        <v>81.302000000000007</v>
      </c>
      <c r="F1448" s="2">
        <f ca="1">IFERROR(__xludf.DUMMYFUNCTION("""COMPUTED_VALUE"""),102.14)</f>
        <v>102.14</v>
      </c>
      <c r="G1448" s="2">
        <f ca="1">IFERROR(__xludf.DUMMYFUNCTION("""COMPUTED_VALUE"""),0.59199)</f>
        <v>0.59199000000000002</v>
      </c>
      <c r="H1448" s="2">
        <f ca="1">IFERROR(__xludf.DUMMYFUNCTION("""COMPUTED_VALUE"""),56.435)</f>
        <v>56.435000000000002</v>
      </c>
      <c r="I1448" s="2">
        <f ca="1">IFERROR(__xludf.DUMMYFUNCTION("""COMPUTED_VALUE"""),56.069)</f>
        <v>56.069000000000003</v>
      </c>
      <c r="J1448" s="2">
        <f ca="1">IFERROR(__xludf.DUMMYFUNCTION("""COMPUTED_VALUE"""),48.423)</f>
        <v>48.423000000000002</v>
      </c>
      <c r="K1448" s="2">
        <f ca="1">IFERROR(__xludf.DUMMYFUNCTION("""COMPUTED_VALUE"""),67.658)</f>
        <v>67.658000000000001</v>
      </c>
      <c r="M1448" s="2">
        <f ca="1">IFERROR(__xludf.DUMMYFUNCTION("""COMPUTED_VALUE"""),16.427)</f>
        <v>16.427</v>
      </c>
      <c r="U1448" s="3" t="e">
        <f ca="1"/>
        <v>#NAME?</v>
      </c>
    </row>
    <row r="1449" spans="3:21" ht="12.5" x14ac:dyDescent="0.25">
      <c r="C1449" s="4">
        <f ca="1">IFERROR(__xludf.DUMMYFUNCTION("""COMPUTED_VALUE"""),41791.9986111111)</f>
        <v>41791.998611111099</v>
      </c>
      <c r="D1449" s="2">
        <f ca="1">IFERROR(__xludf.DUMMYFUNCTION("""COMPUTED_VALUE"""),59.289)</f>
        <v>59.289000000000001</v>
      </c>
      <c r="E1449" s="2">
        <f ca="1">IFERROR(__xludf.DUMMYFUNCTION("""COMPUTED_VALUE"""),81.446)</f>
        <v>81.445999999999998</v>
      </c>
      <c r="F1449" s="2">
        <f ca="1">IFERROR(__xludf.DUMMYFUNCTION("""COMPUTED_VALUE"""),102.41)</f>
        <v>102.41</v>
      </c>
      <c r="G1449" s="2">
        <f ca="1">IFERROR(__xludf.DUMMYFUNCTION("""COMPUTED_VALUE"""),0.58901)</f>
        <v>0.58901000000000003</v>
      </c>
      <c r="H1449" s="2">
        <f ca="1">IFERROR(__xludf.DUMMYFUNCTION("""COMPUTED_VALUE"""),56.295)</f>
        <v>56.295000000000002</v>
      </c>
      <c r="I1449" s="2">
        <f ca="1">IFERROR(__xludf.DUMMYFUNCTION("""COMPUTED_VALUE"""),55.842)</f>
        <v>55.841999999999999</v>
      </c>
      <c r="J1449" s="2">
        <f ca="1">IFERROR(__xludf.DUMMYFUNCTION("""COMPUTED_VALUE"""),48.391)</f>
        <v>48.390999999999998</v>
      </c>
      <c r="K1449" s="2">
        <f ca="1">IFERROR(__xludf.DUMMYFUNCTION("""COMPUTED_VALUE"""),67.478)</f>
        <v>67.477999999999994</v>
      </c>
      <c r="M1449" s="2">
        <f ca="1">IFERROR(__xludf.DUMMYFUNCTION("""COMPUTED_VALUE"""),16.407)</f>
        <v>16.407</v>
      </c>
      <c r="U1449" s="3" t="e">
        <f ca="1"/>
        <v>#NAME?</v>
      </c>
    </row>
    <row r="1450" spans="3:21" ht="12.5" x14ac:dyDescent="0.25">
      <c r="C1450" s="4">
        <f ca="1">IFERROR(__xludf.DUMMYFUNCTION("""COMPUTED_VALUE"""),41792.9986111111)</f>
        <v>41792.998611111099</v>
      </c>
      <c r="D1450" s="2">
        <f ca="1">IFERROR(__xludf.DUMMYFUNCTION("""COMPUTED_VALUE"""),59.148)</f>
        <v>59.148000000000003</v>
      </c>
      <c r="E1450" s="2">
        <f ca="1">IFERROR(__xludf.DUMMYFUNCTION("""COMPUTED_VALUE"""),81.529)</f>
        <v>81.528999999999996</v>
      </c>
      <c r="F1450" s="2">
        <f ca="1">IFERROR(__xludf.DUMMYFUNCTION("""COMPUTED_VALUE"""),102.57)</f>
        <v>102.57</v>
      </c>
      <c r="G1450" s="2">
        <f ca="1">IFERROR(__xludf.DUMMYFUNCTION("""COMPUTED_VALUE"""),0.58425)</f>
        <v>0.58425000000000005</v>
      </c>
      <c r="H1450" s="2">
        <f ca="1">IFERROR(__xludf.DUMMYFUNCTION("""COMPUTED_VALUE"""),56.249)</f>
        <v>56.249000000000002</v>
      </c>
      <c r="I1450" s="2">
        <f ca="1">IFERROR(__xludf.DUMMYFUNCTION("""COMPUTED_VALUE"""),55.923)</f>
        <v>55.923000000000002</v>
      </c>
      <c r="J1450" s="2">
        <f ca="1">IFERROR(__xludf.DUMMYFUNCTION("""COMPUTED_VALUE"""),48.291)</f>
        <v>48.290999999999997</v>
      </c>
      <c r="K1450" s="2">
        <f ca="1">IFERROR(__xludf.DUMMYFUNCTION("""COMPUTED_VALUE"""),67.581)</f>
        <v>67.581000000000003</v>
      </c>
      <c r="M1450" s="2">
        <f ca="1">IFERROR(__xludf.DUMMYFUNCTION("""COMPUTED_VALUE"""),16.384)</f>
        <v>16.384</v>
      </c>
      <c r="U1450" s="3" t="e">
        <f ca="1"/>
        <v>#NAME?</v>
      </c>
    </row>
    <row r="1451" spans="3:21" ht="12.5" x14ac:dyDescent="0.25">
      <c r="C1451" s="4">
        <f ca="1">IFERROR(__xludf.DUMMYFUNCTION("""COMPUTED_VALUE"""),41793.9986111111)</f>
        <v>41793.998611111099</v>
      </c>
      <c r="D1451" s="2">
        <f ca="1">IFERROR(__xludf.DUMMYFUNCTION("""COMPUTED_VALUE"""),59.3)</f>
        <v>59.3</v>
      </c>
      <c r="E1451" s="2">
        <f ca="1">IFERROR(__xludf.DUMMYFUNCTION("""COMPUTED_VALUE"""),81.52)</f>
        <v>81.52</v>
      </c>
      <c r="F1451" s="2">
        <f ca="1">IFERROR(__xludf.DUMMYFUNCTION("""COMPUTED_VALUE"""),101.79)</f>
        <v>101.79</v>
      </c>
      <c r="G1451" s="2">
        <f ca="1">IFERROR(__xludf.DUMMYFUNCTION("""COMPUTED_VALUE"""),0.58359)</f>
        <v>0.58359000000000005</v>
      </c>
      <c r="H1451" s="2">
        <f ca="1">IFERROR(__xludf.DUMMYFUNCTION("""COMPUTED_VALUE"""),56.174)</f>
        <v>56.173999999999999</v>
      </c>
      <c r="I1451" s="2">
        <f ca="1">IFERROR(__xludf.DUMMYFUNCTION("""COMPUTED_VALUE"""),55.87)</f>
        <v>55.87</v>
      </c>
      <c r="J1451" s="2">
        <f ca="1">IFERROR(__xludf.DUMMYFUNCTION("""COMPUTED_VALUE"""),48.344)</f>
        <v>48.344000000000001</v>
      </c>
      <c r="K1451" s="2">
        <f ca="1">IFERROR(__xludf.DUMMYFUNCTION("""COMPUTED_VALUE"""),66.746)</f>
        <v>66.745999999999995</v>
      </c>
      <c r="M1451" s="2">
        <f ca="1">IFERROR(__xludf.DUMMYFUNCTION("""COMPUTED_VALUE"""),16.352)</f>
        <v>16.352</v>
      </c>
      <c r="U1451" s="3" t="e">
        <f ca="1"/>
        <v>#NAME?</v>
      </c>
    </row>
    <row r="1452" spans="3:21" ht="12.5" x14ac:dyDescent="0.25">
      <c r="C1452" s="4">
        <f ca="1">IFERROR(__xludf.DUMMYFUNCTION("""COMPUTED_VALUE"""),41794.9986111111)</f>
        <v>41794.998611111099</v>
      </c>
      <c r="D1452" s="2">
        <f ca="1">IFERROR(__xludf.DUMMYFUNCTION("""COMPUTED_VALUE"""),59.273)</f>
        <v>59.273000000000003</v>
      </c>
      <c r="E1452" s="2">
        <f ca="1">IFERROR(__xludf.DUMMYFUNCTION("""COMPUTED_VALUE"""),81.389)</f>
        <v>81.388999999999996</v>
      </c>
      <c r="F1452" s="2">
        <f ca="1">IFERROR(__xludf.DUMMYFUNCTION("""COMPUTED_VALUE"""),101.837)</f>
        <v>101.837</v>
      </c>
      <c r="G1452" s="2">
        <f ca="1">IFERROR(__xludf.DUMMYFUNCTION("""COMPUTED_VALUE"""),0.58105)</f>
        <v>0.58104999999999996</v>
      </c>
      <c r="H1452" s="2">
        <f ca="1">IFERROR(__xludf.DUMMYFUNCTION("""COMPUTED_VALUE"""),56.564)</f>
        <v>56.564</v>
      </c>
      <c r="I1452" s="2">
        <f ca="1">IFERROR(__xludf.DUMMYFUNCTION("""COMPUTED_VALUE"""),56.1)</f>
        <v>56.1</v>
      </c>
      <c r="J1452" s="2">
        <f ca="1">IFERROR(__xludf.DUMMYFUNCTION("""COMPUTED_VALUE"""),48.345)</f>
        <v>48.344999999999999</v>
      </c>
      <c r="K1452" s="2">
        <f ca="1">IFERROR(__xludf.DUMMYFUNCTION("""COMPUTED_VALUE"""),66.797)</f>
        <v>66.796999999999997</v>
      </c>
      <c r="M1452" s="2">
        <f ca="1">IFERROR(__xludf.DUMMYFUNCTION("""COMPUTED_VALUE"""),16.341)</f>
        <v>16.341000000000001</v>
      </c>
      <c r="U1452" s="3" t="e">
        <f ca="1"/>
        <v>#NAME?</v>
      </c>
    </row>
    <row r="1453" spans="3:21" ht="12.5" x14ac:dyDescent="0.25">
      <c r="C1453" s="4">
        <f ca="1">IFERROR(__xludf.DUMMYFUNCTION("""COMPUTED_VALUE"""),41795.9986111111)</f>
        <v>41795.998611111099</v>
      </c>
      <c r="D1453" s="2">
        <f ca="1">IFERROR(__xludf.DUMMYFUNCTION("""COMPUTED_VALUE"""),59.02)</f>
        <v>59.02</v>
      </c>
      <c r="E1453" s="2">
        <f ca="1">IFERROR(__xludf.DUMMYFUNCTION("""COMPUTED_VALUE"""),80.863)</f>
        <v>80.863</v>
      </c>
      <c r="F1453" s="2">
        <f ca="1">IFERROR(__xludf.DUMMYFUNCTION("""COMPUTED_VALUE"""),101.87)</f>
        <v>101.87</v>
      </c>
      <c r="G1453" s="2">
        <f ca="1">IFERROR(__xludf.DUMMYFUNCTION("""COMPUTED_VALUE"""),0.58168)</f>
        <v>0.58167999999999997</v>
      </c>
      <c r="H1453" s="2">
        <f ca="1">IFERROR(__xludf.DUMMYFUNCTION("""COMPUTED_VALUE"""),56.62)</f>
        <v>56.62</v>
      </c>
      <c r="I1453" s="2">
        <f ca="1">IFERROR(__xludf.DUMMYFUNCTION("""COMPUTED_VALUE"""),56.151)</f>
        <v>56.151000000000003</v>
      </c>
      <c r="J1453" s="2">
        <f ca="1">IFERROR(__xludf.DUMMYFUNCTION("""COMPUTED_VALUE"""),48.516)</f>
        <v>48.515999999999998</v>
      </c>
      <c r="K1453" s="2">
        <f ca="1">IFERROR(__xludf.DUMMYFUNCTION("""COMPUTED_VALUE"""),66.693)</f>
        <v>66.692999999999998</v>
      </c>
      <c r="M1453" s="2">
        <f ca="1">IFERROR(__xludf.DUMMYFUNCTION("""COMPUTED_VALUE"""),16.365)</f>
        <v>16.364999999999998</v>
      </c>
      <c r="U1453" s="3" t="e">
        <f ca="1"/>
        <v>#NAME?</v>
      </c>
    </row>
    <row r="1454" spans="3:21" ht="12.5" x14ac:dyDescent="0.25">
      <c r="C1454" s="4">
        <f ca="1">IFERROR(__xludf.DUMMYFUNCTION("""COMPUTED_VALUE"""),41796.9986111111)</f>
        <v>41796.998611111099</v>
      </c>
      <c r="D1454" s="2">
        <f ca="1">IFERROR(__xludf.DUMMYFUNCTION("""COMPUTED_VALUE"""),59.168)</f>
        <v>59.167999999999999</v>
      </c>
      <c r="E1454" s="2">
        <f ca="1">IFERROR(__xludf.DUMMYFUNCTION("""COMPUTED_VALUE"""),80.701)</f>
        <v>80.700999999999993</v>
      </c>
      <c r="F1454" s="2">
        <f ca="1">IFERROR(__xludf.DUMMYFUNCTION("""COMPUTED_VALUE"""),101.84)</f>
        <v>101.84</v>
      </c>
      <c r="G1454" s="2">
        <f ca="1">IFERROR(__xludf.DUMMYFUNCTION("""COMPUTED_VALUE"""),0.58168)</f>
        <v>0.58167999999999997</v>
      </c>
      <c r="H1454" s="2">
        <f ca="1">IFERROR(__xludf.DUMMYFUNCTION("""COMPUTED_VALUE"""),56.62)</f>
        <v>56.62</v>
      </c>
      <c r="I1454" s="2">
        <f ca="1">IFERROR(__xludf.DUMMYFUNCTION("""COMPUTED_VALUE"""),56.151)</f>
        <v>56.151000000000003</v>
      </c>
      <c r="J1454" s="2">
        <f ca="1">IFERROR(__xludf.DUMMYFUNCTION("""COMPUTED_VALUE"""),48.577)</f>
        <v>48.576999999999998</v>
      </c>
      <c r="K1454" s="2">
        <f ca="1">IFERROR(__xludf.DUMMYFUNCTION("""COMPUTED_VALUE"""),65.602)</f>
        <v>65.602000000000004</v>
      </c>
      <c r="M1454" s="2">
        <f ca="1">IFERROR(__xludf.DUMMYFUNCTION("""COMPUTED_VALUE"""),16.329)</f>
        <v>16.329000000000001</v>
      </c>
      <c r="U1454" s="3" t="e">
        <f ca="1"/>
        <v>#NAME?</v>
      </c>
    </row>
    <row r="1455" spans="3:21" ht="12.5" x14ac:dyDescent="0.25">
      <c r="C1455" s="4">
        <f ca="1">IFERROR(__xludf.DUMMYFUNCTION("""COMPUTED_VALUE"""),41797.9986111111)</f>
        <v>41797.998611111099</v>
      </c>
      <c r="D1455" s="2">
        <f ca="1">IFERROR(__xludf.DUMMYFUNCTION("""COMPUTED_VALUE"""),59.168)</f>
        <v>59.167999999999999</v>
      </c>
      <c r="E1455" s="2">
        <f ca="1">IFERROR(__xludf.DUMMYFUNCTION("""COMPUTED_VALUE"""),80.872)</f>
        <v>80.872</v>
      </c>
      <c r="F1455" s="2">
        <f ca="1">IFERROR(__xludf.DUMMYFUNCTION("""COMPUTED_VALUE"""),101.52)</f>
        <v>101.52</v>
      </c>
      <c r="G1455" s="2">
        <f ca="1">IFERROR(__xludf.DUMMYFUNCTION("""COMPUTED_VALUE"""),0.58153)</f>
        <v>0.58152999999999999</v>
      </c>
      <c r="H1455" s="2">
        <f ca="1">IFERROR(__xludf.DUMMYFUNCTION("""COMPUTED_VALUE"""),56.379)</f>
        <v>56.378999999999998</v>
      </c>
      <c r="I1455" s="2">
        <f ca="1">IFERROR(__xludf.DUMMYFUNCTION("""COMPUTED_VALUE"""),56.037)</f>
        <v>56.036999999999999</v>
      </c>
      <c r="J1455" s="2">
        <f ca="1">IFERROR(__xludf.DUMMYFUNCTION("""COMPUTED_VALUE"""),48.577)</f>
        <v>48.576999999999998</v>
      </c>
      <c r="K1455" s="2">
        <f ca="1">IFERROR(__xludf.DUMMYFUNCTION("""COMPUTED_VALUE"""),65.312)</f>
        <v>65.311999999999998</v>
      </c>
      <c r="M1455" s="2">
        <f ca="1">IFERROR(__xludf.DUMMYFUNCTION("""COMPUTED_VALUE"""),16.305)</f>
        <v>16.305</v>
      </c>
      <c r="U1455" s="3" t="e">
        <f ca="1"/>
        <v>#NAME?</v>
      </c>
    </row>
    <row r="1456" spans="3:21" ht="12.5" x14ac:dyDescent="0.25">
      <c r="C1456" s="4">
        <f ca="1">IFERROR(__xludf.DUMMYFUNCTION("""COMPUTED_VALUE"""),41798.9986111111)</f>
        <v>41798.998611111099</v>
      </c>
      <c r="D1456" s="2">
        <f ca="1">IFERROR(__xludf.DUMMYFUNCTION("""COMPUTED_VALUE"""),59.168)</f>
        <v>59.167999999999999</v>
      </c>
      <c r="E1456" s="2">
        <f ca="1">IFERROR(__xludf.DUMMYFUNCTION("""COMPUTED_VALUE"""),80.584)</f>
        <v>80.584000000000003</v>
      </c>
      <c r="F1456" s="2">
        <f ca="1">IFERROR(__xludf.DUMMYFUNCTION("""COMPUTED_VALUE"""),101.73)</f>
        <v>101.73</v>
      </c>
      <c r="G1456" s="2">
        <f ca="1">IFERROR(__xludf.DUMMYFUNCTION("""COMPUTED_VALUE"""),0.58)</f>
        <v>0.57999999999999996</v>
      </c>
      <c r="H1456" s="2">
        <f ca="1">IFERROR(__xludf.DUMMYFUNCTION("""COMPUTED_VALUE"""),56.394)</f>
        <v>56.393999999999998</v>
      </c>
      <c r="I1456" s="2">
        <f ca="1">IFERROR(__xludf.DUMMYFUNCTION("""COMPUTED_VALUE"""),55.914)</f>
        <v>55.914000000000001</v>
      </c>
      <c r="J1456" s="2">
        <f ca="1">IFERROR(__xludf.DUMMYFUNCTION("""COMPUTED_VALUE"""),48.54)</f>
        <v>48.54</v>
      </c>
      <c r="K1456" s="2">
        <f ca="1">IFERROR(__xludf.DUMMYFUNCTION("""COMPUTED_VALUE"""),65.628)</f>
        <v>65.628</v>
      </c>
      <c r="M1456" s="2">
        <f ca="1">IFERROR(__xludf.DUMMYFUNCTION("""COMPUTED_VALUE"""),16.306)</f>
        <v>16.306000000000001</v>
      </c>
      <c r="U1456" s="3" t="e">
        <f ca="1"/>
        <v>#NAME?</v>
      </c>
    </row>
    <row r="1457" spans="3:21" ht="12.5" x14ac:dyDescent="0.25">
      <c r="C1457" s="4">
        <f ca="1">IFERROR(__xludf.DUMMYFUNCTION("""COMPUTED_VALUE"""),41799.9986111111)</f>
        <v>41799.998611111099</v>
      </c>
      <c r="D1457" s="2">
        <f ca="1">IFERROR(__xludf.DUMMYFUNCTION("""COMPUTED_VALUE"""),59.198)</f>
        <v>59.198</v>
      </c>
      <c r="E1457" s="2">
        <f ca="1">IFERROR(__xludf.DUMMYFUNCTION("""COMPUTED_VALUE"""),80.651)</f>
        <v>80.650999999999996</v>
      </c>
      <c r="F1457" s="2">
        <f ca="1">IFERROR(__xludf.DUMMYFUNCTION("""COMPUTED_VALUE"""),101.71)</f>
        <v>101.71</v>
      </c>
      <c r="G1457" s="2">
        <f ca="1">IFERROR(__xludf.DUMMYFUNCTION("""COMPUTED_VALUE"""),0.58128)</f>
        <v>0.58128000000000002</v>
      </c>
      <c r="H1457" s="2">
        <f ca="1">IFERROR(__xludf.DUMMYFUNCTION("""COMPUTED_VALUE"""),56.6)</f>
        <v>56.6</v>
      </c>
      <c r="I1457" s="2">
        <f ca="1">IFERROR(__xludf.DUMMYFUNCTION("""COMPUTED_VALUE"""),55.898)</f>
        <v>55.898000000000003</v>
      </c>
      <c r="J1457" s="2">
        <f ca="1">IFERROR(__xludf.DUMMYFUNCTION("""COMPUTED_VALUE"""),48.417)</f>
        <v>48.417000000000002</v>
      </c>
      <c r="K1457" s="2">
        <f ca="1">IFERROR(__xludf.DUMMYFUNCTION("""COMPUTED_VALUE"""),65.364)</f>
        <v>65.364000000000004</v>
      </c>
      <c r="M1457" s="2">
        <f ca="1">IFERROR(__xludf.DUMMYFUNCTION("""COMPUTED_VALUE"""),16.324)</f>
        <v>16.324000000000002</v>
      </c>
      <c r="U1457" s="3" t="e">
        <f ca="1"/>
        <v>#NAME?</v>
      </c>
    </row>
    <row r="1458" spans="3:21" ht="12.5" x14ac:dyDescent="0.25">
      <c r="C1458" s="4">
        <f ca="1">IFERROR(__xludf.DUMMYFUNCTION("""COMPUTED_VALUE"""),41800.9986111111)</f>
        <v>41800.998611111099</v>
      </c>
      <c r="D1458" s="2">
        <f ca="1">IFERROR(__xludf.DUMMYFUNCTION("""COMPUTED_VALUE"""),59.208)</f>
        <v>59.207999999999998</v>
      </c>
      <c r="E1458" s="2">
        <f ca="1">IFERROR(__xludf.DUMMYFUNCTION("""COMPUTED_VALUE"""),80.657)</f>
        <v>80.656999999999996</v>
      </c>
      <c r="F1458" s="2">
        <f ca="1">IFERROR(__xludf.DUMMYFUNCTION("""COMPUTED_VALUE"""),101.46)</f>
        <v>101.46</v>
      </c>
      <c r="G1458" s="2">
        <f ca="1">IFERROR(__xludf.DUMMYFUNCTION("""COMPUTED_VALUE"""),0.58271)</f>
        <v>0.58270999999999995</v>
      </c>
      <c r="H1458" s="2">
        <f ca="1">IFERROR(__xludf.DUMMYFUNCTION("""COMPUTED_VALUE"""),56.581)</f>
        <v>56.581000000000003</v>
      </c>
      <c r="I1458" s="2">
        <f ca="1">IFERROR(__xludf.DUMMYFUNCTION("""COMPUTED_VALUE"""),55.904)</f>
        <v>55.904000000000003</v>
      </c>
      <c r="J1458" s="2">
        <f ca="1">IFERROR(__xludf.DUMMYFUNCTION("""COMPUTED_VALUE"""),48.453)</f>
        <v>48.453000000000003</v>
      </c>
      <c r="K1458" s="2">
        <f ca="1">IFERROR(__xludf.DUMMYFUNCTION("""COMPUTED_VALUE"""),65.617)</f>
        <v>65.617000000000004</v>
      </c>
      <c r="M1458" s="2">
        <f ca="1">IFERROR(__xludf.DUMMYFUNCTION("""COMPUTED_VALUE"""),16.324)</f>
        <v>16.324000000000002</v>
      </c>
      <c r="U1458" s="3" t="e">
        <f ca="1"/>
        <v>#NAME?</v>
      </c>
    </row>
    <row r="1459" spans="3:21" ht="12.5" x14ac:dyDescent="0.25">
      <c r="C1459" s="4">
        <f ca="1">IFERROR(__xludf.DUMMYFUNCTION("""COMPUTED_VALUE"""),41801.9986111111)</f>
        <v>41801.998611111099</v>
      </c>
      <c r="D1459" s="2">
        <f ca="1">IFERROR(__xludf.DUMMYFUNCTION("""COMPUTED_VALUE"""),59.333)</f>
        <v>59.332999999999998</v>
      </c>
      <c r="E1459" s="2">
        <f ca="1">IFERROR(__xludf.DUMMYFUNCTION("""COMPUTED_VALUE"""),80.669)</f>
        <v>80.668999999999997</v>
      </c>
      <c r="F1459" s="2">
        <f ca="1">IFERROR(__xludf.DUMMYFUNCTION("""COMPUTED_VALUE"""),101.35)</f>
        <v>101.35</v>
      </c>
      <c r="G1459" s="2">
        <f ca="1">IFERROR(__xludf.DUMMYFUNCTION("""COMPUTED_VALUE"""),0.5766)</f>
        <v>0.5766</v>
      </c>
      <c r="H1459" s="2">
        <f ca="1">IFERROR(__xludf.DUMMYFUNCTION("""COMPUTED_VALUE"""),56.376)</f>
        <v>56.375999999999998</v>
      </c>
      <c r="I1459" s="2">
        <f ca="1">IFERROR(__xludf.DUMMYFUNCTION("""COMPUTED_VALUE"""),55.472)</f>
        <v>55.472000000000001</v>
      </c>
      <c r="J1459" s="2">
        <f ca="1">IFERROR(__xludf.DUMMYFUNCTION("""COMPUTED_VALUE"""),48.409)</f>
        <v>48.408999999999999</v>
      </c>
      <c r="K1459" s="2">
        <f ca="1">IFERROR(__xludf.DUMMYFUNCTION("""COMPUTED_VALUE"""),65.646)</f>
        <v>65.646000000000001</v>
      </c>
      <c r="M1459" s="2">
        <f ca="1">IFERROR(__xludf.DUMMYFUNCTION("""COMPUTED_VALUE"""),16.294)</f>
        <v>16.294</v>
      </c>
      <c r="U1459" s="3" t="e">
        <f ca="1"/>
        <v>#NAME?</v>
      </c>
    </row>
    <row r="1460" spans="3:21" ht="12.5" x14ac:dyDescent="0.25">
      <c r="C1460" s="4">
        <f ca="1">IFERROR(__xludf.DUMMYFUNCTION("""COMPUTED_VALUE"""),41802.9986111111)</f>
        <v>41802.998611111099</v>
      </c>
      <c r="D1460" s="2">
        <f ca="1">IFERROR(__xludf.DUMMYFUNCTION("""COMPUTED_VALUE"""),59.288)</f>
        <v>59.287999999999997</v>
      </c>
      <c r="E1460" s="2">
        <f ca="1">IFERROR(__xludf.DUMMYFUNCTION("""COMPUTED_VALUE"""),80.554)</f>
        <v>80.554000000000002</v>
      </c>
      <c r="F1460" s="2">
        <f ca="1">IFERROR(__xludf.DUMMYFUNCTION("""COMPUTED_VALUE"""),101.35)</f>
        <v>101.35</v>
      </c>
      <c r="G1460" s="2">
        <f ca="1">IFERROR(__xludf.DUMMYFUNCTION("""COMPUTED_VALUE"""),0.58138)</f>
        <v>0.58138000000000001</v>
      </c>
      <c r="H1460" s="2">
        <f ca="1">IFERROR(__xludf.DUMMYFUNCTION("""COMPUTED_VALUE"""),56.425)</f>
        <v>56.424999999999997</v>
      </c>
      <c r="I1460" s="2">
        <f ca="1">IFERROR(__xludf.DUMMYFUNCTION("""COMPUTED_VALUE"""),55.514)</f>
        <v>55.514000000000003</v>
      </c>
      <c r="J1460" s="2">
        <f ca="1">IFERROR(__xludf.DUMMYFUNCTION("""COMPUTED_VALUE"""),48.305)</f>
        <v>48.305</v>
      </c>
      <c r="K1460" s="2">
        <f ca="1">IFERROR(__xludf.DUMMYFUNCTION("""COMPUTED_VALUE"""),65.103)</f>
        <v>65.102999999999994</v>
      </c>
      <c r="M1460" s="2">
        <f ca="1">IFERROR(__xludf.DUMMYFUNCTION("""COMPUTED_VALUE"""),16.199)</f>
        <v>16.199000000000002</v>
      </c>
      <c r="U1460" s="3" t="e">
        <f ca="1"/>
        <v>#NAME?</v>
      </c>
    </row>
    <row r="1461" spans="3:21" ht="12.5" x14ac:dyDescent="0.25">
      <c r="C1461" s="4">
        <f ca="1">IFERROR(__xludf.DUMMYFUNCTION("""COMPUTED_VALUE"""),41803.9986111111)</f>
        <v>41803.998611111099</v>
      </c>
      <c r="D1461" s="2">
        <f ca="1">IFERROR(__xludf.DUMMYFUNCTION("""COMPUTED_VALUE"""),59.703)</f>
        <v>59.703000000000003</v>
      </c>
      <c r="E1461" s="2">
        <f ca="1">IFERROR(__xludf.DUMMYFUNCTION("""COMPUTED_VALUE"""),80.383)</f>
        <v>80.382999999999996</v>
      </c>
      <c r="F1461" s="2">
        <f ca="1">IFERROR(__xludf.DUMMYFUNCTION("""COMPUTED_VALUE"""),101.39)</f>
        <v>101.39</v>
      </c>
      <c r="G1461" s="2">
        <f ca="1">IFERROR(__xludf.DUMMYFUNCTION("""COMPUTED_VALUE"""),0.57957)</f>
        <v>0.57957000000000003</v>
      </c>
      <c r="H1461" s="2">
        <f ca="1">IFERROR(__xludf.DUMMYFUNCTION("""COMPUTED_VALUE"""),56.425)</f>
        <v>56.424999999999997</v>
      </c>
      <c r="I1461" s="2">
        <f ca="1">IFERROR(__xludf.DUMMYFUNCTION("""COMPUTED_VALUE"""),55.514)</f>
        <v>55.514000000000003</v>
      </c>
      <c r="J1461" s="2">
        <f ca="1">IFERROR(__xludf.DUMMYFUNCTION("""COMPUTED_VALUE"""),48.352)</f>
        <v>48.351999999999997</v>
      </c>
      <c r="K1461" s="2">
        <f ca="1">IFERROR(__xludf.DUMMYFUNCTION("""COMPUTED_VALUE"""),65.283)</f>
        <v>65.283000000000001</v>
      </c>
      <c r="M1461" s="2">
        <f ca="1">IFERROR(__xludf.DUMMYFUNCTION("""COMPUTED_VALUE"""),16.147)</f>
        <v>16.146999999999998</v>
      </c>
      <c r="U1461" s="3" t="e">
        <f ca="1"/>
        <v>#NAME?</v>
      </c>
    </row>
    <row r="1462" spans="3:21" ht="12.5" x14ac:dyDescent="0.25">
      <c r="C1462" s="4">
        <f ca="1">IFERROR(__xludf.DUMMYFUNCTION("""COMPUTED_VALUE"""),41804.9986111111)</f>
        <v>41804.998611111099</v>
      </c>
      <c r="D1462" s="2">
        <f ca="1">IFERROR(__xludf.DUMMYFUNCTION("""COMPUTED_VALUE"""),59.703)</f>
        <v>59.703000000000003</v>
      </c>
      <c r="E1462" s="2">
        <f ca="1">IFERROR(__xludf.DUMMYFUNCTION("""COMPUTED_VALUE"""),80.991)</f>
        <v>80.991</v>
      </c>
      <c r="F1462" s="2">
        <f ca="1">IFERROR(__xludf.DUMMYFUNCTION("""COMPUTED_VALUE"""),101.72)</f>
        <v>101.72</v>
      </c>
      <c r="G1462" s="2">
        <f ca="1">IFERROR(__xludf.DUMMYFUNCTION("""COMPUTED_VALUE"""),0.5769)</f>
        <v>0.57689999999999997</v>
      </c>
      <c r="H1462" s="2">
        <f ca="1">IFERROR(__xludf.DUMMYFUNCTION("""COMPUTED_VALUE"""),56.457)</f>
        <v>56.457000000000001</v>
      </c>
      <c r="I1462" s="2">
        <f ca="1">IFERROR(__xludf.DUMMYFUNCTION("""COMPUTED_VALUE"""),55.58)</f>
        <v>55.58</v>
      </c>
      <c r="J1462" s="2">
        <f ca="1">IFERROR(__xludf.DUMMYFUNCTION("""COMPUTED_VALUE"""),48.352)</f>
        <v>48.351999999999997</v>
      </c>
      <c r="K1462" s="2">
        <f ca="1">IFERROR(__xludf.DUMMYFUNCTION("""COMPUTED_VALUE"""),65.179)</f>
        <v>65.179000000000002</v>
      </c>
      <c r="M1462" s="2">
        <f ca="1">IFERROR(__xludf.DUMMYFUNCTION("""COMPUTED_VALUE"""),16.193)</f>
        <v>16.193000000000001</v>
      </c>
      <c r="U1462" s="3" t="e">
        <f ca="1"/>
        <v>#NAME?</v>
      </c>
    </row>
    <row r="1463" spans="3:21" ht="12.5" x14ac:dyDescent="0.25">
      <c r="C1463" s="4">
        <f ca="1">IFERROR(__xludf.DUMMYFUNCTION("""COMPUTED_VALUE"""),41805.9986111111)</f>
        <v>41805.998611111099</v>
      </c>
      <c r="D1463" s="2">
        <f ca="1">IFERROR(__xludf.DUMMYFUNCTION("""COMPUTED_VALUE"""),59.703)</f>
        <v>59.703000000000003</v>
      </c>
      <c r="E1463" s="2">
        <f ca="1">IFERROR(__xludf.DUMMYFUNCTION("""COMPUTED_VALUE"""),82.12)</f>
        <v>82.12</v>
      </c>
      <c r="F1463" s="2">
        <f ca="1">IFERROR(__xludf.DUMMYFUNCTION("""COMPUTED_VALUE"""),101.67)</f>
        <v>101.67</v>
      </c>
      <c r="G1463" s="2">
        <f ca="1">IFERROR(__xludf.DUMMYFUNCTION("""COMPUTED_VALUE"""),0.57635)</f>
        <v>0.57635000000000003</v>
      </c>
      <c r="H1463" s="2">
        <f ca="1">IFERROR(__xludf.DUMMYFUNCTION("""COMPUTED_VALUE"""),56.384)</f>
        <v>56.384</v>
      </c>
      <c r="I1463" s="2">
        <f ca="1">IFERROR(__xludf.DUMMYFUNCTION("""COMPUTED_VALUE"""),55.359)</f>
        <v>55.359000000000002</v>
      </c>
      <c r="J1463" s="2">
        <f ca="1">IFERROR(__xludf.DUMMYFUNCTION("""COMPUTED_VALUE"""),48.355)</f>
        <v>48.354999999999997</v>
      </c>
      <c r="K1463" s="2">
        <f ca="1">IFERROR(__xludf.DUMMYFUNCTION("""COMPUTED_VALUE"""),65.546)</f>
        <v>65.546000000000006</v>
      </c>
      <c r="M1463" s="2">
        <f ca="1">IFERROR(__xludf.DUMMYFUNCTION("""COMPUTED_VALUE"""),16.188)</f>
        <v>16.187999999999999</v>
      </c>
      <c r="U1463" s="3" t="e">
        <f ca="1"/>
        <v>#NAME?</v>
      </c>
    </row>
    <row r="1464" spans="3:21" ht="12.5" x14ac:dyDescent="0.25">
      <c r="C1464" s="4">
        <f ca="1">IFERROR(__xludf.DUMMYFUNCTION("""COMPUTED_VALUE"""),41806.9986111111)</f>
        <v>41806.998611111099</v>
      </c>
      <c r="D1464" s="2">
        <f ca="1">IFERROR(__xludf.DUMMYFUNCTION("""COMPUTED_VALUE"""),60.178)</f>
        <v>60.177999999999997</v>
      </c>
      <c r="E1464" s="2">
        <f ca="1">IFERROR(__xludf.DUMMYFUNCTION("""COMPUTED_VALUE"""),82.211)</f>
        <v>82.210999999999999</v>
      </c>
      <c r="F1464" s="2">
        <f ca="1">IFERROR(__xludf.DUMMYFUNCTION("""COMPUTED_VALUE"""),101.33)</f>
        <v>101.33</v>
      </c>
      <c r="G1464" s="2">
        <f ca="1">IFERROR(__xludf.DUMMYFUNCTION("""COMPUTED_VALUE"""),0.57217)</f>
        <v>0.57216999999999996</v>
      </c>
      <c r="H1464" s="2">
        <f ca="1">IFERROR(__xludf.DUMMYFUNCTION("""COMPUTED_VALUE"""),55.948)</f>
        <v>55.948</v>
      </c>
      <c r="I1464" s="2">
        <f ca="1">IFERROR(__xludf.DUMMYFUNCTION("""COMPUTED_VALUE"""),55.032)</f>
        <v>55.031999999999996</v>
      </c>
      <c r="J1464" s="2">
        <f ca="1">IFERROR(__xludf.DUMMYFUNCTION("""COMPUTED_VALUE"""),48.339)</f>
        <v>48.338999999999999</v>
      </c>
      <c r="K1464" s="2">
        <f ca="1">IFERROR(__xludf.DUMMYFUNCTION("""COMPUTED_VALUE"""),65.793)</f>
        <v>65.793000000000006</v>
      </c>
      <c r="M1464" s="2">
        <f ca="1">IFERROR(__xludf.DUMMYFUNCTION("""COMPUTED_VALUE"""),15.943)</f>
        <v>15.943</v>
      </c>
      <c r="U1464" s="3" t="e">
        <f ca="1"/>
        <v>#NAME?</v>
      </c>
    </row>
    <row r="1465" spans="3:21" ht="12.5" x14ac:dyDescent="0.25">
      <c r="C1465" s="4">
        <f ca="1">IFERROR(__xludf.DUMMYFUNCTION("""COMPUTED_VALUE"""),41807.9986111111)</f>
        <v>41807.998611111099</v>
      </c>
      <c r="D1465" s="2">
        <f ca="1">IFERROR(__xludf.DUMMYFUNCTION("""COMPUTED_VALUE"""),60.08)</f>
        <v>60.08</v>
      </c>
      <c r="E1465" s="2">
        <f ca="1">IFERROR(__xludf.DUMMYFUNCTION("""COMPUTED_VALUE"""),82.209)</f>
        <v>82.209000000000003</v>
      </c>
      <c r="F1465" s="2">
        <f ca="1">IFERROR(__xludf.DUMMYFUNCTION("""COMPUTED_VALUE"""),100.94)</f>
        <v>100.94</v>
      </c>
      <c r="G1465" s="2">
        <f ca="1">IFERROR(__xludf.DUMMYFUNCTION("""COMPUTED_VALUE"""),0.57411)</f>
        <v>0.57411000000000001</v>
      </c>
      <c r="H1465" s="2">
        <f ca="1">IFERROR(__xludf.DUMMYFUNCTION("""COMPUTED_VALUE"""),56.232)</f>
        <v>56.231999999999999</v>
      </c>
      <c r="I1465" s="2">
        <f ca="1">IFERROR(__xludf.DUMMYFUNCTION("""COMPUTED_VALUE"""),55.458)</f>
        <v>55.457999999999998</v>
      </c>
      <c r="J1465" s="2">
        <f ca="1">IFERROR(__xludf.DUMMYFUNCTION("""COMPUTED_VALUE"""),48.228)</f>
        <v>48.228000000000002</v>
      </c>
      <c r="K1465" s="2">
        <f ca="1">IFERROR(__xludf.DUMMYFUNCTION("""COMPUTED_VALUE"""),65.501)</f>
        <v>65.501000000000005</v>
      </c>
      <c r="M1465" s="2">
        <f ca="1">IFERROR(__xludf.DUMMYFUNCTION("""COMPUTED_VALUE"""),15.948)</f>
        <v>15.948</v>
      </c>
      <c r="U1465" s="3" t="e">
        <f ca="1"/>
        <v>#NAME?</v>
      </c>
    </row>
    <row r="1466" spans="3:21" ht="12.5" x14ac:dyDescent="0.25">
      <c r="C1466" s="4">
        <f ca="1">IFERROR(__xludf.DUMMYFUNCTION("""COMPUTED_VALUE"""),41808.9986111111)</f>
        <v>41808.998611111099</v>
      </c>
      <c r="D1466" s="2">
        <f ca="1">IFERROR(__xludf.DUMMYFUNCTION("""COMPUTED_VALUE"""),59.81)</f>
        <v>59.81</v>
      </c>
      <c r="E1466" s="2">
        <f ca="1">IFERROR(__xludf.DUMMYFUNCTION("""COMPUTED_VALUE"""),81.72)</f>
        <v>81.72</v>
      </c>
      <c r="F1466" s="2">
        <f ca="1">IFERROR(__xludf.DUMMYFUNCTION("""COMPUTED_VALUE"""),101.05)</f>
        <v>101.05</v>
      </c>
      <c r="G1466" s="2">
        <f ca="1">IFERROR(__xludf.DUMMYFUNCTION("""COMPUTED_VALUE"""),0.56954)</f>
        <v>0.56954000000000005</v>
      </c>
      <c r="H1466" s="2">
        <f ca="1">IFERROR(__xludf.DUMMYFUNCTION("""COMPUTED_VALUE"""),56.947)</f>
        <v>56.947000000000003</v>
      </c>
      <c r="I1466" s="2">
        <f ca="1">IFERROR(__xludf.DUMMYFUNCTION("""COMPUTED_VALUE"""),56)</f>
        <v>56</v>
      </c>
      <c r="J1466" s="2">
        <f ca="1">IFERROR(__xludf.DUMMYFUNCTION("""COMPUTED_VALUE"""),48.473)</f>
        <v>48.472999999999999</v>
      </c>
      <c r="K1466" s="2">
        <f ca="1">IFERROR(__xludf.DUMMYFUNCTION("""COMPUTED_VALUE"""),65.544)</f>
        <v>65.543999999999997</v>
      </c>
      <c r="M1466" s="2">
        <f ca="1">IFERROR(__xludf.DUMMYFUNCTION("""COMPUTED_VALUE"""),15.943)</f>
        <v>15.943</v>
      </c>
      <c r="U1466" s="3" t="e">
        <f ca="1"/>
        <v>#NAME?</v>
      </c>
    </row>
    <row r="1467" spans="3:21" ht="12.5" x14ac:dyDescent="0.25">
      <c r="C1467" s="4">
        <f ca="1">IFERROR(__xludf.DUMMYFUNCTION("""COMPUTED_VALUE"""),41809.9986111111)</f>
        <v>41809.998611111099</v>
      </c>
      <c r="D1467" s="2">
        <f ca="1">IFERROR(__xludf.DUMMYFUNCTION("""COMPUTED_VALUE"""),60.088)</f>
        <v>60.088000000000001</v>
      </c>
      <c r="E1467" s="2">
        <f ca="1">IFERROR(__xludf.DUMMYFUNCTION("""COMPUTED_VALUE"""),81.273)</f>
        <v>81.272999999999996</v>
      </c>
      <c r="F1467" s="2">
        <f ca="1">IFERROR(__xludf.DUMMYFUNCTION("""COMPUTED_VALUE"""),100.86)</f>
        <v>100.86</v>
      </c>
      <c r="G1467" s="2">
        <f ca="1">IFERROR(__xludf.DUMMYFUNCTION("""COMPUTED_VALUE"""),0.57018)</f>
        <v>0.57018000000000002</v>
      </c>
      <c r="H1467" s="2">
        <f ca="1">IFERROR(__xludf.DUMMYFUNCTION("""COMPUTED_VALUE"""),56.991)</f>
        <v>56.991</v>
      </c>
      <c r="I1467" s="2">
        <f ca="1">IFERROR(__xludf.DUMMYFUNCTION("""COMPUTED_VALUE"""),56.062)</f>
        <v>56.061999999999998</v>
      </c>
      <c r="J1467" s="2">
        <f ca="1">IFERROR(__xludf.DUMMYFUNCTION("""COMPUTED_VALUE"""),49.037)</f>
        <v>49.036999999999999</v>
      </c>
      <c r="K1467" s="2">
        <f ca="1">IFERROR(__xludf.DUMMYFUNCTION("""COMPUTED_VALUE"""),66.057)</f>
        <v>66.057000000000002</v>
      </c>
      <c r="M1467" s="2">
        <f ca="1">IFERROR(__xludf.DUMMYFUNCTION("""COMPUTED_VALUE"""),15.891)</f>
        <v>15.891</v>
      </c>
      <c r="U1467" s="3" t="e">
        <f ca="1"/>
        <v>#NAME?</v>
      </c>
    </row>
    <row r="1468" spans="3:21" ht="12.5" x14ac:dyDescent="0.25">
      <c r="C1468" s="4">
        <f ca="1">IFERROR(__xludf.DUMMYFUNCTION("""COMPUTED_VALUE"""),41810.9986111111)</f>
        <v>41810.998611111099</v>
      </c>
      <c r="D1468" s="2">
        <f ca="1">IFERROR(__xludf.DUMMYFUNCTION("""COMPUTED_VALUE"""),60.168)</f>
        <v>60.167999999999999</v>
      </c>
      <c r="E1468" s="2">
        <f ca="1">IFERROR(__xludf.DUMMYFUNCTION("""COMPUTED_VALUE"""),82.232)</f>
        <v>82.231999999999999</v>
      </c>
      <c r="F1468" s="2">
        <f ca="1">IFERROR(__xludf.DUMMYFUNCTION("""COMPUTED_VALUE"""),101.22)</f>
        <v>101.22</v>
      </c>
      <c r="G1468" s="2">
        <f ca="1">IFERROR(__xludf.DUMMYFUNCTION("""COMPUTED_VALUE"""),0.56968)</f>
        <v>0.56967999999999996</v>
      </c>
      <c r="H1468" s="2">
        <f ca="1">IFERROR(__xludf.DUMMYFUNCTION("""COMPUTED_VALUE"""),56.991)</f>
        <v>56.991</v>
      </c>
      <c r="I1468" s="2">
        <f ca="1">IFERROR(__xludf.DUMMYFUNCTION("""COMPUTED_VALUE"""),56.062)</f>
        <v>56.061999999999998</v>
      </c>
      <c r="J1468" s="2">
        <f ca="1">IFERROR(__xludf.DUMMYFUNCTION("""COMPUTED_VALUE"""),49.102)</f>
        <v>49.101999999999997</v>
      </c>
      <c r="K1468" s="2">
        <f ca="1">IFERROR(__xludf.DUMMYFUNCTION("""COMPUTED_VALUE"""),65.776)</f>
        <v>65.775999999999996</v>
      </c>
      <c r="M1468" s="2">
        <f ca="1">IFERROR(__xludf.DUMMYFUNCTION("""COMPUTED_VALUE"""),15.949)</f>
        <v>15.949</v>
      </c>
      <c r="U1468" s="3" t="e">
        <f ca="1"/>
        <v>#NAME?</v>
      </c>
    </row>
    <row r="1469" spans="3:21" ht="12.5" x14ac:dyDescent="0.25">
      <c r="C1469" s="4">
        <f ca="1">IFERROR(__xludf.DUMMYFUNCTION("""COMPUTED_VALUE"""),41811.9986111111)</f>
        <v>41811.998611111099</v>
      </c>
      <c r="D1469" s="2">
        <f ca="1">IFERROR(__xludf.DUMMYFUNCTION("""COMPUTED_VALUE"""),60.168)</f>
        <v>60.167999999999999</v>
      </c>
      <c r="E1469" s="2">
        <f ca="1">IFERROR(__xludf.DUMMYFUNCTION("""COMPUTED_VALUE"""),81.737)</f>
        <v>81.736999999999995</v>
      </c>
      <c r="F1469" s="2">
        <f ca="1">IFERROR(__xludf.DUMMYFUNCTION("""COMPUTED_VALUE"""),99.976)</f>
        <v>99.975999999999999</v>
      </c>
      <c r="G1469" s="2">
        <f ca="1">IFERROR(__xludf.DUMMYFUNCTION("""COMPUTED_VALUE"""),0.56859)</f>
        <v>0.56859000000000004</v>
      </c>
      <c r="H1469" s="2">
        <f ca="1">IFERROR(__xludf.DUMMYFUNCTION("""COMPUTED_VALUE"""),56.817)</f>
        <v>56.817</v>
      </c>
      <c r="I1469" s="2">
        <f ca="1">IFERROR(__xludf.DUMMYFUNCTION("""COMPUTED_VALUE"""),55.822)</f>
        <v>55.822000000000003</v>
      </c>
      <c r="J1469" s="2">
        <f ca="1">IFERROR(__xludf.DUMMYFUNCTION("""COMPUTED_VALUE"""),49.102)</f>
        <v>49.101999999999997</v>
      </c>
      <c r="K1469" s="2">
        <f ca="1">IFERROR(__xludf.DUMMYFUNCTION("""COMPUTED_VALUE"""),66.138)</f>
        <v>66.138000000000005</v>
      </c>
      <c r="M1469" s="2">
        <f ca="1">IFERROR(__xludf.DUMMYFUNCTION("""COMPUTED_VALUE"""),15.978)</f>
        <v>15.978</v>
      </c>
      <c r="U1469" s="3" t="e">
        <f ca="1"/>
        <v>#NAME?</v>
      </c>
    </row>
    <row r="1470" spans="3:21" ht="12.5" x14ac:dyDescent="0.25">
      <c r="C1470" s="4">
        <f ca="1">IFERROR(__xludf.DUMMYFUNCTION("""COMPUTED_VALUE"""),41812.9986111111)</f>
        <v>41812.998611111099</v>
      </c>
      <c r="D1470" s="2">
        <f ca="1">IFERROR(__xludf.DUMMYFUNCTION("""COMPUTED_VALUE"""),60.101)</f>
        <v>60.100999999999999</v>
      </c>
      <c r="E1470" s="2">
        <f ca="1">IFERROR(__xludf.DUMMYFUNCTION("""COMPUTED_VALUE"""),81.909)</f>
        <v>81.909000000000006</v>
      </c>
      <c r="F1470" s="2">
        <f ca="1">IFERROR(__xludf.DUMMYFUNCTION("""COMPUTED_VALUE"""),99.651)</f>
        <v>99.650999999999996</v>
      </c>
      <c r="G1470" s="2">
        <f ca="1">IFERROR(__xludf.DUMMYFUNCTION("""COMPUTED_VALUE"""),0.56437)</f>
        <v>0.56437000000000004</v>
      </c>
      <c r="H1470" s="2">
        <f ca="1">IFERROR(__xludf.DUMMYFUNCTION("""COMPUTED_VALUE"""),56.553)</f>
        <v>56.552999999999997</v>
      </c>
      <c r="I1470" s="2">
        <f ca="1">IFERROR(__xludf.DUMMYFUNCTION("""COMPUTED_VALUE"""),55.454)</f>
        <v>55.454000000000001</v>
      </c>
      <c r="J1470" s="2">
        <f ca="1">IFERROR(__xludf.DUMMYFUNCTION("""COMPUTED_VALUE"""),48.853)</f>
        <v>48.853000000000002</v>
      </c>
      <c r="K1470" s="2">
        <f ca="1">IFERROR(__xludf.DUMMYFUNCTION("""COMPUTED_VALUE"""),66.017)</f>
        <v>66.016999999999996</v>
      </c>
      <c r="M1470" s="2">
        <f ca="1">IFERROR(__xludf.DUMMYFUNCTION("""COMPUTED_VALUE"""),15.867)</f>
        <v>15.867000000000001</v>
      </c>
      <c r="U1470" s="3" t="e">
        <f ca="1"/>
        <v>#NAME?</v>
      </c>
    </row>
    <row r="1471" spans="3:21" ht="12.5" x14ac:dyDescent="0.25">
      <c r="C1471" s="4">
        <f ca="1">IFERROR(__xludf.DUMMYFUNCTION("""COMPUTED_VALUE"""),41813.9986111111)</f>
        <v>41813.998611111099</v>
      </c>
      <c r="D1471" s="2">
        <f ca="1">IFERROR(__xludf.DUMMYFUNCTION("""COMPUTED_VALUE"""),60.153)</f>
        <v>60.152999999999999</v>
      </c>
      <c r="E1471" s="2">
        <f ca="1">IFERROR(__xludf.DUMMYFUNCTION("""COMPUTED_VALUE"""),81.997)</f>
        <v>81.997</v>
      </c>
      <c r="F1471" s="2">
        <f ca="1">IFERROR(__xludf.DUMMYFUNCTION("""COMPUTED_VALUE"""),99.762)</f>
        <v>99.762</v>
      </c>
      <c r="G1471" s="2">
        <f ca="1">IFERROR(__xludf.DUMMYFUNCTION("""COMPUTED_VALUE"""),0.55677)</f>
        <v>0.55676999999999999</v>
      </c>
      <c r="H1471" s="2">
        <f ca="1">IFERROR(__xludf.DUMMYFUNCTION("""COMPUTED_VALUE"""),57.445)</f>
        <v>57.445</v>
      </c>
      <c r="I1471" s="2">
        <f ca="1">IFERROR(__xludf.DUMMYFUNCTION("""COMPUTED_VALUE"""),56.275)</f>
        <v>56.274999999999999</v>
      </c>
      <c r="J1471" s="2">
        <f ca="1">IFERROR(__xludf.DUMMYFUNCTION("""COMPUTED_VALUE"""),48.707)</f>
        <v>48.707000000000001</v>
      </c>
      <c r="K1471" s="2">
        <f ca="1">IFERROR(__xludf.DUMMYFUNCTION("""COMPUTED_VALUE"""),66.414)</f>
        <v>66.414000000000001</v>
      </c>
      <c r="M1471" s="2">
        <f ca="1">IFERROR(__xludf.DUMMYFUNCTION("""COMPUTED_VALUE"""),15.932)</f>
        <v>15.932</v>
      </c>
      <c r="U1471" s="3" t="e">
        <f ca="1"/>
        <v>#NAME?</v>
      </c>
    </row>
    <row r="1472" spans="3:21" ht="12.5" x14ac:dyDescent="0.25">
      <c r="C1472" s="4">
        <f ca="1">IFERROR(__xludf.DUMMYFUNCTION("""COMPUTED_VALUE"""),41814.9986111111)</f>
        <v>41814.998611111099</v>
      </c>
      <c r="D1472" s="2">
        <f ca="1">IFERROR(__xludf.DUMMYFUNCTION("""COMPUTED_VALUE"""),60.19)</f>
        <v>60.19</v>
      </c>
      <c r="E1472" s="2">
        <f ca="1">IFERROR(__xludf.DUMMYFUNCTION("""COMPUTED_VALUE"""),81.803)</f>
        <v>81.802999999999997</v>
      </c>
      <c r="F1472" s="2">
        <f ca="1">IFERROR(__xludf.DUMMYFUNCTION("""COMPUTED_VALUE"""),98.471)</f>
        <v>98.471000000000004</v>
      </c>
      <c r="G1472" s="2">
        <f ca="1">IFERROR(__xludf.DUMMYFUNCTION("""COMPUTED_VALUE"""),0.5696)</f>
        <v>0.5696</v>
      </c>
      <c r="H1472" s="2">
        <f ca="1">IFERROR(__xludf.DUMMYFUNCTION("""COMPUTED_VALUE"""),56.697)</f>
        <v>56.697000000000003</v>
      </c>
      <c r="I1472" s="2">
        <f ca="1">IFERROR(__xludf.DUMMYFUNCTION("""COMPUTED_VALUE"""),55.964)</f>
        <v>55.963999999999999</v>
      </c>
      <c r="J1472" s="2">
        <f ca="1">IFERROR(__xludf.DUMMYFUNCTION("""COMPUTED_VALUE"""),49.217)</f>
        <v>49.216999999999999</v>
      </c>
      <c r="K1472" s="2">
        <f ca="1">IFERROR(__xludf.DUMMYFUNCTION("""COMPUTED_VALUE"""),66.157)</f>
        <v>66.156999999999996</v>
      </c>
      <c r="M1472" s="2">
        <f ca="1">IFERROR(__xludf.DUMMYFUNCTION("""COMPUTED_VALUE"""),15.932)</f>
        <v>15.932</v>
      </c>
      <c r="U1472" s="3" t="e">
        <f ca="1"/>
        <v>#NAME?</v>
      </c>
    </row>
    <row r="1473" spans="3:21" ht="12.5" x14ac:dyDescent="0.25">
      <c r="C1473" s="4">
        <f ca="1">IFERROR(__xludf.DUMMYFUNCTION("""COMPUTED_VALUE"""),41815.9986111111)</f>
        <v>41815.998611111099</v>
      </c>
      <c r="D1473" s="2">
        <f ca="1">IFERROR(__xludf.DUMMYFUNCTION("""COMPUTED_VALUE"""),60.078)</f>
        <v>60.078000000000003</v>
      </c>
      <c r="E1473" s="2">
        <f ca="1">IFERROR(__xludf.DUMMYFUNCTION("""COMPUTED_VALUE"""),81.578)</f>
        <v>81.578000000000003</v>
      </c>
      <c r="F1473" s="2">
        <f ca="1">IFERROR(__xludf.DUMMYFUNCTION("""COMPUTED_VALUE"""),97.964)</f>
        <v>97.963999999999999</v>
      </c>
      <c r="G1473" s="2">
        <f ca="1">IFERROR(__xludf.DUMMYFUNCTION("""COMPUTED_VALUE"""),0.56916)</f>
        <v>0.56916</v>
      </c>
      <c r="H1473" s="2">
        <f ca="1">IFERROR(__xludf.DUMMYFUNCTION("""COMPUTED_VALUE"""),56.665)</f>
        <v>56.664999999999999</v>
      </c>
      <c r="I1473" s="2">
        <f ca="1">IFERROR(__xludf.DUMMYFUNCTION("""COMPUTED_VALUE"""),55.654)</f>
        <v>55.654000000000003</v>
      </c>
      <c r="J1473" s="2">
        <f ca="1">IFERROR(__xludf.DUMMYFUNCTION("""COMPUTED_VALUE"""),48.865)</f>
        <v>48.865000000000002</v>
      </c>
      <c r="K1473" s="2">
        <f ca="1">IFERROR(__xludf.DUMMYFUNCTION("""COMPUTED_VALUE"""),66.224)</f>
        <v>66.224000000000004</v>
      </c>
      <c r="M1473" s="2">
        <f ca="1">IFERROR(__xludf.DUMMYFUNCTION("""COMPUTED_VALUE"""),15.905)</f>
        <v>15.904999999999999</v>
      </c>
      <c r="U1473" s="3" t="e">
        <f ca="1"/>
        <v>#NAME?</v>
      </c>
    </row>
    <row r="1474" spans="3:21" ht="12.5" x14ac:dyDescent="0.25">
      <c r="C1474" s="4">
        <f ca="1">IFERROR(__xludf.DUMMYFUNCTION("""COMPUTED_VALUE"""),41816.9986111111)</f>
        <v>41816.998611111099</v>
      </c>
      <c r="D1474" s="2">
        <f ca="1">IFERROR(__xludf.DUMMYFUNCTION("""COMPUTED_VALUE"""),60.203)</f>
        <v>60.203000000000003</v>
      </c>
      <c r="E1474" s="2">
        <f ca="1">IFERROR(__xludf.DUMMYFUNCTION("""COMPUTED_VALUE"""),81.586)</f>
        <v>81.585999999999999</v>
      </c>
      <c r="F1474" s="2">
        <f ca="1">IFERROR(__xludf.DUMMYFUNCTION("""COMPUTED_VALUE"""),98.481)</f>
        <v>98.480999999999995</v>
      </c>
      <c r="G1474" s="2">
        <f ca="1">IFERROR(__xludf.DUMMYFUNCTION("""COMPUTED_VALUE"""),0.56073)</f>
        <v>0.56072999999999995</v>
      </c>
      <c r="H1474" s="2">
        <f ca="1">IFERROR(__xludf.DUMMYFUNCTION("""COMPUTED_VALUE"""),56.743)</f>
        <v>56.743000000000002</v>
      </c>
      <c r="I1474" s="2">
        <f ca="1">IFERROR(__xludf.DUMMYFUNCTION("""COMPUTED_VALUE"""),55.724)</f>
        <v>55.723999999999997</v>
      </c>
      <c r="J1474" s="2">
        <f ca="1">IFERROR(__xludf.DUMMYFUNCTION("""COMPUTED_VALUE"""),48.792)</f>
        <v>48.792000000000002</v>
      </c>
      <c r="K1474" s="2">
        <f ca="1">IFERROR(__xludf.DUMMYFUNCTION("""COMPUTED_VALUE"""),66.136)</f>
        <v>66.135999999999996</v>
      </c>
      <c r="M1474" s="2">
        <f ca="1">IFERROR(__xludf.DUMMYFUNCTION("""COMPUTED_VALUE"""),15.984)</f>
        <v>15.984</v>
      </c>
      <c r="U1474" s="3" t="e">
        <f ca="1"/>
        <v>#NAME?</v>
      </c>
    </row>
    <row r="1475" spans="3:21" ht="12.5" x14ac:dyDescent="0.25">
      <c r="C1475" s="4">
        <f ca="1">IFERROR(__xludf.DUMMYFUNCTION("""COMPUTED_VALUE"""),41817.9986111111)</f>
        <v>41817.998611111099</v>
      </c>
      <c r="D1475" s="2">
        <f ca="1">IFERROR(__xludf.DUMMYFUNCTION("""COMPUTED_VALUE"""),60.038)</f>
        <v>60.037999999999997</v>
      </c>
      <c r="E1475" s="2">
        <f ca="1">IFERROR(__xludf.DUMMYFUNCTION("""COMPUTED_VALUE"""),81.114)</f>
        <v>81.114000000000004</v>
      </c>
      <c r="F1475" s="2">
        <f ca="1">IFERROR(__xludf.DUMMYFUNCTION("""COMPUTED_VALUE"""),98.063)</f>
        <v>98.063000000000002</v>
      </c>
      <c r="G1475" s="2">
        <f ca="1">IFERROR(__xludf.DUMMYFUNCTION("""COMPUTED_VALUE"""),0.55799)</f>
        <v>0.55798999999999999</v>
      </c>
      <c r="H1475" s="2">
        <f ca="1">IFERROR(__xludf.DUMMYFUNCTION("""COMPUTED_VALUE"""),56.621)</f>
        <v>56.621000000000002</v>
      </c>
      <c r="I1475" s="2">
        <f ca="1">IFERROR(__xludf.DUMMYFUNCTION("""COMPUTED_VALUE"""),55.93)</f>
        <v>55.93</v>
      </c>
      <c r="J1475" s="2">
        <f ca="1">IFERROR(__xludf.DUMMYFUNCTION("""COMPUTED_VALUE"""),48.825)</f>
        <v>48.825000000000003</v>
      </c>
      <c r="K1475" s="2">
        <f ca="1">IFERROR(__xludf.DUMMYFUNCTION("""COMPUTED_VALUE"""),65.929)</f>
        <v>65.929000000000002</v>
      </c>
      <c r="M1475" s="2">
        <f ca="1">IFERROR(__xludf.DUMMYFUNCTION("""COMPUTED_VALUE"""),16.055)</f>
        <v>16.055</v>
      </c>
      <c r="U1475" s="3" t="e">
        <f ca="1"/>
        <v>#NAME?</v>
      </c>
    </row>
    <row r="1476" spans="3:21" ht="12.5" x14ac:dyDescent="0.25">
      <c r="C1476" s="4">
        <f ca="1">IFERROR(__xludf.DUMMYFUNCTION("""COMPUTED_VALUE"""),41818.9986111111)</f>
        <v>41818.998611111099</v>
      </c>
      <c r="D1476" s="2">
        <f ca="1">IFERROR(__xludf.DUMMYFUNCTION("""COMPUTED_VALUE"""),60.011)</f>
        <v>60.011000000000003</v>
      </c>
      <c r="E1476" s="2">
        <f ca="1">IFERROR(__xludf.DUMMYFUNCTION("""COMPUTED_VALUE"""),81.365)</f>
        <v>81.364999999999995</v>
      </c>
      <c r="F1476" s="2">
        <f ca="1">IFERROR(__xludf.DUMMYFUNCTION("""COMPUTED_VALUE"""),98.535)</f>
        <v>98.534999999999997</v>
      </c>
      <c r="G1476" s="2">
        <f ca="1">IFERROR(__xludf.DUMMYFUNCTION("""COMPUTED_VALUE"""),0.55762)</f>
        <v>0.55762</v>
      </c>
      <c r="H1476" s="2">
        <f ca="1">IFERROR(__xludf.DUMMYFUNCTION("""COMPUTED_VALUE"""),56.551)</f>
        <v>56.551000000000002</v>
      </c>
      <c r="I1476" s="2">
        <f ca="1">IFERROR(__xludf.DUMMYFUNCTION("""COMPUTED_VALUE"""),55.844)</f>
        <v>55.844000000000001</v>
      </c>
      <c r="J1476" s="2">
        <f ca="1">IFERROR(__xludf.DUMMYFUNCTION("""COMPUTED_VALUE"""),48.892)</f>
        <v>48.892000000000003</v>
      </c>
      <c r="K1476" s="2">
        <f ca="1">IFERROR(__xludf.DUMMYFUNCTION("""COMPUTED_VALUE"""),65.775)</f>
        <v>65.775000000000006</v>
      </c>
      <c r="M1476" s="2">
        <f ca="1">IFERROR(__xludf.DUMMYFUNCTION("""COMPUTED_VALUE"""),16.017)</f>
        <v>16.016999999999999</v>
      </c>
      <c r="U1476" s="3" t="e">
        <f ca="1"/>
        <v>#NAME?</v>
      </c>
    </row>
    <row r="1477" spans="3:21" ht="12.5" x14ac:dyDescent="0.25">
      <c r="C1477" s="4">
        <f ca="1">IFERROR(__xludf.DUMMYFUNCTION("""COMPUTED_VALUE"""),41820.9986111111)</f>
        <v>41820.998611111099</v>
      </c>
      <c r="D1477" s="2">
        <f ca="1">IFERROR(__xludf.DUMMYFUNCTION("""COMPUTED_VALUE"""),60.053)</f>
        <v>60.052999999999997</v>
      </c>
      <c r="E1477" s="2">
        <f ca="1">IFERROR(__xludf.DUMMYFUNCTION("""COMPUTED_VALUE"""),81.424)</f>
        <v>81.424000000000007</v>
      </c>
      <c r="F1477" s="2">
        <f ca="1">IFERROR(__xludf.DUMMYFUNCTION("""COMPUTED_VALUE"""),99.088)</f>
        <v>99.087999999999994</v>
      </c>
      <c r="G1477" s="2">
        <f ca="1">IFERROR(__xludf.DUMMYFUNCTION("""COMPUTED_VALUE"""),0.55805)</f>
        <v>0.55805000000000005</v>
      </c>
      <c r="H1477" s="2">
        <f ca="1">IFERROR(__xludf.DUMMYFUNCTION("""COMPUTED_VALUE"""),56.814)</f>
        <v>56.814</v>
      </c>
      <c r="I1477" s="2">
        <f ca="1">IFERROR(__xludf.DUMMYFUNCTION("""COMPUTED_VALUE"""),55.934)</f>
        <v>55.933999999999997</v>
      </c>
      <c r="J1477" s="2">
        <f ca="1">IFERROR(__xludf.DUMMYFUNCTION("""COMPUTED_VALUE"""),48.799)</f>
        <v>48.798999999999999</v>
      </c>
      <c r="K1477" s="2">
        <f ca="1">IFERROR(__xludf.DUMMYFUNCTION("""COMPUTED_VALUE"""),65.879)</f>
        <v>65.879000000000005</v>
      </c>
      <c r="M1477" s="2">
        <f ca="1">IFERROR(__xludf.DUMMYFUNCTION("""COMPUTED_VALUE"""),16.039)</f>
        <v>16.039000000000001</v>
      </c>
      <c r="U1477" s="3" t="e">
        <f ca="1"/>
        <v>#NAME?</v>
      </c>
    </row>
    <row r="1478" spans="3:21" ht="12.5" x14ac:dyDescent="0.25">
      <c r="C1478" s="4">
        <f ca="1">IFERROR(__xludf.DUMMYFUNCTION("""COMPUTED_VALUE"""),41821.9986111111)</f>
        <v>41821.998611111099</v>
      </c>
      <c r="D1478" s="2">
        <f ca="1">IFERROR(__xludf.DUMMYFUNCTION("""COMPUTED_VALUE"""),60.028)</f>
        <v>60.027999999999999</v>
      </c>
      <c r="E1478" s="2">
        <f ca="1">IFERROR(__xludf.DUMMYFUNCTION("""COMPUTED_VALUE"""),81.14)</f>
        <v>81.14</v>
      </c>
      <c r="F1478" s="2">
        <f ca="1">IFERROR(__xludf.DUMMYFUNCTION("""COMPUTED_VALUE"""),98.221)</f>
        <v>98.221000000000004</v>
      </c>
      <c r="G1478" s="2">
        <f ca="1">IFERROR(__xludf.DUMMYFUNCTION("""COMPUTED_VALUE"""),0.5596)</f>
        <v>0.55959999999999999</v>
      </c>
      <c r="H1478" s="2">
        <f ca="1">IFERROR(__xludf.DUMMYFUNCTION("""COMPUTED_VALUE"""),56.565)</f>
        <v>56.564999999999998</v>
      </c>
      <c r="I1478" s="2">
        <f ca="1">IFERROR(__xludf.DUMMYFUNCTION("""COMPUTED_VALUE"""),55.657)</f>
        <v>55.656999999999996</v>
      </c>
      <c r="J1478" s="2">
        <f ca="1">IFERROR(__xludf.DUMMYFUNCTION("""COMPUTED_VALUE"""),48.86)</f>
        <v>48.86</v>
      </c>
      <c r="K1478" s="2">
        <f ca="1">IFERROR(__xludf.DUMMYFUNCTION("""COMPUTED_VALUE"""),65.936)</f>
        <v>65.936000000000007</v>
      </c>
      <c r="M1478" s="2">
        <f ca="1">IFERROR(__xludf.DUMMYFUNCTION("""COMPUTED_VALUE"""),16.114)</f>
        <v>16.114000000000001</v>
      </c>
      <c r="U1478" s="3" t="e">
        <f ca="1"/>
        <v>#NAME?</v>
      </c>
    </row>
    <row r="1479" spans="3:21" ht="12.5" x14ac:dyDescent="0.25">
      <c r="C1479" s="4">
        <f ca="1">IFERROR(__xludf.DUMMYFUNCTION("""COMPUTED_VALUE"""),41822.9986111111)</f>
        <v>41822.998611111099</v>
      </c>
      <c r="D1479" s="2">
        <f ca="1">IFERROR(__xludf.DUMMYFUNCTION("""COMPUTED_VALUE"""),59.685)</f>
        <v>59.685000000000002</v>
      </c>
      <c r="E1479" s="2">
        <f ca="1">IFERROR(__xludf.DUMMYFUNCTION("""COMPUTED_VALUE"""),80.751)</f>
        <v>80.751000000000005</v>
      </c>
      <c r="F1479" s="2">
        <f ca="1">IFERROR(__xludf.DUMMYFUNCTION("""COMPUTED_VALUE"""),98.452)</f>
        <v>98.451999999999998</v>
      </c>
      <c r="G1479" s="2">
        <f ca="1">IFERROR(__xludf.DUMMYFUNCTION("""COMPUTED_VALUE"""),0.56064)</f>
        <v>0.56064000000000003</v>
      </c>
      <c r="H1479" s="2">
        <f ca="1">IFERROR(__xludf.DUMMYFUNCTION("""COMPUTED_VALUE"""),56.596)</f>
        <v>56.595999999999997</v>
      </c>
      <c r="I1479" s="2">
        <f ca="1">IFERROR(__xludf.DUMMYFUNCTION("""COMPUTED_VALUE"""),55.714)</f>
        <v>55.713999999999999</v>
      </c>
      <c r="J1479" s="2">
        <f ca="1">IFERROR(__xludf.DUMMYFUNCTION("""COMPUTED_VALUE"""),48.713)</f>
        <v>48.713000000000001</v>
      </c>
      <c r="K1479" s="2">
        <f ca="1">IFERROR(__xludf.DUMMYFUNCTION("""COMPUTED_VALUE"""),66.281)</f>
        <v>66.281000000000006</v>
      </c>
      <c r="M1479" s="2">
        <f ca="1">IFERROR(__xludf.DUMMYFUNCTION("""COMPUTED_VALUE"""),16.114)</f>
        <v>16.114000000000001</v>
      </c>
      <c r="U1479" s="3" t="e">
        <f ca="1"/>
        <v>#NAME?</v>
      </c>
    </row>
    <row r="1480" spans="3:21" ht="12.5" x14ac:dyDescent="0.25">
      <c r="C1480" s="4">
        <f ca="1">IFERROR(__xludf.DUMMYFUNCTION("""COMPUTED_VALUE"""),41823.9986111111)</f>
        <v>41823.998611111099</v>
      </c>
      <c r="D1480" s="2">
        <f ca="1">IFERROR(__xludf.DUMMYFUNCTION("""COMPUTED_VALUE"""),59.733)</f>
        <v>59.732999999999997</v>
      </c>
      <c r="E1480" s="2">
        <f ca="1">IFERROR(__xludf.DUMMYFUNCTION("""COMPUTED_VALUE"""),80.348)</f>
        <v>80.347999999999999</v>
      </c>
      <c r="F1480" s="2">
        <f ca="1">IFERROR(__xludf.DUMMYFUNCTION("""COMPUTED_VALUE"""),98.498)</f>
        <v>98.498000000000005</v>
      </c>
      <c r="G1480" s="2">
        <f ca="1">IFERROR(__xludf.DUMMYFUNCTION("""COMPUTED_VALUE"""),0.55796)</f>
        <v>0.55796000000000001</v>
      </c>
      <c r="H1480" s="2">
        <f ca="1">IFERROR(__xludf.DUMMYFUNCTION("""COMPUTED_VALUE"""),56.641)</f>
        <v>56.640999999999998</v>
      </c>
      <c r="I1480" s="2">
        <f ca="1">IFERROR(__xludf.DUMMYFUNCTION("""COMPUTED_VALUE"""),55.752)</f>
        <v>55.752000000000002</v>
      </c>
      <c r="J1480" s="2">
        <f ca="1">IFERROR(__xludf.DUMMYFUNCTION("""COMPUTED_VALUE"""),48.767)</f>
        <v>48.767000000000003</v>
      </c>
      <c r="K1480" s="2">
        <f ca="1">IFERROR(__xludf.DUMMYFUNCTION("""COMPUTED_VALUE"""),66.32)</f>
        <v>66.319999999999993</v>
      </c>
      <c r="M1480" s="2">
        <f ca="1">IFERROR(__xludf.DUMMYFUNCTION("""COMPUTED_VALUE"""),16.114)</f>
        <v>16.114000000000001</v>
      </c>
      <c r="U1480" s="3" t="e">
        <f ca="1"/>
        <v>#NAME?</v>
      </c>
    </row>
    <row r="1481" spans="3:21" ht="12.5" x14ac:dyDescent="0.25">
      <c r="C1481" s="4">
        <f ca="1">IFERROR(__xludf.DUMMYFUNCTION("""COMPUTED_VALUE"""),41824.9986111111)</f>
        <v>41824.998611111099</v>
      </c>
      <c r="D1481" s="2">
        <f ca="1">IFERROR(__xludf.DUMMYFUNCTION("""COMPUTED_VALUE"""),59.718)</f>
        <v>59.718000000000004</v>
      </c>
      <c r="E1481" s="2">
        <f ca="1">IFERROR(__xludf.DUMMYFUNCTION("""COMPUTED_VALUE"""),80.506)</f>
        <v>80.506</v>
      </c>
      <c r="F1481" s="2">
        <f ca="1">IFERROR(__xludf.DUMMYFUNCTION("""COMPUTED_VALUE"""),98.338)</f>
        <v>98.337999999999994</v>
      </c>
      <c r="G1481" s="2">
        <f ca="1">IFERROR(__xludf.DUMMYFUNCTION("""COMPUTED_VALUE"""),0.56394)</f>
        <v>0.56394</v>
      </c>
      <c r="H1481" s="2">
        <f ca="1">IFERROR(__xludf.DUMMYFUNCTION("""COMPUTED_VALUE"""),56.62)</f>
        <v>56.62</v>
      </c>
      <c r="I1481" s="2">
        <f ca="1">IFERROR(__xludf.DUMMYFUNCTION("""COMPUTED_VALUE"""),55.767)</f>
        <v>55.767000000000003</v>
      </c>
      <c r="J1481" s="2">
        <f ca="1">IFERROR(__xludf.DUMMYFUNCTION("""COMPUTED_VALUE"""),48.81)</f>
        <v>48.81</v>
      </c>
      <c r="K1481" s="2">
        <f ca="1">IFERROR(__xludf.DUMMYFUNCTION("""COMPUTED_VALUE"""),66.321)</f>
        <v>66.320999999999998</v>
      </c>
      <c r="M1481" s="2">
        <f ca="1">IFERROR(__xludf.DUMMYFUNCTION("""COMPUTED_VALUE"""),16.103)</f>
        <v>16.103000000000002</v>
      </c>
      <c r="U1481" s="3" t="e">
        <f ca="1"/>
        <v>#NAME?</v>
      </c>
    </row>
    <row r="1482" spans="3:21" ht="12.5" x14ac:dyDescent="0.25">
      <c r="C1482" s="4">
        <f ca="1">IFERROR(__xludf.DUMMYFUNCTION("""COMPUTED_VALUE"""),41825.9986111111)</f>
        <v>41825.998611111099</v>
      </c>
      <c r="D1482" s="2">
        <f ca="1">IFERROR(__xludf.DUMMYFUNCTION("""COMPUTED_VALUE"""),59.718)</f>
        <v>59.718000000000004</v>
      </c>
      <c r="E1482" s="2">
        <f ca="1">IFERROR(__xludf.DUMMYFUNCTION("""COMPUTED_VALUE"""),79.976)</f>
        <v>79.975999999999999</v>
      </c>
      <c r="F1482" s="2">
        <f ca="1">IFERROR(__xludf.DUMMYFUNCTION("""COMPUTED_VALUE"""),98.769)</f>
        <v>98.769000000000005</v>
      </c>
      <c r="G1482" s="2">
        <f ca="1">IFERROR(__xludf.DUMMYFUNCTION("""COMPUTED_VALUE"""),0.55885)</f>
        <v>0.55884999999999996</v>
      </c>
      <c r="H1482" s="2">
        <f ca="1">IFERROR(__xludf.DUMMYFUNCTION("""COMPUTED_VALUE"""),56.379)</f>
        <v>56.378999999999998</v>
      </c>
      <c r="I1482" s="2">
        <f ca="1">IFERROR(__xludf.DUMMYFUNCTION("""COMPUTED_VALUE"""),55.415)</f>
        <v>55.414999999999999</v>
      </c>
      <c r="J1482" s="2">
        <f ca="1">IFERROR(__xludf.DUMMYFUNCTION("""COMPUTED_VALUE"""),48.784)</f>
        <v>48.783999999999999</v>
      </c>
      <c r="K1482" s="2">
        <f ca="1">IFERROR(__xludf.DUMMYFUNCTION("""COMPUTED_VALUE"""),67.015)</f>
        <v>67.015000000000001</v>
      </c>
      <c r="M1482" s="2">
        <f ca="1">IFERROR(__xludf.DUMMYFUNCTION("""COMPUTED_VALUE"""),16.145)</f>
        <v>16.145</v>
      </c>
      <c r="U1482" s="3" t="e">
        <f ca="1"/>
        <v>#NAME?</v>
      </c>
    </row>
    <row r="1483" spans="3:21" ht="12.5" x14ac:dyDescent="0.25">
      <c r="C1483" s="4">
        <f ca="1">IFERROR(__xludf.DUMMYFUNCTION("""COMPUTED_VALUE"""),41826.9986111111)</f>
        <v>41826.998611111099</v>
      </c>
      <c r="D1483" s="2">
        <f ca="1">IFERROR(__xludf.DUMMYFUNCTION("""COMPUTED_VALUE"""),59.779)</f>
        <v>59.779000000000003</v>
      </c>
      <c r="E1483" s="2">
        <f ca="1">IFERROR(__xludf.DUMMYFUNCTION("""COMPUTED_VALUE"""),80.071)</f>
        <v>80.070999999999998</v>
      </c>
      <c r="F1483" s="2">
        <f ca="1">IFERROR(__xludf.DUMMYFUNCTION("""COMPUTED_VALUE"""),99.163)</f>
        <v>99.162999999999997</v>
      </c>
      <c r="G1483" s="2">
        <f ca="1">IFERROR(__xludf.DUMMYFUNCTION("""COMPUTED_VALUE"""),0.55939)</f>
        <v>0.55939000000000005</v>
      </c>
      <c r="H1483" s="2">
        <f ca="1">IFERROR(__xludf.DUMMYFUNCTION("""COMPUTED_VALUE"""),56.273)</f>
        <v>56.273000000000003</v>
      </c>
      <c r="I1483" s="2">
        <f ca="1">IFERROR(__xludf.DUMMYFUNCTION("""COMPUTED_VALUE"""),55.254)</f>
        <v>55.253999999999998</v>
      </c>
      <c r="J1483" s="2">
        <f ca="1">IFERROR(__xludf.DUMMYFUNCTION("""COMPUTED_VALUE"""),48.581)</f>
        <v>48.581000000000003</v>
      </c>
      <c r="K1483" s="2">
        <f ca="1">IFERROR(__xludf.DUMMYFUNCTION("""COMPUTED_VALUE"""),67.034)</f>
        <v>67.034000000000006</v>
      </c>
      <c r="M1483" s="2">
        <f ca="1">IFERROR(__xludf.DUMMYFUNCTION("""COMPUTED_VALUE"""),16.137)</f>
        <v>16.137</v>
      </c>
      <c r="U1483" s="3" t="e">
        <f ca="1"/>
        <v>#NAME?</v>
      </c>
    </row>
    <row r="1484" spans="3:21" ht="12.5" x14ac:dyDescent="0.25">
      <c r="C1484" s="4">
        <f ca="1">IFERROR(__xludf.DUMMYFUNCTION("""COMPUTED_VALUE"""),41827.9986111111)</f>
        <v>41827.998611111099</v>
      </c>
      <c r="D1484" s="2">
        <f ca="1">IFERROR(__xludf.DUMMYFUNCTION("""COMPUTED_VALUE"""),59.948)</f>
        <v>59.948</v>
      </c>
      <c r="E1484" s="2">
        <f ca="1">IFERROR(__xludf.DUMMYFUNCTION("""COMPUTED_VALUE"""),80.089)</f>
        <v>80.088999999999999</v>
      </c>
      <c r="F1484" s="2">
        <f ca="1">IFERROR(__xludf.DUMMYFUNCTION("""COMPUTED_VALUE"""),98.337)</f>
        <v>98.337000000000003</v>
      </c>
      <c r="G1484" s="2">
        <f ca="1">IFERROR(__xludf.DUMMYFUNCTION("""COMPUTED_VALUE"""),0.55939)</f>
        <v>0.55939000000000005</v>
      </c>
      <c r="H1484" s="2">
        <f ca="1">IFERROR(__xludf.DUMMYFUNCTION("""COMPUTED_VALUE"""),56.399)</f>
        <v>56.399000000000001</v>
      </c>
      <c r="I1484" s="2">
        <f ca="1">IFERROR(__xludf.DUMMYFUNCTION("""COMPUTED_VALUE"""),55.398)</f>
        <v>55.398000000000003</v>
      </c>
      <c r="J1484" s="2">
        <f ca="1">IFERROR(__xludf.DUMMYFUNCTION("""COMPUTED_VALUE"""),48.459)</f>
        <v>48.459000000000003</v>
      </c>
      <c r="K1484" s="2">
        <f ca="1">IFERROR(__xludf.DUMMYFUNCTION("""COMPUTED_VALUE"""),67.214)</f>
        <v>67.213999999999999</v>
      </c>
      <c r="M1484" s="2">
        <f ca="1">IFERROR(__xludf.DUMMYFUNCTION("""COMPUTED_VALUE"""),16.068)</f>
        <v>16.068000000000001</v>
      </c>
      <c r="U1484" s="3" t="e">
        <f ca="1"/>
        <v>#NAME?</v>
      </c>
    </row>
    <row r="1485" spans="3:21" ht="12.5" x14ac:dyDescent="0.25">
      <c r="C1485" s="4">
        <f ca="1">IFERROR(__xludf.DUMMYFUNCTION("""COMPUTED_VALUE"""),41828.9986111111)</f>
        <v>41828.998611111099</v>
      </c>
      <c r="D1485" s="2">
        <f ca="1">IFERROR(__xludf.DUMMYFUNCTION("""COMPUTED_VALUE"""),59.748)</f>
        <v>59.747999999999998</v>
      </c>
      <c r="E1485" s="2">
        <f ca="1">IFERROR(__xludf.DUMMYFUNCTION("""COMPUTED_VALUE"""),79.794)</f>
        <v>79.793999999999997</v>
      </c>
      <c r="F1485" s="2">
        <f ca="1">IFERROR(__xludf.DUMMYFUNCTION("""COMPUTED_VALUE"""),98.415)</f>
        <v>98.415000000000006</v>
      </c>
      <c r="G1485" s="2">
        <f ca="1">IFERROR(__xludf.DUMMYFUNCTION("""COMPUTED_VALUE"""),0.56199)</f>
        <v>0.56198999999999999</v>
      </c>
      <c r="H1485" s="2">
        <f ca="1">IFERROR(__xludf.DUMMYFUNCTION("""COMPUTED_VALUE"""),56.278)</f>
        <v>56.277999999999999</v>
      </c>
      <c r="I1485" s="2">
        <f ca="1">IFERROR(__xludf.DUMMYFUNCTION("""COMPUTED_VALUE"""),55.186)</f>
        <v>55.186</v>
      </c>
      <c r="J1485" s="2">
        <f ca="1">IFERROR(__xludf.DUMMYFUNCTION("""COMPUTED_VALUE"""),48.515)</f>
        <v>48.515000000000001</v>
      </c>
      <c r="K1485" s="2">
        <f ca="1">IFERROR(__xludf.DUMMYFUNCTION("""COMPUTED_VALUE"""),67.144)</f>
        <v>67.144000000000005</v>
      </c>
      <c r="M1485" s="2">
        <f ca="1">IFERROR(__xludf.DUMMYFUNCTION("""COMPUTED_VALUE"""),16.108)</f>
        <v>16.108000000000001</v>
      </c>
      <c r="U1485" s="3" t="e">
        <f ca="1"/>
        <v>#NAME?</v>
      </c>
    </row>
    <row r="1486" spans="3:21" ht="12.5" x14ac:dyDescent="0.25">
      <c r="C1486" s="4">
        <f ca="1">IFERROR(__xludf.DUMMYFUNCTION("""COMPUTED_VALUE"""),41829.9986111111)</f>
        <v>41829.998611111099</v>
      </c>
      <c r="D1486" s="2">
        <f ca="1">IFERROR(__xludf.DUMMYFUNCTION("""COMPUTED_VALUE"""),59.758)</f>
        <v>59.758000000000003</v>
      </c>
      <c r="E1486" s="2">
        <f ca="1">IFERROR(__xludf.DUMMYFUNCTION("""COMPUTED_VALUE"""),79.498)</f>
        <v>79.498000000000005</v>
      </c>
      <c r="F1486" s="2">
        <f ca="1">IFERROR(__xludf.DUMMYFUNCTION("""COMPUTED_VALUE"""),99.126)</f>
        <v>99.126000000000005</v>
      </c>
      <c r="G1486" s="2">
        <f ca="1">IFERROR(__xludf.DUMMYFUNCTION("""COMPUTED_VALUE"""),0.56457)</f>
        <v>0.56457000000000002</v>
      </c>
      <c r="H1486" s="2">
        <f ca="1">IFERROR(__xludf.DUMMYFUNCTION("""COMPUTED_VALUE"""),56.326)</f>
        <v>56.326000000000001</v>
      </c>
      <c r="I1486" s="2">
        <f ca="1">IFERROR(__xludf.DUMMYFUNCTION("""COMPUTED_VALUE"""),55.239)</f>
        <v>55.238999999999997</v>
      </c>
      <c r="J1486" s="2">
        <f ca="1">IFERROR(__xludf.DUMMYFUNCTION("""COMPUTED_VALUE"""),48.352)</f>
        <v>48.351999999999997</v>
      </c>
      <c r="K1486" s="2">
        <f ca="1">IFERROR(__xludf.DUMMYFUNCTION("""COMPUTED_VALUE"""),67.161)</f>
        <v>67.161000000000001</v>
      </c>
      <c r="M1486" s="2">
        <f ca="1">IFERROR(__xludf.DUMMYFUNCTION("""COMPUTED_VALUE"""),16.108)</f>
        <v>16.108000000000001</v>
      </c>
      <c r="U1486" s="3" t="e">
        <f ca="1"/>
        <v>#NAME?</v>
      </c>
    </row>
    <row r="1487" spans="3:21" ht="12.5" x14ac:dyDescent="0.25">
      <c r="C1487" s="4">
        <f ca="1">IFERROR(__xludf.DUMMYFUNCTION("""COMPUTED_VALUE"""),41830.9986111111)</f>
        <v>41830.998611111099</v>
      </c>
      <c r="D1487" s="2">
        <f ca="1">IFERROR(__xludf.DUMMYFUNCTION("""COMPUTED_VALUE"""),60.188)</f>
        <v>60.188000000000002</v>
      </c>
      <c r="E1487" s="2">
        <f ca="1">IFERROR(__xludf.DUMMYFUNCTION("""COMPUTED_VALUE"""),79.684)</f>
        <v>79.683999999999997</v>
      </c>
      <c r="F1487" s="2">
        <f ca="1">IFERROR(__xludf.DUMMYFUNCTION("""COMPUTED_VALUE"""),99.176)</f>
        <v>99.176000000000002</v>
      </c>
      <c r="G1487" s="2">
        <f ca="1">IFERROR(__xludf.DUMMYFUNCTION("""COMPUTED_VALUE"""),0.56539)</f>
        <v>0.56538999999999995</v>
      </c>
      <c r="H1487" s="2">
        <f ca="1">IFERROR(__xludf.DUMMYFUNCTION("""COMPUTED_VALUE"""),56.326)</f>
        <v>56.326000000000001</v>
      </c>
      <c r="I1487" s="2">
        <f ca="1">IFERROR(__xludf.DUMMYFUNCTION("""COMPUTED_VALUE"""),55.239)</f>
        <v>55.238999999999997</v>
      </c>
      <c r="J1487" s="2">
        <f ca="1">IFERROR(__xludf.DUMMYFUNCTION("""COMPUTED_VALUE"""),48.39)</f>
        <v>48.39</v>
      </c>
      <c r="K1487" s="2">
        <f ca="1">IFERROR(__xludf.DUMMYFUNCTION("""COMPUTED_VALUE"""),67.217)</f>
        <v>67.216999999999999</v>
      </c>
      <c r="M1487" s="2">
        <f ca="1">IFERROR(__xludf.DUMMYFUNCTION("""COMPUTED_VALUE"""),16.108)</f>
        <v>16.108000000000001</v>
      </c>
      <c r="U1487" s="3" t="e">
        <f ca="1"/>
        <v>#NAME?</v>
      </c>
    </row>
    <row r="1488" spans="3:21" ht="12.5" x14ac:dyDescent="0.25">
      <c r="C1488" s="4">
        <f ca="1">IFERROR(__xludf.DUMMYFUNCTION("""COMPUTED_VALUE"""),41831.9986111111)</f>
        <v>41831.998611111099</v>
      </c>
      <c r="D1488" s="2">
        <f ca="1">IFERROR(__xludf.DUMMYFUNCTION("""COMPUTED_VALUE"""),60.01)</f>
        <v>60.01</v>
      </c>
      <c r="E1488" s="2">
        <f ca="1">IFERROR(__xludf.DUMMYFUNCTION("""COMPUTED_VALUE"""),79.665)</f>
        <v>79.665000000000006</v>
      </c>
      <c r="F1488" s="2">
        <f ca="1">IFERROR(__xludf.DUMMYFUNCTION("""COMPUTED_VALUE"""),99.176)</f>
        <v>99.176000000000002</v>
      </c>
      <c r="G1488" s="2">
        <f ca="1">IFERROR(__xludf.DUMMYFUNCTION("""COMPUTED_VALUE"""),0.56725)</f>
        <v>0.56725000000000003</v>
      </c>
      <c r="H1488" s="2">
        <f ca="1">IFERROR(__xludf.DUMMYFUNCTION("""COMPUTED_VALUE"""),56.195)</f>
        <v>56.195</v>
      </c>
      <c r="I1488" s="2">
        <f ca="1">IFERROR(__xludf.DUMMYFUNCTION("""COMPUTED_VALUE"""),55.076)</f>
        <v>55.076000000000001</v>
      </c>
      <c r="J1488" s="2">
        <f ca="1">IFERROR(__xludf.DUMMYFUNCTION("""COMPUTED_VALUE"""),48.39)</f>
        <v>48.39</v>
      </c>
      <c r="K1488" s="2">
        <f ca="1">IFERROR(__xludf.DUMMYFUNCTION("""COMPUTED_VALUE"""),67.198)</f>
        <v>67.197999999999993</v>
      </c>
      <c r="M1488" s="2">
        <f ca="1">IFERROR(__xludf.DUMMYFUNCTION("""COMPUTED_VALUE"""),16.117)</f>
        <v>16.117000000000001</v>
      </c>
      <c r="U1488" s="3" t="e">
        <f ca="1"/>
        <v>#NAME?</v>
      </c>
    </row>
    <row r="1489" spans="3:21" ht="12.5" x14ac:dyDescent="0.25">
      <c r="C1489" s="4">
        <f ca="1">IFERROR(__xludf.DUMMYFUNCTION("""COMPUTED_VALUE"""),41832.9986111111)</f>
        <v>41832.998611111099</v>
      </c>
      <c r="D1489" s="2">
        <f ca="1">IFERROR(__xludf.DUMMYFUNCTION("""COMPUTED_VALUE"""),60.088)</f>
        <v>60.088000000000001</v>
      </c>
      <c r="E1489" s="2">
        <f ca="1">IFERROR(__xludf.DUMMYFUNCTION("""COMPUTED_VALUE"""),78.8153)</f>
        <v>78.815299999999993</v>
      </c>
      <c r="F1489" s="2">
        <f ca="1">IFERROR(__xludf.DUMMYFUNCTION("""COMPUTED_VALUE"""),98.959)</f>
        <v>98.959000000000003</v>
      </c>
      <c r="G1489" s="2">
        <f ca="1">IFERROR(__xludf.DUMMYFUNCTION("""COMPUTED_VALUE"""),0.5616)</f>
        <v>0.56159999999999999</v>
      </c>
      <c r="H1489" s="2">
        <f ca="1">IFERROR(__xludf.DUMMYFUNCTION("""COMPUTED_VALUE"""),56.239)</f>
        <v>56.238999999999997</v>
      </c>
      <c r="I1489" s="2">
        <f ca="1">IFERROR(__xludf.DUMMYFUNCTION("""COMPUTED_VALUE"""),55.118)</f>
        <v>55.118000000000002</v>
      </c>
      <c r="J1489" s="2">
        <f ca="1">IFERROR(__xludf.DUMMYFUNCTION("""COMPUTED_VALUE"""),48.386)</f>
        <v>48.386000000000003</v>
      </c>
      <c r="K1489" s="2">
        <f ca="1">IFERROR(__xludf.DUMMYFUNCTION("""COMPUTED_VALUE"""),67.229)</f>
        <v>67.228999999999999</v>
      </c>
      <c r="M1489" s="2">
        <f ca="1">IFERROR(__xludf.DUMMYFUNCTION("""COMPUTED_VALUE"""),16.12)</f>
        <v>16.12</v>
      </c>
      <c r="U1489" s="3" t="e">
        <f ca="1"/>
        <v>#NAME?</v>
      </c>
    </row>
    <row r="1490" spans="3:21" ht="12.5" x14ac:dyDescent="0.25">
      <c r="C1490" s="4">
        <f ca="1">IFERROR(__xludf.DUMMYFUNCTION("""COMPUTED_VALUE"""),41833.9986111111)</f>
        <v>41833.998611111099</v>
      </c>
      <c r="D1490" s="2">
        <f ca="1">IFERROR(__xludf.DUMMYFUNCTION("""COMPUTED_VALUE"""),60.088)</f>
        <v>60.088000000000001</v>
      </c>
      <c r="E1490" s="2">
        <f ca="1">IFERROR(__xludf.DUMMYFUNCTION("""COMPUTED_VALUE"""),79.476)</f>
        <v>79.475999999999999</v>
      </c>
      <c r="F1490" s="2">
        <f ca="1">IFERROR(__xludf.DUMMYFUNCTION("""COMPUTED_VALUE"""),99.268)</f>
        <v>99.268000000000001</v>
      </c>
      <c r="G1490" s="2">
        <f ca="1">IFERROR(__xludf.DUMMYFUNCTION("""COMPUTED_VALUE"""),0.56058)</f>
        <v>0.56057999999999997</v>
      </c>
      <c r="H1490" s="2">
        <f ca="1">IFERROR(__xludf.DUMMYFUNCTION("""COMPUTED_VALUE"""),56.39)</f>
        <v>56.39</v>
      </c>
      <c r="I1490" s="2">
        <f ca="1">IFERROR(__xludf.DUMMYFUNCTION("""COMPUTED_VALUE"""),55.577)</f>
        <v>55.576999999999998</v>
      </c>
      <c r="J1490" s="2">
        <f ca="1">IFERROR(__xludf.DUMMYFUNCTION("""COMPUTED_VALUE"""),48.32)</f>
        <v>48.32</v>
      </c>
      <c r="K1490" s="2">
        <f ca="1">IFERROR(__xludf.DUMMYFUNCTION("""COMPUTED_VALUE"""),67.25)</f>
        <v>67.25</v>
      </c>
      <c r="M1490" s="2">
        <f ca="1">IFERROR(__xludf.DUMMYFUNCTION("""COMPUTED_VALUE"""),16.153)</f>
        <v>16.152999999999999</v>
      </c>
      <c r="U1490" s="3" t="e">
        <f ca="1"/>
        <v>#NAME?</v>
      </c>
    </row>
    <row r="1491" spans="3:21" ht="12.5" x14ac:dyDescent="0.25">
      <c r="C1491" s="4">
        <f ca="1">IFERROR(__xludf.DUMMYFUNCTION("""COMPUTED_VALUE"""),41834.9986111111)</f>
        <v>41834.998611111099</v>
      </c>
      <c r="D1491" s="2">
        <f ca="1">IFERROR(__xludf.DUMMYFUNCTION("""COMPUTED_VALUE"""),60.118)</f>
        <v>60.118000000000002</v>
      </c>
      <c r="E1491" s="2">
        <f ca="1">IFERROR(__xludf.DUMMYFUNCTION("""COMPUTED_VALUE"""),79.393)</f>
        <v>79.393000000000001</v>
      </c>
      <c r="F1491" s="2">
        <f ca="1">IFERROR(__xludf.DUMMYFUNCTION("""COMPUTED_VALUE"""),99.119)</f>
        <v>99.119</v>
      </c>
      <c r="G1491" s="2">
        <f ca="1">IFERROR(__xludf.DUMMYFUNCTION("""COMPUTED_VALUE"""),0.56519)</f>
        <v>0.56518999999999997</v>
      </c>
      <c r="H1491" s="2">
        <f ca="1">IFERROR(__xludf.DUMMYFUNCTION("""COMPUTED_VALUE"""),56.549)</f>
        <v>56.548999999999999</v>
      </c>
      <c r="I1491" s="2">
        <f ca="1">IFERROR(__xludf.DUMMYFUNCTION("""COMPUTED_VALUE"""),55.65)</f>
        <v>55.65</v>
      </c>
      <c r="J1491" s="2">
        <f ca="1">IFERROR(__xludf.DUMMYFUNCTION("""COMPUTED_VALUE"""),48.41)</f>
        <v>48.41</v>
      </c>
      <c r="K1491" s="2">
        <f ca="1">IFERROR(__xludf.DUMMYFUNCTION("""COMPUTED_VALUE"""),67.322)</f>
        <v>67.322000000000003</v>
      </c>
      <c r="M1491" s="2">
        <f ca="1">IFERROR(__xludf.DUMMYFUNCTION("""COMPUTED_VALUE"""),16.141)</f>
        <v>16.140999999999998</v>
      </c>
      <c r="U1491" s="3" t="e">
        <f ca="1"/>
        <v>#NAME?</v>
      </c>
    </row>
    <row r="1492" spans="3:21" ht="12.5" x14ac:dyDescent="0.25">
      <c r="C1492" s="4">
        <f ca="1">IFERROR(__xludf.DUMMYFUNCTION("""COMPUTED_VALUE"""),41835.9986111111)</f>
        <v>41835.998611111099</v>
      </c>
      <c r="D1492" s="2">
        <f ca="1">IFERROR(__xludf.DUMMYFUNCTION("""COMPUTED_VALUE"""),60.118)</f>
        <v>60.118000000000002</v>
      </c>
      <c r="E1492" s="2">
        <f ca="1">IFERROR(__xludf.DUMMYFUNCTION("""COMPUTED_VALUE"""),79.618)</f>
        <v>79.617999999999995</v>
      </c>
      <c r="F1492" s="2">
        <f ca="1">IFERROR(__xludf.DUMMYFUNCTION("""COMPUTED_VALUE"""),99.515)</f>
        <v>99.515000000000001</v>
      </c>
      <c r="G1492" s="2">
        <f ca="1">IFERROR(__xludf.DUMMYFUNCTION("""COMPUTED_VALUE"""),0.56667)</f>
        <v>0.56667000000000001</v>
      </c>
      <c r="H1492" s="2">
        <f ca="1">IFERROR(__xludf.DUMMYFUNCTION("""COMPUTED_VALUE"""),56.054)</f>
        <v>56.054000000000002</v>
      </c>
      <c r="I1492" s="2">
        <f ca="1">IFERROR(__xludf.DUMMYFUNCTION("""COMPUTED_VALUE"""),55.17)</f>
        <v>55.17</v>
      </c>
      <c r="J1492" s="2">
        <f ca="1">IFERROR(__xludf.DUMMYFUNCTION("""COMPUTED_VALUE"""),48.363)</f>
        <v>48.363</v>
      </c>
      <c r="K1492" s="2">
        <f ca="1">IFERROR(__xludf.DUMMYFUNCTION("""COMPUTED_VALUE"""),67.342)</f>
        <v>67.341999999999999</v>
      </c>
      <c r="M1492" s="2">
        <f ca="1">IFERROR(__xludf.DUMMYFUNCTION("""COMPUTED_VALUE"""),16.255)</f>
        <v>16.254999999999999</v>
      </c>
      <c r="U1492" s="3" t="e">
        <f ca="1"/>
        <v>#NAME?</v>
      </c>
    </row>
    <row r="1493" spans="3:21" ht="12.5" x14ac:dyDescent="0.25">
      <c r="C1493" s="4">
        <f ca="1">IFERROR(__xludf.DUMMYFUNCTION("""COMPUTED_VALUE"""),41836.9986111111)</f>
        <v>41836.998611111099</v>
      </c>
      <c r="D1493" s="2">
        <f ca="1">IFERROR(__xludf.DUMMYFUNCTION("""COMPUTED_VALUE"""),60.118)</f>
        <v>60.118000000000002</v>
      </c>
      <c r="E1493" s="2">
        <f ca="1">IFERROR(__xludf.DUMMYFUNCTION("""COMPUTED_VALUE"""),79.476)</f>
        <v>79.475999999999999</v>
      </c>
      <c r="F1493" s="2">
        <f ca="1">IFERROR(__xludf.DUMMYFUNCTION("""COMPUTED_VALUE"""),99.298)</f>
        <v>99.298000000000002</v>
      </c>
      <c r="G1493" s="2">
        <f ca="1">IFERROR(__xludf.DUMMYFUNCTION("""COMPUTED_VALUE"""),0.56661)</f>
        <v>0.56660999999999995</v>
      </c>
      <c r="H1493" s="2">
        <f ca="1">IFERROR(__xludf.DUMMYFUNCTION("""COMPUTED_VALUE"""),56.52)</f>
        <v>56.52</v>
      </c>
      <c r="I1493" s="2">
        <f ca="1">IFERROR(__xludf.DUMMYFUNCTION("""COMPUTED_VALUE"""),55.627)</f>
        <v>55.627000000000002</v>
      </c>
      <c r="J1493" s="2">
        <f ca="1">IFERROR(__xludf.DUMMYFUNCTION("""COMPUTED_VALUE"""),48.065)</f>
        <v>48.064999999999998</v>
      </c>
      <c r="K1493" s="2">
        <f ca="1">IFERROR(__xludf.DUMMYFUNCTION("""COMPUTED_VALUE"""),67.664)</f>
        <v>67.664000000000001</v>
      </c>
      <c r="M1493" s="2">
        <f ca="1">IFERROR(__xludf.DUMMYFUNCTION("""COMPUTED_VALUE"""),16.254)</f>
        <v>16.254000000000001</v>
      </c>
      <c r="U1493" s="3" t="e">
        <f ca="1"/>
        <v>#NAME?</v>
      </c>
    </row>
    <row r="1494" spans="3:21" ht="12.5" x14ac:dyDescent="0.25">
      <c r="C1494" s="4">
        <f ca="1">IFERROR(__xludf.DUMMYFUNCTION("""COMPUTED_VALUE"""),41837.9986111111)</f>
        <v>41837.998611111099</v>
      </c>
      <c r="D1494" s="2">
        <f ca="1">IFERROR(__xludf.DUMMYFUNCTION("""COMPUTED_VALUE"""),60.178)</f>
        <v>60.177999999999997</v>
      </c>
      <c r="E1494" s="2">
        <f ca="1">IFERROR(__xludf.DUMMYFUNCTION("""COMPUTED_VALUE"""),77.99)</f>
        <v>77.989999999999995</v>
      </c>
      <c r="F1494" s="2">
        <f ca="1">IFERROR(__xludf.DUMMYFUNCTION("""COMPUTED_VALUE"""),99.405)</f>
        <v>99.405000000000001</v>
      </c>
      <c r="G1494" s="2">
        <f ca="1">IFERROR(__xludf.DUMMYFUNCTION("""COMPUTED_VALUE"""),0.56501)</f>
        <v>0.56501000000000001</v>
      </c>
      <c r="H1494" s="2">
        <f ca="1">IFERROR(__xludf.DUMMYFUNCTION("""COMPUTED_VALUE"""),56.434)</f>
        <v>56.433999999999997</v>
      </c>
      <c r="I1494" s="2">
        <f ca="1">IFERROR(__xludf.DUMMYFUNCTION("""COMPUTED_VALUE"""),55.616)</f>
        <v>55.616</v>
      </c>
      <c r="J1494" s="2">
        <f ca="1">IFERROR(__xludf.DUMMYFUNCTION("""COMPUTED_VALUE"""),48.461)</f>
        <v>48.460999999999999</v>
      </c>
      <c r="K1494" s="2">
        <f ca="1">IFERROR(__xludf.DUMMYFUNCTION("""COMPUTED_VALUE"""),67.581)</f>
        <v>67.581000000000003</v>
      </c>
      <c r="M1494" s="2">
        <f ca="1">IFERROR(__xludf.DUMMYFUNCTION("""COMPUTED_VALUE"""),16.254)</f>
        <v>16.254000000000001</v>
      </c>
      <c r="U1494" s="3" t="e">
        <f ca="1"/>
        <v>#NAME?</v>
      </c>
    </row>
    <row r="1495" spans="3:21" ht="12.5" x14ac:dyDescent="0.25">
      <c r="C1495" s="4">
        <f ca="1">IFERROR(__xludf.DUMMYFUNCTION("""COMPUTED_VALUE"""),41838.9986111111)</f>
        <v>41838.998611111099</v>
      </c>
      <c r="D1495" s="2">
        <f ca="1">IFERROR(__xludf.DUMMYFUNCTION("""COMPUTED_VALUE"""),60.278)</f>
        <v>60.277999999999999</v>
      </c>
      <c r="E1495" s="2">
        <f ca="1">IFERROR(__xludf.DUMMYFUNCTION("""COMPUTED_VALUE"""),77.2579)</f>
        <v>77.257900000000006</v>
      </c>
      <c r="F1495" s="2">
        <f ca="1">IFERROR(__xludf.DUMMYFUNCTION("""COMPUTED_VALUE"""),99.298)</f>
        <v>99.298000000000002</v>
      </c>
      <c r="G1495" s="2">
        <f ca="1">IFERROR(__xludf.DUMMYFUNCTION("""COMPUTED_VALUE"""),0.56377)</f>
        <v>0.56376999999999999</v>
      </c>
      <c r="H1495" s="2">
        <f ca="1">IFERROR(__xludf.DUMMYFUNCTION("""COMPUTED_VALUE"""),56.268)</f>
        <v>56.268000000000001</v>
      </c>
      <c r="I1495" s="2">
        <f ca="1">IFERROR(__xludf.DUMMYFUNCTION("""COMPUTED_VALUE"""),55.479)</f>
        <v>55.478999999999999</v>
      </c>
      <c r="J1495" s="2">
        <f ca="1">IFERROR(__xludf.DUMMYFUNCTION("""COMPUTED_VALUE"""),48.381)</f>
        <v>48.381</v>
      </c>
      <c r="K1495" s="2">
        <f ca="1">IFERROR(__xludf.DUMMYFUNCTION("""COMPUTED_VALUE"""),67.086)</f>
        <v>67.085999999999999</v>
      </c>
      <c r="M1495" s="2">
        <f ca="1">IFERROR(__xludf.DUMMYFUNCTION("""COMPUTED_VALUE"""),16.383)</f>
        <v>16.382999999999999</v>
      </c>
      <c r="U1495" s="3" t="e">
        <f ca="1"/>
        <v>#NAME?</v>
      </c>
    </row>
    <row r="1496" spans="3:21" ht="12.5" x14ac:dyDescent="0.25">
      <c r="C1496" s="4">
        <f ca="1">IFERROR(__xludf.DUMMYFUNCTION("""COMPUTED_VALUE"""),41839.9986111111)</f>
        <v>41839.998611111099</v>
      </c>
      <c r="D1496" s="2">
        <f ca="1">IFERROR(__xludf.DUMMYFUNCTION("""COMPUTED_VALUE"""),60.278)</f>
        <v>60.277999999999999</v>
      </c>
      <c r="E1496" s="2">
        <f ca="1">IFERROR(__xludf.DUMMYFUNCTION("""COMPUTED_VALUE"""),77.866)</f>
        <v>77.866</v>
      </c>
      <c r="F1496" s="2">
        <f ca="1">IFERROR(__xludf.DUMMYFUNCTION("""COMPUTED_VALUE"""),99.378)</f>
        <v>99.378</v>
      </c>
      <c r="G1496" s="2">
        <f ca="1">IFERROR(__xludf.DUMMYFUNCTION("""COMPUTED_VALUE"""),0.56926)</f>
        <v>0.56925999999999999</v>
      </c>
      <c r="H1496" s="2">
        <f ca="1">IFERROR(__xludf.DUMMYFUNCTION("""COMPUTED_VALUE"""),56.46)</f>
        <v>56.46</v>
      </c>
      <c r="I1496" s="2">
        <f ca="1">IFERROR(__xludf.DUMMYFUNCTION("""COMPUTED_VALUE"""),55.494)</f>
        <v>55.494</v>
      </c>
      <c r="J1496" s="2">
        <f ca="1">IFERROR(__xludf.DUMMYFUNCTION("""COMPUTED_VALUE"""),48.369)</f>
        <v>48.369</v>
      </c>
      <c r="K1496" s="2">
        <f ca="1">IFERROR(__xludf.DUMMYFUNCTION("""COMPUTED_VALUE"""),66.807)</f>
        <v>66.807000000000002</v>
      </c>
      <c r="M1496" s="2">
        <f ca="1">IFERROR(__xludf.DUMMYFUNCTION("""COMPUTED_VALUE"""),16.357)</f>
        <v>16.356999999999999</v>
      </c>
      <c r="U1496" s="3" t="e">
        <f ca="1"/>
        <v>#NAME?</v>
      </c>
    </row>
    <row r="1497" spans="3:21" ht="12.5" x14ac:dyDescent="0.25">
      <c r="C1497" s="4">
        <f ca="1">IFERROR(__xludf.DUMMYFUNCTION("""COMPUTED_VALUE"""),41840.9986111111)</f>
        <v>41840.998611111099</v>
      </c>
      <c r="D1497" s="2">
        <f ca="1">IFERROR(__xludf.DUMMYFUNCTION("""COMPUTED_VALUE"""),60.278)</f>
        <v>60.277999999999999</v>
      </c>
      <c r="E1497" s="2">
        <f ca="1">IFERROR(__xludf.DUMMYFUNCTION("""COMPUTED_VALUE"""),78.328)</f>
        <v>78.328000000000003</v>
      </c>
      <c r="F1497" s="2">
        <f ca="1">IFERROR(__xludf.DUMMYFUNCTION("""COMPUTED_VALUE"""),99.103)</f>
        <v>99.102999999999994</v>
      </c>
      <c r="G1497" s="2">
        <f ca="1">IFERROR(__xludf.DUMMYFUNCTION("""COMPUTED_VALUE"""),0.56926)</f>
        <v>0.56925999999999999</v>
      </c>
      <c r="H1497" s="2">
        <f ca="1">IFERROR(__xludf.DUMMYFUNCTION("""COMPUTED_VALUE"""),56.325)</f>
        <v>56.325000000000003</v>
      </c>
      <c r="I1497" s="2">
        <f ca="1">IFERROR(__xludf.DUMMYFUNCTION("""COMPUTED_VALUE"""),55.414)</f>
        <v>55.414000000000001</v>
      </c>
      <c r="J1497" s="2">
        <f ca="1">IFERROR(__xludf.DUMMYFUNCTION("""COMPUTED_VALUE"""),48.287)</f>
        <v>48.286999999999999</v>
      </c>
      <c r="K1497" s="2">
        <f ca="1">IFERROR(__xludf.DUMMYFUNCTION("""COMPUTED_VALUE"""),66.72)</f>
        <v>66.72</v>
      </c>
      <c r="M1497" s="2">
        <f ca="1">IFERROR(__xludf.DUMMYFUNCTION("""COMPUTED_VALUE"""),16.284)</f>
        <v>16.283999999999999</v>
      </c>
      <c r="U1497" s="3" t="e">
        <f ca="1"/>
        <v>#NAME?</v>
      </c>
    </row>
    <row r="1498" spans="3:21" ht="12.5" x14ac:dyDescent="0.25">
      <c r="C1498" s="4">
        <f ca="1">IFERROR(__xludf.DUMMYFUNCTION("""COMPUTED_VALUE"""),41841.9986111111)</f>
        <v>41841.998611111099</v>
      </c>
      <c r="D1498" s="2">
        <f ca="1">IFERROR(__xludf.DUMMYFUNCTION("""COMPUTED_VALUE"""),60.238)</f>
        <v>60.238</v>
      </c>
      <c r="E1498" s="2">
        <f ca="1">IFERROR(__xludf.DUMMYFUNCTION("""COMPUTED_VALUE"""),78.657)</f>
        <v>78.656999999999996</v>
      </c>
      <c r="F1498" s="2">
        <f ca="1">IFERROR(__xludf.DUMMYFUNCTION("""COMPUTED_VALUE"""),99.542)</f>
        <v>99.542000000000002</v>
      </c>
      <c r="G1498" s="2">
        <f ca="1">IFERROR(__xludf.DUMMYFUNCTION("""COMPUTED_VALUE"""),0.56964)</f>
        <v>0.56964000000000004</v>
      </c>
      <c r="H1498" s="2">
        <f ca="1">IFERROR(__xludf.DUMMYFUNCTION("""COMPUTED_VALUE"""),56.562)</f>
        <v>56.561999999999998</v>
      </c>
      <c r="I1498" s="2">
        <f ca="1">IFERROR(__xludf.DUMMYFUNCTION("""COMPUTED_VALUE"""),55.438)</f>
        <v>55.438000000000002</v>
      </c>
      <c r="J1498" s="2">
        <f ca="1">IFERROR(__xludf.DUMMYFUNCTION("""COMPUTED_VALUE"""),48.02)</f>
        <v>48.02</v>
      </c>
      <c r="K1498" s="2">
        <f ca="1">IFERROR(__xludf.DUMMYFUNCTION("""COMPUTED_VALUE"""),66.715)</f>
        <v>66.715000000000003</v>
      </c>
      <c r="M1498" s="2">
        <f ca="1">IFERROR(__xludf.DUMMYFUNCTION("""COMPUTED_VALUE"""),16.359)</f>
        <v>16.359000000000002</v>
      </c>
      <c r="U1498" s="3" t="e">
        <f ca="1"/>
        <v>#NAME?</v>
      </c>
    </row>
    <row r="1499" spans="3:21" ht="12.5" x14ac:dyDescent="0.25">
      <c r="C1499" s="4">
        <f ca="1">IFERROR(__xludf.DUMMYFUNCTION("""COMPUTED_VALUE"""),41842.9986111111)</f>
        <v>41842.998611111099</v>
      </c>
      <c r="D1499" s="2">
        <f ca="1">IFERROR(__xludf.DUMMYFUNCTION("""COMPUTED_VALUE"""),60.098)</f>
        <v>60.097999999999999</v>
      </c>
      <c r="E1499" s="2">
        <f ca="1">IFERROR(__xludf.DUMMYFUNCTION("""COMPUTED_VALUE"""),78.657)</f>
        <v>78.656999999999996</v>
      </c>
      <c r="F1499" s="2">
        <f ca="1">IFERROR(__xludf.DUMMYFUNCTION("""COMPUTED_VALUE"""),100.29)</f>
        <v>100.29</v>
      </c>
      <c r="G1499" s="2">
        <f ca="1">IFERROR(__xludf.DUMMYFUNCTION("""COMPUTED_VALUE"""),0.57179)</f>
        <v>0.57179000000000002</v>
      </c>
      <c r="H1499" s="2">
        <f ca="1">IFERROR(__xludf.DUMMYFUNCTION("""COMPUTED_VALUE"""),56.022)</f>
        <v>56.021999999999998</v>
      </c>
      <c r="I1499" s="2">
        <f ca="1">IFERROR(__xludf.DUMMYFUNCTION("""COMPUTED_VALUE"""),54.993)</f>
        <v>54.993000000000002</v>
      </c>
      <c r="J1499" s="2">
        <f ca="1">IFERROR(__xludf.DUMMYFUNCTION("""COMPUTED_VALUE"""),48.139)</f>
        <v>48.139000000000003</v>
      </c>
      <c r="K1499" s="2">
        <f ca="1">IFERROR(__xludf.DUMMYFUNCTION("""COMPUTED_VALUE"""),67.056)</f>
        <v>67.055999999999997</v>
      </c>
      <c r="M1499" s="2">
        <f ca="1">IFERROR(__xludf.DUMMYFUNCTION("""COMPUTED_VALUE"""),16.381)</f>
        <v>16.381</v>
      </c>
      <c r="U1499" s="3" t="e">
        <f ca="1"/>
        <v>#NAME?</v>
      </c>
    </row>
    <row r="1500" spans="3:21" ht="12.5" x14ac:dyDescent="0.25">
      <c r="C1500" s="4">
        <f ca="1">IFERROR(__xludf.DUMMYFUNCTION("""COMPUTED_VALUE"""),41843.9986111111)</f>
        <v>41843.998611111099</v>
      </c>
      <c r="D1500" s="2">
        <f ca="1">IFERROR(__xludf.DUMMYFUNCTION("""COMPUTED_VALUE"""),60.013)</f>
        <v>60.012999999999998</v>
      </c>
      <c r="E1500" s="2">
        <f ca="1">IFERROR(__xludf.DUMMYFUNCTION("""COMPUTED_VALUE"""),77.4859)</f>
        <v>77.485900000000001</v>
      </c>
      <c r="F1500" s="2">
        <f ca="1">IFERROR(__xludf.DUMMYFUNCTION("""COMPUTED_VALUE"""),101.21)</f>
        <v>101.21</v>
      </c>
      <c r="G1500" s="2">
        <f ca="1">IFERROR(__xludf.DUMMYFUNCTION("""COMPUTED_VALUE"""),0.57834)</f>
        <v>0.57833999999999997</v>
      </c>
      <c r="H1500" s="2">
        <f ca="1">IFERROR(__xludf.DUMMYFUNCTION("""COMPUTED_VALUE"""),55.754)</f>
        <v>55.753999999999998</v>
      </c>
      <c r="I1500" s="2">
        <f ca="1">IFERROR(__xludf.DUMMYFUNCTION("""COMPUTED_VALUE"""),55.143)</f>
        <v>55.143000000000001</v>
      </c>
      <c r="J1500" s="2">
        <f ca="1">IFERROR(__xludf.DUMMYFUNCTION("""COMPUTED_VALUE"""),47.952)</f>
        <v>47.951999999999998</v>
      </c>
      <c r="K1500" s="2">
        <f ca="1">IFERROR(__xludf.DUMMYFUNCTION("""COMPUTED_VALUE"""),66.849)</f>
        <v>66.849000000000004</v>
      </c>
      <c r="M1500" s="2">
        <f ca="1">IFERROR(__xludf.DUMMYFUNCTION("""COMPUTED_VALUE"""),16.381)</f>
        <v>16.381</v>
      </c>
      <c r="U1500" s="3" t="e">
        <f ca="1"/>
        <v>#NAME?</v>
      </c>
    </row>
    <row r="1501" spans="3:21" ht="12.5" x14ac:dyDescent="0.25">
      <c r="C1501" s="4">
        <f ca="1">IFERROR(__xludf.DUMMYFUNCTION("""COMPUTED_VALUE"""),41844.9986111111)</f>
        <v>41844.998611111099</v>
      </c>
      <c r="D1501" s="2">
        <f ca="1">IFERROR(__xludf.DUMMYFUNCTION("""COMPUTED_VALUE"""),60.118)</f>
        <v>60.118000000000002</v>
      </c>
      <c r="E1501" s="2">
        <f ca="1">IFERROR(__xludf.DUMMYFUNCTION("""COMPUTED_VALUE"""),77.4859)</f>
        <v>77.485900000000001</v>
      </c>
      <c r="F1501" s="2">
        <f ca="1">IFERROR(__xludf.DUMMYFUNCTION("""COMPUTED_VALUE"""),101.27)</f>
        <v>101.27</v>
      </c>
      <c r="G1501" s="2">
        <f ca="1">IFERROR(__xludf.DUMMYFUNCTION("""COMPUTED_VALUE"""),0.58078)</f>
        <v>0.58077999999999996</v>
      </c>
      <c r="H1501" s="2">
        <f ca="1">IFERROR(__xludf.DUMMYFUNCTION("""COMPUTED_VALUE"""),55.763)</f>
        <v>55.762999999999998</v>
      </c>
      <c r="I1501" s="2">
        <f ca="1">IFERROR(__xludf.DUMMYFUNCTION("""COMPUTED_VALUE"""),55.608)</f>
        <v>55.607999999999997</v>
      </c>
      <c r="J1501" s="2">
        <f ca="1">IFERROR(__xludf.DUMMYFUNCTION("""COMPUTED_VALUE"""),47.96)</f>
        <v>47.96</v>
      </c>
      <c r="K1501" s="2">
        <f ca="1">IFERROR(__xludf.DUMMYFUNCTION("""COMPUTED_VALUE"""),67.008)</f>
        <v>67.007999999999996</v>
      </c>
      <c r="M1501" s="2">
        <f ca="1">IFERROR(__xludf.DUMMYFUNCTION("""COMPUTED_VALUE"""),16.381)</f>
        <v>16.381</v>
      </c>
      <c r="U1501" s="3" t="e">
        <f ca="1"/>
        <v>#NAME?</v>
      </c>
    </row>
    <row r="1502" spans="3:21" ht="12.5" x14ac:dyDescent="0.25">
      <c r="C1502" s="4">
        <f ca="1">IFERROR(__xludf.DUMMYFUNCTION("""COMPUTED_VALUE"""),41845.9986111111)</f>
        <v>41845.998611111099</v>
      </c>
      <c r="D1502" s="2">
        <f ca="1">IFERROR(__xludf.DUMMYFUNCTION("""COMPUTED_VALUE"""),60.053)</f>
        <v>60.052999999999997</v>
      </c>
      <c r="E1502" s="2">
        <f ca="1">IFERROR(__xludf.DUMMYFUNCTION("""COMPUTED_VALUE"""),78.972)</f>
        <v>78.971999999999994</v>
      </c>
      <c r="F1502" s="2">
        <f ca="1">IFERROR(__xludf.DUMMYFUNCTION("""COMPUTED_VALUE"""),101.32)</f>
        <v>101.32</v>
      </c>
      <c r="G1502" s="2">
        <f ca="1">IFERROR(__xludf.DUMMYFUNCTION("""COMPUTED_VALUE"""),0.5735)</f>
        <v>0.57350000000000001</v>
      </c>
      <c r="H1502" s="2">
        <f ca="1">IFERROR(__xludf.DUMMYFUNCTION("""COMPUTED_VALUE"""),55.427)</f>
        <v>55.427</v>
      </c>
      <c r="I1502" s="2">
        <f ca="1">IFERROR(__xludf.DUMMYFUNCTION("""COMPUTED_VALUE"""),55.151)</f>
        <v>55.151000000000003</v>
      </c>
      <c r="J1502" s="2">
        <f ca="1">IFERROR(__xludf.DUMMYFUNCTION("""COMPUTED_VALUE"""),48.181)</f>
        <v>48.180999999999997</v>
      </c>
      <c r="K1502" s="2">
        <f ca="1">IFERROR(__xludf.DUMMYFUNCTION("""COMPUTED_VALUE"""),67.378)</f>
        <v>67.378</v>
      </c>
      <c r="M1502" s="2">
        <f ca="1">IFERROR(__xludf.DUMMYFUNCTION("""COMPUTED_VALUE"""),16.377)</f>
        <v>16.376999999999999</v>
      </c>
      <c r="U1502" s="3" t="e">
        <f ca="1"/>
        <v>#NAME?</v>
      </c>
    </row>
    <row r="1503" spans="3:21" ht="12.5" x14ac:dyDescent="0.25">
      <c r="C1503" s="4">
        <f ca="1">IFERROR(__xludf.DUMMYFUNCTION("""COMPUTED_VALUE"""),41846.9986111111)</f>
        <v>41846.998611111099</v>
      </c>
      <c r="D1503" s="2">
        <f ca="1">IFERROR(__xludf.DUMMYFUNCTION("""COMPUTED_VALUE"""),60.053)</f>
        <v>60.052999999999997</v>
      </c>
      <c r="E1503" s="2">
        <f ca="1">IFERROR(__xludf.DUMMYFUNCTION("""COMPUTED_VALUE"""),78.993)</f>
        <v>78.992999999999995</v>
      </c>
      <c r="F1503" s="2">
        <f ca="1">IFERROR(__xludf.DUMMYFUNCTION("""COMPUTED_VALUE"""),102.1)</f>
        <v>102.1</v>
      </c>
      <c r="G1503" s="2">
        <f ca="1">IFERROR(__xludf.DUMMYFUNCTION("""COMPUTED_VALUE"""),0.57406)</f>
        <v>0.57406000000000001</v>
      </c>
      <c r="H1503" s="2">
        <f ca="1">IFERROR(__xludf.DUMMYFUNCTION("""COMPUTED_VALUE"""),54.757)</f>
        <v>54.756999999999998</v>
      </c>
      <c r="I1503" s="2">
        <f ca="1">IFERROR(__xludf.DUMMYFUNCTION("""COMPUTED_VALUE"""),54.624)</f>
        <v>54.624000000000002</v>
      </c>
      <c r="J1503" s="2">
        <f ca="1">IFERROR(__xludf.DUMMYFUNCTION("""COMPUTED_VALUE"""),48.204)</f>
        <v>48.204000000000001</v>
      </c>
      <c r="K1503" s="2">
        <f ca="1">IFERROR(__xludf.DUMMYFUNCTION("""COMPUTED_VALUE"""),67.309)</f>
        <v>67.308999999999997</v>
      </c>
      <c r="M1503" s="2">
        <f ca="1">IFERROR(__xludf.DUMMYFUNCTION("""COMPUTED_VALUE"""),16.387)</f>
        <v>16.387</v>
      </c>
      <c r="U1503" s="3" t="e">
        <f ca="1"/>
        <v>#NAME?</v>
      </c>
    </row>
    <row r="1504" spans="3:21" ht="12.5" x14ac:dyDescent="0.25">
      <c r="C1504" s="4">
        <f ca="1">IFERROR(__xludf.DUMMYFUNCTION("""COMPUTED_VALUE"""),41847.9986111111)</f>
        <v>41847.998611111099</v>
      </c>
      <c r="D1504" s="2">
        <f ca="1">IFERROR(__xludf.DUMMYFUNCTION("""COMPUTED_VALUE"""),60.053)</f>
        <v>60.052999999999997</v>
      </c>
      <c r="E1504" s="2">
        <f ca="1">IFERROR(__xludf.DUMMYFUNCTION("""COMPUTED_VALUE"""),78.132)</f>
        <v>78.132000000000005</v>
      </c>
      <c r="F1504" s="2">
        <f ca="1">IFERROR(__xludf.DUMMYFUNCTION("""COMPUTED_VALUE"""),102.23)</f>
        <v>102.23</v>
      </c>
      <c r="G1504" s="2">
        <f ca="1">IFERROR(__xludf.DUMMYFUNCTION("""COMPUTED_VALUE"""),0.57277)</f>
        <v>0.57277</v>
      </c>
      <c r="H1504" s="2">
        <f ca="1">IFERROR(__xludf.DUMMYFUNCTION("""COMPUTED_VALUE"""),54.269)</f>
        <v>54.268999999999998</v>
      </c>
      <c r="I1504" s="2">
        <f ca="1">IFERROR(__xludf.DUMMYFUNCTION("""COMPUTED_VALUE"""),53.873)</f>
        <v>53.872999999999998</v>
      </c>
      <c r="J1504" s="2">
        <f ca="1">IFERROR(__xludf.DUMMYFUNCTION("""COMPUTED_VALUE"""),47.97)</f>
        <v>47.97</v>
      </c>
      <c r="K1504" s="2">
        <f ca="1">IFERROR(__xludf.DUMMYFUNCTION("""COMPUTED_VALUE"""),67.396)</f>
        <v>67.396000000000001</v>
      </c>
      <c r="M1504" s="2">
        <f ca="1">IFERROR(__xludf.DUMMYFUNCTION("""COMPUTED_VALUE"""),16.357)</f>
        <v>16.356999999999999</v>
      </c>
      <c r="U1504" s="3" t="e">
        <f ca="1"/>
        <v>#NAME?</v>
      </c>
    </row>
    <row r="1505" spans="3:21" ht="12.5" x14ac:dyDescent="0.25">
      <c r="C1505" s="4">
        <f ca="1">IFERROR(__xludf.DUMMYFUNCTION("""COMPUTED_VALUE"""),41848.9986111111)</f>
        <v>41848.998611111099</v>
      </c>
      <c r="D1505" s="2">
        <f ca="1">IFERROR(__xludf.DUMMYFUNCTION("""COMPUTED_VALUE"""),60.05)</f>
        <v>60.05</v>
      </c>
      <c r="E1505" s="2">
        <f ca="1">IFERROR(__xludf.DUMMYFUNCTION("""COMPUTED_VALUE"""),78.378)</f>
        <v>78.378</v>
      </c>
      <c r="F1505" s="2">
        <f ca="1">IFERROR(__xludf.DUMMYFUNCTION("""COMPUTED_VALUE"""),102.36)</f>
        <v>102.36</v>
      </c>
      <c r="G1505" s="2">
        <f ca="1">IFERROR(__xludf.DUMMYFUNCTION("""COMPUTED_VALUE"""),0.57218)</f>
        <v>0.57218000000000002</v>
      </c>
      <c r="H1505" s="2">
        <f ca="1">IFERROR(__xludf.DUMMYFUNCTION("""COMPUTED_VALUE"""),55.119)</f>
        <v>55.119</v>
      </c>
      <c r="I1505" s="2">
        <f ca="1">IFERROR(__xludf.DUMMYFUNCTION("""COMPUTED_VALUE"""),55.225)</f>
        <v>55.225000000000001</v>
      </c>
      <c r="J1505" s="2">
        <f ca="1">IFERROR(__xludf.DUMMYFUNCTION("""COMPUTED_VALUE"""),47.324)</f>
        <v>47.323999999999998</v>
      </c>
      <c r="K1505" s="2">
        <f ca="1">IFERROR(__xludf.DUMMYFUNCTION("""COMPUTED_VALUE"""),67.396)</f>
        <v>67.396000000000001</v>
      </c>
      <c r="M1505" s="2">
        <f ca="1">IFERROR(__xludf.DUMMYFUNCTION("""COMPUTED_VALUE"""),16.392)</f>
        <v>16.391999999999999</v>
      </c>
      <c r="U1505" s="3" t="e">
        <f ca="1"/>
        <v>#NAME?</v>
      </c>
    </row>
    <row r="1506" spans="3:21" ht="12.5" x14ac:dyDescent="0.25">
      <c r="C1506" s="4">
        <f ca="1">IFERROR(__xludf.DUMMYFUNCTION("""COMPUTED_VALUE"""),41849.9986111111)</f>
        <v>41849.998611111099</v>
      </c>
      <c r="D1506" s="2">
        <f ca="1">IFERROR(__xludf.DUMMYFUNCTION("""COMPUTED_VALUE"""),60.123)</f>
        <v>60.122999999999998</v>
      </c>
      <c r="E1506" s="2">
        <f ca="1">IFERROR(__xludf.DUMMYFUNCTION("""COMPUTED_VALUE"""),77.2808)</f>
        <v>77.280799999999999</v>
      </c>
      <c r="F1506" s="2">
        <f ca="1">IFERROR(__xludf.DUMMYFUNCTION("""COMPUTED_VALUE"""),102.29)</f>
        <v>102.29</v>
      </c>
      <c r="G1506" s="2">
        <f ca="1">IFERROR(__xludf.DUMMYFUNCTION("""COMPUTED_VALUE"""),0.5707)</f>
        <v>0.57069999999999999</v>
      </c>
      <c r="H1506" s="2">
        <f ca="1">IFERROR(__xludf.DUMMYFUNCTION("""COMPUTED_VALUE"""),55.359)</f>
        <v>55.359000000000002</v>
      </c>
      <c r="I1506" s="2">
        <f ca="1">IFERROR(__xludf.DUMMYFUNCTION("""COMPUTED_VALUE"""),55.554)</f>
        <v>55.554000000000002</v>
      </c>
      <c r="J1506" s="2">
        <f ca="1">IFERROR(__xludf.DUMMYFUNCTION("""COMPUTED_VALUE"""),48.292)</f>
        <v>48.292000000000002</v>
      </c>
      <c r="K1506" s="2">
        <f ca="1">IFERROR(__xludf.DUMMYFUNCTION("""COMPUTED_VALUE"""),67.353)</f>
        <v>67.352999999999994</v>
      </c>
      <c r="M1506" s="2">
        <f ca="1">IFERROR(__xludf.DUMMYFUNCTION("""COMPUTED_VALUE"""),16.347)</f>
        <v>16.347000000000001</v>
      </c>
      <c r="U1506" s="3" t="e">
        <f ca="1"/>
        <v>#NAME?</v>
      </c>
    </row>
    <row r="1507" spans="3:21" ht="12.5" x14ac:dyDescent="0.25">
      <c r="C1507" s="4">
        <f ca="1">IFERROR(__xludf.DUMMYFUNCTION("""COMPUTED_VALUE"""),41850.9986111111)</f>
        <v>41850.998611111099</v>
      </c>
      <c r="D1507" s="2">
        <f ca="1">IFERROR(__xludf.DUMMYFUNCTION("""COMPUTED_VALUE"""),60.25)</f>
        <v>60.25</v>
      </c>
      <c r="E1507" s="2">
        <f ca="1">IFERROR(__xludf.DUMMYFUNCTION("""COMPUTED_VALUE"""),78.068)</f>
        <v>78.067999999999998</v>
      </c>
      <c r="F1507" s="2">
        <f ca="1">IFERROR(__xludf.DUMMYFUNCTION("""COMPUTED_VALUE"""),102.28)</f>
        <v>102.28</v>
      </c>
      <c r="G1507" s="2">
        <f ca="1">IFERROR(__xludf.DUMMYFUNCTION("""COMPUTED_VALUE"""),0.5705)</f>
        <v>0.57050000000000001</v>
      </c>
      <c r="H1507" s="2">
        <f ca="1">IFERROR(__xludf.DUMMYFUNCTION("""COMPUTED_VALUE"""),54.417)</f>
        <v>54.417000000000002</v>
      </c>
      <c r="I1507" s="2">
        <f ca="1">IFERROR(__xludf.DUMMYFUNCTION("""COMPUTED_VALUE"""),55.217)</f>
        <v>55.216999999999999</v>
      </c>
      <c r="J1507" s="2">
        <f ca="1">IFERROR(__xludf.DUMMYFUNCTION("""COMPUTED_VALUE"""),48.366)</f>
        <v>48.366</v>
      </c>
      <c r="K1507" s="2">
        <f ca="1">IFERROR(__xludf.DUMMYFUNCTION("""COMPUTED_VALUE"""),67.053)</f>
        <v>67.052999999999997</v>
      </c>
      <c r="M1507" s="2">
        <f ca="1">IFERROR(__xludf.DUMMYFUNCTION("""COMPUTED_VALUE"""),16.347)</f>
        <v>16.347000000000001</v>
      </c>
      <c r="U1507" s="3" t="e">
        <f ca="1"/>
        <v>#NAME?</v>
      </c>
    </row>
    <row r="1508" spans="3:21" ht="12.5" x14ac:dyDescent="0.25">
      <c r="C1508" s="4">
        <f ca="1">IFERROR(__xludf.DUMMYFUNCTION("""COMPUTED_VALUE"""),41851.9986111111)</f>
        <v>41851.998611111099</v>
      </c>
      <c r="D1508" s="2">
        <f ca="1">IFERROR(__xludf.DUMMYFUNCTION("""COMPUTED_VALUE"""),60.548)</f>
        <v>60.548000000000002</v>
      </c>
      <c r="E1508" s="2">
        <f ca="1">IFERROR(__xludf.DUMMYFUNCTION("""COMPUTED_VALUE"""),78.231)</f>
        <v>78.230999999999995</v>
      </c>
      <c r="F1508" s="2">
        <f ca="1">IFERROR(__xludf.DUMMYFUNCTION("""COMPUTED_VALUE"""),102.36)</f>
        <v>102.36</v>
      </c>
      <c r="G1508" s="2">
        <f ca="1">IFERROR(__xludf.DUMMYFUNCTION("""COMPUTED_VALUE"""),0.56484)</f>
        <v>0.56484000000000001</v>
      </c>
      <c r="H1508" s="2">
        <f ca="1">IFERROR(__xludf.DUMMYFUNCTION("""COMPUTED_VALUE"""),54.512)</f>
        <v>54.512</v>
      </c>
      <c r="I1508" s="2">
        <f ca="1">IFERROR(__xludf.DUMMYFUNCTION("""COMPUTED_VALUE"""),55.453)</f>
        <v>55.453000000000003</v>
      </c>
      <c r="J1508" s="2">
        <f ca="1">IFERROR(__xludf.DUMMYFUNCTION("""COMPUTED_VALUE"""),47.994)</f>
        <v>47.994</v>
      </c>
      <c r="K1508" s="2">
        <f ca="1">IFERROR(__xludf.DUMMYFUNCTION("""COMPUTED_VALUE"""),66.88)</f>
        <v>66.88</v>
      </c>
      <c r="M1508" s="2">
        <f ca="1">IFERROR(__xludf.DUMMYFUNCTION("""COMPUTED_VALUE"""),16.347)</f>
        <v>16.347000000000001</v>
      </c>
      <c r="U1508" s="3" t="e">
        <f ca="1"/>
        <v>#NAME?</v>
      </c>
    </row>
    <row r="1509" spans="3:21" ht="12.5" x14ac:dyDescent="0.25">
      <c r="C1509" s="4">
        <f ca="1">IFERROR(__xludf.DUMMYFUNCTION("""COMPUTED_VALUE"""),41852.9986111111)</f>
        <v>41852.998611111099</v>
      </c>
      <c r="D1509" s="2">
        <f ca="1">IFERROR(__xludf.DUMMYFUNCTION("""COMPUTED_VALUE"""),61.208)</f>
        <v>61.207999999999998</v>
      </c>
      <c r="E1509" s="2">
        <f ca="1">IFERROR(__xludf.DUMMYFUNCTION("""COMPUTED_VALUE"""),78.36)</f>
        <v>78.36</v>
      </c>
      <c r="F1509" s="2">
        <f ca="1">IFERROR(__xludf.DUMMYFUNCTION("""COMPUTED_VALUE"""),102.36)</f>
        <v>102.36</v>
      </c>
      <c r="G1509" s="2">
        <f ca="1">IFERROR(__xludf.DUMMYFUNCTION("""COMPUTED_VALUE"""),0.565)</f>
        <v>0.56499999999999995</v>
      </c>
      <c r="H1509" s="2">
        <f ca="1">IFERROR(__xludf.DUMMYFUNCTION("""COMPUTED_VALUE"""),54.28)</f>
        <v>54.28</v>
      </c>
      <c r="I1509" s="2">
        <f ca="1">IFERROR(__xludf.DUMMYFUNCTION("""COMPUTED_VALUE"""),55.481)</f>
        <v>55.481000000000002</v>
      </c>
      <c r="J1509" s="2">
        <f ca="1">IFERROR(__xludf.DUMMYFUNCTION("""COMPUTED_VALUE"""),47.904)</f>
        <v>47.904000000000003</v>
      </c>
      <c r="K1509" s="2">
        <f ca="1">IFERROR(__xludf.DUMMYFUNCTION("""COMPUTED_VALUE"""),66.983)</f>
        <v>66.983000000000004</v>
      </c>
      <c r="M1509" s="2">
        <f ca="1">IFERROR(__xludf.DUMMYFUNCTION("""COMPUTED_VALUE"""),16.351)</f>
        <v>16.350999999999999</v>
      </c>
      <c r="U1509" s="3" t="e">
        <f ca="1"/>
        <v>#NAME?</v>
      </c>
    </row>
    <row r="1510" spans="3:21" ht="12.5" x14ac:dyDescent="0.25">
      <c r="C1510" s="4">
        <f ca="1">IFERROR(__xludf.DUMMYFUNCTION("""COMPUTED_VALUE"""),41853.9986111111)</f>
        <v>41853.998611111099</v>
      </c>
      <c r="D1510" s="2">
        <f ca="1">IFERROR(__xludf.DUMMYFUNCTION("""COMPUTED_VALUE"""),61.208)</f>
        <v>61.207999999999998</v>
      </c>
      <c r="E1510" s="2">
        <f ca="1">IFERROR(__xludf.DUMMYFUNCTION("""COMPUTED_VALUE"""),77.802)</f>
        <v>77.802000000000007</v>
      </c>
      <c r="F1510" s="2">
        <f ca="1">IFERROR(__xludf.DUMMYFUNCTION("""COMPUTED_VALUE"""),102.33)</f>
        <v>102.33</v>
      </c>
      <c r="G1510" s="2">
        <f ca="1">IFERROR(__xludf.DUMMYFUNCTION("""COMPUTED_VALUE"""),0.56541)</f>
        <v>0.56540999999999997</v>
      </c>
      <c r="H1510" s="2">
        <f ca="1">IFERROR(__xludf.DUMMYFUNCTION("""COMPUTED_VALUE"""),54.316)</f>
        <v>54.316000000000003</v>
      </c>
      <c r="I1510" s="2">
        <f ca="1">IFERROR(__xludf.DUMMYFUNCTION("""COMPUTED_VALUE"""),55.524)</f>
        <v>55.524000000000001</v>
      </c>
      <c r="J1510" s="2">
        <f ca="1">IFERROR(__xludf.DUMMYFUNCTION("""COMPUTED_VALUE"""),47.979)</f>
        <v>47.978999999999999</v>
      </c>
      <c r="K1510" s="2">
        <f ca="1">IFERROR(__xludf.DUMMYFUNCTION("""COMPUTED_VALUE"""),67.028)</f>
        <v>67.028000000000006</v>
      </c>
      <c r="M1510" s="2">
        <f ca="1">IFERROR(__xludf.DUMMYFUNCTION("""COMPUTED_VALUE"""),16.343)</f>
        <v>16.343</v>
      </c>
      <c r="U1510" s="3" t="e">
        <f ca="1"/>
        <v>#NAME?</v>
      </c>
    </row>
    <row r="1511" spans="3:21" ht="12.5" x14ac:dyDescent="0.25">
      <c r="C1511" s="4">
        <f ca="1">IFERROR(__xludf.DUMMYFUNCTION("""COMPUTED_VALUE"""),41854.9986111111)</f>
        <v>41854.998611111099</v>
      </c>
      <c r="D1511" s="2">
        <f ca="1">IFERROR(__xludf.DUMMYFUNCTION("""COMPUTED_VALUE"""),61.208)</f>
        <v>61.207999999999998</v>
      </c>
      <c r="E1511" s="2">
        <f ca="1">IFERROR(__xludf.DUMMYFUNCTION("""COMPUTED_VALUE"""),78.168)</f>
        <v>78.168000000000006</v>
      </c>
      <c r="F1511" s="2">
        <f ca="1">IFERROR(__xludf.DUMMYFUNCTION("""COMPUTED_VALUE"""),102.09)</f>
        <v>102.09</v>
      </c>
      <c r="G1511" s="2">
        <f ca="1">IFERROR(__xludf.DUMMYFUNCTION("""COMPUTED_VALUE"""),0.56769)</f>
        <v>0.56769000000000003</v>
      </c>
      <c r="H1511" s="2">
        <f ca="1">IFERROR(__xludf.DUMMYFUNCTION("""COMPUTED_VALUE"""),54.061)</f>
        <v>54.061</v>
      </c>
      <c r="I1511" s="2">
        <f ca="1">IFERROR(__xludf.DUMMYFUNCTION("""COMPUTED_VALUE"""),55.162)</f>
        <v>55.161999999999999</v>
      </c>
      <c r="J1511" s="2">
        <f ca="1">IFERROR(__xludf.DUMMYFUNCTION("""COMPUTED_VALUE"""),48.025)</f>
        <v>48.024999999999999</v>
      </c>
      <c r="K1511" s="2">
        <f ca="1">IFERROR(__xludf.DUMMYFUNCTION("""COMPUTED_VALUE"""),67.088)</f>
        <v>67.087999999999994</v>
      </c>
      <c r="M1511" s="2">
        <f ca="1">IFERROR(__xludf.DUMMYFUNCTION("""COMPUTED_VALUE"""),16.249)</f>
        <v>16.248999999999999</v>
      </c>
      <c r="U1511" s="3" t="e">
        <f ca="1"/>
        <v>#NAME?</v>
      </c>
    </row>
    <row r="1512" spans="3:21" ht="12.5" x14ac:dyDescent="0.25">
      <c r="C1512" s="4">
        <f ca="1">IFERROR(__xludf.DUMMYFUNCTION("""COMPUTED_VALUE"""),41855.9986111111)</f>
        <v>41855.998611111099</v>
      </c>
      <c r="D1512" s="2">
        <f ca="1">IFERROR(__xludf.DUMMYFUNCTION("""COMPUTED_VALUE"""),60.938)</f>
        <v>60.938000000000002</v>
      </c>
      <c r="E1512" s="2">
        <f ca="1">IFERROR(__xludf.DUMMYFUNCTION("""COMPUTED_VALUE"""),77.473)</f>
        <v>77.472999999999999</v>
      </c>
      <c r="F1512" s="2">
        <f ca="1">IFERROR(__xludf.DUMMYFUNCTION("""COMPUTED_VALUE"""),101.97)</f>
        <v>101.97</v>
      </c>
      <c r="G1512" s="2">
        <f ca="1">IFERROR(__xludf.DUMMYFUNCTION("""COMPUTED_VALUE"""),0.56526)</f>
        <v>0.56525999999999998</v>
      </c>
      <c r="H1512" s="2">
        <f ca="1">IFERROR(__xludf.DUMMYFUNCTION("""COMPUTED_VALUE"""),54)</f>
        <v>54</v>
      </c>
      <c r="I1512" s="2">
        <f ca="1">IFERROR(__xludf.DUMMYFUNCTION("""COMPUTED_VALUE"""),55.074)</f>
        <v>55.073999999999998</v>
      </c>
      <c r="J1512" s="2">
        <f ca="1">IFERROR(__xludf.DUMMYFUNCTION("""COMPUTED_VALUE"""),47.934)</f>
        <v>47.933999999999997</v>
      </c>
      <c r="K1512" s="2">
        <f ca="1">IFERROR(__xludf.DUMMYFUNCTION("""COMPUTED_VALUE"""),67.109)</f>
        <v>67.108999999999995</v>
      </c>
      <c r="M1512" s="2">
        <f ca="1">IFERROR(__xludf.DUMMYFUNCTION("""COMPUTED_VALUE"""),16.262)</f>
        <v>16.262</v>
      </c>
      <c r="U1512" s="3" t="e">
        <f ca="1"/>
        <v>#NAME?</v>
      </c>
    </row>
    <row r="1513" spans="3:21" ht="12.5" x14ac:dyDescent="0.25">
      <c r="C1513" s="4">
        <f ca="1">IFERROR(__xludf.DUMMYFUNCTION("""COMPUTED_VALUE"""),41856.9986111111)</f>
        <v>41856.998611111099</v>
      </c>
      <c r="D1513" s="2">
        <f ca="1">IFERROR(__xludf.DUMMYFUNCTION("""COMPUTED_VALUE"""),60.843)</f>
        <v>60.843000000000004</v>
      </c>
      <c r="E1513" s="2">
        <f ca="1">IFERROR(__xludf.DUMMYFUNCTION("""COMPUTED_VALUE"""),77.547)</f>
        <v>77.546999999999997</v>
      </c>
      <c r="F1513" s="2">
        <f ca="1">IFERROR(__xludf.DUMMYFUNCTION("""COMPUTED_VALUE"""),102.43)</f>
        <v>102.43</v>
      </c>
      <c r="G1513" s="2">
        <f ca="1">IFERROR(__xludf.DUMMYFUNCTION("""COMPUTED_VALUE"""),0.56243)</f>
        <v>0.56242999999999999</v>
      </c>
      <c r="H1513" s="2">
        <f ca="1">IFERROR(__xludf.DUMMYFUNCTION("""COMPUTED_VALUE"""),54.042)</f>
        <v>54.042000000000002</v>
      </c>
      <c r="I1513" s="2">
        <f ca="1">IFERROR(__xludf.DUMMYFUNCTION("""COMPUTED_VALUE"""),55.019)</f>
        <v>55.018999999999998</v>
      </c>
      <c r="J1513" s="2">
        <f ca="1">IFERROR(__xludf.DUMMYFUNCTION("""COMPUTED_VALUE"""),48.08)</f>
        <v>48.08</v>
      </c>
      <c r="K1513" s="2">
        <f ca="1">IFERROR(__xludf.DUMMYFUNCTION("""COMPUTED_VALUE"""),67.012)</f>
        <v>67.012</v>
      </c>
      <c r="M1513" s="2">
        <f ca="1">IFERROR(__xludf.DUMMYFUNCTION("""COMPUTED_VALUE"""),16.258)</f>
        <v>16.257999999999999</v>
      </c>
      <c r="U1513" s="3" t="e">
        <f ca="1"/>
        <v>#NAME?</v>
      </c>
    </row>
    <row r="1514" spans="3:21" ht="12.5" x14ac:dyDescent="0.25">
      <c r="C1514" s="4">
        <f ca="1">IFERROR(__xludf.DUMMYFUNCTION("""COMPUTED_VALUE"""),41857.9986111111)</f>
        <v>41857.998611111099</v>
      </c>
      <c r="D1514" s="2">
        <f ca="1">IFERROR(__xludf.DUMMYFUNCTION("""COMPUTED_VALUE"""),61.493)</f>
        <v>61.493000000000002</v>
      </c>
      <c r="E1514" s="2">
        <f ca="1">IFERROR(__xludf.DUMMYFUNCTION("""COMPUTED_VALUE"""),77.547)</f>
        <v>77.546999999999997</v>
      </c>
      <c r="F1514" s="2">
        <f ca="1">IFERROR(__xludf.DUMMYFUNCTION("""COMPUTED_VALUE"""),102.18)</f>
        <v>102.18</v>
      </c>
      <c r="G1514" s="2">
        <f ca="1">IFERROR(__xludf.DUMMYFUNCTION("""COMPUTED_VALUE"""),0.56183)</f>
        <v>0.56183000000000005</v>
      </c>
      <c r="H1514" s="2">
        <f ca="1">IFERROR(__xludf.DUMMYFUNCTION("""COMPUTED_VALUE"""),53.916)</f>
        <v>53.915999999999997</v>
      </c>
      <c r="I1514" s="2">
        <f ca="1">IFERROR(__xludf.DUMMYFUNCTION("""COMPUTED_VALUE"""),55.157)</f>
        <v>55.156999999999996</v>
      </c>
      <c r="J1514" s="2">
        <f ca="1">IFERROR(__xludf.DUMMYFUNCTION("""COMPUTED_VALUE"""),48.039)</f>
        <v>48.039000000000001</v>
      </c>
      <c r="K1514" s="2">
        <f ca="1">IFERROR(__xludf.DUMMYFUNCTION("""COMPUTED_VALUE"""),66.556)</f>
        <v>66.555999999999997</v>
      </c>
      <c r="M1514" s="2">
        <f ca="1">IFERROR(__xludf.DUMMYFUNCTION("""COMPUTED_VALUE"""),16.258)</f>
        <v>16.257999999999999</v>
      </c>
      <c r="U1514" s="3" t="e">
        <f ca="1"/>
        <v>#NAME?</v>
      </c>
    </row>
    <row r="1515" spans="3:21" ht="12.5" x14ac:dyDescent="0.25">
      <c r="C1515" s="4">
        <f ca="1">IFERROR(__xludf.DUMMYFUNCTION("""COMPUTED_VALUE"""),41858.9986111111)</f>
        <v>41858.998611111099</v>
      </c>
      <c r="D1515" s="2">
        <f ca="1">IFERROR(__xludf.DUMMYFUNCTION("""COMPUTED_VALUE"""),61.238)</f>
        <v>61.238</v>
      </c>
      <c r="E1515" s="2">
        <f ca="1">IFERROR(__xludf.DUMMYFUNCTION("""COMPUTED_VALUE"""),78.043)</f>
        <v>78.043000000000006</v>
      </c>
      <c r="F1515" s="2">
        <f ca="1">IFERROR(__xludf.DUMMYFUNCTION("""COMPUTED_VALUE"""),102.28)</f>
        <v>102.28</v>
      </c>
      <c r="G1515" s="2">
        <f ca="1">IFERROR(__xludf.DUMMYFUNCTION("""COMPUTED_VALUE"""),0.5417)</f>
        <v>0.54169999999999996</v>
      </c>
      <c r="H1515" s="2">
        <f ca="1">IFERROR(__xludf.DUMMYFUNCTION("""COMPUTED_VALUE"""),53.537)</f>
        <v>53.536999999999999</v>
      </c>
      <c r="I1515" s="2">
        <f ca="1">IFERROR(__xludf.DUMMYFUNCTION("""COMPUTED_VALUE"""),54.748)</f>
        <v>54.747999999999998</v>
      </c>
      <c r="J1515" s="2">
        <f ca="1">IFERROR(__xludf.DUMMYFUNCTION("""COMPUTED_VALUE"""),48.255)</f>
        <v>48.255000000000003</v>
      </c>
      <c r="K1515" s="2">
        <f ca="1">IFERROR(__xludf.DUMMYFUNCTION("""COMPUTED_VALUE"""),66.435)</f>
        <v>66.435000000000002</v>
      </c>
      <c r="M1515" s="2">
        <f ca="1">IFERROR(__xludf.DUMMYFUNCTION("""COMPUTED_VALUE"""),16.258)</f>
        <v>16.257999999999999</v>
      </c>
      <c r="U1515" s="3" t="e">
        <f ca="1"/>
        <v>#NAME?</v>
      </c>
    </row>
    <row r="1516" spans="3:21" ht="12.5" x14ac:dyDescent="0.25">
      <c r="C1516" s="4">
        <f ca="1">IFERROR(__xludf.DUMMYFUNCTION("""COMPUTED_VALUE"""),41859.9986111111)</f>
        <v>41859.998611111099</v>
      </c>
      <c r="D1516" s="2">
        <f ca="1">IFERROR(__xludf.DUMMYFUNCTION("""COMPUTED_VALUE"""),61.138)</f>
        <v>61.137999999999998</v>
      </c>
      <c r="E1516" s="2">
        <f ca="1">IFERROR(__xludf.DUMMYFUNCTION("""COMPUTED_VALUE"""),78.15)</f>
        <v>78.150000000000006</v>
      </c>
      <c r="F1516" s="2">
        <f ca="1">IFERROR(__xludf.DUMMYFUNCTION("""COMPUTED_VALUE"""),102.65)</f>
        <v>102.65</v>
      </c>
      <c r="G1516" s="2">
        <f ca="1">IFERROR(__xludf.DUMMYFUNCTION("""COMPUTED_VALUE"""),0.54165)</f>
        <v>0.54164999999999996</v>
      </c>
      <c r="H1516" s="2">
        <f ca="1">IFERROR(__xludf.DUMMYFUNCTION("""COMPUTED_VALUE"""),53.58)</f>
        <v>53.58</v>
      </c>
      <c r="I1516" s="2">
        <f ca="1">IFERROR(__xludf.DUMMYFUNCTION("""COMPUTED_VALUE"""),54.813)</f>
        <v>54.813000000000002</v>
      </c>
      <c r="J1516" s="2">
        <f ca="1">IFERROR(__xludf.DUMMYFUNCTION("""COMPUTED_VALUE"""),47.922)</f>
        <v>47.921999999999997</v>
      </c>
      <c r="K1516" s="2">
        <f ca="1">IFERROR(__xludf.DUMMYFUNCTION("""COMPUTED_VALUE"""),66.553)</f>
        <v>66.552999999999997</v>
      </c>
      <c r="M1516" s="2">
        <f ca="1">IFERROR(__xludf.DUMMYFUNCTION("""COMPUTED_VALUE"""),16.321)</f>
        <v>16.321000000000002</v>
      </c>
      <c r="U1516" s="3" t="e">
        <f ca="1"/>
        <v>#NAME?</v>
      </c>
    </row>
    <row r="1517" spans="3:21" ht="12.5" x14ac:dyDescent="0.25">
      <c r="C1517" s="4">
        <f ca="1">IFERROR(__xludf.DUMMYFUNCTION("""COMPUTED_VALUE"""),41860.9986111111)</f>
        <v>41860.998611111099</v>
      </c>
      <c r="D1517" s="2">
        <f ca="1">IFERROR(__xludf.DUMMYFUNCTION("""COMPUTED_VALUE"""),60.981)</f>
        <v>60.981000000000002</v>
      </c>
      <c r="E1517" s="2">
        <f ca="1">IFERROR(__xludf.DUMMYFUNCTION("""COMPUTED_VALUE"""),77.817)</f>
        <v>77.816999999999993</v>
      </c>
      <c r="F1517" s="2">
        <f ca="1">IFERROR(__xludf.DUMMYFUNCTION("""COMPUTED_VALUE"""),102.86)</f>
        <v>102.86</v>
      </c>
      <c r="G1517" s="2">
        <f ca="1">IFERROR(__xludf.DUMMYFUNCTION("""COMPUTED_VALUE"""),0.54165)</f>
        <v>0.54164999999999996</v>
      </c>
      <c r="H1517" s="2">
        <f ca="1">IFERROR(__xludf.DUMMYFUNCTION("""COMPUTED_VALUE"""),53.58)</f>
        <v>53.58</v>
      </c>
      <c r="I1517" s="2">
        <f ca="1">IFERROR(__xludf.DUMMYFUNCTION("""COMPUTED_VALUE"""),54.813)</f>
        <v>54.813000000000002</v>
      </c>
      <c r="J1517" s="2">
        <f ca="1">IFERROR(__xludf.DUMMYFUNCTION("""COMPUTED_VALUE"""),47.978)</f>
        <v>47.978000000000002</v>
      </c>
      <c r="K1517" s="2">
        <f ca="1">IFERROR(__xludf.DUMMYFUNCTION("""COMPUTED_VALUE"""),66.318)</f>
        <v>66.317999999999998</v>
      </c>
      <c r="M1517" s="2">
        <f ca="1">IFERROR(__xludf.DUMMYFUNCTION("""COMPUTED_VALUE"""),16.267)</f>
        <v>16.266999999999999</v>
      </c>
      <c r="U1517" s="3" t="e">
        <f ca="1"/>
        <v>#NAME?</v>
      </c>
    </row>
    <row r="1518" spans="3:21" ht="12.5" x14ac:dyDescent="0.25">
      <c r="C1518" s="4">
        <f ca="1">IFERROR(__xludf.DUMMYFUNCTION("""COMPUTED_VALUE"""),41861.9986111111)</f>
        <v>41861.998611111099</v>
      </c>
      <c r="D1518" s="2">
        <f ca="1">IFERROR(__xludf.DUMMYFUNCTION("""COMPUTED_VALUE"""),61.138)</f>
        <v>61.137999999999998</v>
      </c>
      <c r="E1518" s="2">
        <f ca="1">IFERROR(__xludf.DUMMYFUNCTION("""COMPUTED_VALUE"""),77.898)</f>
        <v>77.897999999999996</v>
      </c>
      <c r="F1518" s="2">
        <f ca="1">IFERROR(__xludf.DUMMYFUNCTION("""COMPUTED_VALUE"""),102.35)</f>
        <v>102.35</v>
      </c>
      <c r="G1518" s="2">
        <f ca="1">IFERROR(__xludf.DUMMYFUNCTION("""COMPUTED_VALUE"""),0.53979)</f>
        <v>0.53978999999999999</v>
      </c>
      <c r="H1518" s="2">
        <f ca="1">IFERROR(__xludf.DUMMYFUNCTION("""COMPUTED_VALUE"""),53.62)</f>
        <v>53.62</v>
      </c>
      <c r="I1518" s="2">
        <f ca="1">IFERROR(__xludf.DUMMYFUNCTION("""COMPUTED_VALUE"""),55.115)</f>
        <v>55.115000000000002</v>
      </c>
      <c r="J1518" s="2">
        <f ca="1">IFERROR(__xludf.DUMMYFUNCTION("""COMPUTED_VALUE"""),47.978)</f>
        <v>47.978000000000002</v>
      </c>
      <c r="K1518" s="2">
        <f ca="1">IFERROR(__xludf.DUMMYFUNCTION("""COMPUTED_VALUE"""),66.373)</f>
        <v>66.373000000000005</v>
      </c>
      <c r="M1518" s="2">
        <f ca="1">IFERROR(__xludf.DUMMYFUNCTION("""COMPUTED_VALUE"""),16.27)</f>
        <v>16.27</v>
      </c>
      <c r="U1518" s="3" t="e">
        <f ca="1"/>
        <v>#NAME?</v>
      </c>
    </row>
    <row r="1519" spans="3:21" ht="12.5" x14ac:dyDescent="0.25">
      <c r="C1519" s="4">
        <f ca="1">IFERROR(__xludf.DUMMYFUNCTION("""COMPUTED_VALUE"""),41862.9986111111)</f>
        <v>41862.998611111099</v>
      </c>
      <c r="D1519" s="2">
        <f ca="1">IFERROR(__xludf.DUMMYFUNCTION("""COMPUTED_VALUE"""),61.12)</f>
        <v>61.12</v>
      </c>
      <c r="E1519" s="2">
        <f ca="1">IFERROR(__xludf.DUMMYFUNCTION("""COMPUTED_VALUE"""),77.149)</f>
        <v>77.149000000000001</v>
      </c>
      <c r="F1519" s="2">
        <f ca="1">IFERROR(__xludf.DUMMYFUNCTION("""COMPUTED_VALUE"""),102.38)</f>
        <v>102.38</v>
      </c>
      <c r="G1519" s="2">
        <f ca="1">IFERROR(__xludf.DUMMYFUNCTION("""COMPUTED_VALUE"""),0.54035)</f>
        <v>0.54035</v>
      </c>
      <c r="H1519" s="2">
        <f ca="1">IFERROR(__xludf.DUMMYFUNCTION("""COMPUTED_VALUE"""),54.125)</f>
        <v>54.125</v>
      </c>
      <c r="I1519" s="2">
        <f ca="1">IFERROR(__xludf.DUMMYFUNCTION("""COMPUTED_VALUE"""),55.254)</f>
        <v>55.253999999999998</v>
      </c>
      <c r="J1519" s="2">
        <f ca="1">IFERROR(__xludf.DUMMYFUNCTION("""COMPUTED_VALUE"""),48.272)</f>
        <v>48.271999999999998</v>
      </c>
      <c r="K1519" s="2">
        <f ca="1">IFERROR(__xludf.DUMMYFUNCTION("""COMPUTED_VALUE"""),66.377)</f>
        <v>66.376999999999995</v>
      </c>
      <c r="M1519" s="2">
        <f ca="1">IFERROR(__xludf.DUMMYFUNCTION("""COMPUTED_VALUE"""),16.387)</f>
        <v>16.387</v>
      </c>
      <c r="U1519" s="3" t="e">
        <f ca="1"/>
        <v>#NAME?</v>
      </c>
    </row>
    <row r="1520" spans="3:21" ht="12.5" x14ac:dyDescent="0.25">
      <c r="C1520" s="4">
        <f ca="1">IFERROR(__xludf.DUMMYFUNCTION("""COMPUTED_VALUE"""),41863.9986111111)</f>
        <v>41863.998611111099</v>
      </c>
      <c r="D1520" s="2">
        <f ca="1">IFERROR(__xludf.DUMMYFUNCTION("""COMPUTED_VALUE"""),61.22)</f>
        <v>61.22</v>
      </c>
      <c r="E1520" s="2">
        <f ca="1">IFERROR(__xludf.DUMMYFUNCTION("""COMPUTED_VALUE"""),77.009)</f>
        <v>77.009</v>
      </c>
      <c r="F1520" s="2">
        <f ca="1">IFERROR(__xludf.DUMMYFUNCTION("""COMPUTED_VALUE"""),102.37)</f>
        <v>102.37</v>
      </c>
      <c r="G1520" s="2">
        <f ca="1">IFERROR(__xludf.DUMMYFUNCTION("""COMPUTED_VALUE"""),0.53534)</f>
        <v>0.53534000000000004</v>
      </c>
      <c r="H1520" s="2">
        <f ca="1">IFERROR(__xludf.DUMMYFUNCTION("""COMPUTED_VALUE"""),53.867)</f>
        <v>53.866999999999997</v>
      </c>
      <c r="I1520" s="2">
        <f ca="1">IFERROR(__xludf.DUMMYFUNCTION("""COMPUTED_VALUE"""),55.228)</f>
        <v>55.228000000000002</v>
      </c>
      <c r="J1520" s="2">
        <f ca="1">IFERROR(__xludf.DUMMYFUNCTION("""COMPUTED_VALUE"""),48.503)</f>
        <v>48.503</v>
      </c>
      <c r="K1520" s="2">
        <f ca="1">IFERROR(__xludf.DUMMYFUNCTION("""COMPUTED_VALUE"""),66.398)</f>
        <v>66.397999999999996</v>
      </c>
      <c r="M1520" s="2">
        <f ca="1">IFERROR(__xludf.DUMMYFUNCTION("""COMPUTED_VALUE"""),16.338)</f>
        <v>16.338000000000001</v>
      </c>
      <c r="U1520" s="3" t="e">
        <f ca="1"/>
        <v>#NAME?</v>
      </c>
    </row>
    <row r="1521" spans="3:21" ht="12.5" x14ac:dyDescent="0.25">
      <c r="C1521" s="4">
        <f ca="1">IFERROR(__xludf.DUMMYFUNCTION("""COMPUTED_VALUE"""),41864.9986111111)</f>
        <v>41864.998611111099</v>
      </c>
      <c r="D1521" s="2">
        <f ca="1">IFERROR(__xludf.DUMMYFUNCTION("""COMPUTED_VALUE"""),61.088)</f>
        <v>61.088000000000001</v>
      </c>
      <c r="E1521" s="2">
        <f ca="1">IFERROR(__xludf.DUMMYFUNCTION("""COMPUTED_VALUE"""),77.818)</f>
        <v>77.817999999999998</v>
      </c>
      <c r="F1521" s="2">
        <f ca="1">IFERROR(__xludf.DUMMYFUNCTION("""COMPUTED_VALUE"""),102.37)</f>
        <v>102.37</v>
      </c>
      <c r="G1521" s="2">
        <f ca="1">IFERROR(__xludf.DUMMYFUNCTION("""COMPUTED_VALUE"""),0.53355)</f>
        <v>0.53354999999999997</v>
      </c>
      <c r="H1521" s="2">
        <f ca="1">IFERROR(__xludf.DUMMYFUNCTION("""COMPUTED_VALUE"""),54.081)</f>
        <v>54.081000000000003</v>
      </c>
      <c r="I1521" s="2">
        <f ca="1">IFERROR(__xludf.DUMMYFUNCTION("""COMPUTED_VALUE"""),55.098)</f>
        <v>55.097999999999999</v>
      </c>
      <c r="J1521" s="2">
        <f ca="1">IFERROR(__xludf.DUMMYFUNCTION("""COMPUTED_VALUE"""),48.463)</f>
        <v>48.463000000000001</v>
      </c>
      <c r="K1521" s="2">
        <f ca="1">IFERROR(__xludf.DUMMYFUNCTION("""COMPUTED_VALUE"""),66.241)</f>
        <v>66.241</v>
      </c>
      <c r="M1521" s="2">
        <f ca="1">IFERROR(__xludf.DUMMYFUNCTION("""COMPUTED_VALUE"""),16.359)</f>
        <v>16.359000000000002</v>
      </c>
      <c r="U1521" s="3" t="e">
        <f ca="1"/>
        <v>#NAME?</v>
      </c>
    </row>
    <row r="1522" spans="3:21" ht="12.5" x14ac:dyDescent="0.25">
      <c r="C1522" s="4">
        <f ca="1">IFERROR(__xludf.DUMMYFUNCTION("""COMPUTED_VALUE"""),41865.9986111111)</f>
        <v>41865.998611111099</v>
      </c>
      <c r="D1522" s="2">
        <f ca="1">IFERROR(__xludf.DUMMYFUNCTION("""COMPUTED_VALUE"""),60.64)</f>
        <v>60.64</v>
      </c>
      <c r="E1522" s="2">
        <f ca="1">IFERROR(__xludf.DUMMYFUNCTION("""COMPUTED_VALUE"""),77.569)</f>
        <v>77.569000000000003</v>
      </c>
      <c r="F1522" s="2">
        <f ca="1">IFERROR(__xludf.DUMMYFUNCTION("""COMPUTED_VALUE"""),102.47)</f>
        <v>102.47</v>
      </c>
      <c r="G1522" s="2">
        <f ca="1">IFERROR(__xludf.DUMMYFUNCTION("""COMPUTED_VALUE"""),0.53702)</f>
        <v>0.53702000000000005</v>
      </c>
      <c r="H1522" s="2">
        <f ca="1">IFERROR(__xludf.DUMMYFUNCTION("""COMPUTED_VALUE"""),53.49)</f>
        <v>53.49</v>
      </c>
      <c r="I1522" s="2">
        <f ca="1">IFERROR(__xludf.DUMMYFUNCTION("""COMPUTED_VALUE"""),54.81)</f>
        <v>54.81</v>
      </c>
      <c r="J1522" s="2">
        <f ca="1">IFERROR(__xludf.DUMMYFUNCTION("""COMPUTED_VALUE"""),48.322)</f>
        <v>48.322000000000003</v>
      </c>
      <c r="K1522" s="2">
        <f ca="1">IFERROR(__xludf.DUMMYFUNCTION("""COMPUTED_VALUE"""),66.033)</f>
        <v>66.033000000000001</v>
      </c>
      <c r="M1522" s="2">
        <f ca="1">IFERROR(__xludf.DUMMYFUNCTION("""COMPUTED_VALUE"""),16.359)</f>
        <v>16.359000000000002</v>
      </c>
      <c r="U1522" s="3" t="e">
        <f ca="1"/>
        <v>#NAME?</v>
      </c>
    </row>
    <row r="1523" spans="3:21" ht="12.5" x14ac:dyDescent="0.25">
      <c r="C1523" s="4">
        <f ca="1">IFERROR(__xludf.DUMMYFUNCTION("""COMPUTED_VALUE"""),41866.9986111111)</f>
        <v>41866.998611111099</v>
      </c>
      <c r="D1523" s="2">
        <f ca="1">IFERROR(__xludf.DUMMYFUNCTION("""COMPUTED_VALUE"""),60.773)</f>
        <v>60.773000000000003</v>
      </c>
      <c r="E1523" s="2">
        <f ca="1">IFERROR(__xludf.DUMMYFUNCTION("""COMPUTED_VALUE"""),78.031)</f>
        <v>78.031000000000006</v>
      </c>
      <c r="F1523" s="2">
        <f ca="1">IFERROR(__xludf.DUMMYFUNCTION("""COMPUTED_VALUE"""),102.63)</f>
        <v>102.63</v>
      </c>
      <c r="G1523" s="2">
        <f ca="1">IFERROR(__xludf.DUMMYFUNCTION("""COMPUTED_VALUE"""),0.53532)</f>
        <v>0.53532000000000002</v>
      </c>
      <c r="H1523" s="2">
        <f ca="1">IFERROR(__xludf.DUMMYFUNCTION("""COMPUTED_VALUE"""),53.391)</f>
        <v>53.390999999999998</v>
      </c>
      <c r="I1523" s="2">
        <f ca="1">IFERROR(__xludf.DUMMYFUNCTION("""COMPUTED_VALUE"""),54.71)</f>
        <v>54.71</v>
      </c>
      <c r="J1523" s="2">
        <f ca="1">IFERROR(__xludf.DUMMYFUNCTION("""COMPUTED_VALUE"""),48.078)</f>
        <v>48.078000000000003</v>
      </c>
      <c r="K1523" s="2">
        <f ca="1">IFERROR(__xludf.DUMMYFUNCTION("""COMPUTED_VALUE"""),66.563)</f>
        <v>66.563000000000002</v>
      </c>
      <c r="M1523" s="2">
        <f ca="1">IFERROR(__xludf.DUMMYFUNCTION("""COMPUTED_VALUE"""),16.368)</f>
        <v>16.367999999999999</v>
      </c>
      <c r="U1523" s="3" t="e">
        <f ca="1"/>
        <v>#NAME?</v>
      </c>
    </row>
    <row r="1524" spans="3:21" ht="12.5" x14ac:dyDescent="0.25">
      <c r="C1524" s="4">
        <f ca="1">IFERROR(__xludf.DUMMYFUNCTION("""COMPUTED_VALUE"""),41867.9986111111)</f>
        <v>41867.998611111099</v>
      </c>
      <c r="D1524" s="2">
        <f ca="1">IFERROR(__xludf.DUMMYFUNCTION("""COMPUTED_VALUE"""),60.96)</f>
        <v>60.96</v>
      </c>
      <c r="E1524" s="2">
        <f ca="1">IFERROR(__xludf.DUMMYFUNCTION("""COMPUTED_VALUE"""),77.365)</f>
        <v>77.364999999999995</v>
      </c>
      <c r="F1524" s="2">
        <f ca="1">IFERROR(__xludf.DUMMYFUNCTION("""COMPUTED_VALUE"""),102.27)</f>
        <v>102.27</v>
      </c>
      <c r="G1524" s="2">
        <f ca="1">IFERROR(__xludf.DUMMYFUNCTION("""COMPUTED_VALUE"""),0.53102)</f>
        <v>0.53102000000000005</v>
      </c>
      <c r="H1524" s="2">
        <f ca="1">IFERROR(__xludf.DUMMYFUNCTION("""COMPUTED_VALUE"""),53.92)</f>
        <v>53.92</v>
      </c>
      <c r="I1524" s="2">
        <f ca="1">IFERROR(__xludf.DUMMYFUNCTION("""COMPUTED_VALUE"""),55.209)</f>
        <v>55.209000000000003</v>
      </c>
      <c r="J1524" s="2">
        <f ca="1">IFERROR(__xludf.DUMMYFUNCTION("""COMPUTED_VALUE"""),48)</f>
        <v>48</v>
      </c>
      <c r="K1524" s="2">
        <f ca="1">IFERROR(__xludf.DUMMYFUNCTION("""COMPUTED_VALUE"""),67.509)</f>
        <v>67.509</v>
      </c>
      <c r="M1524" s="2">
        <f ca="1">IFERROR(__xludf.DUMMYFUNCTION("""COMPUTED_VALUE"""),16.367)</f>
        <v>16.367000000000001</v>
      </c>
      <c r="U1524" s="3" t="e">
        <f ca="1"/>
        <v>#NAME?</v>
      </c>
    </row>
    <row r="1525" spans="3:21" ht="12.5" x14ac:dyDescent="0.25">
      <c r="C1525" s="4">
        <f ca="1">IFERROR(__xludf.DUMMYFUNCTION("""COMPUTED_VALUE"""),41868.9986111111)</f>
        <v>41868.998611111099</v>
      </c>
      <c r="D1525" s="2">
        <f ca="1">IFERROR(__xludf.DUMMYFUNCTION("""COMPUTED_VALUE"""),60.773)</f>
        <v>60.773000000000003</v>
      </c>
      <c r="E1525" s="2">
        <f ca="1">IFERROR(__xludf.DUMMYFUNCTION("""COMPUTED_VALUE"""),76.6422)</f>
        <v>76.642200000000003</v>
      </c>
      <c r="F1525" s="2">
        <f ca="1">IFERROR(__xludf.DUMMYFUNCTION("""COMPUTED_VALUE"""),102.44)</f>
        <v>102.44</v>
      </c>
      <c r="G1525" s="2">
        <f ca="1">IFERROR(__xludf.DUMMYFUNCTION("""COMPUTED_VALUE"""),0.53017)</f>
        <v>0.53017000000000003</v>
      </c>
      <c r="H1525" s="2">
        <f ca="1">IFERROR(__xludf.DUMMYFUNCTION("""COMPUTED_VALUE"""),53.935)</f>
        <v>53.935000000000002</v>
      </c>
      <c r="I1525" s="2">
        <f ca="1">IFERROR(__xludf.DUMMYFUNCTION("""COMPUTED_VALUE"""),54.874)</f>
        <v>54.874000000000002</v>
      </c>
      <c r="J1525" s="2">
        <f ca="1">IFERROR(__xludf.DUMMYFUNCTION("""COMPUTED_VALUE"""),48.186)</f>
        <v>48.186</v>
      </c>
      <c r="K1525" s="2">
        <f ca="1">IFERROR(__xludf.DUMMYFUNCTION("""COMPUTED_VALUE"""),67.589)</f>
        <v>67.588999999999999</v>
      </c>
      <c r="M1525" s="2">
        <f ca="1">IFERROR(__xludf.DUMMYFUNCTION("""COMPUTED_VALUE"""),16.367)</f>
        <v>16.367000000000001</v>
      </c>
      <c r="U1525" s="3" t="e">
        <f ca="1"/>
        <v>#NAME?</v>
      </c>
    </row>
    <row r="1526" spans="3:21" ht="12.5" x14ac:dyDescent="0.25">
      <c r="C1526" s="4">
        <f ca="1">IFERROR(__xludf.DUMMYFUNCTION("""COMPUTED_VALUE"""),41869.9986111111)</f>
        <v>41869.998611111099</v>
      </c>
      <c r="D1526" s="2">
        <f ca="1">IFERROR(__xludf.DUMMYFUNCTION("""COMPUTED_VALUE"""),60.773)</f>
        <v>60.773000000000003</v>
      </c>
      <c r="E1526" s="2">
        <f ca="1">IFERROR(__xludf.DUMMYFUNCTION("""COMPUTED_VALUE"""),77.382)</f>
        <v>77.382000000000005</v>
      </c>
      <c r="F1526" s="2">
        <f ca="1">IFERROR(__xludf.DUMMYFUNCTION("""COMPUTED_VALUE"""),103.01)</f>
        <v>103.01</v>
      </c>
      <c r="G1526" s="2">
        <f ca="1">IFERROR(__xludf.DUMMYFUNCTION("""COMPUTED_VALUE"""),0.53128)</f>
        <v>0.53127999999999997</v>
      </c>
      <c r="H1526" s="2">
        <f ca="1">IFERROR(__xludf.DUMMYFUNCTION("""COMPUTED_VALUE"""),54.156)</f>
        <v>54.155999999999999</v>
      </c>
      <c r="I1526" s="2">
        <f ca="1">IFERROR(__xludf.DUMMYFUNCTION("""COMPUTED_VALUE"""),55.181)</f>
        <v>55.180999999999997</v>
      </c>
      <c r="J1526" s="2">
        <f ca="1">IFERROR(__xludf.DUMMYFUNCTION("""COMPUTED_VALUE"""),48.023)</f>
        <v>48.023000000000003</v>
      </c>
      <c r="K1526" s="2">
        <f ca="1">IFERROR(__xludf.DUMMYFUNCTION("""COMPUTED_VALUE"""),67.593)</f>
        <v>67.593000000000004</v>
      </c>
      <c r="M1526" s="2">
        <f ca="1">IFERROR(__xludf.DUMMYFUNCTION("""COMPUTED_VALUE"""),16.383)</f>
        <v>16.382999999999999</v>
      </c>
      <c r="U1526" s="3" t="e">
        <f ca="1"/>
        <v>#NAME?</v>
      </c>
    </row>
    <row r="1527" spans="3:21" ht="12.5" x14ac:dyDescent="0.25">
      <c r="C1527" s="4">
        <f ca="1">IFERROR(__xludf.DUMMYFUNCTION("""COMPUTED_VALUE"""),41870.9986111111)</f>
        <v>41870.998611111099</v>
      </c>
      <c r="D1527" s="2">
        <f ca="1">IFERROR(__xludf.DUMMYFUNCTION("""COMPUTED_VALUE"""),60.668)</f>
        <v>60.667999999999999</v>
      </c>
      <c r="E1527" s="2">
        <f ca="1">IFERROR(__xludf.DUMMYFUNCTION("""COMPUTED_VALUE"""),77.382)</f>
        <v>77.382000000000005</v>
      </c>
      <c r="F1527" s="2">
        <f ca="1">IFERROR(__xludf.DUMMYFUNCTION("""COMPUTED_VALUE"""),102.71)</f>
        <v>102.71</v>
      </c>
      <c r="G1527" s="2">
        <f ca="1">IFERROR(__xludf.DUMMYFUNCTION("""COMPUTED_VALUE"""),0.52071)</f>
        <v>0.52071000000000001</v>
      </c>
      <c r="H1527" s="2">
        <f ca="1">IFERROR(__xludf.DUMMYFUNCTION("""COMPUTED_VALUE"""),53.451)</f>
        <v>53.451000000000001</v>
      </c>
      <c r="I1527" s="2">
        <f ca="1">IFERROR(__xludf.DUMMYFUNCTION("""COMPUTED_VALUE"""),54.526)</f>
        <v>54.526000000000003</v>
      </c>
      <c r="J1527" s="2">
        <f ca="1">IFERROR(__xludf.DUMMYFUNCTION("""COMPUTED_VALUE"""),48.13)</f>
        <v>48.13</v>
      </c>
      <c r="K1527" s="2">
        <f ca="1">IFERROR(__xludf.DUMMYFUNCTION("""COMPUTED_VALUE"""),67.146)</f>
        <v>67.146000000000001</v>
      </c>
      <c r="M1527" s="2">
        <f ca="1">IFERROR(__xludf.DUMMYFUNCTION("""COMPUTED_VALUE"""),16.411)</f>
        <v>16.411000000000001</v>
      </c>
      <c r="U1527" s="3" t="e">
        <f ca="1"/>
        <v>#NAME?</v>
      </c>
    </row>
    <row r="1528" spans="3:21" ht="12.5" x14ac:dyDescent="0.25">
      <c r="C1528" s="4">
        <f ca="1">IFERROR(__xludf.DUMMYFUNCTION("""COMPUTED_VALUE"""),41871.9986111111)</f>
        <v>41871.998611111099</v>
      </c>
      <c r="D1528" s="2">
        <f ca="1">IFERROR(__xludf.DUMMYFUNCTION("""COMPUTED_VALUE"""),60.6)</f>
        <v>60.6</v>
      </c>
      <c r="E1528" s="2">
        <f ca="1">IFERROR(__xludf.DUMMYFUNCTION("""COMPUTED_VALUE"""),77.619)</f>
        <v>77.619</v>
      </c>
      <c r="F1528" s="2">
        <f ca="1">IFERROR(__xludf.DUMMYFUNCTION("""COMPUTED_VALUE"""),102.84)</f>
        <v>102.84</v>
      </c>
      <c r="G1528" s="2">
        <f ca="1">IFERROR(__xludf.DUMMYFUNCTION("""COMPUTED_VALUE"""),0.52083)</f>
        <v>0.52083000000000002</v>
      </c>
      <c r="H1528" s="2">
        <f ca="1">IFERROR(__xludf.DUMMYFUNCTION("""COMPUTED_VALUE"""),52.704)</f>
        <v>52.704000000000001</v>
      </c>
      <c r="I1528" s="2">
        <f ca="1">IFERROR(__xludf.DUMMYFUNCTION("""COMPUTED_VALUE"""),54.195)</f>
        <v>54.195</v>
      </c>
      <c r="J1528" s="2">
        <f ca="1">IFERROR(__xludf.DUMMYFUNCTION("""COMPUTED_VALUE"""),47.966)</f>
        <v>47.966000000000001</v>
      </c>
      <c r="K1528" s="2">
        <f ca="1">IFERROR(__xludf.DUMMYFUNCTION("""COMPUTED_VALUE"""),66.834)</f>
        <v>66.834000000000003</v>
      </c>
      <c r="M1528" s="2">
        <f ca="1">IFERROR(__xludf.DUMMYFUNCTION("""COMPUTED_VALUE"""),16.411)</f>
        <v>16.411000000000001</v>
      </c>
      <c r="U1528" s="3" t="e">
        <f ca="1"/>
        <v>#NAME?</v>
      </c>
    </row>
    <row r="1529" spans="3:21" ht="12.5" x14ac:dyDescent="0.25">
      <c r="C1529" s="4">
        <f ca="1">IFERROR(__xludf.DUMMYFUNCTION("""COMPUTED_VALUE"""),41872.9986111111)</f>
        <v>41872.998611111099</v>
      </c>
      <c r="D1529" s="2">
        <f ca="1">IFERROR(__xludf.DUMMYFUNCTION("""COMPUTED_VALUE"""),60.668)</f>
        <v>60.667999999999999</v>
      </c>
      <c r="E1529" s="2">
        <f ca="1">IFERROR(__xludf.DUMMYFUNCTION("""COMPUTED_VALUE"""),77.548)</f>
        <v>77.548000000000002</v>
      </c>
      <c r="F1529" s="2">
        <f ca="1">IFERROR(__xludf.DUMMYFUNCTION("""COMPUTED_VALUE"""),102.84)</f>
        <v>102.84</v>
      </c>
      <c r="G1529" s="2">
        <f ca="1">IFERROR(__xludf.DUMMYFUNCTION("""COMPUTED_VALUE"""),0.53062)</f>
        <v>0.53061999999999998</v>
      </c>
      <c r="H1529" s="2">
        <f ca="1">IFERROR(__xludf.DUMMYFUNCTION("""COMPUTED_VALUE"""),53.213)</f>
        <v>53.213000000000001</v>
      </c>
      <c r="I1529" s="2">
        <f ca="1">IFERROR(__xludf.DUMMYFUNCTION("""COMPUTED_VALUE"""),54.725)</f>
        <v>54.725000000000001</v>
      </c>
      <c r="J1529" s="2">
        <f ca="1">IFERROR(__xludf.DUMMYFUNCTION("""COMPUTED_VALUE"""),47.579)</f>
        <v>47.579000000000001</v>
      </c>
      <c r="K1529" s="2">
        <f ca="1">IFERROR(__xludf.DUMMYFUNCTION("""COMPUTED_VALUE"""),67.693)</f>
        <v>67.692999999999998</v>
      </c>
      <c r="M1529" s="2">
        <f ca="1">IFERROR(__xludf.DUMMYFUNCTION("""COMPUTED_VALUE"""),16.411)</f>
        <v>16.411000000000001</v>
      </c>
      <c r="U1529" s="3" t="e">
        <f ca="1"/>
        <v>#NAME?</v>
      </c>
    </row>
    <row r="1530" spans="3:21" ht="12.5" x14ac:dyDescent="0.25">
      <c r="C1530" s="4">
        <f ca="1">IFERROR(__xludf.DUMMYFUNCTION("""COMPUTED_VALUE"""),41873.9986111111)</f>
        <v>41873.998611111099</v>
      </c>
      <c r="D1530" s="2">
        <f ca="1">IFERROR(__xludf.DUMMYFUNCTION("""COMPUTED_VALUE"""),60.463)</f>
        <v>60.463000000000001</v>
      </c>
      <c r="E1530" s="2">
        <f ca="1">IFERROR(__xludf.DUMMYFUNCTION("""COMPUTED_VALUE"""),78.609)</f>
        <v>78.608999999999995</v>
      </c>
      <c r="F1530" s="2">
        <f ca="1">IFERROR(__xludf.DUMMYFUNCTION("""COMPUTED_VALUE"""),102.64)</f>
        <v>102.64</v>
      </c>
      <c r="G1530" s="2">
        <f ca="1">IFERROR(__xludf.DUMMYFUNCTION("""COMPUTED_VALUE"""),0.52929)</f>
        <v>0.52929000000000004</v>
      </c>
      <c r="H1530" s="2">
        <f ca="1">IFERROR(__xludf.DUMMYFUNCTION("""COMPUTED_VALUE"""),53.213)</f>
        <v>53.213000000000001</v>
      </c>
      <c r="I1530" s="2">
        <f ca="1">IFERROR(__xludf.DUMMYFUNCTION("""COMPUTED_VALUE"""),54.725)</f>
        <v>54.725000000000001</v>
      </c>
      <c r="J1530" s="2">
        <f ca="1">IFERROR(__xludf.DUMMYFUNCTION("""COMPUTED_VALUE"""),48.027)</f>
        <v>48.027000000000001</v>
      </c>
      <c r="K1530" s="2">
        <f ca="1">IFERROR(__xludf.DUMMYFUNCTION("""COMPUTED_VALUE"""),67.299)</f>
        <v>67.299000000000007</v>
      </c>
      <c r="M1530" s="2">
        <f ca="1">IFERROR(__xludf.DUMMYFUNCTION("""COMPUTED_VALUE"""),16.4)</f>
        <v>16.399999999999999</v>
      </c>
      <c r="U1530" s="3" t="e">
        <f ca="1"/>
        <v>#NAME?</v>
      </c>
    </row>
    <row r="1531" spans="3:21" ht="12.5" x14ac:dyDescent="0.25">
      <c r="C1531" s="4">
        <f ca="1">IFERROR(__xludf.DUMMYFUNCTION("""COMPUTED_VALUE"""),41874.9986111111)</f>
        <v>41874.998611111099</v>
      </c>
      <c r="D1531" s="2">
        <f ca="1">IFERROR(__xludf.DUMMYFUNCTION("""COMPUTED_VALUE"""),60.463)</f>
        <v>60.463000000000001</v>
      </c>
      <c r="E1531" s="2">
        <f ca="1">IFERROR(__xludf.DUMMYFUNCTION("""COMPUTED_VALUE"""),79.106)</f>
        <v>79.105999999999995</v>
      </c>
      <c r="F1531" s="2">
        <f ca="1">IFERROR(__xludf.DUMMYFUNCTION("""COMPUTED_VALUE"""),102.97)</f>
        <v>102.97</v>
      </c>
      <c r="G1531" s="2">
        <f ca="1">IFERROR(__xludf.DUMMYFUNCTION("""COMPUTED_VALUE"""),0.5276)</f>
        <v>0.52759999999999996</v>
      </c>
      <c r="H1531" s="2">
        <f ca="1">IFERROR(__xludf.DUMMYFUNCTION("""COMPUTED_VALUE"""),53.372)</f>
        <v>53.372</v>
      </c>
      <c r="I1531" s="2">
        <f ca="1">IFERROR(__xludf.DUMMYFUNCTION("""COMPUTED_VALUE"""),54.45)</f>
        <v>54.45</v>
      </c>
      <c r="J1531" s="2">
        <f ca="1">IFERROR(__xludf.DUMMYFUNCTION("""COMPUTED_VALUE"""),48.027)</f>
        <v>48.027000000000001</v>
      </c>
      <c r="K1531" s="2">
        <f ca="1">IFERROR(__xludf.DUMMYFUNCTION("""COMPUTED_VALUE"""),67.454)</f>
        <v>67.453999999999994</v>
      </c>
      <c r="M1531" s="2">
        <f ca="1">IFERROR(__xludf.DUMMYFUNCTION("""COMPUTED_VALUE"""),16.362)</f>
        <v>16.361999999999998</v>
      </c>
      <c r="U1531" s="3" t="e">
        <f ca="1"/>
        <v>#NAME?</v>
      </c>
    </row>
    <row r="1532" spans="3:21" ht="12.5" x14ac:dyDescent="0.25">
      <c r="C1532" s="4">
        <f ca="1">IFERROR(__xludf.DUMMYFUNCTION("""COMPUTED_VALUE"""),41875.9986111111)</f>
        <v>41875.998611111099</v>
      </c>
      <c r="D1532" s="2">
        <f ca="1">IFERROR(__xludf.DUMMYFUNCTION("""COMPUTED_VALUE"""),60.463)</f>
        <v>60.463000000000001</v>
      </c>
      <c r="E1532" s="2">
        <f ca="1">IFERROR(__xludf.DUMMYFUNCTION("""COMPUTED_VALUE"""),78.219)</f>
        <v>78.218999999999994</v>
      </c>
      <c r="F1532" s="2">
        <f ca="1">IFERROR(__xludf.DUMMYFUNCTION("""COMPUTED_VALUE"""),102.95)</f>
        <v>102.95</v>
      </c>
      <c r="G1532" s="2">
        <f ca="1">IFERROR(__xludf.DUMMYFUNCTION("""COMPUTED_VALUE"""),0.52345)</f>
        <v>0.52344999999999997</v>
      </c>
      <c r="H1532" s="2">
        <f ca="1">IFERROR(__xludf.DUMMYFUNCTION("""COMPUTED_VALUE"""),53.419)</f>
        <v>53.418999999999997</v>
      </c>
      <c r="I1532" s="2">
        <f ca="1">IFERROR(__xludf.DUMMYFUNCTION("""COMPUTED_VALUE"""),54.26)</f>
        <v>54.26</v>
      </c>
      <c r="J1532" s="2">
        <f ca="1">IFERROR(__xludf.DUMMYFUNCTION("""COMPUTED_VALUE"""),47.947)</f>
        <v>47.947000000000003</v>
      </c>
      <c r="K1532" s="2">
        <f ca="1">IFERROR(__xludf.DUMMYFUNCTION("""COMPUTED_VALUE"""),67.521)</f>
        <v>67.521000000000001</v>
      </c>
      <c r="M1532" s="2">
        <f ca="1">IFERROR(__xludf.DUMMYFUNCTION("""COMPUTED_VALUE"""),16.339)</f>
        <v>16.338999999999999</v>
      </c>
      <c r="U1532" s="3" t="e">
        <f ca="1"/>
        <v>#NAME?</v>
      </c>
    </row>
    <row r="1533" spans="3:21" ht="12.5" x14ac:dyDescent="0.25">
      <c r="C1533" s="4">
        <f ca="1">IFERROR(__xludf.DUMMYFUNCTION("""COMPUTED_VALUE"""),41876.9986111111)</f>
        <v>41876.998611111099</v>
      </c>
      <c r="D1533" s="2">
        <f ca="1">IFERROR(__xludf.DUMMYFUNCTION("""COMPUTED_VALUE"""),60.563)</f>
        <v>60.563000000000002</v>
      </c>
      <c r="E1533" s="2">
        <f ca="1">IFERROR(__xludf.DUMMYFUNCTION("""COMPUTED_VALUE"""),78.284)</f>
        <v>78.284000000000006</v>
      </c>
      <c r="F1533" s="2">
        <f ca="1">IFERROR(__xludf.DUMMYFUNCTION("""COMPUTED_VALUE"""),102.74)</f>
        <v>102.74</v>
      </c>
      <c r="G1533" s="2">
        <f ca="1">IFERROR(__xludf.DUMMYFUNCTION("""COMPUTED_VALUE"""),0.5231)</f>
        <v>0.52310000000000001</v>
      </c>
      <c r="H1533" s="2">
        <f ca="1">IFERROR(__xludf.DUMMYFUNCTION("""COMPUTED_VALUE"""),53.957)</f>
        <v>53.957000000000001</v>
      </c>
      <c r="I1533" s="2">
        <f ca="1">IFERROR(__xludf.DUMMYFUNCTION("""COMPUTED_VALUE"""),54.416)</f>
        <v>54.415999999999997</v>
      </c>
      <c r="J1533" s="2">
        <f ca="1">IFERROR(__xludf.DUMMYFUNCTION("""COMPUTED_VALUE"""),48.093)</f>
        <v>48.093000000000004</v>
      </c>
      <c r="K1533" s="2">
        <f ca="1">IFERROR(__xludf.DUMMYFUNCTION("""COMPUTED_VALUE"""),67.408)</f>
        <v>67.408000000000001</v>
      </c>
      <c r="M1533" s="2">
        <f ca="1">IFERROR(__xludf.DUMMYFUNCTION("""COMPUTED_VALUE"""),16.367)</f>
        <v>16.367000000000001</v>
      </c>
      <c r="U1533" s="3" t="e">
        <f ca="1"/>
        <v>#NAME?</v>
      </c>
    </row>
    <row r="1534" spans="3:21" ht="12.5" x14ac:dyDescent="0.25">
      <c r="C1534" s="4">
        <f ca="1">IFERROR(__xludf.DUMMYFUNCTION("""COMPUTED_VALUE"""),41877.9986111111)</f>
        <v>41877.998611111099</v>
      </c>
      <c r="D1534" s="2">
        <f ca="1">IFERROR(__xludf.DUMMYFUNCTION("""COMPUTED_VALUE"""),60.46)</f>
        <v>60.46</v>
      </c>
      <c r="E1534" s="2">
        <f ca="1">IFERROR(__xludf.DUMMYFUNCTION("""COMPUTED_VALUE"""),78.219)</f>
        <v>78.218999999999994</v>
      </c>
      <c r="F1534" s="2">
        <f ca="1">IFERROR(__xludf.DUMMYFUNCTION("""COMPUTED_VALUE"""),102.88)</f>
        <v>102.88</v>
      </c>
      <c r="G1534" s="2">
        <f ca="1">IFERROR(__xludf.DUMMYFUNCTION("""COMPUTED_VALUE"""),0.52412)</f>
        <v>0.52412000000000003</v>
      </c>
      <c r="H1534" s="2">
        <f ca="1">IFERROR(__xludf.DUMMYFUNCTION("""COMPUTED_VALUE"""),54.086)</f>
        <v>54.085999999999999</v>
      </c>
      <c r="I1534" s="2">
        <f ca="1">IFERROR(__xludf.DUMMYFUNCTION("""COMPUTED_VALUE"""),54.863)</f>
        <v>54.863</v>
      </c>
      <c r="J1534" s="2">
        <f ca="1">IFERROR(__xludf.DUMMYFUNCTION("""COMPUTED_VALUE"""),48.176)</f>
        <v>48.176000000000002</v>
      </c>
      <c r="K1534" s="2">
        <f ca="1">IFERROR(__xludf.DUMMYFUNCTION("""COMPUTED_VALUE"""),67.245)</f>
        <v>67.245000000000005</v>
      </c>
      <c r="M1534" s="2">
        <f ca="1">IFERROR(__xludf.DUMMYFUNCTION("""COMPUTED_VALUE"""),16.349)</f>
        <v>16.349</v>
      </c>
      <c r="U1534" s="3" t="e">
        <f ca="1"/>
        <v>#NAME?</v>
      </c>
    </row>
    <row r="1535" spans="3:21" ht="12.5" x14ac:dyDescent="0.25">
      <c r="C1535" s="4">
        <f ca="1">IFERROR(__xludf.DUMMYFUNCTION("""COMPUTED_VALUE"""),41878.9986111111)</f>
        <v>41878.998611111099</v>
      </c>
      <c r="D1535" s="2">
        <f ca="1">IFERROR(__xludf.DUMMYFUNCTION("""COMPUTED_VALUE"""),60.448)</f>
        <v>60.448</v>
      </c>
      <c r="E1535" s="2">
        <f ca="1">IFERROR(__xludf.DUMMYFUNCTION("""COMPUTED_VALUE"""),78.276)</f>
        <v>78.275999999999996</v>
      </c>
      <c r="F1535" s="2">
        <f ca="1">IFERROR(__xludf.DUMMYFUNCTION("""COMPUTED_VALUE"""),102.99)</f>
        <v>102.99</v>
      </c>
      <c r="G1535" s="2">
        <f ca="1">IFERROR(__xludf.DUMMYFUNCTION("""COMPUTED_VALUE"""),0.52412)</f>
        <v>0.52412000000000003</v>
      </c>
      <c r="H1535" s="2">
        <f ca="1">IFERROR(__xludf.DUMMYFUNCTION("""COMPUTED_VALUE"""),53.591)</f>
        <v>53.591000000000001</v>
      </c>
      <c r="I1535" s="2">
        <f ca="1">IFERROR(__xludf.DUMMYFUNCTION("""COMPUTED_VALUE"""),54.351)</f>
        <v>54.350999999999999</v>
      </c>
      <c r="J1535" s="2">
        <f ca="1">IFERROR(__xludf.DUMMYFUNCTION("""COMPUTED_VALUE"""),48.464)</f>
        <v>48.463999999999999</v>
      </c>
      <c r="K1535" s="2">
        <f ca="1">IFERROR(__xludf.DUMMYFUNCTION("""COMPUTED_VALUE"""),67.268)</f>
        <v>67.268000000000001</v>
      </c>
      <c r="M1535" s="2">
        <f ca="1">IFERROR(__xludf.DUMMYFUNCTION("""COMPUTED_VALUE"""),16.349)</f>
        <v>16.349</v>
      </c>
      <c r="U1535" s="3" t="e">
        <f ca="1"/>
        <v>#NAME?</v>
      </c>
    </row>
    <row r="1536" spans="3:21" ht="12.5" x14ac:dyDescent="0.25">
      <c r="C1536" s="4">
        <f ca="1">IFERROR(__xludf.DUMMYFUNCTION("""COMPUTED_VALUE"""),41879.9986111111)</f>
        <v>41879.998611111099</v>
      </c>
      <c r="D1536" s="2">
        <f ca="1">IFERROR(__xludf.DUMMYFUNCTION("""COMPUTED_VALUE"""),60.61)</f>
        <v>60.61</v>
      </c>
      <c r="E1536" s="2">
        <f ca="1">IFERROR(__xludf.DUMMYFUNCTION("""COMPUTED_VALUE"""),77.651)</f>
        <v>77.650999999999996</v>
      </c>
      <c r="F1536" s="2">
        <f ca="1">IFERROR(__xludf.DUMMYFUNCTION("""COMPUTED_VALUE"""),103.01)</f>
        <v>103.01</v>
      </c>
      <c r="G1536" s="2">
        <f ca="1">IFERROR(__xludf.DUMMYFUNCTION("""COMPUTED_VALUE"""),0.52123)</f>
        <v>0.52122999999999997</v>
      </c>
      <c r="H1536" s="2">
        <f ca="1">IFERROR(__xludf.DUMMYFUNCTION("""COMPUTED_VALUE"""),53.658)</f>
        <v>53.658000000000001</v>
      </c>
      <c r="I1536" s="2">
        <f ca="1">IFERROR(__xludf.DUMMYFUNCTION("""COMPUTED_VALUE"""),54.397)</f>
        <v>54.396999999999998</v>
      </c>
      <c r="J1536" s="2">
        <f ca="1">IFERROR(__xludf.DUMMYFUNCTION("""COMPUTED_VALUE"""),48.074)</f>
        <v>48.073999999999998</v>
      </c>
      <c r="K1536" s="2">
        <f ca="1">IFERROR(__xludf.DUMMYFUNCTION("""COMPUTED_VALUE"""),66.948)</f>
        <v>66.947999999999993</v>
      </c>
      <c r="M1536" s="2">
        <f ca="1">IFERROR(__xludf.DUMMYFUNCTION("""COMPUTED_VALUE"""),16.349)</f>
        <v>16.349</v>
      </c>
      <c r="U1536" s="3" t="e">
        <f ca="1"/>
        <v>#NAME?</v>
      </c>
    </row>
    <row r="1537" spans="3:21" ht="12.5" x14ac:dyDescent="0.25">
      <c r="C1537" s="4">
        <f ca="1">IFERROR(__xludf.DUMMYFUNCTION("""COMPUTED_VALUE"""),41880.9986111111)</f>
        <v>41880.998611111099</v>
      </c>
      <c r="D1537" s="2">
        <f ca="1">IFERROR(__xludf.DUMMYFUNCTION("""COMPUTED_VALUE"""),60.513)</f>
        <v>60.512999999999998</v>
      </c>
      <c r="E1537" s="2">
        <f ca="1">IFERROR(__xludf.DUMMYFUNCTION("""COMPUTED_VALUE"""),77.329)</f>
        <v>77.328999999999994</v>
      </c>
      <c r="F1537" s="2">
        <f ca="1">IFERROR(__xludf.DUMMYFUNCTION("""COMPUTED_VALUE"""),102.76)</f>
        <v>102.76</v>
      </c>
      <c r="G1537" s="2">
        <f ca="1">IFERROR(__xludf.DUMMYFUNCTION("""COMPUTED_VALUE"""),0.52436)</f>
        <v>0.52436000000000005</v>
      </c>
      <c r="H1537" s="2">
        <f ca="1">IFERROR(__xludf.DUMMYFUNCTION("""COMPUTED_VALUE"""),53.658)</f>
        <v>53.658000000000001</v>
      </c>
      <c r="I1537" s="2">
        <f ca="1">IFERROR(__xludf.DUMMYFUNCTION("""COMPUTED_VALUE"""),54.354)</f>
        <v>54.353999999999999</v>
      </c>
      <c r="J1537" s="2">
        <f ca="1">IFERROR(__xludf.DUMMYFUNCTION("""COMPUTED_VALUE"""),48.135)</f>
        <v>48.134999999999998</v>
      </c>
      <c r="K1537" s="2">
        <f ca="1">IFERROR(__xludf.DUMMYFUNCTION("""COMPUTED_VALUE"""),67.281)</f>
        <v>67.281000000000006</v>
      </c>
      <c r="M1537" s="2">
        <f ca="1">IFERROR(__xludf.DUMMYFUNCTION("""COMPUTED_VALUE"""),16.349)</f>
        <v>16.349</v>
      </c>
      <c r="U1537" s="3" t="e">
        <f ca="1"/>
        <v>#NAME?</v>
      </c>
    </row>
    <row r="1538" spans="3:21" ht="12.5" x14ac:dyDescent="0.25">
      <c r="C1538" s="4">
        <f ca="1">IFERROR(__xludf.DUMMYFUNCTION("""COMPUTED_VALUE"""),41881.9986111111)</f>
        <v>41881.998611111099</v>
      </c>
      <c r="D1538" s="2">
        <f ca="1">IFERROR(__xludf.DUMMYFUNCTION("""COMPUTED_VALUE"""),60.5)</f>
        <v>60.5</v>
      </c>
      <c r="E1538" s="2">
        <f ca="1">IFERROR(__xludf.DUMMYFUNCTION("""COMPUTED_VALUE"""),77.318)</f>
        <v>77.317999999999998</v>
      </c>
      <c r="F1538" s="2">
        <f ca="1">IFERROR(__xludf.DUMMYFUNCTION("""COMPUTED_VALUE"""),102.49)</f>
        <v>102.49</v>
      </c>
      <c r="G1538" s="2">
        <f ca="1">IFERROR(__xludf.DUMMYFUNCTION("""COMPUTED_VALUE"""),0.52473)</f>
        <v>0.52473000000000003</v>
      </c>
      <c r="H1538" s="2">
        <f ca="1">IFERROR(__xludf.DUMMYFUNCTION("""COMPUTED_VALUE"""),53.784)</f>
        <v>53.783999999999999</v>
      </c>
      <c r="I1538" s="2">
        <f ca="1">IFERROR(__xludf.DUMMYFUNCTION("""COMPUTED_VALUE"""),54.193)</f>
        <v>54.192999999999998</v>
      </c>
      <c r="J1538" s="2">
        <f ca="1">IFERROR(__xludf.DUMMYFUNCTION("""COMPUTED_VALUE"""),48.135)</f>
        <v>48.134999999999998</v>
      </c>
      <c r="K1538" s="2">
        <f ca="1">IFERROR(__xludf.DUMMYFUNCTION("""COMPUTED_VALUE"""),67.333)</f>
        <v>67.332999999999998</v>
      </c>
      <c r="M1538" s="2">
        <f ca="1">IFERROR(__xludf.DUMMYFUNCTION("""COMPUTED_VALUE"""),16.368)</f>
        <v>16.367999999999999</v>
      </c>
      <c r="U1538" s="3" t="e">
        <f ca="1"/>
        <v>#NAME?</v>
      </c>
    </row>
    <row r="1539" spans="3:21" ht="12.5" x14ac:dyDescent="0.25">
      <c r="C1539" s="4">
        <f ca="1">IFERROR(__xludf.DUMMYFUNCTION("""COMPUTED_VALUE"""),41882.9986111111)</f>
        <v>41882.998611111099</v>
      </c>
      <c r="D1539" s="2">
        <f ca="1">IFERROR(__xludf.DUMMYFUNCTION("""COMPUTED_VALUE"""),60.513)</f>
        <v>60.512999999999998</v>
      </c>
      <c r="E1539" s="2">
        <f ca="1">IFERROR(__xludf.DUMMYFUNCTION("""COMPUTED_VALUE"""),77.422)</f>
        <v>77.421999999999997</v>
      </c>
      <c r="F1539" s="2">
        <f ca="1">IFERROR(__xludf.DUMMYFUNCTION("""COMPUTED_VALUE"""),102.15)</f>
        <v>102.15</v>
      </c>
      <c r="G1539" s="2">
        <f ca="1">IFERROR(__xludf.DUMMYFUNCTION("""COMPUTED_VALUE"""),0.52428)</f>
        <v>0.52427999999999997</v>
      </c>
      <c r="H1539" s="2">
        <f ca="1">IFERROR(__xludf.DUMMYFUNCTION("""COMPUTED_VALUE"""),53.561)</f>
        <v>53.561</v>
      </c>
      <c r="I1539" s="2">
        <f ca="1">IFERROR(__xludf.DUMMYFUNCTION("""COMPUTED_VALUE"""),54.408)</f>
        <v>54.408000000000001</v>
      </c>
      <c r="J1539" s="2">
        <f ca="1">IFERROR(__xludf.DUMMYFUNCTION("""COMPUTED_VALUE"""),48.184)</f>
        <v>48.183999999999997</v>
      </c>
      <c r="K1539" s="2">
        <f ca="1">IFERROR(__xludf.DUMMYFUNCTION("""COMPUTED_VALUE"""),66.983)</f>
        <v>66.983000000000004</v>
      </c>
      <c r="M1539" s="2">
        <f ca="1">IFERROR(__xludf.DUMMYFUNCTION("""COMPUTED_VALUE"""),16.403)</f>
        <v>16.402999999999999</v>
      </c>
      <c r="U1539" s="3" t="e">
        <f ca="1"/>
        <v>#NAME?</v>
      </c>
    </row>
    <row r="1540" spans="3:21" ht="12.5" x14ac:dyDescent="0.25">
      <c r="C1540" s="4">
        <f ca="1">IFERROR(__xludf.DUMMYFUNCTION("""COMPUTED_VALUE"""),41883.9986111111)</f>
        <v>41883.998611111099</v>
      </c>
      <c r="D1540" s="2">
        <f ca="1">IFERROR(__xludf.DUMMYFUNCTION("""COMPUTED_VALUE"""),60.523)</f>
        <v>60.523000000000003</v>
      </c>
      <c r="E1540" s="2">
        <f ca="1">IFERROR(__xludf.DUMMYFUNCTION("""COMPUTED_VALUE"""),77.497)</f>
        <v>77.497</v>
      </c>
      <c r="F1540" s="2">
        <f ca="1">IFERROR(__xludf.DUMMYFUNCTION("""COMPUTED_VALUE"""),102.03)</f>
        <v>102.03</v>
      </c>
      <c r="G1540" s="2">
        <f ca="1">IFERROR(__xludf.DUMMYFUNCTION("""COMPUTED_VALUE"""),0.52428)</f>
        <v>0.52427999999999997</v>
      </c>
      <c r="H1540" s="2">
        <f ca="1">IFERROR(__xludf.DUMMYFUNCTION("""COMPUTED_VALUE"""),53.629)</f>
        <v>53.628999999999998</v>
      </c>
      <c r="I1540" s="2">
        <f ca="1">IFERROR(__xludf.DUMMYFUNCTION("""COMPUTED_VALUE"""),54.401)</f>
        <v>54.401000000000003</v>
      </c>
      <c r="J1540" s="2">
        <f ca="1">IFERROR(__xludf.DUMMYFUNCTION("""COMPUTED_VALUE"""),48.057)</f>
        <v>48.057000000000002</v>
      </c>
      <c r="K1540" s="2">
        <f ca="1">IFERROR(__xludf.DUMMYFUNCTION("""COMPUTED_VALUE"""),66.667)</f>
        <v>66.667000000000002</v>
      </c>
      <c r="M1540" s="2">
        <f ca="1">IFERROR(__xludf.DUMMYFUNCTION("""COMPUTED_VALUE"""),16.484)</f>
        <v>16.484000000000002</v>
      </c>
      <c r="U1540" s="3" t="e">
        <f ca="1"/>
        <v>#NAME?</v>
      </c>
    </row>
    <row r="1541" spans="3:21" ht="12.5" x14ac:dyDescent="0.25">
      <c r="C1541" s="4">
        <f ca="1">IFERROR(__xludf.DUMMYFUNCTION("""COMPUTED_VALUE"""),41884.9986111111)</f>
        <v>41884.998611111099</v>
      </c>
      <c r="D1541" s="2">
        <f ca="1">IFERROR(__xludf.DUMMYFUNCTION("""COMPUTED_VALUE"""),60.678)</f>
        <v>60.677999999999997</v>
      </c>
      <c r="E1541" s="2">
        <f ca="1">IFERROR(__xludf.DUMMYFUNCTION("""COMPUTED_VALUE"""),77.777)</f>
        <v>77.777000000000001</v>
      </c>
      <c r="F1541" s="2">
        <f ca="1">IFERROR(__xludf.DUMMYFUNCTION("""COMPUTED_VALUE"""),101.87)</f>
        <v>101.87</v>
      </c>
      <c r="G1541" s="2">
        <f ca="1">IFERROR(__xludf.DUMMYFUNCTION("""COMPUTED_VALUE"""),0.52311)</f>
        <v>0.52310999999999996</v>
      </c>
      <c r="H1541" s="2">
        <f ca="1">IFERROR(__xludf.DUMMYFUNCTION("""COMPUTED_VALUE"""),53.54)</f>
        <v>53.54</v>
      </c>
      <c r="I1541" s="2">
        <f ca="1">IFERROR(__xludf.DUMMYFUNCTION("""COMPUTED_VALUE"""),54.434)</f>
        <v>54.433999999999997</v>
      </c>
      <c r="J1541" s="2">
        <f ca="1">IFERROR(__xludf.DUMMYFUNCTION("""COMPUTED_VALUE"""),48.028)</f>
        <v>48.027999999999999</v>
      </c>
      <c r="K1541" s="2">
        <f ca="1">IFERROR(__xludf.DUMMYFUNCTION("""COMPUTED_VALUE"""),66.339)</f>
        <v>66.338999999999999</v>
      </c>
      <c r="M1541" s="2">
        <f ca="1">IFERROR(__xludf.DUMMYFUNCTION("""COMPUTED_VALUE"""),16.664)</f>
        <v>16.664000000000001</v>
      </c>
      <c r="U1541" s="3" t="e">
        <f ca="1"/>
        <v>#NAME?</v>
      </c>
    </row>
    <row r="1542" spans="3:21" ht="12.5" x14ac:dyDescent="0.25">
      <c r="C1542" s="4">
        <f ca="1">IFERROR(__xludf.DUMMYFUNCTION("""COMPUTED_VALUE"""),41885.9986111111)</f>
        <v>41885.998611111099</v>
      </c>
      <c r="D1542" s="2">
        <f ca="1">IFERROR(__xludf.DUMMYFUNCTION("""COMPUTED_VALUE"""),60.483)</f>
        <v>60.482999999999997</v>
      </c>
      <c r="E1542" s="2">
        <f ca="1">IFERROR(__xludf.DUMMYFUNCTION("""COMPUTED_VALUE"""),77.861)</f>
        <v>77.861000000000004</v>
      </c>
      <c r="F1542" s="2">
        <f ca="1">IFERROR(__xludf.DUMMYFUNCTION("""COMPUTED_VALUE"""),101.94)</f>
        <v>101.94</v>
      </c>
      <c r="G1542" s="2">
        <f ca="1">IFERROR(__xludf.DUMMYFUNCTION("""COMPUTED_VALUE"""),0.51794)</f>
        <v>0.51793999999999996</v>
      </c>
      <c r="H1542" s="2">
        <f ca="1">IFERROR(__xludf.DUMMYFUNCTION("""COMPUTED_VALUE"""),53.769)</f>
        <v>53.768999999999998</v>
      </c>
      <c r="I1542" s="2">
        <f ca="1">IFERROR(__xludf.DUMMYFUNCTION("""COMPUTED_VALUE"""),54.388)</f>
        <v>54.387999999999998</v>
      </c>
      <c r="J1542" s="2">
        <f ca="1">IFERROR(__xludf.DUMMYFUNCTION("""COMPUTED_VALUE"""),47.859)</f>
        <v>47.859000000000002</v>
      </c>
      <c r="K1542" s="2">
        <f ca="1">IFERROR(__xludf.DUMMYFUNCTION("""COMPUTED_VALUE"""),66.503)</f>
        <v>66.503</v>
      </c>
      <c r="M1542" s="2">
        <f ca="1">IFERROR(__xludf.DUMMYFUNCTION("""COMPUTED_VALUE"""),16.664)</f>
        <v>16.664000000000001</v>
      </c>
      <c r="U1542" s="3" t="e">
        <f ca="1"/>
        <v>#NAME?</v>
      </c>
    </row>
    <row r="1543" spans="3:21" ht="12.5" x14ac:dyDescent="0.25">
      <c r="C1543" s="4">
        <f ca="1">IFERROR(__xludf.DUMMYFUNCTION("""COMPUTED_VALUE"""),41886.9986111111)</f>
        <v>41886.998611111099</v>
      </c>
      <c r="D1543" s="2">
        <f ca="1">IFERROR(__xludf.DUMMYFUNCTION("""COMPUTED_VALUE"""),60.37)</f>
        <v>60.37</v>
      </c>
      <c r="E1543" s="2">
        <f ca="1">IFERROR(__xludf.DUMMYFUNCTION("""COMPUTED_VALUE"""),77.345)</f>
        <v>77.344999999999999</v>
      </c>
      <c r="F1543" s="2">
        <f ca="1">IFERROR(__xludf.DUMMYFUNCTION("""COMPUTED_VALUE"""),101.95)</f>
        <v>101.95</v>
      </c>
      <c r="G1543" s="2">
        <f ca="1">IFERROR(__xludf.DUMMYFUNCTION("""COMPUTED_VALUE"""),0.51558)</f>
        <v>0.51558000000000004</v>
      </c>
      <c r="H1543" s="2">
        <f ca="1">IFERROR(__xludf.DUMMYFUNCTION("""COMPUTED_VALUE"""),53.781)</f>
        <v>53.780999999999999</v>
      </c>
      <c r="I1543" s="2">
        <f ca="1">IFERROR(__xludf.DUMMYFUNCTION("""COMPUTED_VALUE"""),54.441)</f>
        <v>54.441000000000003</v>
      </c>
      <c r="J1543" s="2">
        <f ca="1">IFERROR(__xludf.DUMMYFUNCTION("""COMPUTED_VALUE"""),47.911)</f>
        <v>47.911000000000001</v>
      </c>
      <c r="K1543" s="2">
        <f ca="1">IFERROR(__xludf.DUMMYFUNCTION("""COMPUTED_VALUE"""),66.079)</f>
        <v>66.078999999999994</v>
      </c>
      <c r="M1543" s="2">
        <f ca="1">IFERROR(__xludf.DUMMYFUNCTION("""COMPUTED_VALUE"""),16.664)</f>
        <v>16.664000000000001</v>
      </c>
      <c r="U1543" s="3" t="e">
        <f ca="1"/>
        <v>#NAME?</v>
      </c>
    </row>
    <row r="1544" spans="3:21" ht="12.5" x14ac:dyDescent="0.25">
      <c r="C1544" s="4">
        <f ca="1">IFERROR(__xludf.DUMMYFUNCTION("""COMPUTED_VALUE"""),41887.9986111111)</f>
        <v>41887.998611111099</v>
      </c>
      <c r="D1544" s="2">
        <f ca="1">IFERROR(__xludf.DUMMYFUNCTION("""COMPUTED_VALUE"""),60.388)</f>
        <v>60.387999999999998</v>
      </c>
      <c r="E1544" s="2">
        <f ca="1">IFERROR(__xludf.DUMMYFUNCTION("""COMPUTED_VALUE"""),77.396)</f>
        <v>77.396000000000001</v>
      </c>
      <c r="F1544" s="2">
        <f ca="1">IFERROR(__xludf.DUMMYFUNCTION("""COMPUTED_VALUE"""),101.94)</f>
        <v>101.94</v>
      </c>
      <c r="G1544" s="2">
        <f ca="1">IFERROR(__xludf.DUMMYFUNCTION("""COMPUTED_VALUE"""),0.51515)</f>
        <v>0.51515</v>
      </c>
      <c r="H1544" s="2">
        <f ca="1">IFERROR(__xludf.DUMMYFUNCTION("""COMPUTED_VALUE"""),53.883)</f>
        <v>53.883000000000003</v>
      </c>
      <c r="I1544" s="2">
        <f ca="1">IFERROR(__xludf.DUMMYFUNCTION("""COMPUTED_VALUE"""),54.435)</f>
        <v>54.435000000000002</v>
      </c>
      <c r="J1544" s="2">
        <f ca="1">IFERROR(__xludf.DUMMYFUNCTION("""COMPUTED_VALUE"""),47.953)</f>
        <v>47.953000000000003</v>
      </c>
      <c r="K1544" s="2">
        <f ca="1">IFERROR(__xludf.DUMMYFUNCTION("""COMPUTED_VALUE"""),66.165)</f>
        <v>66.165000000000006</v>
      </c>
      <c r="M1544" s="2">
        <f ca="1">IFERROR(__xludf.DUMMYFUNCTION("""COMPUTED_VALUE"""),16.59)</f>
        <v>16.59</v>
      </c>
      <c r="U1544" s="3" t="e">
        <f ca="1"/>
        <v>#NAME?</v>
      </c>
    </row>
    <row r="1545" spans="3:21" ht="12.5" x14ac:dyDescent="0.25">
      <c r="C1545" s="4">
        <f ca="1">IFERROR(__xludf.DUMMYFUNCTION("""COMPUTED_VALUE"""),41888.9986111111)</f>
        <v>41888.998611111099</v>
      </c>
      <c r="D1545" s="2">
        <f ca="1">IFERROR(__xludf.DUMMYFUNCTION("""COMPUTED_VALUE"""),60.201)</f>
        <v>60.201000000000001</v>
      </c>
      <c r="E1545" s="2">
        <f ca="1">IFERROR(__xludf.DUMMYFUNCTION("""COMPUTED_VALUE"""),76.2016)</f>
        <v>76.201599999999999</v>
      </c>
      <c r="F1545" s="2">
        <f ca="1">IFERROR(__xludf.DUMMYFUNCTION("""COMPUTED_VALUE"""),101.77)</f>
        <v>101.77</v>
      </c>
      <c r="G1545" s="2">
        <f ca="1">IFERROR(__xludf.DUMMYFUNCTION("""COMPUTED_VALUE"""),0.50987)</f>
        <v>0.50987000000000005</v>
      </c>
      <c r="H1545" s="2">
        <f ca="1">IFERROR(__xludf.DUMMYFUNCTION("""COMPUTED_VALUE"""),54.168)</f>
        <v>54.167999999999999</v>
      </c>
      <c r="I1545" s="2">
        <f ca="1">IFERROR(__xludf.DUMMYFUNCTION("""COMPUTED_VALUE"""),54.735)</f>
        <v>54.734999999999999</v>
      </c>
      <c r="J1545" s="2">
        <f ca="1">IFERROR(__xludf.DUMMYFUNCTION("""COMPUTED_VALUE"""),48.045)</f>
        <v>48.045000000000002</v>
      </c>
      <c r="K1545" s="2">
        <f ca="1">IFERROR(__xludf.DUMMYFUNCTION("""COMPUTED_VALUE"""),66.159)</f>
        <v>66.159000000000006</v>
      </c>
      <c r="M1545" s="2">
        <f ca="1">IFERROR(__xludf.DUMMYFUNCTION("""COMPUTED_VALUE"""),16.564)</f>
        <v>16.564</v>
      </c>
      <c r="U1545" s="3" t="e">
        <f ca="1"/>
        <v>#NAME?</v>
      </c>
    </row>
    <row r="1546" spans="3:21" ht="12.5" x14ac:dyDescent="0.25">
      <c r="C1546" s="4">
        <f ca="1">IFERROR(__xludf.DUMMYFUNCTION("""COMPUTED_VALUE"""),41889.9986111111)</f>
        <v>41889.998611111099</v>
      </c>
      <c r="D1546" s="2">
        <f ca="1">IFERROR(__xludf.DUMMYFUNCTION("""COMPUTED_VALUE"""),60.201)</f>
        <v>60.201000000000001</v>
      </c>
      <c r="E1546" s="2">
        <f ca="1">IFERROR(__xludf.DUMMYFUNCTION("""COMPUTED_VALUE"""),76.2016)</f>
        <v>76.201599999999999</v>
      </c>
      <c r="F1546" s="2">
        <f ca="1">IFERROR(__xludf.DUMMYFUNCTION("""COMPUTED_VALUE"""),101.48)</f>
        <v>101.48</v>
      </c>
      <c r="G1546" s="2">
        <f ca="1">IFERROR(__xludf.DUMMYFUNCTION("""COMPUTED_VALUE"""),0.50987)</f>
        <v>0.50987000000000005</v>
      </c>
      <c r="H1546" s="2">
        <f ca="1">IFERROR(__xludf.DUMMYFUNCTION("""COMPUTED_VALUE"""),53.689)</f>
        <v>53.689</v>
      </c>
      <c r="I1546" s="2">
        <f ca="1">IFERROR(__xludf.DUMMYFUNCTION("""COMPUTED_VALUE"""),54.699)</f>
        <v>54.698999999999998</v>
      </c>
      <c r="J1546" s="2">
        <f ca="1">IFERROR(__xludf.DUMMYFUNCTION("""COMPUTED_VALUE"""),48.025)</f>
        <v>48.024999999999999</v>
      </c>
      <c r="K1546" s="2">
        <f ca="1">IFERROR(__xludf.DUMMYFUNCTION("""COMPUTED_VALUE"""),66.057)</f>
        <v>66.057000000000002</v>
      </c>
      <c r="M1546" s="2">
        <f ca="1">IFERROR(__xludf.DUMMYFUNCTION("""COMPUTED_VALUE"""),16.741)</f>
        <v>16.741</v>
      </c>
      <c r="U1546" s="3" t="e">
        <f ca="1"/>
        <v>#NAME?</v>
      </c>
    </row>
    <row r="1547" spans="3:21" ht="12.5" x14ac:dyDescent="0.25">
      <c r="C1547" s="4">
        <f ca="1">IFERROR(__xludf.DUMMYFUNCTION("""COMPUTED_VALUE"""),41890.9986111111)</f>
        <v>41890.998611111099</v>
      </c>
      <c r="D1547" s="2">
        <f ca="1">IFERROR(__xludf.DUMMYFUNCTION("""COMPUTED_VALUE"""),60.38)</f>
        <v>60.38</v>
      </c>
      <c r="E1547" s="2">
        <f ca="1">IFERROR(__xludf.DUMMYFUNCTION("""COMPUTED_VALUE"""),76.2016)</f>
        <v>76.201599999999999</v>
      </c>
      <c r="F1547" s="2">
        <f ca="1">IFERROR(__xludf.DUMMYFUNCTION("""COMPUTED_VALUE"""),102.16)</f>
        <v>102.16</v>
      </c>
      <c r="G1547" s="2">
        <f ca="1">IFERROR(__xludf.DUMMYFUNCTION("""COMPUTED_VALUE"""),0.51161)</f>
        <v>0.51161000000000001</v>
      </c>
      <c r="H1547" s="2">
        <f ca="1">IFERROR(__xludf.DUMMYFUNCTION("""COMPUTED_VALUE"""),54.19)</f>
        <v>54.19</v>
      </c>
      <c r="I1547" s="2">
        <f ca="1">IFERROR(__xludf.DUMMYFUNCTION("""COMPUTED_VALUE"""),54.821)</f>
        <v>54.820999999999998</v>
      </c>
      <c r="J1547" s="2">
        <f ca="1">IFERROR(__xludf.DUMMYFUNCTION("""COMPUTED_VALUE"""),47.88)</f>
        <v>47.88</v>
      </c>
      <c r="K1547" s="2">
        <f ca="1">IFERROR(__xludf.DUMMYFUNCTION("""COMPUTED_VALUE"""),65.804)</f>
        <v>65.804000000000002</v>
      </c>
      <c r="M1547" s="2">
        <f ca="1">IFERROR(__xludf.DUMMYFUNCTION("""COMPUTED_VALUE"""),16.672)</f>
        <v>16.672000000000001</v>
      </c>
      <c r="U1547" s="3" t="e">
        <f ca="1"/>
        <v>#NAME?</v>
      </c>
    </row>
    <row r="1548" spans="3:21" ht="12.5" x14ac:dyDescent="0.25">
      <c r="C1548" s="4">
        <f ca="1">IFERROR(__xludf.DUMMYFUNCTION("""COMPUTED_VALUE"""),41891.9986111111)</f>
        <v>41891.998611111099</v>
      </c>
      <c r="D1548" s="2">
        <f ca="1">IFERROR(__xludf.DUMMYFUNCTION("""COMPUTED_VALUE"""),60.598)</f>
        <v>60.597999999999999</v>
      </c>
      <c r="E1548" s="2">
        <f ca="1">IFERROR(__xludf.DUMMYFUNCTION("""COMPUTED_VALUE"""),76.677)</f>
        <v>76.677000000000007</v>
      </c>
      <c r="F1548" s="2">
        <f ca="1">IFERROR(__xludf.DUMMYFUNCTION("""COMPUTED_VALUE"""),102.87)</f>
        <v>102.87</v>
      </c>
      <c r="G1548" s="2">
        <f ca="1">IFERROR(__xludf.DUMMYFUNCTION("""COMPUTED_VALUE"""),0.5183)</f>
        <v>0.51829999999999998</v>
      </c>
      <c r="H1548" s="2">
        <f ca="1">IFERROR(__xludf.DUMMYFUNCTION("""COMPUTED_VALUE"""),53.528)</f>
        <v>53.527999999999999</v>
      </c>
      <c r="I1548" s="2">
        <f ca="1">IFERROR(__xludf.DUMMYFUNCTION("""COMPUTED_VALUE"""),54.002)</f>
        <v>54.002000000000002</v>
      </c>
      <c r="J1548" s="2">
        <f ca="1">IFERROR(__xludf.DUMMYFUNCTION("""COMPUTED_VALUE"""),48.05)</f>
        <v>48.05</v>
      </c>
      <c r="K1548" s="2">
        <f ca="1">IFERROR(__xludf.DUMMYFUNCTION("""COMPUTED_VALUE"""),66.017)</f>
        <v>66.016999999999996</v>
      </c>
      <c r="M1548" s="2">
        <f ca="1">IFERROR(__xludf.DUMMYFUNCTION("""COMPUTED_VALUE"""),16.645)</f>
        <v>16.645</v>
      </c>
      <c r="U1548" s="3" t="e">
        <f ca="1"/>
        <v>#NAME?</v>
      </c>
    </row>
    <row r="1549" spans="3:21" ht="12.5" x14ac:dyDescent="0.25">
      <c r="C1549" s="4">
        <f ca="1">IFERROR(__xludf.DUMMYFUNCTION("""COMPUTED_VALUE"""),41892.9986111111)</f>
        <v>41892.998611111099</v>
      </c>
      <c r="D1549" s="2">
        <f ca="1">IFERROR(__xludf.DUMMYFUNCTION("""COMPUTED_VALUE"""),60.923)</f>
        <v>60.923000000000002</v>
      </c>
      <c r="E1549" s="2">
        <f ca="1">IFERROR(__xludf.DUMMYFUNCTION("""COMPUTED_VALUE"""),76.986)</f>
        <v>76.986000000000004</v>
      </c>
      <c r="F1549" s="2">
        <f ca="1">IFERROR(__xludf.DUMMYFUNCTION("""COMPUTED_VALUE"""),102.95)</f>
        <v>102.95</v>
      </c>
      <c r="G1549" s="2">
        <f ca="1">IFERROR(__xludf.DUMMYFUNCTION("""COMPUTED_VALUE"""),0.52665)</f>
        <v>0.52664999999999995</v>
      </c>
      <c r="H1549" s="2">
        <f ca="1">IFERROR(__xludf.DUMMYFUNCTION("""COMPUTED_VALUE"""),53.49)</f>
        <v>53.49</v>
      </c>
      <c r="I1549" s="2">
        <f ca="1">IFERROR(__xludf.DUMMYFUNCTION("""COMPUTED_VALUE"""),54.002)</f>
        <v>54.002000000000002</v>
      </c>
      <c r="J1549" s="2">
        <f ca="1">IFERROR(__xludf.DUMMYFUNCTION("""COMPUTED_VALUE"""),47.293)</f>
        <v>47.292999999999999</v>
      </c>
      <c r="K1549" s="2">
        <f ca="1">IFERROR(__xludf.DUMMYFUNCTION("""COMPUTED_VALUE"""),66.034)</f>
        <v>66.034000000000006</v>
      </c>
      <c r="M1549" s="2">
        <f ca="1">IFERROR(__xludf.DUMMYFUNCTION("""COMPUTED_VALUE"""),16.645)</f>
        <v>16.645</v>
      </c>
      <c r="U1549" s="3" t="e">
        <f ca="1"/>
        <v>#NAME?</v>
      </c>
    </row>
    <row r="1550" spans="3:21" ht="12.5" x14ac:dyDescent="0.25">
      <c r="C1550" s="4">
        <f ca="1">IFERROR(__xludf.DUMMYFUNCTION("""COMPUTED_VALUE"""),41893.9986111111)</f>
        <v>41893.998611111099</v>
      </c>
      <c r="D1550" s="2">
        <f ca="1">IFERROR(__xludf.DUMMYFUNCTION("""COMPUTED_VALUE"""),60.923)</f>
        <v>60.923000000000002</v>
      </c>
      <c r="E1550" s="2">
        <f ca="1">IFERROR(__xludf.DUMMYFUNCTION("""COMPUTED_VALUE"""),76.573)</f>
        <v>76.572999999999993</v>
      </c>
      <c r="F1550" s="2">
        <f ca="1">IFERROR(__xludf.DUMMYFUNCTION("""COMPUTED_VALUE"""),102.96)</f>
        <v>102.96</v>
      </c>
      <c r="G1550" s="2">
        <f ca="1">IFERROR(__xludf.DUMMYFUNCTION("""COMPUTED_VALUE"""),0.52421)</f>
        <v>0.52420999999999995</v>
      </c>
      <c r="H1550" s="2">
        <f ca="1">IFERROR(__xludf.DUMMYFUNCTION("""COMPUTED_VALUE"""),53.49)</f>
        <v>53.49</v>
      </c>
      <c r="I1550" s="2">
        <f ca="1">IFERROR(__xludf.DUMMYFUNCTION("""COMPUTED_VALUE"""),54.002)</f>
        <v>54.002000000000002</v>
      </c>
      <c r="J1550" s="2">
        <f ca="1">IFERROR(__xludf.DUMMYFUNCTION("""COMPUTED_VALUE"""),47.293)</f>
        <v>47.292999999999999</v>
      </c>
      <c r="K1550" s="2">
        <f ca="1">IFERROR(__xludf.DUMMYFUNCTION("""COMPUTED_VALUE"""),65.347)</f>
        <v>65.346999999999994</v>
      </c>
      <c r="M1550" s="2">
        <f ca="1">IFERROR(__xludf.DUMMYFUNCTION("""COMPUTED_VALUE"""),16.645)</f>
        <v>16.645</v>
      </c>
      <c r="U1550" s="3" t="e">
        <f ca="1"/>
        <v>#NAME?</v>
      </c>
    </row>
    <row r="1551" spans="3:21" ht="12.5" x14ac:dyDescent="0.25">
      <c r="C1551" s="4">
        <f ca="1">IFERROR(__xludf.DUMMYFUNCTION("""COMPUTED_VALUE"""),41894.9986111111)</f>
        <v>41894.998611111099</v>
      </c>
      <c r="D1551" s="2">
        <f ca="1">IFERROR(__xludf.DUMMYFUNCTION("""COMPUTED_VALUE"""),60.648)</f>
        <v>60.648000000000003</v>
      </c>
      <c r="E1551" s="2">
        <f ca="1">IFERROR(__xludf.DUMMYFUNCTION("""COMPUTED_VALUE"""),76.063)</f>
        <v>76.063000000000002</v>
      </c>
      <c r="F1551" s="2">
        <f ca="1">IFERROR(__xludf.DUMMYFUNCTION("""COMPUTED_VALUE"""),102.66)</f>
        <v>102.66</v>
      </c>
      <c r="G1551" s="2">
        <f ca="1">IFERROR(__xludf.DUMMYFUNCTION("""COMPUTED_VALUE"""),0.527)</f>
        <v>0.52700000000000002</v>
      </c>
      <c r="H1551" s="2">
        <f ca="1">IFERROR(__xludf.DUMMYFUNCTION("""COMPUTED_VALUE"""),53.349)</f>
        <v>53.348999999999997</v>
      </c>
      <c r="I1551" s="2">
        <f ca="1">IFERROR(__xludf.DUMMYFUNCTION("""COMPUTED_VALUE"""),54.032)</f>
        <v>54.031999999999996</v>
      </c>
      <c r="J1551" s="2">
        <f ca="1">IFERROR(__xludf.DUMMYFUNCTION("""COMPUTED_VALUE"""),47.293)</f>
        <v>47.292999999999999</v>
      </c>
      <c r="K1551" s="2">
        <f ca="1">IFERROR(__xludf.DUMMYFUNCTION("""COMPUTED_VALUE"""),65.914)</f>
        <v>65.914000000000001</v>
      </c>
      <c r="M1551" s="2">
        <f ca="1">IFERROR(__xludf.DUMMYFUNCTION("""COMPUTED_VALUE"""),16.64)</f>
        <v>16.64</v>
      </c>
      <c r="U1551" s="3" t="e">
        <f ca="1"/>
        <v>#NAME?</v>
      </c>
    </row>
    <row r="1552" spans="3:21" ht="12.5" x14ac:dyDescent="0.25">
      <c r="C1552" s="4">
        <f ca="1">IFERROR(__xludf.DUMMYFUNCTION("""COMPUTED_VALUE"""),41895.9986111111)</f>
        <v>41895.998611111099</v>
      </c>
      <c r="D1552" s="2">
        <f ca="1">IFERROR(__xludf.DUMMYFUNCTION("""COMPUTED_VALUE"""),60.648)</f>
        <v>60.648000000000003</v>
      </c>
      <c r="E1552" s="2">
        <f ca="1">IFERROR(__xludf.DUMMYFUNCTION("""COMPUTED_VALUE"""),75.4044)</f>
        <v>75.404399999999995</v>
      </c>
      <c r="F1552" s="2">
        <f ca="1">IFERROR(__xludf.DUMMYFUNCTION("""COMPUTED_VALUE"""),102.62)</f>
        <v>102.62</v>
      </c>
      <c r="G1552" s="2">
        <f ca="1">IFERROR(__xludf.DUMMYFUNCTION("""COMPUTED_VALUE"""),0.5264)</f>
        <v>0.52639999999999998</v>
      </c>
      <c r="H1552" s="2">
        <f ca="1">IFERROR(__xludf.DUMMYFUNCTION("""COMPUTED_VALUE"""),53.657)</f>
        <v>53.656999999999996</v>
      </c>
      <c r="I1552" s="2">
        <f ca="1">IFERROR(__xludf.DUMMYFUNCTION("""COMPUTED_VALUE"""),53.833)</f>
        <v>53.832999999999998</v>
      </c>
      <c r="J1552" s="2">
        <f ca="1">IFERROR(__xludf.DUMMYFUNCTION("""COMPUTED_VALUE"""),47.562)</f>
        <v>47.561999999999998</v>
      </c>
      <c r="K1552" s="2">
        <f ca="1">IFERROR(__xludf.DUMMYFUNCTION("""COMPUTED_VALUE"""),65.759)</f>
        <v>65.759</v>
      </c>
      <c r="M1552" s="2">
        <f ca="1">IFERROR(__xludf.DUMMYFUNCTION("""COMPUTED_VALUE"""),16.667)</f>
        <v>16.667000000000002</v>
      </c>
      <c r="U1552" s="3" t="e">
        <f ca="1"/>
        <v>#NAME?</v>
      </c>
    </row>
    <row r="1553" spans="3:21" ht="12.5" x14ac:dyDescent="0.25">
      <c r="C1553" s="4">
        <f ca="1">IFERROR(__xludf.DUMMYFUNCTION("""COMPUTED_VALUE"""),41896.9986111111)</f>
        <v>41896.998611111099</v>
      </c>
      <c r="D1553" s="2">
        <f ca="1">IFERROR(__xludf.DUMMYFUNCTION("""COMPUTED_VALUE"""),61.019)</f>
        <v>61.018999999999998</v>
      </c>
      <c r="E1553" s="2">
        <f ca="1">IFERROR(__xludf.DUMMYFUNCTION("""COMPUTED_VALUE"""),76.346)</f>
        <v>76.346000000000004</v>
      </c>
      <c r="F1553" s="2">
        <f ca="1">IFERROR(__xludf.DUMMYFUNCTION("""COMPUTED_VALUE"""),103.55)</f>
        <v>103.55</v>
      </c>
      <c r="G1553" s="2">
        <f ca="1">IFERROR(__xludf.DUMMYFUNCTION("""COMPUTED_VALUE"""),0.52622)</f>
        <v>0.52622000000000002</v>
      </c>
      <c r="H1553" s="2">
        <f ca="1">IFERROR(__xludf.DUMMYFUNCTION("""COMPUTED_VALUE"""),52.642)</f>
        <v>52.642000000000003</v>
      </c>
      <c r="I1553" s="2">
        <f ca="1">IFERROR(__xludf.DUMMYFUNCTION("""COMPUTED_VALUE"""),53.857)</f>
        <v>53.856999999999999</v>
      </c>
      <c r="J1553" s="2">
        <f ca="1">IFERROR(__xludf.DUMMYFUNCTION("""COMPUTED_VALUE"""),47.598)</f>
        <v>47.597999999999999</v>
      </c>
      <c r="K1553" s="2">
        <f ca="1">IFERROR(__xludf.DUMMYFUNCTION("""COMPUTED_VALUE"""),65.965)</f>
        <v>65.965000000000003</v>
      </c>
      <c r="M1553" s="2">
        <f ca="1">IFERROR(__xludf.DUMMYFUNCTION("""COMPUTED_VALUE"""),16.631)</f>
        <v>16.631</v>
      </c>
      <c r="U1553" s="3" t="e">
        <f ca="1"/>
        <v>#NAME?</v>
      </c>
    </row>
    <row r="1554" spans="3:21" ht="12.5" x14ac:dyDescent="0.25">
      <c r="C1554" s="4">
        <f ca="1">IFERROR(__xludf.DUMMYFUNCTION("""COMPUTED_VALUE"""),41897.9986111111)</f>
        <v>41897.998611111099</v>
      </c>
      <c r="D1554" s="2">
        <f ca="1">IFERROR(__xludf.DUMMYFUNCTION("""COMPUTED_VALUE"""),61.098)</f>
        <v>61.097999999999999</v>
      </c>
      <c r="E1554" s="2">
        <f ca="1">IFERROR(__xludf.DUMMYFUNCTION("""COMPUTED_VALUE"""),76.708)</f>
        <v>76.707999999999998</v>
      </c>
      <c r="F1554" s="2">
        <f ca="1">IFERROR(__xludf.DUMMYFUNCTION("""COMPUTED_VALUE"""),102.98)</f>
        <v>102.98</v>
      </c>
      <c r="G1554" s="2">
        <f ca="1">IFERROR(__xludf.DUMMYFUNCTION("""COMPUTED_VALUE"""),0.53581)</f>
        <v>0.53581000000000001</v>
      </c>
      <c r="H1554" s="2">
        <f ca="1">IFERROR(__xludf.DUMMYFUNCTION("""COMPUTED_VALUE"""),52.615)</f>
        <v>52.615000000000002</v>
      </c>
      <c r="I1554" s="2">
        <f ca="1">IFERROR(__xludf.DUMMYFUNCTION("""COMPUTED_VALUE"""),53.77)</f>
        <v>53.77</v>
      </c>
      <c r="J1554" s="2">
        <f ca="1">IFERROR(__xludf.DUMMYFUNCTION("""COMPUTED_VALUE"""),47.438)</f>
        <v>47.438000000000002</v>
      </c>
      <c r="K1554" s="2">
        <f ca="1">IFERROR(__xludf.DUMMYFUNCTION("""COMPUTED_VALUE"""),65.855)</f>
        <v>65.855000000000004</v>
      </c>
      <c r="M1554" s="2">
        <f ca="1">IFERROR(__xludf.DUMMYFUNCTION("""COMPUTED_VALUE"""),16.509)</f>
        <v>16.509</v>
      </c>
      <c r="U1554" s="3" t="e">
        <f ca="1"/>
        <v>#NAME?</v>
      </c>
    </row>
    <row r="1555" spans="3:21" ht="12.5" x14ac:dyDescent="0.25">
      <c r="C1555" s="4">
        <f ca="1">IFERROR(__xludf.DUMMYFUNCTION("""COMPUTED_VALUE"""),41898.9986111111)</f>
        <v>41898.998611111099</v>
      </c>
      <c r="D1555" s="2">
        <f ca="1">IFERROR(__xludf.DUMMYFUNCTION("""COMPUTED_VALUE"""),61.053)</f>
        <v>61.052999999999997</v>
      </c>
      <c r="E1555" s="2">
        <f ca="1">IFERROR(__xludf.DUMMYFUNCTION("""COMPUTED_VALUE"""),76.197)</f>
        <v>76.197000000000003</v>
      </c>
      <c r="F1555" s="2">
        <f ca="1">IFERROR(__xludf.DUMMYFUNCTION("""COMPUTED_VALUE"""),102.46)</f>
        <v>102.46</v>
      </c>
      <c r="G1555" s="2">
        <f ca="1">IFERROR(__xludf.DUMMYFUNCTION("""COMPUTED_VALUE"""),0.54508)</f>
        <v>0.54508000000000001</v>
      </c>
      <c r="H1555" s="2">
        <f ca="1">IFERROR(__xludf.DUMMYFUNCTION("""COMPUTED_VALUE"""),53.118)</f>
        <v>53.118000000000002</v>
      </c>
      <c r="I1555" s="2">
        <f ca="1">IFERROR(__xludf.DUMMYFUNCTION("""COMPUTED_VALUE"""),54.299)</f>
        <v>54.298999999999999</v>
      </c>
      <c r="J1555" s="2">
        <f ca="1">IFERROR(__xludf.DUMMYFUNCTION("""COMPUTED_VALUE"""),47.421)</f>
        <v>47.420999999999999</v>
      </c>
      <c r="K1555" s="2">
        <f ca="1">IFERROR(__xludf.DUMMYFUNCTION("""COMPUTED_VALUE"""),64.643)</f>
        <v>64.643000000000001</v>
      </c>
      <c r="M1555" s="2">
        <f ca="1">IFERROR(__xludf.DUMMYFUNCTION("""COMPUTED_VALUE"""),16.545)</f>
        <v>16.545000000000002</v>
      </c>
      <c r="U1555" s="3" t="e">
        <f ca="1"/>
        <v>#NAME?</v>
      </c>
    </row>
    <row r="1556" spans="3:21" ht="12.5" x14ac:dyDescent="0.25">
      <c r="C1556" s="4">
        <f ca="1">IFERROR(__xludf.DUMMYFUNCTION("""COMPUTED_VALUE"""),41899.9986111111)</f>
        <v>41899.998611111099</v>
      </c>
      <c r="D1556" s="2">
        <f ca="1">IFERROR(__xludf.DUMMYFUNCTION("""COMPUTED_VALUE"""),60.908)</f>
        <v>60.908000000000001</v>
      </c>
      <c r="E1556" s="2">
        <f ca="1">IFERROR(__xludf.DUMMYFUNCTION("""COMPUTED_VALUE"""),76.757)</f>
        <v>76.757000000000005</v>
      </c>
      <c r="F1556" s="2">
        <f ca="1">IFERROR(__xludf.DUMMYFUNCTION("""COMPUTED_VALUE"""),102.56)</f>
        <v>102.56</v>
      </c>
      <c r="G1556" s="2">
        <f ca="1">IFERROR(__xludf.DUMMYFUNCTION("""COMPUTED_VALUE"""),0.53435)</f>
        <v>0.53434999999999999</v>
      </c>
      <c r="H1556" s="2">
        <f ca="1">IFERROR(__xludf.DUMMYFUNCTION("""COMPUTED_VALUE"""),53.007)</f>
        <v>53.006999999999998</v>
      </c>
      <c r="I1556" s="2">
        <f ca="1">IFERROR(__xludf.DUMMYFUNCTION("""COMPUTED_VALUE"""),54.022)</f>
        <v>54.021999999999998</v>
      </c>
      <c r="J1556" s="2">
        <f ca="1">IFERROR(__xludf.DUMMYFUNCTION("""COMPUTED_VALUE"""),47.736)</f>
        <v>47.735999999999997</v>
      </c>
      <c r="K1556" s="2">
        <f ca="1">IFERROR(__xludf.DUMMYFUNCTION("""COMPUTED_VALUE"""),64.794)</f>
        <v>64.793999999999997</v>
      </c>
      <c r="M1556" s="2">
        <f ca="1">IFERROR(__xludf.DUMMYFUNCTION("""COMPUTED_VALUE"""),16.545)</f>
        <v>16.545000000000002</v>
      </c>
      <c r="U1556" s="3" t="e">
        <f ca="1"/>
        <v>#NAME?</v>
      </c>
    </row>
    <row r="1557" spans="3:21" ht="12.5" x14ac:dyDescent="0.25">
      <c r="C1557" s="4">
        <f ca="1">IFERROR(__xludf.DUMMYFUNCTION("""COMPUTED_VALUE"""),41900.9986111111)</f>
        <v>41900.998611111099</v>
      </c>
      <c r="D1557" s="2">
        <f ca="1">IFERROR(__xludf.DUMMYFUNCTION("""COMPUTED_VALUE"""),60.733)</f>
        <v>60.732999999999997</v>
      </c>
      <c r="E1557" s="2">
        <f ca="1">IFERROR(__xludf.DUMMYFUNCTION("""COMPUTED_VALUE"""),75.8463)</f>
        <v>75.846299999999999</v>
      </c>
      <c r="F1557" s="2">
        <f ca="1">IFERROR(__xludf.DUMMYFUNCTION("""COMPUTED_VALUE"""),102.56)</f>
        <v>102.56</v>
      </c>
      <c r="G1557" s="2">
        <f ca="1">IFERROR(__xludf.DUMMYFUNCTION("""COMPUTED_VALUE"""),0.52881)</f>
        <v>0.52881</v>
      </c>
      <c r="H1557" s="2">
        <f ca="1">IFERROR(__xludf.DUMMYFUNCTION("""COMPUTED_VALUE"""),53.514)</f>
        <v>53.514000000000003</v>
      </c>
      <c r="I1557" s="2">
        <f ca="1">IFERROR(__xludf.DUMMYFUNCTION("""COMPUTED_VALUE"""),54.245)</f>
        <v>54.244999999999997</v>
      </c>
      <c r="J1557" s="2">
        <f ca="1">IFERROR(__xludf.DUMMYFUNCTION("""COMPUTED_VALUE"""),47.588)</f>
        <v>47.588000000000001</v>
      </c>
      <c r="K1557" s="2">
        <f ca="1">IFERROR(__xludf.DUMMYFUNCTION("""COMPUTED_VALUE"""),64.553)</f>
        <v>64.552999999999997</v>
      </c>
      <c r="M1557" s="2">
        <f ca="1">IFERROR(__xludf.DUMMYFUNCTION("""COMPUTED_VALUE"""),16.545)</f>
        <v>16.545000000000002</v>
      </c>
      <c r="U1557" s="3" t="e">
        <f ca="1"/>
        <v>#NAME?</v>
      </c>
    </row>
    <row r="1558" spans="3:21" ht="12.5" x14ac:dyDescent="0.25">
      <c r="C1558" s="4">
        <f ca="1">IFERROR(__xludf.DUMMYFUNCTION("""COMPUTED_VALUE"""),41901.9986111111)</f>
        <v>41901.998611111099</v>
      </c>
      <c r="D1558" s="2">
        <f ca="1">IFERROR(__xludf.DUMMYFUNCTION("""COMPUTED_VALUE"""),60.853)</f>
        <v>60.853000000000002</v>
      </c>
      <c r="E1558" s="2">
        <f ca="1">IFERROR(__xludf.DUMMYFUNCTION("""COMPUTED_VALUE"""),75.8463)</f>
        <v>75.846299999999999</v>
      </c>
      <c r="F1558" s="2">
        <f ca="1">IFERROR(__xludf.DUMMYFUNCTION("""COMPUTED_VALUE"""),102.6)</f>
        <v>102.6</v>
      </c>
      <c r="G1558" s="2">
        <f ca="1">IFERROR(__xludf.DUMMYFUNCTION("""COMPUTED_VALUE"""),0.52908)</f>
        <v>0.52907999999999999</v>
      </c>
      <c r="H1558" s="2">
        <f ca="1">IFERROR(__xludf.DUMMYFUNCTION("""COMPUTED_VALUE"""),53.387)</f>
        <v>53.387</v>
      </c>
      <c r="I1558" s="2">
        <f ca="1">IFERROR(__xludf.DUMMYFUNCTION("""COMPUTED_VALUE"""),54.146)</f>
        <v>54.146000000000001</v>
      </c>
      <c r="J1558" s="2">
        <f ca="1">IFERROR(__xludf.DUMMYFUNCTION("""COMPUTED_VALUE"""),47.598)</f>
        <v>47.597999999999999</v>
      </c>
      <c r="K1558" s="2">
        <f ca="1">IFERROR(__xludf.DUMMYFUNCTION("""COMPUTED_VALUE"""),64.897)</f>
        <v>64.897000000000006</v>
      </c>
      <c r="M1558" s="2">
        <f ca="1">IFERROR(__xludf.DUMMYFUNCTION("""COMPUTED_VALUE"""),16.545)</f>
        <v>16.545000000000002</v>
      </c>
      <c r="U1558" s="3" t="e">
        <f ca="1"/>
        <v>#NAME?</v>
      </c>
    </row>
    <row r="1559" spans="3:21" ht="12.5" x14ac:dyDescent="0.25">
      <c r="C1559" s="4">
        <f ca="1">IFERROR(__xludf.DUMMYFUNCTION("""COMPUTED_VALUE"""),41902.9986111111)</f>
        <v>41902.998611111099</v>
      </c>
      <c r="D1559" s="2">
        <f ca="1">IFERROR(__xludf.DUMMYFUNCTION("""COMPUTED_VALUE"""),60.853)</f>
        <v>60.853000000000002</v>
      </c>
      <c r="E1559" s="2">
        <f ca="1">IFERROR(__xludf.DUMMYFUNCTION("""COMPUTED_VALUE"""),77.289)</f>
        <v>77.289000000000001</v>
      </c>
      <c r="F1559" s="2">
        <f ca="1">IFERROR(__xludf.DUMMYFUNCTION("""COMPUTED_VALUE"""),102.58)</f>
        <v>102.58</v>
      </c>
      <c r="G1559" s="2">
        <f ca="1">IFERROR(__xludf.DUMMYFUNCTION("""COMPUTED_VALUE"""),0.52562)</f>
        <v>0.52561999999999998</v>
      </c>
      <c r="H1559" s="2">
        <f ca="1">IFERROR(__xludf.DUMMYFUNCTION("""COMPUTED_VALUE"""),53.571)</f>
        <v>53.570999999999998</v>
      </c>
      <c r="I1559" s="2">
        <f ca="1">IFERROR(__xludf.DUMMYFUNCTION("""COMPUTED_VALUE"""),54.061)</f>
        <v>54.061</v>
      </c>
      <c r="J1559" s="2">
        <f ca="1">IFERROR(__xludf.DUMMYFUNCTION("""COMPUTED_VALUE"""),47.5)</f>
        <v>47.5</v>
      </c>
      <c r="K1559" s="2">
        <f ca="1">IFERROR(__xludf.DUMMYFUNCTION("""COMPUTED_VALUE"""),64.987)</f>
        <v>64.986999999999995</v>
      </c>
      <c r="M1559" s="2">
        <f ca="1">IFERROR(__xludf.DUMMYFUNCTION("""COMPUTED_VALUE"""),16.517)</f>
        <v>16.516999999999999</v>
      </c>
      <c r="U1559" s="3" t="e">
        <f ca="1"/>
        <v>#NAME?</v>
      </c>
    </row>
    <row r="1560" spans="3:21" ht="12.5" x14ac:dyDescent="0.25">
      <c r="C1560" s="4">
        <f ca="1">IFERROR(__xludf.DUMMYFUNCTION("""COMPUTED_VALUE"""),41903.9986111111)</f>
        <v>41903.998611111099</v>
      </c>
      <c r="D1560" s="2">
        <f ca="1">IFERROR(__xludf.DUMMYFUNCTION("""COMPUTED_VALUE"""),60.819)</f>
        <v>60.819000000000003</v>
      </c>
      <c r="E1560" s="2">
        <f ca="1">IFERROR(__xludf.DUMMYFUNCTION("""COMPUTED_VALUE"""),76.892)</f>
        <v>76.891999999999996</v>
      </c>
      <c r="F1560" s="2">
        <f ca="1">IFERROR(__xludf.DUMMYFUNCTION("""COMPUTED_VALUE"""),101.88)</f>
        <v>101.88</v>
      </c>
      <c r="G1560" s="2">
        <f ca="1">IFERROR(__xludf.DUMMYFUNCTION("""COMPUTED_VALUE"""),0.52504)</f>
        <v>0.52503999999999995</v>
      </c>
      <c r="H1560" s="2">
        <f ca="1">IFERROR(__xludf.DUMMYFUNCTION("""COMPUTED_VALUE"""),52.973)</f>
        <v>52.972999999999999</v>
      </c>
      <c r="I1560" s="2">
        <f ca="1">IFERROR(__xludf.DUMMYFUNCTION("""COMPUTED_VALUE"""),53.627)</f>
        <v>53.627000000000002</v>
      </c>
      <c r="J1560" s="2">
        <f ca="1">IFERROR(__xludf.DUMMYFUNCTION("""COMPUTED_VALUE"""),47.609)</f>
        <v>47.609000000000002</v>
      </c>
      <c r="K1560" s="2">
        <f ca="1">IFERROR(__xludf.DUMMYFUNCTION("""COMPUTED_VALUE"""),65.025)</f>
        <v>65.025000000000006</v>
      </c>
      <c r="M1560" s="2">
        <f ca="1">IFERROR(__xludf.DUMMYFUNCTION("""COMPUTED_VALUE"""),16.498)</f>
        <v>16.498000000000001</v>
      </c>
      <c r="U1560" s="3" t="e">
        <f ca="1"/>
        <v>#NAME?</v>
      </c>
    </row>
    <row r="1561" spans="3:21" ht="12.5" x14ac:dyDescent="0.25">
      <c r="C1561" s="4">
        <f ca="1">IFERROR(__xludf.DUMMYFUNCTION("""COMPUTED_VALUE"""),41904.9986111111)</f>
        <v>41904.998611111099</v>
      </c>
      <c r="D1561" s="2">
        <f ca="1">IFERROR(__xludf.DUMMYFUNCTION("""COMPUTED_VALUE"""),60.938)</f>
        <v>60.938000000000002</v>
      </c>
      <c r="E1561" s="2">
        <f ca="1">IFERROR(__xludf.DUMMYFUNCTION("""COMPUTED_VALUE"""),77.28)</f>
        <v>77.28</v>
      </c>
      <c r="F1561" s="2">
        <f ca="1">IFERROR(__xludf.DUMMYFUNCTION("""COMPUTED_VALUE"""),101.28)</f>
        <v>101.28</v>
      </c>
      <c r="G1561" s="2">
        <f ca="1">IFERROR(__xludf.DUMMYFUNCTION("""COMPUTED_VALUE"""),0.52622)</f>
        <v>0.52622000000000002</v>
      </c>
      <c r="H1561" s="2">
        <f ca="1">IFERROR(__xludf.DUMMYFUNCTION("""COMPUTED_VALUE"""),52.973)</f>
        <v>52.972999999999999</v>
      </c>
      <c r="I1561" s="2">
        <f ca="1">IFERROR(__xludf.DUMMYFUNCTION("""COMPUTED_VALUE"""),53.651)</f>
        <v>53.651000000000003</v>
      </c>
      <c r="J1561" s="2">
        <f ca="1">IFERROR(__xludf.DUMMYFUNCTION("""COMPUTED_VALUE"""),46.696)</f>
        <v>46.695999999999998</v>
      </c>
      <c r="K1561" s="2">
        <f ca="1">IFERROR(__xludf.DUMMYFUNCTION("""COMPUTED_VALUE"""),64.91)</f>
        <v>64.91</v>
      </c>
      <c r="M1561" s="2">
        <f ca="1">IFERROR(__xludf.DUMMYFUNCTION("""COMPUTED_VALUE"""),16.517)</f>
        <v>16.516999999999999</v>
      </c>
      <c r="U1561" s="3" t="e">
        <f ca="1"/>
        <v>#NAME?</v>
      </c>
    </row>
    <row r="1562" spans="3:21" ht="12.5" x14ac:dyDescent="0.25">
      <c r="C1562" s="4">
        <f ca="1">IFERROR(__xludf.DUMMYFUNCTION("""COMPUTED_VALUE"""),41905.9986111111)</f>
        <v>41905.998611111099</v>
      </c>
      <c r="D1562" s="2">
        <f ca="1">IFERROR(__xludf.DUMMYFUNCTION("""COMPUTED_VALUE"""),60.98)</f>
        <v>60.98</v>
      </c>
      <c r="E1562" s="2">
        <f ca="1">IFERROR(__xludf.DUMMYFUNCTION("""COMPUTED_VALUE"""),77.596)</f>
        <v>77.596000000000004</v>
      </c>
      <c r="F1562" s="2">
        <f ca="1">IFERROR(__xludf.DUMMYFUNCTION("""COMPUTED_VALUE"""),101.39)</f>
        <v>101.39</v>
      </c>
      <c r="G1562" s="2">
        <f ca="1">IFERROR(__xludf.DUMMYFUNCTION("""COMPUTED_VALUE"""),0.52848)</f>
        <v>0.52847999999999995</v>
      </c>
      <c r="H1562" s="2">
        <f ca="1">IFERROR(__xludf.DUMMYFUNCTION("""COMPUTED_VALUE"""),53.964)</f>
        <v>53.963999999999999</v>
      </c>
      <c r="I1562" s="2">
        <f ca="1">IFERROR(__xludf.DUMMYFUNCTION("""COMPUTED_VALUE"""),54.657)</f>
        <v>54.656999999999996</v>
      </c>
      <c r="J1562" s="2">
        <f ca="1">IFERROR(__xludf.DUMMYFUNCTION("""COMPUTED_VALUE"""),46.696)</f>
        <v>46.695999999999998</v>
      </c>
      <c r="K1562" s="2">
        <f ca="1">IFERROR(__xludf.DUMMYFUNCTION("""COMPUTED_VALUE"""),64.035)</f>
        <v>64.034999999999997</v>
      </c>
      <c r="M1562" s="2">
        <f ca="1">IFERROR(__xludf.DUMMYFUNCTION("""COMPUTED_VALUE"""),16.461)</f>
        <v>16.460999999999999</v>
      </c>
      <c r="U1562" s="3" t="e">
        <f ca="1"/>
        <v>#NAME?</v>
      </c>
    </row>
    <row r="1563" spans="3:21" ht="12.5" x14ac:dyDescent="0.25">
      <c r="C1563" s="4">
        <f ca="1">IFERROR(__xludf.DUMMYFUNCTION("""COMPUTED_VALUE"""),41906.9986111111)</f>
        <v>41906.998611111099</v>
      </c>
      <c r="D1563" s="2">
        <f ca="1">IFERROR(__xludf.DUMMYFUNCTION("""COMPUTED_VALUE"""),60.938)</f>
        <v>60.938000000000002</v>
      </c>
      <c r="E1563" s="2">
        <f ca="1">IFERROR(__xludf.DUMMYFUNCTION("""COMPUTED_VALUE"""),77.605)</f>
        <v>77.605000000000004</v>
      </c>
      <c r="F1563" s="2">
        <f ca="1">IFERROR(__xludf.DUMMYFUNCTION("""COMPUTED_VALUE"""),101.479)</f>
        <v>101.479</v>
      </c>
      <c r="G1563" s="2">
        <f ca="1">IFERROR(__xludf.DUMMYFUNCTION("""COMPUTED_VALUE"""),0.52659)</f>
        <v>0.52659</v>
      </c>
      <c r="H1563" s="2">
        <f ca="1">IFERROR(__xludf.DUMMYFUNCTION("""COMPUTED_VALUE"""),53.789)</f>
        <v>53.789000000000001</v>
      </c>
      <c r="I1563" s="2">
        <f ca="1">IFERROR(__xludf.DUMMYFUNCTION("""COMPUTED_VALUE"""),54.667)</f>
        <v>54.667000000000002</v>
      </c>
      <c r="J1563" s="2">
        <f ca="1">IFERROR(__xludf.DUMMYFUNCTION("""COMPUTED_VALUE"""),47.563)</f>
        <v>47.563000000000002</v>
      </c>
      <c r="K1563" s="2">
        <f ca="1">IFERROR(__xludf.DUMMYFUNCTION("""COMPUTED_VALUE"""),65.243)</f>
        <v>65.242999999999995</v>
      </c>
      <c r="M1563" s="2">
        <f ca="1">IFERROR(__xludf.DUMMYFUNCTION("""COMPUTED_VALUE"""),16.461)</f>
        <v>16.460999999999999</v>
      </c>
      <c r="U1563" s="3" t="e">
        <f ca="1"/>
        <v>#NAME?</v>
      </c>
    </row>
    <row r="1564" spans="3:21" ht="12.5" x14ac:dyDescent="0.25">
      <c r="C1564" s="4">
        <f ca="1">IFERROR(__xludf.DUMMYFUNCTION("""COMPUTED_VALUE"""),41907.9986111111)</f>
        <v>41907.998611111099</v>
      </c>
      <c r="D1564" s="2">
        <f ca="1">IFERROR(__xludf.DUMMYFUNCTION("""COMPUTED_VALUE"""),61.49)</f>
        <v>61.49</v>
      </c>
      <c r="E1564" s="2">
        <f ca="1">IFERROR(__xludf.DUMMYFUNCTION("""COMPUTED_VALUE"""),76.527)</f>
        <v>76.527000000000001</v>
      </c>
      <c r="F1564" s="2">
        <f ca="1">IFERROR(__xludf.DUMMYFUNCTION("""COMPUTED_VALUE"""),101.46)</f>
        <v>101.46</v>
      </c>
      <c r="G1564" s="2">
        <f ca="1">IFERROR(__xludf.DUMMYFUNCTION("""COMPUTED_VALUE"""),0.52772)</f>
        <v>0.52771999999999997</v>
      </c>
      <c r="H1564" s="2">
        <f ca="1">IFERROR(__xludf.DUMMYFUNCTION("""COMPUTED_VALUE"""),53.697)</f>
        <v>53.697000000000003</v>
      </c>
      <c r="I1564" s="2">
        <f ca="1">IFERROR(__xludf.DUMMYFUNCTION("""COMPUTED_VALUE"""),54.46)</f>
        <v>54.46</v>
      </c>
      <c r="J1564" s="2">
        <f ca="1">IFERROR(__xludf.DUMMYFUNCTION("""COMPUTED_VALUE"""),47.564)</f>
        <v>47.564</v>
      </c>
      <c r="K1564" s="2">
        <f ca="1">IFERROR(__xludf.DUMMYFUNCTION("""COMPUTED_VALUE"""),65.354)</f>
        <v>65.353999999999999</v>
      </c>
      <c r="M1564" s="2">
        <f ca="1">IFERROR(__xludf.DUMMYFUNCTION("""COMPUTED_VALUE"""),16.461)</f>
        <v>16.460999999999999</v>
      </c>
      <c r="U1564" s="3" t="e">
        <f ca="1"/>
        <v>#NAME?</v>
      </c>
    </row>
    <row r="1565" spans="3:21" ht="12.5" x14ac:dyDescent="0.25">
      <c r="C1565" s="4">
        <f ca="1">IFERROR(__xludf.DUMMYFUNCTION("""COMPUTED_VALUE"""),41908.9986111111)</f>
        <v>41908.998611111099</v>
      </c>
      <c r="D1565" s="2">
        <f ca="1">IFERROR(__xludf.DUMMYFUNCTION("""COMPUTED_VALUE"""),61.138)</f>
        <v>61.137999999999998</v>
      </c>
      <c r="E1565" s="2">
        <f ca="1">IFERROR(__xludf.DUMMYFUNCTION("""COMPUTED_VALUE"""),76.527)</f>
        <v>76.527000000000001</v>
      </c>
      <c r="F1565" s="2">
        <f ca="1">IFERROR(__xludf.DUMMYFUNCTION("""COMPUTED_VALUE"""),101.57)</f>
        <v>101.57</v>
      </c>
      <c r="G1565" s="2">
        <f ca="1">IFERROR(__xludf.DUMMYFUNCTION("""COMPUTED_VALUE"""),0.52705)</f>
        <v>0.52705000000000002</v>
      </c>
      <c r="H1565" s="2">
        <f ca="1">IFERROR(__xludf.DUMMYFUNCTION("""COMPUTED_VALUE"""),53.196)</f>
        <v>53.195999999999998</v>
      </c>
      <c r="I1565" s="2">
        <f ca="1">IFERROR(__xludf.DUMMYFUNCTION("""COMPUTED_VALUE"""),54.503)</f>
        <v>54.503</v>
      </c>
      <c r="J1565" s="2">
        <f ca="1">IFERROR(__xludf.DUMMYFUNCTION("""COMPUTED_VALUE"""),47.491)</f>
        <v>47.491</v>
      </c>
      <c r="K1565" s="2">
        <f ca="1">IFERROR(__xludf.DUMMYFUNCTION("""COMPUTED_VALUE"""),64.556)</f>
        <v>64.555999999999997</v>
      </c>
      <c r="M1565" s="2">
        <f ca="1">IFERROR(__xludf.DUMMYFUNCTION("""COMPUTED_VALUE"""),16.489)</f>
        <v>16.489000000000001</v>
      </c>
      <c r="U1565" s="3" t="e">
        <f ca="1"/>
        <v>#NAME?</v>
      </c>
    </row>
    <row r="1566" spans="3:21" ht="12.5" x14ac:dyDescent="0.25">
      <c r="C1566" s="4">
        <f ca="1">IFERROR(__xludf.DUMMYFUNCTION("""COMPUTED_VALUE"""),41909.9986111111)</f>
        <v>41909.998611111099</v>
      </c>
      <c r="D1566" s="2">
        <f ca="1">IFERROR(__xludf.DUMMYFUNCTION("""COMPUTED_VALUE"""),61.138)</f>
        <v>61.137999999999998</v>
      </c>
      <c r="E1566" s="2">
        <f ca="1">IFERROR(__xludf.DUMMYFUNCTION("""COMPUTED_VALUE"""),76.812)</f>
        <v>76.811999999999998</v>
      </c>
      <c r="F1566" s="2">
        <f ca="1">IFERROR(__xludf.DUMMYFUNCTION("""COMPUTED_VALUE"""),100.75)</f>
        <v>100.75</v>
      </c>
      <c r="G1566" s="2">
        <f ca="1">IFERROR(__xludf.DUMMYFUNCTION("""COMPUTED_VALUE"""),0.5302)</f>
        <v>0.5302</v>
      </c>
      <c r="H1566" s="2">
        <f ca="1">IFERROR(__xludf.DUMMYFUNCTION("""COMPUTED_VALUE"""),53.338)</f>
        <v>53.338000000000001</v>
      </c>
      <c r="I1566" s="2">
        <f ca="1">IFERROR(__xludf.DUMMYFUNCTION("""COMPUTED_VALUE"""),54.698)</f>
        <v>54.698</v>
      </c>
      <c r="J1566" s="2">
        <f ca="1">IFERROR(__xludf.DUMMYFUNCTION("""COMPUTED_VALUE"""),47.493)</f>
        <v>47.493000000000002</v>
      </c>
      <c r="K1566" s="2">
        <f ca="1">IFERROR(__xludf.DUMMYFUNCTION("""COMPUTED_VALUE"""),64.954)</f>
        <v>64.953999999999994</v>
      </c>
      <c r="M1566" s="2">
        <f ca="1">IFERROR(__xludf.DUMMYFUNCTION("""COMPUTED_VALUE"""),16.46)</f>
        <v>16.46</v>
      </c>
      <c r="U1566" s="3" t="e">
        <f ca="1"/>
        <v>#NAME?</v>
      </c>
    </row>
    <row r="1567" spans="3:21" ht="12.5" x14ac:dyDescent="0.25">
      <c r="C1567" s="4">
        <f ca="1">IFERROR(__xludf.DUMMYFUNCTION("""COMPUTED_VALUE"""),41910.9986111111)</f>
        <v>41910.998611111099</v>
      </c>
      <c r="D1567" s="2">
        <f ca="1">IFERROR(__xludf.DUMMYFUNCTION("""COMPUTED_VALUE"""),61.138)</f>
        <v>61.137999999999998</v>
      </c>
      <c r="E1567" s="2">
        <f ca="1">IFERROR(__xludf.DUMMYFUNCTION("""COMPUTED_VALUE"""),77.112)</f>
        <v>77.111999999999995</v>
      </c>
      <c r="F1567" s="2">
        <f ca="1">IFERROR(__xludf.DUMMYFUNCTION("""COMPUTED_VALUE"""),100.58)</f>
        <v>100.58</v>
      </c>
      <c r="G1567" s="2">
        <f ca="1">IFERROR(__xludf.DUMMYFUNCTION("""COMPUTED_VALUE"""),0.52605)</f>
        <v>0.52605000000000002</v>
      </c>
      <c r="H1567" s="2">
        <f ca="1">IFERROR(__xludf.DUMMYFUNCTION("""COMPUTED_VALUE"""),53.548)</f>
        <v>53.548000000000002</v>
      </c>
      <c r="I1567" s="2">
        <f ca="1">IFERROR(__xludf.DUMMYFUNCTION("""COMPUTED_VALUE"""),54.982)</f>
        <v>54.981999999999999</v>
      </c>
      <c r="J1567" s="2">
        <f ca="1">IFERROR(__xludf.DUMMYFUNCTION("""COMPUTED_VALUE"""),47.552)</f>
        <v>47.552</v>
      </c>
      <c r="K1567" s="2">
        <f ca="1">IFERROR(__xludf.DUMMYFUNCTION("""COMPUTED_VALUE"""),64.612)</f>
        <v>64.611999999999995</v>
      </c>
      <c r="M1567" s="2">
        <f ca="1">IFERROR(__xludf.DUMMYFUNCTION("""COMPUTED_VALUE"""),16.457)</f>
        <v>16.457000000000001</v>
      </c>
      <c r="U1567" s="3" t="e">
        <f ca="1"/>
        <v>#NAME?</v>
      </c>
    </row>
    <row r="1568" spans="3:21" ht="12.5" x14ac:dyDescent="0.25">
      <c r="C1568" s="4">
        <f ca="1">IFERROR(__xludf.DUMMYFUNCTION("""COMPUTED_VALUE"""),41911.9986111111)</f>
        <v>41911.998611111099</v>
      </c>
      <c r="D1568" s="2">
        <f ca="1">IFERROR(__xludf.DUMMYFUNCTION("""COMPUTED_VALUE"""),61.67)</f>
        <v>61.67</v>
      </c>
      <c r="E1568" s="2">
        <f ca="1">IFERROR(__xludf.DUMMYFUNCTION("""COMPUTED_VALUE"""),77.195)</f>
        <v>77.194999999999993</v>
      </c>
      <c r="F1568" s="2">
        <f ca="1">IFERROR(__xludf.DUMMYFUNCTION("""COMPUTED_VALUE"""),100.49)</f>
        <v>100.49</v>
      </c>
      <c r="G1568" s="2">
        <f ca="1">IFERROR(__xludf.DUMMYFUNCTION("""COMPUTED_VALUE"""),0.52611)</f>
        <v>0.52610999999999997</v>
      </c>
      <c r="H1568" s="2">
        <f ca="1">IFERROR(__xludf.DUMMYFUNCTION("""COMPUTED_VALUE"""),53.546)</f>
        <v>53.545999999999999</v>
      </c>
      <c r="I1568" s="2">
        <f ca="1">IFERROR(__xludf.DUMMYFUNCTION("""COMPUTED_VALUE"""),54.982)</f>
        <v>54.981999999999999</v>
      </c>
      <c r="J1568" s="2">
        <f ca="1">IFERROR(__xludf.DUMMYFUNCTION("""COMPUTED_VALUE"""),47.522)</f>
        <v>47.521999999999998</v>
      </c>
      <c r="K1568" s="2">
        <f ca="1">IFERROR(__xludf.DUMMYFUNCTION("""COMPUTED_VALUE"""),64.695)</f>
        <v>64.694999999999993</v>
      </c>
      <c r="M1568" s="2">
        <f ca="1">IFERROR(__xludf.DUMMYFUNCTION("""COMPUTED_VALUE"""),16.501)</f>
        <v>16.501000000000001</v>
      </c>
      <c r="U1568" s="3" t="e">
        <f ca="1"/>
        <v>#NAME?</v>
      </c>
    </row>
    <row r="1569" spans="3:21" ht="12.5" x14ac:dyDescent="0.25">
      <c r="C1569" s="4">
        <f ca="1">IFERROR(__xludf.DUMMYFUNCTION("""COMPUTED_VALUE"""),41912.9986111111)</f>
        <v>41912.998611111099</v>
      </c>
      <c r="D1569" s="2">
        <f ca="1">IFERROR(__xludf.DUMMYFUNCTION("""COMPUTED_VALUE"""),61.933)</f>
        <v>61.933</v>
      </c>
      <c r="E1569" s="2">
        <f ca="1">IFERROR(__xludf.DUMMYFUNCTION("""COMPUTED_VALUE"""),77.007)</f>
        <v>77.007000000000005</v>
      </c>
      <c r="F1569" s="2">
        <f ca="1">IFERROR(__xludf.DUMMYFUNCTION("""COMPUTED_VALUE"""),100.08)</f>
        <v>100.08</v>
      </c>
      <c r="G1569" s="2">
        <f ca="1">IFERROR(__xludf.DUMMYFUNCTION("""COMPUTED_VALUE"""),0.52524)</f>
        <v>0.52524000000000004</v>
      </c>
      <c r="H1569" s="2">
        <f ca="1">IFERROR(__xludf.DUMMYFUNCTION("""COMPUTED_VALUE"""),53.097)</f>
        <v>53.097000000000001</v>
      </c>
      <c r="I1569" s="2">
        <f ca="1">IFERROR(__xludf.DUMMYFUNCTION("""COMPUTED_VALUE"""),54.711)</f>
        <v>54.710999999999999</v>
      </c>
      <c r="J1569" s="2">
        <f ca="1">IFERROR(__xludf.DUMMYFUNCTION("""COMPUTED_VALUE"""),47.522)</f>
        <v>47.521999999999998</v>
      </c>
      <c r="K1569" s="2">
        <f ca="1">IFERROR(__xludf.DUMMYFUNCTION("""COMPUTED_VALUE"""),64.779)</f>
        <v>64.778999999999996</v>
      </c>
      <c r="M1569" s="2">
        <f ca="1">IFERROR(__xludf.DUMMYFUNCTION("""COMPUTED_VALUE"""),16.475)</f>
        <v>16.475000000000001</v>
      </c>
      <c r="U1569" s="3" t="e">
        <f ca="1"/>
        <v>#NAME?</v>
      </c>
    </row>
    <row r="1570" spans="3:21" ht="12.5" x14ac:dyDescent="0.25">
      <c r="C1570" s="4">
        <f ca="1">IFERROR(__xludf.DUMMYFUNCTION("""COMPUTED_VALUE"""),41913.9986111111)</f>
        <v>41913.998611111099</v>
      </c>
      <c r="D1570" s="2">
        <f ca="1">IFERROR(__xludf.DUMMYFUNCTION("""COMPUTED_VALUE"""),61.718)</f>
        <v>61.718000000000004</v>
      </c>
      <c r="E1570" s="2">
        <f ca="1">IFERROR(__xludf.DUMMYFUNCTION("""COMPUTED_VALUE"""),76.4261)</f>
        <v>76.426100000000005</v>
      </c>
      <c r="F1570" s="2">
        <f ca="1">IFERROR(__xludf.DUMMYFUNCTION("""COMPUTED_VALUE"""),100.21)</f>
        <v>100.21</v>
      </c>
      <c r="G1570" s="2">
        <f ca="1">IFERROR(__xludf.DUMMYFUNCTION("""COMPUTED_VALUE"""),0.52966)</f>
        <v>0.52966000000000002</v>
      </c>
      <c r="H1570" s="2">
        <f ca="1">IFERROR(__xludf.DUMMYFUNCTION("""COMPUTED_VALUE"""),52.809)</f>
        <v>52.808999999999997</v>
      </c>
      <c r="I1570" s="2">
        <f ca="1">IFERROR(__xludf.DUMMYFUNCTION("""COMPUTED_VALUE"""),54.905)</f>
        <v>54.905000000000001</v>
      </c>
      <c r="J1570" s="2">
        <f ca="1">IFERROR(__xludf.DUMMYFUNCTION("""COMPUTED_VALUE"""),47.391)</f>
        <v>47.390999999999998</v>
      </c>
      <c r="K1570" s="2">
        <f ca="1">IFERROR(__xludf.DUMMYFUNCTION("""COMPUTED_VALUE"""),64.9)</f>
        <v>64.900000000000006</v>
      </c>
      <c r="M1570" s="2">
        <f ca="1">IFERROR(__xludf.DUMMYFUNCTION("""COMPUTED_VALUE"""),16.475)</f>
        <v>16.475000000000001</v>
      </c>
      <c r="U1570" s="3" t="e">
        <f ca="1"/>
        <v>#NAME?</v>
      </c>
    </row>
    <row r="1571" spans="3:21" ht="12.5" x14ac:dyDescent="0.25">
      <c r="C1571" s="4">
        <f ca="1">IFERROR(__xludf.DUMMYFUNCTION("""COMPUTED_VALUE"""),41914.9986111111)</f>
        <v>41914.998611111099</v>
      </c>
      <c r="D1571" s="2">
        <f ca="1">IFERROR(__xludf.DUMMYFUNCTION("""COMPUTED_VALUE"""),61.538)</f>
        <v>61.537999999999997</v>
      </c>
      <c r="E1571" s="2">
        <f ca="1">IFERROR(__xludf.DUMMYFUNCTION("""COMPUTED_VALUE"""),77.175)</f>
        <v>77.174999999999997</v>
      </c>
      <c r="F1571" s="2">
        <f ca="1">IFERROR(__xludf.DUMMYFUNCTION("""COMPUTED_VALUE"""),100.2)</f>
        <v>100.2</v>
      </c>
      <c r="G1571" s="2">
        <f ca="1">IFERROR(__xludf.DUMMYFUNCTION("""COMPUTED_VALUE"""),0.53515)</f>
        <v>0.53515000000000001</v>
      </c>
      <c r="H1571" s="2">
        <f ca="1">IFERROR(__xludf.DUMMYFUNCTION("""COMPUTED_VALUE"""),52.664)</f>
        <v>52.664000000000001</v>
      </c>
      <c r="I1571" s="2">
        <f ca="1">IFERROR(__xludf.DUMMYFUNCTION("""COMPUTED_VALUE"""),54.84)</f>
        <v>54.84</v>
      </c>
      <c r="J1571" s="2">
        <f ca="1">IFERROR(__xludf.DUMMYFUNCTION("""COMPUTED_VALUE"""),47.541)</f>
        <v>47.540999999999997</v>
      </c>
      <c r="K1571" s="2">
        <f ca="1">IFERROR(__xludf.DUMMYFUNCTION("""COMPUTED_VALUE"""),64.375)</f>
        <v>64.375</v>
      </c>
      <c r="M1571" s="2">
        <f ca="1">IFERROR(__xludf.DUMMYFUNCTION("""COMPUTED_VALUE"""),16.475)</f>
        <v>16.475000000000001</v>
      </c>
      <c r="U1571" s="3" t="e">
        <f ca="1"/>
        <v>#NAME?</v>
      </c>
    </row>
    <row r="1572" spans="3:21" ht="12.5" x14ac:dyDescent="0.25">
      <c r="C1572" s="4">
        <f ca="1">IFERROR(__xludf.DUMMYFUNCTION("""COMPUTED_VALUE"""),41915.9986111111)</f>
        <v>41915.998611111099</v>
      </c>
      <c r="D1572" s="2">
        <f ca="1">IFERROR(__xludf.DUMMYFUNCTION("""COMPUTED_VALUE"""),61.65)</f>
        <v>61.65</v>
      </c>
      <c r="E1572" s="2">
        <f ca="1">IFERROR(__xludf.DUMMYFUNCTION("""COMPUTED_VALUE"""),76.475)</f>
        <v>76.474999999999994</v>
      </c>
      <c r="F1572" s="2">
        <f ca="1">IFERROR(__xludf.DUMMYFUNCTION("""COMPUTED_VALUE"""),100.27)</f>
        <v>100.27</v>
      </c>
      <c r="G1572" s="2">
        <f ca="1">IFERROR(__xludf.DUMMYFUNCTION("""COMPUTED_VALUE"""),0.52989)</f>
        <v>0.52988999999999997</v>
      </c>
      <c r="H1572" s="2">
        <f ca="1">IFERROR(__xludf.DUMMYFUNCTION("""COMPUTED_VALUE"""),52.64)</f>
        <v>52.64</v>
      </c>
      <c r="I1572" s="2">
        <f ca="1">IFERROR(__xludf.DUMMYFUNCTION("""COMPUTED_VALUE"""),54.488)</f>
        <v>54.488</v>
      </c>
      <c r="J1572" s="2">
        <f ca="1">IFERROR(__xludf.DUMMYFUNCTION("""COMPUTED_VALUE"""),47.549)</f>
        <v>47.548999999999999</v>
      </c>
      <c r="K1572" s="2">
        <f ca="1">IFERROR(__xludf.DUMMYFUNCTION("""COMPUTED_VALUE"""),64.741)</f>
        <v>64.741</v>
      </c>
      <c r="M1572" s="2">
        <f ca="1">IFERROR(__xludf.DUMMYFUNCTION("""COMPUTED_VALUE"""),16.478)</f>
        <v>16.478000000000002</v>
      </c>
      <c r="U1572" s="3" t="e">
        <f ca="1"/>
        <v>#NAME?</v>
      </c>
    </row>
    <row r="1573" spans="3:21" ht="12.5" x14ac:dyDescent="0.25">
      <c r="C1573" s="4">
        <f ca="1">IFERROR(__xludf.DUMMYFUNCTION("""COMPUTED_VALUE"""),41916.9986111111)</f>
        <v>41916.998611111099</v>
      </c>
      <c r="D1573" s="2">
        <f ca="1">IFERROR(__xludf.DUMMYFUNCTION("""COMPUTED_VALUE"""),61.538)</f>
        <v>61.537999999999997</v>
      </c>
      <c r="E1573" s="2">
        <f ca="1">IFERROR(__xludf.DUMMYFUNCTION("""COMPUTED_VALUE"""),76.107)</f>
        <v>76.106999999999999</v>
      </c>
      <c r="F1573" s="2">
        <f ca="1">IFERROR(__xludf.DUMMYFUNCTION("""COMPUTED_VALUE"""),99.89)</f>
        <v>99.89</v>
      </c>
      <c r="G1573" s="2">
        <f ca="1">IFERROR(__xludf.DUMMYFUNCTION("""COMPUTED_VALUE"""),0.52271)</f>
        <v>0.52271000000000001</v>
      </c>
      <c r="H1573" s="2">
        <f ca="1">IFERROR(__xludf.DUMMYFUNCTION("""COMPUTED_VALUE"""),52.918)</f>
        <v>52.917999999999999</v>
      </c>
      <c r="I1573" s="2">
        <f ca="1">IFERROR(__xludf.DUMMYFUNCTION("""COMPUTED_VALUE"""),54.479)</f>
        <v>54.478999999999999</v>
      </c>
      <c r="J1573" s="2">
        <f ca="1">IFERROR(__xludf.DUMMYFUNCTION("""COMPUTED_VALUE"""),47.531)</f>
        <v>47.530999999999999</v>
      </c>
      <c r="K1573" s="2">
        <f ca="1">IFERROR(__xludf.DUMMYFUNCTION("""COMPUTED_VALUE"""),64.197)</f>
        <v>64.197000000000003</v>
      </c>
      <c r="M1573" s="2">
        <f ca="1">IFERROR(__xludf.DUMMYFUNCTION("""COMPUTED_VALUE"""),16.52)</f>
        <v>16.52</v>
      </c>
      <c r="U1573" s="3" t="e">
        <f ca="1"/>
        <v>#NAME?</v>
      </c>
    </row>
    <row r="1574" spans="3:21" ht="12.5" x14ac:dyDescent="0.25">
      <c r="C1574" s="4">
        <f ca="1">IFERROR(__xludf.DUMMYFUNCTION("""COMPUTED_VALUE"""),41917.9986111111)</f>
        <v>41917.998611111099</v>
      </c>
      <c r="D1574" s="2">
        <f ca="1">IFERROR(__xludf.DUMMYFUNCTION("""COMPUTED_VALUE"""),61.715)</f>
        <v>61.715000000000003</v>
      </c>
      <c r="E1574" s="2">
        <f ca="1">IFERROR(__xludf.DUMMYFUNCTION("""COMPUTED_VALUE"""),76.453)</f>
        <v>76.453000000000003</v>
      </c>
      <c r="F1574" s="2">
        <f ca="1">IFERROR(__xludf.DUMMYFUNCTION("""COMPUTED_VALUE"""),100.1)</f>
        <v>100.1</v>
      </c>
      <c r="G1574" s="2">
        <f ca="1">IFERROR(__xludf.DUMMYFUNCTION("""COMPUTED_VALUE"""),0.52597)</f>
        <v>0.52597000000000005</v>
      </c>
      <c r="H1574" s="2">
        <f ca="1">IFERROR(__xludf.DUMMYFUNCTION("""COMPUTED_VALUE"""),52.465)</f>
        <v>52.465000000000003</v>
      </c>
      <c r="I1574" s="2">
        <f ca="1">IFERROR(__xludf.DUMMYFUNCTION("""COMPUTED_VALUE"""),54.66)</f>
        <v>54.66</v>
      </c>
      <c r="J1574" s="2">
        <f ca="1">IFERROR(__xludf.DUMMYFUNCTION("""COMPUTED_VALUE"""),47.695)</f>
        <v>47.695</v>
      </c>
      <c r="K1574" s="2">
        <f ca="1">IFERROR(__xludf.DUMMYFUNCTION("""COMPUTED_VALUE"""),64.262)</f>
        <v>64.262</v>
      </c>
      <c r="M1574" s="2">
        <f ca="1">IFERROR(__xludf.DUMMYFUNCTION("""COMPUTED_VALUE"""),16.466)</f>
        <v>16.466000000000001</v>
      </c>
      <c r="U1574" s="3" t="e">
        <f ca="1"/>
        <v>#NAME?</v>
      </c>
    </row>
    <row r="1575" spans="3:21" ht="12.5" x14ac:dyDescent="0.25">
      <c r="C1575" s="4">
        <f ca="1">IFERROR(__xludf.DUMMYFUNCTION("""COMPUTED_VALUE"""),41918.9986111111)</f>
        <v>41918.998611111099</v>
      </c>
      <c r="D1575" s="2">
        <f ca="1">IFERROR(__xludf.DUMMYFUNCTION("""COMPUTED_VALUE"""),61.538)</f>
        <v>61.537999999999997</v>
      </c>
      <c r="E1575" s="2">
        <f ca="1">IFERROR(__xludf.DUMMYFUNCTION("""COMPUTED_VALUE"""),76.064)</f>
        <v>76.063999999999993</v>
      </c>
      <c r="F1575" s="2">
        <f ca="1">IFERROR(__xludf.DUMMYFUNCTION("""COMPUTED_VALUE"""),100.24)</f>
        <v>100.24</v>
      </c>
      <c r="G1575" s="2">
        <f ca="1">IFERROR(__xludf.DUMMYFUNCTION("""COMPUTED_VALUE"""),0.52397)</f>
        <v>0.52397000000000005</v>
      </c>
      <c r="H1575" s="2">
        <f ca="1">IFERROR(__xludf.DUMMYFUNCTION("""COMPUTED_VALUE"""),52.23)</f>
        <v>52.23</v>
      </c>
      <c r="I1575" s="2">
        <f ca="1">IFERROR(__xludf.DUMMYFUNCTION("""COMPUTED_VALUE"""),54.145)</f>
        <v>54.145000000000003</v>
      </c>
      <c r="J1575" s="2">
        <f ca="1">IFERROR(__xludf.DUMMYFUNCTION("""COMPUTED_VALUE"""),47.384)</f>
        <v>47.384</v>
      </c>
      <c r="K1575" s="2">
        <f ca="1">IFERROR(__xludf.DUMMYFUNCTION("""COMPUTED_VALUE"""),64.262)</f>
        <v>64.262</v>
      </c>
      <c r="M1575" s="2">
        <f ca="1">IFERROR(__xludf.DUMMYFUNCTION("""COMPUTED_VALUE"""),16.436)</f>
        <v>16.436</v>
      </c>
      <c r="U1575" s="3" t="e">
        <f ca="1"/>
        <v>#NAME?</v>
      </c>
    </row>
    <row r="1576" spans="3:21" ht="12.5" x14ac:dyDescent="0.25">
      <c r="C1576" s="4">
        <f ca="1">IFERROR(__xludf.DUMMYFUNCTION("""COMPUTED_VALUE"""),41919.9986111111)</f>
        <v>41919.998611111099</v>
      </c>
      <c r="D1576" s="2">
        <f ca="1">IFERROR(__xludf.DUMMYFUNCTION("""COMPUTED_VALUE"""),61.298)</f>
        <v>61.298000000000002</v>
      </c>
      <c r="E1576" s="2">
        <f ca="1">IFERROR(__xludf.DUMMYFUNCTION("""COMPUTED_VALUE"""),76.064)</f>
        <v>76.063999999999993</v>
      </c>
      <c r="F1576" s="2">
        <f ca="1">IFERROR(__xludf.DUMMYFUNCTION("""COMPUTED_VALUE"""),99.616)</f>
        <v>99.616</v>
      </c>
      <c r="G1576" s="2">
        <f ca="1">IFERROR(__xludf.DUMMYFUNCTION("""COMPUTED_VALUE"""),0.52555)</f>
        <v>0.52554999999999996</v>
      </c>
      <c r="H1576" s="2">
        <f ca="1">IFERROR(__xludf.DUMMYFUNCTION("""COMPUTED_VALUE"""),51.89)</f>
        <v>51.89</v>
      </c>
      <c r="I1576" s="2">
        <f ca="1">IFERROR(__xludf.DUMMYFUNCTION("""COMPUTED_VALUE"""),54.385)</f>
        <v>54.384999999999998</v>
      </c>
      <c r="J1576" s="2">
        <f ca="1">IFERROR(__xludf.DUMMYFUNCTION("""COMPUTED_VALUE"""),47.092)</f>
        <v>47.091999999999999</v>
      </c>
      <c r="K1576" s="2">
        <f ca="1">IFERROR(__xludf.DUMMYFUNCTION("""COMPUTED_VALUE"""),64.657)</f>
        <v>64.656999999999996</v>
      </c>
      <c r="M1576" s="2">
        <f ca="1">IFERROR(__xludf.DUMMYFUNCTION("""COMPUTED_VALUE"""),16.441)</f>
        <v>16.440999999999999</v>
      </c>
      <c r="U1576" s="3" t="e">
        <f ca="1"/>
        <v>#NAME?</v>
      </c>
    </row>
    <row r="1577" spans="3:21" ht="12.5" x14ac:dyDescent="0.25">
      <c r="C1577" s="4">
        <f ca="1">IFERROR(__xludf.DUMMYFUNCTION("""COMPUTED_VALUE"""),41920.9986111111)</f>
        <v>41920.998611111099</v>
      </c>
      <c r="D1577" s="2">
        <f ca="1">IFERROR(__xludf.DUMMYFUNCTION("""COMPUTED_VALUE"""),61.353)</f>
        <v>61.353000000000002</v>
      </c>
      <c r="E1577" s="2">
        <f ca="1">IFERROR(__xludf.DUMMYFUNCTION("""COMPUTED_VALUE"""),76.058)</f>
        <v>76.058000000000007</v>
      </c>
      <c r="F1577" s="2">
        <f ca="1">IFERROR(__xludf.DUMMYFUNCTION("""COMPUTED_VALUE"""),100.361)</f>
        <v>100.361</v>
      </c>
      <c r="G1577" s="2">
        <f ca="1">IFERROR(__xludf.DUMMYFUNCTION("""COMPUTED_VALUE"""),0.52813)</f>
        <v>0.52812999999999999</v>
      </c>
      <c r="H1577" s="2">
        <f ca="1">IFERROR(__xludf.DUMMYFUNCTION("""COMPUTED_VALUE"""),51.771)</f>
        <v>51.771000000000001</v>
      </c>
      <c r="I1577" s="2">
        <f ca="1">IFERROR(__xludf.DUMMYFUNCTION("""COMPUTED_VALUE"""),54.234)</f>
        <v>54.234000000000002</v>
      </c>
      <c r="J1577" s="2">
        <f ca="1">IFERROR(__xludf.DUMMYFUNCTION("""COMPUTED_VALUE"""),47.097)</f>
        <v>47.097000000000001</v>
      </c>
      <c r="K1577" s="2">
        <f ca="1">IFERROR(__xludf.DUMMYFUNCTION("""COMPUTED_VALUE"""),64.798)</f>
        <v>64.798000000000002</v>
      </c>
      <c r="M1577" s="2">
        <f ca="1">IFERROR(__xludf.DUMMYFUNCTION("""COMPUTED_VALUE"""),16.441)</f>
        <v>16.440999999999999</v>
      </c>
      <c r="U1577" s="3" t="e">
        <f ca="1"/>
        <v>#NAME?</v>
      </c>
    </row>
    <row r="1578" spans="3:21" ht="12.5" x14ac:dyDescent="0.25">
      <c r="C1578" s="4">
        <f ca="1">IFERROR(__xludf.DUMMYFUNCTION("""COMPUTED_VALUE"""),41921.9986111111)</f>
        <v>41921.998611111099</v>
      </c>
      <c r="D1578" s="2">
        <f ca="1">IFERROR(__xludf.DUMMYFUNCTION("""COMPUTED_VALUE"""),61.048)</f>
        <v>61.048000000000002</v>
      </c>
      <c r="E1578" s="2">
        <f ca="1">IFERROR(__xludf.DUMMYFUNCTION("""COMPUTED_VALUE"""),76.62)</f>
        <v>76.62</v>
      </c>
      <c r="F1578" s="2">
        <f ca="1">IFERROR(__xludf.DUMMYFUNCTION("""COMPUTED_VALUE"""),100.47)</f>
        <v>100.47</v>
      </c>
      <c r="G1578" s="2">
        <f ca="1">IFERROR(__xludf.DUMMYFUNCTION("""COMPUTED_VALUE"""),0.53384)</f>
        <v>0.53383999999999998</v>
      </c>
      <c r="H1578" s="2">
        <f ca="1">IFERROR(__xludf.DUMMYFUNCTION("""COMPUTED_VALUE"""),51.53)</f>
        <v>51.53</v>
      </c>
      <c r="I1578" s="2">
        <f ca="1">IFERROR(__xludf.DUMMYFUNCTION("""COMPUTED_VALUE"""),54.151)</f>
        <v>54.151000000000003</v>
      </c>
      <c r="J1578" s="2">
        <f ca="1">IFERROR(__xludf.DUMMYFUNCTION("""COMPUTED_VALUE"""),47.054)</f>
        <v>47.054000000000002</v>
      </c>
      <c r="K1578" s="2">
        <f ca="1">IFERROR(__xludf.DUMMYFUNCTION("""COMPUTED_VALUE"""),64.473)</f>
        <v>64.472999999999999</v>
      </c>
      <c r="M1578" s="2">
        <f ca="1">IFERROR(__xludf.DUMMYFUNCTION("""COMPUTED_VALUE"""),16.441)</f>
        <v>16.440999999999999</v>
      </c>
      <c r="U1578" s="3" t="e">
        <f ca="1"/>
        <v>#NAME?</v>
      </c>
    </row>
    <row r="1579" spans="3:21" ht="12.5" x14ac:dyDescent="0.25">
      <c r="C1579" s="4">
        <f ca="1">IFERROR(__xludf.DUMMYFUNCTION("""COMPUTED_VALUE"""),41922.9986111111)</f>
        <v>41922.998611111099</v>
      </c>
      <c r="D1579" s="2">
        <f ca="1">IFERROR(__xludf.DUMMYFUNCTION("""COMPUTED_VALUE"""),61.278)</f>
        <v>61.277999999999999</v>
      </c>
      <c r="E1579" s="2">
        <f ca="1">IFERROR(__xludf.DUMMYFUNCTION("""COMPUTED_VALUE"""),77.256)</f>
        <v>77.256</v>
      </c>
      <c r="F1579" s="2">
        <f ca="1">IFERROR(__xludf.DUMMYFUNCTION("""COMPUTED_VALUE"""),100.45)</f>
        <v>100.45</v>
      </c>
      <c r="G1579" s="2">
        <f ca="1">IFERROR(__xludf.DUMMYFUNCTION("""COMPUTED_VALUE"""),0.52589)</f>
        <v>0.52588999999999997</v>
      </c>
      <c r="H1579" s="2">
        <f ca="1">IFERROR(__xludf.DUMMYFUNCTION("""COMPUTED_VALUE"""),51.547)</f>
        <v>51.546999999999997</v>
      </c>
      <c r="I1579" s="2">
        <f ca="1">IFERROR(__xludf.DUMMYFUNCTION("""COMPUTED_VALUE"""),54.151)</f>
        <v>54.151000000000003</v>
      </c>
      <c r="J1579" s="2">
        <f ca="1">IFERROR(__xludf.DUMMYFUNCTION("""COMPUTED_VALUE"""),46.81)</f>
        <v>46.81</v>
      </c>
      <c r="K1579" s="2">
        <f ca="1">IFERROR(__xludf.DUMMYFUNCTION("""COMPUTED_VALUE"""),64.445)</f>
        <v>64.444999999999993</v>
      </c>
      <c r="M1579" s="2">
        <f ca="1">IFERROR(__xludf.DUMMYFUNCTION("""COMPUTED_VALUE"""),16.439)</f>
        <v>16.439</v>
      </c>
      <c r="U1579" s="3" t="e">
        <f ca="1"/>
        <v>#NAME?</v>
      </c>
    </row>
    <row r="1580" spans="3:21" ht="12.5" x14ac:dyDescent="0.25">
      <c r="C1580" s="4">
        <f ca="1">IFERROR(__xludf.DUMMYFUNCTION("""COMPUTED_VALUE"""),41923.9986111111)</f>
        <v>41923.998611111099</v>
      </c>
      <c r="D1580" s="2">
        <f ca="1">IFERROR(__xludf.DUMMYFUNCTION("""COMPUTED_VALUE"""),61.278)</f>
        <v>61.277999999999999</v>
      </c>
      <c r="E1580" s="2">
        <f ca="1">IFERROR(__xludf.DUMMYFUNCTION("""COMPUTED_VALUE"""),77.336)</f>
        <v>77.335999999999999</v>
      </c>
      <c r="F1580" s="2">
        <f ca="1">IFERROR(__xludf.DUMMYFUNCTION("""COMPUTED_VALUE"""),99.861)</f>
        <v>99.861000000000004</v>
      </c>
      <c r="G1580" s="2">
        <f ca="1">IFERROR(__xludf.DUMMYFUNCTION("""COMPUTED_VALUE"""),0.5231)</f>
        <v>0.52310000000000001</v>
      </c>
      <c r="H1580" s="2">
        <f ca="1">IFERROR(__xludf.DUMMYFUNCTION("""COMPUTED_VALUE"""),51.245)</f>
        <v>51.244999999999997</v>
      </c>
      <c r="I1580" s="2">
        <f ca="1">IFERROR(__xludf.DUMMYFUNCTION("""COMPUTED_VALUE"""),53.789)</f>
        <v>53.789000000000001</v>
      </c>
      <c r="J1580" s="2">
        <f ca="1">IFERROR(__xludf.DUMMYFUNCTION("""COMPUTED_VALUE"""),46.81)</f>
        <v>46.81</v>
      </c>
      <c r="K1580" s="2">
        <f ca="1">IFERROR(__xludf.DUMMYFUNCTION("""COMPUTED_VALUE"""),63.74)</f>
        <v>63.74</v>
      </c>
      <c r="M1580" s="2">
        <f ca="1">IFERROR(__xludf.DUMMYFUNCTION("""COMPUTED_VALUE"""),16.498)</f>
        <v>16.498000000000001</v>
      </c>
      <c r="U1580" s="3" t="e">
        <f ca="1"/>
        <v>#NAME?</v>
      </c>
    </row>
    <row r="1581" spans="3:21" ht="12.5" x14ac:dyDescent="0.25">
      <c r="C1581" s="4">
        <f ca="1">IFERROR(__xludf.DUMMYFUNCTION("""COMPUTED_VALUE"""),41924.9986111111)</f>
        <v>41924.998611111099</v>
      </c>
      <c r="D1581" s="2">
        <f ca="1">IFERROR(__xludf.DUMMYFUNCTION("""COMPUTED_VALUE"""),61.278)</f>
        <v>61.277999999999999</v>
      </c>
      <c r="E1581" s="2">
        <f ca="1">IFERROR(__xludf.DUMMYFUNCTION("""COMPUTED_VALUE"""),78.006)</f>
        <v>78.006</v>
      </c>
      <c r="F1581" s="2">
        <f ca="1">IFERROR(__xludf.DUMMYFUNCTION("""COMPUTED_VALUE"""),99.469)</f>
        <v>99.468999999999994</v>
      </c>
      <c r="G1581" s="2">
        <f ca="1">IFERROR(__xludf.DUMMYFUNCTION("""COMPUTED_VALUE"""),0.51888)</f>
        <v>0.51888000000000001</v>
      </c>
      <c r="H1581" s="2">
        <f ca="1">IFERROR(__xludf.DUMMYFUNCTION("""COMPUTED_VALUE"""),51.333)</f>
        <v>51.332999999999998</v>
      </c>
      <c r="I1581" s="2">
        <f ca="1">IFERROR(__xludf.DUMMYFUNCTION("""COMPUTED_VALUE"""),54.047)</f>
        <v>54.046999999999997</v>
      </c>
      <c r="J1581" s="2">
        <f ca="1">IFERROR(__xludf.DUMMYFUNCTION("""COMPUTED_VALUE"""),46.825)</f>
        <v>46.825000000000003</v>
      </c>
      <c r="K1581" s="2">
        <f ca="1">IFERROR(__xludf.DUMMYFUNCTION("""COMPUTED_VALUE"""),63.624)</f>
        <v>63.624000000000002</v>
      </c>
      <c r="M1581" s="2">
        <f ca="1">IFERROR(__xludf.DUMMYFUNCTION("""COMPUTED_VALUE"""),16.587)</f>
        <v>16.587</v>
      </c>
      <c r="U1581" s="3" t="e">
        <f ca="1"/>
        <v>#NAME?</v>
      </c>
    </row>
    <row r="1582" spans="3:21" ht="12.5" x14ac:dyDescent="0.25">
      <c r="C1582" s="4">
        <f ca="1">IFERROR(__xludf.DUMMYFUNCTION("""COMPUTED_VALUE"""),41925.9986111111)</f>
        <v>41925.998611111099</v>
      </c>
      <c r="D1582" s="2">
        <f ca="1">IFERROR(__xludf.DUMMYFUNCTION("""COMPUTED_VALUE"""),61.003)</f>
        <v>61.003</v>
      </c>
      <c r="E1582" s="2">
        <f ca="1">IFERROR(__xludf.DUMMYFUNCTION("""COMPUTED_VALUE"""),77.842)</f>
        <v>77.841999999999999</v>
      </c>
      <c r="F1582" s="2">
        <f ca="1">IFERROR(__xludf.DUMMYFUNCTION("""COMPUTED_VALUE"""),98.391)</f>
        <v>98.391000000000005</v>
      </c>
      <c r="G1582" s="2">
        <f ca="1">IFERROR(__xludf.DUMMYFUNCTION("""COMPUTED_VALUE"""),0.52172)</f>
        <v>0.52171999999999996</v>
      </c>
      <c r="H1582" s="2">
        <f ca="1">IFERROR(__xludf.DUMMYFUNCTION("""COMPUTED_VALUE"""),51.683)</f>
        <v>51.683</v>
      </c>
      <c r="I1582" s="2">
        <f ca="1">IFERROR(__xludf.DUMMYFUNCTION("""COMPUTED_VALUE"""),54.079)</f>
        <v>54.079000000000001</v>
      </c>
      <c r="J1582" s="2">
        <f ca="1">IFERROR(__xludf.DUMMYFUNCTION("""COMPUTED_VALUE"""),46.977)</f>
        <v>46.976999999999997</v>
      </c>
      <c r="K1582" s="2">
        <f ca="1">IFERROR(__xludf.DUMMYFUNCTION("""COMPUTED_VALUE"""),64.168)</f>
        <v>64.168000000000006</v>
      </c>
      <c r="M1582" s="2">
        <f ca="1">IFERROR(__xludf.DUMMYFUNCTION("""COMPUTED_VALUE"""),16.586)</f>
        <v>16.585999999999999</v>
      </c>
      <c r="U1582" s="3" t="e">
        <f ca="1"/>
        <v>#NAME?</v>
      </c>
    </row>
    <row r="1583" spans="3:21" ht="12.5" x14ac:dyDescent="0.25">
      <c r="C1583" s="4">
        <f ca="1">IFERROR(__xludf.DUMMYFUNCTION("""COMPUTED_VALUE"""),41926.9986111111)</f>
        <v>41926.998611111099</v>
      </c>
      <c r="D1583" s="2">
        <f ca="1">IFERROR(__xludf.DUMMYFUNCTION("""COMPUTED_VALUE"""),61.393)</f>
        <v>61.393000000000001</v>
      </c>
      <c r="E1583" s="2">
        <f ca="1">IFERROR(__xludf.DUMMYFUNCTION("""COMPUTED_VALUE"""),77.916)</f>
        <v>77.915999999999997</v>
      </c>
      <c r="F1583" s="2">
        <f ca="1">IFERROR(__xludf.DUMMYFUNCTION("""COMPUTED_VALUE"""),98.506)</f>
        <v>98.506</v>
      </c>
      <c r="G1583" s="2">
        <f ca="1">IFERROR(__xludf.DUMMYFUNCTION("""COMPUTED_VALUE"""),0.51813)</f>
        <v>0.51812999999999998</v>
      </c>
      <c r="H1583" s="2">
        <f ca="1">IFERROR(__xludf.DUMMYFUNCTION("""COMPUTED_VALUE"""),51.484)</f>
        <v>51.484000000000002</v>
      </c>
      <c r="I1583" s="2">
        <f ca="1">IFERROR(__xludf.DUMMYFUNCTION("""COMPUTED_VALUE"""),54.124)</f>
        <v>54.124000000000002</v>
      </c>
      <c r="J1583" s="2">
        <f ca="1">IFERROR(__xludf.DUMMYFUNCTION("""COMPUTED_VALUE"""),47.36)</f>
        <v>47.36</v>
      </c>
      <c r="K1583" s="2">
        <f ca="1">IFERROR(__xludf.DUMMYFUNCTION("""COMPUTED_VALUE"""),63.997)</f>
        <v>63.997</v>
      </c>
      <c r="M1583" s="2">
        <f ca="1">IFERROR(__xludf.DUMMYFUNCTION("""COMPUTED_VALUE"""),16.511)</f>
        <v>16.510999999999999</v>
      </c>
      <c r="U1583" s="3" t="e">
        <f ca="1"/>
        <v>#NAME?</v>
      </c>
    </row>
    <row r="1584" spans="3:21" ht="12.5" x14ac:dyDescent="0.25">
      <c r="C1584" s="4">
        <f ca="1">IFERROR(__xludf.DUMMYFUNCTION("""COMPUTED_VALUE"""),41927.9986111111)</f>
        <v>41927.998611111099</v>
      </c>
      <c r="D1584" s="2">
        <f ca="1">IFERROR(__xludf.DUMMYFUNCTION("""COMPUTED_VALUE"""),61.373)</f>
        <v>61.372999999999998</v>
      </c>
      <c r="E1584" s="2">
        <f ca="1">IFERROR(__xludf.DUMMYFUNCTION("""COMPUTED_VALUE"""),78.526)</f>
        <v>78.525999999999996</v>
      </c>
      <c r="F1584" s="2">
        <f ca="1">IFERROR(__xludf.DUMMYFUNCTION("""COMPUTED_VALUE"""),98.593)</f>
        <v>98.593000000000004</v>
      </c>
      <c r="G1584" s="2">
        <f ca="1">IFERROR(__xludf.DUMMYFUNCTION("""COMPUTED_VALUE"""),0.5209)</f>
        <v>0.52090000000000003</v>
      </c>
      <c r="H1584" s="2">
        <f ca="1">IFERROR(__xludf.DUMMYFUNCTION("""COMPUTED_VALUE"""),51.612)</f>
        <v>51.612000000000002</v>
      </c>
      <c r="I1584" s="2">
        <f ca="1">IFERROR(__xludf.DUMMYFUNCTION("""COMPUTED_VALUE"""),54.06)</f>
        <v>54.06</v>
      </c>
      <c r="J1584" s="2">
        <f ca="1">IFERROR(__xludf.DUMMYFUNCTION("""COMPUTED_VALUE"""),47.511)</f>
        <v>47.511000000000003</v>
      </c>
      <c r="K1584" s="2">
        <f ca="1">IFERROR(__xludf.DUMMYFUNCTION("""COMPUTED_VALUE"""),64.358)</f>
        <v>64.358000000000004</v>
      </c>
      <c r="M1584" s="2">
        <f ca="1">IFERROR(__xludf.DUMMYFUNCTION("""COMPUTED_VALUE"""),16.511)</f>
        <v>16.510999999999999</v>
      </c>
      <c r="U1584" s="3" t="e">
        <f ca="1"/>
        <v>#NAME?</v>
      </c>
    </row>
    <row r="1585" spans="3:21" ht="12.5" x14ac:dyDescent="0.25">
      <c r="C1585" s="4">
        <f ca="1">IFERROR(__xludf.DUMMYFUNCTION("""COMPUTED_VALUE"""),41928.9986111111)</f>
        <v>41928.998611111099</v>
      </c>
      <c r="D1585" s="2">
        <f ca="1">IFERROR(__xludf.DUMMYFUNCTION("""COMPUTED_VALUE"""),61.833)</f>
        <v>61.832999999999998</v>
      </c>
      <c r="E1585" s="2">
        <f ca="1">IFERROR(__xludf.DUMMYFUNCTION("""COMPUTED_VALUE"""),79.552)</f>
        <v>79.552000000000007</v>
      </c>
      <c r="F1585" s="2">
        <f ca="1">IFERROR(__xludf.DUMMYFUNCTION("""COMPUTED_VALUE"""),98.593)</f>
        <v>98.593000000000004</v>
      </c>
      <c r="G1585" s="2">
        <f ca="1">IFERROR(__xludf.DUMMYFUNCTION("""COMPUTED_VALUE"""),0.51808)</f>
        <v>0.51807999999999998</v>
      </c>
      <c r="H1585" s="2">
        <f ca="1">IFERROR(__xludf.DUMMYFUNCTION("""COMPUTED_VALUE"""),51.505)</f>
        <v>51.505000000000003</v>
      </c>
      <c r="I1585" s="2">
        <f ca="1">IFERROR(__xludf.DUMMYFUNCTION("""COMPUTED_VALUE"""),53.997)</f>
        <v>53.997</v>
      </c>
      <c r="J1585" s="2">
        <f ca="1">IFERROR(__xludf.DUMMYFUNCTION("""COMPUTED_VALUE"""),47.645)</f>
        <v>47.645000000000003</v>
      </c>
      <c r="K1585" s="2">
        <f ca="1">IFERROR(__xludf.DUMMYFUNCTION("""COMPUTED_VALUE"""),63.883)</f>
        <v>63.883000000000003</v>
      </c>
      <c r="M1585" s="2">
        <f ca="1">IFERROR(__xludf.DUMMYFUNCTION("""COMPUTED_VALUE"""),16.511)</f>
        <v>16.510999999999999</v>
      </c>
      <c r="U1585" s="3" t="e">
        <f ca="1"/>
        <v>#NAME?</v>
      </c>
    </row>
    <row r="1586" spans="3:21" ht="12.5" x14ac:dyDescent="0.25">
      <c r="C1586" s="4">
        <f ca="1">IFERROR(__xludf.DUMMYFUNCTION("""COMPUTED_VALUE"""),41929.9986111111)</f>
        <v>41929.998611111099</v>
      </c>
      <c r="D1586" s="2">
        <f ca="1">IFERROR(__xludf.DUMMYFUNCTION("""COMPUTED_VALUE"""),61.358)</f>
        <v>61.357999999999997</v>
      </c>
      <c r="E1586" s="2">
        <f ca="1">IFERROR(__xludf.DUMMYFUNCTION("""COMPUTED_VALUE"""),78.294)</f>
        <v>78.293999999999997</v>
      </c>
      <c r="F1586" s="2">
        <f ca="1">IFERROR(__xludf.DUMMYFUNCTION("""COMPUTED_VALUE"""),97.172)</f>
        <v>97.171999999999997</v>
      </c>
      <c r="G1586" s="2">
        <f ca="1">IFERROR(__xludf.DUMMYFUNCTION("""COMPUTED_VALUE"""),0.52078)</f>
        <v>0.52078000000000002</v>
      </c>
      <c r="H1586" s="2">
        <f ca="1">IFERROR(__xludf.DUMMYFUNCTION("""COMPUTED_VALUE"""),51.527)</f>
        <v>51.527000000000001</v>
      </c>
      <c r="I1586" s="2">
        <f ca="1">IFERROR(__xludf.DUMMYFUNCTION("""COMPUTED_VALUE"""),53.974)</f>
        <v>53.973999999999997</v>
      </c>
      <c r="J1586" s="2">
        <f ca="1">IFERROR(__xludf.DUMMYFUNCTION("""COMPUTED_VALUE"""),47.547)</f>
        <v>47.546999999999997</v>
      </c>
      <c r="K1586" s="2">
        <f ca="1">IFERROR(__xludf.DUMMYFUNCTION("""COMPUTED_VALUE"""),63.398)</f>
        <v>63.398000000000003</v>
      </c>
      <c r="M1586" s="2">
        <f ca="1">IFERROR(__xludf.DUMMYFUNCTION("""COMPUTED_VALUE"""),16.634)</f>
        <v>16.634</v>
      </c>
      <c r="U1586" s="3" t="e">
        <f ca="1"/>
        <v>#NAME?</v>
      </c>
    </row>
    <row r="1587" spans="3:21" ht="12.5" x14ac:dyDescent="0.25">
      <c r="C1587" s="4">
        <f ca="1">IFERROR(__xludf.DUMMYFUNCTION("""COMPUTED_VALUE"""),41930.9986111111)</f>
        <v>41930.998611111099</v>
      </c>
      <c r="D1587" s="2">
        <f ca="1">IFERROR(__xludf.DUMMYFUNCTION("""COMPUTED_VALUE"""),61.358)</f>
        <v>61.357999999999997</v>
      </c>
      <c r="E1587" s="2">
        <f ca="1">IFERROR(__xludf.DUMMYFUNCTION("""COMPUTED_VALUE"""),77.325)</f>
        <v>77.325000000000003</v>
      </c>
      <c r="F1587" s="2">
        <f ca="1">IFERROR(__xludf.DUMMYFUNCTION("""COMPUTED_VALUE"""),97.532)</f>
        <v>97.531999999999996</v>
      </c>
      <c r="G1587" s="2">
        <f ca="1">IFERROR(__xludf.DUMMYFUNCTION("""COMPUTED_VALUE"""),0.52114)</f>
        <v>0.52114000000000005</v>
      </c>
      <c r="H1587" s="2">
        <f ca="1">IFERROR(__xludf.DUMMYFUNCTION("""COMPUTED_VALUE"""),51.831)</f>
        <v>51.831000000000003</v>
      </c>
      <c r="I1587" s="2">
        <f ca="1">IFERROR(__xludf.DUMMYFUNCTION("""COMPUTED_VALUE"""),54.145)</f>
        <v>54.145000000000003</v>
      </c>
      <c r="J1587" s="2">
        <f ca="1">IFERROR(__xludf.DUMMYFUNCTION("""COMPUTED_VALUE"""),47.583)</f>
        <v>47.582999999999998</v>
      </c>
      <c r="K1587" s="2">
        <f ca="1">IFERROR(__xludf.DUMMYFUNCTION("""COMPUTED_VALUE"""),64.005)</f>
        <v>64.004999999999995</v>
      </c>
      <c r="M1587" s="2">
        <f ca="1">IFERROR(__xludf.DUMMYFUNCTION("""COMPUTED_VALUE"""),16.622)</f>
        <v>16.622</v>
      </c>
      <c r="U1587" s="3" t="e">
        <f ca="1"/>
        <v>#NAME?</v>
      </c>
    </row>
    <row r="1588" spans="3:21" ht="12.5" x14ac:dyDescent="0.25">
      <c r="C1588" s="4">
        <f ca="1">IFERROR(__xludf.DUMMYFUNCTION("""COMPUTED_VALUE"""),41931.9986111111)</f>
        <v>41931.998611111099</v>
      </c>
      <c r="D1588" s="2">
        <f ca="1">IFERROR(__xludf.DUMMYFUNCTION("""COMPUTED_VALUE"""),61.358)</f>
        <v>61.357999999999997</v>
      </c>
      <c r="E1588" s="2">
        <f ca="1">IFERROR(__xludf.DUMMYFUNCTION("""COMPUTED_VALUE"""),77.337)</f>
        <v>77.337000000000003</v>
      </c>
      <c r="F1588" s="2">
        <f ca="1">IFERROR(__xludf.DUMMYFUNCTION("""COMPUTED_VALUE"""),98.63)</f>
        <v>98.63</v>
      </c>
      <c r="G1588" s="2">
        <f ca="1">IFERROR(__xludf.DUMMYFUNCTION("""COMPUTED_VALUE"""),0.52195)</f>
        <v>0.52195000000000003</v>
      </c>
      <c r="H1588" s="2">
        <f ca="1">IFERROR(__xludf.DUMMYFUNCTION("""COMPUTED_VALUE"""),52.258)</f>
        <v>52.258000000000003</v>
      </c>
      <c r="I1588" s="2">
        <f ca="1">IFERROR(__xludf.DUMMYFUNCTION("""COMPUTED_VALUE"""),54.66)</f>
        <v>54.66</v>
      </c>
      <c r="J1588" s="2">
        <f ca="1">IFERROR(__xludf.DUMMYFUNCTION("""COMPUTED_VALUE"""),48.118)</f>
        <v>48.118000000000002</v>
      </c>
      <c r="K1588" s="2">
        <f ca="1">IFERROR(__xludf.DUMMYFUNCTION("""COMPUTED_VALUE"""),64.005)</f>
        <v>64.004999999999995</v>
      </c>
      <c r="M1588" s="2">
        <f ca="1">IFERROR(__xludf.DUMMYFUNCTION("""COMPUTED_VALUE"""),16.583)</f>
        <v>16.582999999999998</v>
      </c>
      <c r="U1588" s="3" t="e">
        <f ca="1"/>
        <v>#NAME?</v>
      </c>
    </row>
    <row r="1589" spans="3:21" ht="12.5" x14ac:dyDescent="0.25">
      <c r="C1589" s="4">
        <f ca="1">IFERROR(__xludf.DUMMYFUNCTION("""COMPUTED_VALUE"""),41932.9986111111)</f>
        <v>41932.998611111099</v>
      </c>
      <c r="D1589" s="2">
        <f ca="1">IFERROR(__xludf.DUMMYFUNCTION("""COMPUTED_VALUE"""),61.228)</f>
        <v>61.228000000000002</v>
      </c>
      <c r="E1589" s="2">
        <f ca="1">IFERROR(__xludf.DUMMYFUNCTION("""COMPUTED_VALUE"""),77.193)</f>
        <v>77.192999999999998</v>
      </c>
      <c r="F1589" s="2">
        <f ca="1">IFERROR(__xludf.DUMMYFUNCTION("""COMPUTED_VALUE"""),98.966)</f>
        <v>98.965999999999994</v>
      </c>
      <c r="G1589" s="2">
        <f ca="1">IFERROR(__xludf.DUMMYFUNCTION("""COMPUTED_VALUE"""),0.52724)</f>
        <v>0.52724000000000004</v>
      </c>
      <c r="H1589" s="2">
        <f ca="1">IFERROR(__xludf.DUMMYFUNCTION("""COMPUTED_VALUE"""),51.549)</f>
        <v>51.548999999999999</v>
      </c>
      <c r="I1589" s="2">
        <f ca="1">IFERROR(__xludf.DUMMYFUNCTION("""COMPUTED_VALUE"""),54.537)</f>
        <v>54.536999999999999</v>
      </c>
      <c r="J1589" s="2">
        <f ca="1">IFERROR(__xludf.DUMMYFUNCTION("""COMPUTED_VALUE"""),48.806)</f>
        <v>48.805999999999997</v>
      </c>
      <c r="K1589" s="2">
        <f ca="1">IFERROR(__xludf.DUMMYFUNCTION("""COMPUTED_VALUE"""),64.225)</f>
        <v>64.224999999999994</v>
      </c>
      <c r="M1589" s="2">
        <f ca="1">IFERROR(__xludf.DUMMYFUNCTION("""COMPUTED_VALUE"""),16.535)</f>
        <v>16.535</v>
      </c>
      <c r="U1589" s="3" t="e">
        <f ca="1"/>
        <v>#NAME?</v>
      </c>
    </row>
    <row r="1590" spans="3:21" ht="12.5" x14ac:dyDescent="0.25">
      <c r="C1590" s="4">
        <f ca="1">IFERROR(__xludf.DUMMYFUNCTION("""COMPUTED_VALUE"""),41933.9986111111)</f>
        <v>41933.998611111099</v>
      </c>
      <c r="D1590" s="2">
        <f ca="1">IFERROR(__xludf.DUMMYFUNCTION("""COMPUTED_VALUE"""),61.143)</f>
        <v>61.143000000000001</v>
      </c>
      <c r="E1590" s="2">
        <f ca="1">IFERROR(__xludf.DUMMYFUNCTION("""COMPUTED_VALUE"""),77.152)</f>
        <v>77.152000000000001</v>
      </c>
      <c r="F1590" s="2">
        <f ca="1">IFERROR(__xludf.DUMMYFUNCTION("""COMPUTED_VALUE"""),98.559)</f>
        <v>98.558999999999997</v>
      </c>
      <c r="G1590" s="2">
        <f ca="1">IFERROR(__xludf.DUMMYFUNCTION("""COMPUTED_VALUE"""),0.52793)</f>
        <v>0.52793000000000001</v>
      </c>
      <c r="H1590" s="2">
        <f ca="1">IFERROR(__xludf.DUMMYFUNCTION("""COMPUTED_VALUE"""),51.409)</f>
        <v>51.408999999999999</v>
      </c>
      <c r="I1590" s="2">
        <f ca="1">IFERROR(__xludf.DUMMYFUNCTION("""COMPUTED_VALUE"""),54.306)</f>
        <v>54.305999999999997</v>
      </c>
      <c r="J1590" s="2">
        <f ca="1">IFERROR(__xludf.DUMMYFUNCTION("""COMPUTED_VALUE"""),48.358)</f>
        <v>48.357999999999997</v>
      </c>
      <c r="K1590" s="2">
        <f ca="1">IFERROR(__xludf.DUMMYFUNCTION("""COMPUTED_VALUE"""),64.23)</f>
        <v>64.23</v>
      </c>
      <c r="M1590" s="2">
        <f ca="1">IFERROR(__xludf.DUMMYFUNCTION("""COMPUTED_VALUE"""),16.568)</f>
        <v>16.568000000000001</v>
      </c>
      <c r="U1590" s="3" t="e">
        <f ca="1"/>
        <v>#NAME?</v>
      </c>
    </row>
    <row r="1591" spans="3:21" ht="12.5" x14ac:dyDescent="0.25">
      <c r="C1591" s="4">
        <f ca="1">IFERROR(__xludf.DUMMYFUNCTION("""COMPUTED_VALUE"""),41934.9986111111)</f>
        <v>41934.998611111099</v>
      </c>
      <c r="D1591" s="2">
        <f ca="1">IFERROR(__xludf.DUMMYFUNCTION("""COMPUTED_VALUE"""),61.1)</f>
        <v>61.1</v>
      </c>
      <c r="E1591" s="2">
        <f ca="1">IFERROR(__xludf.DUMMYFUNCTION("""COMPUTED_VALUE"""),77.327)</f>
        <v>77.326999999999998</v>
      </c>
      <c r="F1591" s="2">
        <f ca="1">IFERROR(__xludf.DUMMYFUNCTION("""COMPUTED_VALUE"""),97.338)</f>
        <v>97.337999999999994</v>
      </c>
      <c r="G1591" s="2">
        <f ca="1">IFERROR(__xludf.DUMMYFUNCTION("""COMPUTED_VALUE"""),0.52427)</f>
        <v>0.52427000000000001</v>
      </c>
      <c r="H1591" s="2">
        <f ca="1">IFERROR(__xludf.DUMMYFUNCTION("""COMPUTED_VALUE"""),51.497)</f>
        <v>51.497</v>
      </c>
      <c r="I1591" s="2">
        <f ca="1">IFERROR(__xludf.DUMMYFUNCTION("""COMPUTED_VALUE"""),54.499)</f>
        <v>54.499000000000002</v>
      </c>
      <c r="J1591" s="2">
        <f ca="1">IFERROR(__xludf.DUMMYFUNCTION("""COMPUTED_VALUE"""),47.878)</f>
        <v>47.878</v>
      </c>
      <c r="K1591" s="2">
        <f ca="1">IFERROR(__xludf.DUMMYFUNCTION("""COMPUTED_VALUE"""),65.119)</f>
        <v>65.119</v>
      </c>
      <c r="M1591" s="2">
        <f ca="1">IFERROR(__xludf.DUMMYFUNCTION("""COMPUTED_VALUE"""),16.568)</f>
        <v>16.568000000000001</v>
      </c>
      <c r="U1591" s="3" t="e">
        <f ca="1"/>
        <v>#NAME?</v>
      </c>
    </row>
    <row r="1592" spans="3:21" ht="12.5" x14ac:dyDescent="0.25">
      <c r="C1592" s="4">
        <f ca="1">IFERROR(__xludf.DUMMYFUNCTION("""COMPUTED_VALUE"""),41935.9986111111)</f>
        <v>41935.998611111099</v>
      </c>
      <c r="D1592" s="2">
        <f ca="1">IFERROR(__xludf.DUMMYFUNCTION("""COMPUTED_VALUE"""),61.163)</f>
        <v>61.162999999999997</v>
      </c>
      <c r="E1592" s="2">
        <f ca="1">IFERROR(__xludf.DUMMYFUNCTION("""COMPUTED_VALUE"""),77.632)</f>
        <v>77.632000000000005</v>
      </c>
      <c r="F1592" s="2">
        <f ca="1">IFERROR(__xludf.DUMMYFUNCTION("""COMPUTED_VALUE"""),98.56)</f>
        <v>98.56</v>
      </c>
      <c r="G1592" s="2">
        <f ca="1">IFERROR(__xludf.DUMMYFUNCTION("""COMPUTED_VALUE"""),0.52316)</f>
        <v>0.52315999999999996</v>
      </c>
      <c r="H1592" s="2">
        <f ca="1">IFERROR(__xludf.DUMMYFUNCTION("""COMPUTED_VALUE"""),51.293)</f>
        <v>51.292999999999999</v>
      </c>
      <c r="I1592" s="2">
        <f ca="1">IFERROR(__xludf.DUMMYFUNCTION("""COMPUTED_VALUE"""),54.247)</f>
        <v>54.247</v>
      </c>
      <c r="J1592" s="2">
        <f ca="1">IFERROR(__xludf.DUMMYFUNCTION("""COMPUTED_VALUE"""),48.095)</f>
        <v>48.094999999999999</v>
      </c>
      <c r="K1592" s="2">
        <f ca="1">IFERROR(__xludf.DUMMYFUNCTION("""COMPUTED_VALUE"""),65.521)</f>
        <v>65.521000000000001</v>
      </c>
      <c r="M1592" s="2">
        <f ca="1">IFERROR(__xludf.DUMMYFUNCTION("""COMPUTED_VALUE"""),16.568)</f>
        <v>16.568000000000001</v>
      </c>
      <c r="U1592" s="3" t="e">
        <f ca="1"/>
        <v>#NAME?</v>
      </c>
    </row>
    <row r="1593" spans="3:21" ht="12.5" x14ac:dyDescent="0.25">
      <c r="C1593" s="4">
        <f ca="1">IFERROR(__xludf.DUMMYFUNCTION("""COMPUTED_VALUE"""),41936.9986111111)</f>
        <v>41936.998611111099</v>
      </c>
      <c r="D1593" s="2">
        <f ca="1">IFERROR(__xludf.DUMMYFUNCTION("""COMPUTED_VALUE"""),61.163)</f>
        <v>61.162999999999997</v>
      </c>
      <c r="E1593" s="2">
        <f ca="1">IFERROR(__xludf.DUMMYFUNCTION("""COMPUTED_VALUE"""),77.38)</f>
        <v>77.38</v>
      </c>
      <c r="F1593" s="2">
        <f ca="1">IFERROR(__xludf.DUMMYFUNCTION("""COMPUTED_VALUE"""),99.075)</f>
        <v>99.075000000000003</v>
      </c>
      <c r="G1593" s="2">
        <f ca="1">IFERROR(__xludf.DUMMYFUNCTION("""COMPUTED_VALUE"""),0.52735)</f>
        <v>0.52734999999999999</v>
      </c>
      <c r="H1593" s="2">
        <f ca="1">IFERROR(__xludf.DUMMYFUNCTION("""COMPUTED_VALUE"""),51.41)</f>
        <v>51.41</v>
      </c>
      <c r="I1593" s="2">
        <f ca="1">IFERROR(__xludf.DUMMYFUNCTION("""COMPUTED_VALUE"""),54.543)</f>
        <v>54.542999999999999</v>
      </c>
      <c r="J1593" s="2">
        <f ca="1">IFERROR(__xludf.DUMMYFUNCTION("""COMPUTED_VALUE"""),47.861)</f>
        <v>47.860999999999997</v>
      </c>
      <c r="K1593" s="2">
        <f ca="1">IFERROR(__xludf.DUMMYFUNCTION("""COMPUTED_VALUE"""),64.772)</f>
        <v>64.772000000000006</v>
      </c>
      <c r="M1593" s="2">
        <f ca="1">IFERROR(__xludf.DUMMYFUNCTION("""COMPUTED_VALUE"""),16.591)</f>
        <v>16.591000000000001</v>
      </c>
      <c r="U1593" s="3" t="e">
        <f ca="1"/>
        <v>#NAME?</v>
      </c>
    </row>
    <row r="1594" spans="3:21" ht="12.5" x14ac:dyDescent="0.25">
      <c r="C1594" s="4">
        <f ca="1">IFERROR(__xludf.DUMMYFUNCTION("""COMPUTED_VALUE"""),41937.9986111111)</f>
        <v>41937.998611111099</v>
      </c>
      <c r="D1594" s="2">
        <f ca="1">IFERROR(__xludf.DUMMYFUNCTION("""COMPUTED_VALUE"""),61.163)</f>
        <v>61.162999999999997</v>
      </c>
      <c r="E1594" s="2">
        <f ca="1">IFERROR(__xludf.DUMMYFUNCTION("""COMPUTED_VALUE"""),77.548)</f>
        <v>77.548000000000002</v>
      </c>
      <c r="F1594" s="2">
        <f ca="1">IFERROR(__xludf.DUMMYFUNCTION("""COMPUTED_VALUE"""),99.125)</f>
        <v>99.125</v>
      </c>
      <c r="G1594" s="2">
        <f ca="1">IFERROR(__xludf.DUMMYFUNCTION("""COMPUTED_VALUE"""),0.52466)</f>
        <v>0.52466000000000002</v>
      </c>
      <c r="H1594" s="2">
        <f ca="1">IFERROR(__xludf.DUMMYFUNCTION("""COMPUTED_VALUE"""),51.426)</f>
        <v>51.426000000000002</v>
      </c>
      <c r="I1594" s="2">
        <f ca="1">IFERROR(__xludf.DUMMYFUNCTION("""COMPUTED_VALUE"""),54.54)</f>
        <v>54.54</v>
      </c>
      <c r="J1594" s="2">
        <f ca="1">IFERROR(__xludf.DUMMYFUNCTION("""COMPUTED_VALUE"""),47.811)</f>
        <v>47.811</v>
      </c>
      <c r="K1594" s="2">
        <f ca="1">IFERROR(__xludf.DUMMYFUNCTION("""COMPUTED_VALUE"""),64.839)</f>
        <v>64.838999999999999</v>
      </c>
      <c r="M1594" s="2">
        <f ca="1">IFERROR(__xludf.DUMMYFUNCTION("""COMPUTED_VALUE"""),16.602)</f>
        <v>16.602</v>
      </c>
      <c r="U1594" s="3" t="e">
        <f ca="1"/>
        <v>#NAME?</v>
      </c>
    </row>
    <row r="1595" spans="3:21" ht="12.5" x14ac:dyDescent="0.25">
      <c r="C1595" s="4">
        <f ca="1">IFERROR(__xludf.DUMMYFUNCTION("""COMPUTED_VALUE"""),41938.9986111111)</f>
        <v>41938.998611111099</v>
      </c>
      <c r="D1595" s="2">
        <f ca="1">IFERROR(__xludf.DUMMYFUNCTION("""COMPUTED_VALUE"""),61.08)</f>
        <v>61.08</v>
      </c>
      <c r="E1595" s="2">
        <f ca="1">IFERROR(__xludf.DUMMYFUNCTION("""COMPUTED_VALUE"""),77.292)</f>
        <v>77.292000000000002</v>
      </c>
      <c r="F1595" s="2">
        <f ca="1">IFERROR(__xludf.DUMMYFUNCTION("""COMPUTED_VALUE"""),98.876)</f>
        <v>98.876000000000005</v>
      </c>
      <c r="G1595" s="2">
        <f ca="1">IFERROR(__xludf.DUMMYFUNCTION("""COMPUTED_VALUE"""),0.52009)</f>
        <v>0.52009000000000005</v>
      </c>
      <c r="H1595" s="2">
        <f ca="1">IFERROR(__xludf.DUMMYFUNCTION("""COMPUTED_VALUE"""),51.557)</f>
        <v>51.557000000000002</v>
      </c>
      <c r="I1595" s="2">
        <f ca="1">IFERROR(__xludf.DUMMYFUNCTION("""COMPUTED_VALUE"""),54.68)</f>
        <v>54.68</v>
      </c>
      <c r="J1595" s="2">
        <f ca="1">IFERROR(__xludf.DUMMYFUNCTION("""COMPUTED_VALUE"""),47.903)</f>
        <v>47.902999999999999</v>
      </c>
      <c r="K1595" s="2">
        <f ca="1">IFERROR(__xludf.DUMMYFUNCTION("""COMPUTED_VALUE"""),64.763)</f>
        <v>64.763000000000005</v>
      </c>
      <c r="M1595" s="2">
        <f ca="1">IFERROR(__xludf.DUMMYFUNCTION("""COMPUTED_VALUE"""),16.591)</f>
        <v>16.591000000000001</v>
      </c>
      <c r="U1595" s="3" t="e">
        <f ca="1"/>
        <v>#NAME?</v>
      </c>
    </row>
    <row r="1596" spans="3:21" ht="12.5" x14ac:dyDescent="0.25">
      <c r="C1596" s="4">
        <f ca="1">IFERROR(__xludf.DUMMYFUNCTION("""COMPUTED_VALUE"""),41939.9986111111)</f>
        <v>41939.998611111099</v>
      </c>
      <c r="D1596" s="2">
        <f ca="1">IFERROR(__xludf.DUMMYFUNCTION("""COMPUTED_VALUE"""),61.298)</f>
        <v>61.298000000000002</v>
      </c>
      <c r="E1596" s="2">
        <f ca="1">IFERROR(__xludf.DUMMYFUNCTION("""COMPUTED_VALUE"""),76.996)</f>
        <v>76.995999999999995</v>
      </c>
      <c r="F1596" s="2">
        <f ca="1">IFERROR(__xludf.DUMMYFUNCTION("""COMPUTED_VALUE"""),99.794)</f>
        <v>99.793999999999997</v>
      </c>
      <c r="G1596" s="2">
        <f ca="1">IFERROR(__xludf.DUMMYFUNCTION("""COMPUTED_VALUE"""),0.52346)</f>
        <v>0.52346000000000004</v>
      </c>
      <c r="H1596" s="2">
        <f ca="1">IFERROR(__xludf.DUMMYFUNCTION("""COMPUTED_VALUE"""),51.676)</f>
        <v>51.676000000000002</v>
      </c>
      <c r="I1596" s="2">
        <f ca="1">IFERROR(__xludf.DUMMYFUNCTION("""COMPUTED_VALUE"""),54.631)</f>
        <v>54.631</v>
      </c>
      <c r="J1596" s="2">
        <f ca="1">IFERROR(__xludf.DUMMYFUNCTION("""COMPUTED_VALUE"""),48.007)</f>
        <v>48.006999999999998</v>
      </c>
      <c r="K1596" s="2">
        <f ca="1">IFERROR(__xludf.DUMMYFUNCTION("""COMPUTED_VALUE"""),64.864)</f>
        <v>64.864000000000004</v>
      </c>
      <c r="M1596" s="2">
        <f ca="1">IFERROR(__xludf.DUMMYFUNCTION("""COMPUTED_VALUE"""),16.742)</f>
        <v>16.742000000000001</v>
      </c>
      <c r="U1596" s="3" t="e">
        <f ca="1"/>
        <v>#NAME?</v>
      </c>
    </row>
    <row r="1597" spans="3:21" ht="12.5" x14ac:dyDescent="0.25">
      <c r="C1597" s="4">
        <f ca="1">IFERROR(__xludf.DUMMYFUNCTION("""COMPUTED_VALUE"""),41940.9986111111)</f>
        <v>41940.998611111099</v>
      </c>
      <c r="D1597" s="2">
        <f ca="1">IFERROR(__xludf.DUMMYFUNCTION("""COMPUTED_VALUE"""),61.181)</f>
        <v>61.180999999999997</v>
      </c>
      <c r="E1597" s="2">
        <f ca="1">IFERROR(__xludf.DUMMYFUNCTION("""COMPUTED_VALUE"""),76.18)</f>
        <v>76.180000000000007</v>
      </c>
      <c r="F1597" s="2">
        <f ca="1">IFERROR(__xludf.DUMMYFUNCTION("""COMPUTED_VALUE"""),99.04)</f>
        <v>99.04</v>
      </c>
      <c r="G1597" s="2">
        <f ca="1">IFERROR(__xludf.DUMMYFUNCTION("""COMPUTED_VALUE"""),0.52224)</f>
        <v>0.52224000000000004</v>
      </c>
      <c r="H1597" s="2">
        <f ca="1">IFERROR(__xludf.DUMMYFUNCTION("""COMPUTED_VALUE"""),78.434)</f>
        <v>78.433999999999997</v>
      </c>
      <c r="I1597" s="2">
        <f ca="1">IFERROR(__xludf.DUMMYFUNCTION("""COMPUTED_VALUE"""),54.673)</f>
        <v>54.673000000000002</v>
      </c>
      <c r="J1597" s="2">
        <f ca="1">IFERROR(__xludf.DUMMYFUNCTION("""COMPUTED_VALUE"""),47.994)</f>
        <v>47.994</v>
      </c>
      <c r="K1597" s="2">
        <f ca="1">IFERROR(__xludf.DUMMYFUNCTION("""COMPUTED_VALUE"""),64.352)</f>
        <v>64.352000000000004</v>
      </c>
      <c r="M1597" s="2">
        <f ca="1">IFERROR(__xludf.DUMMYFUNCTION("""COMPUTED_VALUE"""),16.646)</f>
        <v>16.646000000000001</v>
      </c>
      <c r="U1597" s="3" t="e">
        <f ca="1"/>
        <v>#NAME?</v>
      </c>
    </row>
    <row r="1598" spans="3:21" ht="12.5" x14ac:dyDescent="0.25">
      <c r="C1598" s="4">
        <f ca="1">IFERROR(__xludf.DUMMYFUNCTION("""COMPUTED_VALUE"""),41941.9986111111)</f>
        <v>41941.998611111099</v>
      </c>
      <c r="D1598" s="2">
        <f ca="1">IFERROR(__xludf.DUMMYFUNCTION("""COMPUTED_VALUE"""),61.283)</f>
        <v>61.283000000000001</v>
      </c>
      <c r="E1598" s="2">
        <f ca="1">IFERROR(__xludf.DUMMYFUNCTION("""COMPUTED_VALUE"""),76.277)</f>
        <v>76.277000000000001</v>
      </c>
      <c r="F1598" s="2">
        <f ca="1">IFERROR(__xludf.DUMMYFUNCTION("""COMPUTED_VALUE"""),99.129)</f>
        <v>99.129000000000005</v>
      </c>
      <c r="G1598" s="2">
        <f ca="1">IFERROR(__xludf.DUMMYFUNCTION("""COMPUTED_VALUE"""),0.51859)</f>
        <v>0.51859</v>
      </c>
      <c r="H1598" s="2">
        <f ca="1">IFERROR(__xludf.DUMMYFUNCTION("""COMPUTED_VALUE"""),51.738)</f>
        <v>51.738</v>
      </c>
      <c r="I1598" s="2">
        <f ca="1">IFERROR(__xludf.DUMMYFUNCTION("""COMPUTED_VALUE"""),54.632)</f>
        <v>54.631999999999998</v>
      </c>
      <c r="J1598" s="2">
        <f ca="1">IFERROR(__xludf.DUMMYFUNCTION("""COMPUTED_VALUE"""),48.043)</f>
        <v>48.042999999999999</v>
      </c>
      <c r="K1598" s="2">
        <f ca="1">IFERROR(__xludf.DUMMYFUNCTION("""COMPUTED_VALUE"""),64.107)</f>
        <v>64.106999999999999</v>
      </c>
      <c r="M1598" s="2">
        <f ca="1">IFERROR(__xludf.DUMMYFUNCTION("""COMPUTED_VALUE"""),16.646)</f>
        <v>16.646000000000001</v>
      </c>
      <c r="U1598" s="3" t="e">
        <f ca="1"/>
        <v>#NAME?</v>
      </c>
    </row>
    <row r="1599" spans="3:21" ht="12.5" x14ac:dyDescent="0.25">
      <c r="C1599" s="4">
        <f ca="1">IFERROR(__xludf.DUMMYFUNCTION("""COMPUTED_VALUE"""),41942.9986111111)</f>
        <v>41942.998611111099</v>
      </c>
      <c r="D1599" s="2">
        <f ca="1">IFERROR(__xludf.DUMMYFUNCTION("""COMPUTED_VALUE"""),61.433)</f>
        <v>61.433</v>
      </c>
      <c r="E1599" s="2">
        <f ca="1">IFERROR(__xludf.DUMMYFUNCTION("""COMPUTED_VALUE"""),75.949)</f>
        <v>75.948999999999998</v>
      </c>
      <c r="F1599" s="2">
        <f ca="1">IFERROR(__xludf.DUMMYFUNCTION("""COMPUTED_VALUE"""),99.04)</f>
        <v>99.04</v>
      </c>
      <c r="G1599" s="2">
        <f ca="1">IFERROR(__xludf.DUMMYFUNCTION("""COMPUTED_VALUE"""),0.5223)</f>
        <v>0.52229999999999999</v>
      </c>
      <c r="H1599" s="2">
        <f ca="1">IFERROR(__xludf.DUMMYFUNCTION("""COMPUTED_VALUE"""),51.809)</f>
        <v>51.808999999999997</v>
      </c>
      <c r="I1599" s="2">
        <f ca="1">IFERROR(__xludf.DUMMYFUNCTION("""COMPUTED_VALUE"""),54.556)</f>
        <v>54.555999999999997</v>
      </c>
      <c r="J1599" s="2">
        <f ca="1">IFERROR(__xludf.DUMMYFUNCTION("""COMPUTED_VALUE"""),48.033)</f>
        <v>48.033000000000001</v>
      </c>
      <c r="K1599" s="2">
        <f ca="1">IFERROR(__xludf.DUMMYFUNCTION("""COMPUTED_VALUE"""),64.071)</f>
        <v>64.070999999999998</v>
      </c>
      <c r="M1599" s="2">
        <f ca="1">IFERROR(__xludf.DUMMYFUNCTION("""COMPUTED_VALUE"""),16.646)</f>
        <v>16.646000000000001</v>
      </c>
      <c r="U1599" s="3" t="e">
        <f ca="1"/>
        <v>#NAME?</v>
      </c>
    </row>
    <row r="1600" spans="3:21" ht="12.5" x14ac:dyDescent="0.25">
      <c r="C1600" s="4">
        <f ca="1">IFERROR(__xludf.DUMMYFUNCTION("""COMPUTED_VALUE"""),41943.9986111111)</f>
        <v>41943.998611111099</v>
      </c>
      <c r="D1600" s="2">
        <f ca="1">IFERROR(__xludf.DUMMYFUNCTION("""COMPUTED_VALUE"""),61.398)</f>
        <v>61.398000000000003</v>
      </c>
      <c r="E1600" s="2">
        <f ca="1">IFERROR(__xludf.DUMMYFUNCTION("""COMPUTED_VALUE"""),75.538)</f>
        <v>75.537999999999997</v>
      </c>
      <c r="F1600" s="2">
        <f ca="1">IFERROR(__xludf.DUMMYFUNCTION("""COMPUTED_VALUE"""),99.647)</f>
        <v>99.647000000000006</v>
      </c>
      <c r="G1600" s="2">
        <f ca="1">IFERROR(__xludf.DUMMYFUNCTION("""COMPUTED_VALUE"""),0.52224)</f>
        <v>0.52224000000000004</v>
      </c>
      <c r="H1600" s="2">
        <f ca="1">IFERROR(__xludf.DUMMYFUNCTION("""COMPUTED_VALUE"""),51.438)</f>
        <v>51.438000000000002</v>
      </c>
      <c r="I1600" s="2">
        <f ca="1">IFERROR(__xludf.DUMMYFUNCTION("""COMPUTED_VALUE"""),54.208)</f>
        <v>54.207999999999998</v>
      </c>
      <c r="J1600" s="2">
        <f ca="1">IFERROR(__xludf.DUMMYFUNCTION("""COMPUTED_VALUE"""),47.913)</f>
        <v>47.912999999999997</v>
      </c>
      <c r="K1600" s="2">
        <f ca="1">IFERROR(__xludf.DUMMYFUNCTION("""COMPUTED_VALUE"""),64.191)</f>
        <v>64.191000000000003</v>
      </c>
      <c r="M1600" s="2">
        <f ca="1">IFERROR(__xludf.DUMMYFUNCTION("""COMPUTED_VALUE"""),16.791)</f>
        <v>16.791</v>
      </c>
      <c r="U1600" s="3" t="e">
        <f ca="1"/>
        <v>#NAME?</v>
      </c>
    </row>
    <row r="1601" spans="3:21" ht="12.5" x14ac:dyDescent="0.25">
      <c r="C1601" s="4">
        <f ca="1">IFERROR(__xludf.DUMMYFUNCTION("""COMPUTED_VALUE"""),41944.9986111111)</f>
        <v>41944.998611111099</v>
      </c>
      <c r="D1601" s="2">
        <f ca="1">IFERROR(__xludf.DUMMYFUNCTION("""COMPUTED_VALUE"""),61.351)</f>
        <v>61.350999999999999</v>
      </c>
      <c r="E1601" s="2">
        <f ca="1">IFERROR(__xludf.DUMMYFUNCTION("""COMPUTED_VALUE"""),75.409)</f>
        <v>75.409000000000006</v>
      </c>
      <c r="F1601" s="2">
        <f ca="1">IFERROR(__xludf.DUMMYFUNCTION("""COMPUTED_VALUE"""),99.977)</f>
        <v>99.977000000000004</v>
      </c>
      <c r="G1601" s="2">
        <f ca="1">IFERROR(__xludf.DUMMYFUNCTION("""COMPUTED_VALUE"""),0.52266)</f>
        <v>0.52266000000000001</v>
      </c>
      <c r="H1601" s="2">
        <f ca="1">IFERROR(__xludf.DUMMYFUNCTION("""COMPUTED_VALUE"""),51.493)</f>
        <v>51.493000000000002</v>
      </c>
      <c r="I1601" s="2">
        <f ca="1">IFERROR(__xludf.DUMMYFUNCTION("""COMPUTED_VALUE"""),54.288)</f>
        <v>54.287999999999997</v>
      </c>
      <c r="J1601" s="2">
        <f ca="1">IFERROR(__xludf.DUMMYFUNCTION("""COMPUTED_VALUE"""),47.515)</f>
        <v>47.515000000000001</v>
      </c>
      <c r="K1601" s="2">
        <f ca="1">IFERROR(__xludf.DUMMYFUNCTION("""COMPUTED_VALUE"""),64.243)</f>
        <v>64.242999999999995</v>
      </c>
      <c r="M1601" s="2">
        <f ca="1">IFERROR(__xludf.DUMMYFUNCTION("""COMPUTED_VALUE"""),16.862)</f>
        <v>16.861999999999998</v>
      </c>
      <c r="U1601" s="3" t="e">
        <f ca="1"/>
        <v>#NAME?</v>
      </c>
    </row>
    <row r="1602" spans="3:21" ht="12.5" x14ac:dyDescent="0.25">
      <c r="C1602" s="4">
        <f ca="1">IFERROR(__xludf.DUMMYFUNCTION("""COMPUTED_VALUE"""),41945.9986111111)</f>
        <v>41945.998611111099</v>
      </c>
      <c r="D1602" s="2">
        <f ca="1">IFERROR(__xludf.DUMMYFUNCTION("""COMPUTED_VALUE"""),61.351)</f>
        <v>61.350999999999999</v>
      </c>
      <c r="E1602" s="2">
        <f ca="1">IFERROR(__xludf.DUMMYFUNCTION("""COMPUTED_VALUE"""),74.806)</f>
        <v>74.805999999999997</v>
      </c>
      <c r="F1602" s="2">
        <f ca="1">IFERROR(__xludf.DUMMYFUNCTION("""COMPUTED_VALUE"""),99.452)</f>
        <v>99.451999999999998</v>
      </c>
      <c r="G1602" s="2">
        <f ca="1">IFERROR(__xludf.DUMMYFUNCTION("""COMPUTED_VALUE"""),0.52424)</f>
        <v>0.52424000000000004</v>
      </c>
      <c r="H1602" s="2">
        <f ca="1">IFERROR(__xludf.DUMMYFUNCTION("""COMPUTED_VALUE"""),51.188)</f>
        <v>51.188000000000002</v>
      </c>
      <c r="I1602" s="2">
        <f ca="1">IFERROR(__xludf.DUMMYFUNCTION("""COMPUTED_VALUE"""),53.691)</f>
        <v>53.691000000000003</v>
      </c>
      <c r="J1602" s="2">
        <f ca="1">IFERROR(__xludf.DUMMYFUNCTION("""COMPUTED_VALUE"""),47.658)</f>
        <v>47.658000000000001</v>
      </c>
      <c r="K1602" s="2">
        <f ca="1">IFERROR(__xludf.DUMMYFUNCTION("""COMPUTED_VALUE"""),64.505)</f>
        <v>64.504999999999995</v>
      </c>
      <c r="M1602" s="2">
        <f ca="1">IFERROR(__xludf.DUMMYFUNCTION("""COMPUTED_VALUE"""),16.803)</f>
        <v>16.803000000000001</v>
      </c>
      <c r="U1602" s="3" t="e">
        <f ca="1"/>
        <v>#NAME?</v>
      </c>
    </row>
    <row r="1603" spans="3:21" ht="12.5" x14ac:dyDescent="0.25">
      <c r="C1603" s="4">
        <f ca="1">IFERROR(__xludf.DUMMYFUNCTION("""COMPUTED_VALUE"""),41946.9986111111)</f>
        <v>41946.998611111099</v>
      </c>
      <c r="D1603" s="2">
        <f ca="1">IFERROR(__xludf.DUMMYFUNCTION("""COMPUTED_VALUE"""),61.413)</f>
        <v>61.412999999999997</v>
      </c>
      <c r="E1603" s="2">
        <f ca="1">IFERROR(__xludf.DUMMYFUNCTION("""COMPUTED_VALUE"""),73.839)</f>
        <v>73.838999999999999</v>
      </c>
      <c r="F1603" s="2">
        <f ca="1">IFERROR(__xludf.DUMMYFUNCTION("""COMPUTED_VALUE"""),100.02)</f>
        <v>100.02</v>
      </c>
      <c r="G1603" s="2">
        <f ca="1">IFERROR(__xludf.DUMMYFUNCTION("""COMPUTED_VALUE"""),0.52052)</f>
        <v>0.52051999999999998</v>
      </c>
      <c r="H1603" s="2">
        <f ca="1">IFERROR(__xludf.DUMMYFUNCTION("""COMPUTED_VALUE"""),51.25)</f>
        <v>51.25</v>
      </c>
      <c r="I1603" s="2">
        <f ca="1">IFERROR(__xludf.DUMMYFUNCTION("""COMPUTED_VALUE"""),53.816)</f>
        <v>53.816000000000003</v>
      </c>
      <c r="J1603" s="2">
        <f ca="1">IFERROR(__xludf.DUMMYFUNCTION("""COMPUTED_VALUE"""),47.529)</f>
        <v>47.529000000000003</v>
      </c>
      <c r="K1603" s="2">
        <f ca="1">IFERROR(__xludf.DUMMYFUNCTION("""COMPUTED_VALUE"""),64.559)</f>
        <v>64.558999999999997</v>
      </c>
      <c r="M1603" s="2">
        <f ca="1">IFERROR(__xludf.DUMMYFUNCTION("""COMPUTED_VALUE"""),16.754)</f>
        <v>16.754000000000001</v>
      </c>
      <c r="U1603" s="3" t="e">
        <f ca="1"/>
        <v>#NAME?</v>
      </c>
    </row>
    <row r="1604" spans="3:21" ht="12.5" x14ac:dyDescent="0.25">
      <c r="C1604" s="4">
        <f ca="1">IFERROR(__xludf.DUMMYFUNCTION("""COMPUTED_VALUE"""),41947.9986111111)</f>
        <v>41947.998611111099</v>
      </c>
      <c r="D1604" s="2">
        <f ca="1">IFERROR(__xludf.DUMMYFUNCTION("""COMPUTED_VALUE"""),61.388)</f>
        <v>61.387999999999998</v>
      </c>
      <c r="E1604" s="2">
        <f ca="1">IFERROR(__xludf.DUMMYFUNCTION("""COMPUTED_VALUE"""),73.838)</f>
        <v>73.837999999999994</v>
      </c>
      <c r="F1604" s="2">
        <f ca="1">IFERROR(__xludf.DUMMYFUNCTION("""COMPUTED_VALUE"""),99.236)</f>
        <v>99.236000000000004</v>
      </c>
      <c r="G1604" s="2">
        <f ca="1">IFERROR(__xludf.DUMMYFUNCTION("""COMPUTED_VALUE"""),0.52244)</f>
        <v>0.52244000000000002</v>
      </c>
      <c r="H1604" s="2">
        <f ca="1">IFERROR(__xludf.DUMMYFUNCTION("""COMPUTED_VALUE"""),51.316)</f>
        <v>51.316000000000003</v>
      </c>
      <c r="I1604" s="2">
        <f ca="1">IFERROR(__xludf.DUMMYFUNCTION("""COMPUTED_VALUE"""),53.638)</f>
        <v>53.637999999999998</v>
      </c>
      <c r="J1604" s="2">
        <f ca="1">IFERROR(__xludf.DUMMYFUNCTION("""COMPUTED_VALUE"""),47.411)</f>
        <v>47.411000000000001</v>
      </c>
      <c r="K1604" s="2">
        <f ca="1">IFERROR(__xludf.DUMMYFUNCTION("""COMPUTED_VALUE"""),64.12)</f>
        <v>64.12</v>
      </c>
      <c r="M1604" s="2">
        <f ca="1">IFERROR(__xludf.DUMMYFUNCTION("""COMPUTED_VALUE"""),16.785)</f>
        <v>16.785</v>
      </c>
      <c r="U1604" s="3" t="e">
        <f ca="1"/>
        <v>#NAME?</v>
      </c>
    </row>
    <row r="1605" spans="3:21" ht="12.5" x14ac:dyDescent="0.25">
      <c r="C1605" s="4">
        <f ca="1">IFERROR(__xludf.DUMMYFUNCTION("""COMPUTED_VALUE"""),41948.9986111111)</f>
        <v>41948.998611111099</v>
      </c>
      <c r="D1605" s="2">
        <f ca="1">IFERROR(__xludf.DUMMYFUNCTION("""COMPUTED_VALUE"""),61.37)</f>
        <v>61.37</v>
      </c>
      <c r="E1605" s="2">
        <f ca="1">IFERROR(__xludf.DUMMYFUNCTION("""COMPUTED_VALUE"""),73.358)</f>
        <v>73.358000000000004</v>
      </c>
      <c r="F1605" s="2">
        <f ca="1">IFERROR(__xludf.DUMMYFUNCTION("""COMPUTED_VALUE"""),99.322)</f>
        <v>99.322000000000003</v>
      </c>
      <c r="G1605" s="2">
        <f ca="1">IFERROR(__xludf.DUMMYFUNCTION("""COMPUTED_VALUE"""),0.52181)</f>
        <v>0.52181</v>
      </c>
      <c r="H1605" s="2">
        <f ca="1">IFERROR(__xludf.DUMMYFUNCTION("""COMPUTED_VALUE"""),51.049)</f>
        <v>51.048999999999999</v>
      </c>
      <c r="I1605" s="2">
        <f ca="1">IFERROR(__xludf.DUMMYFUNCTION("""COMPUTED_VALUE"""),53.483)</f>
        <v>53.482999999999997</v>
      </c>
      <c r="J1605" s="2">
        <f ca="1">IFERROR(__xludf.DUMMYFUNCTION("""COMPUTED_VALUE"""),47.602)</f>
        <v>47.601999999999997</v>
      </c>
      <c r="K1605" s="2">
        <f ca="1">IFERROR(__xludf.DUMMYFUNCTION("""COMPUTED_VALUE"""),64.19)</f>
        <v>64.19</v>
      </c>
      <c r="M1605" s="2">
        <f ca="1">IFERROR(__xludf.DUMMYFUNCTION("""COMPUTED_VALUE"""),16.754)</f>
        <v>16.754000000000001</v>
      </c>
      <c r="U1605" s="3" t="e">
        <f ca="1"/>
        <v>#NAME?</v>
      </c>
    </row>
    <row r="1606" spans="3:21" ht="12.5" x14ac:dyDescent="0.25">
      <c r="C1606" s="4">
        <f ca="1">IFERROR(__xludf.DUMMYFUNCTION("""COMPUTED_VALUE"""),41949.9986111111)</f>
        <v>41949.998611111099</v>
      </c>
      <c r="D1606" s="2">
        <f ca="1">IFERROR(__xludf.DUMMYFUNCTION("""COMPUTED_VALUE"""),61.493)</f>
        <v>61.493000000000002</v>
      </c>
      <c r="E1606" s="2">
        <f ca="1">IFERROR(__xludf.DUMMYFUNCTION("""COMPUTED_VALUE"""),72.917)</f>
        <v>72.917000000000002</v>
      </c>
      <c r="F1606" s="2">
        <f ca="1">IFERROR(__xludf.DUMMYFUNCTION("""COMPUTED_VALUE"""),99.322)</f>
        <v>99.322000000000003</v>
      </c>
      <c r="G1606" s="2">
        <f ca="1">IFERROR(__xludf.DUMMYFUNCTION("""COMPUTED_VALUE"""),0.52115)</f>
        <v>0.52115</v>
      </c>
      <c r="H1606" s="2">
        <f ca="1">IFERROR(__xludf.DUMMYFUNCTION("""COMPUTED_VALUE"""),50.792)</f>
        <v>50.792000000000002</v>
      </c>
      <c r="I1606" s="2">
        <f ca="1">IFERROR(__xludf.DUMMYFUNCTION("""COMPUTED_VALUE"""),52.935)</f>
        <v>52.935000000000002</v>
      </c>
      <c r="J1606" s="2">
        <f ca="1">IFERROR(__xludf.DUMMYFUNCTION("""COMPUTED_VALUE"""),47.256)</f>
        <v>47.256</v>
      </c>
      <c r="K1606" s="2">
        <f ca="1">IFERROR(__xludf.DUMMYFUNCTION("""COMPUTED_VALUE"""),63.205)</f>
        <v>63.204999999999998</v>
      </c>
      <c r="M1606" s="2">
        <f ca="1">IFERROR(__xludf.DUMMYFUNCTION("""COMPUTED_VALUE"""),16.754)</f>
        <v>16.754000000000001</v>
      </c>
      <c r="U1606" s="3" t="e">
        <f ca="1"/>
        <v>#NAME?</v>
      </c>
    </row>
    <row r="1607" spans="3:21" ht="12.5" x14ac:dyDescent="0.25">
      <c r="C1607" s="4">
        <f ca="1">IFERROR(__xludf.DUMMYFUNCTION("""COMPUTED_VALUE"""),41950.9986111111)</f>
        <v>41950.998611111099</v>
      </c>
      <c r="D1607" s="2">
        <f ca="1">IFERROR(__xludf.DUMMYFUNCTION("""COMPUTED_VALUE"""),61.513)</f>
        <v>61.512999999999998</v>
      </c>
      <c r="E1607" s="2">
        <f ca="1">IFERROR(__xludf.DUMMYFUNCTION("""COMPUTED_VALUE"""),73.096)</f>
        <v>73.096000000000004</v>
      </c>
      <c r="F1607" s="2">
        <f ca="1">IFERROR(__xludf.DUMMYFUNCTION("""COMPUTED_VALUE"""),99.889)</f>
        <v>99.888999999999996</v>
      </c>
      <c r="G1607" s="2">
        <f ca="1">IFERROR(__xludf.DUMMYFUNCTION("""COMPUTED_VALUE"""),0.52224)</f>
        <v>0.52224000000000004</v>
      </c>
      <c r="H1607" s="2">
        <f ca="1">IFERROR(__xludf.DUMMYFUNCTION("""COMPUTED_VALUE"""),51.168)</f>
        <v>51.167999999999999</v>
      </c>
      <c r="I1607" s="2">
        <f ca="1">IFERROR(__xludf.DUMMYFUNCTION("""COMPUTED_VALUE"""),52.546)</f>
        <v>52.545999999999999</v>
      </c>
      <c r="J1607" s="2">
        <f ca="1">IFERROR(__xludf.DUMMYFUNCTION("""COMPUTED_VALUE"""),46.802)</f>
        <v>46.802</v>
      </c>
      <c r="K1607" s="2">
        <f ca="1">IFERROR(__xludf.DUMMYFUNCTION("""COMPUTED_VALUE"""),63.205)</f>
        <v>63.204999999999998</v>
      </c>
      <c r="M1607" s="2">
        <f ca="1">IFERROR(__xludf.DUMMYFUNCTION("""COMPUTED_VALUE"""),16.754)</f>
        <v>16.754000000000001</v>
      </c>
      <c r="U1607" s="3" t="e">
        <f ca="1"/>
        <v>#NAME?</v>
      </c>
    </row>
    <row r="1608" spans="3:21" ht="12.5" x14ac:dyDescent="0.25">
      <c r="C1608" s="4">
        <f ca="1">IFERROR(__xludf.DUMMYFUNCTION("""COMPUTED_VALUE"""),41951.9986111111)</f>
        <v>41951.998611111099</v>
      </c>
      <c r="D1608" s="2">
        <f ca="1">IFERROR(__xludf.DUMMYFUNCTION("""COMPUTED_VALUE"""),61.401)</f>
        <v>61.401000000000003</v>
      </c>
      <c r="E1608" s="2">
        <f ca="1">IFERROR(__xludf.DUMMYFUNCTION("""COMPUTED_VALUE"""),72.142)</f>
        <v>72.141999999999996</v>
      </c>
      <c r="F1608" s="2">
        <f ca="1">IFERROR(__xludf.DUMMYFUNCTION("""COMPUTED_VALUE"""),100.33)</f>
        <v>100.33</v>
      </c>
      <c r="G1608" s="2">
        <f ca="1">IFERROR(__xludf.DUMMYFUNCTION("""COMPUTED_VALUE"""),0.52307)</f>
        <v>0.52307000000000003</v>
      </c>
      <c r="H1608" s="2">
        <f ca="1">IFERROR(__xludf.DUMMYFUNCTION("""COMPUTED_VALUE"""),50.533)</f>
        <v>50.533000000000001</v>
      </c>
      <c r="I1608" s="2">
        <f ca="1">IFERROR(__xludf.DUMMYFUNCTION("""COMPUTED_VALUE"""),51.803)</f>
        <v>51.802999999999997</v>
      </c>
      <c r="J1608" s="2">
        <f ca="1">IFERROR(__xludf.DUMMYFUNCTION("""COMPUTED_VALUE"""),46.763)</f>
        <v>46.762999999999998</v>
      </c>
      <c r="K1608" s="2">
        <f ca="1">IFERROR(__xludf.DUMMYFUNCTION("""COMPUTED_VALUE"""),63.205)</f>
        <v>63.204999999999998</v>
      </c>
      <c r="M1608" s="2">
        <f ca="1">IFERROR(__xludf.DUMMYFUNCTION("""COMPUTED_VALUE"""),16.688)</f>
        <v>16.687999999999999</v>
      </c>
      <c r="U1608" s="3" t="e">
        <f ca="1"/>
        <v>#NAME?</v>
      </c>
    </row>
    <row r="1609" spans="3:21" ht="12.5" x14ac:dyDescent="0.25">
      <c r="C1609" s="4">
        <f ca="1">IFERROR(__xludf.DUMMYFUNCTION("""COMPUTED_VALUE"""),41952.9986111111)</f>
        <v>41952.998611111099</v>
      </c>
      <c r="D1609" s="2">
        <f ca="1">IFERROR(__xludf.DUMMYFUNCTION("""COMPUTED_VALUE"""),61.401)</f>
        <v>61.401000000000003</v>
      </c>
      <c r="E1609" s="2">
        <f ca="1">IFERROR(__xludf.DUMMYFUNCTION("""COMPUTED_VALUE"""),71.522)</f>
        <v>71.522000000000006</v>
      </c>
      <c r="F1609" s="2">
        <f ca="1">IFERROR(__xludf.DUMMYFUNCTION("""COMPUTED_VALUE"""),99.813)</f>
        <v>99.813000000000002</v>
      </c>
      <c r="G1609" s="2">
        <f ca="1">IFERROR(__xludf.DUMMYFUNCTION("""COMPUTED_VALUE"""),0.52015)</f>
        <v>0.52015</v>
      </c>
      <c r="H1609" s="2">
        <f ca="1">IFERROR(__xludf.DUMMYFUNCTION("""COMPUTED_VALUE"""),50.591)</f>
        <v>50.591000000000001</v>
      </c>
      <c r="I1609" s="2">
        <f ca="1">IFERROR(__xludf.DUMMYFUNCTION("""COMPUTED_VALUE"""),51.791)</f>
        <v>51.790999999999997</v>
      </c>
      <c r="J1609" s="2">
        <f ca="1">IFERROR(__xludf.DUMMYFUNCTION("""COMPUTED_VALUE"""),46.441)</f>
        <v>46.441000000000003</v>
      </c>
      <c r="K1609" s="2">
        <f ca="1">IFERROR(__xludf.DUMMYFUNCTION("""COMPUTED_VALUE"""),63.604)</f>
        <v>63.603999999999999</v>
      </c>
      <c r="M1609" s="2">
        <f ca="1">IFERROR(__xludf.DUMMYFUNCTION("""COMPUTED_VALUE"""),16.703)</f>
        <v>16.702999999999999</v>
      </c>
      <c r="U1609" s="3" t="e">
        <f ca="1"/>
        <v>#NAME?</v>
      </c>
    </row>
    <row r="1610" spans="3:21" ht="12.5" x14ac:dyDescent="0.25">
      <c r="C1610" s="4">
        <f ca="1">IFERROR(__xludf.DUMMYFUNCTION("""COMPUTED_VALUE"""),41953.9986111111)</f>
        <v>41953.998611111099</v>
      </c>
      <c r="D1610" s="2">
        <f ca="1">IFERROR(__xludf.DUMMYFUNCTION("""COMPUTED_VALUE"""),61.53)</f>
        <v>61.53</v>
      </c>
      <c r="E1610" s="2">
        <f ca="1">IFERROR(__xludf.DUMMYFUNCTION("""COMPUTED_VALUE"""),71.407)</f>
        <v>71.406999999999996</v>
      </c>
      <c r="F1610" s="2">
        <f ca="1">IFERROR(__xludf.DUMMYFUNCTION("""COMPUTED_VALUE"""),99.294)</f>
        <v>99.293999999999997</v>
      </c>
      <c r="G1610" s="2">
        <f ca="1">IFERROR(__xludf.DUMMYFUNCTION("""COMPUTED_VALUE"""),0.51672)</f>
        <v>0.51671999999999996</v>
      </c>
      <c r="H1610" s="2">
        <f ca="1">IFERROR(__xludf.DUMMYFUNCTION("""COMPUTED_VALUE"""),50.511)</f>
        <v>50.511000000000003</v>
      </c>
      <c r="I1610" s="2">
        <f ca="1">IFERROR(__xludf.DUMMYFUNCTION("""COMPUTED_VALUE"""),51.897)</f>
        <v>51.896999999999998</v>
      </c>
      <c r="J1610" s="2">
        <f ca="1">IFERROR(__xludf.DUMMYFUNCTION("""COMPUTED_VALUE"""),46.423)</f>
        <v>46.423000000000002</v>
      </c>
      <c r="K1610" s="2">
        <f ca="1">IFERROR(__xludf.DUMMYFUNCTION("""COMPUTED_VALUE"""),63.922)</f>
        <v>63.921999999999997</v>
      </c>
      <c r="M1610" s="2">
        <f ca="1">IFERROR(__xludf.DUMMYFUNCTION("""COMPUTED_VALUE"""),16.62)</f>
        <v>16.62</v>
      </c>
      <c r="U1610" s="3" t="e">
        <f ca="1"/>
        <v>#NAME?</v>
      </c>
    </row>
    <row r="1611" spans="3:21" ht="12.5" x14ac:dyDescent="0.25">
      <c r="C1611" s="4">
        <f ca="1">IFERROR(__xludf.DUMMYFUNCTION("""COMPUTED_VALUE"""),41954.9986111111)</f>
        <v>41954.998611111099</v>
      </c>
      <c r="D1611" s="2">
        <f ca="1">IFERROR(__xludf.DUMMYFUNCTION("""COMPUTED_VALUE"""),61.49)</f>
        <v>61.49</v>
      </c>
      <c r="E1611" s="2">
        <f ca="1">IFERROR(__xludf.DUMMYFUNCTION("""COMPUTED_VALUE"""),71.107)</f>
        <v>71.106999999999999</v>
      </c>
      <c r="F1611" s="2">
        <f ca="1">IFERROR(__xludf.DUMMYFUNCTION("""COMPUTED_VALUE"""),98.437)</f>
        <v>98.436999999999998</v>
      </c>
      <c r="G1611" s="2">
        <f ca="1">IFERROR(__xludf.DUMMYFUNCTION("""COMPUTED_VALUE"""),0.51511)</f>
        <v>0.51510999999999996</v>
      </c>
      <c r="H1611" s="2">
        <f ca="1">IFERROR(__xludf.DUMMYFUNCTION("""COMPUTED_VALUE"""),50.976)</f>
        <v>50.975999999999999</v>
      </c>
      <c r="I1611" s="2">
        <f ca="1">IFERROR(__xludf.DUMMYFUNCTION("""COMPUTED_VALUE"""),51.841)</f>
        <v>51.841000000000001</v>
      </c>
      <c r="J1611" s="2">
        <f ca="1">IFERROR(__xludf.DUMMYFUNCTION("""COMPUTED_VALUE"""),46.49)</f>
        <v>46.49</v>
      </c>
      <c r="K1611" s="2">
        <f ca="1">IFERROR(__xludf.DUMMYFUNCTION("""COMPUTED_VALUE"""),63.622)</f>
        <v>63.622</v>
      </c>
      <c r="M1611" s="2">
        <f ca="1">IFERROR(__xludf.DUMMYFUNCTION("""COMPUTED_VALUE"""),16.683)</f>
        <v>16.683</v>
      </c>
      <c r="U1611" s="3" t="e">
        <f ca="1"/>
        <v>#NAME?</v>
      </c>
    </row>
    <row r="1612" spans="3:21" ht="12.5" x14ac:dyDescent="0.25">
      <c r="C1612" s="4">
        <f ca="1">IFERROR(__xludf.DUMMYFUNCTION("""COMPUTED_VALUE"""),41955.9986111111)</f>
        <v>41955.998611111099</v>
      </c>
      <c r="D1612" s="2">
        <f ca="1">IFERROR(__xludf.DUMMYFUNCTION("""COMPUTED_VALUE"""),61.368)</f>
        <v>61.368000000000002</v>
      </c>
      <c r="E1612" s="2">
        <f ca="1">IFERROR(__xludf.DUMMYFUNCTION("""COMPUTED_VALUE"""),71.416)</f>
        <v>71.415999999999997</v>
      </c>
      <c r="F1612" s="2">
        <f ca="1">IFERROR(__xludf.DUMMYFUNCTION("""COMPUTED_VALUE"""),98.258)</f>
        <v>98.257999999999996</v>
      </c>
      <c r="G1612" s="2">
        <f ca="1">IFERROR(__xludf.DUMMYFUNCTION("""COMPUTED_VALUE"""),0.51433)</f>
        <v>0.51432999999999995</v>
      </c>
      <c r="H1612" s="2">
        <f ca="1">IFERROR(__xludf.DUMMYFUNCTION("""COMPUTED_VALUE"""),50.908)</f>
        <v>50.908000000000001</v>
      </c>
      <c r="I1612" s="2">
        <f ca="1">IFERROR(__xludf.DUMMYFUNCTION("""COMPUTED_VALUE"""),51.614)</f>
        <v>51.613999999999997</v>
      </c>
      <c r="J1612" s="2">
        <f ca="1">IFERROR(__xludf.DUMMYFUNCTION("""COMPUTED_VALUE"""),46.824)</f>
        <v>46.823999999999998</v>
      </c>
      <c r="K1612" s="2">
        <f ca="1">IFERROR(__xludf.DUMMYFUNCTION("""COMPUTED_VALUE"""),63.157)</f>
        <v>63.156999999999996</v>
      </c>
      <c r="M1612" s="2">
        <f ca="1">IFERROR(__xludf.DUMMYFUNCTION("""COMPUTED_VALUE"""),16.683)</f>
        <v>16.683</v>
      </c>
      <c r="U1612" s="3" t="e">
        <f ca="1"/>
        <v>#NAME?</v>
      </c>
    </row>
    <row r="1613" spans="3:21" ht="12.5" x14ac:dyDescent="0.25">
      <c r="C1613" s="4">
        <f ca="1">IFERROR(__xludf.DUMMYFUNCTION("""COMPUTED_VALUE"""),41956.9986111111)</f>
        <v>41956.998611111099</v>
      </c>
      <c r="D1613" s="2">
        <f ca="1">IFERROR(__xludf.DUMMYFUNCTION("""COMPUTED_VALUE"""),61.593)</f>
        <v>61.593000000000004</v>
      </c>
      <c r="E1613" s="2">
        <f ca="1">IFERROR(__xludf.DUMMYFUNCTION("""COMPUTED_VALUE"""),69.805)</f>
        <v>69.805000000000007</v>
      </c>
      <c r="F1613" s="2">
        <f ca="1">IFERROR(__xludf.DUMMYFUNCTION("""COMPUTED_VALUE"""),98.437)</f>
        <v>98.436999999999998</v>
      </c>
      <c r="G1613" s="2">
        <f ca="1">IFERROR(__xludf.DUMMYFUNCTION("""COMPUTED_VALUE"""),0.51608)</f>
        <v>0.51607999999999998</v>
      </c>
      <c r="H1613" s="2">
        <f ca="1">IFERROR(__xludf.DUMMYFUNCTION("""COMPUTED_VALUE"""),50.457)</f>
        <v>50.457000000000001</v>
      </c>
      <c r="I1613" s="2">
        <f ca="1">IFERROR(__xludf.DUMMYFUNCTION("""COMPUTED_VALUE"""),51.506)</f>
        <v>51.506</v>
      </c>
      <c r="J1613" s="2">
        <f ca="1">IFERROR(__xludf.DUMMYFUNCTION("""COMPUTED_VALUE"""),46.633)</f>
        <v>46.633000000000003</v>
      </c>
      <c r="K1613" s="2">
        <f ca="1">IFERROR(__xludf.DUMMYFUNCTION("""COMPUTED_VALUE"""),63.666)</f>
        <v>63.665999999999997</v>
      </c>
      <c r="M1613" s="2">
        <f ca="1">IFERROR(__xludf.DUMMYFUNCTION("""COMPUTED_VALUE"""),16.683)</f>
        <v>16.683</v>
      </c>
      <c r="U1613" s="3" t="e">
        <f ca="1"/>
        <v>#NAME?</v>
      </c>
    </row>
    <row r="1614" spans="3:21" ht="12.5" x14ac:dyDescent="0.25">
      <c r="C1614" s="4">
        <f ca="1">IFERROR(__xludf.DUMMYFUNCTION("""COMPUTED_VALUE"""),41957.9986111111)</f>
        <v>41957.998611111099</v>
      </c>
      <c r="D1614" s="2">
        <f ca="1">IFERROR(__xludf.DUMMYFUNCTION("""COMPUTED_VALUE"""),61.708)</f>
        <v>61.707999999999998</v>
      </c>
      <c r="E1614" s="2">
        <f ca="1">IFERROR(__xludf.DUMMYFUNCTION("""COMPUTED_VALUE"""),68.782)</f>
        <v>68.781999999999996</v>
      </c>
      <c r="F1614" s="2">
        <f ca="1">IFERROR(__xludf.DUMMYFUNCTION("""COMPUTED_VALUE"""),98.894)</f>
        <v>98.894000000000005</v>
      </c>
      <c r="G1614" s="2">
        <f ca="1">IFERROR(__xludf.DUMMYFUNCTION("""COMPUTED_VALUE"""),0.52012)</f>
        <v>0.52012000000000003</v>
      </c>
      <c r="H1614" s="2">
        <f ca="1">IFERROR(__xludf.DUMMYFUNCTION("""COMPUTED_VALUE"""),50.279)</f>
        <v>50.279000000000003</v>
      </c>
      <c r="I1614" s="2">
        <f ca="1">IFERROR(__xludf.DUMMYFUNCTION("""COMPUTED_VALUE"""),50.846)</f>
        <v>50.845999999999997</v>
      </c>
      <c r="J1614" s="2">
        <f ca="1">IFERROR(__xludf.DUMMYFUNCTION("""COMPUTED_VALUE"""),46.185)</f>
        <v>46.185000000000002</v>
      </c>
      <c r="K1614" s="2">
        <f ca="1">IFERROR(__xludf.DUMMYFUNCTION("""COMPUTED_VALUE"""),63.471)</f>
        <v>63.470999999999997</v>
      </c>
      <c r="M1614" s="2">
        <f ca="1">IFERROR(__xludf.DUMMYFUNCTION("""COMPUTED_VALUE"""),16.608)</f>
        <v>16.608000000000001</v>
      </c>
      <c r="U1614" s="3" t="e">
        <f ca="1"/>
        <v>#NAME?</v>
      </c>
    </row>
    <row r="1615" spans="3:21" ht="12.5" x14ac:dyDescent="0.25">
      <c r="C1615" s="4">
        <f ca="1">IFERROR(__xludf.DUMMYFUNCTION("""COMPUTED_VALUE"""),41958.9986111111)</f>
        <v>41958.998611111099</v>
      </c>
      <c r="D1615" s="2">
        <f ca="1">IFERROR(__xludf.DUMMYFUNCTION("""COMPUTED_VALUE"""),61.708)</f>
        <v>61.707999999999998</v>
      </c>
      <c r="E1615" s="2">
        <f ca="1">IFERROR(__xludf.DUMMYFUNCTION("""COMPUTED_VALUE"""),69.07)</f>
        <v>69.069999999999993</v>
      </c>
      <c r="F1615" s="2">
        <f ca="1">IFERROR(__xludf.DUMMYFUNCTION("""COMPUTED_VALUE"""),98.566)</f>
        <v>98.566000000000003</v>
      </c>
      <c r="G1615" s="2">
        <f ca="1">IFERROR(__xludf.DUMMYFUNCTION("""COMPUTED_VALUE"""),0.51959)</f>
        <v>0.51959</v>
      </c>
      <c r="H1615" s="2">
        <f ca="1">IFERROR(__xludf.DUMMYFUNCTION("""COMPUTED_VALUE"""),49.799)</f>
        <v>49.798999999999999</v>
      </c>
      <c r="I1615" s="2">
        <f ca="1">IFERROR(__xludf.DUMMYFUNCTION("""COMPUTED_VALUE"""),49.813)</f>
        <v>49.813000000000002</v>
      </c>
      <c r="J1615" s="2">
        <f ca="1">IFERROR(__xludf.DUMMYFUNCTION("""COMPUTED_VALUE"""),46.013)</f>
        <v>46.012999999999998</v>
      </c>
      <c r="K1615" s="2">
        <f ca="1">IFERROR(__xludf.DUMMYFUNCTION("""COMPUTED_VALUE"""),63.747)</f>
        <v>63.747</v>
      </c>
      <c r="M1615" s="2">
        <f ca="1">IFERROR(__xludf.DUMMYFUNCTION("""COMPUTED_VALUE"""),16.714)</f>
        <v>16.713999999999999</v>
      </c>
      <c r="U1615" s="3" t="e">
        <f ca="1"/>
        <v>#NAME?</v>
      </c>
    </row>
    <row r="1616" spans="3:21" ht="12.5" x14ac:dyDescent="0.25">
      <c r="C1616" s="4">
        <f ca="1">IFERROR(__xludf.DUMMYFUNCTION("""COMPUTED_VALUE"""),41959.9986111111)</f>
        <v>41959.998611111099</v>
      </c>
      <c r="D1616" s="2">
        <f ca="1">IFERROR(__xludf.DUMMYFUNCTION("""COMPUTED_VALUE"""),61.708)</f>
        <v>61.707999999999998</v>
      </c>
      <c r="E1616" s="2">
        <f ca="1">IFERROR(__xludf.DUMMYFUNCTION("""COMPUTED_VALUE"""),69.725)</f>
        <v>69.724999999999994</v>
      </c>
      <c r="F1616" s="2">
        <f ca="1">IFERROR(__xludf.DUMMYFUNCTION("""COMPUTED_VALUE"""),99.049)</f>
        <v>99.049000000000007</v>
      </c>
      <c r="G1616" s="2">
        <f ca="1">IFERROR(__xludf.DUMMYFUNCTION("""COMPUTED_VALUE"""),0.51637)</f>
        <v>0.51637</v>
      </c>
      <c r="H1616" s="2">
        <f ca="1">IFERROR(__xludf.DUMMYFUNCTION("""COMPUTED_VALUE"""),49.339)</f>
        <v>49.338999999999999</v>
      </c>
      <c r="I1616" s="2">
        <f ca="1">IFERROR(__xludf.DUMMYFUNCTION("""COMPUTED_VALUE"""),49.692)</f>
        <v>49.692</v>
      </c>
      <c r="J1616" s="2">
        <f ca="1">IFERROR(__xludf.DUMMYFUNCTION("""COMPUTED_VALUE"""),46.035)</f>
        <v>46.034999999999997</v>
      </c>
      <c r="K1616" s="2">
        <f ca="1">IFERROR(__xludf.DUMMYFUNCTION("""COMPUTED_VALUE"""),63.384)</f>
        <v>63.384</v>
      </c>
      <c r="M1616" s="2">
        <f ca="1">IFERROR(__xludf.DUMMYFUNCTION("""COMPUTED_VALUE"""),16.709)</f>
        <v>16.709</v>
      </c>
      <c r="U1616" s="3" t="e">
        <f ca="1"/>
        <v>#NAME?</v>
      </c>
    </row>
    <row r="1617" spans="3:21" ht="12.5" x14ac:dyDescent="0.25">
      <c r="C1617" s="4">
        <f ca="1">IFERROR(__xludf.DUMMYFUNCTION("""COMPUTED_VALUE"""),41960.9986111111)</f>
        <v>41960.998611111099</v>
      </c>
      <c r="D1617" s="2">
        <f ca="1">IFERROR(__xludf.DUMMYFUNCTION("""COMPUTED_VALUE"""),61.823)</f>
        <v>61.823</v>
      </c>
      <c r="E1617" s="2">
        <f ca="1">IFERROR(__xludf.DUMMYFUNCTION("""COMPUTED_VALUE"""),69.163)</f>
        <v>69.162999999999997</v>
      </c>
      <c r="F1617" s="2">
        <f ca="1">IFERROR(__xludf.DUMMYFUNCTION("""COMPUTED_VALUE"""),98.289)</f>
        <v>98.289000000000001</v>
      </c>
      <c r="G1617" s="2">
        <f ca="1">IFERROR(__xludf.DUMMYFUNCTION("""COMPUTED_VALUE"""),0.5156)</f>
        <v>0.51559999999999995</v>
      </c>
      <c r="H1617" s="2">
        <f ca="1">IFERROR(__xludf.DUMMYFUNCTION("""COMPUTED_VALUE"""),48.625)</f>
        <v>48.625</v>
      </c>
      <c r="I1617" s="2">
        <f ca="1">IFERROR(__xludf.DUMMYFUNCTION("""COMPUTED_VALUE"""),49.409)</f>
        <v>49.408999999999999</v>
      </c>
      <c r="J1617" s="2">
        <f ca="1">IFERROR(__xludf.DUMMYFUNCTION("""COMPUTED_VALUE"""),45.926)</f>
        <v>45.926000000000002</v>
      </c>
      <c r="K1617" s="2">
        <f ca="1">IFERROR(__xludf.DUMMYFUNCTION("""COMPUTED_VALUE"""),63.855)</f>
        <v>63.854999999999997</v>
      </c>
      <c r="M1617" s="2">
        <f ca="1">IFERROR(__xludf.DUMMYFUNCTION("""COMPUTED_VALUE"""),16.834)</f>
        <v>16.834</v>
      </c>
      <c r="U1617" s="3" t="e">
        <f ca="1"/>
        <v>#NAME?</v>
      </c>
    </row>
    <row r="1618" spans="3:21" ht="12.5" x14ac:dyDescent="0.25">
      <c r="C1618" s="4">
        <f ca="1">IFERROR(__xludf.DUMMYFUNCTION("""COMPUTED_VALUE"""),41961.9986111111)</f>
        <v>41961.998611111099</v>
      </c>
      <c r="D1618" s="2">
        <f ca="1">IFERROR(__xludf.DUMMYFUNCTION("""COMPUTED_VALUE"""),61.718)</f>
        <v>61.718000000000004</v>
      </c>
      <c r="E1618" s="2">
        <f ca="1">IFERROR(__xludf.DUMMYFUNCTION("""COMPUTED_VALUE"""),69.975)</f>
        <v>69.974999999999994</v>
      </c>
      <c r="F1618" s="2">
        <f ca="1">IFERROR(__xludf.DUMMYFUNCTION("""COMPUTED_VALUE"""),97.576)</f>
        <v>97.575999999999993</v>
      </c>
      <c r="G1618" s="2">
        <f ca="1">IFERROR(__xludf.DUMMYFUNCTION("""COMPUTED_VALUE"""),0.51748)</f>
        <v>0.51748000000000005</v>
      </c>
      <c r="H1618" s="2">
        <f ca="1">IFERROR(__xludf.DUMMYFUNCTION("""COMPUTED_VALUE"""),48.646)</f>
        <v>48.646000000000001</v>
      </c>
      <c r="I1618" s="2">
        <f ca="1">IFERROR(__xludf.DUMMYFUNCTION("""COMPUTED_VALUE"""),49.209)</f>
        <v>49.209000000000003</v>
      </c>
      <c r="J1618" s="2">
        <f ca="1">IFERROR(__xludf.DUMMYFUNCTION("""COMPUTED_VALUE"""),45.634)</f>
        <v>45.634</v>
      </c>
      <c r="K1618" s="2">
        <f ca="1">IFERROR(__xludf.DUMMYFUNCTION("""COMPUTED_VALUE"""),63.135)</f>
        <v>63.134999999999998</v>
      </c>
      <c r="M1618" s="2">
        <f ca="1">IFERROR(__xludf.DUMMYFUNCTION("""COMPUTED_VALUE"""),16.705)</f>
        <v>16.704999999999998</v>
      </c>
      <c r="U1618" s="3" t="e">
        <f ca="1"/>
        <v>#NAME?</v>
      </c>
    </row>
    <row r="1619" spans="3:21" ht="12.5" x14ac:dyDescent="0.25">
      <c r="C1619" s="4">
        <f ca="1">IFERROR(__xludf.DUMMYFUNCTION("""COMPUTED_VALUE"""),41962.9986111111)</f>
        <v>41962.998611111099</v>
      </c>
      <c r="D1619" s="2">
        <f ca="1">IFERROR(__xludf.DUMMYFUNCTION("""COMPUTED_VALUE"""),61.938)</f>
        <v>61.938000000000002</v>
      </c>
      <c r="E1619" s="2">
        <f ca="1">IFERROR(__xludf.DUMMYFUNCTION("""COMPUTED_VALUE"""),69.931)</f>
        <v>69.930999999999997</v>
      </c>
      <c r="F1619" s="2">
        <f ca="1">IFERROR(__xludf.DUMMYFUNCTION("""COMPUTED_VALUE"""),98.514)</f>
        <v>98.513999999999996</v>
      </c>
      <c r="G1619" s="2">
        <f ca="1">IFERROR(__xludf.DUMMYFUNCTION("""COMPUTED_VALUE"""),0.51625)</f>
        <v>0.51624999999999999</v>
      </c>
      <c r="H1619" s="2">
        <f ca="1">IFERROR(__xludf.DUMMYFUNCTION("""COMPUTED_VALUE"""),48.584)</f>
        <v>48.584000000000003</v>
      </c>
      <c r="I1619" s="2">
        <f ca="1">IFERROR(__xludf.DUMMYFUNCTION("""COMPUTED_VALUE"""),49.478)</f>
        <v>49.478000000000002</v>
      </c>
      <c r="J1619" s="2">
        <f ca="1">IFERROR(__xludf.DUMMYFUNCTION("""COMPUTED_VALUE"""),45.698)</f>
        <v>45.698</v>
      </c>
      <c r="K1619" s="2">
        <f ca="1">IFERROR(__xludf.DUMMYFUNCTION("""COMPUTED_VALUE"""),63.134)</f>
        <v>63.134</v>
      </c>
      <c r="M1619" s="2">
        <f ca="1">IFERROR(__xludf.DUMMYFUNCTION("""COMPUTED_VALUE"""),16.705)</f>
        <v>16.704999999999998</v>
      </c>
      <c r="U1619" s="3" t="e">
        <f ca="1"/>
        <v>#NAME?</v>
      </c>
    </row>
    <row r="1620" spans="3:21" ht="12.5" x14ac:dyDescent="0.25">
      <c r="C1620" s="4">
        <f ca="1">IFERROR(__xludf.DUMMYFUNCTION("""COMPUTED_VALUE"""),41963.9986111111)</f>
        <v>41963.998611111099</v>
      </c>
      <c r="D1620" s="2">
        <f ca="1">IFERROR(__xludf.DUMMYFUNCTION("""COMPUTED_VALUE"""),61.923)</f>
        <v>61.923000000000002</v>
      </c>
      <c r="E1620" s="2">
        <f ca="1">IFERROR(__xludf.DUMMYFUNCTION("""COMPUTED_VALUE"""),69.981)</f>
        <v>69.980999999999995</v>
      </c>
      <c r="F1620" s="2">
        <f ca="1">IFERROR(__xludf.DUMMYFUNCTION("""COMPUTED_VALUE"""),98.514)</f>
        <v>98.513999999999996</v>
      </c>
      <c r="G1620" s="2">
        <f ca="1">IFERROR(__xludf.DUMMYFUNCTION("""COMPUTED_VALUE"""),0.51482)</f>
        <v>0.51482000000000006</v>
      </c>
      <c r="H1620" s="2">
        <f ca="1">IFERROR(__xludf.DUMMYFUNCTION("""COMPUTED_VALUE"""),48.366)</f>
        <v>48.366</v>
      </c>
      <c r="I1620" s="2">
        <f ca="1">IFERROR(__xludf.DUMMYFUNCTION("""COMPUTED_VALUE"""),48.937)</f>
        <v>48.936999999999998</v>
      </c>
      <c r="J1620" s="2">
        <f ca="1">IFERROR(__xludf.DUMMYFUNCTION("""COMPUTED_VALUE"""),45.793)</f>
        <v>45.792999999999999</v>
      </c>
      <c r="K1620" s="2">
        <f ca="1">IFERROR(__xludf.DUMMYFUNCTION("""COMPUTED_VALUE"""),64.343)</f>
        <v>64.343000000000004</v>
      </c>
      <c r="M1620" s="2">
        <f ca="1">IFERROR(__xludf.DUMMYFUNCTION("""COMPUTED_VALUE"""),16.705)</f>
        <v>16.704999999999998</v>
      </c>
      <c r="U1620" s="3" t="e">
        <f ca="1"/>
        <v>#NAME?</v>
      </c>
    </row>
    <row r="1621" spans="3:21" ht="12.5" x14ac:dyDescent="0.25">
      <c r="C1621" s="4">
        <f ca="1">IFERROR(__xludf.DUMMYFUNCTION("""COMPUTED_VALUE"""),41964.9986111111)</f>
        <v>41964.998611111099</v>
      </c>
      <c r="D1621" s="2">
        <f ca="1">IFERROR(__xludf.DUMMYFUNCTION("""COMPUTED_VALUE"""),61.76)</f>
        <v>61.76</v>
      </c>
      <c r="E1621" s="2">
        <f ca="1">IFERROR(__xludf.DUMMYFUNCTION("""COMPUTED_VALUE"""),69.93)</f>
        <v>69.930000000000007</v>
      </c>
      <c r="F1621" s="2">
        <f ca="1">IFERROR(__xludf.DUMMYFUNCTION("""COMPUTED_VALUE"""),97.957)</f>
        <v>97.956999999999994</v>
      </c>
      <c r="G1621" s="2">
        <f ca="1">IFERROR(__xludf.DUMMYFUNCTION("""COMPUTED_VALUE"""),0.519)</f>
        <v>0.51900000000000002</v>
      </c>
      <c r="H1621" s="2">
        <f ca="1">IFERROR(__xludf.DUMMYFUNCTION("""COMPUTED_VALUE"""),48.036)</f>
        <v>48.036000000000001</v>
      </c>
      <c r="I1621" s="2">
        <f ca="1">IFERROR(__xludf.DUMMYFUNCTION("""COMPUTED_VALUE"""),48.945)</f>
        <v>48.945</v>
      </c>
      <c r="J1621" s="2">
        <f ca="1">IFERROR(__xludf.DUMMYFUNCTION("""COMPUTED_VALUE"""),45.271)</f>
        <v>45.271000000000001</v>
      </c>
      <c r="K1621" s="2">
        <f ca="1">IFERROR(__xludf.DUMMYFUNCTION("""COMPUTED_VALUE"""),63.997)</f>
        <v>63.997</v>
      </c>
      <c r="M1621" s="2">
        <f ca="1">IFERROR(__xludf.DUMMYFUNCTION("""COMPUTED_VALUE"""),16.669)</f>
        <v>16.669</v>
      </c>
      <c r="U1621" s="3" t="e">
        <f ca="1"/>
        <v>#NAME?</v>
      </c>
    </row>
    <row r="1622" spans="3:21" ht="12.5" x14ac:dyDescent="0.25">
      <c r="C1622" s="4">
        <f ca="1">IFERROR(__xludf.DUMMYFUNCTION("""COMPUTED_VALUE"""),41965.9986111111)</f>
        <v>41965.998611111099</v>
      </c>
      <c r="D1622" s="2">
        <f ca="1">IFERROR(__xludf.DUMMYFUNCTION("""COMPUTED_VALUE"""),61.76)</f>
        <v>61.76</v>
      </c>
      <c r="E1622" s="2">
        <f ca="1">IFERROR(__xludf.DUMMYFUNCTION("""COMPUTED_VALUE"""),70.513)</f>
        <v>70.513000000000005</v>
      </c>
      <c r="F1622" s="2">
        <f ca="1">IFERROR(__xludf.DUMMYFUNCTION("""COMPUTED_VALUE"""),97.44)</f>
        <v>97.44</v>
      </c>
      <c r="G1622" s="2">
        <f ca="1">IFERROR(__xludf.DUMMYFUNCTION("""COMPUTED_VALUE"""),0.51959)</f>
        <v>0.51959</v>
      </c>
      <c r="H1622" s="2">
        <f ca="1">IFERROR(__xludf.DUMMYFUNCTION("""COMPUTED_VALUE"""),48.207)</f>
        <v>48.207000000000001</v>
      </c>
      <c r="I1622" s="2">
        <f ca="1">IFERROR(__xludf.DUMMYFUNCTION("""COMPUTED_VALUE"""),48.675)</f>
        <v>48.674999999999997</v>
      </c>
      <c r="J1622" s="2">
        <f ca="1">IFERROR(__xludf.DUMMYFUNCTION("""COMPUTED_VALUE"""),45.626)</f>
        <v>45.625999999999998</v>
      </c>
      <c r="K1622" s="2">
        <f ca="1">IFERROR(__xludf.DUMMYFUNCTION("""COMPUTED_VALUE"""),64.327)</f>
        <v>64.326999999999998</v>
      </c>
      <c r="M1622" s="2">
        <f ca="1">IFERROR(__xludf.DUMMYFUNCTION("""COMPUTED_VALUE"""),16.646)</f>
        <v>16.646000000000001</v>
      </c>
      <c r="U1622" s="3" t="e">
        <f ca="1"/>
        <v>#NAME?</v>
      </c>
    </row>
    <row r="1623" spans="3:21" ht="12.5" x14ac:dyDescent="0.25">
      <c r="C1623" s="4">
        <f ca="1">IFERROR(__xludf.DUMMYFUNCTION("""COMPUTED_VALUE"""),41966.9986111111)</f>
        <v>41966.998611111099</v>
      </c>
      <c r="D1623" s="2">
        <f ca="1">IFERROR(__xludf.DUMMYFUNCTION("""COMPUTED_VALUE"""),61.681)</f>
        <v>61.680999999999997</v>
      </c>
      <c r="E1623" s="2">
        <f ca="1">IFERROR(__xludf.DUMMYFUNCTION("""COMPUTED_VALUE"""),70.007)</f>
        <v>70.007000000000005</v>
      </c>
      <c r="F1623" s="2">
        <f ca="1">IFERROR(__xludf.DUMMYFUNCTION("""COMPUTED_VALUE"""),98.088)</f>
        <v>98.087999999999994</v>
      </c>
      <c r="G1623" s="2">
        <f ca="1">IFERROR(__xludf.DUMMYFUNCTION("""COMPUTED_VALUE"""),0.51678)</f>
        <v>0.51678000000000002</v>
      </c>
      <c r="H1623" s="2">
        <f ca="1">IFERROR(__xludf.DUMMYFUNCTION("""COMPUTED_VALUE"""),48.184)</f>
        <v>48.183999999999997</v>
      </c>
      <c r="I1623" s="2">
        <f ca="1">IFERROR(__xludf.DUMMYFUNCTION("""COMPUTED_VALUE"""),48.718)</f>
        <v>48.718000000000004</v>
      </c>
      <c r="J1623" s="2">
        <f ca="1">IFERROR(__xludf.DUMMYFUNCTION("""COMPUTED_VALUE"""),45.765)</f>
        <v>45.765000000000001</v>
      </c>
      <c r="K1623" s="2">
        <f ca="1">IFERROR(__xludf.DUMMYFUNCTION("""COMPUTED_VALUE"""),64.584)</f>
        <v>64.584000000000003</v>
      </c>
      <c r="M1623" s="2">
        <f ca="1">IFERROR(__xludf.DUMMYFUNCTION("""COMPUTED_VALUE"""),16.634)</f>
        <v>16.634</v>
      </c>
      <c r="U1623" s="3" t="e">
        <f ca="1"/>
        <v>#NAME?</v>
      </c>
    </row>
    <row r="1624" spans="3:21" ht="12.5" x14ac:dyDescent="0.25">
      <c r="C1624" s="4">
        <f ca="1">IFERROR(__xludf.DUMMYFUNCTION("""COMPUTED_VALUE"""),41967.9986111111)</f>
        <v>41967.998611111099</v>
      </c>
      <c r="D1624" s="2">
        <f ca="1">IFERROR(__xludf.DUMMYFUNCTION("""COMPUTED_VALUE"""),61.853)</f>
        <v>61.853000000000002</v>
      </c>
      <c r="E1624" s="2">
        <f ca="1">IFERROR(__xludf.DUMMYFUNCTION("""COMPUTED_VALUE"""),70.743)</f>
        <v>70.742999999999995</v>
      </c>
      <c r="F1624" s="2">
        <f ca="1">IFERROR(__xludf.DUMMYFUNCTION("""COMPUTED_VALUE"""),99.342)</f>
        <v>99.341999999999999</v>
      </c>
      <c r="G1624" s="2">
        <f ca="1">IFERROR(__xludf.DUMMYFUNCTION("""COMPUTED_VALUE"""),0.51562)</f>
        <v>0.51561999999999997</v>
      </c>
      <c r="H1624" s="2">
        <f ca="1">IFERROR(__xludf.DUMMYFUNCTION("""COMPUTED_VALUE"""),48.097)</f>
        <v>48.097000000000001</v>
      </c>
      <c r="I1624" s="2">
        <f ca="1">IFERROR(__xludf.DUMMYFUNCTION("""COMPUTED_VALUE"""),49.004)</f>
        <v>49.003999999999998</v>
      </c>
      <c r="J1624" s="2">
        <f ca="1">IFERROR(__xludf.DUMMYFUNCTION("""COMPUTED_VALUE"""),45.796)</f>
        <v>45.795999999999999</v>
      </c>
      <c r="K1624" s="2">
        <f ca="1">IFERROR(__xludf.DUMMYFUNCTION("""COMPUTED_VALUE"""),64.552)</f>
        <v>64.552000000000007</v>
      </c>
      <c r="M1624" s="2">
        <f ca="1">IFERROR(__xludf.DUMMYFUNCTION("""COMPUTED_VALUE"""),16.653)</f>
        <v>16.652999999999999</v>
      </c>
      <c r="U1624" s="3" t="e">
        <f ca="1"/>
        <v>#NAME?</v>
      </c>
    </row>
    <row r="1625" spans="3:21" ht="12.5" x14ac:dyDescent="0.25">
      <c r="C1625" s="4">
        <f ca="1">IFERROR(__xludf.DUMMYFUNCTION("""COMPUTED_VALUE"""),41968.9986111111)</f>
        <v>41968.998611111099</v>
      </c>
      <c r="D1625" s="2">
        <f ca="1">IFERROR(__xludf.DUMMYFUNCTION("""COMPUTED_VALUE"""),61.84)</f>
        <v>61.84</v>
      </c>
      <c r="E1625" s="2">
        <f ca="1">IFERROR(__xludf.DUMMYFUNCTION("""COMPUTED_VALUE"""),70.105)</f>
        <v>70.105000000000004</v>
      </c>
      <c r="F1625" s="2">
        <f ca="1">IFERROR(__xludf.DUMMYFUNCTION("""COMPUTED_VALUE"""),98.639)</f>
        <v>98.638999999999996</v>
      </c>
      <c r="G1625" s="2">
        <f ca="1">IFERROR(__xludf.DUMMYFUNCTION("""COMPUTED_VALUE"""),0.52153)</f>
        <v>0.52153000000000005</v>
      </c>
      <c r="H1625" s="2">
        <f ca="1">IFERROR(__xludf.DUMMYFUNCTION("""COMPUTED_VALUE"""),47.773)</f>
        <v>47.773000000000003</v>
      </c>
      <c r="I1625" s="2">
        <f ca="1">IFERROR(__xludf.DUMMYFUNCTION("""COMPUTED_VALUE"""),49.473)</f>
        <v>49.472999999999999</v>
      </c>
      <c r="J1625" s="2">
        <f ca="1">IFERROR(__xludf.DUMMYFUNCTION("""COMPUTED_VALUE"""),45.61)</f>
        <v>45.61</v>
      </c>
      <c r="K1625" s="2">
        <f ca="1">IFERROR(__xludf.DUMMYFUNCTION("""COMPUTED_VALUE"""),63.683)</f>
        <v>63.683</v>
      </c>
      <c r="M1625" s="2">
        <f ca="1">IFERROR(__xludf.DUMMYFUNCTION("""COMPUTED_VALUE"""),16.652)</f>
        <v>16.652000000000001</v>
      </c>
      <c r="U1625" s="3" t="e">
        <f ca="1"/>
        <v>#NAME?</v>
      </c>
    </row>
    <row r="1626" spans="3:21" ht="12.5" x14ac:dyDescent="0.25">
      <c r="C1626" s="4">
        <f ca="1">IFERROR(__xludf.DUMMYFUNCTION("""COMPUTED_VALUE"""),41969.9986111111)</f>
        <v>41969.998611111099</v>
      </c>
      <c r="D1626" s="2">
        <f ca="1">IFERROR(__xludf.DUMMYFUNCTION("""COMPUTED_VALUE"""),61.788)</f>
        <v>61.787999999999997</v>
      </c>
      <c r="E1626" s="2">
        <f ca="1">IFERROR(__xludf.DUMMYFUNCTION("""COMPUTED_VALUE"""),70.294)</f>
        <v>70.293999999999997</v>
      </c>
      <c r="F1626" s="2">
        <f ca="1">IFERROR(__xludf.DUMMYFUNCTION("""COMPUTED_VALUE"""),98.738)</f>
        <v>98.738</v>
      </c>
      <c r="G1626" s="2">
        <f ca="1">IFERROR(__xludf.DUMMYFUNCTION("""COMPUTED_VALUE"""),0.51687)</f>
        <v>0.51687000000000005</v>
      </c>
      <c r="H1626" s="2">
        <f ca="1">IFERROR(__xludf.DUMMYFUNCTION("""COMPUTED_VALUE"""),47.991)</f>
        <v>47.991</v>
      </c>
      <c r="I1626" s="2">
        <f ca="1">IFERROR(__xludf.DUMMYFUNCTION("""COMPUTED_VALUE"""),49.173)</f>
        <v>49.173000000000002</v>
      </c>
      <c r="J1626" s="2">
        <f ca="1">IFERROR(__xludf.DUMMYFUNCTION("""COMPUTED_VALUE"""),45.722)</f>
        <v>45.722000000000001</v>
      </c>
      <c r="K1626" s="2">
        <f ca="1">IFERROR(__xludf.DUMMYFUNCTION("""COMPUTED_VALUE"""),63.696)</f>
        <v>63.695999999999998</v>
      </c>
      <c r="M1626" s="2">
        <f ca="1">IFERROR(__xludf.DUMMYFUNCTION("""COMPUTED_VALUE"""),16.652)</f>
        <v>16.652000000000001</v>
      </c>
      <c r="U1626" s="3" t="e">
        <f ca="1"/>
        <v>#NAME?</v>
      </c>
    </row>
    <row r="1627" spans="3:21" ht="12.5" x14ac:dyDescent="0.25">
      <c r="C1627" s="4">
        <f ca="1">IFERROR(__xludf.DUMMYFUNCTION("""COMPUTED_VALUE"""),41970.9986111111)</f>
        <v>41970.998611111099</v>
      </c>
      <c r="D1627" s="2">
        <f ca="1">IFERROR(__xludf.DUMMYFUNCTION("""COMPUTED_VALUE"""),61.853)</f>
        <v>61.853000000000002</v>
      </c>
      <c r="E1627" s="2">
        <f ca="1">IFERROR(__xludf.DUMMYFUNCTION("""COMPUTED_VALUE"""),70.574)</f>
        <v>70.573999999999998</v>
      </c>
      <c r="F1627" s="2">
        <f ca="1">IFERROR(__xludf.DUMMYFUNCTION("""COMPUTED_VALUE"""),98.817)</f>
        <v>98.816999999999993</v>
      </c>
      <c r="G1627" s="2">
        <f ca="1">IFERROR(__xludf.DUMMYFUNCTION("""COMPUTED_VALUE"""),0.51983)</f>
        <v>0.51983000000000001</v>
      </c>
      <c r="H1627" s="2">
        <f ca="1">IFERROR(__xludf.DUMMYFUNCTION("""COMPUTED_VALUE"""),48.095)</f>
        <v>48.094999999999999</v>
      </c>
      <c r="I1627" s="2">
        <f ca="1">IFERROR(__xludf.DUMMYFUNCTION("""COMPUTED_VALUE"""),49.588)</f>
        <v>49.588000000000001</v>
      </c>
      <c r="J1627" s="2">
        <f ca="1">IFERROR(__xludf.DUMMYFUNCTION("""COMPUTED_VALUE"""),45.874)</f>
        <v>45.874000000000002</v>
      </c>
      <c r="K1627" s="2">
        <f ca="1">IFERROR(__xludf.DUMMYFUNCTION("""COMPUTED_VALUE"""),63.864)</f>
        <v>63.863999999999997</v>
      </c>
      <c r="M1627" s="2">
        <f ca="1">IFERROR(__xludf.DUMMYFUNCTION("""COMPUTED_VALUE"""),16.652)</f>
        <v>16.652000000000001</v>
      </c>
      <c r="U1627" s="3" t="e">
        <f ca="1"/>
        <v>#NAME?</v>
      </c>
    </row>
    <row r="1628" spans="3:21" ht="12.5" x14ac:dyDescent="0.25">
      <c r="C1628" s="4">
        <f ca="1">IFERROR(__xludf.DUMMYFUNCTION("""COMPUTED_VALUE"""),41971.9986111111)</f>
        <v>41971.998611111099</v>
      </c>
      <c r="D1628" s="2">
        <f ca="1">IFERROR(__xludf.DUMMYFUNCTION("""COMPUTED_VALUE"""),62.203)</f>
        <v>62.203000000000003</v>
      </c>
      <c r="E1628" s="2">
        <f ca="1">IFERROR(__xludf.DUMMYFUNCTION("""COMPUTED_VALUE"""),70.489)</f>
        <v>70.489000000000004</v>
      </c>
      <c r="F1628" s="2">
        <f ca="1">IFERROR(__xludf.DUMMYFUNCTION("""COMPUTED_VALUE"""),98.857)</f>
        <v>98.856999999999999</v>
      </c>
      <c r="G1628" s="2">
        <f ca="1">IFERROR(__xludf.DUMMYFUNCTION("""COMPUTED_VALUE"""),0.51903)</f>
        <v>0.51902999999999999</v>
      </c>
      <c r="H1628" s="2">
        <f ca="1">IFERROR(__xludf.DUMMYFUNCTION("""COMPUTED_VALUE"""),48.309)</f>
        <v>48.308999999999997</v>
      </c>
      <c r="I1628" s="2">
        <f ca="1">IFERROR(__xludf.DUMMYFUNCTION("""COMPUTED_VALUE"""),49.482)</f>
        <v>49.481999999999999</v>
      </c>
      <c r="J1628" s="2">
        <f ca="1">IFERROR(__xludf.DUMMYFUNCTION("""COMPUTED_VALUE"""),45.866)</f>
        <v>45.866</v>
      </c>
      <c r="K1628" s="2">
        <f ca="1">IFERROR(__xludf.DUMMYFUNCTION("""COMPUTED_VALUE"""),64.122)</f>
        <v>64.122</v>
      </c>
      <c r="M1628" s="2">
        <f ca="1">IFERROR(__xludf.DUMMYFUNCTION("""COMPUTED_VALUE"""),16.689)</f>
        <v>16.689</v>
      </c>
      <c r="U1628" s="3" t="e">
        <f ca="1"/>
        <v>#NAME?</v>
      </c>
    </row>
    <row r="1629" spans="3:21" ht="12.5" x14ac:dyDescent="0.25">
      <c r="C1629" s="4">
        <f ca="1">IFERROR(__xludf.DUMMYFUNCTION("""COMPUTED_VALUE"""),41972.9986111111)</f>
        <v>41972.998611111099</v>
      </c>
      <c r="D1629" s="2">
        <f ca="1">IFERROR(__xludf.DUMMYFUNCTION("""COMPUTED_VALUE"""),62.223)</f>
        <v>62.222999999999999</v>
      </c>
      <c r="E1629" s="2">
        <f ca="1">IFERROR(__xludf.DUMMYFUNCTION("""COMPUTED_VALUE"""),70.824)</f>
        <v>70.823999999999998</v>
      </c>
      <c r="F1629" s="2">
        <f ca="1">IFERROR(__xludf.DUMMYFUNCTION("""COMPUTED_VALUE"""),98.406)</f>
        <v>98.406000000000006</v>
      </c>
      <c r="G1629" s="2">
        <f ca="1">IFERROR(__xludf.DUMMYFUNCTION("""COMPUTED_VALUE"""),0.51924)</f>
        <v>0.51924000000000003</v>
      </c>
      <c r="H1629" s="2">
        <f ca="1">IFERROR(__xludf.DUMMYFUNCTION("""COMPUTED_VALUE"""),48.398)</f>
        <v>48.398000000000003</v>
      </c>
      <c r="I1629" s="2">
        <f ca="1">IFERROR(__xludf.DUMMYFUNCTION("""COMPUTED_VALUE"""),49.755)</f>
        <v>49.755000000000003</v>
      </c>
      <c r="J1629" s="2">
        <f ca="1">IFERROR(__xludf.DUMMYFUNCTION("""COMPUTED_VALUE"""),45.8)</f>
        <v>45.8</v>
      </c>
      <c r="K1629" s="2">
        <f ca="1">IFERROR(__xludf.DUMMYFUNCTION("""COMPUTED_VALUE"""),64.217)</f>
        <v>64.216999999999999</v>
      </c>
      <c r="M1629" s="2">
        <f ca="1">IFERROR(__xludf.DUMMYFUNCTION("""COMPUTED_VALUE"""),16.657)</f>
        <v>16.657</v>
      </c>
      <c r="U1629" s="3" t="e">
        <f ca="1"/>
        <v>#NAME?</v>
      </c>
    </row>
    <row r="1630" spans="3:21" ht="12.5" x14ac:dyDescent="0.25">
      <c r="C1630" s="4">
        <f ca="1">IFERROR(__xludf.DUMMYFUNCTION("""COMPUTED_VALUE"""),41973.9986111111)</f>
        <v>41973.998611111099</v>
      </c>
      <c r="D1630" s="2">
        <f ca="1">IFERROR(__xludf.DUMMYFUNCTION("""COMPUTED_VALUE"""),62.223)</f>
        <v>62.222999999999999</v>
      </c>
      <c r="E1630" s="2">
        <f ca="1">IFERROR(__xludf.DUMMYFUNCTION("""COMPUTED_VALUE"""),70.625)</f>
        <v>70.625</v>
      </c>
      <c r="F1630" s="2">
        <f ca="1">IFERROR(__xludf.DUMMYFUNCTION("""COMPUTED_VALUE"""),98.107)</f>
        <v>98.106999999999999</v>
      </c>
      <c r="G1630" s="2">
        <f ca="1">IFERROR(__xludf.DUMMYFUNCTION("""COMPUTED_VALUE"""),0.52204)</f>
        <v>0.52203999999999995</v>
      </c>
      <c r="H1630" s="2">
        <f ca="1">IFERROR(__xludf.DUMMYFUNCTION("""COMPUTED_VALUE"""),48.523)</f>
        <v>48.523000000000003</v>
      </c>
      <c r="I1630" s="2">
        <f ca="1">IFERROR(__xludf.DUMMYFUNCTION("""COMPUTED_VALUE"""),49.532)</f>
        <v>49.531999999999996</v>
      </c>
      <c r="J1630" s="2">
        <f ca="1">IFERROR(__xludf.DUMMYFUNCTION("""COMPUTED_VALUE"""),45.842)</f>
        <v>45.841999999999999</v>
      </c>
      <c r="K1630" s="2">
        <f ca="1">IFERROR(__xludf.DUMMYFUNCTION("""COMPUTED_VALUE"""),64.063)</f>
        <v>64.063000000000002</v>
      </c>
      <c r="M1630" s="2">
        <f ca="1">IFERROR(__xludf.DUMMYFUNCTION("""COMPUTED_VALUE"""),16.685)</f>
        <v>16.684999999999999</v>
      </c>
      <c r="U1630" s="3" t="e">
        <f ca="1"/>
        <v>#NAME?</v>
      </c>
    </row>
    <row r="1631" spans="3:21" ht="12.5" x14ac:dyDescent="0.25">
      <c r="C1631" s="4">
        <f ca="1">IFERROR(__xludf.DUMMYFUNCTION("""COMPUTED_VALUE"""),41974.9986111111)</f>
        <v>41974.998611111099</v>
      </c>
      <c r="D1631" s="2">
        <f ca="1">IFERROR(__xludf.DUMMYFUNCTION("""COMPUTED_VALUE"""),61.948)</f>
        <v>61.948</v>
      </c>
      <c r="E1631" s="2">
        <f ca="1">IFERROR(__xludf.DUMMYFUNCTION("""COMPUTED_VALUE"""),70.641)</f>
        <v>70.641000000000005</v>
      </c>
      <c r="F1631" s="2">
        <f ca="1">IFERROR(__xludf.DUMMYFUNCTION("""COMPUTED_VALUE"""),97.992)</f>
        <v>97.992000000000004</v>
      </c>
      <c r="G1631" s="2">
        <f ca="1">IFERROR(__xludf.DUMMYFUNCTION("""COMPUTED_VALUE"""),0.52656)</f>
        <v>0.52656000000000003</v>
      </c>
      <c r="H1631" s="2">
        <f ca="1">IFERROR(__xludf.DUMMYFUNCTION("""COMPUTED_VALUE"""),48.116)</f>
        <v>48.116</v>
      </c>
      <c r="I1631" s="2">
        <f ca="1">IFERROR(__xludf.DUMMYFUNCTION("""COMPUTED_VALUE"""),49.393)</f>
        <v>49.393000000000001</v>
      </c>
      <c r="J1631" s="2">
        <f ca="1">IFERROR(__xludf.DUMMYFUNCTION("""COMPUTED_VALUE"""),46.007)</f>
        <v>46.006999999999998</v>
      </c>
      <c r="K1631" s="2">
        <f ca="1">IFERROR(__xludf.DUMMYFUNCTION("""COMPUTED_VALUE"""),64.412)</f>
        <v>64.412000000000006</v>
      </c>
      <c r="M1631" s="2">
        <f ca="1">IFERROR(__xludf.DUMMYFUNCTION("""COMPUTED_VALUE"""),16.726)</f>
        <v>16.725999999999999</v>
      </c>
      <c r="U1631" s="3" t="e">
        <f ca="1"/>
        <v>#NAME?</v>
      </c>
    </row>
    <row r="1632" spans="3:21" ht="12.5" x14ac:dyDescent="0.25">
      <c r="C1632" s="4">
        <f ca="1">IFERROR(__xludf.DUMMYFUNCTION("""COMPUTED_VALUE"""),41975.9986111111)</f>
        <v>41975.998611111099</v>
      </c>
      <c r="D1632" s="2">
        <f ca="1">IFERROR(__xludf.DUMMYFUNCTION("""COMPUTED_VALUE"""),61.788)</f>
        <v>61.787999999999997</v>
      </c>
      <c r="E1632" s="2">
        <f ca="1">IFERROR(__xludf.DUMMYFUNCTION("""COMPUTED_VALUE"""),70.404)</f>
        <v>70.403999999999996</v>
      </c>
      <c r="F1632" s="2">
        <f ca="1">IFERROR(__xludf.DUMMYFUNCTION("""COMPUTED_VALUE"""),98.316)</f>
        <v>98.316000000000003</v>
      </c>
      <c r="G1632" s="2">
        <f ca="1">IFERROR(__xludf.DUMMYFUNCTION("""COMPUTED_VALUE"""),0.52474)</f>
        <v>0.52473999999999998</v>
      </c>
      <c r="H1632" s="2">
        <f ca="1">IFERROR(__xludf.DUMMYFUNCTION("""COMPUTED_VALUE"""),48.186)</f>
        <v>48.186</v>
      </c>
      <c r="I1632" s="2">
        <f ca="1">IFERROR(__xludf.DUMMYFUNCTION("""COMPUTED_VALUE"""),49.648)</f>
        <v>49.648000000000003</v>
      </c>
      <c r="J1632" s="2">
        <f ca="1">IFERROR(__xludf.DUMMYFUNCTION("""COMPUTED_VALUE"""),45.823)</f>
        <v>45.823</v>
      </c>
      <c r="K1632" s="2">
        <f ca="1">IFERROR(__xludf.DUMMYFUNCTION("""COMPUTED_VALUE"""),64.155)</f>
        <v>64.155000000000001</v>
      </c>
      <c r="M1632" s="2">
        <f ca="1">IFERROR(__xludf.DUMMYFUNCTION("""COMPUTED_VALUE"""),16.716)</f>
        <v>16.716000000000001</v>
      </c>
      <c r="U1632" s="3" t="e">
        <f ca="1"/>
        <v>#NAME?</v>
      </c>
    </row>
    <row r="1633" spans="3:21" ht="12.5" x14ac:dyDescent="0.25">
      <c r="C1633" s="4">
        <f ca="1">IFERROR(__xludf.DUMMYFUNCTION("""COMPUTED_VALUE"""),41976.9986111111)</f>
        <v>41976.998611111099</v>
      </c>
      <c r="D1633" s="2">
        <f ca="1">IFERROR(__xludf.DUMMYFUNCTION("""COMPUTED_VALUE"""),61.856)</f>
        <v>61.856000000000002</v>
      </c>
      <c r="E1633" s="2">
        <f ca="1">IFERROR(__xludf.DUMMYFUNCTION("""COMPUTED_VALUE"""),70.759)</f>
        <v>70.759</v>
      </c>
      <c r="F1633" s="2">
        <f ca="1">IFERROR(__xludf.DUMMYFUNCTION("""COMPUTED_VALUE"""),98.412)</f>
        <v>98.412000000000006</v>
      </c>
      <c r="G1633" s="2">
        <f ca="1">IFERROR(__xludf.DUMMYFUNCTION("""COMPUTED_VALUE"""),0.52027)</f>
        <v>0.52027000000000001</v>
      </c>
      <c r="H1633" s="2">
        <f ca="1">IFERROR(__xludf.DUMMYFUNCTION("""COMPUTED_VALUE"""),48.168)</f>
        <v>48.167999999999999</v>
      </c>
      <c r="I1633" s="2">
        <f ca="1">IFERROR(__xludf.DUMMYFUNCTION("""COMPUTED_VALUE"""),49.835)</f>
        <v>49.835000000000001</v>
      </c>
      <c r="J1633" s="2">
        <f ca="1">IFERROR(__xludf.DUMMYFUNCTION("""COMPUTED_VALUE"""),45.807)</f>
        <v>45.807000000000002</v>
      </c>
      <c r="K1633" s="2">
        <f ca="1">IFERROR(__xludf.DUMMYFUNCTION("""COMPUTED_VALUE"""),63.515)</f>
        <v>63.515000000000001</v>
      </c>
      <c r="M1633" s="2">
        <f ca="1">IFERROR(__xludf.DUMMYFUNCTION("""COMPUTED_VALUE"""),16.716)</f>
        <v>16.716000000000001</v>
      </c>
      <c r="U1633" s="3" t="e">
        <f ca="1"/>
        <v>#NAME?</v>
      </c>
    </row>
    <row r="1634" spans="3:21" ht="12.5" x14ac:dyDescent="0.25">
      <c r="C1634" s="4">
        <f ca="1">IFERROR(__xludf.DUMMYFUNCTION("""COMPUTED_VALUE"""),41977.9986111111)</f>
        <v>41977.998611111099</v>
      </c>
      <c r="D1634" s="2">
        <f ca="1">IFERROR(__xludf.DUMMYFUNCTION("""COMPUTED_VALUE"""),61.783)</f>
        <v>61.783000000000001</v>
      </c>
      <c r="E1634" s="2">
        <f ca="1">IFERROR(__xludf.DUMMYFUNCTION("""COMPUTED_VALUE"""),70.69)</f>
        <v>70.69</v>
      </c>
      <c r="F1634" s="2">
        <f ca="1">IFERROR(__xludf.DUMMYFUNCTION("""COMPUTED_VALUE"""),98.316)</f>
        <v>98.316000000000003</v>
      </c>
      <c r="G1634" s="2">
        <f ca="1">IFERROR(__xludf.DUMMYFUNCTION("""COMPUTED_VALUE"""),0.51906)</f>
        <v>0.51905999999999997</v>
      </c>
      <c r="H1634" s="2">
        <f ca="1">IFERROR(__xludf.DUMMYFUNCTION("""COMPUTED_VALUE"""),48.241)</f>
        <v>48.241</v>
      </c>
      <c r="I1634" s="2">
        <f ca="1">IFERROR(__xludf.DUMMYFUNCTION("""COMPUTED_VALUE"""),49.85)</f>
        <v>49.85</v>
      </c>
      <c r="J1634" s="2">
        <f ca="1">IFERROR(__xludf.DUMMYFUNCTION("""COMPUTED_VALUE"""),45.787)</f>
        <v>45.786999999999999</v>
      </c>
      <c r="K1634" s="2">
        <f ca="1">IFERROR(__xludf.DUMMYFUNCTION("""COMPUTED_VALUE"""),63.241)</f>
        <v>63.241</v>
      </c>
      <c r="M1634" s="2">
        <f ca="1">IFERROR(__xludf.DUMMYFUNCTION("""COMPUTED_VALUE"""),16.716)</f>
        <v>16.716000000000001</v>
      </c>
      <c r="U1634" s="3" t="e">
        <f ca="1"/>
        <v>#NAME?</v>
      </c>
    </row>
    <row r="1635" spans="3:21" ht="12.5" x14ac:dyDescent="0.25">
      <c r="C1635" s="4">
        <f ca="1">IFERROR(__xludf.DUMMYFUNCTION("""COMPUTED_VALUE"""),41978.9986111111)</f>
        <v>41978.998611111099</v>
      </c>
      <c r="D1635" s="2">
        <f ca="1">IFERROR(__xludf.DUMMYFUNCTION("""COMPUTED_VALUE"""),61.911)</f>
        <v>61.911000000000001</v>
      </c>
      <c r="E1635" s="2">
        <f ca="1">IFERROR(__xludf.DUMMYFUNCTION("""COMPUTED_VALUE"""),70.586)</f>
        <v>70.585999999999999</v>
      </c>
      <c r="F1635" s="2">
        <f ca="1">IFERROR(__xludf.DUMMYFUNCTION("""COMPUTED_VALUE"""),98.742)</f>
        <v>98.742000000000004</v>
      </c>
      <c r="G1635" s="2">
        <f ca="1">IFERROR(__xludf.DUMMYFUNCTION("""COMPUTED_VALUE"""),0.5193)</f>
        <v>0.51929999999999998</v>
      </c>
      <c r="H1635" s="2">
        <f ca="1">IFERROR(__xludf.DUMMYFUNCTION("""COMPUTED_VALUE"""),48.186)</f>
        <v>48.186</v>
      </c>
      <c r="I1635" s="2">
        <f ca="1">IFERROR(__xludf.DUMMYFUNCTION("""COMPUTED_VALUE"""),49.794)</f>
        <v>49.793999999999997</v>
      </c>
      <c r="J1635" s="2">
        <f ca="1">IFERROR(__xludf.DUMMYFUNCTION("""COMPUTED_VALUE"""),45.801)</f>
        <v>45.801000000000002</v>
      </c>
      <c r="K1635" s="2">
        <f ca="1">IFERROR(__xludf.DUMMYFUNCTION("""COMPUTED_VALUE"""),63.585)</f>
        <v>63.585000000000001</v>
      </c>
      <c r="M1635" s="2">
        <f ca="1">IFERROR(__xludf.DUMMYFUNCTION("""COMPUTED_VALUE"""),16.72)</f>
        <v>16.72</v>
      </c>
      <c r="U1635" s="3" t="e">
        <f ca="1"/>
        <v>#NAME?</v>
      </c>
    </row>
    <row r="1636" spans="3:21" ht="12.5" x14ac:dyDescent="0.25">
      <c r="C1636" s="4">
        <f ca="1">IFERROR(__xludf.DUMMYFUNCTION("""COMPUTED_VALUE"""),41979.9986111111)</f>
        <v>41979.998611111099</v>
      </c>
      <c r="D1636" s="2">
        <f ca="1">IFERROR(__xludf.DUMMYFUNCTION("""COMPUTED_VALUE"""),61.911)</f>
        <v>61.911000000000001</v>
      </c>
      <c r="E1636" s="2">
        <f ca="1">IFERROR(__xludf.DUMMYFUNCTION("""COMPUTED_VALUE"""),70.603)</f>
        <v>70.602999999999994</v>
      </c>
      <c r="F1636" s="2">
        <f ca="1">IFERROR(__xludf.DUMMYFUNCTION("""COMPUTED_VALUE"""),98.659)</f>
        <v>98.659000000000006</v>
      </c>
      <c r="G1636" s="2">
        <f ca="1">IFERROR(__xludf.DUMMYFUNCTION("""COMPUTED_VALUE"""),0.51825)</f>
        <v>0.51824999999999999</v>
      </c>
      <c r="H1636" s="2">
        <f ca="1">IFERROR(__xludf.DUMMYFUNCTION("""COMPUTED_VALUE"""),48.473)</f>
        <v>48.472999999999999</v>
      </c>
      <c r="I1636" s="2">
        <f ca="1">IFERROR(__xludf.DUMMYFUNCTION("""COMPUTED_VALUE"""),50.07)</f>
        <v>50.07</v>
      </c>
      <c r="J1636" s="2">
        <f ca="1">IFERROR(__xludf.DUMMYFUNCTION("""COMPUTED_VALUE"""),45.769)</f>
        <v>45.768999999999998</v>
      </c>
      <c r="K1636" s="2">
        <f ca="1">IFERROR(__xludf.DUMMYFUNCTION("""COMPUTED_VALUE"""),63.259)</f>
        <v>63.259</v>
      </c>
      <c r="M1636" s="2">
        <f ca="1">IFERROR(__xludf.DUMMYFUNCTION("""COMPUTED_VALUE"""),16.713)</f>
        <v>16.713000000000001</v>
      </c>
      <c r="U1636" s="3" t="e">
        <f ca="1"/>
        <v>#NAME?</v>
      </c>
    </row>
    <row r="1637" spans="3:21" ht="12.5" x14ac:dyDescent="0.25">
      <c r="C1637" s="4">
        <f ca="1">IFERROR(__xludf.DUMMYFUNCTION("""COMPUTED_VALUE"""),41980.9986111111)</f>
        <v>41980.998611111099</v>
      </c>
      <c r="D1637" s="2">
        <f ca="1">IFERROR(__xludf.DUMMYFUNCTION("""COMPUTED_VALUE"""),61.907)</f>
        <v>61.906999999999996</v>
      </c>
      <c r="E1637" s="2">
        <f ca="1">IFERROR(__xludf.DUMMYFUNCTION("""COMPUTED_VALUE"""),70.383)</f>
        <v>70.382999999999996</v>
      </c>
      <c r="F1637" s="2">
        <f ca="1">IFERROR(__xludf.DUMMYFUNCTION("""COMPUTED_VALUE"""),97.996)</f>
        <v>97.995999999999995</v>
      </c>
      <c r="G1637" s="2">
        <f ca="1">IFERROR(__xludf.DUMMYFUNCTION("""COMPUTED_VALUE"""),0.52162)</f>
        <v>0.52161999999999997</v>
      </c>
      <c r="H1637" s="2">
        <f ca="1">IFERROR(__xludf.DUMMYFUNCTION("""COMPUTED_VALUE"""),48.428)</f>
        <v>48.427999999999997</v>
      </c>
      <c r="I1637" s="2">
        <f ca="1">IFERROR(__xludf.DUMMYFUNCTION("""COMPUTED_VALUE"""),49.782)</f>
        <v>49.781999999999996</v>
      </c>
      <c r="J1637" s="2">
        <f ca="1">IFERROR(__xludf.DUMMYFUNCTION("""COMPUTED_VALUE"""),45.751)</f>
        <v>45.750999999999998</v>
      </c>
      <c r="K1637" s="2">
        <f ca="1">IFERROR(__xludf.DUMMYFUNCTION("""COMPUTED_VALUE"""),63.264)</f>
        <v>63.264000000000003</v>
      </c>
      <c r="M1637" s="2">
        <f ca="1">IFERROR(__xludf.DUMMYFUNCTION("""COMPUTED_VALUE"""),16.708)</f>
        <v>16.707999999999998</v>
      </c>
      <c r="U1637" s="3" t="e">
        <f ca="1"/>
        <v>#NAME?</v>
      </c>
    </row>
    <row r="1638" spans="3:21" ht="12.5" x14ac:dyDescent="0.25">
      <c r="C1638" s="4">
        <f ca="1">IFERROR(__xludf.DUMMYFUNCTION("""COMPUTED_VALUE"""),41981.9986111111)</f>
        <v>41981.998611111099</v>
      </c>
      <c r="D1638" s="2">
        <f ca="1">IFERROR(__xludf.DUMMYFUNCTION("""COMPUTED_VALUE"""),61.818)</f>
        <v>61.817999999999998</v>
      </c>
      <c r="E1638" s="2">
        <f ca="1">IFERROR(__xludf.DUMMYFUNCTION("""COMPUTED_VALUE"""),70.573)</f>
        <v>70.572999999999993</v>
      </c>
      <c r="F1638" s="2">
        <f ca="1">IFERROR(__xludf.DUMMYFUNCTION("""COMPUTED_VALUE"""),98.183)</f>
        <v>98.183000000000007</v>
      </c>
      <c r="G1638" s="2">
        <f ca="1">IFERROR(__xludf.DUMMYFUNCTION("""COMPUTED_VALUE"""),0.51926)</f>
        <v>0.51926000000000005</v>
      </c>
      <c r="H1638" s="2">
        <f ca="1">IFERROR(__xludf.DUMMYFUNCTION("""COMPUTED_VALUE"""),48.407)</f>
        <v>48.406999999999996</v>
      </c>
      <c r="I1638" s="2">
        <f ca="1">IFERROR(__xludf.DUMMYFUNCTION("""COMPUTED_VALUE"""),49.716)</f>
        <v>49.716000000000001</v>
      </c>
      <c r="J1638" s="2">
        <f ca="1">IFERROR(__xludf.DUMMYFUNCTION("""COMPUTED_VALUE"""),45.695)</f>
        <v>45.695</v>
      </c>
      <c r="K1638" s="2">
        <f ca="1">IFERROR(__xludf.DUMMYFUNCTION("""COMPUTED_VALUE"""),63.253)</f>
        <v>63.253</v>
      </c>
      <c r="M1638" s="2">
        <f ca="1">IFERROR(__xludf.DUMMYFUNCTION("""COMPUTED_VALUE"""),16.741)</f>
        <v>16.741</v>
      </c>
      <c r="U1638" s="3" t="e">
        <f ca="1"/>
        <v>#NAME?</v>
      </c>
    </row>
    <row r="1639" spans="3:21" ht="12.5" x14ac:dyDescent="0.25">
      <c r="C1639" s="4">
        <f ca="1">IFERROR(__xludf.DUMMYFUNCTION("""COMPUTED_VALUE"""),41982.9986111111)</f>
        <v>41982.998611111099</v>
      </c>
      <c r="D1639" s="2">
        <f ca="1">IFERROR(__xludf.DUMMYFUNCTION("""COMPUTED_VALUE"""),61.873)</f>
        <v>61.872999999999998</v>
      </c>
      <c r="E1639" s="2">
        <f ca="1">IFERROR(__xludf.DUMMYFUNCTION("""COMPUTED_VALUE"""),70.249)</f>
        <v>70.248999999999995</v>
      </c>
      <c r="F1639" s="2">
        <f ca="1">IFERROR(__xludf.DUMMYFUNCTION("""COMPUTED_VALUE"""),97.332)</f>
        <v>97.331999999999994</v>
      </c>
      <c r="G1639" s="2">
        <f ca="1">IFERROR(__xludf.DUMMYFUNCTION("""COMPUTED_VALUE"""),0.51739)</f>
        <v>0.51739000000000002</v>
      </c>
      <c r="H1639" s="2">
        <f ca="1">IFERROR(__xludf.DUMMYFUNCTION("""COMPUTED_VALUE"""),48.667)</f>
        <v>48.667000000000002</v>
      </c>
      <c r="I1639" s="2">
        <f ca="1">IFERROR(__xludf.DUMMYFUNCTION("""COMPUTED_VALUE"""),49.518)</f>
        <v>49.518000000000001</v>
      </c>
      <c r="J1639" s="2">
        <f ca="1">IFERROR(__xludf.DUMMYFUNCTION("""COMPUTED_VALUE"""),45.704)</f>
        <v>45.704000000000001</v>
      </c>
      <c r="K1639" s="2">
        <f ca="1">IFERROR(__xludf.DUMMYFUNCTION("""COMPUTED_VALUE"""),63.733)</f>
        <v>63.732999999999997</v>
      </c>
      <c r="M1639" s="2">
        <f ca="1">IFERROR(__xludf.DUMMYFUNCTION("""COMPUTED_VALUE"""),16.747)</f>
        <v>16.747</v>
      </c>
      <c r="U1639" s="3" t="e">
        <f ca="1"/>
        <v>#NAME?</v>
      </c>
    </row>
    <row r="1640" spans="3:21" ht="12.5" x14ac:dyDescent="0.25">
      <c r="C1640" s="4">
        <f ca="1">IFERROR(__xludf.DUMMYFUNCTION("""COMPUTED_VALUE"""),41983.9986111111)</f>
        <v>41983.998611111099</v>
      </c>
      <c r="D1640" s="2">
        <f ca="1">IFERROR(__xludf.DUMMYFUNCTION("""COMPUTED_VALUE"""),62.108)</f>
        <v>62.107999999999997</v>
      </c>
      <c r="E1640" s="2">
        <f ca="1">IFERROR(__xludf.DUMMYFUNCTION("""COMPUTED_VALUE"""),69.114)</f>
        <v>69.114000000000004</v>
      </c>
      <c r="F1640" s="2">
        <f ca="1">IFERROR(__xludf.DUMMYFUNCTION("""COMPUTED_VALUE"""),96.918)</f>
        <v>96.918000000000006</v>
      </c>
      <c r="G1640" s="2">
        <f ca="1">IFERROR(__xludf.DUMMYFUNCTION("""COMPUTED_VALUE"""),0.51719)</f>
        <v>0.51719000000000004</v>
      </c>
      <c r="H1640" s="2">
        <f ca="1">IFERROR(__xludf.DUMMYFUNCTION("""COMPUTED_VALUE"""),48.434)</f>
        <v>48.433999999999997</v>
      </c>
      <c r="I1640" s="2">
        <f ca="1">IFERROR(__xludf.DUMMYFUNCTION("""COMPUTED_VALUE"""),49.389)</f>
        <v>49.389000000000003</v>
      </c>
      <c r="J1640" s="2">
        <f ca="1">IFERROR(__xludf.DUMMYFUNCTION("""COMPUTED_VALUE"""),45.599)</f>
        <v>45.598999999999997</v>
      </c>
      <c r="K1640" s="2">
        <f ca="1">IFERROR(__xludf.DUMMYFUNCTION("""COMPUTED_VALUE"""),64.196)</f>
        <v>64.195999999999998</v>
      </c>
      <c r="M1640" s="2">
        <f ca="1">IFERROR(__xludf.DUMMYFUNCTION("""COMPUTED_VALUE"""),16.747)</f>
        <v>16.747</v>
      </c>
      <c r="U1640" s="3" t="e">
        <f ca="1"/>
        <v>#NAME?</v>
      </c>
    </row>
    <row r="1641" spans="3:21" ht="12.5" x14ac:dyDescent="0.25">
      <c r="C1641" s="4">
        <f ca="1">IFERROR(__xludf.DUMMYFUNCTION("""COMPUTED_VALUE"""),41984.9986111111)</f>
        <v>41984.998611111099</v>
      </c>
      <c r="D1641" s="2">
        <f ca="1">IFERROR(__xludf.DUMMYFUNCTION("""COMPUTED_VALUE"""),62.473)</f>
        <v>62.472999999999999</v>
      </c>
      <c r="E1641" s="2">
        <f ca="1">IFERROR(__xludf.DUMMYFUNCTION("""COMPUTED_VALUE"""),68.95)</f>
        <v>68.95</v>
      </c>
      <c r="F1641" s="2">
        <f ca="1">IFERROR(__xludf.DUMMYFUNCTION("""COMPUTED_VALUE"""),96.918)</f>
        <v>96.918000000000006</v>
      </c>
      <c r="G1641" s="2">
        <f ca="1">IFERROR(__xludf.DUMMYFUNCTION("""COMPUTED_VALUE"""),0.51632)</f>
        <v>0.51632</v>
      </c>
      <c r="H1641" s="2">
        <f ca="1">IFERROR(__xludf.DUMMYFUNCTION("""COMPUTED_VALUE"""),48.709)</f>
        <v>48.709000000000003</v>
      </c>
      <c r="I1641" s="2">
        <f ca="1">IFERROR(__xludf.DUMMYFUNCTION("""COMPUTED_VALUE"""),49.808)</f>
        <v>49.808</v>
      </c>
      <c r="J1641" s="2">
        <f ca="1">IFERROR(__xludf.DUMMYFUNCTION("""COMPUTED_VALUE"""),45.68)</f>
        <v>45.68</v>
      </c>
      <c r="K1641" s="2">
        <f ca="1">IFERROR(__xludf.DUMMYFUNCTION("""COMPUTED_VALUE"""),64.372)</f>
        <v>64.372</v>
      </c>
      <c r="M1641" s="2">
        <f ca="1">IFERROR(__xludf.DUMMYFUNCTION("""COMPUTED_VALUE"""),16.747)</f>
        <v>16.747</v>
      </c>
      <c r="U1641" s="3" t="e">
        <f ca="1"/>
        <v>#NAME?</v>
      </c>
    </row>
    <row r="1642" spans="3:21" ht="12.5" x14ac:dyDescent="0.25">
      <c r="C1642" s="4">
        <f ca="1">IFERROR(__xludf.DUMMYFUNCTION("""COMPUTED_VALUE"""),41985.9986111111)</f>
        <v>41985.998611111099</v>
      </c>
      <c r="D1642" s="2">
        <f ca="1">IFERROR(__xludf.DUMMYFUNCTION("""COMPUTED_VALUE"""),62.6)</f>
        <v>62.6</v>
      </c>
      <c r="E1642" s="2">
        <f ca="1">IFERROR(__xludf.DUMMYFUNCTION("""COMPUTED_VALUE"""),69.113)</f>
        <v>69.113</v>
      </c>
      <c r="F1642" s="2">
        <f ca="1">IFERROR(__xludf.DUMMYFUNCTION("""COMPUTED_VALUE"""),98.19)</f>
        <v>98.19</v>
      </c>
      <c r="G1642" s="2">
        <f ca="1">IFERROR(__xludf.DUMMYFUNCTION("""COMPUTED_VALUE"""),0.51811)</f>
        <v>0.51810999999999996</v>
      </c>
      <c r="H1642" s="2">
        <f ca="1">IFERROR(__xludf.DUMMYFUNCTION("""COMPUTED_VALUE"""),48.731)</f>
        <v>48.731000000000002</v>
      </c>
      <c r="I1642" s="2">
        <f ca="1">IFERROR(__xludf.DUMMYFUNCTION("""COMPUTED_VALUE"""),49.72)</f>
        <v>49.72</v>
      </c>
      <c r="J1642" s="2">
        <f ca="1">IFERROR(__xludf.DUMMYFUNCTION("""COMPUTED_VALUE"""),45.842)</f>
        <v>45.841999999999999</v>
      </c>
      <c r="K1642" s="2">
        <f ca="1">IFERROR(__xludf.DUMMYFUNCTION("""COMPUTED_VALUE"""),64.956)</f>
        <v>64.956000000000003</v>
      </c>
      <c r="M1642" s="2">
        <f ca="1">IFERROR(__xludf.DUMMYFUNCTION("""COMPUTED_VALUE"""),16.752)</f>
        <v>16.751999999999999</v>
      </c>
      <c r="U1642" s="3" t="e">
        <f ca="1"/>
        <v>#NAME?</v>
      </c>
    </row>
    <row r="1643" spans="3:21" ht="12.5" x14ac:dyDescent="0.25">
      <c r="C1643" s="4">
        <f ca="1">IFERROR(__xludf.DUMMYFUNCTION("""COMPUTED_VALUE"""),41986.9986111111)</f>
        <v>41986.998611111099</v>
      </c>
      <c r="D1643" s="2">
        <f ca="1">IFERROR(__xludf.DUMMYFUNCTION("""COMPUTED_VALUE"""),62.518)</f>
        <v>62.518000000000001</v>
      </c>
      <c r="E1643" s="2">
        <f ca="1">IFERROR(__xludf.DUMMYFUNCTION("""COMPUTED_VALUE"""),69.047)</f>
        <v>69.046999999999997</v>
      </c>
      <c r="F1643" s="2">
        <f ca="1">IFERROR(__xludf.DUMMYFUNCTION("""COMPUTED_VALUE"""),98.17)</f>
        <v>98.17</v>
      </c>
      <c r="G1643" s="2">
        <f ca="1">IFERROR(__xludf.DUMMYFUNCTION("""COMPUTED_VALUE"""),0.51962)</f>
        <v>0.51961999999999997</v>
      </c>
      <c r="H1643" s="2">
        <f ca="1">IFERROR(__xludf.DUMMYFUNCTION("""COMPUTED_VALUE"""),48.147)</f>
        <v>48.146999999999998</v>
      </c>
      <c r="I1643" s="2">
        <f ca="1">IFERROR(__xludf.DUMMYFUNCTION("""COMPUTED_VALUE"""),49.335)</f>
        <v>49.335000000000001</v>
      </c>
      <c r="J1643" s="2">
        <f ca="1">IFERROR(__xludf.DUMMYFUNCTION("""COMPUTED_VALUE"""),45.664)</f>
        <v>45.664000000000001</v>
      </c>
      <c r="K1643" s="2">
        <f ca="1">IFERROR(__xludf.DUMMYFUNCTION("""COMPUTED_VALUE"""),64.812)</f>
        <v>64.811999999999998</v>
      </c>
      <c r="M1643" s="2">
        <f ca="1">IFERROR(__xludf.DUMMYFUNCTION("""COMPUTED_VALUE"""),16.741)</f>
        <v>16.741</v>
      </c>
      <c r="U1643" s="3" t="e">
        <f ca="1"/>
        <v>#NAME?</v>
      </c>
    </row>
    <row r="1644" spans="3:21" ht="12.5" x14ac:dyDescent="0.25">
      <c r="C1644" s="4">
        <f ca="1">IFERROR(__xludf.DUMMYFUNCTION("""COMPUTED_VALUE"""),41987.9986111111)</f>
        <v>41987.998611111099</v>
      </c>
      <c r="D1644" s="2">
        <f ca="1">IFERROR(__xludf.DUMMYFUNCTION("""COMPUTED_VALUE"""),62.518)</f>
        <v>62.518000000000001</v>
      </c>
      <c r="E1644" s="2">
        <f ca="1">IFERROR(__xludf.DUMMYFUNCTION("""COMPUTED_VALUE"""),68.956)</f>
        <v>68.956000000000003</v>
      </c>
      <c r="F1644" s="2">
        <f ca="1">IFERROR(__xludf.DUMMYFUNCTION("""COMPUTED_VALUE"""),98.11)</f>
        <v>98.11</v>
      </c>
      <c r="G1644" s="2">
        <f ca="1">IFERROR(__xludf.DUMMYFUNCTION("""COMPUTED_VALUE"""),0.52161)</f>
        <v>0.52161000000000002</v>
      </c>
      <c r="H1644" s="2">
        <f ca="1">IFERROR(__xludf.DUMMYFUNCTION("""COMPUTED_VALUE"""),48.108)</f>
        <v>48.107999999999997</v>
      </c>
      <c r="I1644" s="2">
        <f ca="1">IFERROR(__xludf.DUMMYFUNCTION("""COMPUTED_VALUE"""),49.324)</f>
        <v>49.323999999999998</v>
      </c>
      <c r="J1644" s="2">
        <f ca="1">IFERROR(__xludf.DUMMYFUNCTION("""COMPUTED_VALUE"""),45.467)</f>
        <v>45.466999999999999</v>
      </c>
      <c r="K1644" s="2">
        <f ca="1">IFERROR(__xludf.DUMMYFUNCTION("""COMPUTED_VALUE"""),64.86)</f>
        <v>64.86</v>
      </c>
      <c r="M1644" s="2">
        <f ca="1">IFERROR(__xludf.DUMMYFUNCTION("""COMPUTED_VALUE"""),16.707)</f>
        <v>16.707000000000001</v>
      </c>
      <c r="U1644" s="3" t="e">
        <f ca="1"/>
        <v>#NAME?</v>
      </c>
    </row>
    <row r="1645" spans="3:21" ht="12.5" x14ac:dyDescent="0.25">
      <c r="C1645" s="4">
        <f ca="1">IFERROR(__xludf.DUMMYFUNCTION("""COMPUTED_VALUE"""),41988.9986111111)</f>
        <v>41988.998611111099</v>
      </c>
      <c r="D1645" s="2">
        <f ca="1">IFERROR(__xludf.DUMMYFUNCTION("""COMPUTED_VALUE"""),63.168)</f>
        <v>63.167999999999999</v>
      </c>
      <c r="E1645" s="2">
        <f ca="1">IFERROR(__xludf.DUMMYFUNCTION("""COMPUTED_VALUE"""),68.812)</f>
        <v>68.811999999999998</v>
      </c>
      <c r="F1645" s="2">
        <f ca="1">IFERROR(__xludf.DUMMYFUNCTION("""COMPUTED_VALUE"""),98)</f>
        <v>98</v>
      </c>
      <c r="G1645" s="2">
        <f ca="1">IFERROR(__xludf.DUMMYFUNCTION("""COMPUTED_VALUE"""),0.52358)</f>
        <v>0.52358000000000005</v>
      </c>
      <c r="H1645" s="2">
        <f ca="1">IFERROR(__xludf.DUMMYFUNCTION("""COMPUTED_VALUE"""),47.957)</f>
        <v>47.957000000000001</v>
      </c>
      <c r="I1645" s="2">
        <f ca="1">IFERROR(__xludf.DUMMYFUNCTION("""COMPUTED_VALUE"""),49.306)</f>
        <v>49.305999999999997</v>
      </c>
      <c r="J1645" s="2">
        <f ca="1">IFERROR(__xludf.DUMMYFUNCTION("""COMPUTED_VALUE"""),45.203)</f>
        <v>45.203000000000003</v>
      </c>
      <c r="K1645" s="2">
        <f ca="1">IFERROR(__xludf.DUMMYFUNCTION("""COMPUTED_VALUE"""),65.385)</f>
        <v>65.385000000000005</v>
      </c>
      <c r="M1645" s="2">
        <f ca="1">IFERROR(__xludf.DUMMYFUNCTION("""COMPUTED_VALUE"""),16.769)</f>
        <v>16.768999999999998</v>
      </c>
      <c r="U1645" s="3" t="e">
        <f ca="1"/>
        <v>#NAME?</v>
      </c>
    </row>
    <row r="1646" spans="3:21" ht="12.5" x14ac:dyDescent="0.25">
      <c r="C1646" s="4">
        <f ca="1">IFERROR(__xludf.DUMMYFUNCTION("""COMPUTED_VALUE"""),41989.9986111111)</f>
        <v>41989.998611111099</v>
      </c>
      <c r="D1646" s="2">
        <f ca="1">IFERROR(__xludf.DUMMYFUNCTION("""COMPUTED_VALUE"""),63.653)</f>
        <v>63.652999999999999</v>
      </c>
      <c r="E1646" s="2">
        <f ca="1">IFERROR(__xludf.DUMMYFUNCTION("""COMPUTED_VALUE"""),67.652)</f>
        <v>67.652000000000001</v>
      </c>
      <c r="F1646" s="2">
        <f ca="1">IFERROR(__xludf.DUMMYFUNCTION("""COMPUTED_VALUE"""),97.49)</f>
        <v>97.49</v>
      </c>
      <c r="G1646" s="2">
        <f ca="1">IFERROR(__xludf.DUMMYFUNCTION("""COMPUTED_VALUE"""),0.52378)</f>
        <v>0.52378000000000002</v>
      </c>
      <c r="H1646" s="2">
        <f ca="1">IFERROR(__xludf.DUMMYFUNCTION("""COMPUTED_VALUE"""),48.278)</f>
        <v>48.277999999999999</v>
      </c>
      <c r="I1646" s="2">
        <f ca="1">IFERROR(__xludf.DUMMYFUNCTION("""COMPUTED_VALUE"""),49.454)</f>
        <v>49.454000000000001</v>
      </c>
      <c r="J1646" s="2">
        <f ca="1">IFERROR(__xludf.DUMMYFUNCTION("""COMPUTED_VALUE"""),45.267)</f>
        <v>45.267000000000003</v>
      </c>
      <c r="K1646" s="2">
        <f ca="1">IFERROR(__xludf.DUMMYFUNCTION("""COMPUTED_VALUE"""),66.235)</f>
        <v>66.234999999999999</v>
      </c>
      <c r="M1646" s="2">
        <f ca="1">IFERROR(__xludf.DUMMYFUNCTION("""COMPUTED_VALUE"""),16.8)</f>
        <v>16.8</v>
      </c>
      <c r="U1646" s="3" t="e">
        <f ca="1"/>
        <v>#NAME?</v>
      </c>
    </row>
    <row r="1647" spans="3:21" ht="12.5" x14ac:dyDescent="0.25">
      <c r="C1647" s="4">
        <f ca="1">IFERROR(__xludf.DUMMYFUNCTION("""COMPUTED_VALUE"""),41990.9986111111)</f>
        <v>41990.998611111099</v>
      </c>
      <c r="D1647" s="2">
        <f ca="1">IFERROR(__xludf.DUMMYFUNCTION("""COMPUTED_VALUE"""),63.518)</f>
        <v>63.518000000000001</v>
      </c>
      <c r="E1647" s="2">
        <f ca="1">IFERROR(__xludf.DUMMYFUNCTION("""COMPUTED_VALUE"""),67.822)</f>
        <v>67.822000000000003</v>
      </c>
      <c r="F1647" s="2">
        <f ca="1">IFERROR(__xludf.DUMMYFUNCTION("""COMPUTED_VALUE"""),97.48)</f>
        <v>97.48</v>
      </c>
      <c r="G1647" s="2">
        <f ca="1">IFERROR(__xludf.DUMMYFUNCTION("""COMPUTED_VALUE"""),0.52586)</f>
        <v>0.52585999999999999</v>
      </c>
      <c r="H1647" s="2">
        <f ca="1">IFERROR(__xludf.DUMMYFUNCTION("""COMPUTED_VALUE"""),48.683)</f>
        <v>48.683</v>
      </c>
      <c r="I1647" s="2">
        <f ca="1">IFERROR(__xludf.DUMMYFUNCTION("""COMPUTED_VALUE"""),50.085)</f>
        <v>50.085000000000001</v>
      </c>
      <c r="J1647" s="2">
        <f ca="1">IFERROR(__xludf.DUMMYFUNCTION("""COMPUTED_VALUE"""),45.33)</f>
        <v>45.33</v>
      </c>
      <c r="K1647" s="2">
        <f ca="1">IFERROR(__xludf.DUMMYFUNCTION("""COMPUTED_VALUE"""),65.193)</f>
        <v>65.192999999999998</v>
      </c>
      <c r="M1647" s="2">
        <f ca="1">IFERROR(__xludf.DUMMYFUNCTION("""COMPUTED_VALUE"""),16.8)</f>
        <v>16.8</v>
      </c>
      <c r="U1647" s="3" t="e">
        <f ca="1"/>
        <v>#NAME?</v>
      </c>
    </row>
    <row r="1648" spans="3:21" ht="12.5" x14ac:dyDescent="0.25">
      <c r="C1648" s="4">
        <f ca="1">IFERROR(__xludf.DUMMYFUNCTION("""COMPUTED_VALUE"""),41991.9986111111)</f>
        <v>41991.998611111099</v>
      </c>
      <c r="D1648" s="2">
        <f ca="1">IFERROR(__xludf.DUMMYFUNCTION("""COMPUTED_VALUE"""),62.983)</f>
        <v>62.982999999999997</v>
      </c>
      <c r="E1648" s="2">
        <f ca="1">IFERROR(__xludf.DUMMYFUNCTION("""COMPUTED_VALUE"""),67.078)</f>
        <v>67.078000000000003</v>
      </c>
      <c r="F1648" s="2">
        <f ca="1">IFERROR(__xludf.DUMMYFUNCTION("""COMPUTED_VALUE"""),97.54)</f>
        <v>97.54</v>
      </c>
      <c r="G1648" s="2">
        <f ca="1">IFERROR(__xludf.DUMMYFUNCTION("""COMPUTED_VALUE"""),0.52612)</f>
        <v>0.52612000000000003</v>
      </c>
      <c r="H1648" s="2">
        <f ca="1">IFERROR(__xludf.DUMMYFUNCTION("""COMPUTED_VALUE"""),48.557)</f>
        <v>48.557000000000002</v>
      </c>
      <c r="I1648" s="2">
        <f ca="1">IFERROR(__xludf.DUMMYFUNCTION("""COMPUTED_VALUE"""),49.966)</f>
        <v>49.966000000000001</v>
      </c>
      <c r="J1648" s="2">
        <f ca="1">IFERROR(__xludf.DUMMYFUNCTION("""COMPUTED_VALUE"""),45.528)</f>
        <v>45.527999999999999</v>
      </c>
      <c r="K1648" s="2">
        <f ca="1">IFERROR(__xludf.DUMMYFUNCTION("""COMPUTED_VALUE"""),64.207)</f>
        <v>64.206999999999994</v>
      </c>
      <c r="M1648" s="2">
        <f ca="1">IFERROR(__xludf.DUMMYFUNCTION("""COMPUTED_VALUE"""),16.8)</f>
        <v>16.8</v>
      </c>
      <c r="U1648" s="3" t="e">
        <f ca="1"/>
        <v>#NAME?</v>
      </c>
    </row>
    <row r="1649" spans="3:21" ht="12.5" x14ac:dyDescent="0.25">
      <c r="C1649" s="4">
        <f ca="1">IFERROR(__xludf.DUMMYFUNCTION("""COMPUTED_VALUE"""),41992.9986111111)</f>
        <v>41992.998611111099</v>
      </c>
      <c r="D1649" s="2">
        <f ca="1">IFERROR(__xludf.DUMMYFUNCTION("""COMPUTED_VALUE"""),63.238)</f>
        <v>63.238</v>
      </c>
      <c r="E1649" s="2">
        <f ca="1">IFERROR(__xludf.DUMMYFUNCTION("""COMPUTED_VALUE"""),66.119)</f>
        <v>66.119</v>
      </c>
      <c r="F1649" s="2">
        <f ca="1">IFERROR(__xludf.DUMMYFUNCTION("""COMPUTED_VALUE"""),98)</f>
        <v>98</v>
      </c>
      <c r="G1649" s="2">
        <f ca="1">IFERROR(__xludf.DUMMYFUNCTION("""COMPUTED_VALUE"""),0.52945)</f>
        <v>0.52944999999999998</v>
      </c>
      <c r="H1649" s="2">
        <f ca="1">IFERROR(__xludf.DUMMYFUNCTION("""COMPUTED_VALUE"""),48.183)</f>
        <v>48.183</v>
      </c>
      <c r="I1649" s="2">
        <f ca="1">IFERROR(__xludf.DUMMYFUNCTION("""COMPUTED_VALUE"""),49.428)</f>
        <v>49.427999999999997</v>
      </c>
      <c r="J1649" s="2">
        <f ca="1">IFERROR(__xludf.DUMMYFUNCTION("""COMPUTED_VALUE"""),45.502)</f>
        <v>45.502000000000002</v>
      </c>
      <c r="K1649" s="2">
        <f ca="1">IFERROR(__xludf.DUMMYFUNCTION("""COMPUTED_VALUE"""),64.262)</f>
        <v>64.262</v>
      </c>
      <c r="M1649" s="2">
        <f ca="1">IFERROR(__xludf.DUMMYFUNCTION("""COMPUTED_VALUE"""),16.831)</f>
        <v>16.831</v>
      </c>
      <c r="U1649" s="3" t="e">
        <f ca="1"/>
        <v>#NAME?</v>
      </c>
    </row>
    <row r="1650" spans="3:21" ht="12.5" x14ac:dyDescent="0.25">
      <c r="C1650" s="4">
        <f ca="1">IFERROR(__xludf.DUMMYFUNCTION("""COMPUTED_VALUE"""),41993.9986111111)</f>
        <v>41993.998611111099</v>
      </c>
      <c r="D1650" s="2">
        <f ca="1">IFERROR(__xludf.DUMMYFUNCTION("""COMPUTED_VALUE"""),63.297)</f>
        <v>63.296999999999997</v>
      </c>
      <c r="E1650" s="2">
        <f ca="1">IFERROR(__xludf.DUMMYFUNCTION("""COMPUTED_VALUE"""),66.371)</f>
        <v>66.370999999999995</v>
      </c>
      <c r="F1650" s="2">
        <f ca="1">IFERROR(__xludf.DUMMYFUNCTION("""COMPUTED_VALUE"""),96.8)</f>
        <v>96.8</v>
      </c>
      <c r="G1650" s="2">
        <f ca="1">IFERROR(__xludf.DUMMYFUNCTION("""COMPUTED_VALUE"""),0.52533)</f>
        <v>0.52532999999999996</v>
      </c>
      <c r="H1650" s="2">
        <f ca="1">IFERROR(__xludf.DUMMYFUNCTION("""COMPUTED_VALUE"""),48.103)</f>
        <v>48.103000000000002</v>
      </c>
      <c r="I1650" s="2">
        <f ca="1">IFERROR(__xludf.DUMMYFUNCTION("""COMPUTED_VALUE"""),49.596)</f>
        <v>49.595999999999997</v>
      </c>
      <c r="J1650" s="2">
        <f ca="1">IFERROR(__xludf.DUMMYFUNCTION("""COMPUTED_VALUE"""),45.293)</f>
        <v>45.292999999999999</v>
      </c>
      <c r="K1650" s="2">
        <f ca="1">IFERROR(__xludf.DUMMYFUNCTION("""COMPUTED_VALUE"""),64.154)</f>
        <v>64.153999999999996</v>
      </c>
      <c r="M1650" s="2">
        <f ca="1">IFERROR(__xludf.DUMMYFUNCTION("""COMPUTED_VALUE"""),16.803)</f>
        <v>16.803000000000001</v>
      </c>
      <c r="U1650" s="3" t="e">
        <f ca="1"/>
        <v>#NAME?</v>
      </c>
    </row>
    <row r="1651" spans="3:21" ht="12.5" x14ac:dyDescent="0.25">
      <c r="C1651" s="4">
        <f ca="1">IFERROR(__xludf.DUMMYFUNCTION("""COMPUTED_VALUE"""),41994.9986111111)</f>
        <v>41994.998611111099</v>
      </c>
      <c r="D1651" s="2">
        <f ca="1">IFERROR(__xludf.DUMMYFUNCTION("""COMPUTED_VALUE"""),63.297)</f>
        <v>63.296999999999997</v>
      </c>
      <c r="E1651" s="2">
        <f ca="1">IFERROR(__xludf.DUMMYFUNCTION("""COMPUTED_VALUE"""),66.123)</f>
        <v>66.123000000000005</v>
      </c>
      <c r="F1651" s="2">
        <f ca="1">IFERROR(__xludf.DUMMYFUNCTION("""COMPUTED_VALUE"""),96.58)</f>
        <v>96.58</v>
      </c>
      <c r="G1651" s="2">
        <f ca="1">IFERROR(__xludf.DUMMYFUNCTION("""COMPUTED_VALUE"""),0.52453)</f>
        <v>0.52453000000000005</v>
      </c>
      <c r="H1651" s="2">
        <f ca="1">IFERROR(__xludf.DUMMYFUNCTION("""COMPUTED_VALUE"""),47.855)</f>
        <v>47.854999999999997</v>
      </c>
      <c r="I1651" s="2">
        <f ca="1">IFERROR(__xludf.DUMMYFUNCTION("""COMPUTED_VALUE"""),49.417)</f>
        <v>49.417000000000002</v>
      </c>
      <c r="J1651" s="2">
        <f ca="1">IFERROR(__xludf.DUMMYFUNCTION("""COMPUTED_VALUE"""),45.334)</f>
        <v>45.334000000000003</v>
      </c>
      <c r="K1651" s="2">
        <f ca="1">IFERROR(__xludf.DUMMYFUNCTION("""COMPUTED_VALUE"""),64.161)</f>
        <v>64.161000000000001</v>
      </c>
      <c r="M1651" s="2">
        <f ca="1">IFERROR(__xludf.DUMMYFUNCTION("""COMPUTED_VALUE"""),16.863)</f>
        <v>16.863</v>
      </c>
      <c r="U1651" s="3" t="e">
        <f ca="1"/>
        <v>#NAME?</v>
      </c>
    </row>
    <row r="1652" spans="3:21" ht="12.5" x14ac:dyDescent="0.25">
      <c r="C1652" s="4">
        <f ca="1">IFERROR(__xludf.DUMMYFUNCTION("""COMPUTED_VALUE"""),41995.9986111111)</f>
        <v>41995.998611111099</v>
      </c>
      <c r="D1652" s="2">
        <f ca="1">IFERROR(__xludf.DUMMYFUNCTION("""COMPUTED_VALUE"""),63.223)</f>
        <v>63.222999999999999</v>
      </c>
      <c r="E1652" s="2">
        <f ca="1">IFERROR(__xludf.DUMMYFUNCTION("""COMPUTED_VALUE"""),66.204)</f>
        <v>66.203999999999994</v>
      </c>
      <c r="F1652" s="2">
        <f ca="1">IFERROR(__xludf.DUMMYFUNCTION("""COMPUTED_VALUE"""),96.694)</f>
        <v>96.694000000000003</v>
      </c>
      <c r="G1652" s="2">
        <f ca="1">IFERROR(__xludf.DUMMYFUNCTION("""COMPUTED_VALUE"""),0.52919)</f>
        <v>0.52919000000000005</v>
      </c>
      <c r="H1652" s="2">
        <f ca="1">IFERROR(__xludf.DUMMYFUNCTION("""COMPUTED_VALUE"""),47.664)</f>
        <v>47.664000000000001</v>
      </c>
      <c r="I1652" s="2">
        <f ca="1">IFERROR(__xludf.DUMMYFUNCTION("""COMPUTED_VALUE"""),49.204)</f>
        <v>49.204000000000001</v>
      </c>
      <c r="J1652" s="2">
        <f ca="1">IFERROR(__xludf.DUMMYFUNCTION("""COMPUTED_VALUE"""),45.111)</f>
        <v>45.110999999999997</v>
      </c>
      <c r="K1652" s="2">
        <f ca="1">IFERROR(__xludf.DUMMYFUNCTION("""COMPUTED_VALUE"""),64.311)</f>
        <v>64.311000000000007</v>
      </c>
      <c r="M1652" s="2">
        <f ca="1">IFERROR(__xludf.DUMMYFUNCTION("""COMPUTED_VALUE"""),16.859)</f>
        <v>16.859000000000002</v>
      </c>
      <c r="U1652" s="3" t="e">
        <f ca="1"/>
        <v>#NAME?</v>
      </c>
    </row>
    <row r="1653" spans="3:21" ht="12.5" x14ac:dyDescent="0.25">
      <c r="C1653" s="4">
        <f ca="1">IFERROR(__xludf.DUMMYFUNCTION("""COMPUTED_VALUE"""),41996.9986111111)</f>
        <v>41996.998611111099</v>
      </c>
      <c r="D1653" s="2">
        <f ca="1">IFERROR(__xludf.DUMMYFUNCTION("""COMPUTED_VALUE"""),63.433)</f>
        <v>63.433</v>
      </c>
      <c r="E1653" s="2">
        <f ca="1">IFERROR(__xludf.DUMMYFUNCTION("""COMPUTED_VALUE"""),66.311)</f>
        <v>66.311000000000007</v>
      </c>
      <c r="F1653" s="2">
        <f ca="1">IFERROR(__xludf.DUMMYFUNCTION("""COMPUTED_VALUE"""),96.694)</f>
        <v>96.694000000000003</v>
      </c>
      <c r="G1653" s="2">
        <f ca="1">IFERROR(__xludf.DUMMYFUNCTION("""COMPUTED_VALUE"""),0.53503)</f>
        <v>0.53503000000000001</v>
      </c>
      <c r="H1653" s="2">
        <f ca="1">IFERROR(__xludf.DUMMYFUNCTION("""COMPUTED_VALUE"""),48.13)</f>
        <v>48.13</v>
      </c>
      <c r="I1653" s="2">
        <f ca="1">IFERROR(__xludf.DUMMYFUNCTION("""COMPUTED_VALUE"""),49.219)</f>
        <v>49.219000000000001</v>
      </c>
      <c r="J1653" s="2">
        <f ca="1">IFERROR(__xludf.DUMMYFUNCTION("""COMPUTED_VALUE"""),45.174)</f>
        <v>45.173999999999999</v>
      </c>
      <c r="K1653" s="2">
        <f ca="1">IFERROR(__xludf.DUMMYFUNCTION("""COMPUTED_VALUE"""),64.558)</f>
        <v>64.558000000000007</v>
      </c>
      <c r="M1653" s="2">
        <f ca="1">IFERROR(__xludf.DUMMYFUNCTION("""COMPUTED_VALUE"""),16.815)</f>
        <v>16.815000000000001</v>
      </c>
      <c r="U1653" s="3" t="e">
        <f ca="1"/>
        <v>#NAME?</v>
      </c>
    </row>
    <row r="1654" spans="3:21" ht="12.5" x14ac:dyDescent="0.25">
      <c r="C1654" s="4">
        <f ca="1">IFERROR(__xludf.DUMMYFUNCTION("""COMPUTED_VALUE"""),41997.9986111111)</f>
        <v>41997.998611111099</v>
      </c>
      <c r="D1654" s="2">
        <f ca="1">IFERROR(__xludf.DUMMYFUNCTION("""COMPUTED_VALUE"""),63.4)</f>
        <v>63.4</v>
      </c>
      <c r="E1654" s="2">
        <f ca="1">IFERROR(__xludf.DUMMYFUNCTION("""COMPUTED_VALUE"""),66.285)</f>
        <v>66.284999999999997</v>
      </c>
      <c r="F1654" s="2">
        <f ca="1">IFERROR(__xludf.DUMMYFUNCTION("""COMPUTED_VALUE"""),96.62)</f>
        <v>96.62</v>
      </c>
      <c r="G1654" s="2">
        <f ca="1">IFERROR(__xludf.DUMMYFUNCTION("""COMPUTED_VALUE"""),0.53503)</f>
        <v>0.53503000000000001</v>
      </c>
      <c r="H1654" s="2">
        <f ca="1">IFERROR(__xludf.DUMMYFUNCTION("""COMPUTED_VALUE"""),48.121)</f>
        <v>48.121000000000002</v>
      </c>
      <c r="I1654" s="2">
        <f ca="1">IFERROR(__xludf.DUMMYFUNCTION("""COMPUTED_VALUE"""),49.29)</f>
        <v>49.29</v>
      </c>
      <c r="J1654" s="2">
        <f ca="1">IFERROR(__xludf.DUMMYFUNCTION("""COMPUTED_VALUE"""),45.243)</f>
        <v>45.243000000000002</v>
      </c>
      <c r="K1654" s="2">
        <f ca="1">IFERROR(__xludf.DUMMYFUNCTION("""COMPUTED_VALUE"""),64.347)</f>
        <v>64.346999999999994</v>
      </c>
      <c r="M1654" s="2">
        <f ca="1">IFERROR(__xludf.DUMMYFUNCTION("""COMPUTED_VALUE"""),16.815)</f>
        <v>16.815000000000001</v>
      </c>
      <c r="U1654" s="3" t="e">
        <f ca="1"/>
        <v>#NAME?</v>
      </c>
    </row>
    <row r="1655" spans="3:21" ht="12.5" x14ac:dyDescent="0.25">
      <c r="C1655" s="4">
        <f ca="1">IFERROR(__xludf.DUMMYFUNCTION("""COMPUTED_VALUE"""),41998.9986111111)</f>
        <v>41998.998611111099</v>
      </c>
      <c r="D1655" s="2">
        <f ca="1">IFERROR(__xludf.DUMMYFUNCTION("""COMPUTED_VALUE"""),63.513)</f>
        <v>63.512999999999998</v>
      </c>
      <c r="E1655" s="2">
        <f ca="1">IFERROR(__xludf.DUMMYFUNCTION("""COMPUTED_VALUE"""),67.941)</f>
        <v>67.941000000000003</v>
      </c>
      <c r="F1655" s="2">
        <f ca="1">IFERROR(__xludf.DUMMYFUNCTION("""COMPUTED_VALUE"""),96.51)</f>
        <v>96.51</v>
      </c>
      <c r="G1655" s="2">
        <f ca="1">IFERROR(__xludf.DUMMYFUNCTION("""COMPUTED_VALUE"""),0.5311)</f>
        <v>0.53110000000000002</v>
      </c>
      <c r="H1655" s="2">
        <f ca="1">IFERROR(__xludf.DUMMYFUNCTION("""COMPUTED_VALUE"""),48.185)</f>
        <v>48.185000000000002</v>
      </c>
      <c r="I1655" s="2">
        <f ca="1">IFERROR(__xludf.DUMMYFUNCTION("""COMPUTED_VALUE"""),49.345)</f>
        <v>49.344999999999999</v>
      </c>
      <c r="J1655" s="2">
        <f ca="1">IFERROR(__xludf.DUMMYFUNCTION("""COMPUTED_VALUE"""),45.242)</f>
        <v>45.241999999999997</v>
      </c>
      <c r="K1655" s="2">
        <f ca="1">IFERROR(__xludf.DUMMYFUNCTION("""COMPUTED_VALUE"""),64.403)</f>
        <v>64.403000000000006</v>
      </c>
      <c r="M1655" s="2">
        <f ca="1">IFERROR(__xludf.DUMMYFUNCTION("""COMPUTED_VALUE"""),16.815)</f>
        <v>16.815000000000001</v>
      </c>
      <c r="U1655" s="3" t="e">
        <f ca="1"/>
        <v>#NAME?</v>
      </c>
    </row>
    <row r="1656" spans="3:21" ht="12.5" x14ac:dyDescent="0.25">
      <c r="C1656" s="4">
        <f ca="1">IFERROR(__xludf.DUMMYFUNCTION("""COMPUTED_VALUE"""),41999.9986111111)</f>
        <v>41999.998611111099</v>
      </c>
      <c r="D1656" s="2">
        <f ca="1">IFERROR(__xludf.DUMMYFUNCTION("""COMPUTED_VALUE"""),63.513)</f>
        <v>63.512999999999998</v>
      </c>
      <c r="E1656" s="2">
        <f ca="1">IFERROR(__xludf.DUMMYFUNCTION("""COMPUTED_VALUE"""),66.594)</f>
        <v>66.593999999999994</v>
      </c>
      <c r="F1656" s="2">
        <f ca="1">IFERROR(__xludf.DUMMYFUNCTION("""COMPUTED_VALUE"""),97.33)</f>
        <v>97.33</v>
      </c>
      <c r="G1656" s="2">
        <f ca="1">IFERROR(__xludf.DUMMYFUNCTION("""COMPUTED_VALUE"""),0.52988)</f>
        <v>0.52988000000000002</v>
      </c>
      <c r="H1656" s="2">
        <f ca="1">IFERROR(__xludf.DUMMYFUNCTION("""COMPUTED_VALUE"""),47.941)</f>
        <v>47.941000000000003</v>
      </c>
      <c r="I1656" s="2">
        <f ca="1">IFERROR(__xludf.DUMMYFUNCTION("""COMPUTED_VALUE"""),49.101)</f>
        <v>49.100999999999999</v>
      </c>
      <c r="J1656" s="2">
        <f ca="1">IFERROR(__xludf.DUMMYFUNCTION("""COMPUTED_VALUE"""),45.29)</f>
        <v>45.29</v>
      </c>
      <c r="K1656" s="2">
        <f ca="1">IFERROR(__xludf.DUMMYFUNCTION("""COMPUTED_VALUE"""),64.245)</f>
        <v>64.245000000000005</v>
      </c>
      <c r="M1656" s="2">
        <f ca="1">IFERROR(__xludf.DUMMYFUNCTION("""COMPUTED_VALUE"""),16.839)</f>
        <v>16.838999999999999</v>
      </c>
      <c r="U1656" s="3" t="e">
        <f ca="1"/>
        <v>#NAME?</v>
      </c>
    </row>
    <row r="1657" spans="3:21" ht="12.5" x14ac:dyDescent="0.25">
      <c r="C1657" s="4">
        <f ca="1">IFERROR(__xludf.DUMMYFUNCTION("""COMPUTED_VALUE"""),42000.9986111111)</f>
        <v>42000.998611111099</v>
      </c>
      <c r="D1657" s="2">
        <f ca="1">IFERROR(__xludf.DUMMYFUNCTION("""COMPUTED_VALUE"""),63.59)</f>
        <v>63.59</v>
      </c>
      <c r="E1657" s="2">
        <f ca="1">IFERROR(__xludf.DUMMYFUNCTION("""COMPUTED_VALUE"""),67.526)</f>
        <v>67.525999999999996</v>
      </c>
      <c r="F1657" s="2">
        <f ca="1">IFERROR(__xludf.DUMMYFUNCTION("""COMPUTED_VALUE"""),97.11)</f>
        <v>97.11</v>
      </c>
      <c r="G1657" s="2">
        <f ca="1">IFERROR(__xludf.DUMMYFUNCTION("""COMPUTED_VALUE"""),0.53271)</f>
        <v>0.53271000000000002</v>
      </c>
      <c r="H1657" s="2">
        <f ca="1">IFERROR(__xludf.DUMMYFUNCTION("""COMPUTED_VALUE"""),47.666)</f>
        <v>47.665999999999997</v>
      </c>
      <c r="I1657" s="2">
        <f ca="1">IFERROR(__xludf.DUMMYFUNCTION("""COMPUTED_VALUE"""),48.909)</f>
        <v>48.908999999999999</v>
      </c>
      <c r="J1657" s="2">
        <f ca="1">IFERROR(__xludf.DUMMYFUNCTION("""COMPUTED_VALUE"""),45.143)</f>
        <v>45.143000000000001</v>
      </c>
      <c r="K1657" s="2">
        <f ca="1">IFERROR(__xludf.DUMMYFUNCTION("""COMPUTED_VALUE"""),64.038)</f>
        <v>64.037999999999997</v>
      </c>
      <c r="M1657" s="2">
        <f ca="1">IFERROR(__xludf.DUMMYFUNCTION("""COMPUTED_VALUE"""),16.836)</f>
        <v>16.835999999999999</v>
      </c>
      <c r="U1657" s="3" t="e">
        <f ca="1"/>
        <v>#NAME?</v>
      </c>
    </row>
    <row r="1658" spans="3:21" ht="12.5" x14ac:dyDescent="0.25">
      <c r="C1658" s="4">
        <f ca="1">IFERROR(__xludf.DUMMYFUNCTION("""COMPUTED_VALUE"""),42001.9986111111)</f>
        <v>42001.998611111099</v>
      </c>
      <c r="D1658" s="2">
        <f ca="1">IFERROR(__xludf.DUMMYFUNCTION("""COMPUTED_VALUE"""),63.6)</f>
        <v>63.6</v>
      </c>
      <c r="E1658" s="2">
        <f ca="1">IFERROR(__xludf.DUMMYFUNCTION("""COMPUTED_VALUE"""),68.037)</f>
        <v>68.037000000000006</v>
      </c>
      <c r="F1658" s="2">
        <f ca="1">IFERROR(__xludf.DUMMYFUNCTION("""COMPUTED_VALUE"""),96.6)</f>
        <v>96.6</v>
      </c>
      <c r="G1658" s="2">
        <f ca="1">IFERROR(__xludf.DUMMYFUNCTION("""COMPUTED_VALUE"""),0.5316)</f>
        <v>0.53159999999999996</v>
      </c>
      <c r="H1658" s="2">
        <f ca="1">IFERROR(__xludf.DUMMYFUNCTION("""COMPUTED_VALUE"""),48.716)</f>
        <v>48.716000000000001</v>
      </c>
      <c r="I1658" s="2">
        <f ca="1">IFERROR(__xludf.DUMMYFUNCTION("""COMPUTED_VALUE"""),49.883)</f>
        <v>49.883000000000003</v>
      </c>
      <c r="J1658" s="2">
        <f ca="1">IFERROR(__xludf.DUMMYFUNCTION("""COMPUTED_VALUE"""),45.035)</f>
        <v>45.034999999999997</v>
      </c>
      <c r="K1658" s="2">
        <f ca="1">IFERROR(__xludf.DUMMYFUNCTION("""COMPUTED_VALUE"""),63.317)</f>
        <v>63.317</v>
      </c>
      <c r="M1658" s="2">
        <f ca="1">IFERROR(__xludf.DUMMYFUNCTION("""COMPUTED_VALUE"""),16.822)</f>
        <v>16.821999999999999</v>
      </c>
      <c r="U1658" s="3" t="e">
        <f ca="1"/>
        <v>#NAME?</v>
      </c>
    </row>
    <row r="1659" spans="3:21" ht="12.5" x14ac:dyDescent="0.25">
      <c r="C1659" s="4">
        <f ca="1">IFERROR(__xludf.DUMMYFUNCTION("""COMPUTED_VALUE"""),42002.9986111111)</f>
        <v>42002.998611111099</v>
      </c>
      <c r="D1659" s="2">
        <f ca="1">IFERROR(__xludf.DUMMYFUNCTION("""COMPUTED_VALUE"""),63.663)</f>
        <v>63.662999999999997</v>
      </c>
      <c r="E1659" s="2">
        <f ca="1">IFERROR(__xludf.DUMMYFUNCTION("""COMPUTED_VALUE"""),67.83)</f>
        <v>67.83</v>
      </c>
      <c r="F1659" s="2">
        <f ca="1">IFERROR(__xludf.DUMMYFUNCTION("""COMPUTED_VALUE"""),96.719)</f>
        <v>96.718999999999994</v>
      </c>
      <c r="G1659" s="2">
        <f ca="1">IFERROR(__xludf.DUMMYFUNCTION("""COMPUTED_VALUE"""),0.52931)</f>
        <v>0.52930999999999995</v>
      </c>
      <c r="H1659" s="2">
        <f ca="1">IFERROR(__xludf.DUMMYFUNCTION("""COMPUTED_VALUE"""),47.795)</f>
        <v>47.795000000000002</v>
      </c>
      <c r="I1659" s="2">
        <f ca="1">IFERROR(__xludf.DUMMYFUNCTION("""COMPUTED_VALUE"""),49.141)</f>
        <v>49.140999999999998</v>
      </c>
      <c r="J1659" s="2">
        <f ca="1">IFERROR(__xludf.DUMMYFUNCTION("""COMPUTED_VALUE"""),45.455)</f>
        <v>45.454999999999998</v>
      </c>
      <c r="K1659" s="2">
        <f ca="1">IFERROR(__xludf.DUMMYFUNCTION("""COMPUTED_VALUE"""),63.431)</f>
        <v>63.430999999999997</v>
      </c>
      <c r="M1659" s="2">
        <f ca="1">IFERROR(__xludf.DUMMYFUNCTION("""COMPUTED_VALUE"""),16.84)</f>
        <v>16.84</v>
      </c>
      <c r="U1659" s="3" t="e">
        <f ca="1"/>
        <v>#NAME?</v>
      </c>
    </row>
    <row r="1660" spans="3:21" ht="12.5" x14ac:dyDescent="0.25">
      <c r="C1660" s="4">
        <f ca="1">IFERROR(__xludf.DUMMYFUNCTION("""COMPUTED_VALUE"""),42003.9986111111)</f>
        <v>42003.998611111099</v>
      </c>
      <c r="D1660" s="2">
        <f ca="1">IFERROR(__xludf.DUMMYFUNCTION("""COMPUTED_VALUE"""),63.378)</f>
        <v>63.378</v>
      </c>
      <c r="E1660" s="2">
        <f ca="1">IFERROR(__xludf.DUMMYFUNCTION("""COMPUTED_VALUE"""),68.395)</f>
        <v>68.394999999999996</v>
      </c>
      <c r="F1660" s="2">
        <f ca="1">IFERROR(__xludf.DUMMYFUNCTION("""COMPUTED_VALUE"""),97.21)</f>
        <v>97.21</v>
      </c>
      <c r="G1660" s="2">
        <f ca="1">IFERROR(__xludf.DUMMYFUNCTION("""COMPUTED_VALUE"""),0.52892)</f>
        <v>0.52891999999999995</v>
      </c>
      <c r="H1660" s="2">
        <f ca="1">IFERROR(__xludf.DUMMYFUNCTION("""COMPUTED_VALUE"""),48.519)</f>
        <v>48.518999999999998</v>
      </c>
      <c r="I1660" s="2">
        <f ca="1">IFERROR(__xludf.DUMMYFUNCTION("""COMPUTED_VALUE"""),49.71)</f>
        <v>49.71</v>
      </c>
      <c r="J1660" s="2">
        <f ca="1">IFERROR(__xludf.DUMMYFUNCTION("""COMPUTED_VALUE"""),45.016)</f>
        <v>45.015999999999998</v>
      </c>
      <c r="K1660" s="2">
        <f ca="1">IFERROR(__xludf.DUMMYFUNCTION("""COMPUTED_VALUE"""),63.178)</f>
        <v>63.177999999999997</v>
      </c>
      <c r="M1660" s="2">
        <f ca="1">IFERROR(__xludf.DUMMYFUNCTION("""COMPUTED_VALUE"""),16.935)</f>
        <v>16.934999999999999</v>
      </c>
      <c r="U1660" s="3" t="e">
        <f ca="1"/>
        <v>#NAME?</v>
      </c>
    </row>
    <row r="1661" spans="3:21" ht="12.5" x14ac:dyDescent="0.25">
      <c r="C1661" s="4">
        <f ca="1">IFERROR(__xludf.DUMMYFUNCTION("""COMPUTED_VALUE"""),42004.9986111111)</f>
        <v>42004.998611111099</v>
      </c>
      <c r="D1661" s="2">
        <f ca="1">IFERROR(__xludf.DUMMYFUNCTION("""COMPUTED_VALUE"""),63.028)</f>
        <v>63.027999999999999</v>
      </c>
      <c r="E1661" s="2">
        <f ca="1">IFERROR(__xludf.DUMMYFUNCTION("""COMPUTED_VALUE"""),68.32)</f>
        <v>68.319999999999993</v>
      </c>
      <c r="F1661" s="2">
        <f ca="1">IFERROR(__xludf.DUMMYFUNCTION("""COMPUTED_VALUE"""),97.14)</f>
        <v>97.14</v>
      </c>
      <c r="G1661" s="2">
        <f ca="1">IFERROR(__xludf.DUMMYFUNCTION("""COMPUTED_VALUE"""),0.52764)</f>
        <v>0.52764</v>
      </c>
      <c r="H1661" s="2">
        <f ca="1">IFERROR(__xludf.DUMMYFUNCTION("""COMPUTED_VALUE"""),48.946)</f>
        <v>48.945999999999998</v>
      </c>
      <c r="I1661" s="2">
        <f ca="1">IFERROR(__xludf.DUMMYFUNCTION("""COMPUTED_VALUE"""),49.635)</f>
        <v>49.634999999999998</v>
      </c>
      <c r="J1661" s="2">
        <f ca="1">IFERROR(__xludf.DUMMYFUNCTION("""COMPUTED_VALUE"""),45.259)</f>
        <v>45.259</v>
      </c>
      <c r="K1661" s="2">
        <f ca="1">IFERROR(__xludf.DUMMYFUNCTION("""COMPUTED_VALUE"""),62.871)</f>
        <v>62.871000000000002</v>
      </c>
      <c r="M1661" s="2">
        <f ca="1">IFERROR(__xludf.DUMMYFUNCTION("""COMPUTED_VALUE"""),16.935)</f>
        <v>16.934999999999999</v>
      </c>
      <c r="U1661" s="3" t="e">
        <f ca="1"/>
        <v>#NAME?</v>
      </c>
    </row>
    <row r="1662" spans="3:21" ht="12.5" x14ac:dyDescent="0.25">
      <c r="C1662" s="4">
        <f ca="1">IFERROR(__xludf.DUMMYFUNCTION("""COMPUTED_VALUE"""),42005.9986111111)</f>
        <v>42005.998611111099</v>
      </c>
      <c r="D1662" s="2">
        <f ca="1">IFERROR(__xludf.DUMMYFUNCTION("""COMPUTED_VALUE"""),63.028)</f>
        <v>63.027999999999999</v>
      </c>
      <c r="E1662" s="2">
        <f ca="1">IFERROR(__xludf.DUMMYFUNCTION("""COMPUTED_VALUE"""),68.079)</f>
        <v>68.078999999999994</v>
      </c>
      <c r="F1662" s="2">
        <f ca="1">IFERROR(__xludf.DUMMYFUNCTION("""COMPUTED_VALUE"""),97.53)</f>
        <v>97.53</v>
      </c>
      <c r="G1662" s="2">
        <f ca="1">IFERROR(__xludf.DUMMYFUNCTION("""COMPUTED_VALUE"""),0.5326)</f>
        <v>0.53259999999999996</v>
      </c>
      <c r="H1662" s="2">
        <f ca="1">IFERROR(__xludf.DUMMYFUNCTION("""COMPUTED_VALUE"""),48.907)</f>
        <v>48.906999999999996</v>
      </c>
      <c r="I1662" s="2">
        <f ca="1">IFERROR(__xludf.DUMMYFUNCTION("""COMPUTED_VALUE"""),49.722)</f>
        <v>49.722000000000001</v>
      </c>
      <c r="J1662" s="2">
        <f ca="1">IFERROR(__xludf.DUMMYFUNCTION("""COMPUTED_VALUE"""),45.443)</f>
        <v>45.442999999999998</v>
      </c>
      <c r="K1662" s="2">
        <f ca="1">IFERROR(__xludf.DUMMYFUNCTION("""COMPUTED_VALUE"""),62.786)</f>
        <v>62.786000000000001</v>
      </c>
      <c r="M1662" s="2">
        <f ca="1">IFERROR(__xludf.DUMMYFUNCTION("""COMPUTED_VALUE"""),16.935)</f>
        <v>16.934999999999999</v>
      </c>
      <c r="U1662" s="3" t="e">
        <f ca="1"/>
        <v>#NAME?</v>
      </c>
    </row>
    <row r="1663" spans="3:21" ht="12.5" x14ac:dyDescent="0.25">
      <c r="C1663" s="4">
        <f ca="1">IFERROR(__xludf.DUMMYFUNCTION("""COMPUTED_VALUE"""),42006.9986111111)</f>
        <v>42006.998611111099</v>
      </c>
      <c r="D1663" s="2">
        <f ca="1">IFERROR(__xludf.DUMMYFUNCTION("""COMPUTED_VALUE"""),63.278)</f>
        <v>63.277999999999999</v>
      </c>
      <c r="E1663" s="2">
        <f ca="1">IFERROR(__xludf.DUMMYFUNCTION("""COMPUTED_VALUE"""),67.622)</f>
        <v>67.622</v>
      </c>
      <c r="F1663" s="2">
        <f ca="1">IFERROR(__xludf.DUMMYFUNCTION("""COMPUTED_VALUE"""),97.31)</f>
        <v>97.31</v>
      </c>
      <c r="G1663" s="2">
        <f ca="1">IFERROR(__xludf.DUMMYFUNCTION("""COMPUTED_VALUE"""),0.53476)</f>
        <v>0.53476000000000001</v>
      </c>
      <c r="H1663" s="2">
        <f ca="1">IFERROR(__xludf.DUMMYFUNCTION("""COMPUTED_VALUE"""),48.859)</f>
        <v>48.859000000000002</v>
      </c>
      <c r="I1663" s="2">
        <f ca="1">IFERROR(__xludf.DUMMYFUNCTION("""COMPUTED_VALUE"""),49.807)</f>
        <v>49.807000000000002</v>
      </c>
      <c r="J1663" s="2">
        <f ca="1">IFERROR(__xludf.DUMMYFUNCTION("""COMPUTED_VALUE"""),45.487)</f>
        <v>45.487000000000002</v>
      </c>
      <c r="K1663" s="2">
        <f ca="1">IFERROR(__xludf.DUMMYFUNCTION("""COMPUTED_VALUE"""),62.281)</f>
        <v>62.280999999999999</v>
      </c>
      <c r="M1663" s="2">
        <f ca="1">IFERROR(__xludf.DUMMYFUNCTION("""COMPUTED_VALUE"""),16.865)</f>
        <v>16.864999999999998</v>
      </c>
      <c r="U1663" s="3" t="e">
        <f ca="1"/>
        <v>#NAME?</v>
      </c>
    </row>
    <row r="1664" spans="3:21" ht="12.5" x14ac:dyDescent="0.25">
      <c r="C1664" s="4">
        <f ca="1">IFERROR(__xludf.DUMMYFUNCTION("""COMPUTED_VALUE"""),42007.9986111111)</f>
        <v>42007.998611111099</v>
      </c>
      <c r="D1664" s="2">
        <f ca="1">IFERROR(__xludf.DUMMYFUNCTION("""COMPUTED_VALUE"""),63.17)</f>
        <v>63.17</v>
      </c>
      <c r="E1664" s="2">
        <f ca="1">IFERROR(__xludf.DUMMYFUNCTION("""COMPUTED_VALUE"""),66.904)</f>
        <v>66.903999999999996</v>
      </c>
      <c r="F1664" s="2">
        <f ca="1">IFERROR(__xludf.DUMMYFUNCTION("""COMPUTED_VALUE"""),97.41)</f>
        <v>97.41</v>
      </c>
      <c r="G1664" s="2">
        <f ca="1">IFERROR(__xludf.DUMMYFUNCTION("""COMPUTED_VALUE"""),0.53133)</f>
        <v>0.53132999999999997</v>
      </c>
      <c r="H1664" s="2">
        <f ca="1">IFERROR(__xludf.DUMMYFUNCTION("""COMPUTED_VALUE"""),49.156)</f>
        <v>49.155999999999999</v>
      </c>
      <c r="I1664" s="2">
        <f ca="1">IFERROR(__xludf.DUMMYFUNCTION("""COMPUTED_VALUE"""),50.295)</f>
        <v>50.295000000000002</v>
      </c>
      <c r="J1664" s="2">
        <f ca="1">IFERROR(__xludf.DUMMYFUNCTION("""COMPUTED_VALUE"""),45.527)</f>
        <v>45.527000000000001</v>
      </c>
      <c r="K1664" s="2">
        <f ca="1">IFERROR(__xludf.DUMMYFUNCTION("""COMPUTED_VALUE"""),61.48)</f>
        <v>61.48</v>
      </c>
      <c r="M1664" s="2">
        <f ca="1">IFERROR(__xludf.DUMMYFUNCTION("""COMPUTED_VALUE"""),16.822)</f>
        <v>16.821999999999999</v>
      </c>
      <c r="U1664" s="3" t="e">
        <f ca="1"/>
        <v>#NAME?</v>
      </c>
    </row>
    <row r="1665" spans="3:21" ht="12.5" x14ac:dyDescent="0.25">
      <c r="C1665" s="4">
        <f ca="1">IFERROR(__xludf.DUMMYFUNCTION("""COMPUTED_VALUE"""),42008.9986111111)</f>
        <v>42008.998611111099</v>
      </c>
      <c r="D1665" s="2">
        <f ca="1">IFERROR(__xludf.DUMMYFUNCTION("""COMPUTED_VALUE"""),63.17)</f>
        <v>63.17</v>
      </c>
      <c r="E1665" s="2">
        <f ca="1">IFERROR(__xludf.DUMMYFUNCTION("""COMPUTED_VALUE"""),66.878)</f>
        <v>66.878</v>
      </c>
      <c r="F1665" s="2">
        <f ca="1">IFERROR(__xludf.DUMMYFUNCTION("""COMPUTED_VALUE"""),97.39)</f>
        <v>97.39</v>
      </c>
      <c r="G1665" s="2">
        <f ca="1">IFERROR(__xludf.DUMMYFUNCTION("""COMPUTED_VALUE"""),0.53237)</f>
        <v>0.53237000000000001</v>
      </c>
      <c r="H1665" s="2">
        <f ca="1">IFERROR(__xludf.DUMMYFUNCTION("""COMPUTED_VALUE"""),48.461)</f>
        <v>48.460999999999999</v>
      </c>
      <c r="I1665" s="2">
        <f ca="1">IFERROR(__xludf.DUMMYFUNCTION("""COMPUTED_VALUE"""),49.56)</f>
        <v>49.56</v>
      </c>
      <c r="J1665" s="2">
        <f ca="1">IFERROR(__xludf.DUMMYFUNCTION("""COMPUTED_VALUE"""),45.819)</f>
        <v>45.819000000000003</v>
      </c>
      <c r="K1665" s="2">
        <f ca="1">IFERROR(__xludf.DUMMYFUNCTION("""COMPUTED_VALUE"""),61.475)</f>
        <v>61.475000000000001</v>
      </c>
      <c r="M1665" s="2">
        <f ca="1">IFERROR(__xludf.DUMMYFUNCTION("""COMPUTED_VALUE"""),16.84)</f>
        <v>16.84</v>
      </c>
      <c r="U1665" s="3" t="e">
        <f ca="1"/>
        <v>#NAME?</v>
      </c>
    </row>
    <row r="1666" spans="3:21" ht="12.5" x14ac:dyDescent="0.25">
      <c r="C1666" s="4">
        <f ca="1">IFERROR(__xludf.DUMMYFUNCTION("""COMPUTED_VALUE"""),42009.9986111111)</f>
        <v>42009.998611111099</v>
      </c>
      <c r="D1666" s="2">
        <f ca="1">IFERROR(__xludf.DUMMYFUNCTION("""COMPUTED_VALUE"""),63.338)</f>
        <v>63.338000000000001</v>
      </c>
      <c r="E1666" s="2">
        <f ca="1">IFERROR(__xludf.DUMMYFUNCTION("""COMPUTED_VALUE"""),67.465)</f>
        <v>67.465000000000003</v>
      </c>
      <c r="F1666" s="2">
        <f ca="1">IFERROR(__xludf.DUMMYFUNCTION("""COMPUTED_VALUE"""),96.68)</f>
        <v>96.68</v>
      </c>
      <c r="G1666" s="2">
        <f ca="1">IFERROR(__xludf.DUMMYFUNCTION("""COMPUTED_VALUE"""),0.53525)</f>
        <v>0.53525</v>
      </c>
      <c r="H1666" s="2">
        <f ca="1">IFERROR(__xludf.DUMMYFUNCTION("""COMPUTED_VALUE"""),47.81)</f>
        <v>47.81</v>
      </c>
      <c r="I1666" s="2">
        <f ca="1">IFERROR(__xludf.DUMMYFUNCTION("""COMPUTED_VALUE"""),49.263)</f>
        <v>49.262999999999998</v>
      </c>
      <c r="J1666" s="2">
        <f ca="1">IFERROR(__xludf.DUMMYFUNCTION("""COMPUTED_VALUE"""),45.648)</f>
        <v>45.648000000000003</v>
      </c>
      <c r="K1666" s="2">
        <f ca="1">IFERROR(__xludf.DUMMYFUNCTION("""COMPUTED_VALUE"""),61.078)</f>
        <v>61.078000000000003</v>
      </c>
      <c r="M1666" s="2">
        <f ca="1">IFERROR(__xludf.DUMMYFUNCTION("""COMPUTED_VALUE"""),16.821)</f>
        <v>16.821000000000002</v>
      </c>
      <c r="U1666" s="3" t="e">
        <f ca="1"/>
        <v>#NAME?</v>
      </c>
    </row>
    <row r="1667" spans="3:21" ht="12.5" x14ac:dyDescent="0.25">
      <c r="C1667" s="4">
        <f ca="1">IFERROR(__xludf.DUMMYFUNCTION("""COMPUTED_VALUE"""),42010.9986111111)</f>
        <v>42010.998611111099</v>
      </c>
      <c r="D1667" s="2">
        <f ca="1">IFERROR(__xludf.DUMMYFUNCTION("""COMPUTED_VALUE"""),63.568)</f>
        <v>63.567999999999998</v>
      </c>
      <c r="E1667" s="2">
        <f ca="1">IFERROR(__xludf.DUMMYFUNCTION("""COMPUTED_VALUE"""),68.105)</f>
        <v>68.105000000000004</v>
      </c>
      <c r="F1667" s="2">
        <f ca="1">IFERROR(__xludf.DUMMYFUNCTION("""COMPUTED_VALUE"""),97.13)</f>
        <v>97.13</v>
      </c>
      <c r="G1667" s="2">
        <f ca="1">IFERROR(__xludf.DUMMYFUNCTION("""COMPUTED_VALUE"""),0.53683)</f>
        <v>0.53683000000000003</v>
      </c>
      <c r="H1667" s="2">
        <f ca="1">IFERROR(__xludf.DUMMYFUNCTION("""COMPUTED_VALUE"""),47.43)</f>
        <v>47.43</v>
      </c>
      <c r="I1667" s="2">
        <f ca="1">IFERROR(__xludf.DUMMYFUNCTION("""COMPUTED_VALUE"""),49.095)</f>
        <v>49.094999999999999</v>
      </c>
      <c r="J1667" s="2">
        <f ca="1">IFERROR(__xludf.DUMMYFUNCTION("""COMPUTED_VALUE"""),45.378)</f>
        <v>45.378</v>
      </c>
      <c r="K1667" s="2">
        <f ca="1">IFERROR(__xludf.DUMMYFUNCTION("""COMPUTED_VALUE"""),60.717)</f>
        <v>60.716999999999999</v>
      </c>
      <c r="M1667" s="2">
        <f ca="1">IFERROR(__xludf.DUMMYFUNCTION("""COMPUTED_VALUE"""),16.856)</f>
        <v>16.856000000000002</v>
      </c>
      <c r="U1667" s="3" t="e">
        <f ca="1"/>
        <v>#NAME?</v>
      </c>
    </row>
    <row r="1668" spans="3:21" ht="12.5" x14ac:dyDescent="0.25">
      <c r="C1668" s="4">
        <f ca="1">IFERROR(__xludf.DUMMYFUNCTION("""COMPUTED_VALUE"""),42011.9986111111)</f>
        <v>42011.998611111099</v>
      </c>
      <c r="D1668" s="2">
        <f ca="1">IFERROR(__xludf.DUMMYFUNCTION("""COMPUTED_VALUE"""),63.273)</f>
        <v>63.273000000000003</v>
      </c>
      <c r="E1668" s="2">
        <f ca="1">IFERROR(__xludf.DUMMYFUNCTION("""COMPUTED_VALUE"""),67.831)</f>
        <v>67.831000000000003</v>
      </c>
      <c r="F1668" s="2">
        <f ca="1">IFERROR(__xludf.DUMMYFUNCTION("""COMPUTED_VALUE"""),96.57)</f>
        <v>96.57</v>
      </c>
      <c r="G1668" s="2">
        <f ca="1">IFERROR(__xludf.DUMMYFUNCTION("""COMPUTED_VALUE"""),0.5314)</f>
        <v>0.53139999999999998</v>
      </c>
      <c r="H1668" s="2">
        <f ca="1">IFERROR(__xludf.DUMMYFUNCTION("""COMPUTED_VALUE"""),47.22)</f>
        <v>47.22</v>
      </c>
      <c r="I1668" s="2">
        <f ca="1">IFERROR(__xludf.DUMMYFUNCTION("""COMPUTED_VALUE"""),49.241)</f>
        <v>49.241</v>
      </c>
      <c r="J1668" s="2">
        <f ca="1">IFERROR(__xludf.DUMMYFUNCTION("""COMPUTED_VALUE"""),45.37)</f>
        <v>45.37</v>
      </c>
      <c r="K1668" s="2">
        <f ca="1">IFERROR(__xludf.DUMMYFUNCTION("""COMPUTED_VALUE"""),60.861)</f>
        <v>60.860999999999997</v>
      </c>
      <c r="M1668" s="2">
        <f ca="1">IFERROR(__xludf.DUMMYFUNCTION("""COMPUTED_VALUE"""),16.856)</f>
        <v>16.856000000000002</v>
      </c>
      <c r="U1668" s="3" t="e">
        <f ca="1"/>
        <v>#NAME?</v>
      </c>
    </row>
    <row r="1669" spans="3:21" ht="12.5" x14ac:dyDescent="0.25">
      <c r="C1669" s="4">
        <f ca="1">IFERROR(__xludf.DUMMYFUNCTION("""COMPUTED_VALUE"""),42012.9986111111)</f>
        <v>42012.998611111099</v>
      </c>
      <c r="D1669" s="2">
        <f ca="1">IFERROR(__xludf.DUMMYFUNCTION("""COMPUTED_VALUE"""),62.668)</f>
        <v>62.667999999999999</v>
      </c>
      <c r="E1669" s="2">
        <f ca="1">IFERROR(__xludf.DUMMYFUNCTION("""COMPUTED_VALUE"""),67.362)</f>
        <v>67.361999999999995</v>
      </c>
      <c r="F1669" s="2">
        <f ca="1">IFERROR(__xludf.DUMMYFUNCTION("""COMPUTED_VALUE"""),96.61)</f>
        <v>96.61</v>
      </c>
      <c r="G1669" s="2">
        <f ca="1">IFERROR(__xludf.DUMMYFUNCTION("""COMPUTED_VALUE"""),0.53112)</f>
        <v>0.53112000000000004</v>
      </c>
      <c r="H1669" s="2">
        <f ca="1">IFERROR(__xludf.DUMMYFUNCTION("""COMPUTED_VALUE"""),47.128)</f>
        <v>47.128</v>
      </c>
      <c r="I1669" s="2">
        <f ca="1">IFERROR(__xludf.DUMMYFUNCTION("""COMPUTED_VALUE"""),49.404)</f>
        <v>49.404000000000003</v>
      </c>
      <c r="J1669" s="2">
        <f ca="1">IFERROR(__xludf.DUMMYFUNCTION("""COMPUTED_VALUE"""),45.56)</f>
        <v>45.56</v>
      </c>
      <c r="K1669" s="2">
        <f ca="1">IFERROR(__xludf.DUMMYFUNCTION("""COMPUTED_VALUE"""),72.552)</f>
        <v>72.552000000000007</v>
      </c>
      <c r="M1669" s="2">
        <f ca="1">IFERROR(__xludf.DUMMYFUNCTION("""COMPUTED_VALUE"""),16.856)</f>
        <v>16.856000000000002</v>
      </c>
      <c r="U1669" s="3" t="e">
        <f ca="1"/>
        <v>#NAME?</v>
      </c>
    </row>
    <row r="1670" spans="3:21" ht="12.5" x14ac:dyDescent="0.25">
      <c r="C1670" s="4">
        <f ca="1">IFERROR(__xludf.DUMMYFUNCTION("""COMPUTED_VALUE"""),42013.9986111111)</f>
        <v>42013.998611111099</v>
      </c>
      <c r="D1670" s="2">
        <f ca="1">IFERROR(__xludf.DUMMYFUNCTION("""COMPUTED_VALUE"""),62.348)</f>
        <v>62.347999999999999</v>
      </c>
      <c r="E1670" s="2">
        <f ca="1">IFERROR(__xludf.DUMMYFUNCTION("""COMPUTED_VALUE"""),66.989)</f>
        <v>66.989000000000004</v>
      </c>
      <c r="F1670" s="2">
        <f ca="1">IFERROR(__xludf.DUMMYFUNCTION("""COMPUTED_VALUE"""),96.482)</f>
        <v>96.481999999999999</v>
      </c>
      <c r="G1670" s="2">
        <f ca="1">IFERROR(__xludf.DUMMYFUNCTION("""COMPUTED_VALUE"""),0.53092)</f>
        <v>0.53091999999999995</v>
      </c>
      <c r="H1670" s="2">
        <f ca="1">IFERROR(__xludf.DUMMYFUNCTION("""COMPUTED_VALUE"""),47.352)</f>
        <v>47.351999999999997</v>
      </c>
      <c r="I1670" s="2">
        <f ca="1">IFERROR(__xludf.DUMMYFUNCTION("""COMPUTED_VALUE"""),49.71)</f>
        <v>49.71</v>
      </c>
      <c r="J1670" s="2">
        <f ca="1">IFERROR(__xludf.DUMMYFUNCTION("""COMPUTED_VALUE"""),45.72)</f>
        <v>45.72</v>
      </c>
      <c r="K1670" s="2">
        <f ca="1">IFERROR(__xludf.DUMMYFUNCTION("""COMPUTED_VALUE"""),72.052)</f>
        <v>72.052000000000007</v>
      </c>
      <c r="M1670" s="2">
        <f ca="1">IFERROR(__xludf.DUMMYFUNCTION("""COMPUTED_VALUE"""),16.83)</f>
        <v>16.829999999999998</v>
      </c>
      <c r="U1670" s="3" t="e">
        <f ca="1"/>
        <v>#NAME?</v>
      </c>
    </row>
    <row r="1671" spans="3:21" ht="12.5" x14ac:dyDescent="0.25">
      <c r="C1671" s="4">
        <f ca="1">IFERROR(__xludf.DUMMYFUNCTION("""COMPUTED_VALUE"""),42014.9986111111)</f>
        <v>42014.998611111099</v>
      </c>
      <c r="D1671" s="2">
        <f ca="1">IFERROR(__xludf.DUMMYFUNCTION("""COMPUTED_VALUE"""),62.111)</f>
        <v>62.110999999999997</v>
      </c>
      <c r="E1671" s="2">
        <f ca="1">IFERROR(__xludf.DUMMYFUNCTION("""COMPUTED_VALUE"""),66.395)</f>
        <v>66.394999999999996</v>
      </c>
      <c r="F1671" s="2">
        <f ca="1">IFERROR(__xludf.DUMMYFUNCTION("""COMPUTED_VALUE"""),96.85)</f>
        <v>96.85</v>
      </c>
      <c r="G1671" s="2">
        <f ca="1">IFERROR(__xludf.DUMMYFUNCTION("""COMPUTED_VALUE"""),0.52808)</f>
        <v>0.52807999999999999</v>
      </c>
      <c r="H1671" s="2">
        <f ca="1">IFERROR(__xludf.DUMMYFUNCTION("""COMPUTED_VALUE"""),47.201)</f>
        <v>47.201000000000001</v>
      </c>
      <c r="I1671" s="2">
        <f ca="1">IFERROR(__xludf.DUMMYFUNCTION("""COMPUTED_VALUE"""),49.742)</f>
        <v>49.741999999999997</v>
      </c>
      <c r="J1671" s="2">
        <f ca="1">IFERROR(__xludf.DUMMYFUNCTION("""COMPUTED_VALUE"""),45.95)</f>
        <v>45.95</v>
      </c>
      <c r="K1671" s="2">
        <f ca="1">IFERROR(__xludf.DUMMYFUNCTION("""COMPUTED_VALUE"""),69.997)</f>
        <v>69.997</v>
      </c>
      <c r="M1671" s="2">
        <f ca="1">IFERROR(__xludf.DUMMYFUNCTION("""COMPUTED_VALUE"""),16.845)</f>
        <v>16.844999999999999</v>
      </c>
      <c r="U1671" s="3" t="e">
        <f ca="1"/>
        <v>#NAME?</v>
      </c>
    </row>
    <row r="1672" spans="3:21" ht="12.5" x14ac:dyDescent="0.25">
      <c r="C1672" s="4">
        <f ca="1">IFERROR(__xludf.DUMMYFUNCTION("""COMPUTED_VALUE"""),42015.9986111111)</f>
        <v>42015.998611111099</v>
      </c>
      <c r="D1672" s="2">
        <f ca="1">IFERROR(__xludf.DUMMYFUNCTION("""COMPUTED_VALUE"""),62.111)</f>
        <v>62.110999999999997</v>
      </c>
      <c r="E1672" s="2">
        <f ca="1">IFERROR(__xludf.DUMMYFUNCTION("""COMPUTED_VALUE"""),66.024)</f>
        <v>66.024000000000001</v>
      </c>
      <c r="F1672" s="2">
        <f ca="1">IFERROR(__xludf.DUMMYFUNCTION("""COMPUTED_VALUE"""),97.11)</f>
        <v>97.11</v>
      </c>
      <c r="G1672" s="2">
        <f ca="1">IFERROR(__xludf.DUMMYFUNCTION("""COMPUTED_VALUE"""),0.5243)</f>
        <v>0.52429999999999999</v>
      </c>
      <c r="H1672" s="2">
        <f ca="1">IFERROR(__xludf.DUMMYFUNCTION("""COMPUTED_VALUE"""),47.555)</f>
        <v>47.555</v>
      </c>
      <c r="I1672" s="2">
        <f ca="1">IFERROR(__xludf.DUMMYFUNCTION("""COMPUTED_VALUE"""),49.772)</f>
        <v>49.771999999999998</v>
      </c>
      <c r="J1672" s="2">
        <f ca="1">IFERROR(__xludf.DUMMYFUNCTION("""COMPUTED_VALUE"""),45.81)</f>
        <v>45.81</v>
      </c>
      <c r="K1672" s="2">
        <f ca="1">IFERROR(__xludf.DUMMYFUNCTION("""COMPUTED_VALUE"""),70.434)</f>
        <v>70.433999999999997</v>
      </c>
      <c r="M1672" s="2">
        <f ca="1">IFERROR(__xludf.DUMMYFUNCTION("""COMPUTED_VALUE"""),16.909)</f>
        <v>16.908999999999999</v>
      </c>
      <c r="U1672" s="3" t="e">
        <f ca="1"/>
        <v>#NAME?</v>
      </c>
    </row>
    <row r="1673" spans="3:21" ht="12.5" x14ac:dyDescent="0.25">
      <c r="C1673" s="4">
        <f ca="1">IFERROR(__xludf.DUMMYFUNCTION("""COMPUTED_VALUE"""),42016.9986111111)</f>
        <v>42016.998611111099</v>
      </c>
      <c r="D1673" s="2">
        <f ca="1">IFERROR(__xludf.DUMMYFUNCTION("""COMPUTED_VALUE"""),62.068)</f>
        <v>62.067999999999998</v>
      </c>
      <c r="E1673" s="2">
        <f ca="1">IFERROR(__xludf.DUMMYFUNCTION("""COMPUTED_VALUE"""),65.887)</f>
        <v>65.887</v>
      </c>
      <c r="F1673" s="2">
        <f ca="1">IFERROR(__xludf.DUMMYFUNCTION("""COMPUTED_VALUE"""),97.84)</f>
        <v>97.84</v>
      </c>
      <c r="G1673" s="2">
        <f ca="1">IFERROR(__xludf.DUMMYFUNCTION("""COMPUTED_VALUE"""),0.52509)</f>
        <v>0.52508999999999995</v>
      </c>
      <c r="H1673" s="2">
        <f ca="1">IFERROR(__xludf.DUMMYFUNCTION("""COMPUTED_VALUE"""),47.73)</f>
        <v>47.73</v>
      </c>
      <c r="I1673" s="2">
        <f ca="1">IFERROR(__xludf.DUMMYFUNCTION("""COMPUTED_VALUE"""),49.524)</f>
        <v>49.524000000000001</v>
      </c>
      <c r="J1673" s="2">
        <f ca="1">IFERROR(__xludf.DUMMYFUNCTION("""COMPUTED_VALUE"""),45.761)</f>
        <v>45.761000000000003</v>
      </c>
      <c r="K1673" s="2">
        <f ca="1">IFERROR(__xludf.DUMMYFUNCTION("""COMPUTED_VALUE"""),71.449)</f>
        <v>71.448999999999998</v>
      </c>
      <c r="M1673" s="2">
        <f ca="1">IFERROR(__xludf.DUMMYFUNCTION("""COMPUTED_VALUE"""),17.009)</f>
        <v>17.009</v>
      </c>
      <c r="U1673" s="3" t="e">
        <f ca="1"/>
        <v>#NAME?</v>
      </c>
    </row>
    <row r="1674" spans="3:21" ht="12.5" x14ac:dyDescent="0.25">
      <c r="C1674" s="4">
        <f ca="1">IFERROR(__xludf.DUMMYFUNCTION("""COMPUTED_VALUE"""),42017.9986111111)</f>
        <v>42017.998611111099</v>
      </c>
      <c r="D1674" s="2">
        <f ca="1">IFERROR(__xludf.DUMMYFUNCTION("""COMPUTED_VALUE"""),61.973)</f>
        <v>61.972999999999999</v>
      </c>
      <c r="E1674" s="2">
        <f ca="1">IFERROR(__xludf.DUMMYFUNCTION("""COMPUTED_VALUE"""),66.271)</f>
        <v>66.271000000000001</v>
      </c>
      <c r="F1674" s="2">
        <f ca="1">IFERROR(__xludf.DUMMYFUNCTION("""COMPUTED_VALUE"""),98.18)</f>
        <v>98.18</v>
      </c>
      <c r="G1674" s="2">
        <f ca="1">IFERROR(__xludf.DUMMYFUNCTION("""COMPUTED_VALUE"""),0.52206)</f>
        <v>0.52205999999999997</v>
      </c>
      <c r="H1674" s="2">
        <f ca="1">IFERROR(__xludf.DUMMYFUNCTION("""COMPUTED_VALUE"""),47.946)</f>
        <v>47.945999999999998</v>
      </c>
      <c r="I1674" s="2">
        <f ca="1">IFERROR(__xludf.DUMMYFUNCTION("""COMPUTED_VALUE"""),49.481)</f>
        <v>49.481000000000002</v>
      </c>
      <c r="J1674" s="2">
        <f ca="1">IFERROR(__xludf.DUMMYFUNCTION("""COMPUTED_VALUE"""),45.795)</f>
        <v>45.795000000000002</v>
      </c>
      <c r="K1674" s="2">
        <f ca="1">IFERROR(__xludf.DUMMYFUNCTION("""COMPUTED_VALUE"""),70.592)</f>
        <v>70.591999999999999</v>
      </c>
      <c r="M1674" s="2">
        <f ca="1">IFERROR(__xludf.DUMMYFUNCTION("""COMPUTED_VALUE"""),17.044)</f>
        <v>17.044</v>
      </c>
      <c r="U1674" s="3" t="e">
        <f ca="1"/>
        <v>#NAME?</v>
      </c>
    </row>
    <row r="1675" spans="3:21" ht="12.5" x14ac:dyDescent="0.25">
      <c r="C1675" s="4">
        <f ca="1">IFERROR(__xludf.DUMMYFUNCTION("""COMPUTED_VALUE"""),42018.9986111111)</f>
        <v>42018.998611111099</v>
      </c>
      <c r="D1675" s="2">
        <f ca="1">IFERROR(__xludf.DUMMYFUNCTION("""COMPUTED_VALUE"""),62.088)</f>
        <v>62.088000000000001</v>
      </c>
      <c r="E1675" s="2">
        <f ca="1">IFERROR(__xludf.DUMMYFUNCTION("""COMPUTED_VALUE"""),66.539)</f>
        <v>66.539000000000001</v>
      </c>
      <c r="F1675" s="2">
        <f ca="1">IFERROR(__xludf.DUMMYFUNCTION("""COMPUTED_VALUE"""),98.47)</f>
        <v>98.47</v>
      </c>
      <c r="G1675" s="2">
        <f ca="1">IFERROR(__xludf.DUMMYFUNCTION("""COMPUTED_VALUE"""),0.52223)</f>
        <v>0.52222999999999997</v>
      </c>
      <c r="H1675" s="2">
        <f ca="1">IFERROR(__xludf.DUMMYFUNCTION("""COMPUTED_VALUE"""),47.815)</f>
        <v>47.814999999999998</v>
      </c>
      <c r="I1675" s="2">
        <f ca="1">IFERROR(__xludf.DUMMYFUNCTION("""COMPUTED_VALUE"""),49.538)</f>
        <v>49.537999999999997</v>
      </c>
      <c r="J1675" s="2">
        <f ca="1">IFERROR(__xludf.DUMMYFUNCTION("""COMPUTED_VALUE"""),45.796)</f>
        <v>45.795999999999999</v>
      </c>
      <c r="K1675" s="2">
        <f ca="1">IFERROR(__xludf.DUMMYFUNCTION("""COMPUTED_VALUE"""),69.713)</f>
        <v>69.712999999999994</v>
      </c>
      <c r="M1675" s="2">
        <f ca="1">IFERROR(__xludf.DUMMYFUNCTION("""COMPUTED_VALUE"""),17.021)</f>
        <v>17.021000000000001</v>
      </c>
      <c r="U1675" s="3" t="e">
        <f ca="1"/>
        <v>#NAME?</v>
      </c>
    </row>
    <row r="1676" spans="3:21" ht="12.5" x14ac:dyDescent="0.25">
      <c r="C1676" s="4">
        <f ca="1">IFERROR(__xludf.DUMMYFUNCTION("""COMPUTED_VALUE"""),42019.9986111111)</f>
        <v>42019.998611111099</v>
      </c>
      <c r="D1676" s="2">
        <f ca="1">IFERROR(__xludf.DUMMYFUNCTION("""COMPUTED_VALUE"""),62.058)</f>
        <v>62.058</v>
      </c>
      <c r="E1676" s="2">
        <f ca="1">IFERROR(__xludf.DUMMYFUNCTION("""COMPUTED_VALUE"""),66.956)</f>
        <v>66.956000000000003</v>
      </c>
      <c r="F1676" s="2">
        <f ca="1">IFERROR(__xludf.DUMMYFUNCTION("""COMPUTED_VALUE"""),98.174)</f>
        <v>98.174000000000007</v>
      </c>
      <c r="G1676" s="2">
        <f ca="1">IFERROR(__xludf.DUMMYFUNCTION("""COMPUTED_VALUE"""),0.51959)</f>
        <v>0.51959</v>
      </c>
      <c r="H1676" s="2">
        <f ca="1">IFERROR(__xludf.DUMMYFUNCTION("""COMPUTED_VALUE"""),47.339)</f>
        <v>47.338999999999999</v>
      </c>
      <c r="I1676" s="2">
        <f ca="1">IFERROR(__xludf.DUMMYFUNCTION("""COMPUTED_VALUE"""),49.535)</f>
        <v>49.534999999999997</v>
      </c>
      <c r="J1676" s="2">
        <f ca="1">IFERROR(__xludf.DUMMYFUNCTION("""COMPUTED_VALUE"""),45.513)</f>
        <v>45.512999999999998</v>
      </c>
      <c r="K1676" s="2">
        <f ca="1">IFERROR(__xludf.DUMMYFUNCTION("""COMPUTED_VALUE"""),68.126)</f>
        <v>68.126000000000005</v>
      </c>
      <c r="M1676" s="2">
        <f ca="1">IFERROR(__xludf.DUMMYFUNCTION("""COMPUTED_VALUE"""),17.021)</f>
        <v>17.021000000000001</v>
      </c>
      <c r="U1676" s="3" t="e">
        <f ca="1"/>
        <v>#NAME?</v>
      </c>
    </row>
    <row r="1677" spans="3:21" ht="12.5" x14ac:dyDescent="0.25">
      <c r="C1677" s="4">
        <f ca="1">IFERROR(__xludf.DUMMYFUNCTION("""COMPUTED_VALUE"""),42020.9986111111)</f>
        <v>42020.998611111099</v>
      </c>
      <c r="D1677" s="2">
        <f ca="1">IFERROR(__xludf.DUMMYFUNCTION("""COMPUTED_VALUE"""),61.863)</f>
        <v>61.863</v>
      </c>
      <c r="E1677" s="2">
        <f ca="1">IFERROR(__xludf.DUMMYFUNCTION("""COMPUTED_VALUE"""),67.584)</f>
        <v>67.584000000000003</v>
      </c>
      <c r="F1677" s="2">
        <f ca="1">IFERROR(__xludf.DUMMYFUNCTION("""COMPUTED_VALUE"""),98.263)</f>
        <v>98.263000000000005</v>
      </c>
      <c r="G1677" s="2">
        <f ca="1">IFERROR(__xludf.DUMMYFUNCTION("""COMPUTED_VALUE"""),0.5156)</f>
        <v>0.51559999999999995</v>
      </c>
      <c r="H1677" s="2">
        <f ca="1">IFERROR(__xludf.DUMMYFUNCTION("""COMPUTED_VALUE"""),47.468)</f>
        <v>47.468000000000004</v>
      </c>
      <c r="I1677" s="2">
        <f ca="1">IFERROR(__xludf.DUMMYFUNCTION("""COMPUTED_VALUE"""),49.905)</f>
        <v>49.905000000000001</v>
      </c>
      <c r="J1677" s="2">
        <f ca="1">IFERROR(__xludf.DUMMYFUNCTION("""COMPUTED_VALUE"""),45.469)</f>
        <v>45.469000000000001</v>
      </c>
      <c r="K1677" s="2">
        <f ca="1">IFERROR(__xludf.DUMMYFUNCTION("""COMPUTED_VALUE"""),68.219)</f>
        <v>68.218999999999994</v>
      </c>
      <c r="M1677" s="2">
        <f ca="1">IFERROR(__xludf.DUMMYFUNCTION("""COMPUTED_VALUE"""),17.197)</f>
        <v>17.196999999999999</v>
      </c>
      <c r="U1677" s="3" t="e">
        <f ca="1"/>
        <v>#NAME?</v>
      </c>
    </row>
    <row r="1678" spans="3:21" ht="12.5" x14ac:dyDescent="0.25">
      <c r="C1678" s="4">
        <f ca="1">IFERROR(__xludf.DUMMYFUNCTION("""COMPUTED_VALUE"""),42021.9986111111)</f>
        <v>42021.998611111099</v>
      </c>
      <c r="D1678" s="2">
        <f ca="1">IFERROR(__xludf.DUMMYFUNCTION("""COMPUTED_VALUE"""),61.611)</f>
        <v>61.610999999999997</v>
      </c>
      <c r="E1678" s="2">
        <f ca="1">IFERROR(__xludf.DUMMYFUNCTION("""COMPUTED_VALUE"""),67.512)</f>
        <v>67.512</v>
      </c>
      <c r="F1678" s="2">
        <f ca="1">IFERROR(__xludf.DUMMYFUNCTION("""COMPUTED_VALUE"""),99.43)</f>
        <v>99.43</v>
      </c>
      <c r="G1678" s="2">
        <f ca="1">IFERROR(__xludf.DUMMYFUNCTION("""COMPUTED_VALUE"""),0.51488)</f>
        <v>0.51488</v>
      </c>
      <c r="H1678" s="2">
        <f ca="1">IFERROR(__xludf.DUMMYFUNCTION("""COMPUTED_VALUE"""),47.915)</f>
        <v>47.914999999999999</v>
      </c>
      <c r="I1678" s="2">
        <f ca="1">IFERROR(__xludf.DUMMYFUNCTION("""COMPUTED_VALUE"""),50.71)</f>
        <v>50.71</v>
      </c>
      <c r="J1678" s="2">
        <f ca="1">IFERROR(__xludf.DUMMYFUNCTION("""COMPUTED_VALUE"""),45.798)</f>
        <v>45.798000000000002</v>
      </c>
      <c r="K1678" s="2">
        <f ca="1">IFERROR(__xludf.DUMMYFUNCTION("""COMPUTED_VALUE"""),67.565)</f>
        <v>67.564999999999998</v>
      </c>
      <c r="M1678" s="2">
        <f ca="1">IFERROR(__xludf.DUMMYFUNCTION("""COMPUTED_VALUE"""),17.33)</f>
        <v>17.329999999999998</v>
      </c>
      <c r="U1678" s="3" t="e">
        <f ca="1"/>
        <v>#NAME?</v>
      </c>
    </row>
    <row r="1679" spans="3:21" ht="12.5" x14ac:dyDescent="0.25">
      <c r="C1679" s="4">
        <f ca="1">IFERROR(__xludf.DUMMYFUNCTION("""COMPUTED_VALUE"""),42022.9986111111)</f>
        <v>42022.998611111099</v>
      </c>
      <c r="D1679" s="2">
        <f ca="1">IFERROR(__xludf.DUMMYFUNCTION("""COMPUTED_VALUE"""),61.611)</f>
        <v>61.610999999999997</v>
      </c>
      <c r="E1679" s="2">
        <f ca="1">IFERROR(__xludf.DUMMYFUNCTION("""COMPUTED_VALUE"""),67.791)</f>
        <v>67.790999999999997</v>
      </c>
      <c r="F1679" s="2">
        <f ca="1">IFERROR(__xludf.DUMMYFUNCTION("""COMPUTED_VALUE"""),100.5)</f>
        <v>100.5</v>
      </c>
      <c r="G1679" s="2">
        <f ca="1">IFERROR(__xludf.DUMMYFUNCTION("""COMPUTED_VALUE"""),0.5128)</f>
        <v>0.51280000000000003</v>
      </c>
      <c r="H1679" s="2">
        <f ca="1">IFERROR(__xludf.DUMMYFUNCTION("""COMPUTED_VALUE"""),48.552)</f>
        <v>48.552</v>
      </c>
      <c r="I1679" s="2">
        <f ca="1">IFERROR(__xludf.DUMMYFUNCTION("""COMPUTED_VALUE"""),51.087)</f>
        <v>51.087000000000003</v>
      </c>
      <c r="J1679" s="2">
        <f ca="1">IFERROR(__xludf.DUMMYFUNCTION("""COMPUTED_VALUE"""),46)</f>
        <v>46</v>
      </c>
      <c r="K1679" s="2">
        <f ca="1">IFERROR(__xludf.DUMMYFUNCTION("""COMPUTED_VALUE"""),66.926)</f>
        <v>66.926000000000002</v>
      </c>
      <c r="M1679" s="2">
        <f ca="1">IFERROR(__xludf.DUMMYFUNCTION("""COMPUTED_VALUE"""),17.293)</f>
        <v>17.292999999999999</v>
      </c>
      <c r="U1679" s="3" t="e">
        <f ca="1"/>
        <v>#NAME?</v>
      </c>
    </row>
    <row r="1680" spans="3:21" ht="12.5" x14ac:dyDescent="0.25">
      <c r="C1680" s="4">
        <f ca="1">IFERROR(__xludf.DUMMYFUNCTION("""COMPUTED_VALUE"""),42023.9986111111)</f>
        <v>42023.998611111099</v>
      </c>
      <c r="D1680" s="2">
        <f ca="1">IFERROR(__xludf.DUMMYFUNCTION("""COMPUTED_VALUE"""),61.638)</f>
        <v>61.637999999999998</v>
      </c>
      <c r="E1680" s="2">
        <f ca="1">IFERROR(__xludf.DUMMYFUNCTION("""COMPUTED_VALUE"""),67.474)</f>
        <v>67.474000000000004</v>
      </c>
      <c r="F1680" s="2">
        <f ca="1">IFERROR(__xludf.DUMMYFUNCTION("""COMPUTED_VALUE"""),98.62)</f>
        <v>98.62</v>
      </c>
      <c r="G1680" s="2">
        <f ca="1">IFERROR(__xludf.DUMMYFUNCTION("""COMPUTED_VALUE"""),0.50894)</f>
        <v>0.50893999999999995</v>
      </c>
      <c r="H1680" s="2">
        <f ca="1">IFERROR(__xludf.DUMMYFUNCTION("""COMPUTED_VALUE"""),48.679)</f>
        <v>48.679000000000002</v>
      </c>
      <c r="I1680" s="2">
        <f ca="1">IFERROR(__xludf.DUMMYFUNCTION("""COMPUTED_VALUE"""),51.093)</f>
        <v>51.093000000000004</v>
      </c>
      <c r="J1680" s="2">
        <f ca="1">IFERROR(__xludf.DUMMYFUNCTION("""COMPUTED_VALUE"""),46.155)</f>
        <v>46.155000000000001</v>
      </c>
      <c r="K1680" s="2">
        <f ca="1">IFERROR(__xludf.DUMMYFUNCTION("""COMPUTED_VALUE"""),67.368)</f>
        <v>67.367999999999995</v>
      </c>
      <c r="M1680" s="2">
        <f ca="1">IFERROR(__xludf.DUMMYFUNCTION("""COMPUTED_VALUE"""),17.147)</f>
        <v>17.146999999999998</v>
      </c>
      <c r="U1680" s="3" t="e">
        <f ca="1"/>
        <v>#NAME?</v>
      </c>
    </row>
    <row r="1681" spans="3:21" ht="12.5" x14ac:dyDescent="0.25">
      <c r="C1681" s="4">
        <f ca="1">IFERROR(__xludf.DUMMYFUNCTION("""COMPUTED_VALUE"""),42024.9986111111)</f>
        <v>42024.998611111099</v>
      </c>
      <c r="D1681" s="2">
        <f ca="1">IFERROR(__xludf.DUMMYFUNCTION("""COMPUTED_VALUE"""),61.648)</f>
        <v>61.648000000000003</v>
      </c>
      <c r="E1681" s="2">
        <f ca="1">IFERROR(__xludf.DUMMYFUNCTION("""COMPUTED_VALUE"""),67.416)</f>
        <v>67.415999999999997</v>
      </c>
      <c r="F1681" s="2">
        <f ca="1">IFERROR(__xludf.DUMMYFUNCTION("""COMPUTED_VALUE"""),98.74)</f>
        <v>98.74</v>
      </c>
      <c r="G1681" s="2">
        <f ca="1">IFERROR(__xludf.DUMMYFUNCTION("""COMPUTED_VALUE"""),0.51267)</f>
        <v>0.51266999999999996</v>
      </c>
      <c r="H1681" s="2">
        <f ca="1">IFERROR(__xludf.DUMMYFUNCTION("""COMPUTED_VALUE"""),48.845)</f>
        <v>48.844999999999999</v>
      </c>
      <c r="I1681" s="2">
        <f ca="1">IFERROR(__xludf.DUMMYFUNCTION("""COMPUTED_VALUE"""),51.19)</f>
        <v>51.19</v>
      </c>
      <c r="J1681" s="2">
        <f ca="1">IFERROR(__xludf.DUMMYFUNCTION("""COMPUTED_VALUE"""),46.459)</f>
        <v>46.459000000000003</v>
      </c>
      <c r="K1681" s="2">
        <f ca="1">IFERROR(__xludf.DUMMYFUNCTION("""COMPUTED_VALUE"""),67.329)</f>
        <v>67.328999999999994</v>
      </c>
      <c r="M1681" s="2">
        <f ca="1">IFERROR(__xludf.DUMMYFUNCTION("""COMPUTED_VALUE"""),17.217)</f>
        <v>17.216999999999999</v>
      </c>
      <c r="U1681" s="3" t="e">
        <f ca="1"/>
        <v>#NAME?</v>
      </c>
    </row>
    <row r="1682" spans="3:21" ht="12.5" x14ac:dyDescent="0.25">
      <c r="C1682" s="4">
        <f ca="1">IFERROR(__xludf.DUMMYFUNCTION("""COMPUTED_VALUE"""),42025.9986111111)</f>
        <v>42025.998611111099</v>
      </c>
      <c r="D1682" s="2">
        <f ca="1">IFERROR(__xludf.DUMMYFUNCTION("""COMPUTED_VALUE"""),61.553)</f>
        <v>61.552999999999997</v>
      </c>
      <c r="E1682" s="2">
        <f ca="1">IFERROR(__xludf.DUMMYFUNCTION("""COMPUTED_VALUE"""),68.371)</f>
        <v>68.370999999999995</v>
      </c>
      <c r="F1682" s="2">
        <f ca="1">IFERROR(__xludf.DUMMYFUNCTION("""COMPUTED_VALUE"""),98.99)</f>
        <v>98.99</v>
      </c>
      <c r="G1682" s="2">
        <f ca="1">IFERROR(__xludf.DUMMYFUNCTION("""COMPUTED_VALUE"""),0.51481)</f>
        <v>0.51480999999999999</v>
      </c>
      <c r="H1682" s="2">
        <f ca="1">IFERROR(__xludf.DUMMYFUNCTION("""COMPUTED_VALUE"""),48.778)</f>
        <v>48.777999999999999</v>
      </c>
      <c r="I1682" s="2">
        <f ca="1">IFERROR(__xludf.DUMMYFUNCTION("""COMPUTED_VALUE"""),51.648)</f>
        <v>51.648000000000003</v>
      </c>
      <c r="J1682" s="2">
        <f ca="1">IFERROR(__xludf.DUMMYFUNCTION("""COMPUTED_VALUE"""),46.544)</f>
        <v>46.543999999999997</v>
      </c>
      <c r="K1682" s="2">
        <f ca="1">IFERROR(__xludf.DUMMYFUNCTION("""COMPUTED_VALUE"""),66.489)</f>
        <v>66.489000000000004</v>
      </c>
      <c r="M1682" s="2">
        <f ca="1">IFERROR(__xludf.DUMMYFUNCTION("""COMPUTED_VALUE"""),17.218)</f>
        <v>17.218</v>
      </c>
      <c r="U1682" s="3" t="e">
        <f ca="1"/>
        <v>#NAME?</v>
      </c>
    </row>
    <row r="1683" spans="3:21" ht="12.5" x14ac:dyDescent="0.25">
      <c r="C1683" s="4">
        <f ca="1">IFERROR(__xludf.DUMMYFUNCTION("""COMPUTED_VALUE"""),42026.9986111111)</f>
        <v>42026.998611111099</v>
      </c>
      <c r="D1683" s="2">
        <f ca="1">IFERROR(__xludf.DUMMYFUNCTION("""COMPUTED_VALUE"""),61.598)</f>
        <v>61.597999999999999</v>
      </c>
      <c r="E1683" s="2">
        <f ca="1">IFERROR(__xludf.DUMMYFUNCTION("""COMPUTED_VALUE"""),69.215)</f>
        <v>69.215000000000003</v>
      </c>
      <c r="F1683" s="2">
        <f ca="1">IFERROR(__xludf.DUMMYFUNCTION("""COMPUTED_VALUE"""),98.57)</f>
        <v>98.57</v>
      </c>
      <c r="G1683" s="2">
        <f ca="1">IFERROR(__xludf.DUMMYFUNCTION("""COMPUTED_VALUE"""),0.51397)</f>
        <v>0.51397000000000004</v>
      </c>
      <c r="H1683" s="2">
        <f ca="1">IFERROR(__xludf.DUMMYFUNCTION("""COMPUTED_VALUE"""),48.517)</f>
        <v>48.517000000000003</v>
      </c>
      <c r="I1683" s="2">
        <f ca="1">IFERROR(__xludf.DUMMYFUNCTION("""COMPUTED_VALUE"""),51.224)</f>
        <v>51.223999999999997</v>
      </c>
      <c r="J1683" s="2">
        <f ca="1">IFERROR(__xludf.DUMMYFUNCTION("""COMPUTED_VALUE"""),46.83)</f>
        <v>46.83</v>
      </c>
      <c r="K1683" s="2">
        <f ca="1">IFERROR(__xludf.DUMMYFUNCTION("""COMPUTED_VALUE"""),66.532)</f>
        <v>66.531999999999996</v>
      </c>
      <c r="M1683" s="2">
        <f ca="1">IFERROR(__xludf.DUMMYFUNCTION("""COMPUTED_VALUE"""),17.218)</f>
        <v>17.218</v>
      </c>
      <c r="U1683" s="3" t="e">
        <f ca="1"/>
        <v>#NAME?</v>
      </c>
    </row>
    <row r="1684" spans="3:21" ht="12.5" x14ac:dyDescent="0.25">
      <c r="C1684" s="4">
        <f ca="1">IFERROR(__xludf.DUMMYFUNCTION("""COMPUTED_VALUE"""),42027.9986111111)</f>
        <v>42027.998611111099</v>
      </c>
      <c r="D1684" s="2">
        <f ca="1">IFERROR(__xludf.DUMMYFUNCTION("""COMPUTED_VALUE"""),61.433)</f>
        <v>61.433</v>
      </c>
      <c r="E1684" s="2">
        <f ca="1">IFERROR(__xludf.DUMMYFUNCTION("""COMPUTED_VALUE"""),69.19)</f>
        <v>69.19</v>
      </c>
      <c r="F1684" s="2">
        <f ca="1">IFERROR(__xludf.DUMMYFUNCTION("""COMPUTED_VALUE"""),98.44)</f>
        <v>98.44</v>
      </c>
      <c r="G1684" s="2">
        <f ca="1">IFERROR(__xludf.DUMMYFUNCTION("""COMPUTED_VALUE"""),0.50713)</f>
        <v>0.50712999999999997</v>
      </c>
      <c r="H1684" s="2">
        <f ca="1">IFERROR(__xludf.DUMMYFUNCTION("""COMPUTED_VALUE"""),48.783)</f>
        <v>48.783000000000001</v>
      </c>
      <c r="I1684" s="2">
        <f ca="1">IFERROR(__xludf.DUMMYFUNCTION("""COMPUTED_VALUE"""),51.401)</f>
        <v>51.401000000000003</v>
      </c>
      <c r="J1684" s="2">
        <f ca="1">IFERROR(__xludf.DUMMYFUNCTION("""COMPUTED_VALUE"""),46.515)</f>
        <v>46.515000000000001</v>
      </c>
      <c r="K1684" s="2">
        <f ca="1">IFERROR(__xludf.DUMMYFUNCTION("""COMPUTED_VALUE"""),66.789)</f>
        <v>66.789000000000001</v>
      </c>
      <c r="M1684" s="2">
        <f ca="1">IFERROR(__xludf.DUMMYFUNCTION("""COMPUTED_VALUE"""),17.212)</f>
        <v>17.212</v>
      </c>
      <c r="U1684" s="3" t="e">
        <f ca="1"/>
        <v>#NAME?</v>
      </c>
    </row>
    <row r="1685" spans="3:21" ht="12.5" x14ac:dyDescent="0.25">
      <c r="C1685" s="4">
        <f ca="1">IFERROR(__xludf.DUMMYFUNCTION("""COMPUTED_VALUE"""),42028.9986111111)</f>
        <v>42028.998611111099</v>
      </c>
      <c r="D1685" s="2">
        <f ca="1">IFERROR(__xludf.DUMMYFUNCTION("""COMPUTED_VALUE"""),61.311)</f>
        <v>61.311</v>
      </c>
      <c r="E1685" s="2">
        <f ca="1">IFERROR(__xludf.DUMMYFUNCTION("""COMPUTED_VALUE"""),68.819)</f>
        <v>68.819000000000003</v>
      </c>
      <c r="F1685" s="2">
        <f ca="1">IFERROR(__xludf.DUMMYFUNCTION("""COMPUTED_VALUE"""),98.74)</f>
        <v>98.74</v>
      </c>
      <c r="G1685" s="2">
        <f ca="1">IFERROR(__xludf.DUMMYFUNCTION("""COMPUTED_VALUE"""),0.51299)</f>
        <v>0.51298999999999995</v>
      </c>
      <c r="H1685" s="2">
        <f ca="1">IFERROR(__xludf.DUMMYFUNCTION("""COMPUTED_VALUE"""),49.243)</f>
        <v>49.243000000000002</v>
      </c>
      <c r="I1685" s="2">
        <f ca="1">IFERROR(__xludf.DUMMYFUNCTION("""COMPUTED_VALUE"""),52.119)</f>
        <v>52.119</v>
      </c>
      <c r="J1685" s="2">
        <f ca="1">IFERROR(__xludf.DUMMYFUNCTION("""COMPUTED_VALUE"""),46.694)</f>
        <v>46.694000000000003</v>
      </c>
      <c r="K1685" s="2">
        <f ca="1">IFERROR(__xludf.DUMMYFUNCTION("""COMPUTED_VALUE"""),66.871)</f>
        <v>66.870999999999995</v>
      </c>
      <c r="M1685" s="2">
        <f ca="1">IFERROR(__xludf.DUMMYFUNCTION("""COMPUTED_VALUE"""),17.27)</f>
        <v>17.27</v>
      </c>
      <c r="U1685" s="3" t="e">
        <f ca="1"/>
        <v>#NAME?</v>
      </c>
    </row>
    <row r="1686" spans="3:21" ht="12.5" x14ac:dyDescent="0.25">
      <c r="C1686" s="4">
        <f ca="1">IFERROR(__xludf.DUMMYFUNCTION("""COMPUTED_VALUE"""),42029.9986111111)</f>
        <v>42029.998611111099</v>
      </c>
      <c r="D1686" s="2">
        <f ca="1">IFERROR(__xludf.DUMMYFUNCTION("""COMPUTED_VALUE"""),61.311)</f>
        <v>61.311</v>
      </c>
      <c r="E1686" s="2">
        <f ca="1">IFERROR(__xludf.DUMMYFUNCTION("""COMPUTED_VALUE"""),69.062)</f>
        <v>69.061999999999998</v>
      </c>
      <c r="F1686" s="2">
        <f ca="1">IFERROR(__xludf.DUMMYFUNCTION("""COMPUTED_VALUE"""),98.72)</f>
        <v>98.72</v>
      </c>
      <c r="G1686" s="2">
        <f ca="1">IFERROR(__xludf.DUMMYFUNCTION("""COMPUTED_VALUE"""),0.5145)</f>
        <v>0.51449999999999996</v>
      </c>
      <c r="H1686" s="2">
        <f ca="1">IFERROR(__xludf.DUMMYFUNCTION("""COMPUTED_VALUE"""),49.791)</f>
        <v>49.790999999999997</v>
      </c>
      <c r="I1686" s="2">
        <f ca="1">IFERROR(__xludf.DUMMYFUNCTION("""COMPUTED_VALUE"""),52.251)</f>
        <v>52.250999999999998</v>
      </c>
      <c r="J1686" s="2">
        <f ca="1">IFERROR(__xludf.DUMMYFUNCTION("""COMPUTED_VALUE"""),47.165)</f>
        <v>47.164999999999999</v>
      </c>
      <c r="K1686" s="2">
        <f ca="1">IFERROR(__xludf.DUMMYFUNCTION("""COMPUTED_VALUE"""),66.891)</f>
        <v>66.891000000000005</v>
      </c>
      <c r="M1686" s="2">
        <f ca="1">IFERROR(__xludf.DUMMYFUNCTION("""COMPUTED_VALUE"""),17.261)</f>
        <v>17.260999999999999</v>
      </c>
      <c r="U1686" s="3" t="e">
        <f ca="1"/>
        <v>#NAME?</v>
      </c>
    </row>
    <row r="1687" spans="3:21" ht="12.5" x14ac:dyDescent="0.25">
      <c r="C1687" s="4">
        <f ca="1">IFERROR(__xludf.DUMMYFUNCTION("""COMPUTED_VALUE"""),42030.9986111111)</f>
        <v>42030.998611111099</v>
      </c>
      <c r="D1687" s="2">
        <f ca="1">IFERROR(__xludf.DUMMYFUNCTION("""COMPUTED_VALUE"""),61.473)</f>
        <v>61.472999999999999</v>
      </c>
      <c r="E1687" s="2">
        <f ca="1">IFERROR(__xludf.DUMMYFUNCTION("""COMPUTED_VALUE"""),70.431)</f>
        <v>70.430999999999997</v>
      </c>
      <c r="F1687" s="2">
        <f ca="1">IFERROR(__xludf.DUMMYFUNCTION("""COMPUTED_VALUE"""),99.05)</f>
        <v>99.05</v>
      </c>
      <c r="G1687" s="2">
        <f ca="1">IFERROR(__xludf.DUMMYFUNCTION("""COMPUTED_VALUE"""),0.5187)</f>
        <v>0.51870000000000005</v>
      </c>
      <c r="H1687" s="2">
        <f ca="1">IFERROR(__xludf.DUMMYFUNCTION("""COMPUTED_VALUE"""),49.881)</f>
        <v>49.881</v>
      </c>
      <c r="I1687" s="2">
        <f ca="1">IFERROR(__xludf.DUMMYFUNCTION("""COMPUTED_VALUE"""),52.301)</f>
        <v>52.301000000000002</v>
      </c>
      <c r="J1687" s="2">
        <f ca="1">IFERROR(__xludf.DUMMYFUNCTION("""COMPUTED_VALUE"""),47.789)</f>
        <v>47.789000000000001</v>
      </c>
      <c r="K1687" s="2">
        <f ca="1">IFERROR(__xludf.DUMMYFUNCTION("""COMPUTED_VALUE"""),67.115)</f>
        <v>67.114999999999995</v>
      </c>
      <c r="M1687" s="2">
        <f ca="1">IFERROR(__xludf.DUMMYFUNCTION("""COMPUTED_VALUE"""),17.292)</f>
        <v>17.292000000000002</v>
      </c>
      <c r="U1687" s="3" t="e">
        <f ca="1"/>
        <v>#NAME?</v>
      </c>
    </row>
    <row r="1688" spans="3:21" ht="12.5" x14ac:dyDescent="0.25">
      <c r="C1688" s="4">
        <f ca="1">IFERROR(__xludf.DUMMYFUNCTION("""COMPUTED_VALUE"""),42031.9986111111)</f>
        <v>42031.998611111099</v>
      </c>
      <c r="D1688" s="2">
        <f ca="1">IFERROR(__xludf.DUMMYFUNCTION("""COMPUTED_VALUE"""),61.403)</f>
        <v>61.402999999999999</v>
      </c>
      <c r="E1688" s="2">
        <f ca="1">IFERROR(__xludf.DUMMYFUNCTION("""COMPUTED_VALUE"""),71.219)</f>
        <v>71.218999999999994</v>
      </c>
      <c r="F1688" s="2">
        <f ca="1">IFERROR(__xludf.DUMMYFUNCTION("""COMPUTED_VALUE"""),98.943)</f>
        <v>98.942999999999998</v>
      </c>
      <c r="G1688" s="2">
        <f ca="1">IFERROR(__xludf.DUMMYFUNCTION("""COMPUTED_VALUE"""),0.5173)</f>
        <v>0.51729999999999998</v>
      </c>
      <c r="H1688" s="2">
        <f ca="1">IFERROR(__xludf.DUMMYFUNCTION("""COMPUTED_VALUE"""),49.775)</f>
        <v>49.774999999999999</v>
      </c>
      <c r="I1688" s="2">
        <f ca="1">IFERROR(__xludf.DUMMYFUNCTION("""COMPUTED_VALUE"""),52.318)</f>
        <v>52.317999999999998</v>
      </c>
      <c r="J1688" s="2">
        <f ca="1">IFERROR(__xludf.DUMMYFUNCTION("""COMPUTED_VALUE"""),47.778)</f>
        <v>47.777999999999999</v>
      </c>
      <c r="K1688" s="2">
        <f ca="1">IFERROR(__xludf.DUMMYFUNCTION("""COMPUTED_VALUE"""),67.28)</f>
        <v>67.28</v>
      </c>
      <c r="M1688" s="2">
        <f ca="1">IFERROR(__xludf.DUMMYFUNCTION("""COMPUTED_VALUE"""),17.292)</f>
        <v>17.292000000000002</v>
      </c>
      <c r="U1688" s="3" t="e">
        <f ca="1"/>
        <v>#NAME?</v>
      </c>
    </row>
    <row r="1689" spans="3:21" ht="12.5" x14ac:dyDescent="0.25">
      <c r="C1689" s="4">
        <f ca="1">IFERROR(__xludf.DUMMYFUNCTION("""COMPUTED_VALUE"""),42032.9986111111)</f>
        <v>42032.998611111099</v>
      </c>
      <c r="D1689" s="2">
        <f ca="1">IFERROR(__xludf.DUMMYFUNCTION("""COMPUTED_VALUE"""),61.351)</f>
        <v>61.350999999999999</v>
      </c>
      <c r="E1689" s="2">
        <f ca="1">IFERROR(__xludf.DUMMYFUNCTION("""COMPUTED_VALUE"""),71.219)</f>
        <v>71.218999999999994</v>
      </c>
      <c r="F1689" s="2">
        <f ca="1">IFERROR(__xludf.DUMMYFUNCTION("""COMPUTED_VALUE"""),98.8)</f>
        <v>98.8</v>
      </c>
      <c r="G1689" s="2">
        <f ca="1">IFERROR(__xludf.DUMMYFUNCTION("""COMPUTED_VALUE"""),0.51889)</f>
        <v>0.51888999999999996</v>
      </c>
      <c r="H1689" s="2">
        <f ca="1">IFERROR(__xludf.DUMMYFUNCTION("""COMPUTED_VALUE"""),50.344)</f>
        <v>50.344000000000001</v>
      </c>
      <c r="I1689" s="2">
        <f ca="1">IFERROR(__xludf.DUMMYFUNCTION("""COMPUTED_VALUE"""),52.305)</f>
        <v>52.305</v>
      </c>
      <c r="J1689" s="2">
        <f ca="1">IFERROR(__xludf.DUMMYFUNCTION("""COMPUTED_VALUE"""),47.659)</f>
        <v>47.658999999999999</v>
      </c>
      <c r="K1689" s="2">
        <f ca="1">IFERROR(__xludf.DUMMYFUNCTION("""COMPUTED_VALUE"""),67.097)</f>
        <v>67.096999999999994</v>
      </c>
      <c r="M1689" s="2">
        <f ca="1">IFERROR(__xludf.DUMMYFUNCTION("""COMPUTED_VALUE"""),17.313)</f>
        <v>17.312999999999999</v>
      </c>
      <c r="U1689" s="3" t="e">
        <f ca="1"/>
        <v>#NAME?</v>
      </c>
    </row>
    <row r="1690" spans="3:21" ht="12.5" x14ac:dyDescent="0.25">
      <c r="C1690" s="4">
        <f ca="1">IFERROR(__xludf.DUMMYFUNCTION("""COMPUTED_VALUE"""),42033.9986111111)</f>
        <v>42033.998611111099</v>
      </c>
      <c r="D1690" s="2">
        <f ca="1">IFERROR(__xludf.DUMMYFUNCTION("""COMPUTED_VALUE"""),61.796)</f>
        <v>61.795999999999999</v>
      </c>
      <c r="E1690" s="2">
        <f ca="1">IFERROR(__xludf.DUMMYFUNCTION("""COMPUTED_VALUE"""),70.827)</f>
        <v>70.826999999999998</v>
      </c>
      <c r="F1690" s="2">
        <f ca="1">IFERROR(__xludf.DUMMYFUNCTION("""COMPUTED_VALUE"""),98.53)</f>
        <v>98.53</v>
      </c>
      <c r="G1690" s="2">
        <f ca="1">IFERROR(__xludf.DUMMYFUNCTION("""COMPUTED_VALUE"""),0.51836)</f>
        <v>0.51836000000000004</v>
      </c>
      <c r="H1690" s="2">
        <f ca="1">IFERROR(__xludf.DUMMYFUNCTION("""COMPUTED_VALUE"""),50.671)</f>
        <v>50.670999999999999</v>
      </c>
      <c r="I1690" s="2">
        <f ca="1">IFERROR(__xludf.DUMMYFUNCTION("""COMPUTED_VALUE"""),52.719)</f>
        <v>52.719000000000001</v>
      </c>
      <c r="J1690" s="2">
        <f ca="1">IFERROR(__xludf.DUMMYFUNCTION("""COMPUTED_VALUE"""),47.757)</f>
        <v>47.756999999999998</v>
      </c>
      <c r="K1690" s="2">
        <f ca="1">IFERROR(__xludf.DUMMYFUNCTION("""COMPUTED_VALUE"""),66.771)</f>
        <v>66.771000000000001</v>
      </c>
      <c r="M1690" s="2">
        <f ca="1">IFERROR(__xludf.DUMMYFUNCTION("""COMPUTED_VALUE"""),17.313)</f>
        <v>17.312999999999999</v>
      </c>
      <c r="U1690" s="3" t="e">
        <f ca="1"/>
        <v>#NAME?</v>
      </c>
    </row>
    <row r="1691" spans="3:21" ht="12.5" x14ac:dyDescent="0.25">
      <c r="C1691" s="4">
        <f ca="1">IFERROR(__xludf.DUMMYFUNCTION("""COMPUTED_VALUE"""),42034.9986111111)</f>
        <v>42034.998611111099</v>
      </c>
      <c r="D1691" s="2">
        <f ca="1">IFERROR(__xludf.DUMMYFUNCTION("""COMPUTED_VALUE"""),62.013)</f>
        <v>62.012999999999998</v>
      </c>
      <c r="E1691" s="2">
        <f ca="1">IFERROR(__xludf.DUMMYFUNCTION("""COMPUTED_VALUE"""),70.78)</f>
        <v>70.78</v>
      </c>
      <c r="F1691" s="2">
        <f ca="1">IFERROR(__xludf.DUMMYFUNCTION("""COMPUTED_VALUE"""),98.38)</f>
        <v>98.38</v>
      </c>
      <c r="G1691" s="2">
        <f ca="1">IFERROR(__xludf.DUMMYFUNCTION("""COMPUTED_VALUE"""),0.51938)</f>
        <v>0.51937999999999995</v>
      </c>
      <c r="H1691" s="2">
        <f ca="1">IFERROR(__xludf.DUMMYFUNCTION("""COMPUTED_VALUE"""),50.21)</f>
        <v>50.21</v>
      </c>
      <c r="I1691" s="2">
        <f ca="1">IFERROR(__xludf.DUMMYFUNCTION("""COMPUTED_VALUE"""),52.602)</f>
        <v>52.601999999999997</v>
      </c>
      <c r="J1691" s="2">
        <f ca="1">IFERROR(__xludf.DUMMYFUNCTION("""COMPUTED_VALUE"""),47.961)</f>
        <v>47.960999999999999</v>
      </c>
      <c r="K1691" s="2">
        <f ca="1">IFERROR(__xludf.DUMMYFUNCTION("""COMPUTED_VALUE"""),66.521)</f>
        <v>66.521000000000001</v>
      </c>
      <c r="M1691" s="2">
        <f ca="1">IFERROR(__xludf.DUMMYFUNCTION("""COMPUTED_VALUE"""),17.332)</f>
        <v>17.332000000000001</v>
      </c>
      <c r="U1691" s="3" t="e">
        <f ca="1"/>
        <v>#NAME?</v>
      </c>
    </row>
    <row r="1692" spans="3:21" ht="12.5" x14ac:dyDescent="0.25">
      <c r="C1692" s="4">
        <f ca="1">IFERROR(__xludf.DUMMYFUNCTION("""COMPUTED_VALUE"""),42035.9986111111)</f>
        <v>42035.998611111099</v>
      </c>
      <c r="D1692" s="2">
        <f ca="1">IFERROR(__xludf.DUMMYFUNCTION("""COMPUTED_VALUE"""),62.013)</f>
        <v>62.012999999999998</v>
      </c>
      <c r="E1692" s="2">
        <f ca="1">IFERROR(__xludf.DUMMYFUNCTION("""COMPUTED_VALUE"""),72.124)</f>
        <v>72.123999999999995</v>
      </c>
      <c r="F1692" s="2">
        <f ca="1">IFERROR(__xludf.DUMMYFUNCTION("""COMPUTED_VALUE"""),98.226)</f>
        <v>98.225999999999999</v>
      </c>
      <c r="G1692" s="2">
        <f ca="1">IFERROR(__xludf.DUMMYFUNCTION("""COMPUTED_VALUE"""),0.51757)</f>
        <v>0.51756999999999997</v>
      </c>
      <c r="H1692" s="2">
        <f ca="1">IFERROR(__xludf.DUMMYFUNCTION("""COMPUTED_VALUE"""),49.943)</f>
        <v>49.942999999999998</v>
      </c>
      <c r="I1692" s="2">
        <f ca="1">IFERROR(__xludf.DUMMYFUNCTION("""COMPUTED_VALUE"""),52.317)</f>
        <v>52.317</v>
      </c>
      <c r="J1692" s="2">
        <f ca="1">IFERROR(__xludf.DUMMYFUNCTION("""COMPUTED_VALUE"""),47.952)</f>
        <v>47.951999999999998</v>
      </c>
      <c r="K1692" s="2">
        <f ca="1">IFERROR(__xludf.DUMMYFUNCTION("""COMPUTED_VALUE"""),66.541)</f>
        <v>66.540999999999997</v>
      </c>
      <c r="M1692" s="2">
        <f ca="1">IFERROR(__xludf.DUMMYFUNCTION("""COMPUTED_VALUE"""),17.255)</f>
        <v>17.254999999999999</v>
      </c>
      <c r="U1692" s="3" t="e">
        <f ca="1"/>
        <v>#NAME?</v>
      </c>
    </row>
    <row r="1693" spans="3:21" ht="12.5" x14ac:dyDescent="0.25">
      <c r="C1693" s="4">
        <f ca="1">IFERROR(__xludf.DUMMYFUNCTION("""COMPUTED_VALUE"""),42036.9986111111)</f>
        <v>42036.998611111099</v>
      </c>
      <c r="D1693" s="2">
        <f ca="1">IFERROR(__xludf.DUMMYFUNCTION("""COMPUTED_VALUE"""),62.025)</f>
        <v>62.024999999999999</v>
      </c>
      <c r="E1693" s="2">
        <f ca="1">IFERROR(__xludf.DUMMYFUNCTION("""COMPUTED_VALUE"""),71.992)</f>
        <v>71.992000000000004</v>
      </c>
      <c r="F1693" s="2">
        <f ca="1">IFERROR(__xludf.DUMMYFUNCTION("""COMPUTED_VALUE"""),96.989)</f>
        <v>96.989000000000004</v>
      </c>
      <c r="G1693" s="2">
        <f ca="1">IFERROR(__xludf.DUMMYFUNCTION("""COMPUTED_VALUE"""),0.51693)</f>
        <v>0.51693</v>
      </c>
      <c r="H1693" s="2">
        <f ca="1">IFERROR(__xludf.DUMMYFUNCTION("""COMPUTED_VALUE"""),49.808)</f>
        <v>49.808</v>
      </c>
      <c r="I1693" s="2">
        <f ca="1">IFERROR(__xludf.DUMMYFUNCTION("""COMPUTED_VALUE"""),52.533)</f>
        <v>52.533000000000001</v>
      </c>
      <c r="J1693" s="2">
        <f ca="1">IFERROR(__xludf.DUMMYFUNCTION("""COMPUTED_VALUE"""),47.811)</f>
        <v>47.811</v>
      </c>
      <c r="K1693" s="2">
        <f ca="1">IFERROR(__xludf.DUMMYFUNCTION("""COMPUTED_VALUE"""),66.623)</f>
        <v>66.623000000000005</v>
      </c>
      <c r="M1693" s="2">
        <f ca="1">IFERROR(__xludf.DUMMYFUNCTION("""COMPUTED_VALUE"""),17.16)</f>
        <v>17.16</v>
      </c>
      <c r="U1693" s="3" t="e">
        <f ca="1"/>
        <v>#NAME?</v>
      </c>
    </row>
    <row r="1694" spans="3:21" ht="12.5" x14ac:dyDescent="0.25">
      <c r="C1694" s="4">
        <f ca="1">IFERROR(__xludf.DUMMYFUNCTION("""COMPUTED_VALUE"""),42037.9986111111)</f>
        <v>42037.998611111099</v>
      </c>
      <c r="D1694" s="2">
        <f ca="1">IFERROR(__xludf.DUMMYFUNCTION("""COMPUTED_VALUE"""),61.728)</f>
        <v>61.728000000000002</v>
      </c>
      <c r="E1694" s="2">
        <f ca="1">IFERROR(__xludf.DUMMYFUNCTION("""COMPUTED_VALUE"""),71.321)</f>
        <v>71.320999999999998</v>
      </c>
      <c r="F1694" s="2">
        <f ca="1">IFERROR(__xludf.DUMMYFUNCTION("""COMPUTED_VALUE"""),96.919)</f>
        <v>96.918999999999997</v>
      </c>
      <c r="G1694" s="2">
        <f ca="1">IFERROR(__xludf.DUMMYFUNCTION("""COMPUTED_VALUE"""),0.51727)</f>
        <v>0.51727000000000001</v>
      </c>
      <c r="H1694" s="2">
        <f ca="1">IFERROR(__xludf.DUMMYFUNCTION("""COMPUTED_VALUE"""),50.202)</f>
        <v>50.201999999999998</v>
      </c>
      <c r="I1694" s="2">
        <f ca="1">IFERROR(__xludf.DUMMYFUNCTION("""COMPUTED_VALUE"""),52.418)</f>
        <v>52.417999999999999</v>
      </c>
      <c r="J1694" s="2">
        <f ca="1">IFERROR(__xludf.DUMMYFUNCTION("""COMPUTED_VALUE"""),47.692)</f>
        <v>47.692</v>
      </c>
      <c r="K1694" s="2">
        <f ca="1">IFERROR(__xludf.DUMMYFUNCTION("""COMPUTED_VALUE"""),66.26)</f>
        <v>66.260000000000005</v>
      </c>
      <c r="M1694" s="2">
        <f ca="1">IFERROR(__xludf.DUMMYFUNCTION("""COMPUTED_VALUE"""),17.16)</f>
        <v>17.16</v>
      </c>
      <c r="U1694" s="3" t="e">
        <f ca="1"/>
        <v>#NAME?</v>
      </c>
    </row>
    <row r="1695" spans="3:21" ht="12.5" x14ac:dyDescent="0.25">
      <c r="C1695" s="4">
        <f ca="1">IFERROR(__xludf.DUMMYFUNCTION("""COMPUTED_VALUE"""),42038.9986111111)</f>
        <v>42038.998611111099</v>
      </c>
      <c r="D1695" s="2">
        <f ca="1">IFERROR(__xludf.DUMMYFUNCTION("""COMPUTED_VALUE"""),61.614)</f>
        <v>61.613999999999997</v>
      </c>
      <c r="E1695" s="2">
        <f ca="1">IFERROR(__xludf.DUMMYFUNCTION("""COMPUTED_VALUE"""),71.272)</f>
        <v>71.272000000000006</v>
      </c>
      <c r="F1695" s="2">
        <f ca="1">IFERROR(__xludf.DUMMYFUNCTION("""COMPUTED_VALUE"""),96.919)</f>
        <v>96.918999999999997</v>
      </c>
      <c r="G1695" s="2">
        <f ca="1">IFERROR(__xludf.DUMMYFUNCTION("""COMPUTED_VALUE"""),0.51411)</f>
        <v>0.51410999999999996</v>
      </c>
      <c r="H1695" s="2">
        <f ca="1">IFERROR(__xludf.DUMMYFUNCTION("""COMPUTED_VALUE"""),50.599)</f>
        <v>50.598999999999997</v>
      </c>
      <c r="I1695" s="2">
        <f ca="1">IFERROR(__xludf.DUMMYFUNCTION("""COMPUTED_VALUE"""),52.816)</f>
        <v>52.816000000000003</v>
      </c>
      <c r="J1695" s="2">
        <f ca="1">IFERROR(__xludf.DUMMYFUNCTION("""COMPUTED_VALUE"""),47.5)</f>
        <v>47.5</v>
      </c>
      <c r="K1695" s="2">
        <f ca="1">IFERROR(__xludf.DUMMYFUNCTION("""COMPUTED_VALUE"""),65.823)</f>
        <v>65.822999999999993</v>
      </c>
      <c r="M1695" s="2">
        <f ca="1">IFERROR(__xludf.DUMMYFUNCTION("""COMPUTED_VALUE"""),17.227)</f>
        <v>17.227</v>
      </c>
      <c r="U1695" s="3" t="e">
        <f ca="1"/>
        <v>#NAME?</v>
      </c>
    </row>
    <row r="1696" spans="3:21" ht="12.5" x14ac:dyDescent="0.25">
      <c r="C1696" s="4">
        <f ca="1">IFERROR(__xludf.DUMMYFUNCTION("""COMPUTED_VALUE"""),42039.9986111111)</f>
        <v>42039.998611111099</v>
      </c>
      <c r="D1696" s="2">
        <f ca="1">IFERROR(__xludf.DUMMYFUNCTION("""COMPUTED_VALUE"""),61.86)</f>
        <v>61.86</v>
      </c>
      <c r="E1696" s="2">
        <f ca="1">IFERROR(__xludf.DUMMYFUNCTION("""COMPUTED_VALUE"""),71.976)</f>
        <v>71.975999999999999</v>
      </c>
      <c r="F1696" s="2">
        <f ca="1">IFERROR(__xludf.DUMMYFUNCTION("""COMPUTED_VALUE"""),96.547)</f>
        <v>96.546999999999997</v>
      </c>
      <c r="G1696" s="2">
        <f ca="1">IFERROR(__xludf.DUMMYFUNCTION("""COMPUTED_VALUE"""),0.51291)</f>
        <v>0.51290999999999998</v>
      </c>
      <c r="H1696" s="2">
        <f ca="1">IFERROR(__xludf.DUMMYFUNCTION("""COMPUTED_VALUE"""),50.577)</f>
        <v>50.576999999999998</v>
      </c>
      <c r="I1696" s="2">
        <f ca="1">IFERROR(__xludf.DUMMYFUNCTION("""COMPUTED_VALUE"""),52.869)</f>
        <v>52.869</v>
      </c>
      <c r="J1696" s="2">
        <f ca="1">IFERROR(__xludf.DUMMYFUNCTION("""COMPUTED_VALUE"""),48.043)</f>
        <v>48.042999999999999</v>
      </c>
      <c r="K1696" s="2">
        <f ca="1">IFERROR(__xludf.DUMMYFUNCTION("""COMPUTED_VALUE"""),65.411)</f>
        <v>65.411000000000001</v>
      </c>
      <c r="M1696" s="2">
        <f ca="1">IFERROR(__xludf.DUMMYFUNCTION("""COMPUTED_VALUE"""),17.227)</f>
        <v>17.227</v>
      </c>
      <c r="U1696" s="3" t="e">
        <f ca="1"/>
        <v>#NAME?</v>
      </c>
    </row>
    <row r="1697" spans="3:21" ht="12.5" x14ac:dyDescent="0.25">
      <c r="C1697" s="4">
        <f ca="1">IFERROR(__xludf.DUMMYFUNCTION("""COMPUTED_VALUE"""),42040.9986111111)</f>
        <v>42040.998611111099</v>
      </c>
      <c r="D1697" s="2">
        <f ca="1">IFERROR(__xludf.DUMMYFUNCTION("""COMPUTED_VALUE"""),61.733)</f>
        <v>61.732999999999997</v>
      </c>
      <c r="E1697" s="2">
        <f ca="1">IFERROR(__xludf.DUMMYFUNCTION("""COMPUTED_VALUE"""),72.609)</f>
        <v>72.608999999999995</v>
      </c>
      <c r="F1697" s="2">
        <f ca="1">IFERROR(__xludf.DUMMYFUNCTION("""COMPUTED_VALUE"""),96.125)</f>
        <v>96.125</v>
      </c>
      <c r="G1697" s="2">
        <f ca="1">IFERROR(__xludf.DUMMYFUNCTION("""COMPUTED_VALUE"""),0.51266)</f>
        <v>0.51266</v>
      </c>
      <c r="H1697" s="2">
        <f ca="1">IFERROR(__xludf.DUMMYFUNCTION("""COMPUTED_VALUE"""),50.517)</f>
        <v>50.517000000000003</v>
      </c>
      <c r="I1697" s="2">
        <f ca="1">IFERROR(__xludf.DUMMYFUNCTION("""COMPUTED_VALUE"""),52.69)</f>
        <v>52.69</v>
      </c>
      <c r="J1697" s="2">
        <f ca="1">IFERROR(__xludf.DUMMYFUNCTION("""COMPUTED_VALUE"""),48.041)</f>
        <v>48.040999999999997</v>
      </c>
      <c r="K1697" s="2">
        <f ca="1">IFERROR(__xludf.DUMMYFUNCTION("""COMPUTED_VALUE"""),66.049)</f>
        <v>66.049000000000007</v>
      </c>
      <c r="M1697" s="2">
        <f ca="1">IFERROR(__xludf.DUMMYFUNCTION("""COMPUTED_VALUE"""),17.227)</f>
        <v>17.227</v>
      </c>
      <c r="U1697" s="3" t="e">
        <f ca="1"/>
        <v>#NAME?</v>
      </c>
    </row>
    <row r="1698" spans="3:21" ht="12.5" x14ac:dyDescent="0.25">
      <c r="C1698" s="4">
        <f ca="1">IFERROR(__xludf.DUMMYFUNCTION("""COMPUTED_VALUE"""),42041.9986111111)</f>
        <v>42041.998611111099</v>
      </c>
      <c r="D1698" s="2">
        <f ca="1">IFERROR(__xludf.DUMMYFUNCTION("""COMPUTED_VALUE"""),61.963)</f>
        <v>61.963000000000001</v>
      </c>
      <c r="E1698" s="2">
        <f ca="1">IFERROR(__xludf.DUMMYFUNCTION("""COMPUTED_VALUE"""),72.23)</f>
        <v>72.23</v>
      </c>
      <c r="F1698" s="2">
        <f ca="1">IFERROR(__xludf.DUMMYFUNCTION("""COMPUTED_VALUE"""),95.491)</f>
        <v>95.491</v>
      </c>
      <c r="G1698" s="2">
        <f ca="1">IFERROR(__xludf.DUMMYFUNCTION("""COMPUTED_VALUE"""),0.51321)</f>
        <v>0.51321000000000006</v>
      </c>
      <c r="H1698" s="2">
        <f ca="1">IFERROR(__xludf.DUMMYFUNCTION("""COMPUTED_VALUE"""),50.516)</f>
        <v>50.515999999999998</v>
      </c>
      <c r="I1698" s="2">
        <f ca="1">IFERROR(__xludf.DUMMYFUNCTION("""COMPUTED_VALUE"""),52.873)</f>
        <v>52.872999999999998</v>
      </c>
      <c r="J1698" s="2">
        <f ca="1">IFERROR(__xludf.DUMMYFUNCTION("""COMPUTED_VALUE"""),47.931)</f>
        <v>47.930999999999997</v>
      </c>
      <c r="K1698" s="2">
        <f ca="1">IFERROR(__xludf.DUMMYFUNCTION("""COMPUTED_VALUE"""),65.315)</f>
        <v>65.314999999999998</v>
      </c>
      <c r="M1698" s="2">
        <f ca="1">IFERROR(__xludf.DUMMYFUNCTION("""COMPUTED_VALUE"""),17.244)</f>
        <v>17.244</v>
      </c>
      <c r="U1698" s="3" t="e">
        <f ca="1"/>
        <v>#NAME?</v>
      </c>
    </row>
    <row r="1699" spans="3:21" ht="12.5" x14ac:dyDescent="0.25">
      <c r="C1699" s="4">
        <f ca="1">IFERROR(__xludf.DUMMYFUNCTION("""COMPUTED_VALUE"""),42042.9986111111)</f>
        <v>42042.998611111099</v>
      </c>
      <c r="D1699" s="2">
        <f ca="1">IFERROR(__xludf.DUMMYFUNCTION("""COMPUTED_VALUE"""),62.039)</f>
        <v>62.039000000000001</v>
      </c>
      <c r="E1699" s="2">
        <f ca="1">IFERROR(__xludf.DUMMYFUNCTION("""COMPUTED_VALUE"""),72.556)</f>
        <v>72.555999999999997</v>
      </c>
      <c r="F1699" s="2">
        <f ca="1">IFERROR(__xludf.DUMMYFUNCTION("""COMPUTED_VALUE"""),94.46)</f>
        <v>94.46</v>
      </c>
      <c r="G1699" s="2">
        <f ca="1">IFERROR(__xludf.DUMMYFUNCTION("""COMPUTED_VALUE"""),0.51188)</f>
        <v>0.51188</v>
      </c>
      <c r="H1699" s="2">
        <f ca="1">IFERROR(__xludf.DUMMYFUNCTION("""COMPUTED_VALUE"""),51.259)</f>
        <v>51.259</v>
      </c>
      <c r="I1699" s="2">
        <f ca="1">IFERROR(__xludf.DUMMYFUNCTION("""COMPUTED_VALUE"""),53.436)</f>
        <v>53.436</v>
      </c>
      <c r="J1699" s="2">
        <f ca="1">IFERROR(__xludf.DUMMYFUNCTION("""COMPUTED_VALUE"""),47.83)</f>
        <v>47.83</v>
      </c>
      <c r="K1699" s="2">
        <f ca="1">IFERROR(__xludf.DUMMYFUNCTION("""COMPUTED_VALUE"""),65.44)</f>
        <v>65.44</v>
      </c>
      <c r="M1699" s="2">
        <f ca="1">IFERROR(__xludf.DUMMYFUNCTION("""COMPUTED_VALUE"""),17.306)</f>
        <v>17.306000000000001</v>
      </c>
      <c r="U1699" s="3" t="e">
        <f ca="1"/>
        <v>#NAME?</v>
      </c>
    </row>
    <row r="1700" spans="3:21" ht="12.5" x14ac:dyDescent="0.25">
      <c r="C1700" s="4">
        <f ca="1">IFERROR(__xludf.DUMMYFUNCTION("""COMPUTED_VALUE"""),42043.9986111111)</f>
        <v>42043.998611111099</v>
      </c>
      <c r="D1700" s="2">
        <f ca="1">IFERROR(__xludf.DUMMYFUNCTION("""COMPUTED_VALUE"""),62.039)</f>
        <v>62.039000000000001</v>
      </c>
      <c r="E1700" s="2">
        <f ca="1">IFERROR(__xludf.DUMMYFUNCTION("""COMPUTED_VALUE"""),72.102)</f>
        <v>72.102000000000004</v>
      </c>
      <c r="F1700" s="2">
        <f ca="1">IFERROR(__xludf.DUMMYFUNCTION("""COMPUTED_VALUE"""),94.514)</f>
        <v>94.513999999999996</v>
      </c>
      <c r="G1700" s="2">
        <f ca="1">IFERROR(__xludf.DUMMYFUNCTION("""COMPUTED_VALUE"""),0.51904)</f>
        <v>0.51903999999999995</v>
      </c>
      <c r="H1700" s="2">
        <f ca="1">IFERROR(__xludf.DUMMYFUNCTION("""COMPUTED_VALUE"""),51.904)</f>
        <v>51.904000000000003</v>
      </c>
      <c r="I1700" s="2">
        <f ca="1">IFERROR(__xludf.DUMMYFUNCTION("""COMPUTED_VALUE"""),53.514)</f>
        <v>53.514000000000003</v>
      </c>
      <c r="J1700" s="2">
        <f ca="1">IFERROR(__xludf.DUMMYFUNCTION("""COMPUTED_VALUE"""),48.069)</f>
        <v>48.069000000000003</v>
      </c>
      <c r="K1700" s="2">
        <f ca="1">IFERROR(__xludf.DUMMYFUNCTION("""COMPUTED_VALUE"""),65.142)</f>
        <v>65.141999999999996</v>
      </c>
      <c r="M1700" s="2">
        <f ca="1">IFERROR(__xludf.DUMMYFUNCTION("""COMPUTED_VALUE"""),17.226)</f>
        <v>17.225999999999999</v>
      </c>
      <c r="U1700" s="3" t="e">
        <f ca="1"/>
        <v>#NAME?</v>
      </c>
    </row>
    <row r="1701" spans="3:21" ht="12.5" x14ac:dyDescent="0.25">
      <c r="C1701" s="4">
        <f ca="1">IFERROR(__xludf.DUMMYFUNCTION("""COMPUTED_VALUE"""),42044.9986111111)</f>
        <v>42044.998611111099</v>
      </c>
      <c r="D1701" s="2">
        <f ca="1">IFERROR(__xludf.DUMMYFUNCTION("""COMPUTED_VALUE"""),62.13)</f>
        <v>62.13</v>
      </c>
      <c r="E1701" s="2">
        <f ca="1">IFERROR(__xludf.DUMMYFUNCTION("""COMPUTED_VALUE"""),71.013)</f>
        <v>71.013000000000005</v>
      </c>
      <c r="F1701" s="2">
        <f ca="1">IFERROR(__xludf.DUMMYFUNCTION("""COMPUTED_VALUE"""),94.409)</f>
        <v>94.409000000000006</v>
      </c>
      <c r="G1701" s="2">
        <f ca="1">IFERROR(__xludf.DUMMYFUNCTION("""COMPUTED_VALUE"""),0.51892)</f>
        <v>0.51892000000000005</v>
      </c>
      <c r="H1701" s="2">
        <f ca="1">IFERROR(__xludf.DUMMYFUNCTION("""COMPUTED_VALUE"""),51.217)</f>
        <v>51.216999999999999</v>
      </c>
      <c r="I1701" s="2">
        <f ca="1">IFERROR(__xludf.DUMMYFUNCTION("""COMPUTED_VALUE"""),52.853)</f>
        <v>52.853000000000002</v>
      </c>
      <c r="J1701" s="2">
        <f ca="1">IFERROR(__xludf.DUMMYFUNCTION("""COMPUTED_VALUE"""),48.255)</f>
        <v>48.255000000000003</v>
      </c>
      <c r="K1701" s="2">
        <f ca="1">IFERROR(__xludf.DUMMYFUNCTION("""COMPUTED_VALUE"""),64.745)</f>
        <v>64.745000000000005</v>
      </c>
      <c r="M1701" s="2">
        <f ca="1">IFERROR(__xludf.DUMMYFUNCTION("""COMPUTED_VALUE"""),17.061)</f>
        <v>17.061</v>
      </c>
      <c r="U1701" s="3" t="e">
        <f ca="1"/>
        <v>#NAME?</v>
      </c>
    </row>
    <row r="1702" spans="3:21" ht="12.5" x14ac:dyDescent="0.25">
      <c r="C1702" s="4">
        <f ca="1">IFERROR(__xludf.DUMMYFUNCTION("""COMPUTED_VALUE"""),42045.9986111111)</f>
        <v>42045.998611111099</v>
      </c>
      <c r="D1702" s="2">
        <f ca="1">IFERROR(__xludf.DUMMYFUNCTION("""COMPUTED_VALUE"""),62.342)</f>
        <v>62.341999999999999</v>
      </c>
      <c r="E1702" s="2">
        <f ca="1">IFERROR(__xludf.DUMMYFUNCTION("""COMPUTED_VALUE"""),70.549)</f>
        <v>70.549000000000007</v>
      </c>
      <c r="F1702" s="2">
        <f ca="1">IFERROR(__xludf.DUMMYFUNCTION("""COMPUTED_VALUE"""),94.409)</f>
        <v>94.409000000000006</v>
      </c>
      <c r="G1702" s="2">
        <f ca="1">IFERROR(__xludf.DUMMYFUNCTION("""COMPUTED_VALUE"""),0.51499)</f>
        <v>0.51498999999999995</v>
      </c>
      <c r="H1702" s="2">
        <f ca="1">IFERROR(__xludf.DUMMYFUNCTION("""COMPUTED_VALUE"""),50.923)</f>
        <v>50.923000000000002</v>
      </c>
      <c r="I1702" s="2">
        <f ca="1">IFERROR(__xludf.DUMMYFUNCTION("""COMPUTED_VALUE"""),52.751)</f>
        <v>52.750999999999998</v>
      </c>
      <c r="J1702" s="2">
        <f ca="1">IFERROR(__xludf.DUMMYFUNCTION("""COMPUTED_VALUE"""),47.995)</f>
        <v>47.994999999999997</v>
      </c>
      <c r="K1702" s="2">
        <f ca="1">IFERROR(__xludf.DUMMYFUNCTION("""COMPUTED_VALUE"""),64.617)</f>
        <v>64.617000000000004</v>
      </c>
      <c r="M1702" s="2">
        <f ca="1">IFERROR(__xludf.DUMMYFUNCTION("""COMPUTED_VALUE"""),16.974)</f>
        <v>16.974</v>
      </c>
      <c r="U1702" s="3" t="e">
        <f ca="1"/>
        <v>#NAME?</v>
      </c>
    </row>
    <row r="1703" spans="3:21" ht="12.5" x14ac:dyDescent="0.25">
      <c r="C1703" s="4">
        <f ca="1">IFERROR(__xludf.DUMMYFUNCTION("""COMPUTED_VALUE"""),42046.9986111111)</f>
        <v>42046.998611111099</v>
      </c>
      <c r="D1703" s="2">
        <f ca="1">IFERROR(__xludf.DUMMYFUNCTION("""COMPUTED_VALUE"""),62.382)</f>
        <v>62.381999999999998</v>
      </c>
      <c r="E1703" s="2">
        <f ca="1">IFERROR(__xludf.DUMMYFUNCTION("""COMPUTED_VALUE"""),70.627)</f>
        <v>70.626999999999995</v>
      </c>
      <c r="F1703" s="2">
        <f ca="1">IFERROR(__xludf.DUMMYFUNCTION("""COMPUTED_VALUE"""),94.06)</f>
        <v>94.06</v>
      </c>
      <c r="G1703" s="2">
        <f ca="1">IFERROR(__xludf.DUMMYFUNCTION("""COMPUTED_VALUE"""),0.51441)</f>
        <v>0.51441000000000003</v>
      </c>
      <c r="H1703" s="2">
        <f ca="1">IFERROR(__xludf.DUMMYFUNCTION("""COMPUTED_VALUE"""),50.894)</f>
        <v>50.893999999999998</v>
      </c>
      <c r="I1703" s="2">
        <f ca="1">IFERROR(__xludf.DUMMYFUNCTION("""COMPUTED_VALUE"""),52.411)</f>
        <v>52.411000000000001</v>
      </c>
      <c r="J1703" s="2">
        <f ca="1">IFERROR(__xludf.DUMMYFUNCTION("""COMPUTED_VALUE"""),47.969)</f>
        <v>47.969000000000001</v>
      </c>
      <c r="K1703" s="2">
        <f ca="1">IFERROR(__xludf.DUMMYFUNCTION("""COMPUTED_VALUE"""),64.498)</f>
        <v>64.498000000000005</v>
      </c>
      <c r="M1703" s="2">
        <f ca="1">IFERROR(__xludf.DUMMYFUNCTION("""COMPUTED_VALUE"""),16.974)</f>
        <v>16.974</v>
      </c>
      <c r="U1703" s="3" t="e">
        <f ca="1"/>
        <v>#NAME?</v>
      </c>
    </row>
    <row r="1704" spans="3:21" ht="12.5" x14ac:dyDescent="0.25">
      <c r="C1704" s="4">
        <f ca="1">IFERROR(__xludf.DUMMYFUNCTION("""COMPUTED_VALUE"""),42047.9986111111)</f>
        <v>42047.998611111099</v>
      </c>
      <c r="D1704" s="2">
        <f ca="1">IFERROR(__xludf.DUMMYFUNCTION("""COMPUTED_VALUE"""),62.17)</f>
        <v>62.17</v>
      </c>
      <c r="E1704" s="2">
        <f ca="1">IFERROR(__xludf.DUMMYFUNCTION("""COMPUTED_VALUE"""),69.87)</f>
        <v>69.87</v>
      </c>
      <c r="F1704" s="2">
        <f ca="1">IFERROR(__xludf.DUMMYFUNCTION("""COMPUTED_VALUE"""),93.914)</f>
        <v>93.914000000000001</v>
      </c>
      <c r="G1704" s="2">
        <f ca="1">IFERROR(__xludf.DUMMYFUNCTION("""COMPUTED_VALUE"""),0.51573)</f>
        <v>0.51573000000000002</v>
      </c>
      <c r="H1704" s="2">
        <f ca="1">IFERROR(__xludf.DUMMYFUNCTION("""COMPUTED_VALUE"""),50.471)</f>
        <v>50.470999999999997</v>
      </c>
      <c r="I1704" s="2">
        <f ca="1">IFERROR(__xludf.DUMMYFUNCTION("""COMPUTED_VALUE"""),52.101)</f>
        <v>52.100999999999999</v>
      </c>
      <c r="J1704" s="2">
        <f ca="1">IFERROR(__xludf.DUMMYFUNCTION("""COMPUTED_VALUE"""),47.943)</f>
        <v>47.942999999999998</v>
      </c>
      <c r="K1704" s="2">
        <f ca="1">IFERROR(__xludf.DUMMYFUNCTION("""COMPUTED_VALUE"""),64.256)</f>
        <v>64.256</v>
      </c>
      <c r="M1704" s="2">
        <f ca="1">IFERROR(__xludf.DUMMYFUNCTION("""COMPUTED_VALUE"""),16.974)</f>
        <v>16.974</v>
      </c>
      <c r="U1704" s="3" t="e">
        <f ca="1"/>
        <v>#NAME?</v>
      </c>
    </row>
    <row r="1705" spans="3:21" ht="12.5" x14ac:dyDescent="0.25">
      <c r="C1705" s="4">
        <f ca="1">IFERROR(__xludf.DUMMYFUNCTION("""COMPUTED_VALUE"""),42048.9986111111)</f>
        <v>42048.998611111099</v>
      </c>
      <c r="D1705" s="2">
        <f ca="1">IFERROR(__xludf.DUMMYFUNCTION("""COMPUTED_VALUE"""),62.05)</f>
        <v>62.05</v>
      </c>
      <c r="E1705" s="2">
        <f ca="1">IFERROR(__xludf.DUMMYFUNCTION("""COMPUTED_VALUE"""),69.666)</f>
        <v>69.665999999999997</v>
      </c>
      <c r="F1705" s="2">
        <f ca="1">IFERROR(__xludf.DUMMYFUNCTION("""COMPUTED_VALUE"""),94.483)</f>
        <v>94.483000000000004</v>
      </c>
      <c r="G1705" s="2">
        <f ca="1">IFERROR(__xludf.DUMMYFUNCTION("""COMPUTED_VALUE"""),0.5162)</f>
        <v>0.51619999999999999</v>
      </c>
      <c r="H1705" s="2">
        <f ca="1">IFERROR(__xludf.DUMMYFUNCTION("""COMPUTED_VALUE"""),50.068)</f>
        <v>50.067999999999998</v>
      </c>
      <c r="I1705" s="2">
        <f ca="1">IFERROR(__xludf.DUMMYFUNCTION("""COMPUTED_VALUE"""),52.065)</f>
        <v>52.064999999999998</v>
      </c>
      <c r="J1705" s="2">
        <f ca="1">IFERROR(__xludf.DUMMYFUNCTION("""COMPUTED_VALUE"""),47.725)</f>
        <v>47.725000000000001</v>
      </c>
      <c r="K1705" s="2">
        <f ca="1">IFERROR(__xludf.DUMMYFUNCTION("""COMPUTED_VALUE"""),64.588)</f>
        <v>64.587999999999994</v>
      </c>
      <c r="M1705" s="2">
        <f ca="1">IFERROR(__xludf.DUMMYFUNCTION("""COMPUTED_VALUE"""),16.898)</f>
        <v>16.898</v>
      </c>
      <c r="U1705" s="3" t="e">
        <f ca="1"/>
        <v>#NAME?</v>
      </c>
    </row>
    <row r="1706" spans="3:21" ht="12.5" x14ac:dyDescent="0.25">
      <c r="C1706" s="4">
        <f ca="1">IFERROR(__xludf.DUMMYFUNCTION("""COMPUTED_VALUE"""),42049.9986111111)</f>
        <v>42049.998611111099</v>
      </c>
      <c r="D1706" s="2">
        <f ca="1">IFERROR(__xludf.DUMMYFUNCTION("""COMPUTED_VALUE"""),62.06)</f>
        <v>62.06</v>
      </c>
      <c r="E1706" s="2">
        <f ca="1">IFERROR(__xludf.DUMMYFUNCTION("""COMPUTED_VALUE"""),69.572)</f>
        <v>69.572000000000003</v>
      </c>
      <c r="F1706" s="2">
        <f ca="1">IFERROR(__xludf.DUMMYFUNCTION("""COMPUTED_VALUE"""),94.111)</f>
        <v>94.111000000000004</v>
      </c>
      <c r="G1706" s="2">
        <f ca="1">IFERROR(__xludf.DUMMYFUNCTION("""COMPUTED_VALUE"""),0.5179)</f>
        <v>0.51790000000000003</v>
      </c>
      <c r="H1706" s="2">
        <f ca="1">IFERROR(__xludf.DUMMYFUNCTION("""COMPUTED_VALUE"""),50.22)</f>
        <v>50.22</v>
      </c>
      <c r="I1706" s="2">
        <f ca="1">IFERROR(__xludf.DUMMYFUNCTION("""COMPUTED_VALUE"""),52.111)</f>
        <v>52.110999999999997</v>
      </c>
      <c r="J1706" s="2">
        <f ca="1">IFERROR(__xludf.DUMMYFUNCTION("""COMPUTED_VALUE"""),47.556)</f>
        <v>47.555999999999997</v>
      </c>
      <c r="K1706" s="2">
        <f ca="1">IFERROR(__xludf.DUMMYFUNCTION("""COMPUTED_VALUE"""),64.059)</f>
        <v>64.058999999999997</v>
      </c>
      <c r="M1706" s="2">
        <f ca="1">IFERROR(__xludf.DUMMYFUNCTION("""COMPUTED_VALUE"""),16.872)</f>
        <v>16.872</v>
      </c>
      <c r="U1706" s="3" t="e">
        <f ca="1"/>
        <v>#NAME?</v>
      </c>
    </row>
    <row r="1707" spans="3:21" ht="12.5" x14ac:dyDescent="0.25">
      <c r="C1707" s="4">
        <f ca="1">IFERROR(__xludf.DUMMYFUNCTION("""COMPUTED_VALUE"""),42050.9986111111)</f>
        <v>42050.998611111099</v>
      </c>
      <c r="D1707" s="2">
        <f ca="1">IFERROR(__xludf.DUMMYFUNCTION("""COMPUTED_VALUE"""),62.069)</f>
        <v>62.069000000000003</v>
      </c>
      <c r="E1707" s="2">
        <f ca="1">IFERROR(__xludf.DUMMYFUNCTION("""COMPUTED_VALUE"""),69.535)</f>
        <v>69.534999999999997</v>
      </c>
      <c r="F1707" s="2">
        <f ca="1">IFERROR(__xludf.DUMMYFUNCTION("""COMPUTED_VALUE"""),93.865)</f>
        <v>93.864999999999995</v>
      </c>
      <c r="G1707" s="2">
        <f ca="1">IFERROR(__xludf.DUMMYFUNCTION("""COMPUTED_VALUE"""),0.5255)</f>
        <v>0.52549999999999997</v>
      </c>
      <c r="H1707" s="2">
        <f ca="1">IFERROR(__xludf.DUMMYFUNCTION("""COMPUTED_VALUE"""),49.795)</f>
        <v>49.795000000000002</v>
      </c>
      <c r="I1707" s="2">
        <f ca="1">IFERROR(__xludf.DUMMYFUNCTION("""COMPUTED_VALUE"""),51.668)</f>
        <v>51.667999999999999</v>
      </c>
      <c r="J1707" s="2">
        <f ca="1">IFERROR(__xludf.DUMMYFUNCTION("""COMPUTED_VALUE"""),47.599)</f>
        <v>47.598999999999997</v>
      </c>
      <c r="K1707" s="2">
        <f ca="1">IFERROR(__xludf.DUMMYFUNCTION("""COMPUTED_VALUE"""),63.259)</f>
        <v>63.259</v>
      </c>
      <c r="M1707" s="2">
        <f ca="1">IFERROR(__xludf.DUMMYFUNCTION("""COMPUTED_VALUE"""),16.903)</f>
        <v>16.902999999999999</v>
      </c>
      <c r="U1707" s="3" t="e">
        <f ca="1"/>
        <v>#NAME?</v>
      </c>
    </row>
    <row r="1708" spans="3:21" ht="12.5" x14ac:dyDescent="0.25">
      <c r="C1708" s="4">
        <f ca="1">IFERROR(__xludf.DUMMYFUNCTION("""COMPUTED_VALUE"""),42051.9986111111)</f>
        <v>42051.998611111099</v>
      </c>
      <c r="D1708" s="2">
        <f ca="1">IFERROR(__xludf.DUMMYFUNCTION("""COMPUTED_VALUE"""),62.186)</f>
        <v>62.186</v>
      </c>
      <c r="E1708" s="2">
        <f ca="1">IFERROR(__xludf.DUMMYFUNCTION("""COMPUTED_VALUE"""),69.883)</f>
        <v>69.882999999999996</v>
      </c>
      <c r="F1708" s="2">
        <f ca="1">IFERROR(__xludf.DUMMYFUNCTION("""COMPUTED_VALUE"""),93.409)</f>
        <v>93.409000000000006</v>
      </c>
      <c r="G1708" s="2">
        <f ca="1">IFERROR(__xludf.DUMMYFUNCTION("""COMPUTED_VALUE"""),0.52025)</f>
        <v>0.52024999999999999</v>
      </c>
      <c r="H1708" s="2">
        <f ca="1">IFERROR(__xludf.DUMMYFUNCTION("""COMPUTED_VALUE"""),49.701)</f>
        <v>49.701000000000001</v>
      </c>
      <c r="I1708" s="2">
        <f ca="1">IFERROR(__xludf.DUMMYFUNCTION("""COMPUTED_VALUE"""),51.559)</f>
        <v>51.558999999999997</v>
      </c>
      <c r="J1708" s="2">
        <f ca="1">IFERROR(__xludf.DUMMYFUNCTION("""COMPUTED_VALUE"""),47.461)</f>
        <v>47.460999999999999</v>
      </c>
      <c r="K1708" s="2">
        <f ca="1">IFERROR(__xludf.DUMMYFUNCTION("""COMPUTED_VALUE"""),63.415)</f>
        <v>63.414999999999999</v>
      </c>
      <c r="M1708" s="2">
        <f ca="1">IFERROR(__xludf.DUMMYFUNCTION("""COMPUTED_VALUE"""),16.895)</f>
        <v>16.895</v>
      </c>
      <c r="U1708" s="3" t="e">
        <f ca="1"/>
        <v>#NAME?</v>
      </c>
    </row>
    <row r="1709" spans="3:21" ht="12.5" x14ac:dyDescent="0.25">
      <c r="C1709" s="4">
        <f ca="1">IFERROR(__xludf.DUMMYFUNCTION("""COMPUTED_VALUE"""),42052.9986111111)</f>
        <v>42052.998611111099</v>
      </c>
      <c r="D1709" s="2">
        <f ca="1">IFERROR(__xludf.DUMMYFUNCTION("""COMPUTED_VALUE"""),62.112)</f>
        <v>62.112000000000002</v>
      </c>
      <c r="E1709" s="2">
        <f ca="1">IFERROR(__xludf.DUMMYFUNCTION("""COMPUTED_VALUE"""),69.961)</f>
        <v>69.960999999999999</v>
      </c>
      <c r="F1709" s="2">
        <f ca="1">IFERROR(__xludf.DUMMYFUNCTION("""COMPUTED_VALUE"""),93.409)</f>
        <v>93.409000000000006</v>
      </c>
      <c r="G1709" s="2">
        <f ca="1">IFERROR(__xludf.DUMMYFUNCTION("""COMPUTED_VALUE"""),0.51584)</f>
        <v>0.51583999999999997</v>
      </c>
      <c r="H1709" s="2">
        <f ca="1">IFERROR(__xludf.DUMMYFUNCTION("""COMPUTED_VALUE"""),49.486)</f>
        <v>49.485999999999997</v>
      </c>
      <c r="I1709" s="2">
        <f ca="1">IFERROR(__xludf.DUMMYFUNCTION("""COMPUTED_VALUE"""),51.436)</f>
        <v>51.436</v>
      </c>
      <c r="J1709" s="2">
        <f ca="1">IFERROR(__xludf.DUMMYFUNCTION("""COMPUTED_VALUE"""),47.318)</f>
        <v>47.317999999999998</v>
      </c>
      <c r="K1709" s="2">
        <f ca="1">IFERROR(__xludf.DUMMYFUNCTION("""COMPUTED_VALUE"""),62.751)</f>
        <v>62.750999999999998</v>
      </c>
      <c r="M1709" s="2">
        <f ca="1">IFERROR(__xludf.DUMMYFUNCTION("""COMPUTED_VALUE"""),16.842)</f>
        <v>16.841999999999999</v>
      </c>
      <c r="U1709" s="3" t="e">
        <f ca="1"/>
        <v>#NAME?</v>
      </c>
    </row>
    <row r="1710" spans="3:21" ht="12.5" x14ac:dyDescent="0.25">
      <c r="C1710" s="4">
        <f ca="1">IFERROR(__xludf.DUMMYFUNCTION("""COMPUTED_VALUE"""),42053.9986111111)</f>
        <v>42053.998611111099</v>
      </c>
      <c r="D1710" s="2">
        <f ca="1">IFERROR(__xludf.DUMMYFUNCTION("""COMPUTED_VALUE"""),62.074)</f>
        <v>62.073999999999998</v>
      </c>
      <c r="E1710" s="2">
        <f ca="1">IFERROR(__xludf.DUMMYFUNCTION("""COMPUTED_VALUE"""),69.4)</f>
        <v>69.400000000000006</v>
      </c>
      <c r="F1710" s="2">
        <f ca="1">IFERROR(__xludf.DUMMYFUNCTION("""COMPUTED_VALUE"""),92.916)</f>
        <v>92.915999999999997</v>
      </c>
      <c r="G1710" s="2">
        <f ca="1">IFERROR(__xludf.DUMMYFUNCTION("""COMPUTED_VALUE"""),0.51336)</f>
        <v>0.51336000000000004</v>
      </c>
      <c r="H1710" s="2">
        <f ca="1">IFERROR(__xludf.DUMMYFUNCTION("""COMPUTED_VALUE"""),49.35)</f>
        <v>49.35</v>
      </c>
      <c r="I1710" s="2">
        <f ca="1">IFERROR(__xludf.DUMMYFUNCTION("""COMPUTED_VALUE"""),51.221)</f>
        <v>51.220999999999997</v>
      </c>
      <c r="J1710" s="2">
        <f ca="1">IFERROR(__xludf.DUMMYFUNCTION("""COMPUTED_VALUE"""),47.376)</f>
        <v>47.375999999999998</v>
      </c>
      <c r="K1710" s="2">
        <f ca="1">IFERROR(__xludf.DUMMYFUNCTION("""COMPUTED_VALUE"""),62.121)</f>
        <v>62.121000000000002</v>
      </c>
      <c r="M1710" s="2">
        <f ca="1">IFERROR(__xludf.DUMMYFUNCTION("""COMPUTED_VALUE"""),16.842)</f>
        <v>16.841999999999999</v>
      </c>
      <c r="U1710" s="3" t="e">
        <f ca="1"/>
        <v>#NAME?</v>
      </c>
    </row>
    <row r="1711" spans="3:21" ht="12.5" x14ac:dyDescent="0.25">
      <c r="C1711" s="4">
        <f ca="1">IFERROR(__xludf.DUMMYFUNCTION("""COMPUTED_VALUE"""),42054.9986111111)</f>
        <v>42054.998611111099</v>
      </c>
      <c r="D1711" s="2">
        <f ca="1">IFERROR(__xludf.DUMMYFUNCTION("""COMPUTED_VALUE"""),62.165)</f>
        <v>62.164999999999999</v>
      </c>
      <c r="E1711" s="2">
        <f ca="1">IFERROR(__xludf.DUMMYFUNCTION("""COMPUTED_VALUE"""),70.895)</f>
        <v>70.894999999999996</v>
      </c>
      <c r="F1711" s="2">
        <f ca="1">IFERROR(__xludf.DUMMYFUNCTION("""COMPUTED_VALUE"""),93.277)</f>
        <v>93.277000000000001</v>
      </c>
      <c r="G1711" s="2">
        <f ca="1">IFERROR(__xludf.DUMMYFUNCTION("""COMPUTED_VALUE"""),0.51293)</f>
        <v>0.51293</v>
      </c>
      <c r="H1711" s="2">
        <f ca="1">IFERROR(__xludf.DUMMYFUNCTION("""COMPUTED_VALUE"""),48.811)</f>
        <v>48.811</v>
      </c>
      <c r="I1711" s="2">
        <f ca="1">IFERROR(__xludf.DUMMYFUNCTION("""COMPUTED_VALUE"""),51.313)</f>
        <v>51.313000000000002</v>
      </c>
      <c r="J1711" s="2">
        <f ca="1">IFERROR(__xludf.DUMMYFUNCTION("""COMPUTED_VALUE"""),47.219)</f>
        <v>47.219000000000001</v>
      </c>
      <c r="K1711" s="2">
        <f ca="1">IFERROR(__xludf.DUMMYFUNCTION("""COMPUTED_VALUE"""),62.277)</f>
        <v>62.277000000000001</v>
      </c>
      <c r="M1711" s="2">
        <f ca="1">IFERROR(__xludf.DUMMYFUNCTION("""COMPUTED_VALUE"""),16.842)</f>
        <v>16.841999999999999</v>
      </c>
      <c r="U1711" s="3" t="e">
        <f ca="1"/>
        <v>#NAME?</v>
      </c>
    </row>
    <row r="1712" spans="3:21" ht="12.5" x14ac:dyDescent="0.25">
      <c r="C1712" s="4">
        <f ca="1">IFERROR(__xludf.DUMMYFUNCTION("""COMPUTED_VALUE"""),42055.9986111111)</f>
        <v>42055.998611111099</v>
      </c>
      <c r="D1712" s="2">
        <f ca="1">IFERROR(__xludf.DUMMYFUNCTION("""COMPUTED_VALUE"""),62.101)</f>
        <v>62.100999999999999</v>
      </c>
      <c r="E1712" s="2">
        <f ca="1">IFERROR(__xludf.DUMMYFUNCTION("""COMPUTED_VALUE"""),72.042)</f>
        <v>72.042000000000002</v>
      </c>
      <c r="F1712" s="2">
        <f ca="1">IFERROR(__xludf.DUMMYFUNCTION("""COMPUTED_VALUE"""),93.121)</f>
        <v>93.120999999999995</v>
      </c>
      <c r="G1712" s="2">
        <f ca="1">IFERROR(__xludf.DUMMYFUNCTION("""COMPUTED_VALUE"""),0.51225)</f>
        <v>0.51224999999999998</v>
      </c>
      <c r="H1712" s="2">
        <f ca="1">IFERROR(__xludf.DUMMYFUNCTION("""COMPUTED_VALUE"""),48.652)</f>
        <v>48.652000000000001</v>
      </c>
      <c r="I1712" s="2">
        <f ca="1">IFERROR(__xludf.DUMMYFUNCTION("""COMPUTED_VALUE"""),51.117)</f>
        <v>51.116999999999997</v>
      </c>
      <c r="J1712" s="2">
        <f ca="1">IFERROR(__xludf.DUMMYFUNCTION("""COMPUTED_VALUE"""),47.279)</f>
        <v>47.279000000000003</v>
      </c>
      <c r="K1712" s="2">
        <f ca="1">IFERROR(__xludf.DUMMYFUNCTION("""COMPUTED_VALUE"""),62.679)</f>
        <v>62.679000000000002</v>
      </c>
      <c r="M1712" s="2">
        <f ca="1">IFERROR(__xludf.DUMMYFUNCTION("""COMPUTED_VALUE"""),16.781)</f>
        <v>16.780999999999999</v>
      </c>
      <c r="U1712" s="3" t="e">
        <f ca="1"/>
        <v>#NAME?</v>
      </c>
    </row>
    <row r="1713" spans="3:21" ht="12.5" x14ac:dyDescent="0.25">
      <c r="C1713" s="4">
        <f ca="1">IFERROR(__xludf.DUMMYFUNCTION("""COMPUTED_VALUE"""),42056.9986111111)</f>
        <v>42056.998611111099</v>
      </c>
      <c r="D1713" s="2">
        <f ca="1">IFERROR(__xludf.DUMMYFUNCTION("""COMPUTED_VALUE"""),62.061)</f>
        <v>62.061</v>
      </c>
      <c r="E1713" s="2">
        <f ca="1">IFERROR(__xludf.DUMMYFUNCTION("""COMPUTED_VALUE"""),71.655)</f>
        <v>71.655000000000001</v>
      </c>
      <c r="F1713" s="2">
        <f ca="1">IFERROR(__xludf.DUMMYFUNCTION("""COMPUTED_VALUE"""),92.369)</f>
        <v>92.369</v>
      </c>
      <c r="G1713" s="2">
        <f ca="1">IFERROR(__xludf.DUMMYFUNCTION("""COMPUTED_VALUE"""),0.51081)</f>
        <v>0.51080999999999999</v>
      </c>
      <c r="H1713" s="2">
        <f ca="1">IFERROR(__xludf.DUMMYFUNCTION("""COMPUTED_VALUE"""),48.39)</f>
        <v>48.39</v>
      </c>
      <c r="I1713" s="2">
        <f ca="1">IFERROR(__xludf.DUMMYFUNCTION("""COMPUTED_VALUE"""),50.728)</f>
        <v>50.728000000000002</v>
      </c>
      <c r="J1713" s="2">
        <f ca="1">IFERROR(__xludf.DUMMYFUNCTION("""COMPUTED_VALUE"""),47.274)</f>
        <v>47.274000000000001</v>
      </c>
      <c r="K1713" s="2">
        <f ca="1">IFERROR(__xludf.DUMMYFUNCTION("""COMPUTED_VALUE"""),62.725)</f>
        <v>62.725000000000001</v>
      </c>
      <c r="M1713" s="2">
        <f ca="1">IFERROR(__xludf.DUMMYFUNCTION("""COMPUTED_VALUE"""),16.784)</f>
        <v>16.783999999999999</v>
      </c>
      <c r="U1713" s="3" t="e">
        <f ca="1"/>
        <v>#NAME?</v>
      </c>
    </row>
    <row r="1714" spans="3:21" ht="12.5" x14ac:dyDescent="0.25">
      <c r="C1714" s="4">
        <f ca="1">IFERROR(__xludf.DUMMYFUNCTION("""COMPUTED_VALUE"""),42057.9986111111)</f>
        <v>42057.998611111099</v>
      </c>
      <c r="D1714" s="2">
        <f ca="1">IFERROR(__xludf.DUMMYFUNCTION("""COMPUTED_VALUE"""),62.061)</f>
        <v>62.061</v>
      </c>
      <c r="E1714" s="2">
        <f ca="1">IFERROR(__xludf.DUMMYFUNCTION("""COMPUTED_VALUE"""),70.793)</f>
        <v>70.793000000000006</v>
      </c>
      <c r="F1714" s="2">
        <f ca="1">IFERROR(__xludf.DUMMYFUNCTION("""COMPUTED_VALUE"""),91.942)</f>
        <v>91.941999999999993</v>
      </c>
      <c r="G1714" s="2">
        <f ca="1">IFERROR(__xludf.DUMMYFUNCTION("""COMPUTED_VALUE"""),0.51096)</f>
        <v>0.51095999999999997</v>
      </c>
      <c r="H1714" s="2">
        <f ca="1">IFERROR(__xludf.DUMMYFUNCTION("""COMPUTED_VALUE"""),49.361)</f>
        <v>49.360999999999997</v>
      </c>
      <c r="I1714" s="2">
        <f ca="1">IFERROR(__xludf.DUMMYFUNCTION("""COMPUTED_VALUE"""),51.217)</f>
        <v>51.216999999999999</v>
      </c>
      <c r="J1714" s="2">
        <f ca="1">IFERROR(__xludf.DUMMYFUNCTION("""COMPUTED_VALUE"""),46.863)</f>
        <v>46.863</v>
      </c>
      <c r="K1714" s="2">
        <f ca="1">IFERROR(__xludf.DUMMYFUNCTION("""COMPUTED_VALUE"""),62.243)</f>
        <v>62.243000000000002</v>
      </c>
      <c r="M1714" s="2">
        <f ca="1">IFERROR(__xludf.DUMMYFUNCTION("""COMPUTED_VALUE"""),16.758)</f>
        <v>16.757999999999999</v>
      </c>
      <c r="U1714" s="3" t="e">
        <f ca="1"/>
        <v>#NAME?</v>
      </c>
    </row>
    <row r="1715" spans="3:21" ht="12.5" x14ac:dyDescent="0.25">
      <c r="C1715" s="4">
        <f ca="1">IFERROR(__xludf.DUMMYFUNCTION("""COMPUTED_VALUE"""),42058.9986111111)</f>
        <v>42058.998611111099</v>
      </c>
      <c r="D1715" s="2">
        <f ca="1">IFERROR(__xludf.DUMMYFUNCTION("""COMPUTED_VALUE"""),62.171)</f>
        <v>62.170999999999999</v>
      </c>
      <c r="E1715" s="2">
        <f ca="1">IFERROR(__xludf.DUMMYFUNCTION("""COMPUTED_VALUE"""),72.094)</f>
        <v>72.093999999999994</v>
      </c>
      <c r="F1715" s="2">
        <f ca="1">IFERROR(__xludf.DUMMYFUNCTION("""COMPUTED_VALUE"""),91.975)</f>
        <v>91.974999999999994</v>
      </c>
      <c r="G1715" s="2">
        <f ca="1">IFERROR(__xludf.DUMMYFUNCTION("""COMPUTED_VALUE"""),0.51084)</f>
        <v>0.51083999999999996</v>
      </c>
      <c r="H1715" s="2">
        <f ca="1">IFERROR(__xludf.DUMMYFUNCTION("""COMPUTED_VALUE"""),49.737)</f>
        <v>49.737000000000002</v>
      </c>
      <c r="I1715" s="2">
        <f ca="1">IFERROR(__xludf.DUMMYFUNCTION("""COMPUTED_VALUE"""),51.373)</f>
        <v>51.372999999999998</v>
      </c>
      <c r="J1715" s="2">
        <f ca="1">IFERROR(__xludf.DUMMYFUNCTION("""COMPUTED_VALUE"""),47.156)</f>
        <v>47.155999999999999</v>
      </c>
      <c r="K1715" s="2">
        <f ca="1">IFERROR(__xludf.DUMMYFUNCTION("""COMPUTED_VALUE"""),62.185)</f>
        <v>62.185000000000002</v>
      </c>
      <c r="M1715" s="2">
        <f ca="1">IFERROR(__xludf.DUMMYFUNCTION("""COMPUTED_VALUE"""),16.77)</f>
        <v>16.77</v>
      </c>
      <c r="U1715" s="3" t="e">
        <f ca="1"/>
        <v>#NAME?</v>
      </c>
    </row>
    <row r="1716" spans="3:21" ht="12.5" x14ac:dyDescent="0.25">
      <c r="C1716" s="4">
        <f ca="1">IFERROR(__xludf.DUMMYFUNCTION("""COMPUTED_VALUE"""),42059.9986111111)</f>
        <v>42059.998611111099</v>
      </c>
      <c r="D1716" s="2">
        <f ca="1">IFERROR(__xludf.DUMMYFUNCTION("""COMPUTED_VALUE"""),62.233)</f>
        <v>62.232999999999997</v>
      </c>
      <c r="E1716" s="2">
        <f ca="1">IFERROR(__xludf.DUMMYFUNCTION("""COMPUTED_VALUE"""),72.263)</f>
        <v>72.263000000000005</v>
      </c>
      <c r="F1716" s="2">
        <f ca="1">IFERROR(__xludf.DUMMYFUNCTION("""COMPUTED_VALUE"""),91.975)</f>
        <v>91.974999999999994</v>
      </c>
      <c r="G1716" s="2">
        <f ca="1">IFERROR(__xludf.DUMMYFUNCTION("""COMPUTED_VALUE"""),0.51134)</f>
        <v>0.51134000000000002</v>
      </c>
      <c r="H1716" s="2">
        <f ca="1">IFERROR(__xludf.DUMMYFUNCTION("""COMPUTED_VALUE"""),49.143)</f>
        <v>49.143000000000001</v>
      </c>
      <c r="I1716" s="2">
        <f ca="1">IFERROR(__xludf.DUMMYFUNCTION("""COMPUTED_VALUE"""),51.164)</f>
        <v>51.164000000000001</v>
      </c>
      <c r="J1716" s="2">
        <f ca="1">IFERROR(__xludf.DUMMYFUNCTION("""COMPUTED_VALUE"""),47.612)</f>
        <v>47.612000000000002</v>
      </c>
      <c r="K1716" s="2">
        <f ca="1">IFERROR(__xludf.DUMMYFUNCTION("""COMPUTED_VALUE"""),63.828)</f>
        <v>63.828000000000003</v>
      </c>
      <c r="M1716" s="2">
        <f ca="1">IFERROR(__xludf.DUMMYFUNCTION("""COMPUTED_VALUE"""),16.725)</f>
        <v>16.725000000000001</v>
      </c>
      <c r="U1716" s="3" t="e">
        <f ca="1"/>
        <v>#NAME?</v>
      </c>
    </row>
    <row r="1717" spans="3:21" ht="12.5" x14ac:dyDescent="0.25">
      <c r="C1717" s="4">
        <f ca="1">IFERROR(__xludf.DUMMYFUNCTION("""COMPUTED_VALUE"""),42060.9986111111)</f>
        <v>42060.998611111099</v>
      </c>
      <c r="D1717" s="2">
        <f ca="1">IFERROR(__xludf.DUMMYFUNCTION("""COMPUTED_VALUE"""),61.877)</f>
        <v>61.877000000000002</v>
      </c>
      <c r="E1717" s="2">
        <f ca="1">IFERROR(__xludf.DUMMYFUNCTION("""COMPUTED_VALUE"""),72.085)</f>
        <v>72.084999999999994</v>
      </c>
      <c r="F1717" s="2">
        <f ca="1">IFERROR(__xludf.DUMMYFUNCTION("""COMPUTED_VALUE"""),92.636)</f>
        <v>92.635999999999996</v>
      </c>
      <c r="G1717" s="2">
        <f ca="1">IFERROR(__xludf.DUMMYFUNCTION("""COMPUTED_VALUE"""),0.51278)</f>
        <v>0.51278000000000001</v>
      </c>
      <c r="H1717" s="2">
        <f ca="1">IFERROR(__xludf.DUMMYFUNCTION("""COMPUTED_VALUE"""),48.502)</f>
        <v>48.502000000000002</v>
      </c>
      <c r="I1717" s="2">
        <f ca="1">IFERROR(__xludf.DUMMYFUNCTION("""COMPUTED_VALUE"""),51.214)</f>
        <v>51.213999999999999</v>
      </c>
      <c r="J1717" s="2">
        <f ca="1">IFERROR(__xludf.DUMMYFUNCTION("""COMPUTED_VALUE"""),47.419)</f>
        <v>47.418999999999997</v>
      </c>
      <c r="K1717" s="2">
        <f ca="1">IFERROR(__xludf.DUMMYFUNCTION("""COMPUTED_VALUE"""),63.064)</f>
        <v>63.064</v>
      </c>
      <c r="M1717" s="2">
        <f ca="1">IFERROR(__xludf.DUMMYFUNCTION("""COMPUTED_VALUE"""),16.725)</f>
        <v>16.725000000000001</v>
      </c>
      <c r="U1717" s="3" t="e">
        <f ca="1"/>
        <v>#NAME?</v>
      </c>
    </row>
    <row r="1718" spans="3:21" ht="12.5" x14ac:dyDescent="0.25">
      <c r="C1718" s="4">
        <f ca="1">IFERROR(__xludf.DUMMYFUNCTION("""COMPUTED_VALUE"""),42061.9986111111)</f>
        <v>42061.998611111099</v>
      </c>
      <c r="D1718" s="2">
        <f ca="1">IFERROR(__xludf.DUMMYFUNCTION("""COMPUTED_VALUE"""),61.754)</f>
        <v>61.753999999999998</v>
      </c>
      <c r="E1718" s="2">
        <f ca="1">IFERROR(__xludf.DUMMYFUNCTION("""COMPUTED_VALUE"""),71.875)</f>
        <v>71.875</v>
      </c>
      <c r="F1718" s="2">
        <f ca="1">IFERROR(__xludf.DUMMYFUNCTION("""COMPUTED_VALUE"""),93.153)</f>
        <v>93.153000000000006</v>
      </c>
      <c r="G1718" s="2">
        <f ca="1">IFERROR(__xludf.DUMMYFUNCTION("""COMPUTED_VALUE"""),0.51267)</f>
        <v>0.51266999999999996</v>
      </c>
      <c r="H1718" s="2">
        <f ca="1">IFERROR(__xludf.DUMMYFUNCTION("""COMPUTED_VALUE"""),49.124)</f>
        <v>49.124000000000002</v>
      </c>
      <c r="I1718" s="2">
        <f ca="1">IFERROR(__xludf.DUMMYFUNCTION("""COMPUTED_VALUE"""),51.492)</f>
        <v>51.491999999999997</v>
      </c>
      <c r="J1718" s="2">
        <f ca="1">IFERROR(__xludf.DUMMYFUNCTION("""COMPUTED_VALUE"""),46.922)</f>
        <v>46.921999999999997</v>
      </c>
      <c r="K1718" s="2">
        <f ca="1">IFERROR(__xludf.DUMMYFUNCTION("""COMPUTED_VALUE"""),63.962)</f>
        <v>63.962000000000003</v>
      </c>
      <c r="M1718" s="2">
        <f ca="1">IFERROR(__xludf.DUMMYFUNCTION("""COMPUTED_VALUE"""),16.725)</f>
        <v>16.725000000000001</v>
      </c>
      <c r="U1718" s="3" t="e">
        <f ca="1"/>
        <v>#NAME?</v>
      </c>
    </row>
    <row r="1719" spans="3:21" ht="12.5" x14ac:dyDescent="0.25">
      <c r="C1719" s="4">
        <f ca="1">IFERROR(__xludf.DUMMYFUNCTION("""COMPUTED_VALUE"""),42062.9986111111)</f>
        <v>42062.998611111099</v>
      </c>
      <c r="D1719" s="2">
        <f ca="1">IFERROR(__xludf.DUMMYFUNCTION("""COMPUTED_VALUE"""),61.651)</f>
        <v>61.651000000000003</v>
      </c>
      <c r="E1719" s="2">
        <f ca="1">IFERROR(__xludf.DUMMYFUNCTION("""COMPUTED_VALUE"""),72.154)</f>
        <v>72.153999999999996</v>
      </c>
      <c r="F1719" s="2">
        <f ca="1">IFERROR(__xludf.DUMMYFUNCTION("""COMPUTED_VALUE"""),92.811)</f>
        <v>92.811000000000007</v>
      </c>
      <c r="G1719" s="2">
        <f ca="1">IFERROR(__xludf.DUMMYFUNCTION("""COMPUTED_VALUE"""),0.51477)</f>
        <v>0.51476999999999995</v>
      </c>
      <c r="H1719" s="2">
        <f ca="1">IFERROR(__xludf.DUMMYFUNCTION("""COMPUTED_VALUE"""),49.199)</f>
        <v>49.198999999999998</v>
      </c>
      <c r="I1719" s="2">
        <f ca="1">IFERROR(__xludf.DUMMYFUNCTION("""COMPUTED_VALUE"""),51.838)</f>
        <v>51.838000000000001</v>
      </c>
      <c r="J1719" s="2">
        <f ca="1">IFERROR(__xludf.DUMMYFUNCTION("""COMPUTED_VALUE"""),47.21)</f>
        <v>47.21</v>
      </c>
      <c r="K1719" s="2">
        <f ca="1">IFERROR(__xludf.DUMMYFUNCTION("""COMPUTED_VALUE"""),64.345)</f>
        <v>64.344999999999999</v>
      </c>
      <c r="M1719" s="2">
        <f ca="1">IFERROR(__xludf.DUMMYFUNCTION("""COMPUTED_VALUE"""),16.736)</f>
        <v>16.736000000000001</v>
      </c>
      <c r="U1719" s="3" t="e">
        <f ca="1"/>
        <v>#NAME?</v>
      </c>
    </row>
    <row r="1720" spans="3:21" ht="12.5" x14ac:dyDescent="0.25">
      <c r="C1720" s="4">
        <f ca="1">IFERROR(__xludf.DUMMYFUNCTION("""COMPUTED_VALUE"""),42063.9986111111)</f>
        <v>42063.998611111099</v>
      </c>
      <c r="D1720" s="2">
        <f ca="1">IFERROR(__xludf.DUMMYFUNCTION("""COMPUTED_VALUE"""),61.631)</f>
        <v>61.631</v>
      </c>
      <c r="E1720" s="2">
        <f ca="1">IFERROR(__xludf.DUMMYFUNCTION("""COMPUTED_VALUE"""),72.138)</f>
        <v>72.138000000000005</v>
      </c>
      <c r="F1720" s="2">
        <f ca="1">IFERROR(__xludf.DUMMYFUNCTION("""COMPUTED_VALUE"""),93.082)</f>
        <v>93.081999999999994</v>
      </c>
      <c r="G1720" s="2">
        <f ca="1">IFERROR(__xludf.DUMMYFUNCTION("""COMPUTED_VALUE"""),0.51743)</f>
        <v>0.51742999999999995</v>
      </c>
      <c r="H1720" s="2">
        <f ca="1">IFERROR(__xludf.DUMMYFUNCTION("""COMPUTED_VALUE"""),49.274)</f>
        <v>49.274000000000001</v>
      </c>
      <c r="I1720" s="2">
        <f ca="1">IFERROR(__xludf.DUMMYFUNCTION("""COMPUTED_VALUE"""),51.919)</f>
        <v>51.918999999999997</v>
      </c>
      <c r="J1720" s="2">
        <f ca="1">IFERROR(__xludf.DUMMYFUNCTION("""COMPUTED_VALUE"""),47.336)</f>
        <v>47.335999999999999</v>
      </c>
      <c r="K1720" s="2">
        <f ca="1">IFERROR(__xludf.DUMMYFUNCTION("""COMPUTED_VALUE"""),64.813)</f>
        <v>64.813000000000002</v>
      </c>
      <c r="M1720" s="2">
        <f ca="1">IFERROR(__xludf.DUMMYFUNCTION("""COMPUTED_VALUE"""),16.717)</f>
        <v>16.716999999999999</v>
      </c>
      <c r="U1720" s="3" t="e">
        <f ca="1"/>
        <v>#NAME?</v>
      </c>
    </row>
    <row r="1721" spans="3:21" ht="12.5" x14ac:dyDescent="0.25">
      <c r="C1721" s="4">
        <f ca="1">IFERROR(__xludf.DUMMYFUNCTION("""COMPUTED_VALUE"""),42064.9986111111)</f>
        <v>42064.998611111099</v>
      </c>
      <c r="D1721" s="2">
        <f ca="1">IFERROR(__xludf.DUMMYFUNCTION("""COMPUTED_VALUE"""),61.631)</f>
        <v>61.631</v>
      </c>
      <c r="E1721" s="2">
        <f ca="1">IFERROR(__xludf.DUMMYFUNCTION("""COMPUTED_VALUE"""),72.072)</f>
        <v>72.072000000000003</v>
      </c>
      <c r="F1721" s="2">
        <f ca="1">IFERROR(__xludf.DUMMYFUNCTION("""COMPUTED_VALUE"""),93.381)</f>
        <v>93.381</v>
      </c>
      <c r="G1721" s="2">
        <f ca="1">IFERROR(__xludf.DUMMYFUNCTION("""COMPUTED_VALUE"""),0.52049)</f>
        <v>0.52049000000000001</v>
      </c>
      <c r="H1721" s="2">
        <f ca="1">IFERROR(__xludf.DUMMYFUNCTION("""COMPUTED_VALUE"""),49.532)</f>
        <v>49.531999999999996</v>
      </c>
      <c r="I1721" s="2">
        <f ca="1">IFERROR(__xludf.DUMMYFUNCTION("""COMPUTED_VALUE"""),51.998)</f>
        <v>51.997999999999998</v>
      </c>
      <c r="J1721" s="2">
        <f ca="1">IFERROR(__xludf.DUMMYFUNCTION("""COMPUTED_VALUE"""),47.434)</f>
        <v>47.433999999999997</v>
      </c>
      <c r="K1721" s="2">
        <f ca="1">IFERROR(__xludf.DUMMYFUNCTION("""COMPUTED_VALUE"""),64.962)</f>
        <v>64.962000000000003</v>
      </c>
      <c r="M1721" s="2">
        <f ca="1">IFERROR(__xludf.DUMMYFUNCTION("""COMPUTED_VALUE"""),16.703)</f>
        <v>16.702999999999999</v>
      </c>
      <c r="U1721" s="3" t="e">
        <f ca="1"/>
        <v>#NAME?</v>
      </c>
    </row>
    <row r="1722" spans="3:21" ht="12.5" x14ac:dyDescent="0.25">
      <c r="C1722" s="4">
        <f ca="1">IFERROR(__xludf.DUMMYFUNCTION("""COMPUTED_VALUE"""),42065.9986111111)</f>
        <v>42065.998611111099</v>
      </c>
      <c r="D1722" s="2">
        <f ca="1">IFERROR(__xludf.DUMMYFUNCTION("""COMPUTED_VALUE"""),61.901)</f>
        <v>61.901000000000003</v>
      </c>
      <c r="E1722" s="2">
        <f ca="1">IFERROR(__xludf.DUMMYFUNCTION("""COMPUTED_VALUE"""),72.69)</f>
        <v>72.69</v>
      </c>
      <c r="F1722" s="2">
        <f ca="1">IFERROR(__xludf.DUMMYFUNCTION("""COMPUTED_VALUE"""),93.429)</f>
        <v>93.429000000000002</v>
      </c>
      <c r="G1722" s="2">
        <f ca="1">IFERROR(__xludf.DUMMYFUNCTION("""COMPUTED_VALUE"""),0.51607)</f>
        <v>0.51607000000000003</v>
      </c>
      <c r="H1722" s="2">
        <f ca="1">IFERROR(__xludf.DUMMYFUNCTION("""COMPUTED_VALUE"""),49.505)</f>
        <v>49.505000000000003</v>
      </c>
      <c r="I1722" s="2">
        <f ca="1">IFERROR(__xludf.DUMMYFUNCTION("""COMPUTED_VALUE"""),51.98)</f>
        <v>51.98</v>
      </c>
      <c r="J1722" s="2">
        <f ca="1">IFERROR(__xludf.DUMMYFUNCTION("""COMPUTED_VALUE"""),47.514)</f>
        <v>47.514000000000003</v>
      </c>
      <c r="K1722" s="2">
        <f ca="1">IFERROR(__xludf.DUMMYFUNCTION("""COMPUTED_VALUE"""),65.156)</f>
        <v>65.156000000000006</v>
      </c>
      <c r="M1722" s="2">
        <f ca="1">IFERROR(__xludf.DUMMYFUNCTION("""COMPUTED_VALUE"""),16.824)</f>
        <v>16.824000000000002</v>
      </c>
      <c r="U1722" s="3" t="e">
        <f ca="1"/>
        <v>#NAME?</v>
      </c>
    </row>
    <row r="1723" spans="3:21" ht="12.5" x14ac:dyDescent="0.25">
      <c r="C1723" s="4">
        <f ca="1">IFERROR(__xludf.DUMMYFUNCTION("""COMPUTED_VALUE"""),42066.9986111111)</f>
        <v>42066.998611111099</v>
      </c>
      <c r="D1723" s="2">
        <f ca="1">IFERROR(__xludf.DUMMYFUNCTION("""COMPUTED_VALUE"""),61.813)</f>
        <v>61.813000000000002</v>
      </c>
      <c r="E1723" s="2">
        <f ca="1">IFERROR(__xludf.DUMMYFUNCTION("""COMPUTED_VALUE"""),72.305)</f>
        <v>72.305000000000007</v>
      </c>
      <c r="F1723" s="2">
        <f ca="1">IFERROR(__xludf.DUMMYFUNCTION("""COMPUTED_VALUE"""),93.394)</f>
        <v>93.394000000000005</v>
      </c>
      <c r="G1723" s="2">
        <f ca="1">IFERROR(__xludf.DUMMYFUNCTION("""COMPUTED_VALUE"""),0.51486)</f>
        <v>0.51485999999999998</v>
      </c>
      <c r="H1723" s="2">
        <f ca="1">IFERROR(__xludf.DUMMYFUNCTION("""COMPUTED_VALUE"""),49.628)</f>
        <v>49.628</v>
      </c>
      <c r="I1723" s="2">
        <f ca="1">IFERROR(__xludf.DUMMYFUNCTION("""COMPUTED_VALUE"""),51.95)</f>
        <v>51.95</v>
      </c>
      <c r="J1723" s="2">
        <f ca="1">IFERROR(__xludf.DUMMYFUNCTION("""COMPUTED_VALUE"""),47.634)</f>
        <v>47.634</v>
      </c>
      <c r="K1723" s="2">
        <f ca="1">IFERROR(__xludf.DUMMYFUNCTION("""COMPUTED_VALUE"""),65.011)</f>
        <v>65.010999999999996</v>
      </c>
      <c r="M1723" s="2">
        <f ca="1">IFERROR(__xludf.DUMMYFUNCTION("""COMPUTED_VALUE"""),16.883)</f>
        <v>16.882999999999999</v>
      </c>
      <c r="U1723" s="3" t="e">
        <f ca="1"/>
        <v>#NAME?</v>
      </c>
    </row>
    <row r="1724" spans="3:21" ht="12.5" x14ac:dyDescent="0.25">
      <c r="C1724" s="4">
        <f ca="1">IFERROR(__xludf.DUMMYFUNCTION("""COMPUTED_VALUE"""),42067.9986111111)</f>
        <v>42067.998611111099</v>
      </c>
      <c r="D1724" s="2">
        <f ca="1">IFERROR(__xludf.DUMMYFUNCTION("""COMPUTED_VALUE"""),62.305)</f>
        <v>62.305</v>
      </c>
      <c r="E1724" s="2">
        <f ca="1">IFERROR(__xludf.DUMMYFUNCTION("""COMPUTED_VALUE"""),72.012)</f>
        <v>72.012</v>
      </c>
      <c r="F1724" s="2">
        <f ca="1">IFERROR(__xludf.DUMMYFUNCTION("""COMPUTED_VALUE"""),92.659)</f>
        <v>92.659000000000006</v>
      </c>
      <c r="G1724" s="2">
        <f ca="1">IFERROR(__xludf.DUMMYFUNCTION("""COMPUTED_VALUE"""),0.51627)</f>
        <v>0.51627000000000001</v>
      </c>
      <c r="H1724" s="2">
        <f ca="1">IFERROR(__xludf.DUMMYFUNCTION("""COMPUTED_VALUE"""),49.661)</f>
        <v>49.661000000000001</v>
      </c>
      <c r="I1724" s="2">
        <f ca="1">IFERROR(__xludf.DUMMYFUNCTION("""COMPUTED_VALUE"""),52.151)</f>
        <v>52.151000000000003</v>
      </c>
      <c r="J1724" s="2">
        <f ca="1">IFERROR(__xludf.DUMMYFUNCTION("""COMPUTED_VALUE"""),47.515)</f>
        <v>47.515000000000001</v>
      </c>
      <c r="K1724" s="2">
        <f ca="1">IFERROR(__xludf.DUMMYFUNCTION("""COMPUTED_VALUE"""),64.541)</f>
        <v>64.540999999999997</v>
      </c>
      <c r="M1724" s="2">
        <f ca="1">IFERROR(__xludf.DUMMYFUNCTION("""COMPUTED_VALUE"""),16.883)</f>
        <v>16.882999999999999</v>
      </c>
      <c r="U1724" s="3" t="e">
        <f ca="1"/>
        <v>#NAME?</v>
      </c>
    </row>
    <row r="1725" spans="3:21" ht="12.5" x14ac:dyDescent="0.25">
      <c r="C1725" s="4">
        <f ca="1">IFERROR(__xludf.DUMMYFUNCTION("""COMPUTED_VALUE"""),42068.9986111111)</f>
        <v>42068.998611111099</v>
      </c>
      <c r="D1725" s="2">
        <f ca="1">IFERROR(__xludf.DUMMYFUNCTION("""COMPUTED_VALUE"""),62.443)</f>
        <v>62.442999999999998</v>
      </c>
      <c r="E1725" s="2">
        <f ca="1">IFERROR(__xludf.DUMMYFUNCTION("""COMPUTED_VALUE"""),71.983)</f>
        <v>71.983000000000004</v>
      </c>
      <c r="F1725" s="2">
        <f ca="1">IFERROR(__xludf.DUMMYFUNCTION("""COMPUTED_VALUE"""),93.183)</f>
        <v>93.183000000000007</v>
      </c>
      <c r="G1725" s="2">
        <f ca="1">IFERROR(__xludf.DUMMYFUNCTION("""COMPUTED_VALUE"""),0.516)</f>
        <v>0.51600000000000001</v>
      </c>
      <c r="H1725" s="2">
        <f ca="1">IFERROR(__xludf.DUMMYFUNCTION("""COMPUTED_VALUE"""),49.394)</f>
        <v>49.393999999999998</v>
      </c>
      <c r="I1725" s="2">
        <f ca="1">IFERROR(__xludf.DUMMYFUNCTION("""COMPUTED_VALUE"""),52.283)</f>
        <v>52.283000000000001</v>
      </c>
      <c r="J1725" s="2">
        <f ca="1">IFERROR(__xludf.DUMMYFUNCTION("""COMPUTED_VALUE"""),47.725)</f>
        <v>47.725000000000001</v>
      </c>
      <c r="K1725" s="2">
        <f ca="1">IFERROR(__xludf.DUMMYFUNCTION("""COMPUTED_VALUE"""),64.081)</f>
        <v>64.081000000000003</v>
      </c>
      <c r="M1725" s="2">
        <f ca="1">IFERROR(__xludf.DUMMYFUNCTION("""COMPUTED_VALUE"""),16.883)</f>
        <v>16.882999999999999</v>
      </c>
      <c r="U1725" s="3" t="e">
        <f ca="1"/>
        <v>#NAME?</v>
      </c>
    </row>
    <row r="1726" spans="3:21" ht="12.5" x14ac:dyDescent="0.25">
      <c r="C1726" s="4">
        <f ca="1">IFERROR(__xludf.DUMMYFUNCTION("""COMPUTED_VALUE"""),42069.9986111111)</f>
        <v>42069.998611111099</v>
      </c>
      <c r="D1726" s="2">
        <f ca="1">IFERROR(__xludf.DUMMYFUNCTION("""COMPUTED_VALUE"""),62.453)</f>
        <v>62.453000000000003</v>
      </c>
      <c r="E1726" s="2">
        <f ca="1">IFERROR(__xludf.DUMMYFUNCTION("""COMPUTED_VALUE"""),70.989)</f>
        <v>70.989000000000004</v>
      </c>
      <c r="F1726" s="2">
        <f ca="1">IFERROR(__xludf.DUMMYFUNCTION("""COMPUTED_VALUE"""),93.881)</f>
        <v>93.881</v>
      </c>
      <c r="G1726" s="2">
        <f ca="1">IFERROR(__xludf.DUMMYFUNCTION("""COMPUTED_VALUE"""),0.51686)</f>
        <v>0.51685999999999999</v>
      </c>
      <c r="H1726" s="2">
        <f ca="1">IFERROR(__xludf.DUMMYFUNCTION("""COMPUTED_VALUE"""),49.531)</f>
        <v>49.530999999999999</v>
      </c>
      <c r="I1726" s="2">
        <f ca="1">IFERROR(__xludf.DUMMYFUNCTION("""COMPUTED_VALUE"""),51.995)</f>
        <v>51.994999999999997</v>
      </c>
      <c r="J1726" s="2">
        <f ca="1">IFERROR(__xludf.DUMMYFUNCTION("""COMPUTED_VALUE"""),47.841)</f>
        <v>47.841000000000001</v>
      </c>
      <c r="K1726" s="2">
        <f ca="1">IFERROR(__xludf.DUMMYFUNCTION("""COMPUTED_VALUE"""),64.263)</f>
        <v>64.263000000000005</v>
      </c>
      <c r="M1726" s="2">
        <f ca="1">IFERROR(__xludf.DUMMYFUNCTION("""COMPUTED_VALUE"""),16.807)</f>
        <v>16.806999999999999</v>
      </c>
      <c r="U1726" s="3" t="e">
        <f ca="1"/>
        <v>#NAME?</v>
      </c>
    </row>
    <row r="1727" spans="3:21" ht="12.5" x14ac:dyDescent="0.25">
      <c r="C1727" s="4">
        <f ca="1">IFERROR(__xludf.DUMMYFUNCTION("""COMPUTED_VALUE"""),42070.9986111111)</f>
        <v>42070.998611111099</v>
      </c>
      <c r="D1727" s="2">
        <f ca="1">IFERROR(__xludf.DUMMYFUNCTION("""COMPUTED_VALUE"""),62.775)</f>
        <v>62.774999999999999</v>
      </c>
      <c r="E1727" s="2">
        <f ca="1">IFERROR(__xludf.DUMMYFUNCTION("""COMPUTED_VALUE"""),71.143)</f>
        <v>71.143000000000001</v>
      </c>
      <c r="F1727" s="2">
        <f ca="1">IFERROR(__xludf.DUMMYFUNCTION("""COMPUTED_VALUE"""),94.495)</f>
        <v>94.495000000000005</v>
      </c>
      <c r="G1727" s="2">
        <f ca="1">IFERROR(__xludf.DUMMYFUNCTION("""COMPUTED_VALUE"""),0.51295)</f>
        <v>0.51295000000000002</v>
      </c>
      <c r="H1727" s="2">
        <f ca="1">IFERROR(__xludf.DUMMYFUNCTION("""COMPUTED_VALUE"""),49.283)</f>
        <v>49.283000000000001</v>
      </c>
      <c r="I1727" s="2">
        <f ca="1">IFERROR(__xludf.DUMMYFUNCTION("""COMPUTED_VALUE"""),51.71)</f>
        <v>51.71</v>
      </c>
      <c r="J1727" s="2">
        <f ca="1">IFERROR(__xludf.DUMMYFUNCTION("""COMPUTED_VALUE"""),47.641)</f>
        <v>47.640999999999998</v>
      </c>
      <c r="K1727" s="2">
        <f ca="1">IFERROR(__xludf.DUMMYFUNCTION("""COMPUTED_VALUE"""),64.635)</f>
        <v>64.635000000000005</v>
      </c>
      <c r="M1727" s="2">
        <f ca="1">IFERROR(__xludf.DUMMYFUNCTION("""COMPUTED_VALUE"""),16.774)</f>
        <v>16.774000000000001</v>
      </c>
      <c r="U1727" s="3" t="e">
        <f ca="1"/>
        <v>#NAME?</v>
      </c>
    </row>
    <row r="1728" spans="3:21" ht="12.5" x14ac:dyDescent="0.25">
      <c r="C1728" s="4">
        <f ca="1">IFERROR(__xludf.DUMMYFUNCTION("""COMPUTED_VALUE"""),42071.9986111111)</f>
        <v>42071.998611111099</v>
      </c>
      <c r="D1728" s="2">
        <f ca="1">IFERROR(__xludf.DUMMYFUNCTION("""COMPUTED_VALUE"""),62.775)</f>
        <v>62.774999999999999</v>
      </c>
      <c r="E1728" s="2">
        <f ca="1">IFERROR(__xludf.DUMMYFUNCTION("""COMPUTED_VALUE"""),71.095)</f>
        <v>71.094999999999999</v>
      </c>
      <c r="F1728" s="2">
        <f ca="1">IFERROR(__xludf.DUMMYFUNCTION("""COMPUTED_VALUE"""),94.457)</f>
        <v>94.456999999999994</v>
      </c>
      <c r="G1728" s="2">
        <f ca="1">IFERROR(__xludf.DUMMYFUNCTION("""COMPUTED_VALUE"""),0.51007)</f>
        <v>0.51007000000000002</v>
      </c>
      <c r="H1728" s="2">
        <f ca="1">IFERROR(__xludf.DUMMYFUNCTION("""COMPUTED_VALUE"""),49.028)</f>
        <v>49.027999999999999</v>
      </c>
      <c r="I1728" s="2">
        <f ca="1">IFERROR(__xludf.DUMMYFUNCTION("""COMPUTED_VALUE"""),51.513)</f>
        <v>51.512999999999998</v>
      </c>
      <c r="J1728" s="2">
        <f ca="1">IFERROR(__xludf.DUMMYFUNCTION("""COMPUTED_VALUE"""),47.525)</f>
        <v>47.524999999999999</v>
      </c>
      <c r="K1728" s="2">
        <f ca="1">IFERROR(__xludf.DUMMYFUNCTION("""COMPUTED_VALUE"""),65.173)</f>
        <v>65.173000000000002</v>
      </c>
      <c r="M1728" s="2">
        <f ca="1">IFERROR(__xludf.DUMMYFUNCTION("""COMPUTED_VALUE"""),16.841)</f>
        <v>16.841000000000001</v>
      </c>
      <c r="U1728" s="3" t="e">
        <f ca="1"/>
        <v>#NAME?</v>
      </c>
    </row>
    <row r="1729" spans="3:21" ht="12.5" x14ac:dyDescent="0.25">
      <c r="C1729" s="4">
        <f ca="1">IFERROR(__xludf.DUMMYFUNCTION("""COMPUTED_VALUE"""),42072.9986111111)</f>
        <v>42072.998611111099</v>
      </c>
      <c r="D1729" s="2">
        <f ca="1">IFERROR(__xludf.DUMMYFUNCTION("""COMPUTED_VALUE"""),62.673)</f>
        <v>62.673000000000002</v>
      </c>
      <c r="E1729" s="2">
        <f ca="1">IFERROR(__xludf.DUMMYFUNCTION("""COMPUTED_VALUE"""),70.803)</f>
        <v>70.802999999999997</v>
      </c>
      <c r="F1729" s="2">
        <f ca="1">IFERROR(__xludf.DUMMYFUNCTION("""COMPUTED_VALUE"""),94.358)</f>
        <v>94.358000000000004</v>
      </c>
      <c r="G1729" s="2">
        <f ca="1">IFERROR(__xludf.DUMMYFUNCTION("""COMPUTED_VALUE"""),0.51038)</f>
        <v>0.51037999999999994</v>
      </c>
      <c r="H1729" s="2">
        <f ca="1">IFERROR(__xludf.DUMMYFUNCTION("""COMPUTED_VALUE"""),49.186)</f>
        <v>49.186</v>
      </c>
      <c r="I1729" s="2">
        <f ca="1">IFERROR(__xludf.DUMMYFUNCTION("""COMPUTED_VALUE"""),51.554)</f>
        <v>51.554000000000002</v>
      </c>
      <c r="J1729" s="2">
        <f ca="1">IFERROR(__xludf.DUMMYFUNCTION("""COMPUTED_VALUE"""),47.49)</f>
        <v>47.49</v>
      </c>
      <c r="K1729" s="2">
        <f ca="1">IFERROR(__xludf.DUMMYFUNCTION("""COMPUTED_VALUE"""),64.764)</f>
        <v>64.763999999999996</v>
      </c>
      <c r="M1729" s="2">
        <f ca="1">IFERROR(__xludf.DUMMYFUNCTION("""COMPUTED_VALUE"""),16.807)</f>
        <v>16.806999999999999</v>
      </c>
      <c r="U1729" s="3" t="e">
        <f ca="1"/>
        <v>#NAME?</v>
      </c>
    </row>
    <row r="1730" spans="3:21" ht="12.5" x14ac:dyDescent="0.25">
      <c r="C1730" s="4">
        <f ca="1">IFERROR(__xludf.DUMMYFUNCTION("""COMPUTED_VALUE"""),42073.9986111111)</f>
        <v>42073.998611111099</v>
      </c>
      <c r="D1730" s="2">
        <f ca="1">IFERROR(__xludf.DUMMYFUNCTION("""COMPUTED_VALUE"""),62.713)</f>
        <v>62.713000000000001</v>
      </c>
      <c r="E1730" s="2">
        <f ca="1">IFERROR(__xludf.DUMMYFUNCTION("""COMPUTED_VALUE"""),71.412)</f>
        <v>71.412000000000006</v>
      </c>
      <c r="F1730" s="2">
        <f ca="1">IFERROR(__xludf.DUMMYFUNCTION("""COMPUTED_VALUE"""),94.358)</f>
        <v>94.358000000000004</v>
      </c>
      <c r="G1730" s="2">
        <f ca="1">IFERROR(__xludf.DUMMYFUNCTION("""COMPUTED_VALUE"""),0.51256)</f>
        <v>0.51256000000000002</v>
      </c>
      <c r="H1730" s="2">
        <f ca="1">IFERROR(__xludf.DUMMYFUNCTION("""COMPUTED_VALUE"""),48.95)</f>
        <v>48.95</v>
      </c>
      <c r="I1730" s="2">
        <f ca="1">IFERROR(__xludf.DUMMYFUNCTION("""COMPUTED_VALUE"""),51.266)</f>
        <v>51.265999999999998</v>
      </c>
      <c r="J1730" s="2">
        <f ca="1">IFERROR(__xludf.DUMMYFUNCTION("""COMPUTED_VALUE"""),47.396)</f>
        <v>47.396000000000001</v>
      </c>
      <c r="K1730" s="2">
        <f ca="1">IFERROR(__xludf.DUMMYFUNCTION("""COMPUTED_VALUE"""),64.427)</f>
        <v>64.427000000000007</v>
      </c>
      <c r="M1730" s="2">
        <f ca="1">IFERROR(__xludf.DUMMYFUNCTION("""COMPUTED_VALUE"""),16.869)</f>
        <v>16.869</v>
      </c>
      <c r="U1730" s="3" t="e">
        <f ca="1"/>
        <v>#NAME?</v>
      </c>
    </row>
    <row r="1731" spans="3:21" ht="12.5" x14ac:dyDescent="0.25">
      <c r="C1731" s="4">
        <f ca="1">IFERROR(__xludf.DUMMYFUNCTION("""COMPUTED_VALUE"""),42074.9986111111)</f>
        <v>42074.998611111099</v>
      </c>
      <c r="D1731" s="2">
        <f ca="1">IFERROR(__xludf.DUMMYFUNCTION("""COMPUTED_VALUE"""),62.755)</f>
        <v>62.755000000000003</v>
      </c>
      <c r="E1731" s="2">
        <f ca="1">IFERROR(__xludf.DUMMYFUNCTION("""COMPUTED_VALUE"""),70.787)</f>
        <v>70.787000000000006</v>
      </c>
      <c r="F1731" s="2">
        <f ca="1">IFERROR(__xludf.DUMMYFUNCTION("""COMPUTED_VALUE"""),94.441)</f>
        <v>94.441000000000003</v>
      </c>
      <c r="G1731" s="2">
        <f ca="1">IFERROR(__xludf.DUMMYFUNCTION("""COMPUTED_VALUE"""),0.51171)</f>
        <v>0.51171</v>
      </c>
      <c r="H1731" s="2">
        <f ca="1">IFERROR(__xludf.DUMMYFUNCTION("""COMPUTED_VALUE"""),49.095)</f>
        <v>49.094999999999999</v>
      </c>
      <c r="I1731" s="2">
        <f ca="1">IFERROR(__xludf.DUMMYFUNCTION("""COMPUTED_VALUE"""),51.471)</f>
        <v>51.470999999999997</v>
      </c>
      <c r="J1731" s="2">
        <f ca="1">IFERROR(__xludf.DUMMYFUNCTION("""COMPUTED_VALUE"""),47.273)</f>
        <v>47.273000000000003</v>
      </c>
      <c r="K1731" s="2">
        <f ca="1">IFERROR(__xludf.DUMMYFUNCTION("""COMPUTED_VALUE"""),64.283)</f>
        <v>64.283000000000001</v>
      </c>
      <c r="M1731" s="2">
        <f ca="1">IFERROR(__xludf.DUMMYFUNCTION("""COMPUTED_VALUE"""),16.869)</f>
        <v>16.869</v>
      </c>
      <c r="U1731" s="3" t="e">
        <f ca="1"/>
        <v>#NAME?</v>
      </c>
    </row>
    <row r="1732" spans="3:21" ht="12.5" x14ac:dyDescent="0.25">
      <c r="C1732" s="4">
        <f ca="1">IFERROR(__xludf.DUMMYFUNCTION("""COMPUTED_VALUE"""),42075.9986111111)</f>
        <v>42075.998611111099</v>
      </c>
      <c r="D1732" s="2">
        <f ca="1">IFERROR(__xludf.DUMMYFUNCTION("""COMPUTED_VALUE"""),62.535)</f>
        <v>62.534999999999997</v>
      </c>
      <c r="E1732" s="2">
        <f ca="1">IFERROR(__xludf.DUMMYFUNCTION("""COMPUTED_VALUE"""),70.102)</f>
        <v>70.102000000000004</v>
      </c>
      <c r="F1732" s="2">
        <f ca="1">IFERROR(__xludf.DUMMYFUNCTION("""COMPUTED_VALUE"""),95.137)</f>
        <v>95.137</v>
      </c>
      <c r="G1732" s="2">
        <f ca="1">IFERROR(__xludf.DUMMYFUNCTION("""COMPUTED_VALUE"""),0.51369)</f>
        <v>0.51368999999999998</v>
      </c>
      <c r="H1732" s="2">
        <f ca="1">IFERROR(__xludf.DUMMYFUNCTION("""COMPUTED_VALUE"""),48.557)</f>
        <v>48.557000000000002</v>
      </c>
      <c r="I1732" s="2">
        <f ca="1">IFERROR(__xludf.DUMMYFUNCTION("""COMPUTED_VALUE"""),51.463)</f>
        <v>51.463000000000001</v>
      </c>
      <c r="J1732" s="2">
        <f ca="1">IFERROR(__xludf.DUMMYFUNCTION("""COMPUTED_VALUE"""),47.236)</f>
        <v>47.235999999999997</v>
      </c>
      <c r="K1732" s="2">
        <f ca="1">IFERROR(__xludf.DUMMYFUNCTION("""COMPUTED_VALUE"""),63.708)</f>
        <v>63.707999999999998</v>
      </c>
      <c r="M1732" s="2">
        <f ca="1">IFERROR(__xludf.DUMMYFUNCTION("""COMPUTED_VALUE"""),16.869)</f>
        <v>16.869</v>
      </c>
      <c r="U1732" s="3" t="e">
        <f ca="1"/>
        <v>#NAME?</v>
      </c>
    </row>
    <row r="1733" spans="3:21" ht="12.5" x14ac:dyDescent="0.25">
      <c r="C1733" s="4">
        <f ca="1">IFERROR(__xludf.DUMMYFUNCTION("""COMPUTED_VALUE"""),42076.9986111111)</f>
        <v>42076.998611111099</v>
      </c>
      <c r="D1733" s="2">
        <f ca="1">IFERROR(__xludf.DUMMYFUNCTION("""COMPUTED_VALUE"""),63.076)</f>
        <v>63.076000000000001</v>
      </c>
      <c r="E1733" s="2">
        <f ca="1">IFERROR(__xludf.DUMMYFUNCTION("""COMPUTED_VALUE"""),70.18)</f>
        <v>70.180000000000007</v>
      </c>
      <c r="F1733" s="2">
        <f ca="1">IFERROR(__xludf.DUMMYFUNCTION("""COMPUTED_VALUE"""),94.995)</f>
        <v>94.995000000000005</v>
      </c>
      <c r="G1733" s="2">
        <f ca="1">IFERROR(__xludf.DUMMYFUNCTION("""COMPUTED_VALUE"""),0.52096)</f>
        <v>0.52095999999999998</v>
      </c>
      <c r="H1733" s="2">
        <f ca="1">IFERROR(__xludf.DUMMYFUNCTION("""COMPUTED_VALUE"""),48.845)</f>
        <v>48.844999999999999</v>
      </c>
      <c r="I1733" s="2">
        <f ca="1">IFERROR(__xludf.DUMMYFUNCTION("""COMPUTED_VALUE"""),51.294)</f>
        <v>51.293999999999997</v>
      </c>
      <c r="J1733" s="2">
        <f ca="1">IFERROR(__xludf.DUMMYFUNCTION("""COMPUTED_VALUE"""),46.973)</f>
        <v>46.972999999999999</v>
      </c>
      <c r="K1733" s="2">
        <f ca="1">IFERROR(__xludf.DUMMYFUNCTION("""COMPUTED_VALUE"""),63.575)</f>
        <v>63.575000000000003</v>
      </c>
      <c r="M1733" s="2">
        <f ca="1">IFERROR(__xludf.DUMMYFUNCTION("""COMPUTED_VALUE"""),16.915)</f>
        <v>16.914999999999999</v>
      </c>
      <c r="U1733" s="3" t="e">
        <f ca="1"/>
        <v>#NAME?</v>
      </c>
    </row>
    <row r="1734" spans="3:21" ht="12.5" x14ac:dyDescent="0.25">
      <c r="C1734" s="4">
        <f ca="1">IFERROR(__xludf.DUMMYFUNCTION("""COMPUTED_VALUE"""),42077.9986111111)</f>
        <v>42077.998611111099</v>
      </c>
      <c r="D1734" s="2">
        <f ca="1">IFERROR(__xludf.DUMMYFUNCTION("""COMPUTED_VALUE"""),63.076)</f>
        <v>63.076000000000001</v>
      </c>
      <c r="E1734" s="2">
        <f ca="1">IFERROR(__xludf.DUMMYFUNCTION("""COMPUTED_VALUE"""),70.395)</f>
        <v>70.394999999999996</v>
      </c>
      <c r="F1734" s="2">
        <f ca="1">IFERROR(__xludf.DUMMYFUNCTION("""COMPUTED_VALUE"""),95.58)</f>
        <v>95.58</v>
      </c>
      <c r="G1734" s="2">
        <f ca="1">IFERROR(__xludf.DUMMYFUNCTION("""COMPUTED_VALUE"""),0.5243)</f>
        <v>0.52429999999999999</v>
      </c>
      <c r="H1734" s="2">
        <f ca="1">IFERROR(__xludf.DUMMYFUNCTION("""COMPUTED_VALUE"""),48.95)</f>
        <v>48.95</v>
      </c>
      <c r="I1734" s="2">
        <f ca="1">IFERROR(__xludf.DUMMYFUNCTION("""COMPUTED_VALUE"""),50.881)</f>
        <v>50.881</v>
      </c>
      <c r="J1734" s="2">
        <f ca="1">IFERROR(__xludf.DUMMYFUNCTION("""COMPUTED_VALUE"""),47.254)</f>
        <v>47.253999999999998</v>
      </c>
      <c r="K1734" s="2">
        <f ca="1">IFERROR(__xludf.DUMMYFUNCTION("""COMPUTED_VALUE"""),63.849)</f>
        <v>63.848999999999997</v>
      </c>
      <c r="M1734" s="2">
        <f ca="1">IFERROR(__xludf.DUMMYFUNCTION("""COMPUTED_VALUE"""),16.972)</f>
        <v>16.972000000000001</v>
      </c>
      <c r="U1734" s="3" t="e">
        <f ca="1"/>
        <v>#NAME?</v>
      </c>
    </row>
    <row r="1735" spans="3:21" ht="12.5" x14ac:dyDescent="0.25">
      <c r="C1735" s="4">
        <f ca="1">IFERROR(__xludf.DUMMYFUNCTION("""COMPUTED_VALUE"""),42078.9986111111)</f>
        <v>42078.998611111099</v>
      </c>
      <c r="D1735" s="2">
        <f ca="1">IFERROR(__xludf.DUMMYFUNCTION("""COMPUTED_VALUE"""),63.089)</f>
        <v>63.088999999999999</v>
      </c>
      <c r="E1735" s="2">
        <f ca="1">IFERROR(__xludf.DUMMYFUNCTION("""COMPUTED_VALUE"""),69.93)</f>
        <v>69.930000000000007</v>
      </c>
      <c r="F1735" s="2">
        <f ca="1">IFERROR(__xludf.DUMMYFUNCTION("""COMPUTED_VALUE"""),95.554)</f>
        <v>95.554000000000002</v>
      </c>
      <c r="G1735" s="2">
        <f ca="1">IFERROR(__xludf.DUMMYFUNCTION("""COMPUTED_VALUE"""),0.52325)</f>
        <v>0.52324999999999999</v>
      </c>
      <c r="H1735" s="2">
        <f ca="1">IFERROR(__xludf.DUMMYFUNCTION("""COMPUTED_VALUE"""),48.52)</f>
        <v>48.52</v>
      </c>
      <c r="I1735" s="2">
        <f ca="1">IFERROR(__xludf.DUMMYFUNCTION("""COMPUTED_VALUE"""),50.446)</f>
        <v>50.445999999999998</v>
      </c>
      <c r="J1735" s="2">
        <f ca="1">IFERROR(__xludf.DUMMYFUNCTION("""COMPUTED_VALUE"""),47.177)</f>
        <v>47.177</v>
      </c>
      <c r="K1735" s="2">
        <f ca="1">IFERROR(__xludf.DUMMYFUNCTION("""COMPUTED_VALUE"""),64.053)</f>
        <v>64.052999999999997</v>
      </c>
      <c r="M1735" s="2">
        <f ca="1">IFERROR(__xludf.DUMMYFUNCTION("""COMPUTED_VALUE"""),16.983)</f>
        <v>16.983000000000001</v>
      </c>
      <c r="U1735" s="3" t="e">
        <f ca="1"/>
        <v>#NAME?</v>
      </c>
    </row>
    <row r="1736" spans="3:21" ht="12.5" x14ac:dyDescent="0.25">
      <c r="C1736" s="4">
        <f ca="1">IFERROR(__xludf.DUMMYFUNCTION("""COMPUTED_VALUE"""),42079.9986111111)</f>
        <v>42079.998611111099</v>
      </c>
      <c r="D1736" s="2">
        <f ca="1">IFERROR(__xludf.DUMMYFUNCTION("""COMPUTED_VALUE"""),62.789)</f>
        <v>62.789000000000001</v>
      </c>
      <c r="E1736" s="2">
        <f ca="1">IFERROR(__xludf.DUMMYFUNCTION("""COMPUTED_VALUE"""),69.852)</f>
        <v>69.852000000000004</v>
      </c>
      <c r="F1736" s="2">
        <f ca="1">IFERROR(__xludf.DUMMYFUNCTION("""COMPUTED_VALUE"""),95.477)</f>
        <v>95.477000000000004</v>
      </c>
      <c r="G1736" s="2">
        <f ca="1">IFERROR(__xludf.DUMMYFUNCTION("""COMPUTED_VALUE"""),0.52543)</f>
        <v>0.52542999999999995</v>
      </c>
      <c r="H1736" s="2">
        <f ca="1">IFERROR(__xludf.DUMMYFUNCTION("""COMPUTED_VALUE"""),48.34)</f>
        <v>48.34</v>
      </c>
      <c r="I1736" s="2">
        <f ca="1">IFERROR(__xludf.DUMMYFUNCTION("""COMPUTED_VALUE"""),50.455)</f>
        <v>50.454999999999998</v>
      </c>
      <c r="J1736" s="2">
        <f ca="1">IFERROR(__xludf.DUMMYFUNCTION("""COMPUTED_VALUE"""),46.938)</f>
        <v>46.938000000000002</v>
      </c>
      <c r="K1736" s="2">
        <f ca="1">IFERROR(__xludf.DUMMYFUNCTION("""COMPUTED_VALUE"""),64.673)</f>
        <v>64.673000000000002</v>
      </c>
      <c r="M1736" s="2">
        <f ca="1">IFERROR(__xludf.DUMMYFUNCTION("""COMPUTED_VALUE"""),16.926)</f>
        <v>16.925999999999998</v>
      </c>
      <c r="U1736" s="3" t="e">
        <f ca="1"/>
        <v>#NAME?</v>
      </c>
    </row>
    <row r="1737" spans="3:21" ht="12.5" x14ac:dyDescent="0.25">
      <c r="C1737" s="4">
        <f ca="1">IFERROR(__xludf.DUMMYFUNCTION("""COMPUTED_VALUE"""),42080.9986111111)</f>
        <v>42080.998611111099</v>
      </c>
      <c r="D1737" s="2">
        <f ca="1">IFERROR(__xludf.DUMMYFUNCTION("""COMPUTED_VALUE"""),62.616)</f>
        <v>62.616</v>
      </c>
      <c r="E1737" s="2">
        <f ca="1">IFERROR(__xludf.DUMMYFUNCTION("""COMPUTED_VALUE"""),70.284)</f>
        <v>70.284000000000006</v>
      </c>
      <c r="F1737" s="2">
        <f ca="1">IFERROR(__xludf.DUMMYFUNCTION("""COMPUTED_VALUE"""),95.583)</f>
        <v>95.582999999999998</v>
      </c>
      <c r="G1737" s="2">
        <f ca="1">IFERROR(__xludf.DUMMYFUNCTION("""COMPUTED_VALUE"""),0.52568)</f>
        <v>0.52568000000000004</v>
      </c>
      <c r="H1737" s="2">
        <f ca="1">IFERROR(__xludf.DUMMYFUNCTION("""COMPUTED_VALUE"""),47.609)</f>
        <v>47.609000000000002</v>
      </c>
      <c r="I1737" s="2">
        <f ca="1">IFERROR(__xludf.DUMMYFUNCTION("""COMPUTED_VALUE"""),50.379)</f>
        <v>50.378999999999998</v>
      </c>
      <c r="J1737" s="2">
        <f ca="1">IFERROR(__xludf.DUMMYFUNCTION("""COMPUTED_VALUE"""),46.932)</f>
        <v>46.932000000000002</v>
      </c>
      <c r="K1737" s="2">
        <f ca="1">IFERROR(__xludf.DUMMYFUNCTION("""COMPUTED_VALUE"""),65.197)</f>
        <v>65.197000000000003</v>
      </c>
      <c r="M1737" s="2">
        <f ca="1">IFERROR(__xludf.DUMMYFUNCTION("""COMPUTED_VALUE"""),16.893)</f>
        <v>16.893000000000001</v>
      </c>
      <c r="U1737" s="3" t="e">
        <f ca="1"/>
        <v>#NAME?</v>
      </c>
    </row>
    <row r="1738" spans="3:21" ht="12.5" x14ac:dyDescent="0.25">
      <c r="C1738" s="4">
        <f ca="1">IFERROR(__xludf.DUMMYFUNCTION("""COMPUTED_VALUE"""),42081.9986111111)</f>
        <v>42081.998611111099</v>
      </c>
      <c r="D1738" s="2">
        <f ca="1">IFERROR(__xludf.DUMMYFUNCTION("""COMPUTED_VALUE"""),62.693)</f>
        <v>62.692999999999998</v>
      </c>
      <c r="E1738" s="2">
        <f ca="1">IFERROR(__xludf.DUMMYFUNCTION("""COMPUTED_VALUE"""),70.028)</f>
        <v>70.028000000000006</v>
      </c>
      <c r="F1738" s="2">
        <f ca="1">IFERROR(__xludf.DUMMYFUNCTION("""COMPUTED_VALUE"""),95.394)</f>
        <v>95.394000000000005</v>
      </c>
      <c r="G1738" s="2">
        <f ca="1">IFERROR(__xludf.DUMMYFUNCTION("""COMPUTED_VALUE"""),0.52451)</f>
        <v>0.52451000000000003</v>
      </c>
      <c r="H1738" s="2">
        <f ca="1">IFERROR(__xludf.DUMMYFUNCTION("""COMPUTED_VALUE"""),47.339)</f>
        <v>47.338999999999999</v>
      </c>
      <c r="I1738" s="2">
        <f ca="1">IFERROR(__xludf.DUMMYFUNCTION("""COMPUTED_VALUE"""),49.986)</f>
        <v>49.985999999999997</v>
      </c>
      <c r="J1738" s="2">
        <f ca="1">IFERROR(__xludf.DUMMYFUNCTION("""COMPUTED_VALUE"""),47.063)</f>
        <v>47.063000000000002</v>
      </c>
      <c r="K1738" s="2">
        <f ca="1">IFERROR(__xludf.DUMMYFUNCTION("""COMPUTED_VALUE"""),65.69)</f>
        <v>65.69</v>
      </c>
      <c r="M1738" s="2">
        <f ca="1">IFERROR(__xludf.DUMMYFUNCTION("""COMPUTED_VALUE"""),16.893)</f>
        <v>16.893000000000001</v>
      </c>
      <c r="U1738" s="3" t="e">
        <f ca="1"/>
        <v>#NAME?</v>
      </c>
    </row>
    <row r="1739" spans="3:21" ht="12.5" x14ac:dyDescent="0.25">
      <c r="C1739" s="4">
        <f ca="1">IFERROR(__xludf.DUMMYFUNCTION("""COMPUTED_VALUE"""),42082.9986111111)</f>
        <v>42082.998611111099</v>
      </c>
      <c r="D1739" s="2">
        <f ca="1">IFERROR(__xludf.DUMMYFUNCTION("""COMPUTED_VALUE"""),62.483)</f>
        <v>62.482999999999997</v>
      </c>
      <c r="E1739" s="2">
        <f ca="1">IFERROR(__xludf.DUMMYFUNCTION("""COMPUTED_VALUE"""),70.663)</f>
        <v>70.662999999999997</v>
      </c>
      <c r="F1739" s="2">
        <f ca="1">IFERROR(__xludf.DUMMYFUNCTION("""COMPUTED_VALUE"""),95.253)</f>
        <v>95.253</v>
      </c>
      <c r="G1739" s="2">
        <f ca="1">IFERROR(__xludf.DUMMYFUNCTION("""COMPUTED_VALUE"""),0.52984)</f>
        <v>0.52983999999999998</v>
      </c>
      <c r="H1739" s="2">
        <f ca="1">IFERROR(__xludf.DUMMYFUNCTION("""COMPUTED_VALUE"""),47.311)</f>
        <v>47.311</v>
      </c>
      <c r="I1739" s="2">
        <f ca="1">IFERROR(__xludf.DUMMYFUNCTION("""COMPUTED_VALUE"""),49.891)</f>
        <v>49.890999999999998</v>
      </c>
      <c r="J1739" s="2">
        <f ca="1">IFERROR(__xludf.DUMMYFUNCTION("""COMPUTED_VALUE"""),46.884)</f>
        <v>46.884</v>
      </c>
      <c r="K1739" s="2">
        <f ca="1">IFERROR(__xludf.DUMMYFUNCTION("""COMPUTED_VALUE"""),65.724)</f>
        <v>65.724000000000004</v>
      </c>
      <c r="M1739" s="2">
        <f ca="1">IFERROR(__xludf.DUMMYFUNCTION("""COMPUTED_VALUE"""),16.898)</f>
        <v>16.898</v>
      </c>
      <c r="U1739" s="3" t="e">
        <f ca="1"/>
        <v>#NAME?</v>
      </c>
    </row>
    <row r="1740" spans="3:21" ht="12.5" x14ac:dyDescent="0.25">
      <c r="C1740" s="4">
        <f ca="1">IFERROR(__xludf.DUMMYFUNCTION("""COMPUTED_VALUE"""),42083.9986111111)</f>
        <v>42083.998611111099</v>
      </c>
      <c r="D1740" s="2">
        <f ca="1">IFERROR(__xludf.DUMMYFUNCTION("""COMPUTED_VALUE"""),62.403)</f>
        <v>62.402999999999999</v>
      </c>
      <c r="E1740" s="2">
        <f ca="1">IFERROR(__xludf.DUMMYFUNCTION("""COMPUTED_VALUE"""),69.732)</f>
        <v>69.731999999999999</v>
      </c>
      <c r="F1740" s="2">
        <f ca="1">IFERROR(__xludf.DUMMYFUNCTION("""COMPUTED_VALUE"""),95.718)</f>
        <v>95.718000000000004</v>
      </c>
      <c r="G1740" s="2">
        <f ca="1">IFERROR(__xludf.DUMMYFUNCTION("""COMPUTED_VALUE"""),0.5406)</f>
        <v>0.54059999999999997</v>
      </c>
      <c r="H1740" s="2">
        <f ca="1">IFERROR(__xludf.DUMMYFUNCTION("""COMPUTED_VALUE"""),47.119)</f>
        <v>47.119</v>
      </c>
      <c r="I1740" s="2">
        <f ca="1">IFERROR(__xludf.DUMMYFUNCTION("""COMPUTED_VALUE"""),49.875)</f>
        <v>49.875</v>
      </c>
      <c r="J1740" s="2">
        <f ca="1">IFERROR(__xludf.DUMMYFUNCTION("""COMPUTED_VALUE"""),46.846)</f>
        <v>46.845999999999997</v>
      </c>
      <c r="K1740" s="2">
        <f ca="1">IFERROR(__xludf.DUMMYFUNCTION("""COMPUTED_VALUE"""),66.021)</f>
        <v>66.021000000000001</v>
      </c>
      <c r="M1740" s="2">
        <f ca="1">IFERROR(__xludf.DUMMYFUNCTION("""COMPUTED_VALUE"""),16.93)</f>
        <v>16.93</v>
      </c>
      <c r="U1740" s="3" t="e">
        <f ca="1"/>
        <v>#NAME?</v>
      </c>
    </row>
    <row r="1741" spans="3:21" ht="12.5" x14ac:dyDescent="0.25">
      <c r="C1741" s="4">
        <f ca="1">IFERROR(__xludf.DUMMYFUNCTION("""COMPUTED_VALUE"""),42084.9986111111)</f>
        <v>42084.998611111099</v>
      </c>
      <c r="D1741" s="2">
        <f ca="1">IFERROR(__xludf.DUMMYFUNCTION("""COMPUTED_VALUE"""),62.319)</f>
        <v>62.319000000000003</v>
      </c>
      <c r="E1741" s="2">
        <f ca="1">IFERROR(__xludf.DUMMYFUNCTION("""COMPUTED_VALUE"""),69.626)</f>
        <v>69.626000000000005</v>
      </c>
      <c r="F1741" s="2">
        <f ca="1">IFERROR(__xludf.DUMMYFUNCTION("""COMPUTED_VALUE"""),95.755)</f>
        <v>95.754999999999995</v>
      </c>
      <c r="G1741" s="2">
        <f ca="1">IFERROR(__xludf.DUMMYFUNCTION("""COMPUTED_VALUE"""),0.56135)</f>
        <v>0.56135000000000002</v>
      </c>
      <c r="H1741" s="2">
        <f ca="1">IFERROR(__xludf.DUMMYFUNCTION("""COMPUTED_VALUE"""),47.224)</f>
        <v>47.223999999999997</v>
      </c>
      <c r="I1741" s="2">
        <f ca="1">IFERROR(__xludf.DUMMYFUNCTION("""COMPUTED_VALUE"""),49.813)</f>
        <v>49.813000000000002</v>
      </c>
      <c r="J1741" s="2">
        <f ca="1">IFERROR(__xludf.DUMMYFUNCTION("""COMPUTED_VALUE"""),47.003)</f>
        <v>47.003</v>
      </c>
      <c r="K1741" s="2">
        <f ca="1">IFERROR(__xludf.DUMMYFUNCTION("""COMPUTED_VALUE"""),65.816)</f>
        <v>65.816000000000003</v>
      </c>
      <c r="M1741" s="2">
        <f ca="1">IFERROR(__xludf.DUMMYFUNCTION("""COMPUTED_VALUE"""),16.91)</f>
        <v>16.91</v>
      </c>
      <c r="U1741" s="3" t="e">
        <f ca="1"/>
        <v>#NAME?</v>
      </c>
    </row>
    <row r="1742" spans="3:21" ht="12.5" x14ac:dyDescent="0.25">
      <c r="C1742" s="4">
        <f ca="1">IFERROR(__xludf.DUMMYFUNCTION("""COMPUTED_VALUE"""),42085.9986111111)</f>
        <v>42085.998611111099</v>
      </c>
      <c r="D1742" s="2">
        <f ca="1">IFERROR(__xludf.DUMMYFUNCTION("""COMPUTED_VALUE"""),62.319)</f>
        <v>62.319000000000003</v>
      </c>
      <c r="E1742" s="2">
        <f ca="1">IFERROR(__xludf.DUMMYFUNCTION("""COMPUTED_VALUE"""),69.433)</f>
        <v>69.433000000000007</v>
      </c>
      <c r="F1742" s="2">
        <f ca="1">IFERROR(__xludf.DUMMYFUNCTION("""COMPUTED_VALUE"""),95.526)</f>
        <v>95.525999999999996</v>
      </c>
      <c r="G1742" s="2">
        <f ca="1">IFERROR(__xludf.DUMMYFUNCTION("""COMPUTED_VALUE"""),0.55862)</f>
        <v>0.55862000000000001</v>
      </c>
      <c r="H1742" s="2">
        <f ca="1">IFERROR(__xludf.DUMMYFUNCTION("""COMPUTED_VALUE"""),47.152)</f>
        <v>47.152000000000001</v>
      </c>
      <c r="I1742" s="2">
        <f ca="1">IFERROR(__xludf.DUMMYFUNCTION("""COMPUTED_VALUE"""),49.97)</f>
        <v>49.97</v>
      </c>
      <c r="J1742" s="2">
        <f ca="1">IFERROR(__xludf.DUMMYFUNCTION("""COMPUTED_VALUE"""),46.901)</f>
        <v>46.901000000000003</v>
      </c>
      <c r="K1742" s="2">
        <f ca="1">IFERROR(__xludf.DUMMYFUNCTION("""COMPUTED_VALUE"""),64.926)</f>
        <v>64.926000000000002</v>
      </c>
      <c r="M1742" s="2">
        <f ca="1">IFERROR(__xludf.DUMMYFUNCTION("""COMPUTED_VALUE"""),16.9)</f>
        <v>16.899999999999999</v>
      </c>
      <c r="U1742" s="3" t="e">
        <f ca="1"/>
        <v>#NAME?</v>
      </c>
    </row>
    <row r="1743" spans="3:21" ht="12.5" x14ac:dyDescent="0.25">
      <c r="C1743" s="4">
        <f ca="1">IFERROR(__xludf.DUMMYFUNCTION("""COMPUTED_VALUE"""),42086.9986111111)</f>
        <v>42086.998611111099</v>
      </c>
      <c r="D1743" s="2">
        <f ca="1">IFERROR(__xludf.DUMMYFUNCTION("""COMPUTED_VALUE"""),62.223)</f>
        <v>62.222999999999999</v>
      </c>
      <c r="E1743" s="2">
        <f ca="1">IFERROR(__xludf.DUMMYFUNCTION("""COMPUTED_VALUE"""),69.018)</f>
        <v>69.018000000000001</v>
      </c>
      <c r="F1743" s="2">
        <f ca="1">IFERROR(__xludf.DUMMYFUNCTION("""COMPUTED_VALUE"""),95.623)</f>
        <v>95.623000000000005</v>
      </c>
      <c r="G1743" s="2">
        <f ca="1">IFERROR(__xludf.DUMMYFUNCTION("""COMPUTED_VALUE"""),0.54974)</f>
        <v>0.54974000000000001</v>
      </c>
      <c r="H1743" s="2">
        <f ca="1">IFERROR(__xludf.DUMMYFUNCTION("""COMPUTED_VALUE"""),46.911)</f>
        <v>46.911000000000001</v>
      </c>
      <c r="I1743" s="2">
        <f ca="1">IFERROR(__xludf.DUMMYFUNCTION("""COMPUTED_VALUE"""),49.752)</f>
        <v>49.752000000000002</v>
      </c>
      <c r="J1743" s="2">
        <f ca="1">IFERROR(__xludf.DUMMYFUNCTION("""COMPUTED_VALUE"""),46.853)</f>
        <v>46.853000000000002</v>
      </c>
      <c r="K1743" s="2">
        <f ca="1">IFERROR(__xludf.DUMMYFUNCTION("""COMPUTED_VALUE"""),66.316)</f>
        <v>66.316000000000003</v>
      </c>
      <c r="M1743" s="2">
        <f ca="1">IFERROR(__xludf.DUMMYFUNCTION("""COMPUTED_VALUE"""),16.925)</f>
        <v>16.925000000000001</v>
      </c>
      <c r="U1743" s="3" t="e">
        <f ca="1"/>
        <v>#NAME?</v>
      </c>
    </row>
    <row r="1744" spans="3:21" ht="12.5" x14ac:dyDescent="0.25">
      <c r="C1744" s="4">
        <f ca="1">IFERROR(__xludf.DUMMYFUNCTION("""COMPUTED_VALUE"""),42087.9986111111)</f>
        <v>42087.998611111099</v>
      </c>
      <c r="D1744" s="2">
        <f ca="1">IFERROR(__xludf.DUMMYFUNCTION("""COMPUTED_VALUE"""),62.278)</f>
        <v>62.277999999999999</v>
      </c>
      <c r="E1744" s="2">
        <f ca="1">IFERROR(__xludf.DUMMYFUNCTION("""COMPUTED_VALUE"""),68.675)</f>
        <v>68.674999999999997</v>
      </c>
      <c r="F1744" s="2">
        <f ca="1">IFERROR(__xludf.DUMMYFUNCTION("""COMPUTED_VALUE"""),95.623)</f>
        <v>95.623000000000005</v>
      </c>
      <c r="G1744" s="2">
        <f ca="1">IFERROR(__xludf.DUMMYFUNCTION("""COMPUTED_VALUE"""),0.54533)</f>
        <v>0.54532999999999998</v>
      </c>
      <c r="H1744" s="2">
        <f ca="1">IFERROR(__xludf.DUMMYFUNCTION("""COMPUTED_VALUE"""),47.099)</f>
        <v>47.098999999999997</v>
      </c>
      <c r="I1744" s="2">
        <f ca="1">IFERROR(__xludf.DUMMYFUNCTION("""COMPUTED_VALUE"""),49.662)</f>
        <v>49.661999999999999</v>
      </c>
      <c r="J1744" s="2">
        <f ca="1">IFERROR(__xludf.DUMMYFUNCTION("""COMPUTED_VALUE"""),46.709)</f>
        <v>46.709000000000003</v>
      </c>
      <c r="K1744" s="2">
        <f ca="1">IFERROR(__xludf.DUMMYFUNCTION("""COMPUTED_VALUE"""),66.736)</f>
        <v>66.736000000000004</v>
      </c>
      <c r="M1744" s="2">
        <f ca="1">IFERROR(__xludf.DUMMYFUNCTION("""COMPUTED_VALUE"""),16.907)</f>
        <v>16.907</v>
      </c>
      <c r="U1744" s="3" t="e">
        <f ca="1"/>
        <v>#NAME?</v>
      </c>
    </row>
    <row r="1745" spans="3:21" ht="12.5" x14ac:dyDescent="0.25">
      <c r="C1745" s="4">
        <f ca="1">IFERROR(__xludf.DUMMYFUNCTION("""COMPUTED_VALUE"""),42088.9986111111)</f>
        <v>42088.998611111099</v>
      </c>
      <c r="D1745" s="2">
        <f ca="1">IFERROR(__xludf.DUMMYFUNCTION("""COMPUTED_VALUE"""),62.462)</f>
        <v>62.462000000000003</v>
      </c>
      <c r="E1745" s="2">
        <f ca="1">IFERROR(__xludf.DUMMYFUNCTION("""COMPUTED_VALUE"""),68.675)</f>
        <v>68.674999999999997</v>
      </c>
      <c r="F1745" s="2">
        <f ca="1">IFERROR(__xludf.DUMMYFUNCTION("""COMPUTED_VALUE"""),95.958)</f>
        <v>95.957999999999998</v>
      </c>
      <c r="G1745" s="2">
        <f ca="1">IFERROR(__xludf.DUMMYFUNCTION("""COMPUTED_VALUE"""),0.5429)</f>
        <v>0.54290000000000005</v>
      </c>
      <c r="H1745" s="2">
        <f ca="1">IFERROR(__xludf.DUMMYFUNCTION("""COMPUTED_VALUE"""),46.777)</f>
        <v>46.777000000000001</v>
      </c>
      <c r="I1745" s="2">
        <f ca="1">IFERROR(__xludf.DUMMYFUNCTION("""COMPUTED_VALUE"""),49.086)</f>
        <v>49.085999999999999</v>
      </c>
      <c r="J1745" s="2">
        <f ca="1">IFERROR(__xludf.DUMMYFUNCTION("""COMPUTED_VALUE"""),46.486)</f>
        <v>46.485999999999997</v>
      </c>
      <c r="K1745" s="2">
        <f ca="1">IFERROR(__xludf.DUMMYFUNCTION("""COMPUTED_VALUE"""),66.768)</f>
        <v>66.768000000000001</v>
      </c>
      <c r="M1745" s="2">
        <f ca="1">IFERROR(__xludf.DUMMYFUNCTION("""COMPUTED_VALUE"""),16.907)</f>
        <v>16.907</v>
      </c>
      <c r="U1745" s="3" t="e">
        <f ca="1"/>
        <v>#NAME?</v>
      </c>
    </row>
    <row r="1746" spans="3:21" ht="12.5" x14ac:dyDescent="0.25">
      <c r="C1746" s="4">
        <f ca="1">IFERROR(__xludf.DUMMYFUNCTION("""COMPUTED_VALUE"""),42089.9986111111)</f>
        <v>42089.998611111099</v>
      </c>
      <c r="D1746" s="2">
        <f ca="1">IFERROR(__xludf.DUMMYFUNCTION("""COMPUTED_VALUE"""),62.829)</f>
        <v>62.829000000000001</v>
      </c>
      <c r="E1746" s="2">
        <f ca="1">IFERROR(__xludf.DUMMYFUNCTION("""COMPUTED_VALUE"""),68.856)</f>
        <v>68.855999999999995</v>
      </c>
      <c r="F1746" s="2">
        <f ca="1">IFERROR(__xludf.DUMMYFUNCTION("""COMPUTED_VALUE"""),96.154)</f>
        <v>96.153999999999996</v>
      </c>
      <c r="G1746" s="2">
        <f ca="1">IFERROR(__xludf.DUMMYFUNCTION("""COMPUTED_VALUE"""),0.54737)</f>
        <v>0.54737000000000002</v>
      </c>
      <c r="H1746" s="2">
        <f ca="1">IFERROR(__xludf.DUMMYFUNCTION("""COMPUTED_VALUE"""),47.005)</f>
        <v>47.005000000000003</v>
      </c>
      <c r="I1746" s="2">
        <f ca="1">IFERROR(__xludf.DUMMYFUNCTION("""COMPUTED_VALUE"""),48.897)</f>
        <v>48.896999999999998</v>
      </c>
      <c r="J1746" s="2">
        <f ca="1">IFERROR(__xludf.DUMMYFUNCTION("""COMPUTED_VALUE"""),46.448)</f>
        <v>46.448</v>
      </c>
      <c r="K1746" s="2">
        <f ca="1">IFERROR(__xludf.DUMMYFUNCTION("""COMPUTED_VALUE"""),66.238)</f>
        <v>66.238</v>
      </c>
      <c r="M1746" s="2">
        <f ca="1">IFERROR(__xludf.DUMMYFUNCTION("""COMPUTED_VALUE"""),16.907)</f>
        <v>16.907</v>
      </c>
      <c r="U1746" s="3" t="e">
        <f ca="1"/>
        <v>#NAME?</v>
      </c>
    </row>
    <row r="1747" spans="3:21" ht="12.5" x14ac:dyDescent="0.25">
      <c r="C1747" s="4">
        <f ca="1">IFERROR(__xludf.DUMMYFUNCTION("""COMPUTED_VALUE"""),42090.9986111111)</f>
        <v>42090.998611111099</v>
      </c>
      <c r="D1747" s="2">
        <f ca="1">IFERROR(__xludf.DUMMYFUNCTION("""COMPUTED_VALUE"""),62.515)</f>
        <v>62.515000000000001</v>
      </c>
      <c r="E1747" s="2">
        <f ca="1">IFERROR(__xludf.DUMMYFUNCTION("""COMPUTED_VALUE"""),69.459)</f>
        <v>69.459000000000003</v>
      </c>
      <c r="F1747" s="2">
        <f ca="1">IFERROR(__xludf.DUMMYFUNCTION("""COMPUTED_VALUE"""),95.986)</f>
        <v>95.986000000000004</v>
      </c>
      <c r="G1747" s="2">
        <f ca="1">IFERROR(__xludf.DUMMYFUNCTION("""COMPUTED_VALUE"""),0.55431)</f>
        <v>0.55430999999999997</v>
      </c>
      <c r="H1747" s="2">
        <f ca="1">IFERROR(__xludf.DUMMYFUNCTION("""COMPUTED_VALUE"""),46.748)</f>
        <v>46.747999999999998</v>
      </c>
      <c r="I1747" s="2">
        <f ca="1">IFERROR(__xludf.DUMMYFUNCTION("""COMPUTED_VALUE"""),48.88)</f>
        <v>48.88</v>
      </c>
      <c r="J1747" s="2">
        <f ca="1">IFERROR(__xludf.DUMMYFUNCTION("""COMPUTED_VALUE"""),46.411)</f>
        <v>46.411000000000001</v>
      </c>
      <c r="K1747" s="2">
        <f ca="1">IFERROR(__xludf.DUMMYFUNCTION("""COMPUTED_VALUE"""),65.839)</f>
        <v>65.838999999999999</v>
      </c>
      <c r="M1747" s="2">
        <f ca="1">IFERROR(__xludf.DUMMYFUNCTION("""COMPUTED_VALUE"""),16.926)</f>
        <v>16.925999999999998</v>
      </c>
      <c r="U1747" s="3" t="e">
        <f ca="1"/>
        <v>#NAME?</v>
      </c>
    </row>
    <row r="1748" spans="3:21" ht="12.5" x14ac:dyDescent="0.25">
      <c r="C1748" s="4">
        <f ca="1">IFERROR(__xludf.DUMMYFUNCTION("""COMPUTED_VALUE"""),42091.9986111111)</f>
        <v>42091.998611111099</v>
      </c>
      <c r="D1748" s="2">
        <f ca="1">IFERROR(__xludf.DUMMYFUNCTION("""COMPUTED_VALUE"""),62.522)</f>
        <v>62.521999999999998</v>
      </c>
      <c r="E1748" s="2">
        <f ca="1">IFERROR(__xludf.DUMMYFUNCTION("""COMPUTED_VALUE"""),69.485)</f>
        <v>69.484999999999999</v>
      </c>
      <c r="F1748" s="2">
        <f ca="1">IFERROR(__xludf.DUMMYFUNCTION("""COMPUTED_VALUE"""),95.105)</f>
        <v>95.105000000000004</v>
      </c>
      <c r="G1748" s="2">
        <f ca="1">IFERROR(__xludf.DUMMYFUNCTION("""COMPUTED_VALUE"""),0.54856)</f>
        <v>0.54856000000000005</v>
      </c>
      <c r="H1748" s="2">
        <f ca="1">IFERROR(__xludf.DUMMYFUNCTION("""COMPUTED_VALUE"""),46.721)</f>
        <v>46.720999999999997</v>
      </c>
      <c r="I1748" s="2">
        <f ca="1">IFERROR(__xludf.DUMMYFUNCTION("""COMPUTED_VALUE"""),48.827)</f>
        <v>48.826999999999998</v>
      </c>
      <c r="J1748" s="2">
        <f ca="1">IFERROR(__xludf.DUMMYFUNCTION("""COMPUTED_VALUE"""),46.364)</f>
        <v>46.363999999999997</v>
      </c>
      <c r="K1748" s="2">
        <f ca="1">IFERROR(__xludf.DUMMYFUNCTION("""COMPUTED_VALUE"""),67.396)</f>
        <v>67.396000000000001</v>
      </c>
      <c r="M1748" s="2">
        <f ca="1">IFERROR(__xludf.DUMMYFUNCTION("""COMPUTED_VALUE"""),16.943)</f>
        <v>16.943000000000001</v>
      </c>
      <c r="U1748" s="3" t="e">
        <f ca="1"/>
        <v>#NAME?</v>
      </c>
    </row>
    <row r="1749" spans="3:21" ht="12.5" x14ac:dyDescent="0.25">
      <c r="C1749" s="4">
        <f ca="1">IFERROR(__xludf.DUMMYFUNCTION("""COMPUTED_VALUE"""),42092.9986111111)</f>
        <v>42092.998611111099</v>
      </c>
      <c r="D1749" s="2">
        <f ca="1">IFERROR(__xludf.DUMMYFUNCTION("""COMPUTED_VALUE"""),62.522)</f>
        <v>62.521999999999998</v>
      </c>
      <c r="E1749" s="2">
        <f ca="1">IFERROR(__xludf.DUMMYFUNCTION("""COMPUTED_VALUE"""),70.078)</f>
        <v>70.078000000000003</v>
      </c>
      <c r="F1749" s="2">
        <f ca="1">IFERROR(__xludf.DUMMYFUNCTION("""COMPUTED_VALUE"""),95.033)</f>
        <v>95.033000000000001</v>
      </c>
      <c r="G1749" s="2">
        <f ca="1">IFERROR(__xludf.DUMMYFUNCTION("""COMPUTED_VALUE"""),0.55052)</f>
        <v>0.55052000000000001</v>
      </c>
      <c r="H1749" s="2">
        <f ca="1">IFERROR(__xludf.DUMMYFUNCTION("""COMPUTED_VALUE"""),46.871)</f>
        <v>46.871000000000002</v>
      </c>
      <c r="I1749" s="2">
        <f ca="1">IFERROR(__xludf.DUMMYFUNCTION("""COMPUTED_VALUE"""),48.895)</f>
        <v>48.895000000000003</v>
      </c>
      <c r="J1749" s="2">
        <f ca="1">IFERROR(__xludf.DUMMYFUNCTION("""COMPUTED_VALUE"""),46.319)</f>
        <v>46.319000000000003</v>
      </c>
      <c r="K1749" s="2">
        <f ca="1">IFERROR(__xludf.DUMMYFUNCTION("""COMPUTED_VALUE"""),68.046)</f>
        <v>68.046000000000006</v>
      </c>
      <c r="M1749" s="2">
        <f ca="1">IFERROR(__xludf.DUMMYFUNCTION("""COMPUTED_VALUE"""),16.846)</f>
        <v>16.846</v>
      </c>
      <c r="U1749" s="3" t="e">
        <f ca="1"/>
        <v>#NAME?</v>
      </c>
    </row>
    <row r="1750" spans="3:21" ht="12.5" x14ac:dyDescent="0.25">
      <c r="C1750" s="4">
        <f ca="1">IFERROR(__xludf.DUMMYFUNCTION("""COMPUTED_VALUE"""),42093.9986111111)</f>
        <v>42093.998611111099</v>
      </c>
      <c r="D1750" s="2">
        <f ca="1">IFERROR(__xludf.DUMMYFUNCTION("""COMPUTED_VALUE"""),62.509)</f>
        <v>62.509</v>
      </c>
      <c r="E1750" s="2">
        <f ca="1">IFERROR(__xludf.DUMMYFUNCTION("""COMPUTED_VALUE"""),70.347)</f>
        <v>70.346999999999994</v>
      </c>
      <c r="F1750" s="2">
        <f ca="1">IFERROR(__xludf.DUMMYFUNCTION("""COMPUTED_VALUE"""),95.186)</f>
        <v>95.186000000000007</v>
      </c>
      <c r="G1750" s="2">
        <f ca="1">IFERROR(__xludf.DUMMYFUNCTION("""COMPUTED_VALUE"""),0.55956)</f>
        <v>0.55955999999999995</v>
      </c>
      <c r="H1750" s="2">
        <f ca="1">IFERROR(__xludf.DUMMYFUNCTION("""COMPUTED_VALUE"""),47.147)</f>
        <v>47.146999999999998</v>
      </c>
      <c r="I1750" s="2">
        <f ca="1">IFERROR(__xludf.DUMMYFUNCTION("""COMPUTED_VALUE"""),49.068)</f>
        <v>49.067999999999998</v>
      </c>
      <c r="J1750" s="2">
        <f ca="1">IFERROR(__xludf.DUMMYFUNCTION("""COMPUTED_VALUE"""),46.346)</f>
        <v>46.345999999999997</v>
      </c>
      <c r="K1750" s="2">
        <f ca="1">IFERROR(__xludf.DUMMYFUNCTION("""COMPUTED_VALUE"""),68.178)</f>
        <v>68.177999999999997</v>
      </c>
      <c r="M1750" s="2">
        <f ca="1">IFERROR(__xludf.DUMMYFUNCTION("""COMPUTED_VALUE"""),16.813)</f>
        <v>16.812999999999999</v>
      </c>
      <c r="U1750" s="3" t="e">
        <f ca="1"/>
        <v>#NAME?</v>
      </c>
    </row>
    <row r="1751" spans="3:21" ht="12.5" x14ac:dyDescent="0.25">
      <c r="C1751" s="4">
        <f ca="1">IFERROR(__xludf.DUMMYFUNCTION("""COMPUTED_VALUE"""),42094.9986111111)</f>
        <v>42094.998611111099</v>
      </c>
      <c r="D1751" s="2">
        <f ca="1">IFERROR(__xludf.DUMMYFUNCTION("""COMPUTED_VALUE"""),62.306)</f>
        <v>62.305999999999997</v>
      </c>
      <c r="E1751" s="2">
        <f ca="1">IFERROR(__xludf.DUMMYFUNCTION("""COMPUTED_VALUE"""),71.142)</f>
        <v>71.141999999999996</v>
      </c>
      <c r="F1751" s="2">
        <f ca="1">IFERROR(__xludf.DUMMYFUNCTION("""COMPUTED_VALUE"""),95.186)</f>
        <v>95.186000000000007</v>
      </c>
      <c r="G1751" s="2">
        <f ca="1">IFERROR(__xludf.DUMMYFUNCTION("""COMPUTED_VALUE"""),0.55886)</f>
        <v>0.55886000000000002</v>
      </c>
      <c r="H1751" s="2">
        <f ca="1">IFERROR(__xludf.DUMMYFUNCTION("""COMPUTED_VALUE"""),46.91)</f>
        <v>46.91</v>
      </c>
      <c r="I1751" s="2">
        <f ca="1">IFERROR(__xludf.DUMMYFUNCTION("""COMPUTED_VALUE"""),48.774)</f>
        <v>48.774000000000001</v>
      </c>
      <c r="J1751" s="2">
        <f ca="1">IFERROR(__xludf.DUMMYFUNCTION("""COMPUTED_VALUE"""),46.573)</f>
        <v>46.573</v>
      </c>
      <c r="K1751" s="2">
        <f ca="1">IFERROR(__xludf.DUMMYFUNCTION("""COMPUTED_VALUE"""),68.028)</f>
        <v>68.028000000000006</v>
      </c>
      <c r="M1751" s="2">
        <f ca="1">IFERROR(__xludf.DUMMYFUNCTION("""COMPUTED_VALUE"""),16.785)</f>
        <v>16.785</v>
      </c>
      <c r="U1751" s="3" t="e">
        <f ca="1"/>
        <v>#NAME?</v>
      </c>
    </row>
    <row r="1752" spans="3:21" ht="12.5" x14ac:dyDescent="0.25">
      <c r="C1752" s="4">
        <f ca="1">IFERROR(__xludf.DUMMYFUNCTION("""COMPUTED_VALUE"""),42095.9986111111)</f>
        <v>42095.998611111099</v>
      </c>
      <c r="D1752" s="2">
        <f ca="1">IFERROR(__xludf.DUMMYFUNCTION("""COMPUTED_VALUE"""),62.169)</f>
        <v>62.168999999999997</v>
      </c>
      <c r="E1752" s="2">
        <f ca="1">IFERROR(__xludf.DUMMYFUNCTION("""COMPUTED_VALUE"""),70.559)</f>
        <v>70.558999999999997</v>
      </c>
      <c r="F1752" s="2">
        <f ca="1">IFERROR(__xludf.DUMMYFUNCTION("""COMPUTED_VALUE"""),94.948)</f>
        <v>94.947999999999993</v>
      </c>
      <c r="G1752" s="2">
        <f ca="1">IFERROR(__xludf.DUMMYFUNCTION("""COMPUTED_VALUE"""),0.55239)</f>
        <v>0.55239000000000005</v>
      </c>
      <c r="H1752" s="2">
        <f ca="1">IFERROR(__xludf.DUMMYFUNCTION("""COMPUTED_VALUE"""),46.916)</f>
        <v>46.915999999999997</v>
      </c>
      <c r="I1752" s="2">
        <f ca="1">IFERROR(__xludf.DUMMYFUNCTION("""COMPUTED_VALUE"""),48.985)</f>
        <v>48.984999999999999</v>
      </c>
      <c r="J1752" s="2">
        <f ca="1">IFERROR(__xludf.DUMMYFUNCTION("""COMPUTED_VALUE"""),46.58)</f>
        <v>46.58</v>
      </c>
      <c r="K1752" s="2">
        <f ca="1">IFERROR(__xludf.DUMMYFUNCTION("""COMPUTED_VALUE"""),68.241)</f>
        <v>68.241</v>
      </c>
      <c r="M1752" s="2">
        <f ca="1">IFERROR(__xludf.DUMMYFUNCTION("""COMPUTED_VALUE"""),16.785)</f>
        <v>16.785</v>
      </c>
      <c r="U1752" s="3" t="e">
        <f ca="1"/>
        <v>#NAME?</v>
      </c>
    </row>
    <row r="1753" spans="3:21" ht="12.5" x14ac:dyDescent="0.25">
      <c r="C1753" s="4">
        <f ca="1">IFERROR(__xludf.DUMMYFUNCTION("""COMPUTED_VALUE"""),42096.9986111111)</f>
        <v>42096.998611111099</v>
      </c>
      <c r="D1753" s="2">
        <f ca="1">IFERROR(__xludf.DUMMYFUNCTION("""COMPUTED_VALUE"""),62.06)</f>
        <v>62.06</v>
      </c>
      <c r="E1753" s="2">
        <f ca="1">IFERROR(__xludf.DUMMYFUNCTION("""COMPUTED_VALUE"""),70.091)</f>
        <v>70.090999999999994</v>
      </c>
      <c r="F1753" s="2">
        <f ca="1">IFERROR(__xludf.DUMMYFUNCTION("""COMPUTED_VALUE"""),94.864)</f>
        <v>94.864000000000004</v>
      </c>
      <c r="G1753" s="2">
        <f ca="1">IFERROR(__xludf.DUMMYFUNCTION("""COMPUTED_VALUE"""),0.5532)</f>
        <v>0.55320000000000003</v>
      </c>
      <c r="H1753" s="2">
        <f ca="1">IFERROR(__xludf.DUMMYFUNCTION("""COMPUTED_VALUE"""),46.672)</f>
        <v>46.671999999999997</v>
      </c>
      <c r="I1753" s="2">
        <f ca="1">IFERROR(__xludf.DUMMYFUNCTION("""COMPUTED_VALUE"""),49.087)</f>
        <v>49.087000000000003</v>
      </c>
      <c r="J1753" s="2">
        <f ca="1">IFERROR(__xludf.DUMMYFUNCTION("""COMPUTED_VALUE"""),46.588)</f>
        <v>46.588000000000001</v>
      </c>
      <c r="K1753" s="2">
        <f ca="1">IFERROR(__xludf.DUMMYFUNCTION("""COMPUTED_VALUE"""),69.38)</f>
        <v>69.38</v>
      </c>
      <c r="M1753" s="2">
        <f ca="1">IFERROR(__xludf.DUMMYFUNCTION("""COMPUTED_VALUE"""),16.785)</f>
        <v>16.785</v>
      </c>
      <c r="U1753" s="3" t="e">
        <f ca="1"/>
        <v>#NAME?</v>
      </c>
    </row>
    <row r="1754" spans="3:21" ht="12.5" x14ac:dyDescent="0.25">
      <c r="C1754" s="4">
        <f ca="1">IFERROR(__xludf.DUMMYFUNCTION("""COMPUTED_VALUE"""),42097.9986111111)</f>
        <v>42097.998611111099</v>
      </c>
      <c r="D1754" s="2">
        <f ca="1">IFERROR(__xludf.DUMMYFUNCTION("""COMPUTED_VALUE"""),62.06)</f>
        <v>62.06</v>
      </c>
      <c r="E1754" s="2">
        <f ca="1">IFERROR(__xludf.DUMMYFUNCTION("""COMPUTED_VALUE"""),70.071)</f>
        <v>70.070999999999998</v>
      </c>
      <c r="F1754" s="2">
        <f ca="1">IFERROR(__xludf.DUMMYFUNCTION("""COMPUTED_VALUE"""),94.994)</f>
        <v>94.994</v>
      </c>
      <c r="G1754" s="2">
        <f ca="1">IFERROR(__xludf.DUMMYFUNCTION("""COMPUTED_VALUE"""),0.54923)</f>
        <v>0.54923</v>
      </c>
      <c r="H1754" s="2">
        <f ca="1">IFERROR(__xludf.DUMMYFUNCTION("""COMPUTED_VALUE"""),46.674)</f>
        <v>46.673999999999999</v>
      </c>
      <c r="I1754" s="2">
        <f ca="1">IFERROR(__xludf.DUMMYFUNCTION("""COMPUTED_VALUE"""),49.203)</f>
        <v>49.203000000000003</v>
      </c>
      <c r="J1754" s="2">
        <f ca="1">IFERROR(__xludf.DUMMYFUNCTION("""COMPUTED_VALUE"""),46.676)</f>
        <v>46.676000000000002</v>
      </c>
      <c r="K1754" s="2">
        <f ca="1">IFERROR(__xludf.DUMMYFUNCTION("""COMPUTED_VALUE"""),69.453)</f>
        <v>69.453000000000003</v>
      </c>
      <c r="M1754" s="2">
        <f ca="1">IFERROR(__xludf.DUMMYFUNCTION("""COMPUTED_VALUE"""),16.853)</f>
        <v>16.853000000000002</v>
      </c>
      <c r="U1754" s="3" t="e">
        <f ca="1"/>
        <v>#NAME?</v>
      </c>
    </row>
    <row r="1755" spans="3:21" ht="12.5" x14ac:dyDescent="0.25">
      <c r="C1755" s="4">
        <f ca="1">IFERROR(__xludf.DUMMYFUNCTION("""COMPUTED_VALUE"""),42098.9986111111)</f>
        <v>42098.998611111099</v>
      </c>
      <c r="D1755" s="2">
        <f ca="1">IFERROR(__xludf.DUMMYFUNCTION("""COMPUTED_VALUE"""),61.85)</f>
        <v>61.85</v>
      </c>
      <c r="E1755" s="2">
        <f ca="1">IFERROR(__xludf.DUMMYFUNCTION("""COMPUTED_VALUE"""),70.22)</f>
        <v>70.22</v>
      </c>
      <c r="F1755" s="2">
        <f ca="1">IFERROR(__xludf.DUMMYFUNCTION("""COMPUTED_VALUE"""),95.11)</f>
        <v>95.11</v>
      </c>
      <c r="G1755" s="2">
        <f ca="1">IFERROR(__xludf.DUMMYFUNCTION("""COMPUTED_VALUE"""),0.54871)</f>
        <v>0.54871000000000003</v>
      </c>
      <c r="H1755" s="2">
        <f ca="1">IFERROR(__xludf.DUMMYFUNCTION("""COMPUTED_VALUE"""),46.849)</f>
        <v>46.848999999999997</v>
      </c>
      <c r="I1755" s="2">
        <f ca="1">IFERROR(__xludf.DUMMYFUNCTION("""COMPUTED_VALUE"""),49.323)</f>
        <v>49.323</v>
      </c>
      <c r="J1755" s="2">
        <f ca="1">IFERROR(__xludf.DUMMYFUNCTION("""COMPUTED_VALUE"""),46.853)</f>
        <v>46.853000000000002</v>
      </c>
      <c r="K1755" s="2">
        <f ca="1">IFERROR(__xludf.DUMMYFUNCTION("""COMPUTED_VALUE"""),68.361)</f>
        <v>68.361000000000004</v>
      </c>
      <c r="M1755" s="2">
        <f ca="1">IFERROR(__xludf.DUMMYFUNCTION("""COMPUTED_VALUE"""),16.829)</f>
        <v>16.829000000000001</v>
      </c>
      <c r="U1755" s="3" t="e">
        <f ca="1"/>
        <v>#NAME?</v>
      </c>
    </row>
    <row r="1756" spans="3:21" ht="12.5" x14ac:dyDescent="0.25">
      <c r="C1756" s="4">
        <f ca="1">IFERROR(__xludf.DUMMYFUNCTION("""COMPUTED_VALUE"""),42099.9986111111)</f>
        <v>42099.998611111099</v>
      </c>
      <c r="D1756" s="2">
        <f ca="1">IFERROR(__xludf.DUMMYFUNCTION("""COMPUTED_VALUE"""),61.85)</f>
        <v>61.85</v>
      </c>
      <c r="E1756" s="2">
        <f ca="1">IFERROR(__xludf.DUMMYFUNCTION("""COMPUTED_VALUE"""),70.169)</f>
        <v>70.168999999999997</v>
      </c>
      <c r="F1756" s="2">
        <f ca="1">IFERROR(__xludf.DUMMYFUNCTION("""COMPUTED_VALUE"""),93.857)</f>
        <v>93.856999999999999</v>
      </c>
      <c r="G1756" s="2">
        <f ca="1">IFERROR(__xludf.DUMMYFUNCTION("""COMPUTED_VALUE"""),0.55042)</f>
        <v>0.55042000000000002</v>
      </c>
      <c r="H1756" s="2">
        <f ca="1">IFERROR(__xludf.DUMMYFUNCTION("""COMPUTED_VALUE"""),46.572)</f>
        <v>46.572000000000003</v>
      </c>
      <c r="I1756" s="2">
        <f ca="1">IFERROR(__xludf.DUMMYFUNCTION("""COMPUTED_VALUE"""),49.277)</f>
        <v>49.277000000000001</v>
      </c>
      <c r="J1756" s="2">
        <f ca="1">IFERROR(__xludf.DUMMYFUNCTION("""COMPUTED_VALUE"""),46.771)</f>
        <v>46.771000000000001</v>
      </c>
      <c r="K1756" s="2">
        <f ca="1">IFERROR(__xludf.DUMMYFUNCTION("""COMPUTED_VALUE"""),68.427)</f>
        <v>68.427000000000007</v>
      </c>
      <c r="M1756" s="2">
        <f ca="1">IFERROR(__xludf.DUMMYFUNCTION("""COMPUTED_VALUE"""),16.963)</f>
        <v>16.963000000000001</v>
      </c>
      <c r="U1756" s="3" t="e">
        <f ca="1"/>
        <v>#NAME?</v>
      </c>
    </row>
    <row r="1757" spans="3:21" ht="12.5" x14ac:dyDescent="0.25">
      <c r="C1757" s="4">
        <f ca="1">IFERROR(__xludf.DUMMYFUNCTION("""COMPUTED_VALUE"""),42100.9986111111)</f>
        <v>42100.998611111099</v>
      </c>
      <c r="D1757" s="2">
        <f ca="1">IFERROR(__xludf.DUMMYFUNCTION("""COMPUTED_VALUE"""),62.06)</f>
        <v>62.06</v>
      </c>
      <c r="E1757" s="2">
        <f ca="1">IFERROR(__xludf.DUMMYFUNCTION("""COMPUTED_VALUE"""),69.401)</f>
        <v>69.400999999999996</v>
      </c>
      <c r="F1757" s="2">
        <f ca="1">IFERROR(__xludf.DUMMYFUNCTION("""COMPUTED_VALUE"""),94.278)</f>
        <v>94.278000000000006</v>
      </c>
      <c r="G1757" s="2">
        <f ca="1">IFERROR(__xludf.DUMMYFUNCTION("""COMPUTED_VALUE"""),0.551)</f>
        <v>0.55100000000000005</v>
      </c>
      <c r="H1757" s="2">
        <f ca="1">IFERROR(__xludf.DUMMYFUNCTION("""COMPUTED_VALUE"""),46.729)</f>
        <v>46.728999999999999</v>
      </c>
      <c r="I1757" s="2">
        <f ca="1">IFERROR(__xludf.DUMMYFUNCTION("""COMPUTED_VALUE"""),49.253)</f>
        <v>49.253</v>
      </c>
      <c r="J1757" s="2">
        <f ca="1">IFERROR(__xludf.DUMMYFUNCTION("""COMPUTED_VALUE"""),46.594)</f>
        <v>46.594000000000001</v>
      </c>
      <c r="K1757" s="2">
        <f ca="1">IFERROR(__xludf.DUMMYFUNCTION("""COMPUTED_VALUE"""),69.09)</f>
        <v>69.09</v>
      </c>
      <c r="M1757" s="2">
        <f ca="1">IFERROR(__xludf.DUMMYFUNCTION("""COMPUTED_VALUE"""),17.001)</f>
        <v>17.001000000000001</v>
      </c>
      <c r="U1757" s="3" t="e">
        <f ca="1"/>
        <v>#NAME?</v>
      </c>
    </row>
    <row r="1758" spans="3:21" ht="12.5" x14ac:dyDescent="0.25">
      <c r="C1758" s="4">
        <f ca="1">IFERROR(__xludf.DUMMYFUNCTION("""COMPUTED_VALUE"""),42101.9986111111)</f>
        <v>42101.998611111099</v>
      </c>
      <c r="D1758" s="2">
        <f ca="1">IFERROR(__xludf.DUMMYFUNCTION("""COMPUTED_VALUE"""),62.309)</f>
        <v>62.308999999999997</v>
      </c>
      <c r="E1758" s="2">
        <f ca="1">IFERROR(__xludf.DUMMYFUNCTION("""COMPUTED_VALUE"""),69.376)</f>
        <v>69.376000000000005</v>
      </c>
      <c r="F1758" s="2">
        <f ca="1">IFERROR(__xludf.DUMMYFUNCTION("""COMPUTED_VALUE"""),94.278)</f>
        <v>94.278000000000006</v>
      </c>
      <c r="G1758" s="2">
        <f ca="1">IFERROR(__xludf.DUMMYFUNCTION("""COMPUTED_VALUE"""),0.54864)</f>
        <v>0.54864000000000002</v>
      </c>
      <c r="H1758" s="2">
        <f ca="1">IFERROR(__xludf.DUMMYFUNCTION("""COMPUTED_VALUE"""),46.701)</f>
        <v>46.701000000000001</v>
      </c>
      <c r="I1758" s="2">
        <f ca="1">IFERROR(__xludf.DUMMYFUNCTION("""COMPUTED_VALUE"""),48.842)</f>
        <v>48.841999999999999</v>
      </c>
      <c r="J1758" s="2">
        <f ca="1">IFERROR(__xludf.DUMMYFUNCTION("""COMPUTED_VALUE"""),46.594)</f>
        <v>46.594000000000001</v>
      </c>
      <c r="K1758" s="2">
        <f ca="1">IFERROR(__xludf.DUMMYFUNCTION("""COMPUTED_VALUE"""),69.76)</f>
        <v>69.760000000000005</v>
      </c>
      <c r="M1758" s="2">
        <f ca="1">IFERROR(__xludf.DUMMYFUNCTION("""COMPUTED_VALUE"""),17.003)</f>
        <v>17.003</v>
      </c>
      <c r="U1758" s="3" t="e">
        <f ca="1"/>
        <v>#NAME?</v>
      </c>
    </row>
    <row r="1759" spans="3:21" ht="12.5" x14ac:dyDescent="0.25">
      <c r="C1759" s="4">
        <f ca="1">IFERROR(__xludf.DUMMYFUNCTION("""COMPUTED_VALUE"""),42102.9986111111)</f>
        <v>42102.998611111099</v>
      </c>
      <c r="D1759" s="2">
        <f ca="1">IFERROR(__xludf.DUMMYFUNCTION("""COMPUTED_VALUE"""),62.182)</f>
        <v>62.182000000000002</v>
      </c>
      <c r="E1759" s="2">
        <f ca="1">IFERROR(__xludf.DUMMYFUNCTION("""COMPUTED_VALUE"""),69.554)</f>
        <v>69.554000000000002</v>
      </c>
      <c r="F1759" s="2">
        <f ca="1">IFERROR(__xludf.DUMMYFUNCTION("""COMPUTED_VALUE"""),94.556)</f>
        <v>94.555999999999997</v>
      </c>
      <c r="G1759" s="2">
        <f ca="1">IFERROR(__xludf.DUMMYFUNCTION("""COMPUTED_VALUE"""),0.54997)</f>
        <v>0.54996999999999996</v>
      </c>
      <c r="H1759" s="2">
        <f ca="1">IFERROR(__xludf.DUMMYFUNCTION("""COMPUTED_VALUE"""),46.584)</f>
        <v>46.584000000000003</v>
      </c>
      <c r="I1759" s="2">
        <f ca="1">IFERROR(__xludf.DUMMYFUNCTION("""COMPUTED_VALUE"""),48.679)</f>
        <v>48.679000000000002</v>
      </c>
      <c r="J1759" s="2">
        <f ca="1">IFERROR(__xludf.DUMMYFUNCTION("""COMPUTED_VALUE"""),46.584)</f>
        <v>46.584000000000003</v>
      </c>
      <c r="K1759" s="2">
        <f ca="1">IFERROR(__xludf.DUMMYFUNCTION("""COMPUTED_VALUE"""),69.4)</f>
        <v>69.400000000000006</v>
      </c>
      <c r="M1759" s="2">
        <f ca="1">IFERROR(__xludf.DUMMYFUNCTION("""COMPUTED_VALUE"""),17.003)</f>
        <v>17.003</v>
      </c>
      <c r="U1759" s="3" t="e">
        <f ca="1"/>
        <v>#NAME?</v>
      </c>
    </row>
    <row r="1760" spans="3:21" ht="12.5" x14ac:dyDescent="0.25">
      <c r="C1760" s="4">
        <f ca="1">IFERROR(__xludf.DUMMYFUNCTION("""COMPUTED_VALUE"""),42103.9986111111)</f>
        <v>42103.998611111099</v>
      </c>
      <c r="D1760" s="2">
        <f ca="1">IFERROR(__xludf.DUMMYFUNCTION("""COMPUTED_VALUE"""),62.314)</f>
        <v>62.314</v>
      </c>
      <c r="E1760" s="2">
        <f ca="1">IFERROR(__xludf.DUMMYFUNCTION("""COMPUTED_VALUE"""),69.836)</f>
        <v>69.835999999999999</v>
      </c>
      <c r="F1760" s="2">
        <f ca="1">IFERROR(__xludf.DUMMYFUNCTION("""COMPUTED_VALUE"""),94.456)</f>
        <v>94.456000000000003</v>
      </c>
      <c r="G1760" s="2">
        <f ca="1">IFERROR(__xludf.DUMMYFUNCTION("""COMPUTED_VALUE"""),0.54866)</f>
        <v>0.54866000000000004</v>
      </c>
      <c r="H1760" s="2">
        <f ca="1">IFERROR(__xludf.DUMMYFUNCTION("""COMPUTED_VALUE"""),47.007)</f>
        <v>47.006999999999998</v>
      </c>
      <c r="I1760" s="2">
        <f ca="1">IFERROR(__xludf.DUMMYFUNCTION("""COMPUTED_VALUE"""),48.317)</f>
        <v>48.317</v>
      </c>
      <c r="J1760" s="2">
        <f ca="1">IFERROR(__xludf.DUMMYFUNCTION("""COMPUTED_VALUE"""),46.491)</f>
        <v>46.491</v>
      </c>
      <c r="K1760" s="2">
        <f ca="1">IFERROR(__xludf.DUMMYFUNCTION("""COMPUTED_VALUE"""),69.18)</f>
        <v>69.180000000000007</v>
      </c>
      <c r="M1760" s="2">
        <f ca="1">IFERROR(__xludf.DUMMYFUNCTION("""COMPUTED_VALUE"""),17.003)</f>
        <v>17.003</v>
      </c>
      <c r="U1760" s="3" t="e">
        <f ca="1"/>
        <v>#NAME?</v>
      </c>
    </row>
    <row r="1761" spans="3:21" ht="12.5" x14ac:dyDescent="0.25">
      <c r="C1761" s="4">
        <f ca="1">IFERROR(__xludf.DUMMYFUNCTION("""COMPUTED_VALUE"""),42104.9986111111)</f>
        <v>42104.998611111099</v>
      </c>
      <c r="D1761" s="2">
        <f ca="1">IFERROR(__xludf.DUMMYFUNCTION("""COMPUTED_VALUE"""),62.269)</f>
        <v>62.268999999999998</v>
      </c>
      <c r="E1761" s="2">
        <f ca="1">IFERROR(__xludf.DUMMYFUNCTION("""COMPUTED_VALUE"""),70.243)</f>
        <v>70.242999999999995</v>
      </c>
      <c r="F1761" s="2">
        <f ca="1">IFERROR(__xludf.DUMMYFUNCTION("""COMPUTED_VALUE"""),93.613)</f>
        <v>93.613</v>
      </c>
      <c r="G1761" s="2">
        <f ca="1">IFERROR(__xludf.DUMMYFUNCTION("""COMPUTED_VALUE"""),0.54503)</f>
        <v>0.54503000000000001</v>
      </c>
      <c r="H1761" s="2">
        <f ca="1">IFERROR(__xludf.DUMMYFUNCTION("""COMPUTED_VALUE"""),46.775)</f>
        <v>46.774999999999999</v>
      </c>
      <c r="I1761" s="2">
        <f ca="1">IFERROR(__xludf.DUMMYFUNCTION("""COMPUTED_VALUE"""),48.313)</f>
        <v>48.313000000000002</v>
      </c>
      <c r="J1761" s="2">
        <f ca="1">IFERROR(__xludf.DUMMYFUNCTION("""COMPUTED_VALUE"""),46.126)</f>
        <v>46.125999999999998</v>
      </c>
      <c r="K1761" s="2">
        <f ca="1">IFERROR(__xludf.DUMMYFUNCTION("""COMPUTED_VALUE"""),68.755)</f>
        <v>68.754999999999995</v>
      </c>
      <c r="M1761" s="2">
        <f ca="1">IFERROR(__xludf.DUMMYFUNCTION("""COMPUTED_VALUE"""),17.063)</f>
        <v>17.062999999999999</v>
      </c>
      <c r="U1761" s="3" t="e">
        <f ca="1"/>
        <v>#NAME?</v>
      </c>
    </row>
    <row r="1762" spans="3:21" ht="12.5" x14ac:dyDescent="0.25">
      <c r="C1762" s="4">
        <f ca="1">IFERROR(__xludf.DUMMYFUNCTION("""COMPUTED_VALUE"""),42105.9986111111)</f>
        <v>42105.998611111099</v>
      </c>
      <c r="D1762" s="2">
        <f ca="1">IFERROR(__xludf.DUMMYFUNCTION("""COMPUTED_VALUE"""),62.261)</f>
        <v>62.261000000000003</v>
      </c>
      <c r="E1762" s="2">
        <f ca="1">IFERROR(__xludf.DUMMYFUNCTION("""COMPUTED_VALUE"""),70.938)</f>
        <v>70.938000000000002</v>
      </c>
      <c r="F1762" s="2">
        <f ca="1">IFERROR(__xludf.DUMMYFUNCTION("""COMPUTED_VALUE"""),93.032)</f>
        <v>93.031999999999996</v>
      </c>
      <c r="G1762" s="2">
        <f ca="1">IFERROR(__xludf.DUMMYFUNCTION("""COMPUTED_VALUE"""),0.548)</f>
        <v>0.54800000000000004</v>
      </c>
      <c r="H1762" s="2">
        <f ca="1">IFERROR(__xludf.DUMMYFUNCTION("""COMPUTED_VALUE"""),46.753)</f>
        <v>46.753</v>
      </c>
      <c r="I1762" s="2">
        <f ca="1">IFERROR(__xludf.DUMMYFUNCTION("""COMPUTED_VALUE"""),48.544)</f>
        <v>48.543999999999997</v>
      </c>
      <c r="J1762" s="2">
        <f ca="1">IFERROR(__xludf.DUMMYFUNCTION("""COMPUTED_VALUE"""),45.982)</f>
        <v>45.981999999999999</v>
      </c>
      <c r="K1762" s="2">
        <f ca="1">IFERROR(__xludf.DUMMYFUNCTION("""COMPUTED_VALUE"""),67.988)</f>
        <v>67.988</v>
      </c>
      <c r="M1762" s="2">
        <f ca="1">IFERROR(__xludf.DUMMYFUNCTION("""COMPUTED_VALUE"""),17.074)</f>
        <v>17.074000000000002</v>
      </c>
      <c r="U1762" s="3" t="e">
        <f ca="1"/>
        <v>#NAME?</v>
      </c>
    </row>
    <row r="1763" spans="3:21" ht="12.5" x14ac:dyDescent="0.25">
      <c r="C1763" s="4">
        <f ca="1">IFERROR(__xludf.DUMMYFUNCTION("""COMPUTED_VALUE"""),42106.9986111111)</f>
        <v>42106.998611111099</v>
      </c>
      <c r="D1763" s="2">
        <f ca="1">IFERROR(__xludf.DUMMYFUNCTION("""COMPUTED_VALUE"""),62.261)</f>
        <v>62.261000000000003</v>
      </c>
      <c r="E1763" s="2">
        <f ca="1">IFERROR(__xludf.DUMMYFUNCTION("""COMPUTED_VALUE"""),72.225)</f>
        <v>72.224999999999994</v>
      </c>
      <c r="F1763" s="2">
        <f ca="1">IFERROR(__xludf.DUMMYFUNCTION("""COMPUTED_VALUE"""),92.895)</f>
        <v>92.894999999999996</v>
      </c>
      <c r="G1763" s="2">
        <f ca="1">IFERROR(__xludf.DUMMYFUNCTION("""COMPUTED_VALUE"""),0.54998)</f>
        <v>0.54998000000000002</v>
      </c>
      <c r="H1763" s="2">
        <f ca="1">IFERROR(__xludf.DUMMYFUNCTION("""COMPUTED_VALUE"""),47.235)</f>
        <v>47.234999999999999</v>
      </c>
      <c r="I1763" s="2">
        <f ca="1">IFERROR(__xludf.DUMMYFUNCTION("""COMPUTED_VALUE"""),48.477)</f>
        <v>48.476999999999997</v>
      </c>
      <c r="J1763" s="2">
        <f ca="1">IFERROR(__xludf.DUMMYFUNCTION("""COMPUTED_VALUE"""),46.01)</f>
        <v>46.01</v>
      </c>
      <c r="K1763" s="2">
        <f ca="1">IFERROR(__xludf.DUMMYFUNCTION("""COMPUTED_VALUE"""),67.875)</f>
        <v>67.875</v>
      </c>
      <c r="M1763" s="2">
        <f ca="1">IFERROR(__xludf.DUMMYFUNCTION("""COMPUTED_VALUE"""),17.085)</f>
        <v>17.085000000000001</v>
      </c>
      <c r="U1763" s="3" t="e">
        <f ca="1"/>
        <v>#NAME?</v>
      </c>
    </row>
    <row r="1764" spans="3:21" ht="12.5" x14ac:dyDescent="0.25">
      <c r="C1764" s="4">
        <f ca="1">IFERROR(__xludf.DUMMYFUNCTION("""COMPUTED_VALUE"""),42107.9986111111)</f>
        <v>42107.998611111099</v>
      </c>
      <c r="D1764" s="2">
        <f ca="1">IFERROR(__xludf.DUMMYFUNCTION("""COMPUTED_VALUE"""),62.391)</f>
        <v>62.390999999999998</v>
      </c>
      <c r="E1764" s="2">
        <f ca="1">IFERROR(__xludf.DUMMYFUNCTION("""COMPUTED_VALUE"""),72.762)</f>
        <v>72.762</v>
      </c>
      <c r="F1764" s="2">
        <f ca="1">IFERROR(__xludf.DUMMYFUNCTION("""COMPUTED_VALUE"""),92.983)</f>
        <v>92.983000000000004</v>
      </c>
      <c r="G1764" s="2">
        <f ca="1">IFERROR(__xludf.DUMMYFUNCTION("""COMPUTED_VALUE"""),0.55011)</f>
        <v>0.55010999999999999</v>
      </c>
      <c r="H1764" s="2">
        <f ca="1">IFERROR(__xludf.DUMMYFUNCTION("""COMPUTED_VALUE"""),47.268)</f>
        <v>47.268000000000001</v>
      </c>
      <c r="I1764" s="2">
        <f ca="1">IFERROR(__xludf.DUMMYFUNCTION("""COMPUTED_VALUE"""),49.008)</f>
        <v>49.008000000000003</v>
      </c>
      <c r="J1764" s="2">
        <f ca="1">IFERROR(__xludf.DUMMYFUNCTION("""COMPUTED_VALUE"""),45.969)</f>
        <v>45.969000000000001</v>
      </c>
      <c r="K1764" s="2">
        <f ca="1">IFERROR(__xludf.DUMMYFUNCTION("""COMPUTED_VALUE"""),67.841)</f>
        <v>67.840999999999994</v>
      </c>
      <c r="M1764" s="2">
        <f ca="1">IFERROR(__xludf.DUMMYFUNCTION("""COMPUTED_VALUE"""),17.026)</f>
        <v>17.026</v>
      </c>
      <c r="U1764" s="3" t="e">
        <f ca="1"/>
        <v>#NAME?</v>
      </c>
    </row>
    <row r="1765" spans="3:21" ht="12.5" x14ac:dyDescent="0.25">
      <c r="C1765" s="4">
        <f ca="1">IFERROR(__xludf.DUMMYFUNCTION("""COMPUTED_VALUE"""),42108.9986111111)</f>
        <v>42108.998611111099</v>
      </c>
      <c r="D1765" s="2">
        <f ca="1">IFERROR(__xludf.DUMMYFUNCTION("""COMPUTED_VALUE"""),62.314)</f>
        <v>62.314</v>
      </c>
      <c r="E1765" s="2">
        <f ca="1">IFERROR(__xludf.DUMMYFUNCTION("""COMPUTED_VALUE"""),72.271)</f>
        <v>72.271000000000001</v>
      </c>
      <c r="F1765" s="2">
        <f ca="1">IFERROR(__xludf.DUMMYFUNCTION("""COMPUTED_VALUE"""),92.895)</f>
        <v>92.894999999999996</v>
      </c>
      <c r="G1765" s="2">
        <f ca="1">IFERROR(__xludf.DUMMYFUNCTION("""COMPUTED_VALUE"""),0.54795)</f>
        <v>0.54795000000000005</v>
      </c>
      <c r="H1765" s="2">
        <f ca="1">IFERROR(__xludf.DUMMYFUNCTION("""COMPUTED_VALUE"""),46.969)</f>
        <v>46.969000000000001</v>
      </c>
      <c r="I1765" s="2">
        <f ca="1">IFERROR(__xludf.DUMMYFUNCTION("""COMPUTED_VALUE"""),49.044)</f>
        <v>49.043999999999997</v>
      </c>
      <c r="J1765" s="2">
        <f ca="1">IFERROR(__xludf.DUMMYFUNCTION("""COMPUTED_VALUE"""),46.131)</f>
        <v>46.131</v>
      </c>
      <c r="K1765" s="2">
        <f ca="1">IFERROR(__xludf.DUMMYFUNCTION("""COMPUTED_VALUE"""),67.247)</f>
        <v>67.247</v>
      </c>
      <c r="M1765" s="2">
        <f ca="1">IFERROR(__xludf.DUMMYFUNCTION("""COMPUTED_VALUE"""),17.173)</f>
        <v>17.172999999999998</v>
      </c>
      <c r="U1765" s="3" t="e">
        <f ca="1"/>
        <v>#NAME?</v>
      </c>
    </row>
    <row r="1766" spans="3:21" ht="12.5" x14ac:dyDescent="0.25">
      <c r="C1766" s="4">
        <f ca="1">IFERROR(__xludf.DUMMYFUNCTION("""COMPUTED_VALUE"""),42109.9986111111)</f>
        <v>42109.998611111099</v>
      </c>
      <c r="D1766" s="2">
        <f ca="1">IFERROR(__xludf.DUMMYFUNCTION("""COMPUTED_VALUE"""),62.39)</f>
        <v>62.39</v>
      </c>
      <c r="E1766" s="2">
        <f ca="1">IFERROR(__xludf.DUMMYFUNCTION("""COMPUTED_VALUE"""),72.421)</f>
        <v>72.421000000000006</v>
      </c>
      <c r="F1766" s="2">
        <f ca="1">IFERROR(__xludf.DUMMYFUNCTION("""COMPUTED_VALUE"""),92.98)</f>
        <v>92.98</v>
      </c>
      <c r="G1766" s="2">
        <f ca="1">IFERROR(__xludf.DUMMYFUNCTION("""COMPUTED_VALUE"""),0.55229)</f>
        <v>0.55228999999999995</v>
      </c>
      <c r="H1766" s="2">
        <f ca="1">IFERROR(__xludf.DUMMYFUNCTION("""COMPUTED_VALUE"""),47.78)</f>
        <v>47.78</v>
      </c>
      <c r="I1766" s="2">
        <f ca="1">IFERROR(__xludf.DUMMYFUNCTION("""COMPUTED_VALUE"""),49.881)</f>
        <v>49.881</v>
      </c>
      <c r="J1766" s="2">
        <f ca="1">IFERROR(__xludf.DUMMYFUNCTION("""COMPUTED_VALUE"""),45.83)</f>
        <v>45.83</v>
      </c>
      <c r="K1766" s="2">
        <f ca="1">IFERROR(__xludf.DUMMYFUNCTION("""COMPUTED_VALUE"""),67.152)</f>
        <v>67.152000000000001</v>
      </c>
      <c r="M1766" s="2">
        <f ca="1">IFERROR(__xludf.DUMMYFUNCTION("""COMPUTED_VALUE"""),17.173)</f>
        <v>17.172999999999998</v>
      </c>
      <c r="U1766" s="3" t="e">
        <f ca="1"/>
        <v>#NAME?</v>
      </c>
    </row>
    <row r="1767" spans="3:21" ht="12.5" x14ac:dyDescent="0.25">
      <c r="C1767" s="4">
        <f ca="1">IFERROR(__xludf.DUMMYFUNCTION("""COMPUTED_VALUE"""),42110.9986111111)</f>
        <v>42110.998611111099</v>
      </c>
      <c r="D1767" s="2">
        <f ca="1">IFERROR(__xludf.DUMMYFUNCTION("""COMPUTED_VALUE"""),62.326)</f>
        <v>62.326000000000001</v>
      </c>
      <c r="E1767" s="2">
        <f ca="1">IFERROR(__xludf.DUMMYFUNCTION("""COMPUTED_VALUE"""),72.119)</f>
        <v>72.119</v>
      </c>
      <c r="F1767" s="2">
        <f ca="1">IFERROR(__xludf.DUMMYFUNCTION("""COMPUTED_VALUE"""),92.268)</f>
        <v>92.268000000000001</v>
      </c>
      <c r="G1767" s="2">
        <f ca="1">IFERROR(__xludf.DUMMYFUNCTION("""COMPUTED_VALUE"""),0.54932)</f>
        <v>0.54932000000000003</v>
      </c>
      <c r="H1767" s="2">
        <f ca="1">IFERROR(__xludf.DUMMYFUNCTION("""COMPUTED_VALUE"""),48.083)</f>
        <v>48.082999999999998</v>
      </c>
      <c r="I1767" s="2">
        <f ca="1">IFERROR(__xludf.DUMMYFUNCTION("""COMPUTED_VALUE"""),49.905)</f>
        <v>49.905000000000001</v>
      </c>
      <c r="J1767" s="2">
        <f ca="1">IFERROR(__xludf.DUMMYFUNCTION("""COMPUTED_VALUE"""),46.254)</f>
        <v>46.253999999999998</v>
      </c>
      <c r="K1767" s="2">
        <f ca="1">IFERROR(__xludf.DUMMYFUNCTION("""COMPUTED_VALUE"""),67.137)</f>
        <v>67.137</v>
      </c>
      <c r="M1767" s="2">
        <f ca="1">IFERROR(__xludf.DUMMYFUNCTION("""COMPUTED_VALUE"""),17.173)</f>
        <v>17.172999999999998</v>
      </c>
      <c r="U1767" s="3" t="e">
        <f ca="1"/>
        <v>#NAME?</v>
      </c>
    </row>
    <row r="1768" spans="3:21" ht="12.5" x14ac:dyDescent="0.25">
      <c r="C1768" s="4">
        <f ca="1">IFERROR(__xludf.DUMMYFUNCTION("""COMPUTED_VALUE"""),42111.9986111111)</f>
        <v>42111.998611111099</v>
      </c>
      <c r="D1768" s="2">
        <f ca="1">IFERROR(__xludf.DUMMYFUNCTION("""COMPUTED_VALUE"""),62.543)</f>
        <v>62.542999999999999</v>
      </c>
      <c r="E1768" s="2">
        <f ca="1">IFERROR(__xludf.DUMMYFUNCTION("""COMPUTED_VALUE"""),72.265)</f>
        <v>72.265000000000001</v>
      </c>
      <c r="F1768" s="2">
        <f ca="1">IFERROR(__xludf.DUMMYFUNCTION("""COMPUTED_VALUE"""),93.697)</f>
        <v>93.697000000000003</v>
      </c>
      <c r="G1768" s="2">
        <f ca="1">IFERROR(__xludf.DUMMYFUNCTION("""COMPUTED_VALUE"""),0.5461)</f>
        <v>0.54610000000000003</v>
      </c>
      <c r="H1768" s="2">
        <f ca="1">IFERROR(__xludf.DUMMYFUNCTION("""COMPUTED_VALUE"""),47.99)</f>
        <v>47.99</v>
      </c>
      <c r="I1768" s="2">
        <f ca="1">IFERROR(__xludf.DUMMYFUNCTION("""COMPUTED_VALUE"""),49.667)</f>
        <v>49.667000000000002</v>
      </c>
      <c r="J1768" s="2">
        <f ca="1">IFERROR(__xludf.DUMMYFUNCTION("""COMPUTED_VALUE"""),46.669)</f>
        <v>46.668999999999997</v>
      </c>
      <c r="K1768" s="2">
        <f ca="1">IFERROR(__xludf.DUMMYFUNCTION("""COMPUTED_VALUE"""),67.169)</f>
        <v>67.168999999999997</v>
      </c>
      <c r="M1768" s="2">
        <f ca="1">IFERROR(__xludf.DUMMYFUNCTION("""COMPUTED_VALUE"""),17.094)</f>
        <v>17.094000000000001</v>
      </c>
      <c r="U1768" s="3" t="e">
        <f ca="1"/>
        <v>#NAME?</v>
      </c>
    </row>
    <row r="1769" spans="3:21" ht="12.5" x14ac:dyDescent="0.25">
      <c r="C1769" s="4">
        <f ca="1">IFERROR(__xludf.DUMMYFUNCTION("""COMPUTED_VALUE"""),42112.9986111111)</f>
        <v>42112.998611111099</v>
      </c>
      <c r="D1769" s="2">
        <f ca="1">IFERROR(__xludf.DUMMYFUNCTION("""COMPUTED_VALUE"""),62.541)</f>
        <v>62.540999999999997</v>
      </c>
      <c r="E1769" s="2">
        <f ca="1">IFERROR(__xludf.DUMMYFUNCTION("""COMPUTED_VALUE"""),73.48)</f>
        <v>73.48</v>
      </c>
      <c r="F1769" s="2">
        <f ca="1">IFERROR(__xludf.DUMMYFUNCTION("""COMPUTED_VALUE"""),92.13)</f>
        <v>92.13</v>
      </c>
      <c r="G1769" s="2">
        <f ca="1">IFERROR(__xludf.DUMMYFUNCTION("""COMPUTED_VALUE"""),0.54706)</f>
        <v>0.54705999999999999</v>
      </c>
      <c r="H1769" s="2">
        <f ca="1">IFERROR(__xludf.DUMMYFUNCTION("""COMPUTED_VALUE"""),48.181)</f>
        <v>48.180999999999997</v>
      </c>
      <c r="I1769" s="2">
        <f ca="1">IFERROR(__xludf.DUMMYFUNCTION("""COMPUTED_VALUE"""),49.922)</f>
        <v>49.921999999999997</v>
      </c>
      <c r="J1769" s="2">
        <f ca="1">IFERROR(__xludf.DUMMYFUNCTION("""COMPUTED_VALUE"""),46.239)</f>
        <v>46.238999999999997</v>
      </c>
      <c r="K1769" s="2">
        <f ca="1">IFERROR(__xludf.DUMMYFUNCTION("""COMPUTED_VALUE"""),67.611)</f>
        <v>67.611000000000004</v>
      </c>
      <c r="M1769" s="2">
        <f ca="1">IFERROR(__xludf.DUMMYFUNCTION("""COMPUTED_VALUE"""),17.047)</f>
        <v>17.047000000000001</v>
      </c>
      <c r="U1769" s="3" t="e">
        <f ca="1"/>
        <v>#NAME?</v>
      </c>
    </row>
    <row r="1770" spans="3:21" ht="12.5" x14ac:dyDescent="0.25">
      <c r="C1770" s="4">
        <f ca="1">IFERROR(__xludf.DUMMYFUNCTION("""COMPUTED_VALUE"""),42113.9986111111)</f>
        <v>42113.998611111099</v>
      </c>
      <c r="D1770" s="2">
        <f ca="1">IFERROR(__xludf.DUMMYFUNCTION("""COMPUTED_VALUE"""),62.543)</f>
        <v>62.542999999999999</v>
      </c>
      <c r="E1770" s="2">
        <f ca="1">IFERROR(__xludf.DUMMYFUNCTION("""COMPUTED_VALUE"""),75.149)</f>
        <v>75.149000000000001</v>
      </c>
      <c r="F1770" s="2">
        <f ca="1">IFERROR(__xludf.DUMMYFUNCTION("""COMPUTED_VALUE"""),93.311)</f>
        <v>93.311000000000007</v>
      </c>
      <c r="G1770" s="2">
        <f ca="1">IFERROR(__xludf.DUMMYFUNCTION("""COMPUTED_VALUE"""),0.54455)</f>
        <v>0.54454999999999998</v>
      </c>
      <c r="H1770" s="2">
        <f ca="1">IFERROR(__xludf.DUMMYFUNCTION("""COMPUTED_VALUE"""),47.977)</f>
        <v>47.976999999999997</v>
      </c>
      <c r="I1770" s="2">
        <f ca="1">IFERROR(__xludf.DUMMYFUNCTION("""COMPUTED_VALUE"""),50.062)</f>
        <v>50.061999999999998</v>
      </c>
      <c r="J1770" s="2">
        <f ca="1">IFERROR(__xludf.DUMMYFUNCTION("""COMPUTED_VALUE"""),46.453)</f>
        <v>46.453000000000003</v>
      </c>
      <c r="K1770" s="2">
        <f ca="1">IFERROR(__xludf.DUMMYFUNCTION("""COMPUTED_VALUE"""),67.7)</f>
        <v>67.7</v>
      </c>
      <c r="M1770" s="2">
        <f ca="1">IFERROR(__xludf.DUMMYFUNCTION("""COMPUTED_VALUE"""),17.068)</f>
        <v>17.068000000000001</v>
      </c>
      <c r="U1770" s="3" t="e">
        <f ca="1"/>
        <v>#NAME?</v>
      </c>
    </row>
    <row r="1771" spans="3:21" ht="12.5" x14ac:dyDescent="0.25">
      <c r="C1771" s="4">
        <f ca="1">IFERROR(__xludf.DUMMYFUNCTION("""COMPUTED_VALUE"""),42114.9986111111)</f>
        <v>42114.998611111099</v>
      </c>
      <c r="D1771" s="2">
        <f ca="1">IFERROR(__xludf.DUMMYFUNCTION("""COMPUTED_VALUE"""),63.145)</f>
        <v>63.145000000000003</v>
      </c>
      <c r="E1771" s="2">
        <f ca="1">IFERROR(__xludf.DUMMYFUNCTION("""COMPUTED_VALUE"""),77.301)</f>
        <v>77.301000000000002</v>
      </c>
      <c r="F1771" s="2">
        <f ca="1">IFERROR(__xludf.DUMMYFUNCTION("""COMPUTED_VALUE"""),93.253)</f>
        <v>93.253</v>
      </c>
      <c r="G1771" s="2">
        <f ca="1">IFERROR(__xludf.DUMMYFUNCTION("""COMPUTED_VALUE"""),0.53998)</f>
        <v>0.53998000000000002</v>
      </c>
      <c r="H1771" s="2">
        <f ca="1">IFERROR(__xludf.DUMMYFUNCTION("""COMPUTED_VALUE"""),47.788)</f>
        <v>47.787999999999997</v>
      </c>
      <c r="I1771" s="2">
        <f ca="1">IFERROR(__xludf.DUMMYFUNCTION("""COMPUTED_VALUE"""),49.515)</f>
        <v>49.515000000000001</v>
      </c>
      <c r="J1771" s="2">
        <f ca="1">IFERROR(__xludf.DUMMYFUNCTION("""COMPUTED_VALUE"""),46.575)</f>
        <v>46.575000000000003</v>
      </c>
      <c r="K1771" s="2">
        <f ca="1">IFERROR(__xludf.DUMMYFUNCTION("""COMPUTED_VALUE"""),67.166)</f>
        <v>67.165999999999997</v>
      </c>
      <c r="M1771" s="2">
        <f ca="1">IFERROR(__xludf.DUMMYFUNCTION("""COMPUTED_VALUE"""),17.011)</f>
        <v>17.010999999999999</v>
      </c>
      <c r="U1771" s="3" t="e">
        <f ca="1"/>
        <v>#NAME?</v>
      </c>
    </row>
    <row r="1772" spans="3:21" ht="12.5" x14ac:dyDescent="0.25">
      <c r="C1772" s="4">
        <f ca="1">IFERROR(__xludf.DUMMYFUNCTION("""COMPUTED_VALUE"""),42115.9986111111)</f>
        <v>42115.998611111099</v>
      </c>
      <c r="D1772" s="2">
        <f ca="1">IFERROR(__xludf.DUMMYFUNCTION("""COMPUTED_VALUE"""),62.878)</f>
        <v>62.878</v>
      </c>
      <c r="E1772" s="2">
        <f ca="1">IFERROR(__xludf.DUMMYFUNCTION("""COMPUTED_VALUE"""),76.489)</f>
        <v>76.489000000000004</v>
      </c>
      <c r="F1772" s="2">
        <f ca="1">IFERROR(__xludf.DUMMYFUNCTION("""COMPUTED_VALUE"""),93.253)</f>
        <v>93.253</v>
      </c>
      <c r="G1772" s="2">
        <f ca="1">IFERROR(__xludf.DUMMYFUNCTION("""COMPUTED_VALUE"""),0.54151)</f>
        <v>0.54151000000000005</v>
      </c>
      <c r="H1772" s="2">
        <f ca="1">IFERROR(__xludf.DUMMYFUNCTION("""COMPUTED_VALUE"""),47.979)</f>
        <v>47.978999999999999</v>
      </c>
      <c r="I1772" s="2">
        <f ca="1">IFERROR(__xludf.DUMMYFUNCTION("""COMPUTED_VALUE"""),50.009)</f>
        <v>50.009</v>
      </c>
      <c r="J1772" s="2">
        <f ca="1">IFERROR(__xludf.DUMMYFUNCTION("""COMPUTED_VALUE"""),46.353)</f>
        <v>46.353000000000002</v>
      </c>
      <c r="K1772" s="2">
        <f ca="1">IFERROR(__xludf.DUMMYFUNCTION("""COMPUTED_VALUE"""),68.122)</f>
        <v>68.122</v>
      </c>
      <c r="M1772" s="2">
        <f ca="1">IFERROR(__xludf.DUMMYFUNCTION("""COMPUTED_VALUE"""),16.989)</f>
        <v>16.989000000000001</v>
      </c>
      <c r="U1772" s="3" t="e">
        <f ca="1"/>
        <v>#NAME?</v>
      </c>
    </row>
    <row r="1773" spans="3:21" ht="12.5" x14ac:dyDescent="0.25">
      <c r="C1773" s="4">
        <f ca="1">IFERROR(__xludf.DUMMYFUNCTION("""COMPUTED_VALUE"""),42116.9986111111)</f>
        <v>42116.998611111099</v>
      </c>
      <c r="D1773" s="2">
        <f ca="1">IFERROR(__xludf.DUMMYFUNCTION("""COMPUTED_VALUE"""),62.935)</f>
        <v>62.935000000000002</v>
      </c>
      <c r="E1773" s="2">
        <f ca="1">IFERROR(__xludf.DUMMYFUNCTION("""COMPUTED_VALUE"""),74.817)</f>
        <v>74.816999999999993</v>
      </c>
      <c r="F1773" s="2">
        <f ca="1">IFERROR(__xludf.DUMMYFUNCTION("""COMPUTED_VALUE"""),92.921)</f>
        <v>92.921000000000006</v>
      </c>
      <c r="G1773" s="2">
        <f ca="1">IFERROR(__xludf.DUMMYFUNCTION("""COMPUTED_VALUE"""),0.54094)</f>
        <v>0.54093999999999998</v>
      </c>
      <c r="H1773" s="2">
        <f ca="1">IFERROR(__xludf.DUMMYFUNCTION("""COMPUTED_VALUE"""),48.302)</f>
        <v>48.302</v>
      </c>
      <c r="I1773" s="2">
        <f ca="1">IFERROR(__xludf.DUMMYFUNCTION("""COMPUTED_VALUE"""),50.043)</f>
        <v>50.042999999999999</v>
      </c>
      <c r="J1773" s="2">
        <f ca="1">IFERROR(__xludf.DUMMYFUNCTION("""COMPUTED_VALUE"""),46.605)</f>
        <v>46.604999999999997</v>
      </c>
      <c r="K1773" s="2">
        <f ca="1">IFERROR(__xludf.DUMMYFUNCTION("""COMPUTED_VALUE"""),68.468)</f>
        <v>68.468000000000004</v>
      </c>
      <c r="M1773" s="2">
        <f ca="1">IFERROR(__xludf.DUMMYFUNCTION("""COMPUTED_VALUE"""),16.989)</f>
        <v>16.989000000000001</v>
      </c>
      <c r="U1773" s="3" t="e">
        <f ca="1"/>
        <v>#NAME?</v>
      </c>
    </row>
    <row r="1774" spans="3:21" ht="12.5" x14ac:dyDescent="0.25">
      <c r="C1774" s="4">
        <f ca="1">IFERROR(__xludf.DUMMYFUNCTION("""COMPUTED_VALUE"""),42117.9986111111)</f>
        <v>42117.998611111099</v>
      </c>
      <c r="D1774" s="2">
        <f ca="1">IFERROR(__xludf.DUMMYFUNCTION("""COMPUTED_VALUE"""),63.287)</f>
        <v>63.286999999999999</v>
      </c>
      <c r="E1774" s="2">
        <f ca="1">IFERROR(__xludf.DUMMYFUNCTION("""COMPUTED_VALUE"""),74.217)</f>
        <v>74.216999999999999</v>
      </c>
      <c r="F1774" s="2">
        <f ca="1">IFERROR(__xludf.DUMMYFUNCTION("""COMPUTED_VALUE"""),92.281)</f>
        <v>92.281000000000006</v>
      </c>
      <c r="G1774" s="2">
        <f ca="1">IFERROR(__xludf.DUMMYFUNCTION("""COMPUTED_VALUE"""),0.54142)</f>
        <v>0.54142000000000001</v>
      </c>
      <c r="H1774" s="2">
        <f ca="1">IFERROR(__xludf.DUMMYFUNCTION("""COMPUTED_VALUE"""),47.866)</f>
        <v>47.866</v>
      </c>
      <c r="I1774" s="2">
        <f ca="1">IFERROR(__xludf.DUMMYFUNCTION("""COMPUTED_VALUE"""),50.239)</f>
        <v>50.238999999999997</v>
      </c>
      <c r="J1774" s="2">
        <f ca="1">IFERROR(__xludf.DUMMYFUNCTION("""COMPUTED_VALUE"""),46.844)</f>
        <v>46.844000000000001</v>
      </c>
      <c r="K1774" s="2">
        <f ca="1">IFERROR(__xludf.DUMMYFUNCTION("""COMPUTED_VALUE"""),68.386)</f>
        <v>68.385999999999996</v>
      </c>
      <c r="M1774" s="2">
        <f ca="1">IFERROR(__xludf.DUMMYFUNCTION("""COMPUTED_VALUE"""),16.989)</f>
        <v>16.989000000000001</v>
      </c>
      <c r="U1774" s="3" t="e">
        <f ca="1"/>
        <v>#NAME?</v>
      </c>
    </row>
    <row r="1775" spans="3:21" ht="12.5" x14ac:dyDescent="0.25">
      <c r="C1775" s="4">
        <f ca="1">IFERROR(__xludf.DUMMYFUNCTION("""COMPUTED_VALUE"""),42118.9986111111)</f>
        <v>42118.998611111099</v>
      </c>
      <c r="D1775" s="2">
        <f ca="1">IFERROR(__xludf.DUMMYFUNCTION("""COMPUTED_VALUE"""),63.655)</f>
        <v>63.655000000000001</v>
      </c>
      <c r="E1775" s="2">
        <f ca="1">IFERROR(__xludf.DUMMYFUNCTION("""COMPUTED_VALUE"""),73.902)</f>
        <v>73.902000000000001</v>
      </c>
      <c r="F1775" s="2">
        <f ca="1">IFERROR(__xludf.DUMMYFUNCTION("""COMPUTED_VALUE"""),92.823)</f>
        <v>92.822999999999993</v>
      </c>
      <c r="G1775" s="2">
        <f ca="1">IFERROR(__xludf.DUMMYFUNCTION("""COMPUTED_VALUE"""),0.53824)</f>
        <v>0.53824000000000005</v>
      </c>
      <c r="H1775" s="2">
        <f ca="1">IFERROR(__xludf.DUMMYFUNCTION("""COMPUTED_VALUE"""),47.041)</f>
        <v>47.040999999999997</v>
      </c>
      <c r="I1775" s="2">
        <f ca="1">IFERROR(__xludf.DUMMYFUNCTION("""COMPUTED_VALUE"""),49.614)</f>
        <v>49.613999999999997</v>
      </c>
      <c r="J1775" s="2">
        <f ca="1">IFERROR(__xludf.DUMMYFUNCTION("""COMPUTED_VALUE"""),47.322)</f>
        <v>47.322000000000003</v>
      </c>
      <c r="K1775" s="2">
        <f ca="1">IFERROR(__xludf.DUMMYFUNCTION("""COMPUTED_VALUE"""),67.787)</f>
        <v>67.787000000000006</v>
      </c>
      <c r="M1775" s="2">
        <f ca="1">IFERROR(__xludf.DUMMYFUNCTION("""COMPUTED_VALUE"""),16.941)</f>
        <v>16.940999999999999</v>
      </c>
      <c r="U1775" s="3" t="e">
        <f ca="1"/>
        <v>#NAME?</v>
      </c>
    </row>
    <row r="1776" spans="3:21" ht="12.5" x14ac:dyDescent="0.25">
      <c r="C1776" s="4">
        <f ca="1">IFERROR(__xludf.DUMMYFUNCTION("""COMPUTED_VALUE"""),42119.9986111111)</f>
        <v>42119.998611111099</v>
      </c>
      <c r="D1776" s="2">
        <f ca="1">IFERROR(__xludf.DUMMYFUNCTION("""COMPUTED_VALUE"""),63.679)</f>
        <v>63.679000000000002</v>
      </c>
      <c r="E1776" s="2">
        <f ca="1">IFERROR(__xludf.DUMMYFUNCTION("""COMPUTED_VALUE"""),74.413)</f>
        <v>74.412999999999997</v>
      </c>
      <c r="F1776" s="2">
        <f ca="1">IFERROR(__xludf.DUMMYFUNCTION("""COMPUTED_VALUE"""),93.242)</f>
        <v>93.242000000000004</v>
      </c>
      <c r="G1776" s="2">
        <f ca="1">IFERROR(__xludf.DUMMYFUNCTION("""COMPUTED_VALUE"""),0.53791)</f>
        <v>0.53791</v>
      </c>
      <c r="H1776" s="2">
        <f ca="1">IFERROR(__xludf.DUMMYFUNCTION("""COMPUTED_VALUE"""),47.006)</f>
        <v>47.006</v>
      </c>
      <c r="I1776" s="2">
        <f ca="1">IFERROR(__xludf.DUMMYFUNCTION("""COMPUTED_VALUE"""),49.618)</f>
        <v>49.618000000000002</v>
      </c>
      <c r="J1776" s="2">
        <f ca="1">IFERROR(__xludf.DUMMYFUNCTION("""COMPUTED_VALUE"""),47.157)</f>
        <v>47.156999999999996</v>
      </c>
      <c r="K1776" s="2">
        <f ca="1">IFERROR(__xludf.DUMMYFUNCTION("""COMPUTED_VALUE"""),68.908)</f>
        <v>68.908000000000001</v>
      </c>
      <c r="M1776" s="2">
        <f ca="1">IFERROR(__xludf.DUMMYFUNCTION("""COMPUTED_VALUE"""),16.956)</f>
        <v>16.956</v>
      </c>
      <c r="U1776" s="3" t="e">
        <f ca="1"/>
        <v>#NAME?</v>
      </c>
    </row>
    <row r="1777" spans="3:21" ht="12.5" x14ac:dyDescent="0.25">
      <c r="C1777" s="4">
        <f ca="1">IFERROR(__xludf.DUMMYFUNCTION("""COMPUTED_VALUE"""),42120.9986111111)</f>
        <v>42120.998611111099</v>
      </c>
      <c r="D1777" s="2">
        <f ca="1">IFERROR(__xludf.DUMMYFUNCTION("""COMPUTED_VALUE"""),63.655)</f>
        <v>63.655000000000001</v>
      </c>
      <c r="E1777" s="2">
        <f ca="1">IFERROR(__xludf.DUMMYFUNCTION("""COMPUTED_VALUE"""),74.945)</f>
        <v>74.944999999999993</v>
      </c>
      <c r="F1777" s="2">
        <f ca="1">IFERROR(__xludf.DUMMYFUNCTION("""COMPUTED_VALUE"""),92.992)</f>
        <v>92.992000000000004</v>
      </c>
      <c r="G1777" s="2">
        <f ca="1">IFERROR(__xludf.DUMMYFUNCTION("""COMPUTED_VALUE"""),0.53923)</f>
        <v>0.53922999999999999</v>
      </c>
      <c r="H1777" s="2">
        <f ca="1">IFERROR(__xludf.DUMMYFUNCTION("""COMPUTED_VALUE"""),47.329)</f>
        <v>47.329000000000001</v>
      </c>
      <c r="I1777" s="2">
        <f ca="1">IFERROR(__xludf.DUMMYFUNCTION("""COMPUTED_VALUE"""),50.018)</f>
        <v>50.018000000000001</v>
      </c>
      <c r="J1777" s="2">
        <f ca="1">IFERROR(__xludf.DUMMYFUNCTION("""COMPUTED_VALUE"""),46.982)</f>
        <v>46.981999999999999</v>
      </c>
      <c r="K1777" s="2">
        <f ca="1">IFERROR(__xludf.DUMMYFUNCTION("""COMPUTED_VALUE"""),68.792)</f>
        <v>68.792000000000002</v>
      </c>
      <c r="M1777" s="2">
        <f ca="1">IFERROR(__xludf.DUMMYFUNCTION("""COMPUTED_VALUE"""),17.006)</f>
        <v>17.006</v>
      </c>
      <c r="U1777" s="3" t="e">
        <f ca="1"/>
        <v>#NAME?</v>
      </c>
    </row>
    <row r="1778" spans="3:21" ht="12.5" x14ac:dyDescent="0.25">
      <c r="C1778" s="4">
        <f ca="1">IFERROR(__xludf.DUMMYFUNCTION("""COMPUTED_VALUE"""),42121.9986111111)</f>
        <v>42121.998611111099</v>
      </c>
      <c r="D1778" s="2">
        <f ca="1">IFERROR(__xludf.DUMMYFUNCTION("""COMPUTED_VALUE"""),63.14)</f>
        <v>63.14</v>
      </c>
      <c r="E1778" s="2">
        <f ca="1">IFERROR(__xludf.DUMMYFUNCTION("""COMPUTED_VALUE"""),74.178)</f>
        <v>74.177999999999997</v>
      </c>
      <c r="F1778" s="2">
        <f ca="1">IFERROR(__xludf.DUMMYFUNCTION("""COMPUTED_VALUE"""),93.082)</f>
        <v>93.081999999999994</v>
      </c>
      <c r="G1778" s="2">
        <f ca="1">IFERROR(__xludf.DUMMYFUNCTION("""COMPUTED_VALUE"""),0.54307)</f>
        <v>0.54307000000000005</v>
      </c>
      <c r="H1778" s="2">
        <f ca="1">IFERROR(__xludf.DUMMYFUNCTION("""COMPUTED_VALUE"""),47.362)</f>
        <v>47.362000000000002</v>
      </c>
      <c r="I1778" s="2">
        <f ca="1">IFERROR(__xludf.DUMMYFUNCTION("""COMPUTED_VALUE"""),50.066)</f>
        <v>50.066000000000003</v>
      </c>
      <c r="J1778" s="2">
        <f ca="1">IFERROR(__xludf.DUMMYFUNCTION("""COMPUTED_VALUE"""),47.135)</f>
        <v>47.134999999999998</v>
      </c>
      <c r="K1778" s="2">
        <f ca="1">IFERROR(__xludf.DUMMYFUNCTION("""COMPUTED_VALUE"""),68.368)</f>
        <v>68.367999999999995</v>
      </c>
      <c r="M1778" s="2">
        <f ca="1">IFERROR(__xludf.DUMMYFUNCTION("""COMPUTED_VALUE"""),17.106)</f>
        <v>17.106000000000002</v>
      </c>
      <c r="U1778" s="3" t="e">
        <f ca="1"/>
        <v>#NAME?</v>
      </c>
    </row>
    <row r="1779" spans="3:21" ht="12.5" x14ac:dyDescent="0.25">
      <c r="C1779" s="4">
        <f ca="1">IFERROR(__xludf.DUMMYFUNCTION("""COMPUTED_VALUE"""),42122.9986111111)</f>
        <v>42122.998611111099</v>
      </c>
      <c r="D1779" s="2">
        <f ca="1">IFERROR(__xludf.DUMMYFUNCTION("""COMPUTED_VALUE"""),63.033)</f>
        <v>63.033000000000001</v>
      </c>
      <c r="E1779" s="2">
        <f ca="1">IFERROR(__xludf.DUMMYFUNCTION("""COMPUTED_VALUE"""),73.535)</f>
        <v>73.534999999999997</v>
      </c>
      <c r="F1779" s="2">
        <f ca="1">IFERROR(__xludf.DUMMYFUNCTION("""COMPUTED_VALUE"""),93.082)</f>
        <v>93.081999999999994</v>
      </c>
      <c r="G1779" s="2">
        <f ca="1">IFERROR(__xludf.DUMMYFUNCTION("""COMPUTED_VALUE"""),0.54512)</f>
        <v>0.54512000000000005</v>
      </c>
      <c r="H1779" s="2">
        <f ca="1">IFERROR(__xludf.DUMMYFUNCTION("""COMPUTED_VALUE"""),47.122)</f>
        <v>47.122</v>
      </c>
      <c r="I1779" s="2">
        <f ca="1">IFERROR(__xludf.DUMMYFUNCTION("""COMPUTED_VALUE"""),50.429)</f>
        <v>50.429000000000002</v>
      </c>
      <c r="J1779" s="2">
        <f ca="1">IFERROR(__xludf.DUMMYFUNCTION("""COMPUTED_VALUE"""),46.892)</f>
        <v>46.892000000000003</v>
      </c>
      <c r="K1779" s="2">
        <f ca="1">IFERROR(__xludf.DUMMYFUNCTION("""COMPUTED_VALUE"""),68.446)</f>
        <v>68.445999999999998</v>
      </c>
      <c r="M1779" s="2">
        <f ca="1">IFERROR(__xludf.DUMMYFUNCTION("""COMPUTED_VALUE"""),17.02)</f>
        <v>17.02</v>
      </c>
      <c r="U1779" s="3" t="e">
        <f ca="1"/>
        <v>#NAME?</v>
      </c>
    </row>
    <row r="1780" spans="3:21" ht="12.5" x14ac:dyDescent="0.25">
      <c r="C1780" s="4">
        <f ca="1">IFERROR(__xludf.DUMMYFUNCTION("""COMPUTED_VALUE"""),42123.9986111111)</f>
        <v>42123.998611111099</v>
      </c>
      <c r="D1780" s="2">
        <f ca="1">IFERROR(__xludf.DUMMYFUNCTION("""COMPUTED_VALUE"""),63.442)</f>
        <v>63.442</v>
      </c>
      <c r="E1780" s="2">
        <f ca="1">IFERROR(__xludf.DUMMYFUNCTION("""COMPUTED_VALUE"""),74.267)</f>
        <v>74.266999999999996</v>
      </c>
      <c r="F1780" s="2">
        <f ca="1">IFERROR(__xludf.DUMMYFUNCTION("""COMPUTED_VALUE"""),92.468)</f>
        <v>92.468000000000004</v>
      </c>
      <c r="G1780" s="2">
        <f ca="1">IFERROR(__xludf.DUMMYFUNCTION("""COMPUTED_VALUE"""),0.54365)</f>
        <v>0.54364999999999997</v>
      </c>
      <c r="H1780" s="2">
        <f ca="1">IFERROR(__xludf.DUMMYFUNCTION("""COMPUTED_VALUE"""),46.506)</f>
        <v>46.506</v>
      </c>
      <c r="I1780" s="2">
        <f ca="1">IFERROR(__xludf.DUMMYFUNCTION("""COMPUTED_VALUE"""),50.06)</f>
        <v>50.06</v>
      </c>
      <c r="J1780" s="2">
        <f ca="1">IFERROR(__xludf.DUMMYFUNCTION("""COMPUTED_VALUE"""),47.003)</f>
        <v>47.003</v>
      </c>
      <c r="K1780" s="2">
        <f ca="1">IFERROR(__xludf.DUMMYFUNCTION("""COMPUTED_VALUE"""),68.978)</f>
        <v>68.977999999999994</v>
      </c>
      <c r="M1780" s="2">
        <f ca="1">IFERROR(__xludf.DUMMYFUNCTION("""COMPUTED_VALUE"""),17.02)</f>
        <v>17.02</v>
      </c>
      <c r="U1780" s="3" t="e">
        <f ca="1"/>
        <v>#NAME?</v>
      </c>
    </row>
    <row r="1781" spans="3:21" ht="12.5" x14ac:dyDescent="0.25">
      <c r="C1781" s="4">
        <f ca="1">IFERROR(__xludf.DUMMYFUNCTION("""COMPUTED_VALUE"""),42124.9986111111)</f>
        <v>42124.998611111099</v>
      </c>
      <c r="D1781" s="2">
        <f ca="1">IFERROR(__xludf.DUMMYFUNCTION("""COMPUTED_VALUE"""),63.523)</f>
        <v>63.523000000000003</v>
      </c>
      <c r="E1781" s="2">
        <f ca="1">IFERROR(__xludf.DUMMYFUNCTION("""COMPUTED_VALUE"""),74.487)</f>
        <v>74.486999999999995</v>
      </c>
      <c r="F1781" s="2">
        <f ca="1">IFERROR(__xludf.DUMMYFUNCTION("""COMPUTED_VALUE"""),92.385)</f>
        <v>92.385000000000005</v>
      </c>
      <c r="G1781" s="2">
        <f ca="1">IFERROR(__xludf.DUMMYFUNCTION("""COMPUTED_VALUE"""),0.54118)</f>
        <v>0.54117999999999999</v>
      </c>
      <c r="H1781" s="2">
        <f ca="1">IFERROR(__xludf.DUMMYFUNCTION("""COMPUTED_VALUE"""),46.606)</f>
        <v>46.606000000000002</v>
      </c>
      <c r="I1781" s="2">
        <f ca="1">IFERROR(__xludf.DUMMYFUNCTION("""COMPUTED_VALUE"""),49.864)</f>
        <v>49.863999999999997</v>
      </c>
      <c r="J1781" s="2">
        <f ca="1">IFERROR(__xludf.DUMMYFUNCTION("""COMPUTED_VALUE"""),46.94)</f>
        <v>46.94</v>
      </c>
      <c r="K1781" s="2">
        <f ca="1">IFERROR(__xludf.DUMMYFUNCTION("""COMPUTED_VALUE"""),68.797)</f>
        <v>68.796999999999997</v>
      </c>
      <c r="M1781" s="2">
        <f ca="1">IFERROR(__xludf.DUMMYFUNCTION("""COMPUTED_VALUE"""),17.02)</f>
        <v>17.02</v>
      </c>
      <c r="U1781" s="3" t="e">
        <f ca="1"/>
        <v>#NAME?</v>
      </c>
    </row>
    <row r="1782" spans="3:21" ht="12.5" x14ac:dyDescent="0.25">
      <c r="C1782" s="4">
        <f ca="1">IFERROR(__xludf.DUMMYFUNCTION("""COMPUTED_VALUE"""),42125.9986111111)</f>
        <v>42125.998611111099</v>
      </c>
      <c r="D1782" s="2">
        <f ca="1">IFERROR(__xludf.DUMMYFUNCTION("""COMPUTED_VALUE"""),63.523)</f>
        <v>63.523000000000003</v>
      </c>
      <c r="E1782" s="2">
        <f ca="1">IFERROR(__xludf.DUMMYFUNCTION("""COMPUTED_VALUE"""),74.342)</f>
        <v>74.341999999999999</v>
      </c>
      <c r="F1782" s="2">
        <f ca="1">IFERROR(__xludf.DUMMYFUNCTION("""COMPUTED_VALUE"""),92.112)</f>
        <v>92.111999999999995</v>
      </c>
      <c r="G1782" s="2">
        <f ca="1">IFERROR(__xludf.DUMMYFUNCTION("""COMPUTED_VALUE"""),0.54299)</f>
        <v>0.54298999999999997</v>
      </c>
      <c r="H1782" s="2">
        <f ca="1">IFERROR(__xludf.DUMMYFUNCTION("""COMPUTED_VALUE"""),46.384)</f>
        <v>46.384</v>
      </c>
      <c r="I1782" s="2">
        <f ca="1">IFERROR(__xludf.DUMMYFUNCTION("""COMPUTED_VALUE"""),50.11)</f>
        <v>50.11</v>
      </c>
      <c r="J1782" s="2">
        <f ca="1">IFERROR(__xludf.DUMMYFUNCTION("""COMPUTED_VALUE"""),46.728)</f>
        <v>46.728000000000002</v>
      </c>
      <c r="K1782" s="2">
        <f ca="1">IFERROR(__xludf.DUMMYFUNCTION("""COMPUTED_VALUE"""),68.799)</f>
        <v>68.799000000000007</v>
      </c>
      <c r="M1782" s="2">
        <f ca="1">IFERROR(__xludf.DUMMYFUNCTION("""COMPUTED_VALUE"""),17.018)</f>
        <v>17.018000000000001</v>
      </c>
      <c r="U1782" s="3" t="e">
        <f ca="1"/>
        <v>#NAME?</v>
      </c>
    </row>
    <row r="1783" spans="3:21" ht="12.5" x14ac:dyDescent="0.25">
      <c r="C1783" s="4">
        <f ca="1">IFERROR(__xludf.DUMMYFUNCTION("""COMPUTED_VALUE"""),42126.9986111111)</f>
        <v>42126.998611111099</v>
      </c>
      <c r="D1783" s="2">
        <f ca="1">IFERROR(__xludf.DUMMYFUNCTION("""COMPUTED_VALUE"""),63.697)</f>
        <v>63.697000000000003</v>
      </c>
      <c r="E1783" s="2">
        <f ca="1">IFERROR(__xludf.DUMMYFUNCTION("""COMPUTED_VALUE"""),74.649)</f>
        <v>74.649000000000001</v>
      </c>
      <c r="F1783" s="2">
        <f ca="1">IFERROR(__xludf.DUMMYFUNCTION("""COMPUTED_VALUE"""),92.031)</f>
        <v>92.031000000000006</v>
      </c>
      <c r="G1783" s="2">
        <f ca="1">IFERROR(__xludf.DUMMYFUNCTION("""COMPUTED_VALUE"""),0.54199)</f>
        <v>0.54198999999999997</v>
      </c>
      <c r="H1783" s="2">
        <f ca="1">IFERROR(__xludf.DUMMYFUNCTION("""COMPUTED_VALUE"""),46.027)</f>
        <v>46.027000000000001</v>
      </c>
      <c r="I1783" s="2">
        <f ca="1">IFERROR(__xludf.DUMMYFUNCTION("""COMPUTED_VALUE"""),50.179)</f>
        <v>50.179000000000002</v>
      </c>
      <c r="J1783" s="2">
        <f ca="1">IFERROR(__xludf.DUMMYFUNCTION("""COMPUTED_VALUE"""),46.671)</f>
        <v>46.670999999999999</v>
      </c>
      <c r="K1783" s="2">
        <f ca="1">IFERROR(__xludf.DUMMYFUNCTION("""COMPUTED_VALUE"""),69.424)</f>
        <v>69.424000000000007</v>
      </c>
      <c r="M1783" s="2">
        <f ca="1">IFERROR(__xludf.DUMMYFUNCTION("""COMPUTED_VALUE"""),16.962)</f>
        <v>16.962</v>
      </c>
      <c r="U1783" s="3" t="e">
        <f ca="1"/>
        <v>#NAME?</v>
      </c>
    </row>
    <row r="1784" spans="3:21" ht="12.5" x14ac:dyDescent="0.25">
      <c r="C1784" s="4">
        <f ca="1">IFERROR(__xludf.DUMMYFUNCTION("""COMPUTED_VALUE"""),42127.9986111111)</f>
        <v>42127.998611111099</v>
      </c>
      <c r="D1784" s="2">
        <f ca="1">IFERROR(__xludf.DUMMYFUNCTION("""COMPUTED_VALUE"""),63.697)</f>
        <v>63.697000000000003</v>
      </c>
      <c r="E1784" s="2">
        <f ca="1">IFERROR(__xludf.DUMMYFUNCTION("""COMPUTED_VALUE"""),74.762)</f>
        <v>74.762</v>
      </c>
      <c r="F1784" s="2">
        <f ca="1">IFERROR(__xludf.DUMMYFUNCTION("""COMPUTED_VALUE"""),92.581)</f>
        <v>92.581000000000003</v>
      </c>
      <c r="G1784" s="2">
        <f ca="1">IFERROR(__xludf.DUMMYFUNCTION("""COMPUTED_VALUE"""),0.54315)</f>
        <v>0.54315000000000002</v>
      </c>
      <c r="H1784" s="2">
        <f ca="1">IFERROR(__xludf.DUMMYFUNCTION("""COMPUTED_VALUE"""),46.341)</f>
        <v>46.341000000000001</v>
      </c>
      <c r="I1784" s="2">
        <f ca="1">IFERROR(__xludf.DUMMYFUNCTION("""COMPUTED_VALUE"""),50.183)</f>
        <v>50.183</v>
      </c>
      <c r="J1784" s="2">
        <f ca="1">IFERROR(__xludf.DUMMYFUNCTION("""COMPUTED_VALUE"""),46.759)</f>
        <v>46.759</v>
      </c>
      <c r="K1784" s="2">
        <f ca="1">IFERROR(__xludf.DUMMYFUNCTION("""COMPUTED_VALUE"""),68.999)</f>
        <v>68.998999999999995</v>
      </c>
      <c r="M1784" s="2">
        <f ca="1">IFERROR(__xludf.DUMMYFUNCTION("""COMPUTED_VALUE"""),16.925)</f>
        <v>16.925000000000001</v>
      </c>
      <c r="U1784" s="3" t="e">
        <f ca="1"/>
        <v>#NAME?</v>
      </c>
    </row>
    <row r="1785" spans="3:21" ht="12.5" x14ac:dyDescent="0.25">
      <c r="C1785" s="4">
        <f ca="1">IFERROR(__xludf.DUMMYFUNCTION("""COMPUTED_VALUE"""),42128.9986111111)</f>
        <v>42128.998611111099</v>
      </c>
      <c r="D1785" s="2">
        <f ca="1">IFERROR(__xludf.DUMMYFUNCTION("""COMPUTED_VALUE"""),63.593)</f>
        <v>63.593000000000004</v>
      </c>
      <c r="E1785" s="2">
        <f ca="1">IFERROR(__xludf.DUMMYFUNCTION("""COMPUTED_VALUE"""),75.017)</f>
        <v>75.016999999999996</v>
      </c>
      <c r="F1785" s="2">
        <f ca="1">IFERROR(__xludf.DUMMYFUNCTION("""COMPUTED_VALUE"""),92.131)</f>
        <v>92.131</v>
      </c>
      <c r="G1785" s="2">
        <f ca="1">IFERROR(__xludf.DUMMYFUNCTION("""COMPUTED_VALUE"""),0.53766)</f>
        <v>0.53766000000000003</v>
      </c>
      <c r="H1785" s="2">
        <f ca="1">IFERROR(__xludf.DUMMYFUNCTION("""COMPUTED_VALUE"""),46.683)</f>
        <v>46.683</v>
      </c>
      <c r="I1785" s="2">
        <f ca="1">IFERROR(__xludf.DUMMYFUNCTION("""COMPUTED_VALUE"""),50.251)</f>
        <v>50.250999999999998</v>
      </c>
      <c r="J1785" s="2">
        <f ca="1">IFERROR(__xludf.DUMMYFUNCTION("""COMPUTED_VALUE"""),46.759)</f>
        <v>46.759</v>
      </c>
      <c r="K1785" s="2">
        <f ca="1">IFERROR(__xludf.DUMMYFUNCTION("""COMPUTED_VALUE"""),69.116)</f>
        <v>69.116</v>
      </c>
      <c r="M1785" s="2">
        <f ca="1">IFERROR(__xludf.DUMMYFUNCTION("""COMPUTED_VALUE"""),16.895)</f>
        <v>16.895</v>
      </c>
      <c r="U1785" s="3" t="e">
        <f ca="1"/>
        <v>#NAME?</v>
      </c>
    </row>
    <row r="1786" spans="3:21" ht="12.5" x14ac:dyDescent="0.25">
      <c r="C1786" s="4">
        <f ca="1">IFERROR(__xludf.DUMMYFUNCTION("""COMPUTED_VALUE"""),42129.9986111111)</f>
        <v>42129.998611111099</v>
      </c>
      <c r="D1786" s="2">
        <f ca="1">IFERROR(__xludf.DUMMYFUNCTION("""COMPUTED_VALUE"""),63.344)</f>
        <v>63.344000000000001</v>
      </c>
      <c r="E1786" s="2">
        <f ca="1">IFERROR(__xludf.DUMMYFUNCTION("""COMPUTED_VALUE"""),74.921)</f>
        <v>74.921000000000006</v>
      </c>
      <c r="F1786" s="2">
        <f ca="1">IFERROR(__xludf.DUMMYFUNCTION("""COMPUTED_VALUE"""),92.131)</f>
        <v>92.131</v>
      </c>
      <c r="G1786" s="2">
        <f ca="1">IFERROR(__xludf.DUMMYFUNCTION("""COMPUTED_VALUE"""),0.5337)</f>
        <v>0.53369999999999995</v>
      </c>
      <c r="H1786" s="2">
        <f ca="1">IFERROR(__xludf.DUMMYFUNCTION("""COMPUTED_VALUE"""),46.331)</f>
        <v>46.331000000000003</v>
      </c>
      <c r="I1786" s="2">
        <f ca="1">IFERROR(__xludf.DUMMYFUNCTION("""COMPUTED_VALUE"""),50.104)</f>
        <v>50.103999999999999</v>
      </c>
      <c r="J1786" s="2">
        <f ca="1">IFERROR(__xludf.DUMMYFUNCTION("""COMPUTED_VALUE"""),46.81)</f>
        <v>46.81</v>
      </c>
      <c r="K1786" s="2">
        <f ca="1">IFERROR(__xludf.DUMMYFUNCTION("""COMPUTED_VALUE"""),68.86)</f>
        <v>68.86</v>
      </c>
      <c r="M1786" s="2">
        <f ca="1">IFERROR(__xludf.DUMMYFUNCTION("""COMPUTED_VALUE"""),16.895)</f>
        <v>16.895</v>
      </c>
      <c r="U1786" s="3" t="e">
        <f ca="1"/>
        <v>#NAME?</v>
      </c>
    </row>
    <row r="1787" spans="3:21" ht="12.5" x14ac:dyDescent="0.25">
      <c r="C1787" s="4">
        <f ca="1">IFERROR(__xludf.DUMMYFUNCTION("""COMPUTED_VALUE"""),42130.9986111111)</f>
        <v>42130.998611111099</v>
      </c>
      <c r="D1787" s="2">
        <f ca="1">IFERROR(__xludf.DUMMYFUNCTION("""COMPUTED_VALUE"""),63.66)</f>
        <v>63.66</v>
      </c>
      <c r="E1787" s="2">
        <f ca="1">IFERROR(__xludf.DUMMYFUNCTION("""COMPUTED_VALUE"""),74.798)</f>
        <v>74.798000000000002</v>
      </c>
      <c r="F1787" s="2">
        <f ca="1">IFERROR(__xludf.DUMMYFUNCTION("""COMPUTED_VALUE"""),92.368)</f>
        <v>92.367999999999995</v>
      </c>
      <c r="G1787" s="2">
        <f ca="1">IFERROR(__xludf.DUMMYFUNCTION("""COMPUTED_VALUE"""),0.53599)</f>
        <v>0.53598999999999997</v>
      </c>
      <c r="H1787" s="2">
        <f ca="1">IFERROR(__xludf.DUMMYFUNCTION("""COMPUTED_VALUE"""),46.842)</f>
        <v>46.841999999999999</v>
      </c>
      <c r="I1787" s="2">
        <f ca="1">IFERROR(__xludf.DUMMYFUNCTION("""COMPUTED_VALUE"""),50.059)</f>
        <v>50.058999999999997</v>
      </c>
      <c r="J1787" s="2">
        <f ca="1">IFERROR(__xludf.DUMMYFUNCTION("""COMPUTED_VALUE"""),46.831)</f>
        <v>46.831000000000003</v>
      </c>
      <c r="K1787" s="2">
        <f ca="1">IFERROR(__xludf.DUMMYFUNCTION("""COMPUTED_VALUE"""),68.058)</f>
        <v>68.058000000000007</v>
      </c>
      <c r="M1787" s="2">
        <f ca="1">IFERROR(__xludf.DUMMYFUNCTION("""COMPUTED_VALUE"""),16.895)</f>
        <v>16.895</v>
      </c>
      <c r="U1787" s="3" t="e">
        <f ca="1"/>
        <v>#NAME?</v>
      </c>
    </row>
    <row r="1788" spans="3:21" ht="12.5" x14ac:dyDescent="0.25">
      <c r="C1788" s="4">
        <f ca="1">IFERROR(__xludf.DUMMYFUNCTION("""COMPUTED_VALUE"""),42131.9986111111)</f>
        <v>42131.998611111099</v>
      </c>
      <c r="D1788" s="2">
        <f ca="1">IFERROR(__xludf.DUMMYFUNCTION("""COMPUTED_VALUE"""),64.082)</f>
        <v>64.081999999999994</v>
      </c>
      <c r="E1788" s="2">
        <f ca="1">IFERROR(__xludf.DUMMYFUNCTION("""COMPUTED_VALUE"""),74.683)</f>
        <v>74.683000000000007</v>
      </c>
      <c r="F1788" s="2">
        <f ca="1">IFERROR(__xludf.DUMMYFUNCTION("""COMPUTED_VALUE"""),92.262)</f>
        <v>92.262</v>
      </c>
      <c r="G1788" s="2">
        <f ca="1">IFERROR(__xludf.DUMMYFUNCTION("""COMPUTED_VALUE"""),0.53953)</f>
        <v>0.53952999999999995</v>
      </c>
      <c r="H1788" s="2">
        <f ca="1">IFERROR(__xludf.DUMMYFUNCTION("""COMPUTED_VALUE"""),46.929)</f>
        <v>46.929000000000002</v>
      </c>
      <c r="I1788" s="2">
        <f ca="1">IFERROR(__xludf.DUMMYFUNCTION("""COMPUTED_VALUE"""),49.897)</f>
        <v>49.896999999999998</v>
      </c>
      <c r="J1788" s="2">
        <f ca="1">IFERROR(__xludf.DUMMYFUNCTION("""COMPUTED_VALUE"""),46.88)</f>
        <v>46.88</v>
      </c>
      <c r="K1788" s="2">
        <f ca="1">IFERROR(__xludf.DUMMYFUNCTION("""COMPUTED_VALUE"""),68.004)</f>
        <v>68.004000000000005</v>
      </c>
      <c r="M1788" s="2">
        <f ca="1">IFERROR(__xludf.DUMMYFUNCTION("""COMPUTED_VALUE"""),16.895)</f>
        <v>16.895</v>
      </c>
      <c r="U1788" s="3" t="e">
        <f ca="1"/>
        <v>#NAME?</v>
      </c>
    </row>
    <row r="1789" spans="3:21" ht="12.5" x14ac:dyDescent="0.25">
      <c r="C1789" s="4">
        <f ca="1">IFERROR(__xludf.DUMMYFUNCTION("""COMPUTED_VALUE"""),42132.9986111111)</f>
        <v>42132.998611111099</v>
      </c>
      <c r="D1789" s="2">
        <f ca="1">IFERROR(__xludf.DUMMYFUNCTION("""COMPUTED_VALUE"""),63.704)</f>
        <v>63.704000000000001</v>
      </c>
      <c r="E1789" s="2">
        <f ca="1">IFERROR(__xludf.DUMMYFUNCTION("""COMPUTED_VALUE"""),75.297)</f>
        <v>75.296999999999997</v>
      </c>
      <c r="F1789" s="2">
        <f ca="1">IFERROR(__xludf.DUMMYFUNCTION("""COMPUTED_VALUE"""),92.411)</f>
        <v>92.411000000000001</v>
      </c>
      <c r="G1789" s="2">
        <f ca="1">IFERROR(__xludf.DUMMYFUNCTION("""COMPUTED_VALUE"""),0.5368)</f>
        <v>0.53680000000000005</v>
      </c>
      <c r="H1789" s="2">
        <f ca="1">IFERROR(__xludf.DUMMYFUNCTION("""COMPUTED_VALUE"""),47.438)</f>
        <v>47.438000000000002</v>
      </c>
      <c r="I1789" s="2">
        <f ca="1">IFERROR(__xludf.DUMMYFUNCTION("""COMPUTED_VALUE"""),49.991)</f>
        <v>49.991</v>
      </c>
      <c r="J1789" s="2">
        <f ca="1">IFERROR(__xludf.DUMMYFUNCTION("""COMPUTED_VALUE"""),46.855)</f>
        <v>46.854999999999997</v>
      </c>
      <c r="K1789" s="2">
        <f ca="1">IFERROR(__xludf.DUMMYFUNCTION("""COMPUTED_VALUE"""),67.804)</f>
        <v>67.804000000000002</v>
      </c>
      <c r="M1789" s="2">
        <f ca="1">IFERROR(__xludf.DUMMYFUNCTION("""COMPUTED_VALUE"""),16.895)</f>
        <v>16.895</v>
      </c>
      <c r="U1789" s="3" t="e">
        <f ca="1"/>
        <v>#NAME?</v>
      </c>
    </row>
    <row r="1790" spans="3:21" ht="12.5" x14ac:dyDescent="0.25">
      <c r="C1790" s="4">
        <f ca="1">IFERROR(__xludf.DUMMYFUNCTION("""COMPUTED_VALUE"""),42133.9986111111)</f>
        <v>42133.998611111099</v>
      </c>
      <c r="D1790" s="2">
        <f ca="1">IFERROR(__xludf.DUMMYFUNCTION("""COMPUTED_VALUE"""),63.691)</f>
        <v>63.691000000000003</v>
      </c>
      <c r="E1790" s="2">
        <f ca="1">IFERROR(__xludf.DUMMYFUNCTION("""COMPUTED_VALUE"""),74.401)</f>
        <v>74.400999999999996</v>
      </c>
      <c r="F1790" s="2">
        <f ca="1">IFERROR(__xludf.DUMMYFUNCTION("""COMPUTED_VALUE"""),91.603)</f>
        <v>91.602999999999994</v>
      </c>
      <c r="G1790" s="2">
        <f ca="1">IFERROR(__xludf.DUMMYFUNCTION("""COMPUTED_VALUE"""),0.5403)</f>
        <v>0.5403</v>
      </c>
      <c r="H1790" s="2">
        <f ca="1">IFERROR(__xludf.DUMMYFUNCTION("""COMPUTED_VALUE"""),47.288)</f>
        <v>47.287999999999997</v>
      </c>
      <c r="I1790" s="2">
        <f ca="1">IFERROR(__xludf.DUMMYFUNCTION("""COMPUTED_VALUE"""),50.105)</f>
        <v>50.104999999999997</v>
      </c>
      <c r="J1790" s="2">
        <f ca="1">IFERROR(__xludf.DUMMYFUNCTION("""COMPUTED_VALUE"""),47.133)</f>
        <v>47.133000000000003</v>
      </c>
      <c r="K1790" s="2">
        <f ca="1">IFERROR(__xludf.DUMMYFUNCTION("""COMPUTED_VALUE"""),67.92)</f>
        <v>67.92</v>
      </c>
      <c r="M1790" s="2">
        <f ca="1">IFERROR(__xludf.DUMMYFUNCTION("""COMPUTED_VALUE"""),16.964)</f>
        <v>16.963999999999999</v>
      </c>
      <c r="U1790" s="3" t="e">
        <f ca="1"/>
        <v>#NAME?</v>
      </c>
    </row>
    <row r="1791" spans="3:21" ht="12.5" x14ac:dyDescent="0.25">
      <c r="C1791" s="4">
        <f ca="1">IFERROR(__xludf.DUMMYFUNCTION("""COMPUTED_VALUE"""),42134.9986111111)</f>
        <v>42134.998611111099</v>
      </c>
      <c r="D1791" s="2">
        <f ca="1">IFERROR(__xludf.DUMMYFUNCTION("""COMPUTED_VALUE"""),63.691)</f>
        <v>63.691000000000003</v>
      </c>
      <c r="E1791" s="2">
        <f ca="1">IFERROR(__xludf.DUMMYFUNCTION("""COMPUTED_VALUE"""),73.494)</f>
        <v>73.494</v>
      </c>
      <c r="F1791" s="2">
        <f ca="1">IFERROR(__xludf.DUMMYFUNCTION("""COMPUTED_VALUE"""),91.122)</f>
        <v>91.122</v>
      </c>
      <c r="G1791" s="2">
        <f ca="1">IFERROR(__xludf.DUMMYFUNCTION("""COMPUTED_VALUE"""),0.54193)</f>
        <v>0.54193000000000002</v>
      </c>
      <c r="H1791" s="2">
        <f ca="1">IFERROR(__xludf.DUMMYFUNCTION("""COMPUTED_VALUE"""),47.607)</f>
        <v>47.606999999999999</v>
      </c>
      <c r="I1791" s="2">
        <f ca="1">IFERROR(__xludf.DUMMYFUNCTION("""COMPUTED_VALUE"""),50.213)</f>
        <v>50.213000000000001</v>
      </c>
      <c r="J1791" s="2">
        <f ca="1">IFERROR(__xludf.DUMMYFUNCTION("""COMPUTED_VALUE"""),47.308)</f>
        <v>47.308</v>
      </c>
      <c r="K1791" s="2">
        <f ca="1">IFERROR(__xludf.DUMMYFUNCTION("""COMPUTED_VALUE"""),68.751)</f>
        <v>68.751000000000005</v>
      </c>
      <c r="M1791" s="2">
        <f ca="1">IFERROR(__xludf.DUMMYFUNCTION("""COMPUTED_VALUE"""),16.929)</f>
        <v>16.928999999999998</v>
      </c>
      <c r="U1791" s="3" t="e">
        <f ca="1"/>
        <v>#NAME?</v>
      </c>
    </row>
    <row r="1792" spans="3:21" ht="12.5" x14ac:dyDescent="0.25">
      <c r="C1792" s="4">
        <f ca="1">IFERROR(__xludf.DUMMYFUNCTION("""COMPUTED_VALUE"""),42135.9986111111)</f>
        <v>42135.998611111099</v>
      </c>
      <c r="D1792" s="2">
        <f ca="1">IFERROR(__xludf.DUMMYFUNCTION("""COMPUTED_VALUE"""),64.02)</f>
        <v>64.02</v>
      </c>
      <c r="E1792" s="2">
        <f ca="1">IFERROR(__xludf.DUMMYFUNCTION("""COMPUTED_VALUE"""),73.175)</f>
        <v>73.174999999999997</v>
      </c>
      <c r="F1792" s="2">
        <f ca="1">IFERROR(__xludf.DUMMYFUNCTION("""COMPUTED_VALUE"""),91.026)</f>
        <v>91.025999999999996</v>
      </c>
      <c r="G1792" s="2">
        <f ca="1">IFERROR(__xludf.DUMMYFUNCTION("""COMPUTED_VALUE"""),0.54211)</f>
        <v>0.54210999999999998</v>
      </c>
      <c r="H1792" s="2">
        <f ca="1">IFERROR(__xludf.DUMMYFUNCTION("""COMPUTED_VALUE"""),47.491)</f>
        <v>47.491</v>
      </c>
      <c r="I1792" s="2">
        <f ca="1">IFERROR(__xludf.DUMMYFUNCTION("""COMPUTED_VALUE"""),50.128)</f>
        <v>50.128</v>
      </c>
      <c r="J1792" s="2">
        <f ca="1">IFERROR(__xludf.DUMMYFUNCTION("""COMPUTED_VALUE"""),47.341)</f>
        <v>47.341000000000001</v>
      </c>
      <c r="K1792" s="2">
        <f ca="1">IFERROR(__xludf.DUMMYFUNCTION("""COMPUTED_VALUE"""),67.916)</f>
        <v>67.915999999999997</v>
      </c>
      <c r="M1792" s="2">
        <f ca="1">IFERROR(__xludf.DUMMYFUNCTION("""COMPUTED_VALUE"""),16.965)</f>
        <v>16.965</v>
      </c>
      <c r="U1792" s="3" t="e">
        <f ca="1"/>
        <v>#NAME?</v>
      </c>
    </row>
    <row r="1793" spans="3:21" ht="12.5" x14ac:dyDescent="0.25">
      <c r="C1793" s="4">
        <f ca="1">IFERROR(__xludf.DUMMYFUNCTION("""COMPUTED_VALUE"""),42136.9986111111)</f>
        <v>42136.998611111099</v>
      </c>
      <c r="D1793" s="2">
        <f ca="1">IFERROR(__xludf.DUMMYFUNCTION("""COMPUTED_VALUE"""),64.211)</f>
        <v>64.210999999999999</v>
      </c>
      <c r="E1793" s="2">
        <f ca="1">IFERROR(__xludf.DUMMYFUNCTION("""COMPUTED_VALUE"""),73.953)</f>
        <v>73.953000000000003</v>
      </c>
      <c r="F1793" s="2">
        <f ca="1">IFERROR(__xludf.DUMMYFUNCTION("""COMPUTED_VALUE"""),91.026)</f>
        <v>91.025999999999996</v>
      </c>
      <c r="G1793" s="2">
        <f ca="1">IFERROR(__xludf.DUMMYFUNCTION("""COMPUTED_VALUE"""),0.5405)</f>
        <v>0.54049999999999998</v>
      </c>
      <c r="H1793" s="2">
        <f ca="1">IFERROR(__xludf.DUMMYFUNCTION("""COMPUTED_VALUE"""),47.382)</f>
        <v>47.381999999999998</v>
      </c>
      <c r="I1793" s="2">
        <f ca="1">IFERROR(__xludf.DUMMYFUNCTION("""COMPUTED_VALUE"""),49.79)</f>
        <v>49.79</v>
      </c>
      <c r="J1793" s="2">
        <f ca="1">IFERROR(__xludf.DUMMYFUNCTION("""COMPUTED_VALUE"""),47.296)</f>
        <v>47.295999999999999</v>
      </c>
      <c r="K1793" s="2">
        <f ca="1">IFERROR(__xludf.DUMMYFUNCTION("""COMPUTED_VALUE"""),66.939)</f>
        <v>66.938999999999993</v>
      </c>
      <c r="M1793" s="2">
        <f ca="1">IFERROR(__xludf.DUMMYFUNCTION("""COMPUTED_VALUE"""),16.953)</f>
        <v>16.952999999999999</v>
      </c>
      <c r="U1793" s="3" t="e">
        <f ca="1"/>
        <v>#NAME?</v>
      </c>
    </row>
    <row r="1794" spans="3:21" ht="12.5" x14ac:dyDescent="0.25">
      <c r="C1794" s="4">
        <f ca="1">IFERROR(__xludf.DUMMYFUNCTION("""COMPUTED_VALUE"""),42137.9986111111)</f>
        <v>42137.998611111099</v>
      </c>
      <c r="D1794" s="2">
        <f ca="1">IFERROR(__xludf.DUMMYFUNCTION("""COMPUTED_VALUE"""),64.044)</f>
        <v>64.043999999999997</v>
      </c>
      <c r="E1794" s="2">
        <f ca="1">IFERROR(__xludf.DUMMYFUNCTION("""COMPUTED_VALUE"""),73.948)</f>
        <v>73.947999999999993</v>
      </c>
      <c r="F1794" s="2">
        <f ca="1">IFERROR(__xludf.DUMMYFUNCTION("""COMPUTED_VALUE"""),91.395)</f>
        <v>91.394999999999996</v>
      </c>
      <c r="G1794" s="2">
        <f ca="1">IFERROR(__xludf.DUMMYFUNCTION("""COMPUTED_VALUE"""),0.53931)</f>
        <v>0.53930999999999996</v>
      </c>
      <c r="H1794" s="2">
        <f ca="1">IFERROR(__xludf.DUMMYFUNCTION("""COMPUTED_VALUE"""),46.819)</f>
        <v>46.819000000000003</v>
      </c>
      <c r="I1794" s="2">
        <f ca="1">IFERROR(__xludf.DUMMYFUNCTION("""COMPUTED_VALUE"""),49.568)</f>
        <v>49.567999999999998</v>
      </c>
      <c r="J1794" s="2">
        <f ca="1">IFERROR(__xludf.DUMMYFUNCTION("""COMPUTED_VALUE"""),47.03)</f>
        <v>47.03</v>
      </c>
      <c r="K1794" s="2">
        <f ca="1">IFERROR(__xludf.DUMMYFUNCTION("""COMPUTED_VALUE"""),67.082)</f>
        <v>67.081999999999994</v>
      </c>
      <c r="M1794" s="2">
        <f ca="1">IFERROR(__xludf.DUMMYFUNCTION("""COMPUTED_VALUE"""),16.953)</f>
        <v>16.952999999999999</v>
      </c>
      <c r="U1794" s="3" t="e">
        <f ca="1"/>
        <v>#NAME?</v>
      </c>
    </row>
    <row r="1795" spans="3:21" ht="12.5" x14ac:dyDescent="0.25">
      <c r="C1795" s="4">
        <f ca="1">IFERROR(__xludf.DUMMYFUNCTION("""COMPUTED_VALUE"""),42138.9986111111)</f>
        <v>42138.998611111099</v>
      </c>
      <c r="D1795" s="2">
        <f ca="1">IFERROR(__xludf.DUMMYFUNCTION("""COMPUTED_VALUE"""),63.408)</f>
        <v>63.408000000000001</v>
      </c>
      <c r="E1795" s="2">
        <f ca="1">IFERROR(__xludf.DUMMYFUNCTION("""COMPUTED_VALUE"""),73.994)</f>
        <v>73.994</v>
      </c>
      <c r="F1795" s="2">
        <f ca="1">IFERROR(__xludf.DUMMYFUNCTION("""COMPUTED_VALUE"""),91.943)</f>
        <v>91.942999999999998</v>
      </c>
      <c r="G1795" s="2">
        <f ca="1">IFERROR(__xludf.DUMMYFUNCTION("""COMPUTED_VALUE"""),0.54058)</f>
        <v>0.54057999999999995</v>
      </c>
      <c r="H1795" s="2">
        <f ca="1">IFERROR(__xludf.DUMMYFUNCTION("""COMPUTED_VALUE"""),46.566)</f>
        <v>46.566000000000003</v>
      </c>
      <c r="I1795" s="2">
        <f ca="1">IFERROR(__xludf.DUMMYFUNCTION("""COMPUTED_VALUE"""),49.574)</f>
        <v>49.573999999999998</v>
      </c>
      <c r="J1795" s="2">
        <f ca="1">IFERROR(__xludf.DUMMYFUNCTION("""COMPUTED_VALUE"""),46.58)</f>
        <v>46.58</v>
      </c>
      <c r="K1795" s="2">
        <f ca="1">IFERROR(__xludf.DUMMYFUNCTION("""COMPUTED_VALUE"""),67.364)</f>
        <v>67.364000000000004</v>
      </c>
      <c r="M1795" s="2">
        <f ca="1">IFERROR(__xludf.DUMMYFUNCTION("""COMPUTED_VALUE"""),16.953)</f>
        <v>16.952999999999999</v>
      </c>
      <c r="U1795" s="3" t="e">
        <f ca="1"/>
        <v>#NAME?</v>
      </c>
    </row>
    <row r="1796" spans="3:21" ht="12.5" x14ac:dyDescent="0.25">
      <c r="C1796" s="4">
        <f ca="1">IFERROR(__xludf.DUMMYFUNCTION("""COMPUTED_VALUE"""),42139.9986111111)</f>
        <v>42139.998611111099</v>
      </c>
      <c r="D1796" s="2">
        <f ca="1">IFERROR(__xludf.DUMMYFUNCTION("""COMPUTED_VALUE"""),63.433)</f>
        <v>63.433</v>
      </c>
      <c r="E1796" s="2">
        <f ca="1">IFERROR(__xludf.DUMMYFUNCTION("""COMPUTED_VALUE"""),74.335)</f>
        <v>74.334999999999994</v>
      </c>
      <c r="F1796" s="2">
        <f ca="1">IFERROR(__xludf.DUMMYFUNCTION("""COMPUTED_VALUE"""),92.414)</f>
        <v>92.414000000000001</v>
      </c>
      <c r="G1796" s="2">
        <f ca="1">IFERROR(__xludf.DUMMYFUNCTION("""COMPUTED_VALUE"""),0.53606)</f>
        <v>0.53605999999999998</v>
      </c>
      <c r="H1796" s="2">
        <f ca="1">IFERROR(__xludf.DUMMYFUNCTION("""COMPUTED_VALUE"""),46.252)</f>
        <v>46.252000000000002</v>
      </c>
      <c r="I1796" s="2">
        <f ca="1">IFERROR(__xludf.DUMMYFUNCTION("""COMPUTED_VALUE"""),49.595)</f>
        <v>49.594999999999999</v>
      </c>
      <c r="J1796" s="2">
        <f ca="1">IFERROR(__xludf.DUMMYFUNCTION("""COMPUTED_VALUE"""),46.418)</f>
        <v>46.417999999999999</v>
      </c>
      <c r="K1796" s="2">
        <f ca="1">IFERROR(__xludf.DUMMYFUNCTION("""COMPUTED_VALUE"""),67.111)</f>
        <v>67.111000000000004</v>
      </c>
      <c r="M1796" s="2">
        <f ca="1">IFERROR(__xludf.DUMMYFUNCTION("""COMPUTED_VALUE"""),16.986)</f>
        <v>16.986000000000001</v>
      </c>
      <c r="U1796" s="3" t="e">
        <f ca="1"/>
        <v>#NAME?</v>
      </c>
    </row>
    <row r="1797" spans="3:21" ht="12.5" x14ac:dyDescent="0.25">
      <c r="C1797" s="4">
        <f ca="1">IFERROR(__xludf.DUMMYFUNCTION("""COMPUTED_VALUE"""),42140.9986111111)</f>
        <v>42140.998611111099</v>
      </c>
      <c r="D1797" s="2">
        <f ca="1">IFERROR(__xludf.DUMMYFUNCTION("""COMPUTED_VALUE"""),63.439)</f>
        <v>63.439</v>
      </c>
      <c r="E1797" s="2">
        <f ca="1">IFERROR(__xludf.DUMMYFUNCTION("""COMPUTED_VALUE"""),74.111)</f>
        <v>74.111000000000004</v>
      </c>
      <c r="F1797" s="2">
        <f ca="1">IFERROR(__xludf.DUMMYFUNCTION("""COMPUTED_VALUE"""),92.878)</f>
        <v>92.878</v>
      </c>
      <c r="G1797" s="2">
        <f ca="1">IFERROR(__xludf.DUMMYFUNCTION("""COMPUTED_VALUE"""),0.53957)</f>
        <v>0.53956999999999999</v>
      </c>
      <c r="H1797" s="2">
        <f ca="1">IFERROR(__xludf.DUMMYFUNCTION("""COMPUTED_VALUE"""),46.378)</f>
        <v>46.378</v>
      </c>
      <c r="I1797" s="2">
        <f ca="1">IFERROR(__xludf.DUMMYFUNCTION("""COMPUTED_VALUE"""),49.59)</f>
        <v>49.59</v>
      </c>
      <c r="J1797" s="2">
        <f ca="1">IFERROR(__xludf.DUMMYFUNCTION("""COMPUTED_VALUE"""),46.341)</f>
        <v>46.341000000000001</v>
      </c>
      <c r="K1797" s="2">
        <f ca="1">IFERROR(__xludf.DUMMYFUNCTION("""COMPUTED_VALUE"""),67.014)</f>
        <v>67.013999999999996</v>
      </c>
      <c r="M1797" s="2">
        <f ca="1">IFERROR(__xludf.DUMMYFUNCTION("""COMPUTED_VALUE"""),16.965)</f>
        <v>16.965</v>
      </c>
      <c r="U1797" s="3" t="e">
        <f ca="1"/>
        <v>#NAME?</v>
      </c>
    </row>
    <row r="1798" spans="3:21" ht="12.5" x14ac:dyDescent="0.25">
      <c r="C1798" s="4">
        <f ca="1">IFERROR(__xludf.DUMMYFUNCTION("""COMPUTED_VALUE"""),42141.9986111111)</f>
        <v>42141.998611111099</v>
      </c>
      <c r="D1798" s="2">
        <f ca="1">IFERROR(__xludf.DUMMYFUNCTION("""COMPUTED_VALUE"""),63.439)</f>
        <v>63.439</v>
      </c>
      <c r="E1798" s="2">
        <f ca="1">IFERROR(__xludf.DUMMYFUNCTION("""COMPUTED_VALUE"""),73.115)</f>
        <v>73.114999999999995</v>
      </c>
      <c r="F1798" s="2">
        <f ca="1">IFERROR(__xludf.DUMMYFUNCTION("""COMPUTED_VALUE"""),93.589)</f>
        <v>93.588999999999999</v>
      </c>
      <c r="G1798" s="2">
        <f ca="1">IFERROR(__xludf.DUMMYFUNCTION("""COMPUTED_VALUE"""),0.53725)</f>
        <v>0.53725000000000001</v>
      </c>
      <c r="H1798" s="2">
        <f ca="1">IFERROR(__xludf.DUMMYFUNCTION("""COMPUTED_VALUE"""),46.432)</f>
        <v>46.432000000000002</v>
      </c>
      <c r="I1798" s="2">
        <f ca="1">IFERROR(__xludf.DUMMYFUNCTION("""COMPUTED_VALUE"""),49.577)</f>
        <v>49.576999999999998</v>
      </c>
      <c r="J1798" s="2">
        <f ca="1">IFERROR(__xludf.DUMMYFUNCTION("""COMPUTED_VALUE"""),46.434)</f>
        <v>46.433999999999997</v>
      </c>
      <c r="K1798" s="2">
        <f ca="1">IFERROR(__xludf.DUMMYFUNCTION("""COMPUTED_VALUE"""),67.14)</f>
        <v>67.14</v>
      </c>
      <c r="M1798" s="2">
        <f ca="1">IFERROR(__xludf.DUMMYFUNCTION("""COMPUTED_VALUE"""),16.986)</f>
        <v>16.986000000000001</v>
      </c>
      <c r="U1798" s="3" t="e">
        <f ca="1"/>
        <v>#NAME?</v>
      </c>
    </row>
    <row r="1799" spans="3:21" ht="12.5" x14ac:dyDescent="0.25">
      <c r="C1799" s="4">
        <f ca="1">IFERROR(__xludf.DUMMYFUNCTION("""COMPUTED_VALUE"""),42142.9986111111)</f>
        <v>42142.998611111099</v>
      </c>
      <c r="D1799" s="2">
        <f ca="1">IFERROR(__xludf.DUMMYFUNCTION("""COMPUTED_VALUE"""),63.729)</f>
        <v>63.728999999999999</v>
      </c>
      <c r="E1799" s="2">
        <f ca="1">IFERROR(__xludf.DUMMYFUNCTION("""COMPUTED_VALUE"""),73.368)</f>
        <v>73.367999999999995</v>
      </c>
      <c r="F1799" s="2">
        <f ca="1">IFERROR(__xludf.DUMMYFUNCTION("""COMPUTED_VALUE"""),93.494)</f>
        <v>93.494</v>
      </c>
      <c r="G1799" s="2">
        <f ca="1">IFERROR(__xludf.DUMMYFUNCTION("""COMPUTED_VALUE"""),0.53761)</f>
        <v>0.53761000000000003</v>
      </c>
      <c r="H1799" s="2">
        <f ca="1">IFERROR(__xludf.DUMMYFUNCTION("""COMPUTED_VALUE"""),46.144)</f>
        <v>46.143999999999998</v>
      </c>
      <c r="I1799" s="2">
        <f ca="1">IFERROR(__xludf.DUMMYFUNCTION("""COMPUTED_VALUE"""),49.411)</f>
        <v>49.411000000000001</v>
      </c>
      <c r="J1799" s="2">
        <f ca="1">IFERROR(__xludf.DUMMYFUNCTION("""COMPUTED_VALUE"""),46.377)</f>
        <v>46.377000000000002</v>
      </c>
      <c r="K1799" s="2">
        <f ca="1">IFERROR(__xludf.DUMMYFUNCTION("""COMPUTED_VALUE"""),66.786)</f>
        <v>66.786000000000001</v>
      </c>
      <c r="M1799" s="2">
        <f ca="1">IFERROR(__xludf.DUMMYFUNCTION("""COMPUTED_VALUE"""),16.968)</f>
        <v>16.968</v>
      </c>
      <c r="U1799" s="3" t="e">
        <f ca="1"/>
        <v>#NAME?</v>
      </c>
    </row>
    <row r="1800" spans="3:21" ht="12.5" x14ac:dyDescent="0.25">
      <c r="C1800" s="4">
        <f ca="1">IFERROR(__xludf.DUMMYFUNCTION("""COMPUTED_VALUE"""),42143.9986111111)</f>
        <v>42143.998611111099</v>
      </c>
      <c r="D1800" s="2">
        <f ca="1">IFERROR(__xludf.DUMMYFUNCTION("""COMPUTED_VALUE"""),63.785)</f>
        <v>63.784999999999997</v>
      </c>
      <c r="E1800" s="2">
        <f ca="1">IFERROR(__xludf.DUMMYFUNCTION("""COMPUTED_VALUE"""),73.197)</f>
        <v>73.197000000000003</v>
      </c>
      <c r="F1800" s="2">
        <f ca="1">IFERROR(__xludf.DUMMYFUNCTION("""COMPUTED_VALUE"""),93.494)</f>
        <v>93.494</v>
      </c>
      <c r="G1800" s="2">
        <f ca="1">IFERROR(__xludf.DUMMYFUNCTION("""COMPUTED_VALUE"""),0.53833)</f>
        <v>0.53832999999999998</v>
      </c>
      <c r="H1800" s="2">
        <f ca="1">IFERROR(__xludf.DUMMYFUNCTION("""COMPUTED_VALUE"""),46.106)</f>
        <v>46.106000000000002</v>
      </c>
      <c r="I1800" s="2">
        <f ca="1">IFERROR(__xludf.DUMMYFUNCTION("""COMPUTED_VALUE"""),49.061)</f>
        <v>49.061</v>
      </c>
      <c r="J1800" s="2">
        <f ca="1">IFERROR(__xludf.DUMMYFUNCTION("""COMPUTED_VALUE"""),46.257)</f>
        <v>46.256999999999998</v>
      </c>
      <c r="K1800" s="2">
        <f ca="1">IFERROR(__xludf.DUMMYFUNCTION("""COMPUTED_VALUE"""),67.468)</f>
        <v>67.468000000000004</v>
      </c>
      <c r="M1800" s="2">
        <f ca="1">IFERROR(__xludf.DUMMYFUNCTION("""COMPUTED_VALUE"""),17.027)</f>
        <v>17.027000000000001</v>
      </c>
      <c r="U1800" s="3" t="e">
        <f ca="1"/>
        <v>#NAME?</v>
      </c>
    </row>
    <row r="1801" spans="3:21" ht="12.5" x14ac:dyDescent="0.25">
      <c r="C1801" s="4">
        <f ca="1">IFERROR(__xludf.DUMMYFUNCTION("""COMPUTED_VALUE"""),42144.9986111111)</f>
        <v>42144.998611111099</v>
      </c>
      <c r="D1801" s="2">
        <f ca="1">IFERROR(__xludf.DUMMYFUNCTION("""COMPUTED_VALUE"""),63.625)</f>
        <v>63.625</v>
      </c>
      <c r="E1801" s="2">
        <f ca="1">IFERROR(__xludf.DUMMYFUNCTION("""COMPUTED_VALUE"""),72.827)</f>
        <v>72.826999999999998</v>
      </c>
      <c r="F1801" s="2">
        <f ca="1">IFERROR(__xludf.DUMMYFUNCTION("""COMPUTED_VALUE"""),94.041)</f>
        <v>94.040999999999997</v>
      </c>
      <c r="G1801" s="2">
        <f ca="1">IFERROR(__xludf.DUMMYFUNCTION("""COMPUTED_VALUE"""),0.53864)</f>
        <v>0.53864000000000001</v>
      </c>
      <c r="H1801" s="2">
        <f ca="1">IFERROR(__xludf.DUMMYFUNCTION("""COMPUTED_VALUE"""),45.878)</f>
        <v>45.878</v>
      </c>
      <c r="I1801" s="2">
        <f ca="1">IFERROR(__xludf.DUMMYFUNCTION("""COMPUTED_VALUE"""),49.15)</f>
        <v>49.15</v>
      </c>
      <c r="J1801" s="2">
        <f ca="1">IFERROR(__xludf.DUMMYFUNCTION("""COMPUTED_VALUE"""),46.126)</f>
        <v>46.125999999999998</v>
      </c>
      <c r="K1801" s="2">
        <f ca="1">IFERROR(__xludf.DUMMYFUNCTION("""COMPUTED_VALUE"""),66.751)</f>
        <v>66.751000000000005</v>
      </c>
      <c r="M1801" s="2">
        <f ca="1">IFERROR(__xludf.DUMMYFUNCTION("""COMPUTED_VALUE"""),17.028)</f>
        <v>17.027999999999999</v>
      </c>
      <c r="U1801" s="3" t="e">
        <f ca="1"/>
        <v>#NAME?</v>
      </c>
    </row>
    <row r="1802" spans="3:21" ht="12.5" x14ac:dyDescent="0.25">
      <c r="C1802" s="4">
        <f ca="1">IFERROR(__xludf.DUMMYFUNCTION("""COMPUTED_VALUE"""),42145.9986111111)</f>
        <v>42145.998611111099</v>
      </c>
      <c r="D1802" s="2">
        <f ca="1">IFERROR(__xludf.DUMMYFUNCTION("""COMPUTED_VALUE"""),63.626)</f>
        <v>63.625999999999998</v>
      </c>
      <c r="E1802" s="2">
        <f ca="1">IFERROR(__xludf.DUMMYFUNCTION("""COMPUTED_VALUE"""),73.372)</f>
        <v>73.372</v>
      </c>
      <c r="F1802" s="2">
        <f ca="1">IFERROR(__xludf.DUMMYFUNCTION("""COMPUTED_VALUE"""),93.792)</f>
        <v>93.792000000000002</v>
      </c>
      <c r="G1802" s="2">
        <f ca="1">IFERROR(__xludf.DUMMYFUNCTION("""COMPUTED_VALUE"""),0.53407)</f>
        <v>0.53407000000000004</v>
      </c>
      <c r="H1802" s="2">
        <f ca="1">IFERROR(__xludf.DUMMYFUNCTION("""COMPUTED_VALUE"""),46.13)</f>
        <v>46.13</v>
      </c>
      <c r="I1802" s="2">
        <f ca="1">IFERROR(__xludf.DUMMYFUNCTION("""COMPUTED_VALUE"""),49.493)</f>
        <v>49.493000000000002</v>
      </c>
      <c r="J1802" s="2">
        <f ca="1">IFERROR(__xludf.DUMMYFUNCTION("""COMPUTED_VALUE"""),45.981)</f>
        <v>45.981000000000002</v>
      </c>
      <c r="K1802" s="2">
        <f ca="1">IFERROR(__xludf.DUMMYFUNCTION("""COMPUTED_VALUE"""),66.935)</f>
        <v>66.935000000000002</v>
      </c>
      <c r="M1802" s="2">
        <f ca="1">IFERROR(__xludf.DUMMYFUNCTION("""COMPUTED_VALUE"""),17.027)</f>
        <v>17.027000000000001</v>
      </c>
      <c r="U1802" s="3" t="e">
        <f ca="1"/>
        <v>#NAME?</v>
      </c>
    </row>
    <row r="1803" spans="3:21" ht="12.5" x14ac:dyDescent="0.25">
      <c r="C1803" s="4">
        <f ca="1">IFERROR(__xludf.DUMMYFUNCTION("""COMPUTED_VALUE"""),42146.9986111111)</f>
        <v>42146.998611111099</v>
      </c>
      <c r="D1803" s="2">
        <f ca="1">IFERROR(__xludf.DUMMYFUNCTION("""COMPUTED_VALUE"""),63.483)</f>
        <v>63.482999999999997</v>
      </c>
      <c r="E1803" s="2">
        <f ca="1">IFERROR(__xludf.DUMMYFUNCTION("""COMPUTED_VALUE"""),72.913)</f>
        <v>72.912999999999997</v>
      </c>
      <c r="F1803" s="2">
        <f ca="1">IFERROR(__xludf.DUMMYFUNCTION("""COMPUTED_VALUE"""),94.513)</f>
        <v>94.513000000000005</v>
      </c>
      <c r="G1803" s="2">
        <f ca="1">IFERROR(__xludf.DUMMYFUNCTION("""COMPUTED_VALUE"""),0.5344)</f>
        <v>0.53439999999999999</v>
      </c>
      <c r="H1803" s="2">
        <f ca="1">IFERROR(__xludf.DUMMYFUNCTION("""COMPUTED_VALUE"""),46.101)</f>
        <v>46.100999999999999</v>
      </c>
      <c r="I1803" s="2">
        <f ca="1">IFERROR(__xludf.DUMMYFUNCTION("""COMPUTED_VALUE"""),49.634)</f>
        <v>49.634</v>
      </c>
      <c r="J1803" s="2">
        <f ca="1">IFERROR(__xludf.DUMMYFUNCTION("""COMPUTED_VALUE"""),45.822)</f>
        <v>45.822000000000003</v>
      </c>
      <c r="K1803" s="2">
        <f ca="1">IFERROR(__xludf.DUMMYFUNCTION("""COMPUTED_VALUE"""),66.618)</f>
        <v>66.617999999999995</v>
      </c>
      <c r="M1803" s="2">
        <f ca="1">IFERROR(__xludf.DUMMYFUNCTION("""COMPUTED_VALUE"""),17.191)</f>
        <v>17.190999999999999</v>
      </c>
      <c r="U1803" s="3" t="e">
        <f ca="1"/>
        <v>#NAME?</v>
      </c>
    </row>
    <row r="1804" spans="3:21" ht="12.5" x14ac:dyDescent="0.25">
      <c r="C1804" s="4">
        <f ca="1">IFERROR(__xludf.DUMMYFUNCTION("""COMPUTED_VALUE"""),42147.9986111111)</f>
        <v>42147.998611111099</v>
      </c>
      <c r="D1804" s="2">
        <f ca="1">IFERROR(__xludf.DUMMYFUNCTION("""COMPUTED_VALUE"""),63.489)</f>
        <v>63.488999999999997</v>
      </c>
      <c r="E1804" s="2">
        <f ca="1">IFERROR(__xludf.DUMMYFUNCTION("""COMPUTED_VALUE"""),73.269)</f>
        <v>73.269000000000005</v>
      </c>
      <c r="F1804" s="2">
        <f ca="1">IFERROR(__xludf.DUMMYFUNCTION("""COMPUTED_VALUE"""),95.149)</f>
        <v>95.149000000000001</v>
      </c>
      <c r="G1804" s="2">
        <f ca="1">IFERROR(__xludf.DUMMYFUNCTION("""COMPUTED_VALUE"""),0.53433)</f>
        <v>0.53432999999999997</v>
      </c>
      <c r="H1804" s="2">
        <f ca="1">IFERROR(__xludf.DUMMYFUNCTION("""COMPUTED_VALUE"""),46.096)</f>
        <v>46.095999999999997</v>
      </c>
      <c r="I1804" s="2">
        <f ca="1">IFERROR(__xludf.DUMMYFUNCTION("""COMPUTED_VALUE"""),49.722)</f>
        <v>49.722000000000001</v>
      </c>
      <c r="J1804" s="2">
        <f ca="1">IFERROR(__xludf.DUMMYFUNCTION("""COMPUTED_VALUE"""),45.512)</f>
        <v>45.512</v>
      </c>
      <c r="K1804" s="2">
        <f ca="1">IFERROR(__xludf.DUMMYFUNCTION("""COMPUTED_VALUE"""),66.239)</f>
        <v>66.239000000000004</v>
      </c>
      <c r="M1804" s="2">
        <f ca="1">IFERROR(__xludf.DUMMYFUNCTION("""COMPUTED_VALUE"""),17.119)</f>
        <v>17.119</v>
      </c>
      <c r="U1804" s="3" t="e">
        <f ca="1"/>
        <v>#NAME?</v>
      </c>
    </row>
    <row r="1805" spans="3:21" ht="12.5" x14ac:dyDescent="0.25">
      <c r="C1805" s="4">
        <f ca="1">IFERROR(__xludf.DUMMYFUNCTION("""COMPUTED_VALUE"""),42148.9986111111)</f>
        <v>42148.998611111099</v>
      </c>
      <c r="D1805" s="2">
        <f ca="1">IFERROR(__xludf.DUMMYFUNCTION("""COMPUTED_VALUE"""),63.489)</f>
        <v>63.488999999999997</v>
      </c>
      <c r="E1805" s="2">
        <f ca="1">IFERROR(__xludf.DUMMYFUNCTION("""COMPUTED_VALUE"""),73.497)</f>
        <v>73.497</v>
      </c>
      <c r="F1805" s="2">
        <f ca="1">IFERROR(__xludf.DUMMYFUNCTION("""COMPUTED_VALUE"""),96.679)</f>
        <v>96.679000000000002</v>
      </c>
      <c r="G1805" s="2">
        <f ca="1">IFERROR(__xludf.DUMMYFUNCTION("""COMPUTED_VALUE"""),0.53693)</f>
        <v>0.53693000000000002</v>
      </c>
      <c r="H1805" s="2">
        <f ca="1">IFERROR(__xludf.DUMMYFUNCTION("""COMPUTED_VALUE"""),46.605)</f>
        <v>46.604999999999997</v>
      </c>
      <c r="I1805" s="2">
        <f ca="1">IFERROR(__xludf.DUMMYFUNCTION("""COMPUTED_VALUE"""),49.914)</f>
        <v>49.914000000000001</v>
      </c>
      <c r="J1805" s="2">
        <f ca="1">IFERROR(__xludf.DUMMYFUNCTION("""COMPUTED_VALUE"""),45.792)</f>
        <v>45.792000000000002</v>
      </c>
      <c r="K1805" s="2">
        <f ca="1">IFERROR(__xludf.DUMMYFUNCTION("""COMPUTED_VALUE"""),65.926)</f>
        <v>65.926000000000002</v>
      </c>
      <c r="M1805" s="2">
        <f ca="1">IFERROR(__xludf.DUMMYFUNCTION("""COMPUTED_VALUE"""),17.134)</f>
        <v>17.134</v>
      </c>
      <c r="U1805" s="3" t="e">
        <f ca="1"/>
        <v>#NAME?</v>
      </c>
    </row>
    <row r="1806" spans="3:21" ht="12.5" x14ac:dyDescent="0.25">
      <c r="C1806" s="4">
        <f ca="1">IFERROR(__xludf.DUMMYFUNCTION("""COMPUTED_VALUE"""),42149.9986111111)</f>
        <v>42149.998611111099</v>
      </c>
      <c r="D1806" s="2">
        <f ca="1">IFERROR(__xludf.DUMMYFUNCTION("""COMPUTED_VALUE"""),63.571)</f>
        <v>63.570999999999998</v>
      </c>
      <c r="E1806" s="2">
        <f ca="1">IFERROR(__xludf.DUMMYFUNCTION("""COMPUTED_VALUE"""),73.497)</f>
        <v>73.497</v>
      </c>
      <c r="F1806" s="2">
        <f ca="1">IFERROR(__xludf.DUMMYFUNCTION("""COMPUTED_VALUE"""),96.408)</f>
        <v>96.408000000000001</v>
      </c>
      <c r="G1806" s="2">
        <f ca="1">IFERROR(__xludf.DUMMYFUNCTION("""COMPUTED_VALUE"""),0.53313)</f>
        <v>0.53312999999999999</v>
      </c>
      <c r="H1806" s="2">
        <f ca="1">IFERROR(__xludf.DUMMYFUNCTION("""COMPUTED_VALUE"""),46.672)</f>
        <v>46.671999999999997</v>
      </c>
      <c r="I1806" s="2">
        <f ca="1">IFERROR(__xludf.DUMMYFUNCTION("""COMPUTED_VALUE"""),49.653)</f>
        <v>49.652999999999999</v>
      </c>
      <c r="J1806" s="2">
        <f ca="1">IFERROR(__xludf.DUMMYFUNCTION("""COMPUTED_VALUE"""),45.822)</f>
        <v>45.822000000000003</v>
      </c>
      <c r="K1806" s="2">
        <f ca="1">IFERROR(__xludf.DUMMYFUNCTION("""COMPUTED_VALUE"""),65.872)</f>
        <v>65.872</v>
      </c>
      <c r="M1806" s="2">
        <f ca="1">IFERROR(__xludf.DUMMYFUNCTION("""COMPUTED_VALUE"""),17.23)</f>
        <v>17.23</v>
      </c>
      <c r="U1806" s="3" t="e">
        <f ca="1"/>
        <v>#NAME?</v>
      </c>
    </row>
    <row r="1807" spans="3:21" ht="12.5" x14ac:dyDescent="0.25">
      <c r="C1807" s="4">
        <f ca="1">IFERROR(__xludf.DUMMYFUNCTION("""COMPUTED_VALUE"""),42150.9986111111)</f>
        <v>42150.998611111099</v>
      </c>
      <c r="D1807" s="2">
        <f ca="1">IFERROR(__xludf.DUMMYFUNCTION("""COMPUTED_VALUE"""),63.976)</f>
        <v>63.975999999999999</v>
      </c>
      <c r="E1807" s="2">
        <f ca="1">IFERROR(__xludf.DUMMYFUNCTION("""COMPUTED_VALUE"""),73.495)</f>
        <v>73.495000000000005</v>
      </c>
      <c r="F1807" s="2">
        <f ca="1">IFERROR(__xludf.DUMMYFUNCTION("""COMPUTED_VALUE"""),96.408)</f>
        <v>96.408000000000001</v>
      </c>
      <c r="G1807" s="2">
        <f ca="1">IFERROR(__xludf.DUMMYFUNCTION("""COMPUTED_VALUE"""),0.53934)</f>
        <v>0.53934000000000004</v>
      </c>
      <c r="H1807" s="2">
        <f ca="1">IFERROR(__xludf.DUMMYFUNCTION("""COMPUTED_VALUE"""),47.184)</f>
        <v>47.183999999999997</v>
      </c>
      <c r="I1807" s="2">
        <f ca="1">IFERROR(__xludf.DUMMYFUNCTION("""COMPUTED_VALUE"""),49.954)</f>
        <v>49.954000000000001</v>
      </c>
      <c r="J1807" s="2">
        <f ca="1">IFERROR(__xludf.DUMMYFUNCTION("""COMPUTED_VALUE"""),45.96)</f>
        <v>45.96</v>
      </c>
      <c r="K1807" s="2">
        <f ca="1">IFERROR(__xludf.DUMMYFUNCTION("""COMPUTED_VALUE"""),65.96)</f>
        <v>65.959999999999994</v>
      </c>
      <c r="M1807" s="2">
        <f ca="1">IFERROR(__xludf.DUMMYFUNCTION("""COMPUTED_VALUE"""),17.33)</f>
        <v>17.329999999999998</v>
      </c>
      <c r="U1807" s="3" t="e">
        <f ca="1"/>
        <v>#NAME?</v>
      </c>
    </row>
    <row r="1808" spans="3:21" ht="12.5" x14ac:dyDescent="0.25">
      <c r="C1808" s="4">
        <f ca="1">IFERROR(__xludf.DUMMYFUNCTION("""COMPUTED_VALUE"""),42151.9986111111)</f>
        <v>42151.998611111099</v>
      </c>
      <c r="D1808" s="2">
        <f ca="1">IFERROR(__xludf.DUMMYFUNCTION("""COMPUTED_VALUE"""),63.874)</f>
        <v>63.874000000000002</v>
      </c>
      <c r="E1808" s="2">
        <f ca="1">IFERROR(__xludf.DUMMYFUNCTION("""COMPUTED_VALUE"""),74.011)</f>
        <v>74.010999999999996</v>
      </c>
      <c r="F1808" s="2">
        <f ca="1">IFERROR(__xludf.DUMMYFUNCTION("""COMPUTED_VALUE"""),96.362)</f>
        <v>96.361999999999995</v>
      </c>
      <c r="G1808" s="2">
        <f ca="1">IFERROR(__xludf.DUMMYFUNCTION("""COMPUTED_VALUE"""),0.54062)</f>
        <v>0.54061999999999999</v>
      </c>
      <c r="H1808" s="2">
        <f ca="1">IFERROR(__xludf.DUMMYFUNCTION("""COMPUTED_VALUE"""),47.474)</f>
        <v>47.473999999999997</v>
      </c>
      <c r="I1808" s="2">
        <f ca="1">IFERROR(__xludf.DUMMYFUNCTION("""COMPUTED_VALUE"""),49.988)</f>
        <v>49.988</v>
      </c>
      <c r="J1808" s="2">
        <f ca="1">IFERROR(__xludf.DUMMYFUNCTION("""COMPUTED_VALUE"""),46.24)</f>
        <v>46.24</v>
      </c>
      <c r="K1808" s="2">
        <f ca="1">IFERROR(__xludf.DUMMYFUNCTION("""COMPUTED_VALUE"""),66.29)</f>
        <v>66.290000000000006</v>
      </c>
      <c r="M1808" s="2">
        <f ca="1">IFERROR(__xludf.DUMMYFUNCTION("""COMPUTED_VALUE"""),17.33)</f>
        <v>17.329999999999998</v>
      </c>
      <c r="U1808" s="3" t="e">
        <f ca="1"/>
        <v>#NAME?</v>
      </c>
    </row>
    <row r="1809" spans="3:21" ht="12.5" x14ac:dyDescent="0.25">
      <c r="C1809" s="4">
        <f ca="1">IFERROR(__xludf.DUMMYFUNCTION("""COMPUTED_VALUE"""),42152.9986111111)</f>
        <v>42152.998611111099</v>
      </c>
      <c r="D1809" s="2">
        <f ca="1">IFERROR(__xludf.DUMMYFUNCTION("""COMPUTED_VALUE"""),63.825)</f>
        <v>63.825000000000003</v>
      </c>
      <c r="E1809" s="2">
        <f ca="1">IFERROR(__xludf.DUMMYFUNCTION("""COMPUTED_VALUE"""),74.333)</f>
        <v>74.332999999999998</v>
      </c>
      <c r="F1809" s="2">
        <f ca="1">IFERROR(__xludf.DUMMYFUNCTION("""COMPUTED_VALUE"""),96.331)</f>
        <v>96.331000000000003</v>
      </c>
      <c r="G1809" s="2">
        <f ca="1">IFERROR(__xludf.DUMMYFUNCTION("""COMPUTED_VALUE"""),0.54059)</f>
        <v>0.54059000000000001</v>
      </c>
      <c r="H1809" s="2">
        <f ca="1">IFERROR(__xludf.DUMMYFUNCTION("""COMPUTED_VALUE"""),47.291)</f>
        <v>47.290999999999997</v>
      </c>
      <c r="I1809" s="2">
        <f ca="1">IFERROR(__xludf.DUMMYFUNCTION("""COMPUTED_VALUE"""),49.913)</f>
        <v>49.912999999999997</v>
      </c>
      <c r="J1809" s="2">
        <f ca="1">IFERROR(__xludf.DUMMYFUNCTION("""COMPUTED_VALUE"""),46.385)</f>
        <v>46.384999999999998</v>
      </c>
      <c r="K1809" s="2">
        <f ca="1">IFERROR(__xludf.DUMMYFUNCTION("""COMPUTED_VALUE"""),66.261)</f>
        <v>66.260999999999996</v>
      </c>
      <c r="M1809" s="2">
        <f ca="1">IFERROR(__xludf.DUMMYFUNCTION("""COMPUTED_VALUE"""),17.33)</f>
        <v>17.329999999999998</v>
      </c>
      <c r="U1809" s="3" t="e">
        <f ca="1"/>
        <v>#NAME?</v>
      </c>
    </row>
    <row r="1810" spans="3:21" ht="12.5" x14ac:dyDescent="0.25">
      <c r="C1810" s="4">
        <f ca="1">IFERROR(__xludf.DUMMYFUNCTION("""COMPUTED_VALUE"""),42153.9986111111)</f>
        <v>42153.998611111099</v>
      </c>
      <c r="D1810" s="2">
        <f ca="1">IFERROR(__xludf.DUMMYFUNCTION("""COMPUTED_VALUE"""),63.736)</f>
        <v>63.735999999999997</v>
      </c>
      <c r="E1810" s="2">
        <f ca="1">IFERROR(__xludf.DUMMYFUNCTION("""COMPUTED_VALUE"""),73.575)</f>
        <v>73.575000000000003</v>
      </c>
      <c r="F1810" s="2">
        <f ca="1">IFERROR(__xludf.DUMMYFUNCTION("""COMPUTED_VALUE"""),97.873)</f>
        <v>97.873000000000005</v>
      </c>
      <c r="G1810" s="2">
        <f ca="1">IFERROR(__xludf.DUMMYFUNCTION("""COMPUTED_VALUE"""),0.54216)</f>
        <v>0.54215999999999998</v>
      </c>
      <c r="H1810" s="2">
        <f ca="1">IFERROR(__xludf.DUMMYFUNCTION("""COMPUTED_VALUE"""),47.528)</f>
        <v>47.527999999999999</v>
      </c>
      <c r="I1810" s="2">
        <f ca="1">IFERROR(__xludf.DUMMYFUNCTION("""COMPUTED_VALUE"""),49.734)</f>
        <v>49.734000000000002</v>
      </c>
      <c r="J1810" s="2">
        <f ca="1">IFERROR(__xludf.DUMMYFUNCTION("""COMPUTED_VALUE"""),46.369)</f>
        <v>46.369</v>
      </c>
      <c r="K1810" s="2">
        <f ca="1">IFERROR(__xludf.DUMMYFUNCTION("""COMPUTED_VALUE"""),66.459)</f>
        <v>66.459000000000003</v>
      </c>
      <c r="M1810" s="2">
        <f ca="1">IFERROR(__xludf.DUMMYFUNCTION("""COMPUTED_VALUE"""),17.21)</f>
        <v>17.21</v>
      </c>
      <c r="U1810" s="3" t="e">
        <f ca="1"/>
        <v>#NAME?</v>
      </c>
    </row>
    <row r="1811" spans="3:21" ht="12.5" x14ac:dyDescent="0.25">
      <c r="C1811" s="4">
        <f ca="1">IFERROR(__xludf.DUMMYFUNCTION("""COMPUTED_VALUE"""),42154.9986111111)</f>
        <v>42154.998611111099</v>
      </c>
      <c r="D1811" s="2">
        <f ca="1">IFERROR(__xludf.DUMMYFUNCTION("""COMPUTED_VALUE"""),63.74)</f>
        <v>63.74</v>
      </c>
      <c r="E1811" s="2">
        <f ca="1">IFERROR(__xludf.DUMMYFUNCTION("""COMPUTED_VALUE"""),73.368)</f>
        <v>73.367999999999995</v>
      </c>
      <c r="F1811" s="2">
        <f ca="1">IFERROR(__xludf.DUMMYFUNCTION("""COMPUTED_VALUE"""),97.517)</f>
        <v>97.516999999999996</v>
      </c>
      <c r="G1811" s="2">
        <f ca="1">IFERROR(__xludf.DUMMYFUNCTION("""COMPUTED_VALUE"""),0.54393)</f>
        <v>0.54393000000000002</v>
      </c>
      <c r="H1811" s="2">
        <f ca="1">IFERROR(__xludf.DUMMYFUNCTION("""COMPUTED_VALUE"""),46.958)</f>
        <v>46.957999999999998</v>
      </c>
      <c r="I1811" s="2">
        <f ca="1">IFERROR(__xludf.DUMMYFUNCTION("""COMPUTED_VALUE"""),49.94)</f>
        <v>49.94</v>
      </c>
      <c r="J1811" s="2">
        <f ca="1">IFERROR(__xludf.DUMMYFUNCTION("""COMPUTED_VALUE"""),46.193)</f>
        <v>46.192999999999998</v>
      </c>
      <c r="K1811" s="2">
        <f ca="1">IFERROR(__xludf.DUMMYFUNCTION("""COMPUTED_VALUE"""),66.55)</f>
        <v>66.55</v>
      </c>
      <c r="M1811" s="2">
        <f ca="1">IFERROR(__xludf.DUMMYFUNCTION("""COMPUTED_VALUE"""),17.167)</f>
        <v>17.167000000000002</v>
      </c>
      <c r="U1811" s="3" t="e">
        <f ca="1"/>
        <v>#NAME?</v>
      </c>
    </row>
    <row r="1812" spans="3:21" ht="12.5" x14ac:dyDescent="0.25">
      <c r="C1812" s="4">
        <f ca="1">IFERROR(__xludf.DUMMYFUNCTION("""COMPUTED_VALUE"""),42156.9986111111)</f>
        <v>42156.998611111099</v>
      </c>
      <c r="D1812" s="2">
        <f ca="1">IFERROR(__xludf.DUMMYFUNCTION("""COMPUTED_VALUE"""),63.61)</f>
        <v>63.61</v>
      </c>
      <c r="E1812" s="2">
        <f ca="1">IFERROR(__xludf.DUMMYFUNCTION("""COMPUTED_VALUE"""),73.501)</f>
        <v>73.501000000000005</v>
      </c>
      <c r="F1812" s="2">
        <f ca="1">IFERROR(__xludf.DUMMYFUNCTION("""COMPUTED_VALUE"""),96.154)</f>
        <v>96.153999999999996</v>
      </c>
      <c r="G1812" s="2">
        <f ca="1">IFERROR(__xludf.DUMMYFUNCTION("""COMPUTED_VALUE"""),0.53927)</f>
        <v>0.53927000000000003</v>
      </c>
      <c r="H1812" s="2">
        <f ca="1">IFERROR(__xludf.DUMMYFUNCTION("""COMPUTED_VALUE"""),47.405)</f>
        <v>47.405000000000001</v>
      </c>
      <c r="I1812" s="2">
        <f ca="1">IFERROR(__xludf.DUMMYFUNCTION("""COMPUTED_VALUE"""),50.14)</f>
        <v>50.14</v>
      </c>
      <c r="J1812" s="2">
        <f ca="1">IFERROR(__xludf.DUMMYFUNCTION("""COMPUTED_VALUE"""),46.387)</f>
        <v>46.387</v>
      </c>
      <c r="K1812" s="2">
        <f ca="1">IFERROR(__xludf.DUMMYFUNCTION("""COMPUTED_VALUE"""),66.671)</f>
        <v>66.671000000000006</v>
      </c>
      <c r="M1812" s="2">
        <f ca="1">IFERROR(__xludf.DUMMYFUNCTION("""COMPUTED_VALUE"""),17.267)</f>
        <v>17.266999999999999</v>
      </c>
      <c r="U1812" s="3" t="e">
        <f ca="1"/>
        <v>#NAME?</v>
      </c>
    </row>
    <row r="1813" spans="3:21" ht="12.5" x14ac:dyDescent="0.25">
      <c r="C1813" s="4">
        <f ca="1">IFERROR(__xludf.DUMMYFUNCTION("""COMPUTED_VALUE"""),42157.9986111111)</f>
        <v>42157.998611111099</v>
      </c>
      <c r="D1813" s="2">
        <f ca="1">IFERROR(__xludf.DUMMYFUNCTION("""COMPUTED_VALUE"""),63.662)</f>
        <v>63.661999999999999</v>
      </c>
      <c r="E1813" s="2">
        <f ca="1">IFERROR(__xludf.DUMMYFUNCTION("""COMPUTED_VALUE"""),73.716)</f>
        <v>73.715999999999994</v>
      </c>
      <c r="F1813" s="2">
        <f ca="1">IFERROR(__xludf.DUMMYFUNCTION("""COMPUTED_VALUE"""),96.489)</f>
        <v>96.489000000000004</v>
      </c>
      <c r="G1813" s="2">
        <f ca="1">IFERROR(__xludf.DUMMYFUNCTION("""COMPUTED_VALUE"""),0.54015)</f>
        <v>0.54015000000000002</v>
      </c>
      <c r="H1813" s="2">
        <f ca="1">IFERROR(__xludf.DUMMYFUNCTION("""COMPUTED_VALUE"""),47.419)</f>
        <v>47.418999999999997</v>
      </c>
      <c r="I1813" s="2">
        <f ca="1">IFERROR(__xludf.DUMMYFUNCTION("""COMPUTED_VALUE"""),50.346)</f>
        <v>50.345999999999997</v>
      </c>
      <c r="J1813" s="2">
        <f ca="1">IFERROR(__xludf.DUMMYFUNCTION("""COMPUTED_VALUE"""),46.988)</f>
        <v>46.988</v>
      </c>
      <c r="K1813" s="2">
        <f ca="1">IFERROR(__xludf.DUMMYFUNCTION("""COMPUTED_VALUE"""),66.304)</f>
        <v>66.304000000000002</v>
      </c>
      <c r="M1813" s="2">
        <f ca="1">IFERROR(__xludf.DUMMYFUNCTION("""COMPUTED_VALUE"""),17.291)</f>
        <v>17.291</v>
      </c>
      <c r="U1813" s="3" t="e">
        <f ca="1"/>
        <v>#NAME?</v>
      </c>
    </row>
    <row r="1814" spans="3:21" ht="12.5" x14ac:dyDescent="0.25">
      <c r="C1814" s="4">
        <f ca="1">IFERROR(__xludf.DUMMYFUNCTION("""COMPUTED_VALUE"""),42158.9986111111)</f>
        <v>42158.998611111099</v>
      </c>
      <c r="D1814" s="2">
        <f ca="1">IFERROR(__xludf.DUMMYFUNCTION("""COMPUTED_VALUE"""),64.059)</f>
        <v>64.058999999999997</v>
      </c>
      <c r="E1814" s="2">
        <f ca="1">IFERROR(__xludf.DUMMYFUNCTION("""COMPUTED_VALUE"""),73.864)</f>
        <v>73.864000000000004</v>
      </c>
      <c r="F1814" s="2">
        <f ca="1">IFERROR(__xludf.DUMMYFUNCTION("""COMPUTED_VALUE"""),96.489)</f>
        <v>96.489000000000004</v>
      </c>
      <c r="G1814" s="2">
        <f ca="1">IFERROR(__xludf.DUMMYFUNCTION("""COMPUTED_VALUE"""),0.53948)</f>
        <v>0.53947999999999996</v>
      </c>
      <c r="H1814" s="2">
        <f ca="1">IFERROR(__xludf.DUMMYFUNCTION("""COMPUTED_VALUE"""),47.001)</f>
        <v>47.000999999999998</v>
      </c>
      <c r="I1814" s="2">
        <f ca="1">IFERROR(__xludf.DUMMYFUNCTION("""COMPUTED_VALUE"""),50.046)</f>
        <v>50.045999999999999</v>
      </c>
      <c r="J1814" s="2">
        <f ca="1">IFERROR(__xludf.DUMMYFUNCTION("""COMPUTED_VALUE"""),46.884)</f>
        <v>46.884</v>
      </c>
      <c r="K1814" s="2">
        <f ca="1">IFERROR(__xludf.DUMMYFUNCTION("""COMPUTED_VALUE"""),65.96)</f>
        <v>65.959999999999994</v>
      </c>
      <c r="M1814" s="2">
        <f ca="1">IFERROR(__xludf.DUMMYFUNCTION("""COMPUTED_VALUE"""),17.291)</f>
        <v>17.291</v>
      </c>
      <c r="U1814" s="3" t="e">
        <f ca="1"/>
        <v>#NAME?</v>
      </c>
    </row>
    <row r="1815" spans="3:21" ht="12.5" x14ac:dyDescent="0.25">
      <c r="C1815" s="4">
        <f ca="1">IFERROR(__xludf.DUMMYFUNCTION("""COMPUTED_VALUE"""),42159.9986111111)</f>
        <v>42159.998611111099</v>
      </c>
      <c r="D1815" s="2">
        <f ca="1">IFERROR(__xludf.DUMMYFUNCTION("""COMPUTED_VALUE"""),64.001)</f>
        <v>64.001000000000005</v>
      </c>
      <c r="E1815" s="2">
        <f ca="1">IFERROR(__xludf.DUMMYFUNCTION("""COMPUTED_VALUE"""),72.011)</f>
        <v>72.010999999999996</v>
      </c>
      <c r="F1815" s="2">
        <f ca="1">IFERROR(__xludf.DUMMYFUNCTION("""COMPUTED_VALUE"""),96.169)</f>
        <v>96.168999999999997</v>
      </c>
      <c r="G1815" s="2">
        <f ca="1">IFERROR(__xludf.DUMMYFUNCTION("""COMPUTED_VALUE"""),0.54414)</f>
        <v>0.54413999999999996</v>
      </c>
      <c r="H1815" s="2">
        <f ca="1">IFERROR(__xludf.DUMMYFUNCTION("""COMPUTED_VALUE"""),47.081)</f>
        <v>47.081000000000003</v>
      </c>
      <c r="I1815" s="2">
        <f ca="1">IFERROR(__xludf.DUMMYFUNCTION("""COMPUTED_VALUE"""),49.831)</f>
        <v>49.831000000000003</v>
      </c>
      <c r="J1815" s="2">
        <f ca="1">IFERROR(__xludf.DUMMYFUNCTION("""COMPUTED_VALUE"""),46.716)</f>
        <v>46.716000000000001</v>
      </c>
      <c r="K1815" s="2">
        <f ca="1">IFERROR(__xludf.DUMMYFUNCTION("""COMPUTED_VALUE"""),66.145)</f>
        <v>66.144999999999996</v>
      </c>
      <c r="M1815" s="2">
        <f ca="1">IFERROR(__xludf.DUMMYFUNCTION("""COMPUTED_VALUE"""),17.312)</f>
        <v>17.312000000000001</v>
      </c>
      <c r="U1815" s="3" t="e">
        <f ca="1"/>
        <v>#NAME?</v>
      </c>
    </row>
    <row r="1816" spans="3:21" ht="12.5" x14ac:dyDescent="0.25">
      <c r="C1816" s="4">
        <f ca="1">IFERROR(__xludf.DUMMYFUNCTION("""COMPUTED_VALUE"""),42160.9986111111)</f>
        <v>42160.998611111099</v>
      </c>
      <c r="D1816" s="2">
        <f ca="1">IFERROR(__xludf.DUMMYFUNCTION("""COMPUTED_VALUE"""),63.762)</f>
        <v>63.762</v>
      </c>
      <c r="E1816" s="2">
        <f ca="1">IFERROR(__xludf.DUMMYFUNCTION("""COMPUTED_VALUE"""),71.415)</f>
        <v>71.415000000000006</v>
      </c>
      <c r="F1816" s="2">
        <f ca="1">IFERROR(__xludf.DUMMYFUNCTION("""COMPUTED_VALUE"""),96.096)</f>
        <v>96.096000000000004</v>
      </c>
      <c r="G1816" s="2">
        <f ca="1">IFERROR(__xludf.DUMMYFUNCTION("""COMPUTED_VALUE"""),0.54103)</f>
        <v>0.54103000000000001</v>
      </c>
      <c r="H1816" s="2">
        <f ca="1">IFERROR(__xludf.DUMMYFUNCTION("""COMPUTED_VALUE"""),47.183)</f>
        <v>47.183</v>
      </c>
      <c r="I1816" s="2">
        <f ca="1">IFERROR(__xludf.DUMMYFUNCTION("""COMPUTED_VALUE"""),49.993)</f>
        <v>49.993000000000002</v>
      </c>
      <c r="J1816" s="2">
        <f ca="1">IFERROR(__xludf.DUMMYFUNCTION("""COMPUTED_VALUE"""),46.707)</f>
        <v>46.707000000000001</v>
      </c>
      <c r="K1816" s="2">
        <f ca="1">IFERROR(__xludf.DUMMYFUNCTION("""COMPUTED_VALUE"""),66.173)</f>
        <v>66.173000000000002</v>
      </c>
      <c r="M1816" s="2">
        <f ca="1">IFERROR(__xludf.DUMMYFUNCTION("""COMPUTED_VALUE"""),17.249)</f>
        <v>17.248999999999999</v>
      </c>
      <c r="U1816" s="3" t="e">
        <f ca="1"/>
        <v>#NAME?</v>
      </c>
    </row>
    <row r="1817" spans="3:21" ht="12.5" x14ac:dyDescent="0.25">
      <c r="C1817" s="4">
        <f ca="1">IFERROR(__xludf.DUMMYFUNCTION("""COMPUTED_VALUE"""),42161.9986111111)</f>
        <v>42161.998611111099</v>
      </c>
      <c r="D1817" s="2">
        <f ca="1">IFERROR(__xludf.DUMMYFUNCTION("""COMPUTED_VALUE"""),64.061)</f>
        <v>64.061000000000007</v>
      </c>
      <c r="E1817" s="2">
        <f ca="1">IFERROR(__xludf.DUMMYFUNCTION("""COMPUTED_VALUE"""),71.716)</f>
        <v>71.715999999999994</v>
      </c>
      <c r="F1817" s="2">
        <f ca="1">IFERROR(__xludf.DUMMYFUNCTION("""COMPUTED_VALUE"""),97.027)</f>
        <v>97.027000000000001</v>
      </c>
      <c r="G1817" s="2">
        <f ca="1">IFERROR(__xludf.DUMMYFUNCTION("""COMPUTED_VALUE"""),0.54098)</f>
        <v>0.54098000000000002</v>
      </c>
      <c r="H1817" s="2">
        <f ca="1">IFERROR(__xludf.DUMMYFUNCTION("""COMPUTED_VALUE"""),46.958)</f>
        <v>46.957999999999998</v>
      </c>
      <c r="I1817" s="2">
        <f ca="1">IFERROR(__xludf.DUMMYFUNCTION("""COMPUTED_VALUE"""),49.558)</f>
        <v>49.558</v>
      </c>
      <c r="J1817" s="2">
        <f ca="1">IFERROR(__xludf.DUMMYFUNCTION("""COMPUTED_VALUE"""),46.671)</f>
        <v>46.670999999999999</v>
      </c>
      <c r="K1817" s="2">
        <f ca="1">IFERROR(__xludf.DUMMYFUNCTION("""COMPUTED_VALUE"""),66.088)</f>
        <v>66.087999999999994</v>
      </c>
      <c r="M1817" s="2">
        <f ca="1">IFERROR(__xludf.DUMMYFUNCTION("""COMPUTED_VALUE"""),17.33)</f>
        <v>17.329999999999998</v>
      </c>
      <c r="U1817" s="3" t="e">
        <f ca="1"/>
        <v>#NAME?</v>
      </c>
    </row>
    <row r="1818" spans="3:21" ht="12.5" x14ac:dyDescent="0.25">
      <c r="C1818" s="4">
        <f ca="1">IFERROR(__xludf.DUMMYFUNCTION("""COMPUTED_VALUE"""),42162.9986111111)</f>
        <v>42162.998611111099</v>
      </c>
      <c r="D1818" s="2">
        <f ca="1">IFERROR(__xludf.DUMMYFUNCTION("""COMPUTED_VALUE"""),64.061)</f>
        <v>64.061000000000007</v>
      </c>
      <c r="E1818" s="2">
        <f ca="1">IFERROR(__xludf.DUMMYFUNCTION("""COMPUTED_VALUE"""),71.72)</f>
        <v>71.72</v>
      </c>
      <c r="F1818" s="2">
        <f ca="1">IFERROR(__xludf.DUMMYFUNCTION("""COMPUTED_VALUE"""),98.769)</f>
        <v>98.769000000000005</v>
      </c>
      <c r="G1818" s="2">
        <f ca="1">IFERROR(__xludf.DUMMYFUNCTION("""COMPUTED_VALUE"""),0.54311)</f>
        <v>0.54310999999999998</v>
      </c>
      <c r="H1818" s="2">
        <f ca="1">IFERROR(__xludf.DUMMYFUNCTION("""COMPUTED_VALUE"""),46.87)</f>
        <v>46.87</v>
      </c>
      <c r="I1818" s="2">
        <f ca="1">IFERROR(__xludf.DUMMYFUNCTION("""COMPUTED_VALUE"""),49.578)</f>
        <v>49.578000000000003</v>
      </c>
      <c r="J1818" s="2">
        <f ca="1">IFERROR(__xludf.DUMMYFUNCTION("""COMPUTED_VALUE"""),46.711)</f>
        <v>46.710999999999999</v>
      </c>
      <c r="K1818" s="2">
        <f ca="1">IFERROR(__xludf.DUMMYFUNCTION("""COMPUTED_VALUE"""),65.18)</f>
        <v>65.180000000000007</v>
      </c>
      <c r="M1818" s="2">
        <f ca="1">IFERROR(__xludf.DUMMYFUNCTION("""COMPUTED_VALUE"""),17.439)</f>
        <v>17.439</v>
      </c>
      <c r="U1818" s="3" t="e">
        <f ca="1"/>
        <v>#NAME?</v>
      </c>
    </row>
    <row r="1819" spans="3:21" ht="12.5" x14ac:dyDescent="0.25">
      <c r="C1819" s="4">
        <f ca="1">IFERROR(__xludf.DUMMYFUNCTION("""COMPUTED_VALUE"""),42163.9986111111)</f>
        <v>42163.998611111099</v>
      </c>
      <c r="D1819" s="2">
        <f ca="1">IFERROR(__xludf.DUMMYFUNCTION("""COMPUTED_VALUE"""),63.976)</f>
        <v>63.975999999999999</v>
      </c>
      <c r="E1819" s="2">
        <f ca="1">IFERROR(__xludf.DUMMYFUNCTION("""COMPUTED_VALUE"""),70.892)</f>
        <v>70.891999999999996</v>
      </c>
      <c r="F1819" s="2">
        <f ca="1">IFERROR(__xludf.DUMMYFUNCTION("""COMPUTED_VALUE"""),98.493)</f>
        <v>98.492999999999995</v>
      </c>
      <c r="G1819" s="2">
        <f ca="1">IFERROR(__xludf.DUMMYFUNCTION("""COMPUTED_VALUE"""),0.54907)</f>
        <v>0.54906999999999995</v>
      </c>
      <c r="H1819" s="2">
        <f ca="1">IFERROR(__xludf.DUMMYFUNCTION("""COMPUTED_VALUE"""),46.795)</f>
        <v>46.795000000000002</v>
      </c>
      <c r="I1819" s="2">
        <f ca="1">IFERROR(__xludf.DUMMYFUNCTION("""COMPUTED_VALUE"""),49.228)</f>
        <v>49.228000000000002</v>
      </c>
      <c r="J1819" s="2">
        <f ca="1">IFERROR(__xludf.DUMMYFUNCTION("""COMPUTED_VALUE"""),46.6)</f>
        <v>46.6</v>
      </c>
      <c r="K1819" s="2">
        <f ca="1">IFERROR(__xludf.DUMMYFUNCTION("""COMPUTED_VALUE"""),64.98)</f>
        <v>64.98</v>
      </c>
      <c r="M1819" s="2">
        <f ca="1">IFERROR(__xludf.DUMMYFUNCTION("""COMPUTED_VALUE"""),17.341)</f>
        <v>17.341000000000001</v>
      </c>
      <c r="U1819" s="3" t="e">
        <f ca="1"/>
        <v>#NAME?</v>
      </c>
    </row>
    <row r="1820" spans="3:21" ht="12.5" x14ac:dyDescent="0.25">
      <c r="C1820" s="4">
        <f ca="1">IFERROR(__xludf.DUMMYFUNCTION("""COMPUTED_VALUE"""),42164.9986111111)</f>
        <v>42164.998611111099</v>
      </c>
      <c r="D1820" s="2">
        <f ca="1">IFERROR(__xludf.DUMMYFUNCTION("""COMPUTED_VALUE"""),64.038)</f>
        <v>64.037999999999997</v>
      </c>
      <c r="E1820" s="2">
        <f ca="1">IFERROR(__xludf.DUMMYFUNCTION("""COMPUTED_VALUE"""),71.871)</f>
        <v>71.870999999999995</v>
      </c>
      <c r="F1820" s="2">
        <f ca="1">IFERROR(__xludf.DUMMYFUNCTION("""COMPUTED_VALUE"""),98.381)</f>
        <v>98.381</v>
      </c>
      <c r="G1820" s="2">
        <f ca="1">IFERROR(__xludf.DUMMYFUNCTION("""COMPUTED_VALUE"""),0.5481)</f>
        <v>0.54810000000000003</v>
      </c>
      <c r="H1820" s="2">
        <f ca="1">IFERROR(__xludf.DUMMYFUNCTION("""COMPUTED_VALUE"""),46.995)</f>
        <v>46.994999999999997</v>
      </c>
      <c r="I1820" s="2">
        <f ca="1">IFERROR(__xludf.DUMMYFUNCTION("""COMPUTED_VALUE"""),49.282)</f>
        <v>49.281999999999996</v>
      </c>
      <c r="J1820" s="2">
        <f ca="1">IFERROR(__xludf.DUMMYFUNCTION("""COMPUTED_VALUE"""),46.366)</f>
        <v>46.366</v>
      </c>
      <c r="K1820" s="2">
        <f ca="1">IFERROR(__xludf.DUMMYFUNCTION("""COMPUTED_VALUE"""),64.892)</f>
        <v>64.891999999999996</v>
      </c>
      <c r="M1820" s="2">
        <f ca="1">IFERROR(__xludf.DUMMYFUNCTION("""COMPUTED_VALUE"""),17.422)</f>
        <v>17.422000000000001</v>
      </c>
      <c r="U1820" s="3" t="e">
        <f ca="1"/>
        <v>#NAME?</v>
      </c>
    </row>
    <row r="1821" spans="3:21" ht="12.5" x14ac:dyDescent="0.25">
      <c r="C1821" s="4">
        <f ca="1">IFERROR(__xludf.DUMMYFUNCTION("""COMPUTED_VALUE"""),42165.9986111111)</f>
        <v>42165.998611111099</v>
      </c>
      <c r="D1821" s="2">
        <f ca="1">IFERROR(__xludf.DUMMYFUNCTION("""COMPUTED_VALUE"""),63.799)</f>
        <v>63.798999999999999</v>
      </c>
      <c r="E1821" s="2">
        <f ca="1">IFERROR(__xludf.DUMMYFUNCTION("""COMPUTED_VALUE"""),71.941)</f>
        <v>71.941000000000003</v>
      </c>
      <c r="F1821" s="2">
        <f ca="1">IFERROR(__xludf.DUMMYFUNCTION("""COMPUTED_VALUE"""),98.381)</f>
        <v>98.381</v>
      </c>
      <c r="G1821" s="2">
        <f ca="1">IFERROR(__xludf.DUMMYFUNCTION("""COMPUTED_VALUE"""),0.5446)</f>
        <v>0.54459999999999997</v>
      </c>
      <c r="H1821" s="2">
        <f ca="1">IFERROR(__xludf.DUMMYFUNCTION("""COMPUTED_VALUE"""),46.735)</f>
        <v>46.734999999999999</v>
      </c>
      <c r="I1821" s="2">
        <f ca="1">IFERROR(__xludf.DUMMYFUNCTION("""COMPUTED_VALUE"""),48.982)</f>
        <v>48.981999999999999</v>
      </c>
      <c r="J1821" s="2">
        <f ca="1">IFERROR(__xludf.DUMMYFUNCTION("""COMPUTED_VALUE"""),46.575)</f>
        <v>46.575000000000003</v>
      </c>
      <c r="K1821" s="2">
        <f ca="1">IFERROR(__xludf.DUMMYFUNCTION("""COMPUTED_VALUE"""),64.753)</f>
        <v>64.753</v>
      </c>
      <c r="M1821" s="2">
        <f ca="1">IFERROR(__xludf.DUMMYFUNCTION("""COMPUTED_VALUE"""),17.459)</f>
        <v>17.459</v>
      </c>
      <c r="U1821" s="3" t="e">
        <f ca="1"/>
        <v>#NAME?</v>
      </c>
    </row>
    <row r="1822" spans="3:21" ht="12.5" x14ac:dyDescent="0.25">
      <c r="C1822" s="4">
        <f ca="1">IFERROR(__xludf.DUMMYFUNCTION("""COMPUTED_VALUE"""),42166.9986111111)</f>
        <v>42166.998611111099</v>
      </c>
      <c r="D1822" s="2">
        <f ca="1">IFERROR(__xludf.DUMMYFUNCTION("""COMPUTED_VALUE"""),63.999)</f>
        <v>63.999000000000002</v>
      </c>
      <c r="E1822" s="2">
        <f ca="1">IFERROR(__xludf.DUMMYFUNCTION("""COMPUTED_VALUE"""),72.124)</f>
        <v>72.123999999999995</v>
      </c>
      <c r="F1822" s="2">
        <f ca="1">IFERROR(__xludf.DUMMYFUNCTION("""COMPUTED_VALUE"""),99.714)</f>
        <v>99.713999999999999</v>
      </c>
      <c r="G1822" s="2">
        <f ca="1">IFERROR(__xludf.DUMMYFUNCTION("""COMPUTED_VALUE"""),0.55329)</f>
        <v>0.55328999999999995</v>
      </c>
      <c r="H1822" s="2">
        <f ca="1">IFERROR(__xludf.DUMMYFUNCTION("""COMPUTED_VALUE"""),46.061)</f>
        <v>46.061</v>
      </c>
      <c r="I1822" s="2">
        <f ca="1">IFERROR(__xludf.DUMMYFUNCTION("""COMPUTED_VALUE"""),49.179)</f>
        <v>49.179000000000002</v>
      </c>
      <c r="J1822" s="2">
        <f ca="1">IFERROR(__xludf.DUMMYFUNCTION("""COMPUTED_VALUE"""),46.535)</f>
        <v>46.534999999999997</v>
      </c>
      <c r="K1822" s="2">
        <f ca="1">IFERROR(__xludf.DUMMYFUNCTION("""COMPUTED_VALUE"""),64.83)</f>
        <v>64.83</v>
      </c>
      <c r="M1822" s="2">
        <f ca="1">IFERROR(__xludf.DUMMYFUNCTION("""COMPUTED_VALUE"""),17.434)</f>
        <v>17.434000000000001</v>
      </c>
      <c r="U1822" s="3" t="e">
        <f ca="1"/>
        <v>#NAME?</v>
      </c>
    </row>
    <row r="1823" spans="3:21" ht="12.5" x14ac:dyDescent="0.25">
      <c r="C1823" s="4">
        <f ca="1">IFERROR(__xludf.DUMMYFUNCTION("""COMPUTED_VALUE"""),42167.9986111111)</f>
        <v>42167.998611111099</v>
      </c>
      <c r="D1823" s="2">
        <f ca="1">IFERROR(__xludf.DUMMYFUNCTION("""COMPUTED_VALUE"""),64.092)</f>
        <v>64.091999999999999</v>
      </c>
      <c r="E1823" s="2">
        <f ca="1">IFERROR(__xludf.DUMMYFUNCTION("""COMPUTED_VALUE"""),71.754)</f>
        <v>71.754000000000005</v>
      </c>
      <c r="F1823" s="2">
        <f ca="1">IFERROR(__xludf.DUMMYFUNCTION("""COMPUTED_VALUE"""),100.6)</f>
        <v>100.6</v>
      </c>
      <c r="G1823" s="2">
        <f ca="1">IFERROR(__xludf.DUMMYFUNCTION("""COMPUTED_VALUE"""),0.54931)</f>
        <v>0.54930999999999996</v>
      </c>
      <c r="H1823" s="2">
        <f ca="1">IFERROR(__xludf.DUMMYFUNCTION("""COMPUTED_VALUE"""),46.346)</f>
        <v>46.345999999999997</v>
      </c>
      <c r="I1823" s="2">
        <f ca="1">IFERROR(__xludf.DUMMYFUNCTION("""COMPUTED_VALUE"""),49.675)</f>
        <v>49.674999999999997</v>
      </c>
      <c r="J1823" s="2">
        <f ca="1">IFERROR(__xludf.DUMMYFUNCTION("""COMPUTED_VALUE"""),46.259)</f>
        <v>46.259</v>
      </c>
      <c r="K1823" s="2">
        <f ca="1">IFERROR(__xludf.DUMMYFUNCTION("""COMPUTED_VALUE"""),65.023)</f>
        <v>65.022999999999996</v>
      </c>
      <c r="M1823" s="2">
        <f ca="1">IFERROR(__xludf.DUMMYFUNCTION("""COMPUTED_VALUE"""),17.256)</f>
        <v>17.256</v>
      </c>
      <c r="U1823" s="3" t="e">
        <f ca="1"/>
        <v>#NAME?</v>
      </c>
    </row>
    <row r="1824" spans="3:21" ht="12.5" x14ac:dyDescent="0.25">
      <c r="C1824" s="4">
        <f ca="1">IFERROR(__xludf.DUMMYFUNCTION("""COMPUTED_VALUE"""),42169.9986111111)</f>
        <v>42169.998611111099</v>
      </c>
      <c r="D1824" s="2">
        <f ca="1">IFERROR(__xludf.DUMMYFUNCTION("""COMPUTED_VALUE"""),64.09)</f>
        <v>64.09</v>
      </c>
      <c r="E1824" s="2">
        <f ca="1">IFERROR(__xludf.DUMMYFUNCTION("""COMPUTED_VALUE"""),71.189)</f>
        <v>71.188999999999993</v>
      </c>
      <c r="F1824" s="2">
        <f ca="1">IFERROR(__xludf.DUMMYFUNCTION("""COMPUTED_VALUE"""),100.78)</f>
        <v>100.78</v>
      </c>
      <c r="G1824" s="2">
        <f ca="1">IFERROR(__xludf.DUMMYFUNCTION("""COMPUTED_VALUE"""),0.54181)</f>
        <v>0.54181000000000001</v>
      </c>
      <c r="H1824" s="2">
        <f ca="1">IFERROR(__xludf.DUMMYFUNCTION("""COMPUTED_VALUE"""),46.656)</f>
        <v>46.655999999999999</v>
      </c>
      <c r="I1824" s="2">
        <f ca="1">IFERROR(__xludf.DUMMYFUNCTION("""COMPUTED_VALUE"""),50.001)</f>
        <v>50.000999999999998</v>
      </c>
      <c r="J1824" s="2">
        <f ca="1">IFERROR(__xludf.DUMMYFUNCTION("""COMPUTED_VALUE"""),46.598)</f>
        <v>46.597999999999999</v>
      </c>
      <c r="K1824" s="2">
        <f ca="1">IFERROR(__xludf.DUMMYFUNCTION("""COMPUTED_VALUE"""),66.368)</f>
        <v>66.367999999999995</v>
      </c>
      <c r="M1824" s="2">
        <f ca="1">IFERROR(__xludf.DUMMYFUNCTION("""COMPUTED_VALUE"""),17.267)</f>
        <v>17.266999999999999</v>
      </c>
      <c r="U1824" s="3" t="e">
        <f ca="1"/>
        <v>#NAME?</v>
      </c>
    </row>
    <row r="1825" spans="3:21" ht="12.5" x14ac:dyDescent="0.25">
      <c r="C1825" s="4">
        <f ca="1">IFERROR(__xludf.DUMMYFUNCTION("""COMPUTED_VALUE"""),42170.9986111111)</f>
        <v>42170.998611111099</v>
      </c>
      <c r="D1825" s="2">
        <f ca="1">IFERROR(__xludf.DUMMYFUNCTION("""COMPUTED_VALUE"""),64.052)</f>
        <v>64.052000000000007</v>
      </c>
      <c r="E1825" s="2">
        <f ca="1">IFERROR(__xludf.DUMMYFUNCTION("""COMPUTED_VALUE"""),71.592)</f>
        <v>71.591999999999999</v>
      </c>
      <c r="F1825" s="2">
        <f ca="1">IFERROR(__xludf.DUMMYFUNCTION("""COMPUTED_VALUE"""),100.02)</f>
        <v>100.02</v>
      </c>
      <c r="G1825" s="2">
        <f ca="1">IFERROR(__xludf.DUMMYFUNCTION("""COMPUTED_VALUE"""),0.54213)</f>
        <v>0.54213</v>
      </c>
      <c r="H1825" s="2">
        <f ca="1">IFERROR(__xludf.DUMMYFUNCTION("""COMPUTED_VALUE"""),46.861)</f>
        <v>46.860999999999997</v>
      </c>
      <c r="I1825" s="2">
        <f ca="1">IFERROR(__xludf.DUMMYFUNCTION("""COMPUTED_VALUE"""),50.007)</f>
        <v>50.006999999999998</v>
      </c>
      <c r="J1825" s="2">
        <f ca="1">IFERROR(__xludf.DUMMYFUNCTION("""COMPUTED_VALUE"""),46.66)</f>
        <v>46.66</v>
      </c>
      <c r="K1825" s="2">
        <f ca="1">IFERROR(__xludf.DUMMYFUNCTION("""COMPUTED_VALUE"""),66.837)</f>
        <v>66.837000000000003</v>
      </c>
      <c r="M1825" s="2">
        <f ca="1">IFERROR(__xludf.DUMMYFUNCTION("""COMPUTED_VALUE"""),17.34)</f>
        <v>17.34</v>
      </c>
      <c r="U1825" s="3" t="e">
        <f ca="1"/>
        <v>#NAME?</v>
      </c>
    </row>
    <row r="1826" spans="3:21" ht="12.5" x14ac:dyDescent="0.25">
      <c r="C1826" s="4">
        <f ca="1">IFERROR(__xludf.DUMMYFUNCTION("""COMPUTED_VALUE"""),42171.9986111111)</f>
        <v>42171.998611111099</v>
      </c>
      <c r="D1826" s="2">
        <f ca="1">IFERROR(__xludf.DUMMYFUNCTION("""COMPUTED_VALUE"""),64.182)</f>
        <v>64.182000000000002</v>
      </c>
      <c r="E1826" s="2">
        <f ca="1">IFERROR(__xludf.DUMMYFUNCTION("""COMPUTED_VALUE"""),70.961)</f>
        <v>70.960999999999999</v>
      </c>
      <c r="F1826" s="2">
        <f ca="1">IFERROR(__xludf.DUMMYFUNCTION("""COMPUTED_VALUE"""),99.755)</f>
        <v>99.754999999999995</v>
      </c>
      <c r="G1826" s="2">
        <f ca="1">IFERROR(__xludf.DUMMYFUNCTION("""COMPUTED_VALUE"""),0.54555)</f>
        <v>0.54554999999999998</v>
      </c>
      <c r="H1826" s="2">
        <f ca="1">IFERROR(__xludf.DUMMYFUNCTION("""COMPUTED_VALUE"""),47.055)</f>
        <v>47.055</v>
      </c>
      <c r="I1826" s="2">
        <f ca="1">IFERROR(__xludf.DUMMYFUNCTION("""COMPUTED_VALUE"""),50.101)</f>
        <v>50.100999999999999</v>
      </c>
      <c r="J1826" s="2">
        <f ca="1">IFERROR(__xludf.DUMMYFUNCTION("""COMPUTED_VALUE"""),46.825)</f>
        <v>46.825000000000003</v>
      </c>
      <c r="K1826" s="2">
        <f ca="1">IFERROR(__xludf.DUMMYFUNCTION("""COMPUTED_VALUE"""),66.64)</f>
        <v>66.64</v>
      </c>
      <c r="M1826" s="2">
        <f ca="1">IFERROR(__xludf.DUMMYFUNCTION("""COMPUTED_VALUE"""),17.367)</f>
        <v>17.367000000000001</v>
      </c>
      <c r="U1826" s="3" t="e">
        <f ca="1"/>
        <v>#NAME?</v>
      </c>
    </row>
    <row r="1827" spans="3:21" ht="12.5" x14ac:dyDescent="0.25">
      <c r="C1827" s="4">
        <f ca="1">IFERROR(__xludf.DUMMYFUNCTION("""COMPUTED_VALUE"""),42172.9986111111)</f>
        <v>42172.998611111099</v>
      </c>
      <c r="D1827" s="2">
        <f ca="1">IFERROR(__xludf.DUMMYFUNCTION("""COMPUTED_VALUE"""),64.003)</f>
        <v>64.003</v>
      </c>
      <c r="E1827" s="2">
        <f ca="1">IFERROR(__xludf.DUMMYFUNCTION("""COMPUTED_VALUE"""),71.45)</f>
        <v>71.45</v>
      </c>
      <c r="F1827" s="2">
        <f ca="1">IFERROR(__xludf.DUMMYFUNCTION("""COMPUTED_VALUE"""),99.642)</f>
        <v>99.641999999999996</v>
      </c>
      <c r="G1827" s="2">
        <f ca="1">IFERROR(__xludf.DUMMYFUNCTION("""COMPUTED_VALUE"""),0.54615)</f>
        <v>0.54615000000000002</v>
      </c>
      <c r="H1827" s="2">
        <f ca="1">IFERROR(__xludf.DUMMYFUNCTION("""COMPUTED_VALUE"""),46.763)</f>
        <v>46.762999999999998</v>
      </c>
      <c r="I1827" s="2">
        <f ca="1">IFERROR(__xludf.DUMMYFUNCTION("""COMPUTED_VALUE"""),49.795)</f>
        <v>49.795000000000002</v>
      </c>
      <c r="J1827" s="2">
        <f ca="1">IFERROR(__xludf.DUMMYFUNCTION("""COMPUTED_VALUE"""),46.886)</f>
        <v>46.886000000000003</v>
      </c>
      <c r="K1827" s="2">
        <f ca="1">IFERROR(__xludf.DUMMYFUNCTION("""COMPUTED_VALUE"""),66.825)</f>
        <v>66.825000000000003</v>
      </c>
      <c r="M1827" s="2">
        <f ca="1">IFERROR(__xludf.DUMMYFUNCTION("""COMPUTED_VALUE"""),17.316)</f>
        <v>17.315999999999999</v>
      </c>
      <c r="U1827" s="3" t="e">
        <f ca="1"/>
        <v>#NAME?</v>
      </c>
    </row>
    <row r="1828" spans="3:21" ht="12.5" x14ac:dyDescent="0.25">
      <c r="C1828" s="4">
        <f ca="1">IFERROR(__xludf.DUMMYFUNCTION("""COMPUTED_VALUE"""),42173.9986111111)</f>
        <v>42173.998611111099</v>
      </c>
      <c r="D1828" s="2">
        <f ca="1">IFERROR(__xludf.DUMMYFUNCTION("""COMPUTED_VALUE"""),63.645)</f>
        <v>63.645000000000003</v>
      </c>
      <c r="E1828" s="2">
        <f ca="1">IFERROR(__xludf.DUMMYFUNCTION("""COMPUTED_VALUE"""),70.999)</f>
        <v>70.998999999999995</v>
      </c>
      <c r="F1828" s="2">
        <f ca="1">IFERROR(__xludf.DUMMYFUNCTION("""COMPUTED_VALUE"""),99.642)</f>
        <v>99.641999999999996</v>
      </c>
      <c r="G1828" s="2">
        <f ca="1">IFERROR(__xludf.DUMMYFUNCTION("""COMPUTED_VALUE"""),0.54675)</f>
        <v>0.54674999999999996</v>
      </c>
      <c r="H1828" s="2">
        <f ca="1">IFERROR(__xludf.DUMMYFUNCTION("""COMPUTED_VALUE"""),47.007)</f>
        <v>47.006999999999998</v>
      </c>
      <c r="I1828" s="2">
        <f ca="1">IFERROR(__xludf.DUMMYFUNCTION("""COMPUTED_VALUE"""),49.968)</f>
        <v>49.968000000000004</v>
      </c>
      <c r="J1828" s="2">
        <f ca="1">IFERROR(__xludf.DUMMYFUNCTION("""COMPUTED_VALUE"""),46.681)</f>
        <v>46.680999999999997</v>
      </c>
      <c r="K1828" s="2">
        <f ca="1">IFERROR(__xludf.DUMMYFUNCTION("""COMPUTED_VALUE"""),66.891)</f>
        <v>66.891000000000005</v>
      </c>
      <c r="M1828" s="2">
        <f ca="1">IFERROR(__xludf.DUMMYFUNCTION("""COMPUTED_VALUE"""),17.308)</f>
        <v>17.308</v>
      </c>
      <c r="U1828" s="3" t="e">
        <f ca="1"/>
        <v>#NAME?</v>
      </c>
    </row>
    <row r="1829" spans="3:21" ht="12.5" x14ac:dyDescent="0.25">
      <c r="C1829" s="4">
        <f ca="1">IFERROR(__xludf.DUMMYFUNCTION("""COMPUTED_VALUE"""),42174.9986111111)</f>
        <v>42174.998611111099</v>
      </c>
      <c r="D1829" s="2">
        <f ca="1">IFERROR(__xludf.DUMMYFUNCTION("""COMPUTED_VALUE"""),63.492)</f>
        <v>63.491999999999997</v>
      </c>
      <c r="E1829" s="2">
        <f ca="1">IFERROR(__xludf.DUMMYFUNCTION("""COMPUTED_VALUE"""),71.028)</f>
        <v>71.028000000000006</v>
      </c>
      <c r="F1829" s="2">
        <f ca="1">IFERROR(__xludf.DUMMYFUNCTION("""COMPUTED_VALUE"""),99.796)</f>
        <v>99.796000000000006</v>
      </c>
      <c r="G1829" s="2">
        <f ca="1">IFERROR(__xludf.DUMMYFUNCTION("""COMPUTED_VALUE"""),0.54647)</f>
        <v>0.54647000000000001</v>
      </c>
      <c r="H1829" s="2">
        <f ca="1">IFERROR(__xludf.DUMMYFUNCTION("""COMPUTED_VALUE"""),46.608)</f>
        <v>46.607999999999997</v>
      </c>
      <c r="I1829" s="2">
        <f ca="1">IFERROR(__xludf.DUMMYFUNCTION("""COMPUTED_VALUE"""),49.669)</f>
        <v>49.668999999999997</v>
      </c>
      <c r="J1829" s="2">
        <f ca="1">IFERROR(__xludf.DUMMYFUNCTION("""COMPUTED_VALUE"""),46.768)</f>
        <v>46.768000000000001</v>
      </c>
      <c r="K1829" s="2">
        <f ca="1">IFERROR(__xludf.DUMMYFUNCTION("""COMPUTED_VALUE"""),67.295)</f>
        <v>67.295000000000002</v>
      </c>
      <c r="M1829" s="2">
        <f ca="1">IFERROR(__xludf.DUMMYFUNCTION("""COMPUTED_VALUE"""),17.281)</f>
        <v>17.280999999999999</v>
      </c>
      <c r="U1829" s="3" t="e">
        <f ca="1"/>
        <v>#NAME?</v>
      </c>
    </row>
    <row r="1830" spans="3:21" ht="12.5" x14ac:dyDescent="0.25">
      <c r="C1830" s="4">
        <f ca="1">IFERROR(__xludf.DUMMYFUNCTION("""COMPUTED_VALUE"""),42176.9986111111)</f>
        <v>42176.998611111099</v>
      </c>
      <c r="D1830" s="2">
        <f ca="1">IFERROR(__xludf.DUMMYFUNCTION("""COMPUTED_VALUE"""),63.471)</f>
        <v>63.470999999999997</v>
      </c>
      <c r="E1830" s="2">
        <f ca="1">IFERROR(__xludf.DUMMYFUNCTION("""COMPUTED_VALUE"""),71.342)</f>
        <v>71.341999999999999</v>
      </c>
      <c r="F1830" s="2">
        <f ca="1">IFERROR(__xludf.DUMMYFUNCTION("""COMPUTED_VALUE"""),98.961)</f>
        <v>98.960999999999999</v>
      </c>
      <c r="G1830" s="2">
        <f ca="1">IFERROR(__xludf.DUMMYFUNCTION("""COMPUTED_VALUE"""),0.54787)</f>
        <v>0.54786999999999997</v>
      </c>
      <c r="H1830" s="2">
        <f ca="1">IFERROR(__xludf.DUMMYFUNCTION("""COMPUTED_VALUE"""),46.825)</f>
        <v>46.825000000000003</v>
      </c>
      <c r="I1830" s="2">
        <f ca="1">IFERROR(__xludf.DUMMYFUNCTION("""COMPUTED_VALUE"""),50.056)</f>
        <v>50.055999999999997</v>
      </c>
      <c r="J1830" s="2">
        <f ca="1">IFERROR(__xludf.DUMMYFUNCTION("""COMPUTED_VALUE"""),46.498)</f>
        <v>46.497999999999998</v>
      </c>
      <c r="K1830" s="2">
        <f ca="1">IFERROR(__xludf.DUMMYFUNCTION("""COMPUTED_VALUE"""),68.17)</f>
        <v>68.17</v>
      </c>
      <c r="M1830" s="2">
        <f ca="1">IFERROR(__xludf.DUMMYFUNCTION("""COMPUTED_VALUE"""),17.281)</f>
        <v>17.280999999999999</v>
      </c>
      <c r="U1830" s="3" t="e">
        <f ca="1"/>
        <v>#NAME?</v>
      </c>
    </row>
    <row r="1831" spans="3:21" ht="12.5" x14ac:dyDescent="0.25">
      <c r="C1831" s="4">
        <f ca="1">IFERROR(__xludf.DUMMYFUNCTION("""COMPUTED_VALUE"""),42177.9986111111)</f>
        <v>42177.998611111099</v>
      </c>
      <c r="D1831" s="2">
        <f ca="1">IFERROR(__xludf.DUMMYFUNCTION("""COMPUTED_VALUE"""),63.507)</f>
        <v>63.506999999999998</v>
      </c>
      <c r="E1831" s="2">
        <f ca="1">IFERROR(__xludf.DUMMYFUNCTION("""COMPUTED_VALUE"""),71.135)</f>
        <v>71.135000000000005</v>
      </c>
      <c r="F1831" s="2">
        <f ca="1">IFERROR(__xludf.DUMMYFUNCTION("""COMPUTED_VALUE"""),98.86)</f>
        <v>98.86</v>
      </c>
      <c r="G1831" s="2">
        <f ca="1">IFERROR(__xludf.DUMMYFUNCTION("""COMPUTED_VALUE"""),0.54739)</f>
        <v>0.54739000000000004</v>
      </c>
      <c r="H1831" s="2">
        <f ca="1">IFERROR(__xludf.DUMMYFUNCTION("""COMPUTED_VALUE"""),46.593)</f>
        <v>46.593000000000004</v>
      </c>
      <c r="I1831" s="2">
        <f ca="1">IFERROR(__xludf.DUMMYFUNCTION("""COMPUTED_VALUE"""),49.854)</f>
        <v>49.853999999999999</v>
      </c>
      <c r="J1831" s="2">
        <f ca="1">IFERROR(__xludf.DUMMYFUNCTION("""COMPUTED_VALUE"""),46.691)</f>
        <v>46.691000000000003</v>
      </c>
      <c r="K1831" s="2">
        <f ca="1">IFERROR(__xludf.DUMMYFUNCTION("""COMPUTED_VALUE"""),69.75)</f>
        <v>69.75</v>
      </c>
      <c r="M1831" s="2">
        <f ca="1">IFERROR(__xludf.DUMMYFUNCTION("""COMPUTED_VALUE"""),17.411)</f>
        <v>17.411000000000001</v>
      </c>
      <c r="U1831" s="3" t="e">
        <f ca="1"/>
        <v>#NAME?</v>
      </c>
    </row>
    <row r="1832" spans="3:21" ht="12.5" x14ac:dyDescent="0.25">
      <c r="C1832" s="4">
        <f ca="1">IFERROR(__xludf.DUMMYFUNCTION("""COMPUTED_VALUE"""),42178.9986111111)</f>
        <v>42178.998611111099</v>
      </c>
      <c r="D1832" s="2">
        <f ca="1">IFERROR(__xludf.DUMMYFUNCTION("""COMPUTED_VALUE"""),63.6)</f>
        <v>63.6</v>
      </c>
      <c r="E1832" s="2">
        <f ca="1">IFERROR(__xludf.DUMMYFUNCTION("""COMPUTED_VALUE"""),70.356)</f>
        <v>70.355999999999995</v>
      </c>
      <c r="F1832" s="2">
        <f ca="1">IFERROR(__xludf.DUMMYFUNCTION("""COMPUTED_VALUE"""),99.668)</f>
        <v>99.668000000000006</v>
      </c>
      <c r="G1832" s="2">
        <f ca="1">IFERROR(__xludf.DUMMYFUNCTION("""COMPUTED_VALUE"""),0.54882)</f>
        <v>0.54881999999999997</v>
      </c>
      <c r="H1832" s="2">
        <f ca="1">IFERROR(__xludf.DUMMYFUNCTION("""COMPUTED_VALUE"""),46.649)</f>
        <v>46.649000000000001</v>
      </c>
      <c r="I1832" s="2">
        <f ca="1">IFERROR(__xludf.DUMMYFUNCTION("""COMPUTED_VALUE"""),49.799)</f>
        <v>49.798999999999999</v>
      </c>
      <c r="J1832" s="2">
        <f ca="1">IFERROR(__xludf.DUMMYFUNCTION("""COMPUTED_VALUE"""),46.537)</f>
        <v>46.536999999999999</v>
      </c>
      <c r="K1832" s="2">
        <f ca="1">IFERROR(__xludf.DUMMYFUNCTION("""COMPUTED_VALUE"""),71.568)</f>
        <v>71.567999999999998</v>
      </c>
      <c r="M1832" s="2">
        <f ca="1">IFERROR(__xludf.DUMMYFUNCTION("""COMPUTED_VALUE"""),17.394)</f>
        <v>17.393999999999998</v>
      </c>
      <c r="U1832" s="3" t="e">
        <f ca="1"/>
        <v>#NAME?</v>
      </c>
    </row>
    <row r="1833" spans="3:21" ht="12.5" x14ac:dyDescent="0.25">
      <c r="C1833" s="4">
        <f ca="1">IFERROR(__xludf.DUMMYFUNCTION("""COMPUTED_VALUE"""),42179.9986111111)</f>
        <v>42179.998611111099</v>
      </c>
      <c r="D1833" s="2">
        <f ca="1">IFERROR(__xludf.DUMMYFUNCTION("""COMPUTED_VALUE"""),63.562)</f>
        <v>63.561999999999998</v>
      </c>
      <c r="E1833" s="2">
        <f ca="1">IFERROR(__xludf.DUMMYFUNCTION("""COMPUTED_VALUE"""),70.214)</f>
        <v>70.213999999999999</v>
      </c>
      <c r="F1833" s="2">
        <f ca="1">IFERROR(__xludf.DUMMYFUNCTION("""COMPUTED_VALUE"""),98.332)</f>
        <v>98.331999999999994</v>
      </c>
      <c r="G1833" s="2">
        <f ca="1">IFERROR(__xludf.DUMMYFUNCTION("""COMPUTED_VALUE"""),0.54909)</f>
        <v>0.54908999999999997</v>
      </c>
      <c r="H1833" s="2">
        <f ca="1">IFERROR(__xludf.DUMMYFUNCTION("""COMPUTED_VALUE"""),47.07)</f>
        <v>47.07</v>
      </c>
      <c r="I1833" s="2">
        <f ca="1">IFERROR(__xludf.DUMMYFUNCTION("""COMPUTED_VALUE"""),49.667)</f>
        <v>49.667000000000002</v>
      </c>
      <c r="J1833" s="2">
        <f ca="1">IFERROR(__xludf.DUMMYFUNCTION("""COMPUTED_VALUE"""),46.518)</f>
        <v>46.518000000000001</v>
      </c>
      <c r="K1833" s="2">
        <f ca="1">IFERROR(__xludf.DUMMYFUNCTION("""COMPUTED_VALUE"""),70.503)</f>
        <v>70.503</v>
      </c>
      <c r="M1833" s="2">
        <f ca="1">IFERROR(__xludf.DUMMYFUNCTION("""COMPUTED_VALUE"""),17.357)</f>
        <v>17.356999999999999</v>
      </c>
      <c r="U1833" s="3" t="e">
        <f ca="1"/>
        <v>#NAME?</v>
      </c>
    </row>
    <row r="1834" spans="3:21" ht="12.5" x14ac:dyDescent="0.25">
      <c r="C1834" s="4">
        <f ca="1">IFERROR(__xludf.DUMMYFUNCTION("""COMPUTED_VALUE"""),42180.9986111111)</f>
        <v>42180.998611111099</v>
      </c>
      <c r="D1834" s="2">
        <f ca="1">IFERROR(__xludf.DUMMYFUNCTION("""COMPUTED_VALUE"""),63.511)</f>
        <v>63.511000000000003</v>
      </c>
      <c r="E1834" s="2">
        <f ca="1">IFERROR(__xludf.DUMMYFUNCTION("""COMPUTED_VALUE"""),70.426)</f>
        <v>70.426000000000002</v>
      </c>
      <c r="F1834" s="2">
        <f ca="1">IFERROR(__xludf.DUMMYFUNCTION("""COMPUTED_VALUE"""),98.343)</f>
        <v>98.343000000000004</v>
      </c>
      <c r="G1834" s="2">
        <f ca="1">IFERROR(__xludf.DUMMYFUNCTION("""COMPUTED_VALUE"""),0.55109)</f>
        <v>0.55108999999999997</v>
      </c>
      <c r="H1834" s="2">
        <f ca="1">IFERROR(__xludf.DUMMYFUNCTION("""COMPUTED_VALUE"""),47.075)</f>
        <v>47.075000000000003</v>
      </c>
      <c r="I1834" s="2">
        <f ca="1">IFERROR(__xludf.DUMMYFUNCTION("""COMPUTED_VALUE"""),49.567)</f>
        <v>49.567</v>
      </c>
      <c r="J1834" s="2">
        <f ca="1">IFERROR(__xludf.DUMMYFUNCTION("""COMPUTED_VALUE"""),46.528)</f>
        <v>46.527999999999999</v>
      </c>
      <c r="K1834" s="2">
        <f ca="1">IFERROR(__xludf.DUMMYFUNCTION("""COMPUTED_VALUE"""),69.32)</f>
        <v>69.319999999999993</v>
      </c>
      <c r="M1834" s="2">
        <f ca="1">IFERROR(__xludf.DUMMYFUNCTION("""COMPUTED_VALUE"""),17.349)</f>
        <v>17.349</v>
      </c>
      <c r="U1834" s="3" t="e">
        <f ca="1"/>
        <v>#NAME?</v>
      </c>
    </row>
    <row r="1835" spans="3:21" ht="12.5" x14ac:dyDescent="0.25">
      <c r="C1835" s="4">
        <f ca="1">IFERROR(__xludf.DUMMYFUNCTION("""COMPUTED_VALUE"""),42181.9986111111)</f>
        <v>42181.998611111099</v>
      </c>
      <c r="D1835" s="2">
        <f ca="1">IFERROR(__xludf.DUMMYFUNCTION("""COMPUTED_VALUE"""),63.5)</f>
        <v>63.5</v>
      </c>
      <c r="E1835" s="2">
        <f ca="1">IFERROR(__xludf.DUMMYFUNCTION("""COMPUTED_VALUE"""),70.794)</f>
        <v>70.793999999999997</v>
      </c>
      <c r="F1835" s="2">
        <f ca="1">IFERROR(__xludf.DUMMYFUNCTION("""COMPUTED_VALUE"""),98.343)</f>
        <v>98.343000000000004</v>
      </c>
      <c r="G1835" s="2">
        <f ca="1">IFERROR(__xludf.DUMMYFUNCTION("""COMPUTED_VALUE"""),0.54978)</f>
        <v>0.54978000000000005</v>
      </c>
      <c r="H1835" s="2">
        <f ca="1">IFERROR(__xludf.DUMMYFUNCTION("""COMPUTED_VALUE"""),46.699)</f>
        <v>46.698999999999998</v>
      </c>
      <c r="I1835" s="2">
        <f ca="1">IFERROR(__xludf.DUMMYFUNCTION("""COMPUTED_VALUE"""),49.376)</f>
        <v>49.375999999999998</v>
      </c>
      <c r="J1835" s="2">
        <f ca="1">IFERROR(__xludf.DUMMYFUNCTION("""COMPUTED_VALUE"""),46.365)</f>
        <v>46.365000000000002</v>
      </c>
      <c r="K1835" s="2">
        <f ca="1">IFERROR(__xludf.DUMMYFUNCTION("""COMPUTED_VALUE"""),68.349)</f>
        <v>68.349000000000004</v>
      </c>
      <c r="M1835" s="2">
        <f ca="1">IFERROR(__xludf.DUMMYFUNCTION("""COMPUTED_VALUE"""),17.32)</f>
        <v>17.32</v>
      </c>
      <c r="U1835" s="3" t="e">
        <f ca="1"/>
        <v>#NAME?</v>
      </c>
    </row>
    <row r="1836" spans="3:21" ht="12.5" x14ac:dyDescent="0.25">
      <c r="C1836" s="4">
        <f ca="1">IFERROR(__xludf.DUMMYFUNCTION("""COMPUTED_VALUE"""),42184.9986111111)</f>
        <v>42184.998611111099</v>
      </c>
      <c r="D1836" s="2">
        <f ca="1">IFERROR(__xludf.DUMMYFUNCTION("""COMPUTED_VALUE"""),63.724)</f>
        <v>63.723999999999997</v>
      </c>
      <c r="E1836" s="2">
        <f ca="1">IFERROR(__xludf.DUMMYFUNCTION("""COMPUTED_VALUE"""),69.7025)</f>
        <v>69.702500000000001</v>
      </c>
      <c r="F1836" s="2">
        <f ca="1">IFERROR(__xludf.DUMMYFUNCTION("""COMPUTED_VALUE"""),98.353)</f>
        <v>98.352999999999994</v>
      </c>
      <c r="G1836" s="2">
        <f ca="1">IFERROR(__xludf.DUMMYFUNCTION("""COMPUTED_VALUE"""),0.54977)</f>
        <v>0.54976999999999998</v>
      </c>
      <c r="H1836" s="2">
        <f ca="1">IFERROR(__xludf.DUMMYFUNCTION("""COMPUTED_VALUE"""),46.916)</f>
        <v>46.915999999999997</v>
      </c>
      <c r="I1836" s="2">
        <f ca="1">IFERROR(__xludf.DUMMYFUNCTION("""COMPUTED_VALUE"""),49.53)</f>
        <v>49.53</v>
      </c>
      <c r="J1836" s="2">
        <f ca="1">IFERROR(__xludf.DUMMYFUNCTION("""COMPUTED_VALUE"""),46.288)</f>
        <v>46.287999999999997</v>
      </c>
      <c r="K1836" s="2">
        <f ca="1">IFERROR(__xludf.DUMMYFUNCTION("""COMPUTED_VALUE"""),68.638)</f>
        <v>68.638000000000005</v>
      </c>
      <c r="M1836" s="2">
        <f ca="1">IFERROR(__xludf.DUMMYFUNCTION("""COMPUTED_VALUE"""),17.334)</f>
        <v>17.334</v>
      </c>
      <c r="U1836" s="3" t="e">
        <f ca="1"/>
        <v>#NAME?</v>
      </c>
    </row>
    <row r="1837" spans="3:21" ht="12.5" x14ac:dyDescent="0.25">
      <c r="C1837" s="4">
        <f ca="1">IFERROR(__xludf.DUMMYFUNCTION("""COMPUTED_VALUE"""),42185.9986111111)</f>
        <v>42185.998611111099</v>
      </c>
      <c r="D1837" s="2">
        <f ca="1">IFERROR(__xludf.DUMMYFUNCTION("""COMPUTED_VALUE"""),63.59)</f>
        <v>63.59</v>
      </c>
      <c r="E1837" s="2">
        <f ca="1">IFERROR(__xludf.DUMMYFUNCTION("""COMPUTED_VALUE"""),70.537)</f>
        <v>70.537000000000006</v>
      </c>
      <c r="F1837" s="2">
        <f ca="1">IFERROR(__xludf.DUMMYFUNCTION("""COMPUTED_VALUE"""),98.484)</f>
        <v>98.483999999999995</v>
      </c>
      <c r="G1837" s="2">
        <f ca="1">IFERROR(__xludf.DUMMYFUNCTION("""COMPUTED_VALUE"""),0.55697)</f>
        <v>0.55696999999999997</v>
      </c>
      <c r="H1837" s="2">
        <f ca="1">IFERROR(__xludf.DUMMYFUNCTION("""COMPUTED_VALUE"""),46.971)</f>
        <v>46.970999999999997</v>
      </c>
      <c r="I1837" s="2">
        <f ca="1">IFERROR(__xludf.DUMMYFUNCTION("""COMPUTED_VALUE"""),49.625)</f>
        <v>49.625</v>
      </c>
      <c r="J1837" s="2">
        <f ca="1">IFERROR(__xludf.DUMMYFUNCTION("""COMPUTED_VALUE"""),46.314)</f>
        <v>46.314</v>
      </c>
      <c r="K1837" s="2">
        <f ca="1">IFERROR(__xludf.DUMMYFUNCTION("""COMPUTED_VALUE"""),68.675)</f>
        <v>68.674999999999997</v>
      </c>
      <c r="M1837" s="2">
        <f ca="1">IFERROR(__xludf.DUMMYFUNCTION("""COMPUTED_VALUE"""),17.429)</f>
        <v>17.428999999999998</v>
      </c>
      <c r="U1837" s="3" t="e">
        <f ca="1"/>
        <v>#NAME?</v>
      </c>
    </row>
    <row r="1838" spans="3:21" ht="12.5" x14ac:dyDescent="0.25">
      <c r="C1838" s="4">
        <f ca="1">IFERROR(__xludf.DUMMYFUNCTION("""COMPUTED_VALUE"""),42186.9986111111)</f>
        <v>42186.998611111099</v>
      </c>
      <c r="D1838" s="2">
        <f ca="1">IFERROR(__xludf.DUMMYFUNCTION("""COMPUTED_VALUE"""),63.574)</f>
        <v>63.573999999999998</v>
      </c>
      <c r="E1838" s="2">
        <f ca="1">IFERROR(__xludf.DUMMYFUNCTION("""COMPUTED_VALUE"""),70.491)</f>
        <v>70.491</v>
      </c>
      <c r="F1838" s="2">
        <f ca="1">IFERROR(__xludf.DUMMYFUNCTION("""COMPUTED_VALUE"""),98.041)</f>
        <v>98.040999999999997</v>
      </c>
      <c r="G1838" s="2">
        <f ca="1">IFERROR(__xludf.DUMMYFUNCTION("""COMPUTED_VALUE"""),0.55796)</f>
        <v>0.55796000000000001</v>
      </c>
      <c r="H1838" s="2">
        <f ca="1">IFERROR(__xludf.DUMMYFUNCTION("""COMPUTED_VALUE"""),47.452)</f>
        <v>47.451999999999998</v>
      </c>
      <c r="I1838" s="2">
        <f ca="1">IFERROR(__xludf.DUMMYFUNCTION("""COMPUTED_VALUE"""),49.645)</f>
        <v>49.645000000000003</v>
      </c>
      <c r="J1838" s="2">
        <f ca="1">IFERROR(__xludf.DUMMYFUNCTION("""COMPUTED_VALUE"""),46.466)</f>
        <v>46.466000000000001</v>
      </c>
      <c r="K1838" s="2">
        <f ca="1">IFERROR(__xludf.DUMMYFUNCTION("""COMPUTED_VALUE"""),69.115)</f>
        <v>69.114999999999995</v>
      </c>
      <c r="M1838" s="2">
        <f ca="1">IFERROR(__xludf.DUMMYFUNCTION("""COMPUTED_VALUE"""),17.421)</f>
        <v>17.420999999999999</v>
      </c>
      <c r="U1838" s="3" t="e">
        <f ca="1"/>
        <v>#NAME?</v>
      </c>
    </row>
    <row r="1839" spans="3:21" ht="12.5" x14ac:dyDescent="0.25">
      <c r="C1839" s="4">
        <f ca="1">IFERROR(__xludf.DUMMYFUNCTION("""COMPUTED_VALUE"""),42187.9986111111)</f>
        <v>42187.998611111099</v>
      </c>
      <c r="D1839" s="2">
        <f ca="1">IFERROR(__xludf.DUMMYFUNCTION("""COMPUTED_VALUE"""),63.37)</f>
        <v>63.37</v>
      </c>
      <c r="E1839" s="2">
        <f ca="1">IFERROR(__xludf.DUMMYFUNCTION("""COMPUTED_VALUE"""),70.458)</f>
        <v>70.457999999999998</v>
      </c>
      <c r="F1839" s="2">
        <f ca="1">IFERROR(__xludf.DUMMYFUNCTION("""COMPUTED_VALUE"""),97.796)</f>
        <v>97.796000000000006</v>
      </c>
      <c r="G1839" s="2">
        <f ca="1">IFERROR(__xludf.DUMMYFUNCTION("""COMPUTED_VALUE"""),0.56192)</f>
        <v>0.56191999999999998</v>
      </c>
      <c r="H1839" s="2">
        <f ca="1">IFERROR(__xludf.DUMMYFUNCTION("""COMPUTED_VALUE"""),47.428)</f>
        <v>47.427999999999997</v>
      </c>
      <c r="I1839" s="2">
        <f ca="1">IFERROR(__xludf.DUMMYFUNCTION("""COMPUTED_VALUE"""),49.034)</f>
        <v>49.033999999999999</v>
      </c>
      <c r="J1839" s="2">
        <f ca="1">IFERROR(__xludf.DUMMYFUNCTION("""COMPUTED_VALUE"""),46.703)</f>
        <v>46.703000000000003</v>
      </c>
      <c r="K1839" s="2">
        <f ca="1">IFERROR(__xludf.DUMMYFUNCTION("""COMPUTED_VALUE"""),68.181)</f>
        <v>68.180999999999997</v>
      </c>
      <c r="M1839" s="2">
        <f ca="1">IFERROR(__xludf.DUMMYFUNCTION("""COMPUTED_VALUE"""),17.451)</f>
        <v>17.451000000000001</v>
      </c>
      <c r="U1839" s="3" t="e">
        <f ca="1"/>
        <v>#NAME?</v>
      </c>
    </row>
    <row r="1840" spans="3:21" ht="12.5" x14ac:dyDescent="0.25">
      <c r="C1840" s="4">
        <f ca="1">IFERROR(__xludf.DUMMYFUNCTION("""COMPUTED_VALUE"""),42188.9986111111)</f>
        <v>42188.998611111099</v>
      </c>
      <c r="D1840" s="2">
        <f ca="1">IFERROR(__xludf.DUMMYFUNCTION("""COMPUTED_VALUE"""),63.46)</f>
        <v>63.46</v>
      </c>
      <c r="E1840" s="2">
        <f ca="1">IFERROR(__xludf.DUMMYFUNCTION("""COMPUTED_VALUE"""),70.502)</f>
        <v>70.501999999999995</v>
      </c>
      <c r="F1840" s="2">
        <f ca="1">IFERROR(__xludf.DUMMYFUNCTION("""COMPUTED_VALUE"""),97.478)</f>
        <v>97.477999999999994</v>
      </c>
      <c r="G1840" s="2">
        <f ca="1">IFERROR(__xludf.DUMMYFUNCTION("""COMPUTED_VALUE"""),0.56866)</f>
        <v>0.56866000000000005</v>
      </c>
      <c r="H1840" s="2">
        <f ca="1">IFERROR(__xludf.DUMMYFUNCTION("""COMPUTED_VALUE"""),47.662)</f>
        <v>47.661999999999999</v>
      </c>
      <c r="I1840" s="2">
        <f ca="1">IFERROR(__xludf.DUMMYFUNCTION("""COMPUTED_VALUE"""),49.622)</f>
        <v>49.622</v>
      </c>
      <c r="J1840" s="2">
        <f ca="1">IFERROR(__xludf.DUMMYFUNCTION("""COMPUTED_VALUE"""),46.337)</f>
        <v>46.337000000000003</v>
      </c>
      <c r="K1840" s="2">
        <f ca="1">IFERROR(__xludf.DUMMYFUNCTION("""COMPUTED_VALUE"""),67.86)</f>
        <v>67.86</v>
      </c>
      <c r="M1840" s="2">
        <f ca="1">IFERROR(__xludf.DUMMYFUNCTION("""COMPUTED_VALUE"""),17.415)</f>
        <v>17.414999999999999</v>
      </c>
      <c r="U1840" s="3" t="e">
        <f ca="1"/>
        <v>#NAME?</v>
      </c>
    </row>
    <row r="1841" spans="3:21" ht="12.5" x14ac:dyDescent="0.25">
      <c r="C1841" s="4">
        <f ca="1">IFERROR(__xludf.DUMMYFUNCTION("""COMPUTED_VALUE"""),42190.9986111111)</f>
        <v>42190.998611111099</v>
      </c>
      <c r="D1841" s="2">
        <f ca="1">IFERROR(__xludf.DUMMYFUNCTION("""COMPUTED_VALUE"""),63.426)</f>
        <v>63.426000000000002</v>
      </c>
      <c r="E1841" s="2">
        <f ca="1">IFERROR(__xludf.DUMMYFUNCTION("""COMPUTED_VALUE"""),69.6481)</f>
        <v>69.648099999999999</v>
      </c>
      <c r="F1841" s="2">
        <f ca="1">IFERROR(__xludf.DUMMYFUNCTION("""COMPUTED_VALUE"""),97.468)</f>
        <v>97.468000000000004</v>
      </c>
      <c r="G1841" s="2">
        <f ca="1">IFERROR(__xludf.DUMMYFUNCTION("""COMPUTED_VALUE"""),0.55788)</f>
        <v>0.55788000000000004</v>
      </c>
      <c r="H1841" s="2">
        <f ca="1">IFERROR(__xludf.DUMMYFUNCTION("""COMPUTED_VALUE"""),48.056)</f>
        <v>48.055999999999997</v>
      </c>
      <c r="I1841" s="2">
        <f ca="1">IFERROR(__xludf.DUMMYFUNCTION("""COMPUTED_VALUE"""),49.779)</f>
        <v>49.779000000000003</v>
      </c>
      <c r="J1841" s="2">
        <f ca="1">IFERROR(__xludf.DUMMYFUNCTION("""COMPUTED_VALUE"""),46.771)</f>
        <v>46.771000000000001</v>
      </c>
      <c r="K1841" s="2">
        <f ca="1">IFERROR(__xludf.DUMMYFUNCTION("""COMPUTED_VALUE"""),68.509)</f>
        <v>68.509</v>
      </c>
      <c r="M1841" s="2">
        <f ca="1">IFERROR(__xludf.DUMMYFUNCTION("""COMPUTED_VALUE"""),17.433)</f>
        <v>17.433</v>
      </c>
      <c r="U1841" s="3" t="e">
        <f ca="1"/>
        <v>#NAME?</v>
      </c>
    </row>
    <row r="1842" spans="3:21" ht="12.5" x14ac:dyDescent="0.25">
      <c r="C1842" s="4">
        <f ca="1">IFERROR(__xludf.DUMMYFUNCTION("""COMPUTED_VALUE"""),42191.9986111111)</f>
        <v>42191.998611111099</v>
      </c>
      <c r="D1842" s="2">
        <f ca="1">IFERROR(__xludf.DUMMYFUNCTION("""COMPUTED_VALUE"""),63.365)</f>
        <v>63.365000000000002</v>
      </c>
      <c r="E1842" s="2">
        <f ca="1">IFERROR(__xludf.DUMMYFUNCTION("""COMPUTED_VALUE"""),70.234)</f>
        <v>70.233999999999995</v>
      </c>
      <c r="F1842" s="2">
        <f ca="1">IFERROR(__xludf.DUMMYFUNCTION("""COMPUTED_VALUE"""),96.683)</f>
        <v>96.683000000000007</v>
      </c>
      <c r="G1842" s="2">
        <f ca="1">IFERROR(__xludf.DUMMYFUNCTION("""COMPUTED_VALUE"""),0.56713)</f>
        <v>0.56713000000000002</v>
      </c>
      <c r="H1842" s="2">
        <f ca="1">IFERROR(__xludf.DUMMYFUNCTION("""COMPUTED_VALUE"""),48.107)</f>
        <v>48.106999999999999</v>
      </c>
      <c r="I1842" s="2">
        <f ca="1">IFERROR(__xludf.DUMMYFUNCTION("""COMPUTED_VALUE"""),49.874)</f>
        <v>49.874000000000002</v>
      </c>
      <c r="J1842" s="2">
        <f ca="1">IFERROR(__xludf.DUMMYFUNCTION("""COMPUTED_VALUE"""),46.985)</f>
        <v>46.984999999999999</v>
      </c>
      <c r="K1842" s="2">
        <f ca="1">IFERROR(__xludf.DUMMYFUNCTION("""COMPUTED_VALUE"""),68.39)</f>
        <v>68.39</v>
      </c>
      <c r="M1842" s="2">
        <f ca="1">IFERROR(__xludf.DUMMYFUNCTION("""COMPUTED_VALUE"""),17.377)</f>
        <v>17.376999999999999</v>
      </c>
      <c r="U1842" s="3" t="e">
        <f ca="1"/>
        <v>#NAME?</v>
      </c>
    </row>
    <row r="1843" spans="3:21" ht="12.5" x14ac:dyDescent="0.25">
      <c r="C1843" s="4">
        <f ca="1">IFERROR(__xludf.DUMMYFUNCTION("""COMPUTED_VALUE"""),42192.9986111111)</f>
        <v>42192.998611111099</v>
      </c>
      <c r="D1843" s="2">
        <f ca="1">IFERROR(__xludf.DUMMYFUNCTION("""COMPUTED_VALUE"""),63.518)</f>
        <v>63.518000000000001</v>
      </c>
      <c r="E1843" s="2">
        <f ca="1">IFERROR(__xludf.DUMMYFUNCTION("""COMPUTED_VALUE"""),70.549)</f>
        <v>70.549000000000007</v>
      </c>
      <c r="F1843" s="2">
        <f ca="1">IFERROR(__xludf.DUMMYFUNCTION("""COMPUTED_VALUE"""),97.667)</f>
        <v>97.667000000000002</v>
      </c>
      <c r="G1843" s="2">
        <f ca="1">IFERROR(__xludf.DUMMYFUNCTION("""COMPUTED_VALUE"""),0.5673)</f>
        <v>0.56730000000000003</v>
      </c>
      <c r="H1843" s="2">
        <f ca="1">IFERROR(__xludf.DUMMYFUNCTION("""COMPUTED_VALUE"""),47.987)</f>
        <v>47.987000000000002</v>
      </c>
      <c r="I1843" s="2">
        <f ca="1">IFERROR(__xludf.DUMMYFUNCTION("""COMPUTED_VALUE"""),50.008)</f>
        <v>50.008000000000003</v>
      </c>
      <c r="J1843" s="2">
        <f ca="1">IFERROR(__xludf.DUMMYFUNCTION("""COMPUTED_VALUE"""),47.218)</f>
        <v>47.218000000000004</v>
      </c>
      <c r="K1843" s="2">
        <f ca="1">IFERROR(__xludf.DUMMYFUNCTION("""COMPUTED_VALUE"""),67.827)</f>
        <v>67.826999999999998</v>
      </c>
      <c r="M1843" s="2">
        <f ca="1">IFERROR(__xludf.DUMMYFUNCTION("""COMPUTED_VALUE"""),17.422)</f>
        <v>17.422000000000001</v>
      </c>
      <c r="U1843" s="3" t="e">
        <f ca="1"/>
        <v>#NAME?</v>
      </c>
    </row>
    <row r="1844" spans="3:21" ht="12.5" x14ac:dyDescent="0.25">
      <c r="C1844" s="4">
        <f ca="1">IFERROR(__xludf.DUMMYFUNCTION("""COMPUTED_VALUE"""),42193.9986111111)</f>
        <v>42193.998611111099</v>
      </c>
      <c r="D1844" s="2">
        <f ca="1">IFERROR(__xludf.DUMMYFUNCTION("""COMPUTED_VALUE"""),63.562)</f>
        <v>63.561999999999998</v>
      </c>
      <c r="E1844" s="2">
        <f ca="1">IFERROR(__xludf.DUMMYFUNCTION("""COMPUTED_VALUE"""),70.551)</f>
        <v>70.551000000000002</v>
      </c>
      <c r="F1844" s="2">
        <f ca="1">IFERROR(__xludf.DUMMYFUNCTION("""COMPUTED_VALUE"""),98.187)</f>
        <v>98.186999999999998</v>
      </c>
      <c r="G1844" s="2">
        <f ca="1">IFERROR(__xludf.DUMMYFUNCTION("""COMPUTED_VALUE"""),0.56944)</f>
        <v>0.56943999999999995</v>
      </c>
      <c r="H1844" s="2">
        <f ca="1">IFERROR(__xludf.DUMMYFUNCTION("""COMPUTED_VALUE"""),48.142)</f>
        <v>48.142000000000003</v>
      </c>
      <c r="I1844" s="2">
        <f ca="1">IFERROR(__xludf.DUMMYFUNCTION("""COMPUTED_VALUE"""),49.979)</f>
        <v>49.978999999999999</v>
      </c>
      <c r="J1844" s="2">
        <f ca="1">IFERROR(__xludf.DUMMYFUNCTION("""COMPUTED_VALUE"""),47.22)</f>
        <v>47.22</v>
      </c>
      <c r="K1844" s="2">
        <f ca="1">IFERROR(__xludf.DUMMYFUNCTION("""COMPUTED_VALUE"""),68.213)</f>
        <v>68.212999999999994</v>
      </c>
      <c r="M1844" s="2">
        <f ca="1">IFERROR(__xludf.DUMMYFUNCTION("""COMPUTED_VALUE"""),17.446)</f>
        <v>17.446000000000002</v>
      </c>
      <c r="U1844" s="3" t="e">
        <f ca="1"/>
        <v>#NAME?</v>
      </c>
    </row>
    <row r="1845" spans="3:21" ht="12.5" x14ac:dyDescent="0.25">
      <c r="C1845" s="4">
        <f ca="1">IFERROR(__xludf.DUMMYFUNCTION("""COMPUTED_VALUE"""),42194.9986111111)</f>
        <v>42194.998611111099</v>
      </c>
      <c r="D1845" s="2">
        <f ca="1">IFERROR(__xludf.DUMMYFUNCTION("""COMPUTED_VALUE"""),63.364)</f>
        <v>63.363999999999997</v>
      </c>
      <c r="E1845" s="2">
        <f ca="1">IFERROR(__xludf.DUMMYFUNCTION("""COMPUTED_VALUE"""),72.854)</f>
        <v>72.853999999999999</v>
      </c>
      <c r="F1845" s="2">
        <f ca="1">IFERROR(__xludf.DUMMYFUNCTION("""COMPUTED_VALUE"""),98.296)</f>
        <v>98.296000000000006</v>
      </c>
      <c r="G1845" s="2">
        <f ca="1">IFERROR(__xludf.DUMMYFUNCTION("""COMPUTED_VALUE"""),0.5689)</f>
        <v>0.56889999999999996</v>
      </c>
      <c r="H1845" s="2">
        <f ca="1">IFERROR(__xludf.DUMMYFUNCTION("""COMPUTED_VALUE"""),48.051)</f>
        <v>48.051000000000002</v>
      </c>
      <c r="I1845" s="2">
        <f ca="1">IFERROR(__xludf.DUMMYFUNCTION("""COMPUTED_VALUE"""),49.778)</f>
        <v>49.777999999999999</v>
      </c>
      <c r="J1845" s="2">
        <f ca="1">IFERROR(__xludf.DUMMYFUNCTION("""COMPUTED_VALUE"""),47.272)</f>
        <v>47.271999999999998</v>
      </c>
      <c r="K1845" s="2">
        <f ca="1">IFERROR(__xludf.DUMMYFUNCTION("""COMPUTED_VALUE"""),68.058)</f>
        <v>68.058000000000007</v>
      </c>
      <c r="M1845" s="2">
        <f ca="1">IFERROR(__xludf.DUMMYFUNCTION("""COMPUTED_VALUE"""),17.43)</f>
        <v>17.43</v>
      </c>
      <c r="U1845" s="3" t="e">
        <f ca="1"/>
        <v>#NAME?</v>
      </c>
    </row>
    <row r="1846" spans="3:21" ht="12.5" x14ac:dyDescent="0.25">
      <c r="C1846" s="4">
        <f ca="1">IFERROR(__xludf.DUMMYFUNCTION("""COMPUTED_VALUE"""),42195.9986111111)</f>
        <v>42195.998611111099</v>
      </c>
      <c r="D1846" s="2">
        <f ca="1">IFERROR(__xludf.DUMMYFUNCTION("""COMPUTED_VALUE"""),63.352)</f>
        <v>63.351999999999997</v>
      </c>
      <c r="E1846" s="2">
        <f ca="1">IFERROR(__xludf.DUMMYFUNCTION("""COMPUTED_VALUE"""),71.645)</f>
        <v>71.644999999999996</v>
      </c>
      <c r="F1846" s="2">
        <f ca="1">IFERROR(__xludf.DUMMYFUNCTION("""COMPUTED_VALUE"""),97.345)</f>
        <v>97.344999999999999</v>
      </c>
      <c r="G1846" s="2">
        <f ca="1">IFERROR(__xludf.DUMMYFUNCTION("""COMPUTED_VALUE"""),0.57887)</f>
        <v>0.57887</v>
      </c>
      <c r="H1846" s="2">
        <f ca="1">IFERROR(__xludf.DUMMYFUNCTION("""COMPUTED_VALUE"""),48.616)</f>
        <v>48.616</v>
      </c>
      <c r="I1846" s="2">
        <f ca="1">IFERROR(__xludf.DUMMYFUNCTION("""COMPUTED_VALUE"""),49.691)</f>
        <v>49.691000000000003</v>
      </c>
      <c r="J1846" s="2">
        <f ca="1">IFERROR(__xludf.DUMMYFUNCTION("""COMPUTED_VALUE"""),47.113)</f>
        <v>47.113</v>
      </c>
      <c r="K1846" s="2">
        <f ca="1">IFERROR(__xludf.DUMMYFUNCTION("""COMPUTED_VALUE"""),68.278)</f>
        <v>68.278000000000006</v>
      </c>
      <c r="M1846" s="2">
        <f ca="1">IFERROR(__xludf.DUMMYFUNCTION("""COMPUTED_VALUE"""),17.469)</f>
        <v>17.469000000000001</v>
      </c>
      <c r="U1846" s="3" t="e">
        <f ca="1"/>
        <v>#NAME?</v>
      </c>
    </row>
    <row r="1847" spans="3:21" ht="12.5" x14ac:dyDescent="0.25">
      <c r="C1847" s="4">
        <f ca="1">IFERROR(__xludf.DUMMYFUNCTION("""COMPUTED_VALUE"""),42197.9986111111)</f>
        <v>42197.998611111099</v>
      </c>
      <c r="D1847" s="2">
        <f ca="1">IFERROR(__xludf.DUMMYFUNCTION("""COMPUTED_VALUE"""),63.364)</f>
        <v>63.363999999999997</v>
      </c>
      <c r="E1847" s="2">
        <f ca="1">IFERROR(__xludf.DUMMYFUNCTION("""COMPUTED_VALUE"""),72.261)</f>
        <v>72.260999999999996</v>
      </c>
      <c r="F1847" s="2">
        <f ca="1">IFERROR(__xludf.DUMMYFUNCTION("""COMPUTED_VALUE"""),97.75)</f>
        <v>97.75</v>
      </c>
      <c r="G1847" s="2">
        <f ca="1">IFERROR(__xludf.DUMMYFUNCTION("""COMPUTED_VALUE"""),0.57612)</f>
        <v>0.57611999999999997</v>
      </c>
      <c r="H1847" s="2">
        <f ca="1">IFERROR(__xludf.DUMMYFUNCTION("""COMPUTED_VALUE"""),48.55)</f>
        <v>48.55</v>
      </c>
      <c r="I1847" s="2">
        <f ca="1">IFERROR(__xludf.DUMMYFUNCTION("""COMPUTED_VALUE"""),49.802)</f>
        <v>49.802</v>
      </c>
      <c r="J1847" s="2">
        <f ca="1">IFERROR(__xludf.DUMMYFUNCTION("""COMPUTED_VALUE"""),47.207)</f>
        <v>47.207000000000001</v>
      </c>
      <c r="K1847" s="2">
        <f ca="1">IFERROR(__xludf.DUMMYFUNCTION("""COMPUTED_VALUE"""),68.415)</f>
        <v>68.415000000000006</v>
      </c>
      <c r="M1847" s="2">
        <f ca="1">IFERROR(__xludf.DUMMYFUNCTION("""COMPUTED_VALUE"""),17.423)</f>
        <v>17.422999999999998</v>
      </c>
      <c r="U1847" s="3" t="e">
        <f ca="1"/>
        <v>#NAME?</v>
      </c>
    </row>
    <row r="1848" spans="3:21" ht="12.5" x14ac:dyDescent="0.25">
      <c r="C1848" s="4">
        <f ca="1">IFERROR(__xludf.DUMMYFUNCTION("""COMPUTED_VALUE"""),42198.9986111111)</f>
        <v>42198.998611111099</v>
      </c>
      <c r="D1848" s="2">
        <f ca="1">IFERROR(__xludf.DUMMYFUNCTION("""COMPUTED_VALUE"""),63.514)</f>
        <v>63.514000000000003</v>
      </c>
      <c r="E1848" s="2">
        <f ca="1">IFERROR(__xludf.DUMMYFUNCTION("""COMPUTED_VALUE"""),72.719)</f>
        <v>72.718999999999994</v>
      </c>
      <c r="F1848" s="2">
        <f ca="1">IFERROR(__xludf.DUMMYFUNCTION("""COMPUTED_VALUE"""),97.75)</f>
        <v>97.75</v>
      </c>
      <c r="G1848" s="2">
        <f ca="1">IFERROR(__xludf.DUMMYFUNCTION("""COMPUTED_VALUE"""),0.5759)</f>
        <v>0.57589999999999997</v>
      </c>
      <c r="H1848" s="2">
        <f ca="1">IFERROR(__xludf.DUMMYFUNCTION("""COMPUTED_VALUE"""),48.904)</f>
        <v>48.904000000000003</v>
      </c>
      <c r="I1848" s="2">
        <f ca="1">IFERROR(__xludf.DUMMYFUNCTION("""COMPUTED_VALUE"""),49.996)</f>
        <v>49.996000000000002</v>
      </c>
      <c r="J1848" s="2">
        <f ca="1">IFERROR(__xludf.DUMMYFUNCTION("""COMPUTED_VALUE"""),47.094)</f>
        <v>47.094000000000001</v>
      </c>
      <c r="K1848" s="2">
        <f ca="1">IFERROR(__xludf.DUMMYFUNCTION("""COMPUTED_VALUE"""),68.119)</f>
        <v>68.119</v>
      </c>
      <c r="M1848" s="2">
        <f ca="1">IFERROR(__xludf.DUMMYFUNCTION("""COMPUTED_VALUE"""),17.32)</f>
        <v>17.32</v>
      </c>
      <c r="U1848" s="3" t="e">
        <f ca="1"/>
        <v>#NAME?</v>
      </c>
    </row>
    <row r="1849" spans="3:21" ht="12.5" x14ac:dyDescent="0.25">
      <c r="C1849" s="4">
        <f ca="1">IFERROR(__xludf.DUMMYFUNCTION("""COMPUTED_VALUE"""),42199.9986111111)</f>
        <v>42199.998611111099</v>
      </c>
      <c r="D1849" s="2">
        <f ca="1">IFERROR(__xludf.DUMMYFUNCTION("""COMPUTED_VALUE"""),63.324)</f>
        <v>63.323999999999998</v>
      </c>
      <c r="E1849" s="2">
        <f ca="1">IFERROR(__xludf.DUMMYFUNCTION("""COMPUTED_VALUE"""),73.611)</f>
        <v>73.611000000000004</v>
      </c>
      <c r="F1849" s="2">
        <f ca="1">IFERROR(__xludf.DUMMYFUNCTION("""COMPUTED_VALUE"""),98.157)</f>
        <v>98.156999999999996</v>
      </c>
      <c r="G1849" s="2">
        <f ca="1">IFERROR(__xludf.DUMMYFUNCTION("""COMPUTED_VALUE"""),0.5796)</f>
        <v>0.5796</v>
      </c>
      <c r="H1849" s="2">
        <f ca="1">IFERROR(__xludf.DUMMYFUNCTION("""COMPUTED_VALUE"""),48.892)</f>
        <v>48.892000000000003</v>
      </c>
      <c r="I1849" s="2">
        <f ca="1">IFERROR(__xludf.DUMMYFUNCTION("""COMPUTED_VALUE"""),49.847)</f>
        <v>49.847000000000001</v>
      </c>
      <c r="J1849" s="2">
        <f ca="1">IFERROR(__xludf.DUMMYFUNCTION("""COMPUTED_VALUE"""),47.793)</f>
        <v>47.792999999999999</v>
      </c>
      <c r="K1849" s="2">
        <f ca="1">IFERROR(__xludf.DUMMYFUNCTION("""COMPUTED_VALUE"""),68.154)</f>
        <v>68.153999999999996</v>
      </c>
      <c r="M1849" s="2">
        <f ca="1">IFERROR(__xludf.DUMMYFUNCTION("""COMPUTED_VALUE"""),17.284)</f>
        <v>17.283999999999999</v>
      </c>
      <c r="U1849" s="3" t="e">
        <f ca="1"/>
        <v>#NAME?</v>
      </c>
    </row>
    <row r="1850" spans="3:21" ht="12.5" x14ac:dyDescent="0.25">
      <c r="C1850" s="4">
        <f ca="1">IFERROR(__xludf.DUMMYFUNCTION("""COMPUTED_VALUE"""),42200.9986111111)</f>
        <v>42200.998611111099</v>
      </c>
      <c r="D1850" s="2">
        <f ca="1">IFERROR(__xludf.DUMMYFUNCTION("""COMPUTED_VALUE"""),63.524)</f>
        <v>63.524000000000001</v>
      </c>
      <c r="E1850" s="2">
        <f ca="1">IFERROR(__xludf.DUMMYFUNCTION("""COMPUTED_VALUE"""),73.039)</f>
        <v>73.039000000000001</v>
      </c>
      <c r="F1850" s="2">
        <f ca="1">IFERROR(__xludf.DUMMYFUNCTION("""COMPUTED_VALUE"""),98.548)</f>
        <v>98.548000000000002</v>
      </c>
      <c r="G1850" s="2">
        <f ca="1">IFERROR(__xludf.DUMMYFUNCTION("""COMPUTED_VALUE"""),0.57449)</f>
        <v>0.57448999999999995</v>
      </c>
      <c r="H1850" s="2">
        <f ca="1">IFERROR(__xludf.DUMMYFUNCTION("""COMPUTED_VALUE"""),48.41)</f>
        <v>48.41</v>
      </c>
      <c r="I1850" s="2">
        <f ca="1">IFERROR(__xludf.DUMMYFUNCTION("""COMPUTED_VALUE"""),49.376)</f>
        <v>49.375999999999998</v>
      </c>
      <c r="J1850" s="2">
        <f ca="1">IFERROR(__xludf.DUMMYFUNCTION("""COMPUTED_VALUE"""),47.646)</f>
        <v>47.646000000000001</v>
      </c>
      <c r="K1850" s="2">
        <f ca="1">IFERROR(__xludf.DUMMYFUNCTION("""COMPUTED_VALUE"""),68.655)</f>
        <v>68.655000000000001</v>
      </c>
      <c r="M1850" s="2">
        <f ca="1">IFERROR(__xludf.DUMMYFUNCTION("""COMPUTED_VALUE"""),17.289)</f>
        <v>17.289000000000001</v>
      </c>
      <c r="U1850" s="3" t="e">
        <f ca="1"/>
        <v>#NAME?</v>
      </c>
    </row>
    <row r="1851" spans="3:21" ht="12.5" x14ac:dyDescent="0.25">
      <c r="C1851" s="4">
        <f ca="1">IFERROR(__xludf.DUMMYFUNCTION("""COMPUTED_VALUE"""),42201.9986111111)</f>
        <v>42201.998611111099</v>
      </c>
      <c r="D1851" s="2">
        <f ca="1">IFERROR(__xludf.DUMMYFUNCTION("""COMPUTED_VALUE"""),63.482)</f>
        <v>63.481999999999999</v>
      </c>
      <c r="E1851" s="2">
        <f ca="1">IFERROR(__xludf.DUMMYFUNCTION("""COMPUTED_VALUE"""),72.4315)</f>
        <v>72.4315</v>
      </c>
      <c r="F1851" s="2">
        <f ca="1">IFERROR(__xludf.DUMMYFUNCTION("""COMPUTED_VALUE"""),98.89)</f>
        <v>98.89</v>
      </c>
      <c r="G1851" s="2">
        <f ca="1">IFERROR(__xludf.DUMMYFUNCTION("""COMPUTED_VALUE"""),0.56319)</f>
        <v>0.56318999999999997</v>
      </c>
      <c r="H1851" s="2">
        <f ca="1">IFERROR(__xludf.DUMMYFUNCTION("""COMPUTED_VALUE"""),48.222)</f>
        <v>48.222000000000001</v>
      </c>
      <c r="I1851" s="2">
        <f ca="1">IFERROR(__xludf.DUMMYFUNCTION("""COMPUTED_VALUE"""),49.162)</f>
        <v>49.161999999999999</v>
      </c>
      <c r="J1851" s="2">
        <f ca="1">IFERROR(__xludf.DUMMYFUNCTION("""COMPUTED_VALUE"""),47.412)</f>
        <v>47.411999999999999</v>
      </c>
      <c r="K1851" s="2">
        <f ca="1">IFERROR(__xludf.DUMMYFUNCTION("""COMPUTED_VALUE"""),67.983)</f>
        <v>67.983000000000004</v>
      </c>
      <c r="M1851" s="2">
        <f ca="1">IFERROR(__xludf.DUMMYFUNCTION("""COMPUTED_VALUE"""),17.312)</f>
        <v>17.312000000000001</v>
      </c>
      <c r="U1851" s="3" t="e">
        <f ca="1"/>
        <v>#NAME?</v>
      </c>
    </row>
    <row r="1852" spans="3:21" ht="12.5" x14ac:dyDescent="0.25">
      <c r="C1852" s="4">
        <f ca="1">IFERROR(__xludf.DUMMYFUNCTION("""COMPUTED_VALUE"""),42202.9986111111)</f>
        <v>42202.998611111099</v>
      </c>
      <c r="D1852" s="2">
        <f ca="1">IFERROR(__xludf.DUMMYFUNCTION("""COMPUTED_VALUE"""),63.46)</f>
        <v>63.46</v>
      </c>
      <c r="E1852" s="2">
        <f ca="1">IFERROR(__xludf.DUMMYFUNCTION("""COMPUTED_VALUE"""),73.652)</f>
        <v>73.652000000000001</v>
      </c>
      <c r="F1852" s="2">
        <f ca="1">IFERROR(__xludf.DUMMYFUNCTION("""COMPUTED_VALUE"""),99.249)</f>
        <v>99.248999999999995</v>
      </c>
      <c r="G1852" s="2">
        <f ca="1">IFERROR(__xludf.DUMMYFUNCTION("""COMPUTED_VALUE"""),0.56809)</f>
        <v>0.56808999999999998</v>
      </c>
      <c r="H1852" s="2">
        <f ca="1">IFERROR(__xludf.DUMMYFUNCTION("""COMPUTED_VALUE"""),48.33)</f>
        <v>48.33</v>
      </c>
      <c r="I1852" s="2">
        <f ca="1">IFERROR(__xludf.DUMMYFUNCTION("""COMPUTED_VALUE"""),49.249)</f>
        <v>49.249000000000002</v>
      </c>
      <c r="J1852" s="2">
        <f ca="1">IFERROR(__xludf.DUMMYFUNCTION("""COMPUTED_VALUE"""),47.413)</f>
        <v>47.412999999999997</v>
      </c>
      <c r="K1852" s="2">
        <f ca="1">IFERROR(__xludf.DUMMYFUNCTION("""COMPUTED_VALUE"""),67.57)</f>
        <v>67.569999999999993</v>
      </c>
      <c r="M1852" s="2">
        <f ca="1">IFERROR(__xludf.DUMMYFUNCTION("""COMPUTED_VALUE"""),17.305)</f>
        <v>17.305</v>
      </c>
      <c r="U1852" s="3" t="e">
        <f ca="1"/>
        <v>#NAME?</v>
      </c>
    </row>
    <row r="1853" spans="3:21" ht="12.5" x14ac:dyDescent="0.25">
      <c r="C1853" s="4">
        <f ca="1">IFERROR(__xludf.DUMMYFUNCTION("""COMPUTED_VALUE"""),42203.9986111111)</f>
        <v>42203.998611111099</v>
      </c>
      <c r="D1853" s="2">
        <f ca="1">IFERROR(__xludf.DUMMYFUNCTION("""COMPUTED_VALUE"""),63.455)</f>
        <v>63.454999999999998</v>
      </c>
      <c r="E1853" s="2">
        <f ca="1">IFERROR(__xludf.DUMMYFUNCTION("""COMPUTED_VALUE"""),73.089)</f>
        <v>73.088999999999999</v>
      </c>
      <c r="F1853" s="2">
        <f ca="1">IFERROR(__xludf.DUMMYFUNCTION("""COMPUTED_VALUE"""),99.721)</f>
        <v>99.721000000000004</v>
      </c>
      <c r="G1853" s="2">
        <f ca="1">IFERROR(__xludf.DUMMYFUNCTION("""COMPUTED_VALUE"""),0.57242)</f>
        <v>0.57242000000000004</v>
      </c>
      <c r="H1853" s="2">
        <f ca="1">IFERROR(__xludf.DUMMYFUNCTION("""COMPUTED_VALUE"""),48.512)</f>
        <v>48.512</v>
      </c>
      <c r="I1853" s="2">
        <f ca="1">IFERROR(__xludf.DUMMYFUNCTION("""COMPUTED_VALUE"""),48.933)</f>
        <v>48.933</v>
      </c>
      <c r="J1853" s="2">
        <f ca="1">IFERROR(__xludf.DUMMYFUNCTION("""COMPUTED_VALUE"""),47.583)</f>
        <v>47.582999999999998</v>
      </c>
      <c r="K1853" s="2">
        <f ca="1">IFERROR(__xludf.DUMMYFUNCTION("""COMPUTED_VALUE"""),67.458)</f>
        <v>67.457999999999998</v>
      </c>
      <c r="M1853" s="2">
        <f ca="1">IFERROR(__xludf.DUMMYFUNCTION("""COMPUTED_VALUE"""),17.289)</f>
        <v>17.289000000000001</v>
      </c>
      <c r="U1853" s="3" t="e">
        <f ca="1"/>
        <v>#NAME?</v>
      </c>
    </row>
    <row r="1854" spans="3:21" ht="12.5" x14ac:dyDescent="0.25">
      <c r="C1854" s="4">
        <f ca="1">IFERROR(__xludf.DUMMYFUNCTION("""COMPUTED_VALUE"""),42204.9986111111)</f>
        <v>42204.998611111099</v>
      </c>
      <c r="D1854" s="2">
        <f ca="1">IFERROR(__xludf.DUMMYFUNCTION("""COMPUTED_VALUE"""),63.484)</f>
        <v>63.484000000000002</v>
      </c>
      <c r="E1854" s="2">
        <f ca="1">IFERROR(__xludf.DUMMYFUNCTION("""COMPUTED_VALUE"""),72.153)</f>
        <v>72.153000000000006</v>
      </c>
      <c r="F1854" s="2">
        <f ca="1">IFERROR(__xludf.DUMMYFUNCTION("""COMPUTED_VALUE"""),99.756)</f>
        <v>99.756</v>
      </c>
      <c r="G1854" s="2">
        <f ca="1">IFERROR(__xludf.DUMMYFUNCTION("""COMPUTED_VALUE"""),0.57181)</f>
        <v>0.57181000000000004</v>
      </c>
      <c r="H1854" s="2">
        <f ca="1">IFERROR(__xludf.DUMMYFUNCTION("""COMPUTED_VALUE"""),47.439)</f>
        <v>47.439</v>
      </c>
      <c r="I1854" s="2">
        <f ca="1">IFERROR(__xludf.DUMMYFUNCTION("""COMPUTED_VALUE"""),47.889)</f>
        <v>47.889000000000003</v>
      </c>
      <c r="J1854" s="2">
        <f ca="1">IFERROR(__xludf.DUMMYFUNCTION("""COMPUTED_VALUE"""),47.535)</f>
        <v>47.534999999999997</v>
      </c>
      <c r="K1854" s="2">
        <f ca="1">IFERROR(__xludf.DUMMYFUNCTION("""COMPUTED_VALUE"""),67.494)</f>
        <v>67.494</v>
      </c>
      <c r="M1854" s="2">
        <f ca="1">IFERROR(__xludf.DUMMYFUNCTION("""COMPUTED_VALUE"""),17.275)</f>
        <v>17.274999999999999</v>
      </c>
      <c r="U1854" s="3" t="e">
        <f ca="1"/>
        <v>#NAME?</v>
      </c>
    </row>
    <row r="1855" spans="3:21" ht="12.5" x14ac:dyDescent="0.25">
      <c r="C1855" s="4">
        <f ca="1">IFERROR(__xludf.DUMMYFUNCTION("""COMPUTED_VALUE"""),42205.9986111111)</f>
        <v>42205.998611111099</v>
      </c>
      <c r="D1855" s="2">
        <f ca="1">IFERROR(__xludf.DUMMYFUNCTION("""COMPUTED_VALUE"""),63.625)</f>
        <v>63.625</v>
      </c>
      <c r="E1855" s="2">
        <f ca="1">IFERROR(__xludf.DUMMYFUNCTION("""COMPUTED_VALUE"""),71.987)</f>
        <v>71.986999999999995</v>
      </c>
      <c r="F1855" s="2">
        <f ca="1">IFERROR(__xludf.DUMMYFUNCTION("""COMPUTED_VALUE"""),99.892)</f>
        <v>99.891999999999996</v>
      </c>
      <c r="G1855" s="2">
        <f ca="1">IFERROR(__xludf.DUMMYFUNCTION("""COMPUTED_VALUE"""),0.57476)</f>
        <v>0.57476000000000005</v>
      </c>
      <c r="H1855" s="2">
        <f ca="1">IFERROR(__xludf.DUMMYFUNCTION("""COMPUTED_VALUE"""),48.606)</f>
        <v>48.606000000000002</v>
      </c>
      <c r="I1855" s="2">
        <f ca="1">IFERROR(__xludf.DUMMYFUNCTION("""COMPUTED_VALUE"""),48.807)</f>
        <v>48.807000000000002</v>
      </c>
      <c r="J1855" s="2">
        <f ca="1">IFERROR(__xludf.DUMMYFUNCTION("""COMPUTED_VALUE"""),46.638)</f>
        <v>46.637999999999998</v>
      </c>
      <c r="K1855" s="2">
        <f ca="1">IFERROR(__xludf.DUMMYFUNCTION("""COMPUTED_VALUE"""),67.631)</f>
        <v>67.631</v>
      </c>
      <c r="M1855" s="2">
        <f ca="1">IFERROR(__xludf.DUMMYFUNCTION("""COMPUTED_VALUE"""),17.347)</f>
        <v>17.347000000000001</v>
      </c>
      <c r="U1855" s="3" t="e">
        <f ca="1"/>
        <v>#NAME?</v>
      </c>
    </row>
    <row r="1856" spans="3:21" ht="12.5" x14ac:dyDescent="0.25">
      <c r="C1856" s="4">
        <f ca="1">IFERROR(__xludf.DUMMYFUNCTION("""COMPUTED_VALUE"""),42206.9986111111)</f>
        <v>42206.998611111099</v>
      </c>
      <c r="D1856" s="2">
        <f ca="1">IFERROR(__xludf.DUMMYFUNCTION("""COMPUTED_VALUE"""),63.583)</f>
        <v>63.582999999999998</v>
      </c>
      <c r="E1856" s="2">
        <f ca="1">IFERROR(__xludf.DUMMYFUNCTION("""COMPUTED_VALUE"""),71.906)</f>
        <v>71.906000000000006</v>
      </c>
      <c r="F1856" s="2">
        <f ca="1">IFERROR(__xludf.DUMMYFUNCTION("""COMPUTED_VALUE"""),100.4)</f>
        <v>100.4</v>
      </c>
      <c r="G1856" s="2">
        <f ca="1">IFERROR(__xludf.DUMMYFUNCTION("""COMPUTED_VALUE"""),0.57194)</f>
        <v>0.57194</v>
      </c>
      <c r="H1856" s="2">
        <f ca="1">IFERROR(__xludf.DUMMYFUNCTION("""COMPUTED_VALUE"""),48.121)</f>
        <v>48.121000000000002</v>
      </c>
      <c r="I1856" s="2">
        <f ca="1">IFERROR(__xludf.DUMMYFUNCTION("""COMPUTED_VALUE"""),48.684)</f>
        <v>48.683999999999997</v>
      </c>
      <c r="J1856" s="2">
        <f ca="1">IFERROR(__xludf.DUMMYFUNCTION("""COMPUTED_VALUE"""),47.573)</f>
        <v>47.573</v>
      </c>
      <c r="K1856" s="2">
        <f ca="1">IFERROR(__xludf.DUMMYFUNCTION("""COMPUTED_VALUE"""),67.5)</f>
        <v>67.5</v>
      </c>
      <c r="M1856" s="2">
        <f ca="1">IFERROR(__xludf.DUMMYFUNCTION("""COMPUTED_VALUE"""),17.3)</f>
        <v>17.3</v>
      </c>
      <c r="U1856" s="3" t="e">
        <f ca="1"/>
        <v>#NAME?</v>
      </c>
    </row>
    <row r="1857" spans="3:21" ht="12.5" x14ac:dyDescent="0.25">
      <c r="C1857" s="4">
        <f ca="1">IFERROR(__xludf.DUMMYFUNCTION("""COMPUTED_VALUE"""),42207.9986111111)</f>
        <v>42207.998611111099</v>
      </c>
      <c r="D1857" s="2">
        <f ca="1">IFERROR(__xludf.DUMMYFUNCTION("""COMPUTED_VALUE"""),63.664)</f>
        <v>63.664000000000001</v>
      </c>
      <c r="E1857" s="2">
        <f ca="1">IFERROR(__xludf.DUMMYFUNCTION("""COMPUTED_VALUE"""),72.231)</f>
        <v>72.230999999999995</v>
      </c>
      <c r="F1857" s="2">
        <f ca="1">IFERROR(__xludf.DUMMYFUNCTION("""COMPUTED_VALUE"""),101.33)</f>
        <v>101.33</v>
      </c>
      <c r="G1857" s="2">
        <f ca="1">IFERROR(__xludf.DUMMYFUNCTION("""COMPUTED_VALUE"""),0.55673)</f>
        <v>0.55672999999999995</v>
      </c>
      <c r="H1857" s="2">
        <f ca="1">IFERROR(__xludf.DUMMYFUNCTION("""COMPUTED_VALUE"""),47.818)</f>
        <v>47.817999999999998</v>
      </c>
      <c r="I1857" s="2">
        <f ca="1">IFERROR(__xludf.DUMMYFUNCTION("""COMPUTED_VALUE"""),48.108)</f>
        <v>48.107999999999997</v>
      </c>
      <c r="J1857" s="2">
        <f ca="1">IFERROR(__xludf.DUMMYFUNCTION("""COMPUTED_VALUE"""),47.553)</f>
        <v>47.552999999999997</v>
      </c>
      <c r="K1857" s="2">
        <f ca="1">IFERROR(__xludf.DUMMYFUNCTION("""COMPUTED_VALUE"""),67.901)</f>
        <v>67.900999999999996</v>
      </c>
      <c r="M1857" s="2">
        <f ca="1">IFERROR(__xludf.DUMMYFUNCTION("""COMPUTED_VALUE"""),17.303)</f>
        <v>17.303000000000001</v>
      </c>
      <c r="U1857" s="3" t="e">
        <f ca="1"/>
        <v>#NAME?</v>
      </c>
    </row>
    <row r="1858" spans="3:21" ht="12.5" x14ac:dyDescent="0.25">
      <c r="C1858" s="4">
        <f ca="1">IFERROR(__xludf.DUMMYFUNCTION("""COMPUTED_VALUE"""),42208.9986111111)</f>
        <v>42208.998611111099</v>
      </c>
      <c r="D1858" s="2">
        <f ca="1">IFERROR(__xludf.DUMMYFUNCTION("""COMPUTED_VALUE"""),63.848)</f>
        <v>63.847999999999999</v>
      </c>
      <c r="E1858" s="2">
        <f ca="1">IFERROR(__xludf.DUMMYFUNCTION("""COMPUTED_VALUE"""),72.458)</f>
        <v>72.457999999999998</v>
      </c>
      <c r="F1858" s="2">
        <f ca="1">IFERROR(__xludf.DUMMYFUNCTION("""COMPUTED_VALUE"""),101.04)</f>
        <v>101.04</v>
      </c>
      <c r="G1858" s="2">
        <f ca="1">IFERROR(__xludf.DUMMYFUNCTION("""COMPUTED_VALUE"""),0.56113)</f>
        <v>0.56113000000000002</v>
      </c>
      <c r="H1858" s="2">
        <f ca="1">IFERROR(__xludf.DUMMYFUNCTION("""COMPUTED_VALUE"""),47.315)</f>
        <v>47.314999999999998</v>
      </c>
      <c r="I1858" s="2">
        <f ca="1">IFERROR(__xludf.DUMMYFUNCTION("""COMPUTED_VALUE"""),47.667)</f>
        <v>47.667000000000002</v>
      </c>
      <c r="J1858" s="2">
        <f ca="1">IFERROR(__xludf.DUMMYFUNCTION("""COMPUTED_VALUE"""),47.041)</f>
        <v>47.040999999999997</v>
      </c>
      <c r="K1858" s="2">
        <f ca="1">IFERROR(__xludf.DUMMYFUNCTION("""COMPUTED_VALUE"""),67.805)</f>
        <v>67.805000000000007</v>
      </c>
      <c r="M1858" s="2">
        <f ca="1">IFERROR(__xludf.DUMMYFUNCTION("""COMPUTED_VALUE"""),17.25)</f>
        <v>17.25</v>
      </c>
      <c r="U1858" s="3" t="e">
        <f ca="1"/>
        <v>#NAME?</v>
      </c>
    </row>
    <row r="1859" spans="3:21" ht="12.5" x14ac:dyDescent="0.25">
      <c r="C1859" s="4">
        <f ca="1">IFERROR(__xludf.DUMMYFUNCTION("""COMPUTED_VALUE"""),42209.9986111111)</f>
        <v>42209.998611111099</v>
      </c>
      <c r="D1859" s="2">
        <f ca="1">IFERROR(__xludf.DUMMYFUNCTION("""COMPUTED_VALUE"""),64.1)</f>
        <v>64.099999999999994</v>
      </c>
      <c r="E1859" s="2">
        <f ca="1">IFERROR(__xludf.DUMMYFUNCTION("""COMPUTED_VALUE"""),72.092)</f>
        <v>72.091999999999999</v>
      </c>
      <c r="F1859" s="2">
        <f ca="1">IFERROR(__xludf.DUMMYFUNCTION("""COMPUTED_VALUE"""),100.81)</f>
        <v>100.81</v>
      </c>
      <c r="G1859" s="2">
        <f ca="1">IFERROR(__xludf.DUMMYFUNCTION("""COMPUTED_VALUE"""),0.5666)</f>
        <v>0.56659999999999999</v>
      </c>
      <c r="H1859" s="2">
        <f ca="1">IFERROR(__xludf.DUMMYFUNCTION("""COMPUTED_VALUE"""),47.456)</f>
        <v>47.456000000000003</v>
      </c>
      <c r="I1859" s="2">
        <f ca="1">IFERROR(__xludf.DUMMYFUNCTION("""COMPUTED_VALUE"""),47.408)</f>
        <v>47.408000000000001</v>
      </c>
      <c r="J1859" s="2">
        <f ca="1">IFERROR(__xludf.DUMMYFUNCTION("""COMPUTED_VALUE"""),46.821)</f>
        <v>46.820999999999998</v>
      </c>
      <c r="K1859" s="2">
        <f ca="1">IFERROR(__xludf.DUMMYFUNCTION("""COMPUTED_VALUE"""),67.197)</f>
        <v>67.197000000000003</v>
      </c>
      <c r="M1859" s="2">
        <f ca="1">IFERROR(__xludf.DUMMYFUNCTION("""COMPUTED_VALUE"""),17.264)</f>
        <v>17.263999999999999</v>
      </c>
      <c r="U1859" s="3" t="e">
        <f ca="1"/>
        <v>#NAME?</v>
      </c>
    </row>
    <row r="1860" spans="3:21" ht="12.5" x14ac:dyDescent="0.25">
      <c r="C1860" s="4">
        <f ca="1">IFERROR(__xludf.DUMMYFUNCTION("""COMPUTED_VALUE"""),42210.9986111111)</f>
        <v>42210.998611111099</v>
      </c>
      <c r="D1860" s="2">
        <f ca="1">IFERROR(__xludf.DUMMYFUNCTION("""COMPUTED_VALUE"""),64.101)</f>
        <v>64.100999999999999</v>
      </c>
      <c r="E1860" s="2">
        <f ca="1">IFERROR(__xludf.DUMMYFUNCTION("""COMPUTED_VALUE"""),71.2702)</f>
        <v>71.270200000000003</v>
      </c>
      <c r="F1860" s="2">
        <f ca="1">IFERROR(__xludf.DUMMYFUNCTION("""COMPUTED_VALUE"""),100.807)</f>
        <v>100.807</v>
      </c>
      <c r="G1860" s="2">
        <f ca="1">IFERROR(__xludf.DUMMYFUNCTION("""COMPUTED_VALUE"""),0.57438)</f>
        <v>0.57438</v>
      </c>
      <c r="H1860" s="2">
        <f ca="1">IFERROR(__xludf.DUMMYFUNCTION("""COMPUTED_VALUE"""),47.636)</f>
        <v>47.636000000000003</v>
      </c>
      <c r="I1860" s="2">
        <f ca="1">IFERROR(__xludf.DUMMYFUNCTION("""COMPUTED_VALUE"""),47.448)</f>
        <v>47.448</v>
      </c>
      <c r="J1860" s="2">
        <f ca="1">IFERROR(__xludf.DUMMYFUNCTION("""COMPUTED_VALUE"""),46.84)</f>
        <v>46.84</v>
      </c>
      <c r="K1860" s="2">
        <f ca="1">IFERROR(__xludf.DUMMYFUNCTION("""COMPUTED_VALUE"""),67.131)</f>
        <v>67.131</v>
      </c>
      <c r="M1860" s="2">
        <f ca="1">IFERROR(__xludf.DUMMYFUNCTION("""COMPUTED_VALUE"""),17.226)</f>
        <v>17.225999999999999</v>
      </c>
      <c r="U1860" s="3" t="e">
        <f ca="1"/>
        <v>#NAME?</v>
      </c>
    </row>
    <row r="1861" spans="3:21" ht="12.5" x14ac:dyDescent="0.25">
      <c r="C1861" s="4">
        <f ca="1">IFERROR(__xludf.DUMMYFUNCTION("""COMPUTED_VALUE"""),42212.9986111111)</f>
        <v>42212.998611111099</v>
      </c>
      <c r="D1861" s="2">
        <f ca="1">IFERROR(__xludf.DUMMYFUNCTION("""COMPUTED_VALUE"""),64.217)</f>
        <v>64.216999999999999</v>
      </c>
      <c r="E1861" s="2">
        <f ca="1">IFERROR(__xludf.DUMMYFUNCTION("""COMPUTED_VALUE"""),71.2702)</f>
        <v>71.270200000000003</v>
      </c>
      <c r="F1861" s="2">
        <f ca="1">IFERROR(__xludf.DUMMYFUNCTION("""COMPUTED_VALUE"""),100.5)</f>
        <v>100.5</v>
      </c>
      <c r="G1861" s="2">
        <f ca="1">IFERROR(__xludf.DUMMYFUNCTION("""COMPUTED_VALUE"""),0.57751)</f>
        <v>0.57750999999999997</v>
      </c>
      <c r="H1861" s="2">
        <f ca="1">IFERROR(__xludf.DUMMYFUNCTION("""COMPUTED_VALUE"""),47.846)</f>
        <v>47.845999999999997</v>
      </c>
      <c r="I1861" s="2">
        <f ca="1">IFERROR(__xludf.DUMMYFUNCTION("""COMPUTED_VALUE"""),47.541)</f>
        <v>47.540999999999997</v>
      </c>
      <c r="J1861" s="2">
        <f ca="1">IFERROR(__xludf.DUMMYFUNCTION("""COMPUTED_VALUE"""),47.027)</f>
        <v>47.027000000000001</v>
      </c>
      <c r="K1861" s="2">
        <f ca="1">IFERROR(__xludf.DUMMYFUNCTION("""COMPUTED_VALUE"""),67.203)</f>
        <v>67.203000000000003</v>
      </c>
      <c r="M1861" s="2">
        <f ca="1">IFERROR(__xludf.DUMMYFUNCTION("""COMPUTED_VALUE"""),17.289)</f>
        <v>17.289000000000001</v>
      </c>
      <c r="U1861" s="3" t="e">
        <f ca="1"/>
        <v>#NAME?</v>
      </c>
    </row>
    <row r="1862" spans="3:21" ht="12.5" x14ac:dyDescent="0.25">
      <c r="C1862" s="4">
        <f ca="1">IFERROR(__xludf.DUMMYFUNCTION("""COMPUTED_VALUE"""),42213.9986111111)</f>
        <v>42213.998611111099</v>
      </c>
      <c r="D1862" s="2">
        <f ca="1">IFERROR(__xludf.DUMMYFUNCTION("""COMPUTED_VALUE"""),63.839)</f>
        <v>63.838999999999999</v>
      </c>
      <c r="E1862" s="2">
        <f ca="1">IFERROR(__xludf.DUMMYFUNCTION("""COMPUTED_VALUE"""),72.508)</f>
        <v>72.507999999999996</v>
      </c>
      <c r="F1862" s="2">
        <f ca="1">IFERROR(__xludf.DUMMYFUNCTION("""COMPUTED_VALUE"""),100.06)</f>
        <v>100.06</v>
      </c>
      <c r="G1862" s="2">
        <f ca="1">IFERROR(__xludf.DUMMYFUNCTION("""COMPUTED_VALUE"""),0.5796)</f>
        <v>0.5796</v>
      </c>
      <c r="H1862" s="2">
        <f ca="1">IFERROR(__xludf.DUMMYFUNCTION("""COMPUTED_VALUE"""),47.797)</f>
        <v>47.796999999999997</v>
      </c>
      <c r="I1862" s="2">
        <f ca="1">IFERROR(__xludf.DUMMYFUNCTION("""COMPUTED_VALUE"""),47.708)</f>
        <v>47.707999999999998</v>
      </c>
      <c r="J1862" s="2">
        <f ca="1">IFERROR(__xludf.DUMMYFUNCTION("""COMPUTED_VALUE"""),47.132)</f>
        <v>47.131999999999998</v>
      </c>
      <c r="K1862" s="2">
        <f ca="1">IFERROR(__xludf.DUMMYFUNCTION("""COMPUTED_VALUE"""),66.679)</f>
        <v>66.679000000000002</v>
      </c>
      <c r="M1862" s="2">
        <f ca="1">IFERROR(__xludf.DUMMYFUNCTION("""COMPUTED_VALUE"""),17.276)</f>
        <v>17.276</v>
      </c>
      <c r="U1862" s="3" t="e">
        <f ca="1"/>
        <v>#NAME?</v>
      </c>
    </row>
    <row r="1863" spans="3:21" ht="12.5" x14ac:dyDescent="0.25">
      <c r="C1863" s="4">
        <f ca="1">IFERROR(__xludf.DUMMYFUNCTION("""COMPUTED_VALUE"""),42214.9986111111)</f>
        <v>42214.998611111099</v>
      </c>
      <c r="D1863" s="2">
        <f ca="1">IFERROR(__xludf.DUMMYFUNCTION("""COMPUTED_VALUE"""),63.883)</f>
        <v>63.883000000000003</v>
      </c>
      <c r="E1863" s="2">
        <f ca="1">IFERROR(__xludf.DUMMYFUNCTION("""COMPUTED_VALUE"""),72.321)</f>
        <v>72.320999999999998</v>
      </c>
      <c r="F1863" s="2">
        <f ca="1">IFERROR(__xludf.DUMMYFUNCTION("""COMPUTED_VALUE"""),99.827)</f>
        <v>99.826999999999998</v>
      </c>
      <c r="G1863" s="2">
        <f ca="1">IFERROR(__xludf.DUMMYFUNCTION("""COMPUTED_VALUE"""),0.5796)</f>
        <v>0.5796</v>
      </c>
      <c r="H1863" s="2">
        <f ca="1">IFERROR(__xludf.DUMMYFUNCTION("""COMPUTED_VALUE"""),47.93)</f>
        <v>47.93</v>
      </c>
      <c r="I1863" s="2">
        <f ca="1">IFERROR(__xludf.DUMMYFUNCTION("""COMPUTED_VALUE"""),47.665)</f>
        <v>47.664999999999999</v>
      </c>
      <c r="J1863" s="2">
        <f ca="1">IFERROR(__xludf.DUMMYFUNCTION("""COMPUTED_VALUE"""),47.042)</f>
        <v>47.042000000000002</v>
      </c>
      <c r="K1863" s="2">
        <f ca="1">IFERROR(__xludf.DUMMYFUNCTION("""COMPUTED_VALUE"""),67.298)</f>
        <v>67.298000000000002</v>
      </c>
      <c r="M1863" s="2">
        <f ca="1">IFERROR(__xludf.DUMMYFUNCTION("""COMPUTED_VALUE"""),17.248)</f>
        <v>17.248000000000001</v>
      </c>
      <c r="U1863" s="3" t="e">
        <f ca="1"/>
        <v>#NAME?</v>
      </c>
    </row>
    <row r="1864" spans="3:21" ht="12.5" x14ac:dyDescent="0.25">
      <c r="C1864" s="4">
        <f ca="1">IFERROR(__xludf.DUMMYFUNCTION("""COMPUTED_VALUE"""),42215.9986111111)</f>
        <v>42215.998611111099</v>
      </c>
      <c r="D1864" s="2">
        <f ca="1">IFERROR(__xludf.DUMMYFUNCTION("""COMPUTED_VALUE"""),64.118)</f>
        <v>64.117999999999995</v>
      </c>
      <c r="E1864" s="2">
        <f ca="1">IFERROR(__xludf.DUMMYFUNCTION("""COMPUTED_VALUE"""),72.59)</f>
        <v>72.59</v>
      </c>
      <c r="F1864" s="2">
        <f ca="1">IFERROR(__xludf.DUMMYFUNCTION("""COMPUTED_VALUE"""),100.01)</f>
        <v>100.01</v>
      </c>
      <c r="G1864" s="2">
        <f ca="1">IFERROR(__xludf.DUMMYFUNCTION("""COMPUTED_VALUE"""),0.58792)</f>
        <v>0.58792</v>
      </c>
      <c r="H1864" s="2">
        <f ca="1">IFERROR(__xludf.DUMMYFUNCTION("""COMPUTED_VALUE"""),47.992)</f>
        <v>47.991999999999997</v>
      </c>
      <c r="I1864" s="2">
        <f ca="1">IFERROR(__xludf.DUMMYFUNCTION("""COMPUTED_VALUE"""),47.716)</f>
        <v>47.716000000000001</v>
      </c>
      <c r="J1864" s="2">
        <f ca="1">IFERROR(__xludf.DUMMYFUNCTION("""COMPUTED_VALUE"""),46.905)</f>
        <v>46.905000000000001</v>
      </c>
      <c r="K1864" s="2">
        <f ca="1">IFERROR(__xludf.DUMMYFUNCTION("""COMPUTED_VALUE"""),66.648)</f>
        <v>66.647999999999996</v>
      </c>
      <c r="M1864" s="2">
        <f ca="1">IFERROR(__xludf.DUMMYFUNCTION("""COMPUTED_VALUE"""),17.245)</f>
        <v>17.245000000000001</v>
      </c>
      <c r="U1864" s="3" t="e">
        <f ca="1"/>
        <v>#NAME?</v>
      </c>
    </row>
    <row r="1865" spans="3:21" ht="12.5" x14ac:dyDescent="0.25">
      <c r="C1865" s="4">
        <f ca="1">IFERROR(__xludf.DUMMYFUNCTION("""COMPUTED_VALUE"""),42216.9986111111)</f>
        <v>42216.998611111099</v>
      </c>
      <c r="D1865" s="2">
        <f ca="1">IFERROR(__xludf.DUMMYFUNCTION("""COMPUTED_VALUE"""),63.98)</f>
        <v>63.98</v>
      </c>
      <c r="E1865" s="2">
        <f ca="1">IFERROR(__xludf.DUMMYFUNCTION("""COMPUTED_VALUE"""),71.0666)</f>
        <v>71.066599999999994</v>
      </c>
      <c r="F1865" s="2">
        <f ca="1">IFERROR(__xludf.DUMMYFUNCTION("""COMPUTED_VALUE"""),100.02)</f>
        <v>100.02</v>
      </c>
      <c r="G1865" s="2">
        <f ca="1">IFERROR(__xludf.DUMMYFUNCTION("""COMPUTED_VALUE"""),0.58897)</f>
        <v>0.58896999999999999</v>
      </c>
      <c r="H1865" s="2">
        <f ca="1">IFERROR(__xludf.DUMMYFUNCTION("""COMPUTED_VALUE"""),47.947)</f>
        <v>47.947000000000003</v>
      </c>
      <c r="I1865" s="2">
        <f ca="1">IFERROR(__xludf.DUMMYFUNCTION("""COMPUTED_VALUE"""),47.552)</f>
        <v>47.552</v>
      </c>
      <c r="J1865" s="2">
        <f ca="1">IFERROR(__xludf.DUMMYFUNCTION("""COMPUTED_VALUE"""),46.885)</f>
        <v>46.884999999999998</v>
      </c>
      <c r="K1865" s="2">
        <f ca="1">IFERROR(__xludf.DUMMYFUNCTION("""COMPUTED_VALUE"""),67.18)</f>
        <v>67.180000000000007</v>
      </c>
      <c r="M1865" s="2">
        <f ca="1">IFERROR(__xludf.DUMMYFUNCTION("""COMPUTED_VALUE"""),17.274)</f>
        <v>17.274000000000001</v>
      </c>
      <c r="U1865" s="3" t="e">
        <f ca="1"/>
        <v>#NAME?</v>
      </c>
    </row>
    <row r="1866" spans="3:21" ht="12.5" x14ac:dyDescent="0.25">
      <c r="C1866" s="4">
        <f ca="1">IFERROR(__xludf.DUMMYFUNCTION("""COMPUTED_VALUE"""),42217.9986111111)</f>
        <v>42217.998611111099</v>
      </c>
      <c r="D1866" s="2">
        <f ca="1">IFERROR(__xludf.DUMMYFUNCTION("""COMPUTED_VALUE"""),63.979)</f>
        <v>63.978999999999999</v>
      </c>
      <c r="E1866" s="2">
        <f ca="1">IFERROR(__xludf.DUMMYFUNCTION("""COMPUTED_VALUE"""),71.0666)</f>
        <v>71.066599999999994</v>
      </c>
      <c r="F1866" s="2">
        <f ca="1">IFERROR(__xludf.DUMMYFUNCTION("""COMPUTED_VALUE"""),100.23)</f>
        <v>100.23</v>
      </c>
      <c r="G1866" s="2">
        <f ca="1">IFERROR(__xludf.DUMMYFUNCTION("""COMPUTED_VALUE"""),0.59884)</f>
        <v>0.59884000000000004</v>
      </c>
      <c r="H1866" s="2">
        <f ca="1">IFERROR(__xludf.DUMMYFUNCTION("""COMPUTED_VALUE"""),48.248)</f>
        <v>48.247999999999998</v>
      </c>
      <c r="I1866" s="2">
        <f ca="1">IFERROR(__xludf.DUMMYFUNCTION("""COMPUTED_VALUE"""),47.838)</f>
        <v>47.838000000000001</v>
      </c>
      <c r="J1866" s="2">
        <f ca="1">IFERROR(__xludf.DUMMYFUNCTION("""COMPUTED_VALUE"""),46.947)</f>
        <v>46.947000000000003</v>
      </c>
      <c r="K1866" s="2">
        <f ca="1">IFERROR(__xludf.DUMMYFUNCTION("""COMPUTED_VALUE"""),67.29)</f>
        <v>67.290000000000006</v>
      </c>
      <c r="M1866" s="2">
        <f ca="1">IFERROR(__xludf.DUMMYFUNCTION("""COMPUTED_VALUE"""),17.243)</f>
        <v>17.242999999999999</v>
      </c>
      <c r="U1866" s="3" t="e">
        <f ca="1"/>
        <v>#NAME?</v>
      </c>
    </row>
    <row r="1867" spans="3:21" ht="12.5" x14ac:dyDescent="0.25">
      <c r="C1867" s="4">
        <f ca="1">IFERROR(__xludf.DUMMYFUNCTION("""COMPUTED_VALUE"""),42218.9986111111)</f>
        <v>42218.998611111099</v>
      </c>
      <c r="D1867" s="2">
        <f ca="1">IFERROR(__xludf.DUMMYFUNCTION("""COMPUTED_VALUE"""),63.979)</f>
        <v>63.978999999999999</v>
      </c>
      <c r="E1867" s="2">
        <f ca="1">IFERROR(__xludf.DUMMYFUNCTION("""COMPUTED_VALUE"""),72.027)</f>
        <v>72.027000000000001</v>
      </c>
      <c r="F1867" s="2">
        <f ca="1">IFERROR(__xludf.DUMMYFUNCTION("""COMPUTED_VALUE"""),99.864)</f>
        <v>99.864000000000004</v>
      </c>
      <c r="G1867" s="2">
        <f ca="1">IFERROR(__xludf.DUMMYFUNCTION("""COMPUTED_VALUE"""),0.60812)</f>
        <v>0.60811999999999999</v>
      </c>
      <c r="H1867" s="2">
        <f ca="1">IFERROR(__xludf.DUMMYFUNCTION("""COMPUTED_VALUE"""),48.343)</f>
        <v>48.343000000000004</v>
      </c>
      <c r="I1867" s="2">
        <f ca="1">IFERROR(__xludf.DUMMYFUNCTION("""COMPUTED_VALUE"""),47.86)</f>
        <v>47.86</v>
      </c>
      <c r="J1867" s="2">
        <f ca="1">IFERROR(__xludf.DUMMYFUNCTION("""COMPUTED_VALUE"""),46.865)</f>
        <v>46.865000000000002</v>
      </c>
      <c r="K1867" s="2">
        <f ca="1">IFERROR(__xludf.DUMMYFUNCTION("""COMPUTED_VALUE"""),67.246)</f>
        <v>67.245999999999995</v>
      </c>
      <c r="M1867" s="2">
        <f ca="1">IFERROR(__xludf.DUMMYFUNCTION("""COMPUTED_VALUE"""),17.288)</f>
        <v>17.288</v>
      </c>
      <c r="U1867" s="3" t="e">
        <f ca="1"/>
        <v>#NAME?</v>
      </c>
    </row>
    <row r="1868" spans="3:21" ht="12.5" x14ac:dyDescent="0.25">
      <c r="C1868" s="4">
        <f ca="1">IFERROR(__xludf.DUMMYFUNCTION("""COMPUTED_VALUE"""),42219.9986111111)</f>
        <v>42219.998611111099</v>
      </c>
      <c r="D1868" s="2">
        <f ca="1">IFERROR(__xludf.DUMMYFUNCTION("""COMPUTED_VALUE"""),64.124)</f>
        <v>64.123999999999995</v>
      </c>
      <c r="E1868" s="2">
        <f ca="1">IFERROR(__xludf.DUMMYFUNCTION("""COMPUTED_VALUE"""),71.444)</f>
        <v>71.444000000000003</v>
      </c>
      <c r="F1868" s="2">
        <f ca="1">IFERROR(__xludf.DUMMYFUNCTION("""COMPUTED_VALUE"""),99.195)</f>
        <v>99.194999999999993</v>
      </c>
      <c r="G1868" s="2">
        <f ca="1">IFERROR(__xludf.DUMMYFUNCTION("""COMPUTED_VALUE"""),0.60122)</f>
        <v>0.60121999999999998</v>
      </c>
      <c r="H1868" s="2">
        <f ca="1">IFERROR(__xludf.DUMMYFUNCTION("""COMPUTED_VALUE"""),48.181)</f>
        <v>48.180999999999997</v>
      </c>
      <c r="I1868" s="2">
        <f ca="1">IFERROR(__xludf.DUMMYFUNCTION("""COMPUTED_VALUE"""),47.579)</f>
        <v>47.579000000000001</v>
      </c>
      <c r="J1868" s="2">
        <f ca="1">IFERROR(__xludf.DUMMYFUNCTION("""COMPUTED_VALUE"""),46.922)</f>
        <v>46.921999999999997</v>
      </c>
      <c r="K1868" s="2">
        <f ca="1">IFERROR(__xludf.DUMMYFUNCTION("""COMPUTED_VALUE"""),67.214)</f>
        <v>67.213999999999999</v>
      </c>
      <c r="M1868" s="2">
        <f ca="1">IFERROR(__xludf.DUMMYFUNCTION("""COMPUTED_VALUE"""),17.287)</f>
        <v>17.286999999999999</v>
      </c>
      <c r="U1868" s="3" t="e">
        <f ca="1"/>
        <v>#NAME?</v>
      </c>
    </row>
    <row r="1869" spans="3:21" ht="12.5" x14ac:dyDescent="0.25">
      <c r="C1869" s="4">
        <f ca="1">IFERROR(__xludf.DUMMYFUNCTION("""COMPUTED_VALUE"""),42220.9986111111)</f>
        <v>42220.998611111099</v>
      </c>
      <c r="D1869" s="2">
        <f ca="1">IFERROR(__xludf.DUMMYFUNCTION("""COMPUTED_VALUE"""),63.819)</f>
        <v>63.819000000000003</v>
      </c>
      <c r="E1869" s="2">
        <f ca="1">IFERROR(__xludf.DUMMYFUNCTION("""COMPUTED_VALUE"""),71.83)</f>
        <v>71.83</v>
      </c>
      <c r="F1869" s="2">
        <f ca="1">IFERROR(__xludf.DUMMYFUNCTION("""COMPUTED_VALUE"""),98.921)</f>
        <v>98.921000000000006</v>
      </c>
      <c r="G1869" s="2">
        <f ca="1">IFERROR(__xludf.DUMMYFUNCTION("""COMPUTED_VALUE"""),0.59579)</f>
        <v>0.59579000000000004</v>
      </c>
      <c r="H1869" s="2">
        <f ca="1">IFERROR(__xludf.DUMMYFUNCTION("""COMPUTED_VALUE"""),48.181)</f>
        <v>48.180999999999997</v>
      </c>
      <c r="I1869" s="2">
        <f ca="1">IFERROR(__xludf.DUMMYFUNCTION("""COMPUTED_VALUE"""),47.787)</f>
        <v>47.786999999999999</v>
      </c>
      <c r="J1869" s="2">
        <f ca="1">IFERROR(__xludf.DUMMYFUNCTION("""COMPUTED_VALUE"""),46.67)</f>
        <v>46.67</v>
      </c>
      <c r="K1869" s="2">
        <f ca="1">IFERROR(__xludf.DUMMYFUNCTION("""COMPUTED_VALUE"""),67.847)</f>
        <v>67.846999999999994</v>
      </c>
      <c r="M1869" s="2">
        <f ca="1">IFERROR(__xludf.DUMMYFUNCTION("""COMPUTED_VALUE"""),17.281)</f>
        <v>17.280999999999999</v>
      </c>
      <c r="U1869" s="3" t="e">
        <f ca="1"/>
        <v>#NAME?</v>
      </c>
    </row>
    <row r="1870" spans="3:21" ht="12.5" x14ac:dyDescent="0.25">
      <c r="C1870" s="4">
        <f ca="1">IFERROR(__xludf.DUMMYFUNCTION("""COMPUTED_VALUE"""),42221.9986111111)</f>
        <v>42221.998611111099</v>
      </c>
      <c r="D1870" s="2">
        <f ca="1">IFERROR(__xludf.DUMMYFUNCTION("""COMPUTED_VALUE"""),63.696)</f>
        <v>63.695999999999998</v>
      </c>
      <c r="E1870" s="2">
        <f ca="1">IFERROR(__xludf.DUMMYFUNCTION("""COMPUTED_VALUE"""),73.036)</f>
        <v>73.036000000000001</v>
      </c>
      <c r="F1870" s="2">
        <f ca="1">IFERROR(__xludf.DUMMYFUNCTION("""COMPUTED_VALUE"""),98.81)</f>
        <v>98.81</v>
      </c>
      <c r="G1870" s="2">
        <f ca="1">IFERROR(__xludf.DUMMYFUNCTION("""COMPUTED_VALUE"""),0.59543)</f>
        <v>0.59543000000000001</v>
      </c>
      <c r="H1870" s="2">
        <f ca="1">IFERROR(__xludf.DUMMYFUNCTION("""COMPUTED_VALUE"""),47.795)</f>
        <v>47.795000000000002</v>
      </c>
      <c r="I1870" s="2">
        <f ca="1">IFERROR(__xludf.DUMMYFUNCTION("""COMPUTED_VALUE"""),47.739)</f>
        <v>47.738999999999997</v>
      </c>
      <c r="J1870" s="2">
        <f ca="1">IFERROR(__xludf.DUMMYFUNCTION("""COMPUTED_VALUE"""),46.67)</f>
        <v>46.67</v>
      </c>
      <c r="K1870" s="2">
        <f ca="1">IFERROR(__xludf.DUMMYFUNCTION("""COMPUTED_VALUE"""),68.214)</f>
        <v>68.213999999999999</v>
      </c>
      <c r="M1870" s="2">
        <f ca="1">IFERROR(__xludf.DUMMYFUNCTION("""COMPUTED_VALUE"""),17.279)</f>
        <v>17.279</v>
      </c>
      <c r="U1870" s="3" t="e">
        <f ca="1"/>
        <v>#NAME?</v>
      </c>
    </row>
    <row r="1871" spans="3:21" ht="12.5" x14ac:dyDescent="0.25">
      <c r="C1871" s="4">
        <f ca="1">IFERROR(__xludf.DUMMYFUNCTION("""COMPUTED_VALUE"""),42222.9986111111)</f>
        <v>42222.998611111099</v>
      </c>
      <c r="D1871" s="2">
        <f ca="1">IFERROR(__xludf.DUMMYFUNCTION("""COMPUTED_VALUE"""),63.733)</f>
        <v>63.732999999999997</v>
      </c>
      <c r="E1871" s="2">
        <f ca="1">IFERROR(__xludf.DUMMYFUNCTION("""COMPUTED_VALUE"""),71.475)</f>
        <v>71.474999999999994</v>
      </c>
      <c r="F1871" s="2">
        <f ca="1">IFERROR(__xludf.DUMMYFUNCTION("""COMPUTED_VALUE"""),98.798)</f>
        <v>98.798000000000002</v>
      </c>
      <c r="G1871" s="2">
        <f ca="1">IFERROR(__xludf.DUMMYFUNCTION("""COMPUTED_VALUE"""),0.59995)</f>
        <v>0.59994999999999998</v>
      </c>
      <c r="H1871" s="2">
        <f ca="1">IFERROR(__xludf.DUMMYFUNCTION("""COMPUTED_VALUE"""),47.596)</f>
        <v>47.595999999999997</v>
      </c>
      <c r="I1871" s="2">
        <f ca="1">IFERROR(__xludf.DUMMYFUNCTION("""COMPUTED_VALUE"""),47.515)</f>
        <v>47.515000000000001</v>
      </c>
      <c r="J1871" s="2">
        <f ca="1">IFERROR(__xludf.DUMMYFUNCTION("""COMPUTED_VALUE"""),46.65)</f>
        <v>46.65</v>
      </c>
      <c r="K1871" s="2">
        <f ca="1">IFERROR(__xludf.DUMMYFUNCTION("""COMPUTED_VALUE"""),68.015)</f>
        <v>68.015000000000001</v>
      </c>
      <c r="M1871" s="2">
        <f ca="1">IFERROR(__xludf.DUMMYFUNCTION("""COMPUTED_VALUE"""),17.32)</f>
        <v>17.32</v>
      </c>
      <c r="U1871" s="3" t="e">
        <f ca="1"/>
        <v>#NAME?</v>
      </c>
    </row>
    <row r="1872" spans="3:21" ht="12.5" x14ac:dyDescent="0.25">
      <c r="C1872" s="4">
        <f ca="1">IFERROR(__xludf.DUMMYFUNCTION("""COMPUTED_VALUE"""),42223.9986111111)</f>
        <v>42223.998611111099</v>
      </c>
      <c r="D1872" s="2">
        <f ca="1">IFERROR(__xludf.DUMMYFUNCTION("""COMPUTED_VALUE"""),63.731)</f>
        <v>63.731000000000002</v>
      </c>
      <c r="E1872" s="2">
        <f ca="1">IFERROR(__xludf.DUMMYFUNCTION("""COMPUTED_VALUE"""),72.442)</f>
        <v>72.441999999999993</v>
      </c>
      <c r="F1872" s="2">
        <f ca="1">IFERROR(__xludf.DUMMYFUNCTION("""COMPUTED_VALUE"""),98.845)</f>
        <v>98.844999999999999</v>
      </c>
      <c r="G1872" s="2">
        <f ca="1">IFERROR(__xludf.DUMMYFUNCTION("""COMPUTED_VALUE"""),0.59765)</f>
        <v>0.59765000000000001</v>
      </c>
      <c r="H1872" s="2">
        <f ca="1">IFERROR(__xludf.DUMMYFUNCTION("""COMPUTED_VALUE"""),47.182)</f>
        <v>47.182000000000002</v>
      </c>
      <c r="I1872" s="2">
        <f ca="1">IFERROR(__xludf.DUMMYFUNCTION("""COMPUTED_VALUE"""),47.375)</f>
        <v>47.375</v>
      </c>
      <c r="J1872" s="2">
        <f ca="1">IFERROR(__xludf.DUMMYFUNCTION("""COMPUTED_VALUE"""),46.603)</f>
        <v>46.603000000000002</v>
      </c>
      <c r="K1872" s="2">
        <f ca="1">IFERROR(__xludf.DUMMYFUNCTION("""COMPUTED_VALUE"""),67.767)</f>
        <v>67.766999999999996</v>
      </c>
      <c r="M1872" s="2">
        <f ca="1">IFERROR(__xludf.DUMMYFUNCTION("""COMPUTED_VALUE"""),17.305)</f>
        <v>17.305</v>
      </c>
      <c r="U1872" s="3" t="e">
        <f ca="1"/>
        <v>#NAME?</v>
      </c>
    </row>
    <row r="1873" spans="3:21" ht="12.5" x14ac:dyDescent="0.25">
      <c r="C1873" s="4">
        <f ca="1">IFERROR(__xludf.DUMMYFUNCTION("""COMPUTED_VALUE"""),42224.9986111111)</f>
        <v>42224.998611111099</v>
      </c>
      <c r="D1873" s="2">
        <f ca="1">IFERROR(__xludf.DUMMYFUNCTION("""COMPUTED_VALUE"""),63.73)</f>
        <v>63.73</v>
      </c>
      <c r="E1873" s="2">
        <f ca="1">IFERROR(__xludf.DUMMYFUNCTION("""COMPUTED_VALUE"""),72.487)</f>
        <v>72.486999999999995</v>
      </c>
      <c r="F1873" s="2">
        <f ca="1">IFERROR(__xludf.DUMMYFUNCTION("""COMPUTED_VALUE"""),98.23)</f>
        <v>98.23</v>
      </c>
      <c r="G1873" s="2">
        <f ca="1">IFERROR(__xludf.DUMMYFUNCTION("""COMPUTED_VALUE"""),0.60469)</f>
        <v>0.60468999999999995</v>
      </c>
      <c r="H1873" s="2">
        <f ca="1">IFERROR(__xludf.DUMMYFUNCTION("""COMPUTED_VALUE"""),46.911)</f>
        <v>46.911000000000001</v>
      </c>
      <c r="I1873" s="2">
        <f ca="1">IFERROR(__xludf.DUMMYFUNCTION("""COMPUTED_VALUE"""),47.397)</f>
        <v>47.396999999999998</v>
      </c>
      <c r="J1873" s="2">
        <f ca="1">IFERROR(__xludf.DUMMYFUNCTION("""COMPUTED_VALUE"""),46.415)</f>
        <v>46.414999999999999</v>
      </c>
      <c r="K1873" s="2">
        <f ca="1">IFERROR(__xludf.DUMMYFUNCTION("""COMPUTED_VALUE"""),67.844)</f>
        <v>67.843999999999994</v>
      </c>
      <c r="M1873" s="2">
        <f ca="1">IFERROR(__xludf.DUMMYFUNCTION("""COMPUTED_VALUE"""),17.327)</f>
        <v>17.327000000000002</v>
      </c>
      <c r="U1873" s="3" t="e">
        <f ca="1"/>
        <v>#NAME?</v>
      </c>
    </row>
    <row r="1874" spans="3:21" ht="12.5" x14ac:dyDescent="0.25">
      <c r="C1874" s="4">
        <f ca="1">IFERROR(__xludf.DUMMYFUNCTION("""COMPUTED_VALUE"""),42225.9986111111)</f>
        <v>42225.998611111099</v>
      </c>
      <c r="D1874" s="2">
        <f ca="1">IFERROR(__xludf.DUMMYFUNCTION("""COMPUTED_VALUE"""),63.73)</f>
        <v>63.73</v>
      </c>
      <c r="E1874" s="2">
        <f ca="1">IFERROR(__xludf.DUMMYFUNCTION("""COMPUTED_VALUE"""),72.785)</f>
        <v>72.784999999999997</v>
      </c>
      <c r="F1874" s="2">
        <f ca="1">IFERROR(__xludf.DUMMYFUNCTION("""COMPUTED_VALUE"""),97.688)</f>
        <v>97.688000000000002</v>
      </c>
      <c r="G1874" s="2">
        <f ca="1">IFERROR(__xludf.DUMMYFUNCTION("""COMPUTED_VALUE"""),0.60842)</f>
        <v>0.60841999999999996</v>
      </c>
      <c r="H1874" s="2">
        <f ca="1">IFERROR(__xludf.DUMMYFUNCTION("""COMPUTED_VALUE"""),46.068)</f>
        <v>46.067999999999998</v>
      </c>
      <c r="I1874" s="2">
        <f ca="1">IFERROR(__xludf.DUMMYFUNCTION("""COMPUTED_VALUE"""),46.158)</f>
        <v>46.158000000000001</v>
      </c>
      <c r="J1874" s="2">
        <f ca="1">IFERROR(__xludf.DUMMYFUNCTION("""COMPUTED_VALUE"""),46.646)</f>
        <v>46.646000000000001</v>
      </c>
      <c r="K1874" s="2">
        <f ca="1">IFERROR(__xludf.DUMMYFUNCTION("""COMPUTED_VALUE"""),67.913)</f>
        <v>67.912999999999997</v>
      </c>
      <c r="M1874" s="2">
        <f ca="1">IFERROR(__xludf.DUMMYFUNCTION("""COMPUTED_VALUE"""),17.395)</f>
        <v>17.395</v>
      </c>
      <c r="U1874" s="3" t="e">
        <f ca="1"/>
        <v>#NAME?</v>
      </c>
    </row>
    <row r="1875" spans="3:21" ht="12.5" x14ac:dyDescent="0.25">
      <c r="C1875" s="4">
        <f ca="1">IFERROR(__xludf.DUMMYFUNCTION("""COMPUTED_VALUE"""),42226.9986111111)</f>
        <v>42226.998611111099</v>
      </c>
      <c r="D1875" s="2">
        <f ca="1">IFERROR(__xludf.DUMMYFUNCTION("""COMPUTED_VALUE"""),63.838)</f>
        <v>63.838000000000001</v>
      </c>
      <c r="E1875" s="2">
        <f ca="1">IFERROR(__xludf.DUMMYFUNCTION("""COMPUTED_VALUE"""),73.01)</f>
        <v>73.010000000000005</v>
      </c>
      <c r="F1875" s="2">
        <f ca="1">IFERROR(__xludf.DUMMYFUNCTION("""COMPUTED_VALUE"""),97.403)</f>
        <v>97.403000000000006</v>
      </c>
      <c r="G1875" s="2">
        <f ca="1">IFERROR(__xludf.DUMMYFUNCTION("""COMPUTED_VALUE"""),0.60825)</f>
        <v>0.60824999999999996</v>
      </c>
      <c r="H1875" s="2">
        <f ca="1">IFERROR(__xludf.DUMMYFUNCTION("""COMPUTED_VALUE"""),46.612)</f>
        <v>46.612000000000002</v>
      </c>
      <c r="I1875" s="2">
        <f ca="1">IFERROR(__xludf.DUMMYFUNCTION("""COMPUTED_VALUE"""),46.912)</f>
        <v>46.911999999999999</v>
      </c>
      <c r="J1875" s="2">
        <f ca="1">IFERROR(__xludf.DUMMYFUNCTION("""COMPUTED_VALUE"""),45.331)</f>
        <v>45.331000000000003</v>
      </c>
      <c r="K1875" s="2">
        <f ca="1">IFERROR(__xludf.DUMMYFUNCTION("""COMPUTED_VALUE"""),67.865)</f>
        <v>67.864999999999995</v>
      </c>
      <c r="M1875" s="2">
        <f ca="1">IFERROR(__xludf.DUMMYFUNCTION("""COMPUTED_VALUE"""),17.448)</f>
        <v>17.448</v>
      </c>
      <c r="U1875" s="3" t="e">
        <f ca="1"/>
        <v>#NAME?</v>
      </c>
    </row>
    <row r="1876" spans="3:21" ht="12.5" x14ac:dyDescent="0.25">
      <c r="C1876" s="4">
        <f ca="1">IFERROR(__xludf.DUMMYFUNCTION("""COMPUTED_VALUE"""),42227.9986111111)</f>
        <v>42227.998611111099</v>
      </c>
      <c r="D1876" s="2">
        <f ca="1">IFERROR(__xludf.DUMMYFUNCTION("""COMPUTED_VALUE"""),64.326)</f>
        <v>64.325999999999993</v>
      </c>
      <c r="E1876" s="2">
        <f ca="1">IFERROR(__xludf.DUMMYFUNCTION("""COMPUTED_VALUE"""),72.7889)</f>
        <v>72.788899999999998</v>
      </c>
      <c r="F1876" s="2">
        <f ca="1">IFERROR(__xludf.DUMMYFUNCTION("""COMPUTED_VALUE"""),98.303)</f>
        <v>98.302999999999997</v>
      </c>
      <c r="G1876" s="2">
        <f ca="1">IFERROR(__xludf.DUMMYFUNCTION("""COMPUTED_VALUE"""),0.60652)</f>
        <v>0.60651999999999995</v>
      </c>
      <c r="H1876" s="2">
        <f ca="1">IFERROR(__xludf.DUMMYFUNCTION("""COMPUTED_VALUE"""),46.698)</f>
        <v>46.698</v>
      </c>
      <c r="I1876" s="2">
        <f ca="1">IFERROR(__xludf.DUMMYFUNCTION("""COMPUTED_VALUE"""),46.891)</f>
        <v>46.890999999999998</v>
      </c>
      <c r="J1876" s="2">
        <f ca="1">IFERROR(__xludf.DUMMYFUNCTION("""COMPUTED_VALUE"""),46.501)</f>
        <v>46.500999999999998</v>
      </c>
      <c r="K1876" s="2">
        <f ca="1">IFERROR(__xludf.DUMMYFUNCTION("""COMPUTED_VALUE"""),66.732)</f>
        <v>66.731999999999999</v>
      </c>
      <c r="M1876" s="2">
        <f ca="1">IFERROR(__xludf.DUMMYFUNCTION("""COMPUTED_VALUE"""),17.473)</f>
        <v>17.472999999999999</v>
      </c>
      <c r="U1876" s="3" t="e">
        <f ca="1"/>
        <v>#NAME?</v>
      </c>
    </row>
    <row r="1877" spans="3:21" ht="12.5" x14ac:dyDescent="0.25">
      <c r="C1877" s="4">
        <f ca="1">IFERROR(__xludf.DUMMYFUNCTION("""COMPUTED_VALUE"""),42228.9986111111)</f>
        <v>42228.998611111099</v>
      </c>
      <c r="D1877" s="2">
        <f ca="1">IFERROR(__xludf.DUMMYFUNCTION("""COMPUTED_VALUE"""),64.799)</f>
        <v>64.799000000000007</v>
      </c>
      <c r="E1877" s="2">
        <f ca="1">IFERROR(__xludf.DUMMYFUNCTION("""COMPUTED_VALUE"""),73.683)</f>
        <v>73.683000000000007</v>
      </c>
      <c r="F1877" s="2">
        <f ca="1">IFERROR(__xludf.DUMMYFUNCTION("""COMPUTED_VALUE"""),98.35)</f>
        <v>98.35</v>
      </c>
      <c r="G1877" s="2">
        <f ca="1">IFERROR(__xludf.DUMMYFUNCTION("""COMPUTED_VALUE"""),0.61249)</f>
        <v>0.61248999999999998</v>
      </c>
      <c r="H1877" s="2">
        <f ca="1">IFERROR(__xludf.DUMMYFUNCTION("""COMPUTED_VALUE"""),46.363)</f>
        <v>46.363</v>
      </c>
      <c r="I1877" s="2">
        <f ca="1">IFERROR(__xludf.DUMMYFUNCTION("""COMPUTED_VALUE"""),46.584)</f>
        <v>46.584000000000003</v>
      </c>
      <c r="J1877" s="2">
        <f ca="1">IFERROR(__xludf.DUMMYFUNCTION("""COMPUTED_VALUE"""),46.512)</f>
        <v>46.512</v>
      </c>
      <c r="K1877" s="2">
        <f ca="1">IFERROR(__xludf.DUMMYFUNCTION("""COMPUTED_VALUE"""),66.217)</f>
        <v>66.216999999999999</v>
      </c>
      <c r="M1877" s="2">
        <f ca="1">IFERROR(__xludf.DUMMYFUNCTION("""COMPUTED_VALUE"""),17.376)</f>
        <v>17.376000000000001</v>
      </c>
      <c r="U1877" s="3" t="e">
        <f ca="1"/>
        <v>#NAME?</v>
      </c>
    </row>
    <row r="1878" spans="3:21" ht="12.5" x14ac:dyDescent="0.25">
      <c r="C1878" s="4">
        <f ca="1">IFERROR(__xludf.DUMMYFUNCTION("""COMPUTED_VALUE"""),42229.9986111111)</f>
        <v>42229.998611111099</v>
      </c>
      <c r="D1878" s="2">
        <f ca="1">IFERROR(__xludf.DUMMYFUNCTION("""COMPUTED_VALUE"""),65.269)</f>
        <v>65.269000000000005</v>
      </c>
      <c r="E1878" s="2">
        <f ca="1">IFERROR(__xludf.DUMMYFUNCTION("""COMPUTED_VALUE"""),73.865)</f>
        <v>73.864999999999995</v>
      </c>
      <c r="F1878" s="2">
        <f ca="1">IFERROR(__xludf.DUMMYFUNCTION("""COMPUTED_VALUE"""),98.33)</f>
        <v>98.33</v>
      </c>
      <c r="G1878" s="2">
        <f ca="1">IFERROR(__xludf.DUMMYFUNCTION("""COMPUTED_VALUE"""),0.60941)</f>
        <v>0.60941000000000001</v>
      </c>
      <c r="H1878" s="2">
        <f ca="1">IFERROR(__xludf.DUMMYFUNCTION("""COMPUTED_VALUE"""),47.037)</f>
        <v>47.036999999999999</v>
      </c>
      <c r="I1878" s="2">
        <f ca="1">IFERROR(__xludf.DUMMYFUNCTION("""COMPUTED_VALUE"""),46.875)</f>
        <v>46.875</v>
      </c>
      <c r="J1878" s="2">
        <f ca="1">IFERROR(__xludf.DUMMYFUNCTION("""COMPUTED_VALUE"""),46.487)</f>
        <v>46.487000000000002</v>
      </c>
      <c r="K1878" s="2">
        <f ca="1">IFERROR(__xludf.DUMMYFUNCTION("""COMPUTED_VALUE"""),65.991)</f>
        <v>65.991</v>
      </c>
      <c r="M1878" s="2">
        <f ca="1">IFERROR(__xludf.DUMMYFUNCTION("""COMPUTED_VALUE"""),17.395)</f>
        <v>17.395</v>
      </c>
      <c r="U1878" s="3" t="e">
        <f ca="1"/>
        <v>#NAME?</v>
      </c>
    </row>
    <row r="1879" spans="3:21" ht="12.5" x14ac:dyDescent="0.25">
      <c r="C1879" s="4">
        <f ca="1">IFERROR(__xludf.DUMMYFUNCTION("""COMPUTED_VALUE"""),42230.9986111111)</f>
        <v>42230.998611111099</v>
      </c>
      <c r="D1879" s="2">
        <f ca="1">IFERROR(__xludf.DUMMYFUNCTION("""COMPUTED_VALUE"""),65.122)</f>
        <v>65.122</v>
      </c>
      <c r="E1879" s="2">
        <f ca="1">IFERROR(__xludf.DUMMYFUNCTION("""COMPUTED_VALUE"""),73.826)</f>
        <v>73.825999999999993</v>
      </c>
      <c r="F1879" s="2">
        <f ca="1">IFERROR(__xludf.DUMMYFUNCTION("""COMPUTED_VALUE"""),99.016)</f>
        <v>99.016000000000005</v>
      </c>
      <c r="G1879" s="2">
        <f ca="1">IFERROR(__xludf.DUMMYFUNCTION("""COMPUTED_VALUE"""),0.60766)</f>
        <v>0.60765999999999998</v>
      </c>
      <c r="H1879" s="2">
        <f ca="1">IFERROR(__xludf.DUMMYFUNCTION("""COMPUTED_VALUE"""),46.467)</f>
        <v>46.466999999999999</v>
      </c>
      <c r="I1879" s="2">
        <f ca="1">IFERROR(__xludf.DUMMYFUNCTION("""COMPUTED_VALUE"""),46.592)</f>
        <v>46.591999999999999</v>
      </c>
      <c r="J1879" s="2">
        <f ca="1">IFERROR(__xludf.DUMMYFUNCTION("""COMPUTED_VALUE"""),46.807)</f>
        <v>46.807000000000002</v>
      </c>
      <c r="K1879" s="2">
        <f ca="1">IFERROR(__xludf.DUMMYFUNCTION("""COMPUTED_VALUE"""),65.843)</f>
        <v>65.843000000000004</v>
      </c>
      <c r="M1879" s="2">
        <f ca="1">IFERROR(__xludf.DUMMYFUNCTION("""COMPUTED_VALUE"""),17.464)</f>
        <v>17.463999999999999</v>
      </c>
      <c r="U1879" s="3" t="e">
        <f ca="1"/>
        <v>#NAME?</v>
      </c>
    </row>
    <row r="1880" spans="3:21" ht="12.5" x14ac:dyDescent="0.25">
      <c r="C1880" s="4">
        <f ca="1">IFERROR(__xludf.DUMMYFUNCTION("""COMPUTED_VALUE"""),42232.9986111111)</f>
        <v>42232.998611111099</v>
      </c>
      <c r="D1880" s="2">
        <f ca="1">IFERROR(__xludf.DUMMYFUNCTION("""COMPUTED_VALUE"""),65.123)</f>
        <v>65.123000000000005</v>
      </c>
      <c r="E1880" s="2">
        <f ca="1">IFERROR(__xludf.DUMMYFUNCTION("""COMPUTED_VALUE"""),73.555)</f>
        <v>73.555000000000007</v>
      </c>
      <c r="F1880" s="2">
        <f ca="1">IFERROR(__xludf.DUMMYFUNCTION("""COMPUTED_VALUE"""),99.329)</f>
        <v>99.328999999999994</v>
      </c>
      <c r="G1880" s="2">
        <f ca="1">IFERROR(__xludf.DUMMYFUNCTION("""COMPUTED_VALUE"""),0.59967)</f>
        <v>0.59967000000000004</v>
      </c>
      <c r="H1880" s="2">
        <f ca="1">IFERROR(__xludf.DUMMYFUNCTION("""COMPUTED_VALUE"""),46.514)</f>
        <v>46.514000000000003</v>
      </c>
      <c r="I1880" s="2">
        <f ca="1">IFERROR(__xludf.DUMMYFUNCTION("""COMPUTED_VALUE"""),46.505)</f>
        <v>46.505000000000003</v>
      </c>
      <c r="J1880" s="2">
        <f ca="1">IFERROR(__xludf.DUMMYFUNCTION("""COMPUTED_VALUE"""),47.003)</f>
        <v>47.003</v>
      </c>
      <c r="K1880" s="2">
        <f ca="1">IFERROR(__xludf.DUMMYFUNCTION("""COMPUTED_VALUE"""),65.305)</f>
        <v>65.305000000000007</v>
      </c>
      <c r="M1880" s="2">
        <f ca="1">IFERROR(__xludf.DUMMYFUNCTION("""COMPUTED_VALUE"""),17.421)</f>
        <v>17.420999999999999</v>
      </c>
      <c r="U1880" s="3" t="e">
        <f ca="1"/>
        <v>#NAME?</v>
      </c>
    </row>
    <row r="1881" spans="3:21" ht="12.5" x14ac:dyDescent="0.25">
      <c r="C1881" s="4">
        <f ca="1">IFERROR(__xludf.DUMMYFUNCTION("""COMPUTED_VALUE"""),42233.9986111111)</f>
        <v>42233.998611111099</v>
      </c>
      <c r="D1881" s="2">
        <f ca="1">IFERROR(__xludf.DUMMYFUNCTION("""COMPUTED_VALUE"""),65.443)</f>
        <v>65.442999999999998</v>
      </c>
      <c r="E1881" s="2">
        <f ca="1">IFERROR(__xludf.DUMMYFUNCTION("""COMPUTED_VALUE"""),72.235)</f>
        <v>72.234999999999999</v>
      </c>
      <c r="F1881" s="2">
        <f ca="1">IFERROR(__xludf.DUMMYFUNCTION("""COMPUTED_VALUE"""),99.064)</f>
        <v>99.063999999999993</v>
      </c>
      <c r="G1881" s="2">
        <f ca="1">IFERROR(__xludf.DUMMYFUNCTION("""COMPUTED_VALUE"""),0.60605)</f>
        <v>0.60604999999999998</v>
      </c>
      <c r="H1881" s="2">
        <f ca="1">IFERROR(__xludf.DUMMYFUNCTION("""COMPUTED_VALUE"""),46.809)</f>
        <v>46.808999999999997</v>
      </c>
      <c r="I1881" s="2">
        <f ca="1">IFERROR(__xludf.DUMMYFUNCTION("""COMPUTED_VALUE"""),46.485)</f>
        <v>46.484999999999999</v>
      </c>
      <c r="J1881" s="2">
        <f ca="1">IFERROR(__xludf.DUMMYFUNCTION("""COMPUTED_VALUE"""),47.013)</f>
        <v>47.012999999999998</v>
      </c>
      <c r="K1881" s="2">
        <f ca="1">IFERROR(__xludf.DUMMYFUNCTION("""COMPUTED_VALUE"""),66.111)</f>
        <v>66.111000000000004</v>
      </c>
      <c r="M1881" s="2">
        <f ca="1">IFERROR(__xludf.DUMMYFUNCTION("""COMPUTED_VALUE"""),17.461)</f>
        <v>17.460999999999999</v>
      </c>
      <c r="U1881" s="3" t="e">
        <f ca="1"/>
        <v>#NAME?</v>
      </c>
    </row>
    <row r="1882" spans="3:21" ht="12.5" x14ac:dyDescent="0.25">
      <c r="C1882" s="4">
        <f ca="1">IFERROR(__xludf.DUMMYFUNCTION("""COMPUTED_VALUE"""),42234.9986111111)</f>
        <v>42234.998611111099</v>
      </c>
      <c r="D1882" s="2">
        <f ca="1">IFERROR(__xludf.DUMMYFUNCTION("""COMPUTED_VALUE"""),65.446)</f>
        <v>65.445999999999998</v>
      </c>
      <c r="E1882" s="2">
        <f ca="1">IFERROR(__xludf.DUMMYFUNCTION("""COMPUTED_VALUE"""),72.235)</f>
        <v>72.234999999999999</v>
      </c>
      <c r="F1882" s="2">
        <f ca="1">IFERROR(__xludf.DUMMYFUNCTION("""COMPUTED_VALUE"""),99.01)</f>
        <v>99.01</v>
      </c>
      <c r="G1882" s="2">
        <f ca="1">IFERROR(__xludf.DUMMYFUNCTION("""COMPUTED_VALUE"""),0.59382)</f>
        <v>0.59382000000000001</v>
      </c>
      <c r="H1882" s="2">
        <f ca="1">IFERROR(__xludf.DUMMYFUNCTION("""COMPUTED_VALUE"""),47.063)</f>
        <v>47.063000000000002</v>
      </c>
      <c r="I1882" s="2">
        <f ca="1">IFERROR(__xludf.DUMMYFUNCTION("""COMPUTED_VALUE"""),46.889)</f>
        <v>46.889000000000003</v>
      </c>
      <c r="J1882" s="2">
        <f ca="1">IFERROR(__xludf.DUMMYFUNCTION("""COMPUTED_VALUE"""),47.108)</f>
        <v>47.107999999999997</v>
      </c>
      <c r="K1882" s="2">
        <f ca="1">IFERROR(__xludf.DUMMYFUNCTION("""COMPUTED_VALUE"""),66.171)</f>
        <v>66.171000000000006</v>
      </c>
      <c r="M1882" s="2">
        <f ca="1">IFERROR(__xludf.DUMMYFUNCTION("""COMPUTED_VALUE"""),17.376)</f>
        <v>17.376000000000001</v>
      </c>
      <c r="U1882" s="3" t="e">
        <f ca="1"/>
        <v>#NAME?</v>
      </c>
    </row>
    <row r="1883" spans="3:21" ht="12.5" x14ac:dyDescent="0.25">
      <c r="C1883" s="4">
        <f ca="1">IFERROR(__xludf.DUMMYFUNCTION("""COMPUTED_VALUE"""),42235.9986111111)</f>
        <v>42235.998611111099</v>
      </c>
      <c r="D1883" s="2">
        <f ca="1">IFERROR(__xludf.DUMMYFUNCTION("""COMPUTED_VALUE"""),65.054)</f>
        <v>65.054000000000002</v>
      </c>
      <c r="E1883" s="2">
        <f ca="1">IFERROR(__xludf.DUMMYFUNCTION("""COMPUTED_VALUE"""),73.441)</f>
        <v>73.441000000000003</v>
      </c>
      <c r="F1883" s="2">
        <f ca="1">IFERROR(__xludf.DUMMYFUNCTION("""COMPUTED_VALUE"""),99.047)</f>
        <v>99.046999999999997</v>
      </c>
      <c r="G1883" s="2">
        <f ca="1">IFERROR(__xludf.DUMMYFUNCTION("""COMPUTED_VALUE"""),0.59321)</f>
        <v>0.59321000000000002</v>
      </c>
      <c r="H1883" s="2">
        <f ca="1">IFERROR(__xludf.DUMMYFUNCTION("""COMPUTED_VALUE"""),47.512)</f>
        <v>47.512</v>
      </c>
      <c r="I1883" s="2">
        <f ca="1">IFERROR(__xludf.DUMMYFUNCTION("""COMPUTED_VALUE"""),47.466)</f>
        <v>47.466000000000001</v>
      </c>
      <c r="J1883" s="2">
        <f ca="1">IFERROR(__xludf.DUMMYFUNCTION("""COMPUTED_VALUE"""),47.238)</f>
        <v>47.238</v>
      </c>
      <c r="K1883" s="2">
        <f ca="1">IFERROR(__xludf.DUMMYFUNCTION("""COMPUTED_VALUE"""),66.329)</f>
        <v>66.328999999999994</v>
      </c>
      <c r="M1883" s="2">
        <f ca="1">IFERROR(__xludf.DUMMYFUNCTION("""COMPUTED_VALUE"""),17.335)</f>
        <v>17.335000000000001</v>
      </c>
      <c r="U1883" s="3" t="e">
        <f ca="1"/>
        <v>#NAME?</v>
      </c>
    </row>
    <row r="1884" spans="3:21" ht="12.5" x14ac:dyDescent="0.25">
      <c r="C1884" s="4">
        <f ca="1">IFERROR(__xludf.DUMMYFUNCTION("""COMPUTED_VALUE"""),42236.9986111111)</f>
        <v>42236.998611111099</v>
      </c>
      <c r="D1884" s="2">
        <f ca="1">IFERROR(__xludf.DUMMYFUNCTION("""COMPUTED_VALUE"""),65.461)</f>
        <v>65.460999999999999</v>
      </c>
      <c r="E1884" s="2">
        <f ca="1">IFERROR(__xludf.DUMMYFUNCTION("""COMPUTED_VALUE"""),73.537)</f>
        <v>73.537000000000006</v>
      </c>
      <c r="F1884" s="2">
        <f ca="1">IFERROR(__xludf.DUMMYFUNCTION("""COMPUTED_VALUE"""),99.047)</f>
        <v>99.046999999999997</v>
      </c>
      <c r="G1884" s="2">
        <f ca="1">IFERROR(__xludf.DUMMYFUNCTION("""COMPUTED_VALUE"""),0.59001)</f>
        <v>0.59001000000000003</v>
      </c>
      <c r="H1884" s="2">
        <f ca="1">IFERROR(__xludf.DUMMYFUNCTION("""COMPUTED_VALUE"""),47.288)</f>
        <v>47.287999999999997</v>
      </c>
      <c r="I1884" s="2">
        <f ca="1">IFERROR(__xludf.DUMMYFUNCTION("""COMPUTED_VALUE"""),47.355)</f>
        <v>47.354999999999997</v>
      </c>
      <c r="J1884" s="2">
        <f ca="1">IFERROR(__xludf.DUMMYFUNCTION("""COMPUTED_VALUE"""),47.257)</f>
        <v>47.256999999999998</v>
      </c>
      <c r="K1884" s="2">
        <f ca="1">IFERROR(__xludf.DUMMYFUNCTION("""COMPUTED_VALUE"""),66.038)</f>
        <v>66.037999999999997</v>
      </c>
      <c r="M1884" s="2">
        <f ca="1">IFERROR(__xludf.DUMMYFUNCTION("""COMPUTED_VALUE"""),17.344)</f>
        <v>17.344000000000001</v>
      </c>
      <c r="U1884" s="3" t="e">
        <f ca="1"/>
        <v>#NAME?</v>
      </c>
    </row>
    <row r="1885" spans="3:21" ht="12.5" x14ac:dyDescent="0.25">
      <c r="C1885" s="4">
        <f ca="1">IFERROR(__xludf.DUMMYFUNCTION("""COMPUTED_VALUE"""),42237.9986111111)</f>
        <v>42237.998611111099</v>
      </c>
      <c r="D1885" s="2">
        <f ca="1">IFERROR(__xludf.DUMMYFUNCTION("""COMPUTED_VALUE"""),66.026)</f>
        <v>66.025999999999996</v>
      </c>
      <c r="E1885" s="2">
        <f ca="1">IFERROR(__xludf.DUMMYFUNCTION("""COMPUTED_VALUE"""),74.296)</f>
        <v>74.296000000000006</v>
      </c>
      <c r="F1885" s="2">
        <f ca="1">IFERROR(__xludf.DUMMYFUNCTION("""COMPUTED_VALUE"""),99.073)</f>
        <v>99.072999999999993</v>
      </c>
      <c r="G1885" s="2">
        <f ca="1">IFERROR(__xludf.DUMMYFUNCTION("""COMPUTED_VALUE"""),0.58755)</f>
        <v>0.58755000000000002</v>
      </c>
      <c r="H1885" s="2">
        <f ca="1">IFERROR(__xludf.DUMMYFUNCTION("""COMPUTED_VALUE"""),46.878)</f>
        <v>46.878</v>
      </c>
      <c r="I1885" s="2">
        <f ca="1">IFERROR(__xludf.DUMMYFUNCTION("""COMPUTED_VALUE"""),47.69)</f>
        <v>47.69</v>
      </c>
      <c r="J1885" s="2">
        <f ca="1">IFERROR(__xludf.DUMMYFUNCTION("""COMPUTED_VALUE"""),46.783)</f>
        <v>46.783000000000001</v>
      </c>
      <c r="K1885" s="2">
        <f ca="1">IFERROR(__xludf.DUMMYFUNCTION("""COMPUTED_VALUE"""),65.964)</f>
        <v>65.963999999999999</v>
      </c>
      <c r="M1885" s="2">
        <f ca="1">IFERROR(__xludf.DUMMYFUNCTION("""COMPUTED_VALUE"""),17.353)</f>
        <v>17.353000000000002</v>
      </c>
      <c r="U1885" s="3" t="e">
        <f ca="1"/>
        <v>#NAME?</v>
      </c>
    </row>
    <row r="1886" spans="3:21" ht="12.5" x14ac:dyDescent="0.25">
      <c r="C1886" s="4">
        <f ca="1">IFERROR(__xludf.DUMMYFUNCTION("""COMPUTED_VALUE"""),42238.9986111111)</f>
        <v>42238.998611111099</v>
      </c>
      <c r="D1886" s="2">
        <f ca="1">IFERROR(__xludf.DUMMYFUNCTION("""COMPUTED_VALUE"""),66.189)</f>
        <v>66.188999999999993</v>
      </c>
      <c r="E1886" s="2">
        <f ca="1">IFERROR(__xludf.DUMMYFUNCTION("""COMPUTED_VALUE"""),74.395)</f>
        <v>74.394999999999996</v>
      </c>
      <c r="F1886" s="2">
        <f ca="1">IFERROR(__xludf.DUMMYFUNCTION("""COMPUTED_VALUE"""),98.906)</f>
        <v>98.906000000000006</v>
      </c>
      <c r="G1886" s="2">
        <f ca="1">IFERROR(__xludf.DUMMYFUNCTION("""COMPUTED_VALUE"""),0.59055)</f>
        <v>0.59055000000000002</v>
      </c>
      <c r="H1886" s="2">
        <f ca="1">IFERROR(__xludf.DUMMYFUNCTION("""COMPUTED_VALUE"""),46.945)</f>
        <v>46.945</v>
      </c>
      <c r="I1886" s="2">
        <f ca="1">IFERROR(__xludf.DUMMYFUNCTION("""COMPUTED_VALUE"""),47.328)</f>
        <v>47.328000000000003</v>
      </c>
      <c r="J1886" s="2">
        <f ca="1">IFERROR(__xludf.DUMMYFUNCTION("""COMPUTED_VALUE"""),47.191)</f>
        <v>47.191000000000003</v>
      </c>
      <c r="K1886" s="2">
        <f ca="1">IFERROR(__xludf.DUMMYFUNCTION("""COMPUTED_VALUE"""),66.093)</f>
        <v>66.093000000000004</v>
      </c>
      <c r="M1886" s="2">
        <f ca="1">IFERROR(__xludf.DUMMYFUNCTION("""COMPUTED_VALUE"""),17.363)</f>
        <v>17.363</v>
      </c>
      <c r="U1886" s="3" t="e">
        <f ca="1"/>
        <v>#NAME?</v>
      </c>
    </row>
    <row r="1887" spans="3:21" ht="12.5" x14ac:dyDescent="0.25">
      <c r="C1887" s="4">
        <f ca="1">IFERROR(__xludf.DUMMYFUNCTION("""COMPUTED_VALUE"""),42239.9986111111)</f>
        <v>42239.998611111099</v>
      </c>
      <c r="D1887" s="2">
        <f ca="1">IFERROR(__xludf.DUMMYFUNCTION("""COMPUTED_VALUE"""),66.189)</f>
        <v>66.188999999999993</v>
      </c>
      <c r="E1887" s="2">
        <f ca="1">IFERROR(__xludf.DUMMYFUNCTION("""COMPUTED_VALUE"""),73.0313)</f>
        <v>73.031300000000002</v>
      </c>
      <c r="F1887" s="2">
        <f ca="1">IFERROR(__xludf.DUMMYFUNCTION("""COMPUTED_VALUE"""),99.416)</f>
        <v>99.415999999999997</v>
      </c>
      <c r="G1887" s="2">
        <f ca="1">IFERROR(__xludf.DUMMYFUNCTION("""COMPUTED_VALUE"""),0.59727)</f>
        <v>0.59726999999999997</v>
      </c>
      <c r="H1887" s="2">
        <f ca="1">IFERROR(__xludf.DUMMYFUNCTION("""COMPUTED_VALUE"""),47.42)</f>
        <v>47.42</v>
      </c>
      <c r="I1887" s="2">
        <f ca="1">IFERROR(__xludf.DUMMYFUNCTION("""COMPUTED_VALUE"""),47.938)</f>
        <v>47.938000000000002</v>
      </c>
      <c r="J1887" s="2">
        <f ca="1">IFERROR(__xludf.DUMMYFUNCTION("""COMPUTED_VALUE"""),47.285)</f>
        <v>47.284999999999997</v>
      </c>
      <c r="K1887" s="2">
        <f ca="1">IFERROR(__xludf.DUMMYFUNCTION("""COMPUTED_VALUE"""),65.671)</f>
        <v>65.671000000000006</v>
      </c>
      <c r="M1887" s="2">
        <f ca="1">IFERROR(__xludf.DUMMYFUNCTION("""COMPUTED_VALUE"""),17.526)</f>
        <v>17.526</v>
      </c>
      <c r="U1887" s="3" t="e">
        <f ca="1"/>
        <v>#NAME?</v>
      </c>
    </row>
    <row r="1888" spans="3:21" ht="12.5" x14ac:dyDescent="0.25">
      <c r="C1888" s="4">
        <f ca="1">IFERROR(__xludf.DUMMYFUNCTION("""COMPUTED_VALUE"""),42240.9986111111)</f>
        <v>42240.998611111099</v>
      </c>
      <c r="D1888" s="2">
        <f ca="1">IFERROR(__xludf.DUMMYFUNCTION("""COMPUTED_VALUE"""),66.807)</f>
        <v>66.807000000000002</v>
      </c>
      <c r="E1888" s="2">
        <f ca="1">IFERROR(__xludf.DUMMYFUNCTION("""COMPUTED_VALUE"""),73.889)</f>
        <v>73.888999999999996</v>
      </c>
      <c r="F1888" s="2">
        <f ca="1">IFERROR(__xludf.DUMMYFUNCTION("""COMPUTED_VALUE"""),99.061)</f>
        <v>99.061000000000007</v>
      </c>
      <c r="G1888" s="2">
        <f ca="1">IFERROR(__xludf.DUMMYFUNCTION("""COMPUTED_VALUE"""),0.59223)</f>
        <v>0.59223000000000003</v>
      </c>
      <c r="H1888" s="2">
        <f ca="1">IFERROR(__xludf.DUMMYFUNCTION("""COMPUTED_VALUE"""),47.8)</f>
        <v>47.8</v>
      </c>
      <c r="I1888" s="2">
        <f ca="1">IFERROR(__xludf.DUMMYFUNCTION("""COMPUTED_VALUE"""),48.341)</f>
        <v>48.341000000000001</v>
      </c>
      <c r="J1888" s="2">
        <f ca="1">IFERROR(__xludf.DUMMYFUNCTION("""COMPUTED_VALUE"""),47.455)</f>
        <v>47.454999999999998</v>
      </c>
      <c r="K1888" s="2">
        <f ca="1">IFERROR(__xludf.DUMMYFUNCTION("""COMPUTED_VALUE"""),66.198)</f>
        <v>66.197999999999993</v>
      </c>
      <c r="M1888" s="2">
        <f ca="1">IFERROR(__xludf.DUMMYFUNCTION("""COMPUTED_VALUE"""),17.652)</f>
        <v>17.652000000000001</v>
      </c>
      <c r="U1888" s="3" t="e">
        <f ca="1"/>
        <v>#NAME?</v>
      </c>
    </row>
    <row r="1889" spans="3:21" ht="12.5" x14ac:dyDescent="0.25">
      <c r="C1889" s="4">
        <f ca="1">IFERROR(__xludf.DUMMYFUNCTION("""COMPUTED_VALUE"""),42241.9986111111)</f>
        <v>42241.998611111099</v>
      </c>
      <c r="D1889" s="2">
        <f ca="1">IFERROR(__xludf.DUMMYFUNCTION("""COMPUTED_VALUE"""),66.283)</f>
        <v>66.283000000000001</v>
      </c>
      <c r="E1889" s="2">
        <f ca="1">IFERROR(__xludf.DUMMYFUNCTION("""COMPUTED_VALUE"""),74.168)</f>
        <v>74.168000000000006</v>
      </c>
      <c r="F1889" s="2">
        <f ca="1">IFERROR(__xludf.DUMMYFUNCTION("""COMPUTED_VALUE"""),99.419)</f>
        <v>99.418999999999997</v>
      </c>
      <c r="G1889" s="2">
        <f ca="1">IFERROR(__xludf.DUMMYFUNCTION("""COMPUTED_VALUE"""),0.5957)</f>
        <v>0.59570000000000001</v>
      </c>
      <c r="H1889" s="2">
        <f ca="1">IFERROR(__xludf.DUMMYFUNCTION("""COMPUTED_VALUE"""),48.193)</f>
        <v>48.192999999999998</v>
      </c>
      <c r="I1889" s="2">
        <f ca="1">IFERROR(__xludf.DUMMYFUNCTION("""COMPUTED_VALUE"""),48.471)</f>
        <v>48.470999999999997</v>
      </c>
      <c r="J1889" s="2">
        <f ca="1">IFERROR(__xludf.DUMMYFUNCTION("""COMPUTED_VALUE"""),47.556)</f>
        <v>47.555999999999997</v>
      </c>
      <c r="K1889" s="2">
        <f ca="1">IFERROR(__xludf.DUMMYFUNCTION("""COMPUTED_VALUE"""),65.779)</f>
        <v>65.778999999999996</v>
      </c>
      <c r="M1889" s="2">
        <f ca="1">IFERROR(__xludf.DUMMYFUNCTION("""COMPUTED_VALUE"""),17.739)</f>
        <v>17.739000000000001</v>
      </c>
      <c r="U1889" s="3" t="e">
        <f ca="1"/>
        <v>#NAME?</v>
      </c>
    </row>
    <row r="1890" spans="3:21" ht="12.5" x14ac:dyDescent="0.25">
      <c r="C1890" s="4">
        <f ca="1">IFERROR(__xludf.DUMMYFUNCTION("""COMPUTED_VALUE"""),42242.9986111111)</f>
        <v>42242.998611111099</v>
      </c>
      <c r="D1890" s="2">
        <f ca="1">IFERROR(__xludf.DUMMYFUNCTION("""COMPUTED_VALUE"""),66.056)</f>
        <v>66.055999999999997</v>
      </c>
      <c r="E1890" s="2">
        <f ca="1">IFERROR(__xludf.DUMMYFUNCTION("""COMPUTED_VALUE"""),75.27)</f>
        <v>75.27</v>
      </c>
      <c r="F1890" s="2">
        <f ca="1">IFERROR(__xludf.DUMMYFUNCTION("""COMPUTED_VALUE"""),99.399)</f>
        <v>99.399000000000001</v>
      </c>
      <c r="G1890" s="2">
        <f ca="1">IFERROR(__xludf.DUMMYFUNCTION("""COMPUTED_VALUE"""),0.5876)</f>
        <v>0.58760000000000001</v>
      </c>
      <c r="H1890" s="2">
        <f ca="1">IFERROR(__xludf.DUMMYFUNCTION("""COMPUTED_VALUE"""),48.057)</f>
        <v>48.057000000000002</v>
      </c>
      <c r="I1890" s="2">
        <f ca="1">IFERROR(__xludf.DUMMYFUNCTION("""COMPUTED_VALUE"""),48.265)</f>
        <v>48.265000000000001</v>
      </c>
      <c r="J1890" s="2">
        <f ca="1">IFERROR(__xludf.DUMMYFUNCTION("""COMPUTED_VALUE"""),47.655)</f>
        <v>47.655000000000001</v>
      </c>
      <c r="K1890" s="2">
        <f ca="1">IFERROR(__xludf.DUMMYFUNCTION("""COMPUTED_VALUE"""),65.765)</f>
        <v>65.765000000000001</v>
      </c>
      <c r="M1890" s="2">
        <f ca="1">IFERROR(__xludf.DUMMYFUNCTION("""COMPUTED_VALUE"""),17.728)</f>
        <v>17.728000000000002</v>
      </c>
      <c r="U1890" s="3" t="e">
        <f ca="1"/>
        <v>#NAME?</v>
      </c>
    </row>
    <row r="1891" spans="3:21" ht="12.5" x14ac:dyDescent="0.25">
      <c r="C1891" s="4">
        <f ca="1">IFERROR(__xludf.DUMMYFUNCTION("""COMPUTED_VALUE"""),42243.9986111111)</f>
        <v>42243.998611111099</v>
      </c>
      <c r="D1891" s="2">
        <f ca="1">IFERROR(__xludf.DUMMYFUNCTION("""COMPUTED_VALUE"""),66.055)</f>
        <v>66.055000000000007</v>
      </c>
      <c r="E1891" s="2">
        <f ca="1">IFERROR(__xludf.DUMMYFUNCTION("""COMPUTED_VALUE"""),75.586)</f>
        <v>75.585999999999999</v>
      </c>
      <c r="F1891" s="2">
        <f ca="1">IFERROR(__xludf.DUMMYFUNCTION("""COMPUTED_VALUE"""),99.928)</f>
        <v>99.927999999999997</v>
      </c>
      <c r="G1891" s="2">
        <f ca="1">IFERROR(__xludf.DUMMYFUNCTION("""COMPUTED_VALUE"""),0.58952)</f>
        <v>0.58952000000000004</v>
      </c>
      <c r="H1891" s="2">
        <f ca="1">IFERROR(__xludf.DUMMYFUNCTION("""COMPUTED_VALUE"""),48.213)</f>
        <v>48.213000000000001</v>
      </c>
      <c r="I1891" s="2">
        <f ca="1">IFERROR(__xludf.DUMMYFUNCTION("""COMPUTED_VALUE"""),48.606)</f>
        <v>48.606000000000002</v>
      </c>
      <c r="J1891" s="2">
        <f ca="1">IFERROR(__xludf.DUMMYFUNCTION("""COMPUTED_VALUE"""),47.329)</f>
        <v>47.329000000000001</v>
      </c>
      <c r="K1891" s="2">
        <f ca="1">IFERROR(__xludf.DUMMYFUNCTION("""COMPUTED_VALUE"""),65.938)</f>
        <v>65.938000000000002</v>
      </c>
      <c r="M1891" s="2">
        <f ca="1">IFERROR(__xludf.DUMMYFUNCTION("""COMPUTED_VALUE"""),17.818)</f>
        <v>17.818000000000001</v>
      </c>
      <c r="U1891" s="3" t="e">
        <f ca="1"/>
        <v>#NAME?</v>
      </c>
    </row>
    <row r="1892" spans="3:21" ht="12.5" x14ac:dyDescent="0.25">
      <c r="C1892" s="4">
        <f ca="1">IFERROR(__xludf.DUMMYFUNCTION("""COMPUTED_VALUE"""),42244.9986111111)</f>
        <v>42244.998611111099</v>
      </c>
      <c r="D1892" s="2">
        <f ca="1">IFERROR(__xludf.DUMMYFUNCTION("""COMPUTED_VALUE"""),66.143)</f>
        <v>66.143000000000001</v>
      </c>
      <c r="E1892" s="2">
        <f ca="1">IFERROR(__xludf.DUMMYFUNCTION("""COMPUTED_VALUE"""),75.589)</f>
        <v>75.588999999999999</v>
      </c>
      <c r="F1892" s="2">
        <f ca="1">IFERROR(__xludf.DUMMYFUNCTION("""COMPUTED_VALUE"""),99.634)</f>
        <v>99.634</v>
      </c>
      <c r="G1892" s="2">
        <f ca="1">IFERROR(__xludf.DUMMYFUNCTION("""COMPUTED_VALUE"""),0.59488)</f>
        <v>0.59487999999999996</v>
      </c>
      <c r="H1892" s="2">
        <f ca="1">IFERROR(__xludf.DUMMYFUNCTION("""COMPUTED_VALUE"""),47.738)</f>
        <v>47.738</v>
      </c>
      <c r="I1892" s="2">
        <f ca="1">IFERROR(__xludf.DUMMYFUNCTION("""COMPUTED_VALUE"""),48.303)</f>
        <v>48.302999999999997</v>
      </c>
      <c r="J1892" s="2">
        <f ca="1">IFERROR(__xludf.DUMMYFUNCTION("""COMPUTED_VALUE"""),47.643)</f>
        <v>47.643000000000001</v>
      </c>
      <c r="K1892" s="2">
        <f ca="1">IFERROR(__xludf.DUMMYFUNCTION("""COMPUTED_VALUE"""),65.659)</f>
        <v>65.659000000000006</v>
      </c>
      <c r="M1892" s="2">
        <f ca="1">IFERROR(__xludf.DUMMYFUNCTION("""COMPUTED_VALUE"""),17.815)</f>
        <v>17.815000000000001</v>
      </c>
      <c r="U1892" s="3" t="e">
        <f ca="1"/>
        <v>#NAME?</v>
      </c>
    </row>
    <row r="1893" spans="3:21" ht="12.5" x14ac:dyDescent="0.25">
      <c r="C1893" s="4">
        <f ca="1">IFERROR(__xludf.DUMMYFUNCTION("""COMPUTED_VALUE"""),42245.9986111111)</f>
        <v>42245.998611111099</v>
      </c>
      <c r="D1893" s="2">
        <f ca="1">IFERROR(__xludf.DUMMYFUNCTION("""COMPUTED_VALUE"""),66.145)</f>
        <v>66.144999999999996</v>
      </c>
      <c r="E1893" s="2">
        <f ca="1">IFERROR(__xludf.DUMMYFUNCTION("""COMPUTED_VALUE"""),75.589)</f>
        <v>75.588999999999999</v>
      </c>
      <c r="F1893" s="2">
        <f ca="1">IFERROR(__xludf.DUMMYFUNCTION("""COMPUTED_VALUE"""),99.711)</f>
        <v>99.710999999999999</v>
      </c>
      <c r="G1893" s="2">
        <f ca="1">IFERROR(__xludf.DUMMYFUNCTION("""COMPUTED_VALUE"""),0.59502)</f>
        <v>0.59501999999999999</v>
      </c>
      <c r="H1893" s="2">
        <f ca="1">IFERROR(__xludf.DUMMYFUNCTION("""COMPUTED_VALUE"""),48.549)</f>
        <v>48.548999999999999</v>
      </c>
      <c r="I1893" s="2">
        <f ca="1">IFERROR(__xludf.DUMMYFUNCTION("""COMPUTED_VALUE"""),49.199)</f>
        <v>49.198999999999998</v>
      </c>
      <c r="J1893" s="2">
        <f ca="1">IFERROR(__xludf.DUMMYFUNCTION("""COMPUTED_VALUE"""),47.495)</f>
        <v>47.494999999999997</v>
      </c>
      <c r="K1893" s="2">
        <f ca="1">IFERROR(__xludf.DUMMYFUNCTION("""COMPUTED_VALUE"""),65.199)</f>
        <v>65.198999999999998</v>
      </c>
      <c r="M1893" s="2">
        <f ca="1">IFERROR(__xludf.DUMMYFUNCTION("""COMPUTED_VALUE"""),17.708)</f>
        <v>17.707999999999998</v>
      </c>
      <c r="U1893" s="3" t="e">
        <f ca="1"/>
        <v>#NAME?</v>
      </c>
    </row>
    <row r="1894" spans="3:21" ht="12.5" x14ac:dyDescent="0.25">
      <c r="C1894" s="4">
        <f ca="1">IFERROR(__xludf.DUMMYFUNCTION("""COMPUTED_VALUE"""),42246.9986111111)</f>
        <v>42246.998611111099</v>
      </c>
      <c r="D1894" s="2">
        <f ca="1">IFERROR(__xludf.DUMMYFUNCTION("""COMPUTED_VALUE"""),66.145)</f>
        <v>66.144999999999996</v>
      </c>
      <c r="E1894" s="2">
        <f ca="1">IFERROR(__xludf.DUMMYFUNCTION("""COMPUTED_VALUE"""),76.092)</f>
        <v>76.091999999999999</v>
      </c>
      <c r="F1894" s="2">
        <f ca="1">IFERROR(__xludf.DUMMYFUNCTION("""COMPUTED_VALUE"""),100.03)</f>
        <v>100.03</v>
      </c>
      <c r="G1894" s="2">
        <f ca="1">IFERROR(__xludf.DUMMYFUNCTION("""COMPUTED_VALUE"""),0.5976)</f>
        <v>0.59760000000000002</v>
      </c>
      <c r="H1894" s="2">
        <f ca="1">IFERROR(__xludf.DUMMYFUNCTION("""COMPUTED_VALUE"""),48.588)</f>
        <v>48.588000000000001</v>
      </c>
      <c r="I1894" s="2">
        <f ca="1">IFERROR(__xludf.DUMMYFUNCTION("""COMPUTED_VALUE"""),49.065)</f>
        <v>49.064999999999998</v>
      </c>
      <c r="J1894" s="2">
        <f ca="1">IFERROR(__xludf.DUMMYFUNCTION("""COMPUTED_VALUE"""),47.9)</f>
        <v>47.9</v>
      </c>
      <c r="K1894" s="2">
        <f ca="1">IFERROR(__xludf.DUMMYFUNCTION("""COMPUTED_VALUE"""),65.032)</f>
        <v>65.031999999999996</v>
      </c>
      <c r="M1894" s="2">
        <f ca="1">IFERROR(__xludf.DUMMYFUNCTION("""COMPUTED_VALUE"""),17.808)</f>
        <v>17.808</v>
      </c>
      <c r="U1894" s="3" t="e">
        <f ca="1"/>
        <v>#NAME?</v>
      </c>
    </row>
    <row r="1895" spans="3:21" ht="12.5" x14ac:dyDescent="0.25">
      <c r="C1895" s="4">
        <f ca="1">IFERROR(__xludf.DUMMYFUNCTION("""COMPUTED_VALUE"""),42247.9986111111)</f>
        <v>42247.998611111099</v>
      </c>
      <c r="D1895" s="2">
        <f ca="1">IFERROR(__xludf.DUMMYFUNCTION("""COMPUTED_VALUE"""),66.35)</f>
        <v>66.349999999999994</v>
      </c>
      <c r="E1895" s="2">
        <f ca="1">IFERROR(__xludf.DUMMYFUNCTION("""COMPUTED_VALUE"""),76.605)</f>
        <v>76.605000000000004</v>
      </c>
      <c r="F1895" s="2">
        <f ca="1">IFERROR(__xludf.DUMMYFUNCTION("""COMPUTED_VALUE"""),99.949)</f>
        <v>99.948999999999998</v>
      </c>
      <c r="G1895" s="2">
        <f ca="1">IFERROR(__xludf.DUMMYFUNCTION("""COMPUTED_VALUE"""),0.59438)</f>
        <v>0.59438000000000002</v>
      </c>
      <c r="H1895" s="2">
        <f ca="1">IFERROR(__xludf.DUMMYFUNCTION("""COMPUTED_VALUE"""),47.89)</f>
        <v>47.89</v>
      </c>
      <c r="I1895" s="2">
        <f ca="1">IFERROR(__xludf.DUMMYFUNCTION("""COMPUTED_VALUE"""),48.739)</f>
        <v>48.738999999999997</v>
      </c>
      <c r="J1895" s="2">
        <f ca="1">IFERROR(__xludf.DUMMYFUNCTION("""COMPUTED_VALUE"""),48.315)</f>
        <v>48.314999999999998</v>
      </c>
      <c r="K1895" s="2">
        <f ca="1">IFERROR(__xludf.DUMMYFUNCTION("""COMPUTED_VALUE"""),64.768)</f>
        <v>64.768000000000001</v>
      </c>
      <c r="M1895" s="2">
        <f ca="1">IFERROR(__xludf.DUMMYFUNCTION("""COMPUTED_VALUE"""),17.973)</f>
        <v>17.972999999999999</v>
      </c>
      <c r="U1895" s="3" t="e">
        <f ca="1"/>
        <v>#NAME?</v>
      </c>
    </row>
    <row r="1896" spans="3:21" ht="12.5" x14ac:dyDescent="0.25">
      <c r="C1896" s="4">
        <f ca="1">IFERROR(__xludf.DUMMYFUNCTION("""COMPUTED_VALUE"""),42248.9986111111)</f>
        <v>42248.998611111099</v>
      </c>
      <c r="D1896" s="2">
        <f ca="1">IFERROR(__xludf.DUMMYFUNCTION("""COMPUTED_VALUE"""),66.423)</f>
        <v>66.423000000000002</v>
      </c>
      <c r="E1896" s="2">
        <f ca="1">IFERROR(__xludf.DUMMYFUNCTION("""COMPUTED_VALUE"""),76.502)</f>
        <v>76.501999999999995</v>
      </c>
      <c r="F1896" s="2">
        <f ca="1">IFERROR(__xludf.DUMMYFUNCTION("""COMPUTED_VALUE"""),99.989)</f>
        <v>99.989000000000004</v>
      </c>
      <c r="G1896" s="2">
        <f ca="1">IFERROR(__xludf.DUMMYFUNCTION("""COMPUTED_VALUE"""),0.59428)</f>
        <v>0.59428000000000003</v>
      </c>
      <c r="H1896" s="2">
        <f ca="1">IFERROR(__xludf.DUMMYFUNCTION("""COMPUTED_VALUE"""),47.89)</f>
        <v>47.89</v>
      </c>
      <c r="I1896" s="2">
        <f ca="1">IFERROR(__xludf.DUMMYFUNCTION("""COMPUTED_VALUE"""),48.739)</f>
        <v>48.738999999999997</v>
      </c>
      <c r="J1896" s="2">
        <f ca="1">IFERROR(__xludf.DUMMYFUNCTION("""COMPUTED_VALUE"""),48.154)</f>
        <v>48.154000000000003</v>
      </c>
      <c r="K1896" s="2">
        <f ca="1">IFERROR(__xludf.DUMMYFUNCTION("""COMPUTED_VALUE"""),65.125)</f>
        <v>65.125</v>
      </c>
      <c r="M1896" s="2">
        <f ca="1">IFERROR(__xludf.DUMMYFUNCTION("""COMPUTED_VALUE"""),18.185)</f>
        <v>18.184999999999999</v>
      </c>
      <c r="U1896" s="3" t="e">
        <f ca="1"/>
        <v>#NAME?</v>
      </c>
    </row>
    <row r="1897" spans="3:21" ht="12.5" x14ac:dyDescent="0.25">
      <c r="C1897" s="4">
        <f ca="1">IFERROR(__xludf.DUMMYFUNCTION("""COMPUTED_VALUE"""),42249.9986111111)</f>
        <v>42249.998611111099</v>
      </c>
      <c r="D1897" s="2">
        <f ca="1">IFERROR(__xludf.DUMMYFUNCTION("""COMPUTED_VALUE"""),66.226)</f>
        <v>66.225999999999999</v>
      </c>
      <c r="E1897" s="2">
        <f ca="1">IFERROR(__xludf.DUMMYFUNCTION("""COMPUTED_VALUE"""),77.417)</f>
        <v>77.417000000000002</v>
      </c>
      <c r="F1897" s="2">
        <f ca="1">IFERROR(__xludf.DUMMYFUNCTION("""COMPUTED_VALUE"""),99.989)</f>
        <v>99.989000000000004</v>
      </c>
      <c r="G1897" s="2">
        <f ca="1">IFERROR(__xludf.DUMMYFUNCTION("""COMPUTED_VALUE"""),0.59264)</f>
        <v>0.59263999999999994</v>
      </c>
      <c r="H1897" s="2">
        <f ca="1">IFERROR(__xludf.DUMMYFUNCTION("""COMPUTED_VALUE"""),48.121)</f>
        <v>48.121000000000002</v>
      </c>
      <c r="I1897" s="2">
        <f ca="1">IFERROR(__xludf.DUMMYFUNCTION("""COMPUTED_VALUE"""),48.832)</f>
        <v>48.832000000000001</v>
      </c>
      <c r="J1897" s="2">
        <f ca="1">IFERROR(__xludf.DUMMYFUNCTION("""COMPUTED_VALUE"""),48.154)</f>
        <v>48.154000000000003</v>
      </c>
      <c r="K1897" s="2">
        <f ca="1">IFERROR(__xludf.DUMMYFUNCTION("""COMPUTED_VALUE"""),64.272)</f>
        <v>64.272000000000006</v>
      </c>
      <c r="M1897" s="2">
        <f ca="1">IFERROR(__xludf.DUMMYFUNCTION("""COMPUTED_VALUE"""),18.042)</f>
        <v>18.042000000000002</v>
      </c>
      <c r="U1897" s="3" t="e">
        <f ca="1"/>
        <v>#NAME?</v>
      </c>
    </row>
    <row r="1898" spans="3:21" ht="12.5" x14ac:dyDescent="0.25">
      <c r="C1898" s="4">
        <f ca="1">IFERROR(__xludf.DUMMYFUNCTION("""COMPUTED_VALUE"""),42250.9986111111)</f>
        <v>42250.998611111099</v>
      </c>
      <c r="D1898" s="2">
        <f ca="1">IFERROR(__xludf.DUMMYFUNCTION("""COMPUTED_VALUE"""),66.16)</f>
        <v>66.16</v>
      </c>
      <c r="E1898" s="2">
        <f ca="1">IFERROR(__xludf.DUMMYFUNCTION("""COMPUTED_VALUE"""),75.9189)</f>
        <v>75.918899999999994</v>
      </c>
      <c r="F1898" s="2">
        <f ca="1">IFERROR(__xludf.DUMMYFUNCTION("""COMPUTED_VALUE"""),99.97)</f>
        <v>99.97</v>
      </c>
      <c r="G1898" s="2">
        <f ca="1">IFERROR(__xludf.DUMMYFUNCTION("""COMPUTED_VALUE"""),0.59426)</f>
        <v>0.59426000000000001</v>
      </c>
      <c r="H1898" s="2">
        <f ca="1">IFERROR(__xludf.DUMMYFUNCTION("""COMPUTED_VALUE"""),47.94)</f>
        <v>47.94</v>
      </c>
      <c r="I1898" s="2">
        <f ca="1">IFERROR(__xludf.DUMMYFUNCTION("""COMPUTED_VALUE"""),48.879)</f>
        <v>48.878999999999998</v>
      </c>
      <c r="J1898" s="2">
        <f ca="1">IFERROR(__xludf.DUMMYFUNCTION("""COMPUTED_VALUE"""),48.333)</f>
        <v>48.332999999999998</v>
      </c>
      <c r="K1898" s="2">
        <f ca="1">IFERROR(__xludf.DUMMYFUNCTION("""COMPUTED_VALUE"""),65.11)</f>
        <v>65.11</v>
      </c>
      <c r="M1898" s="2">
        <f ca="1">IFERROR(__xludf.DUMMYFUNCTION("""COMPUTED_VALUE"""),17.987)</f>
        <v>17.986999999999998</v>
      </c>
      <c r="U1898" s="3" t="e">
        <f ca="1"/>
        <v>#NAME?</v>
      </c>
    </row>
    <row r="1899" spans="3:21" ht="12.5" x14ac:dyDescent="0.25">
      <c r="C1899" s="4">
        <f ca="1">IFERROR(__xludf.DUMMYFUNCTION("""COMPUTED_VALUE"""),42251.9986111111)</f>
        <v>42251.998611111099</v>
      </c>
      <c r="D1899" s="2">
        <f ca="1">IFERROR(__xludf.DUMMYFUNCTION("""COMPUTED_VALUE"""),66.678)</f>
        <v>66.677999999999997</v>
      </c>
      <c r="E1899" s="2">
        <f ca="1">IFERROR(__xludf.DUMMYFUNCTION("""COMPUTED_VALUE"""),75.9189)</f>
        <v>75.918899999999994</v>
      </c>
      <c r="F1899" s="2">
        <f ca="1">IFERROR(__xludf.DUMMYFUNCTION("""COMPUTED_VALUE"""),99.338)</f>
        <v>99.337999999999994</v>
      </c>
      <c r="G1899" s="2">
        <f ca="1">IFERROR(__xludf.DUMMYFUNCTION("""COMPUTED_VALUE"""),0.59456)</f>
        <v>0.59455999999999998</v>
      </c>
      <c r="H1899" s="2">
        <f ca="1">IFERROR(__xludf.DUMMYFUNCTION("""COMPUTED_VALUE"""),48.167)</f>
        <v>48.167000000000002</v>
      </c>
      <c r="I1899" s="2">
        <f ca="1">IFERROR(__xludf.DUMMYFUNCTION("""COMPUTED_VALUE"""),48.708)</f>
        <v>48.707999999999998</v>
      </c>
      <c r="J1899" s="2">
        <f ca="1">IFERROR(__xludf.DUMMYFUNCTION("""COMPUTED_VALUE"""),48.556)</f>
        <v>48.555999999999997</v>
      </c>
      <c r="K1899" s="2">
        <f ca="1">IFERROR(__xludf.DUMMYFUNCTION("""COMPUTED_VALUE"""),65.111)</f>
        <v>65.111000000000004</v>
      </c>
      <c r="M1899" s="2">
        <f ca="1">IFERROR(__xludf.DUMMYFUNCTION("""COMPUTED_VALUE"""),17.983)</f>
        <v>17.983000000000001</v>
      </c>
      <c r="U1899" s="3" t="e">
        <f ca="1"/>
        <v>#NAME?</v>
      </c>
    </row>
    <row r="1900" spans="3:21" ht="12.5" x14ac:dyDescent="0.25">
      <c r="C1900" s="4">
        <f ca="1">IFERROR(__xludf.DUMMYFUNCTION("""COMPUTED_VALUE"""),42252.9986111111)</f>
        <v>42252.998611111099</v>
      </c>
      <c r="D1900" s="2">
        <f ca="1">IFERROR(__xludf.DUMMYFUNCTION("""COMPUTED_VALUE"""),66.679)</f>
        <v>66.679000000000002</v>
      </c>
      <c r="E1900" s="2">
        <f ca="1">IFERROR(__xludf.DUMMYFUNCTION("""COMPUTED_VALUE"""),76.081)</f>
        <v>76.081000000000003</v>
      </c>
      <c r="F1900" s="2">
        <f ca="1">IFERROR(__xludf.DUMMYFUNCTION("""COMPUTED_VALUE"""),99.401)</f>
        <v>99.400999999999996</v>
      </c>
      <c r="G1900" s="2">
        <f ca="1">IFERROR(__xludf.DUMMYFUNCTION("""COMPUTED_VALUE"""),0.5926)</f>
        <v>0.59260000000000002</v>
      </c>
      <c r="H1900" s="2">
        <f ca="1">IFERROR(__xludf.DUMMYFUNCTION("""COMPUTED_VALUE"""),48.716)</f>
        <v>48.716000000000001</v>
      </c>
      <c r="I1900" s="2">
        <f ca="1">IFERROR(__xludf.DUMMYFUNCTION("""COMPUTED_VALUE"""),49.161)</f>
        <v>49.161000000000001</v>
      </c>
      <c r="J1900" s="2">
        <f ca="1">IFERROR(__xludf.DUMMYFUNCTION("""COMPUTED_VALUE"""),48.738)</f>
        <v>48.738</v>
      </c>
      <c r="K1900" s="2">
        <f ca="1">IFERROR(__xludf.DUMMYFUNCTION("""COMPUTED_VALUE"""),64.901)</f>
        <v>64.900999999999996</v>
      </c>
      <c r="M1900" s="2">
        <f ca="1">IFERROR(__xludf.DUMMYFUNCTION("""COMPUTED_VALUE"""),18.006)</f>
        <v>18.006</v>
      </c>
      <c r="U1900" s="3" t="e">
        <f ca="1"/>
        <v>#NAME?</v>
      </c>
    </row>
    <row r="1901" spans="3:21" ht="12.5" x14ac:dyDescent="0.25">
      <c r="C1901" s="4">
        <f ca="1">IFERROR(__xludf.DUMMYFUNCTION("""COMPUTED_VALUE"""),42253.9986111111)</f>
        <v>42253.998611111099</v>
      </c>
      <c r="D1901" s="2">
        <f ca="1">IFERROR(__xludf.DUMMYFUNCTION("""COMPUTED_VALUE"""),66.679)</f>
        <v>66.679000000000002</v>
      </c>
      <c r="E1901" s="2">
        <f ca="1">IFERROR(__xludf.DUMMYFUNCTION("""COMPUTED_VALUE"""),76.268)</f>
        <v>76.268000000000001</v>
      </c>
      <c r="F1901" s="2">
        <f ca="1">IFERROR(__xludf.DUMMYFUNCTION("""COMPUTED_VALUE"""),98.865)</f>
        <v>98.864999999999995</v>
      </c>
      <c r="G1901" s="2">
        <f ca="1">IFERROR(__xludf.DUMMYFUNCTION("""COMPUTED_VALUE"""),0.59169)</f>
        <v>0.59169000000000005</v>
      </c>
      <c r="H1901" s="2">
        <f ca="1">IFERROR(__xludf.DUMMYFUNCTION("""COMPUTED_VALUE"""),48.376)</f>
        <v>48.375999999999998</v>
      </c>
      <c r="I1901" s="2">
        <f ca="1">IFERROR(__xludf.DUMMYFUNCTION("""COMPUTED_VALUE"""),49.159)</f>
        <v>49.158999999999999</v>
      </c>
      <c r="J1901" s="2">
        <f ca="1">IFERROR(__xludf.DUMMYFUNCTION("""COMPUTED_VALUE"""),49.223)</f>
        <v>49.222999999999999</v>
      </c>
      <c r="K1901" s="2">
        <f ca="1">IFERROR(__xludf.DUMMYFUNCTION("""COMPUTED_VALUE"""),64.956)</f>
        <v>64.956000000000003</v>
      </c>
      <c r="M1901" s="2">
        <f ca="1">IFERROR(__xludf.DUMMYFUNCTION("""COMPUTED_VALUE"""),18.075)</f>
        <v>18.074999999999999</v>
      </c>
      <c r="U1901" s="3" t="e">
        <f ca="1"/>
        <v>#NAME?</v>
      </c>
    </row>
    <row r="1902" spans="3:21" ht="12.5" x14ac:dyDescent="0.25">
      <c r="C1902" s="4">
        <f ca="1">IFERROR(__xludf.DUMMYFUNCTION("""COMPUTED_VALUE"""),42254.9986111111)</f>
        <v>42254.998611111099</v>
      </c>
      <c r="D1902" s="2">
        <f ca="1">IFERROR(__xludf.DUMMYFUNCTION("""COMPUTED_VALUE"""),66.803)</f>
        <v>66.802999999999997</v>
      </c>
      <c r="E1902" s="2">
        <f ca="1">IFERROR(__xludf.DUMMYFUNCTION("""COMPUTED_VALUE"""),75.961)</f>
        <v>75.960999999999999</v>
      </c>
      <c r="F1902" s="2">
        <f ca="1">IFERROR(__xludf.DUMMYFUNCTION("""COMPUTED_VALUE"""),98.744)</f>
        <v>98.744</v>
      </c>
      <c r="G1902" s="2">
        <f ca="1">IFERROR(__xludf.DUMMYFUNCTION("""COMPUTED_VALUE"""),0.58831)</f>
        <v>0.58831</v>
      </c>
      <c r="H1902" s="2">
        <f ca="1">IFERROR(__xludf.DUMMYFUNCTION("""COMPUTED_VALUE"""),47.913)</f>
        <v>47.912999999999997</v>
      </c>
      <c r="I1902" s="2">
        <f ca="1">IFERROR(__xludf.DUMMYFUNCTION("""COMPUTED_VALUE"""),48.706)</f>
        <v>48.706000000000003</v>
      </c>
      <c r="J1902" s="2">
        <f ca="1">IFERROR(__xludf.DUMMYFUNCTION("""COMPUTED_VALUE"""),48.683)</f>
        <v>48.683</v>
      </c>
      <c r="K1902" s="2">
        <f ca="1">IFERROR(__xludf.DUMMYFUNCTION("""COMPUTED_VALUE"""),64.923)</f>
        <v>64.923000000000002</v>
      </c>
      <c r="M1902" s="2">
        <f ca="1">IFERROR(__xludf.DUMMYFUNCTION("""COMPUTED_VALUE"""),18.085)</f>
        <v>18.085000000000001</v>
      </c>
      <c r="U1902" s="3" t="e">
        <f ca="1"/>
        <v>#NAME?</v>
      </c>
    </row>
    <row r="1903" spans="3:21" ht="12.5" x14ac:dyDescent="0.25">
      <c r="C1903" s="4">
        <f ca="1">IFERROR(__xludf.DUMMYFUNCTION("""COMPUTED_VALUE"""),42255.9986111111)</f>
        <v>42255.998611111099</v>
      </c>
      <c r="D1903" s="2">
        <f ca="1">IFERROR(__xludf.DUMMYFUNCTION("""COMPUTED_VALUE"""),66.406)</f>
        <v>66.406000000000006</v>
      </c>
      <c r="E1903" s="2">
        <f ca="1">IFERROR(__xludf.DUMMYFUNCTION("""COMPUTED_VALUE"""),76.074)</f>
        <v>76.073999999999998</v>
      </c>
      <c r="F1903" s="2">
        <f ca="1">IFERROR(__xludf.DUMMYFUNCTION("""COMPUTED_VALUE"""),98.744)</f>
        <v>98.744</v>
      </c>
      <c r="G1903" s="2">
        <f ca="1">IFERROR(__xludf.DUMMYFUNCTION("""COMPUTED_VALUE"""),0.58829)</f>
        <v>0.58828999999999998</v>
      </c>
      <c r="H1903" s="2">
        <f ca="1">IFERROR(__xludf.DUMMYFUNCTION("""COMPUTED_VALUE"""),48.654)</f>
        <v>48.654000000000003</v>
      </c>
      <c r="I1903" s="2">
        <f ca="1">IFERROR(__xludf.DUMMYFUNCTION("""COMPUTED_VALUE"""),49.253)</f>
        <v>49.253</v>
      </c>
      <c r="J1903" s="2">
        <f ca="1">IFERROR(__xludf.DUMMYFUNCTION("""COMPUTED_VALUE"""),48.235)</f>
        <v>48.234999999999999</v>
      </c>
      <c r="K1903" s="2">
        <f ca="1">IFERROR(__xludf.DUMMYFUNCTION("""COMPUTED_VALUE"""),64.571)</f>
        <v>64.570999999999998</v>
      </c>
      <c r="M1903" s="2">
        <f ca="1">IFERROR(__xludf.DUMMYFUNCTION("""COMPUTED_VALUE"""),18.03)</f>
        <v>18.03</v>
      </c>
      <c r="U1903" s="3" t="e">
        <f ca="1"/>
        <v>#NAME?</v>
      </c>
    </row>
    <row r="1904" spans="3:21" ht="12.5" x14ac:dyDescent="0.25">
      <c r="C1904" s="4">
        <f ca="1">IFERROR(__xludf.DUMMYFUNCTION("""COMPUTED_VALUE"""),42256.9986111111)</f>
        <v>42256.998611111099</v>
      </c>
      <c r="D1904" s="2">
        <f ca="1">IFERROR(__xludf.DUMMYFUNCTION("""COMPUTED_VALUE"""),66.597)</f>
        <v>66.596999999999994</v>
      </c>
      <c r="E1904" s="2">
        <f ca="1">IFERROR(__xludf.DUMMYFUNCTION("""COMPUTED_VALUE"""),75.0889)</f>
        <v>75.088899999999995</v>
      </c>
      <c r="F1904" s="2">
        <f ca="1">IFERROR(__xludf.DUMMYFUNCTION("""COMPUTED_VALUE"""),98.744)</f>
        <v>98.744</v>
      </c>
      <c r="G1904" s="2">
        <f ca="1">IFERROR(__xludf.DUMMYFUNCTION("""COMPUTED_VALUE"""),0.59002)</f>
        <v>0.59001999999999999</v>
      </c>
      <c r="H1904" s="2">
        <f ca="1">IFERROR(__xludf.DUMMYFUNCTION("""COMPUTED_VALUE"""),48.712)</f>
        <v>48.712000000000003</v>
      </c>
      <c r="I1904" s="2">
        <f ca="1">IFERROR(__xludf.DUMMYFUNCTION("""COMPUTED_VALUE"""),49.361)</f>
        <v>49.360999999999997</v>
      </c>
      <c r="J1904" s="2">
        <f ca="1">IFERROR(__xludf.DUMMYFUNCTION("""COMPUTED_VALUE"""),48.665)</f>
        <v>48.664999999999999</v>
      </c>
      <c r="K1904" s="2">
        <f ca="1">IFERROR(__xludf.DUMMYFUNCTION("""COMPUTED_VALUE"""),64.694)</f>
        <v>64.694000000000003</v>
      </c>
      <c r="M1904" s="2">
        <f ca="1">IFERROR(__xludf.DUMMYFUNCTION("""COMPUTED_VALUE"""),18.01)</f>
        <v>18.010000000000002</v>
      </c>
      <c r="U1904" s="3" t="e">
        <f ca="1"/>
        <v>#NAME?</v>
      </c>
    </row>
    <row r="1905" spans="3:21" ht="12.5" x14ac:dyDescent="0.25">
      <c r="C1905" s="4">
        <f ca="1">IFERROR(__xludf.DUMMYFUNCTION("""COMPUTED_VALUE"""),42257.9986111111)</f>
        <v>42257.998611111099</v>
      </c>
      <c r="D1905" s="2">
        <f ca="1">IFERROR(__xludf.DUMMYFUNCTION("""COMPUTED_VALUE"""),66.319)</f>
        <v>66.319000000000003</v>
      </c>
      <c r="E1905" s="2">
        <f ca="1">IFERROR(__xludf.DUMMYFUNCTION("""COMPUTED_VALUE"""),76.241)</f>
        <v>76.241</v>
      </c>
      <c r="F1905" s="2">
        <f ca="1">IFERROR(__xludf.DUMMYFUNCTION("""COMPUTED_VALUE"""),99.498)</f>
        <v>99.498000000000005</v>
      </c>
      <c r="G1905" s="2">
        <f ca="1">IFERROR(__xludf.DUMMYFUNCTION("""COMPUTED_VALUE"""),0.58825)</f>
        <v>0.58825000000000005</v>
      </c>
      <c r="H1905" s="2">
        <f ca="1">IFERROR(__xludf.DUMMYFUNCTION("""COMPUTED_VALUE"""),48.999)</f>
        <v>48.999000000000002</v>
      </c>
      <c r="I1905" s="2">
        <f ca="1">IFERROR(__xludf.DUMMYFUNCTION("""COMPUTED_VALUE"""),49.941)</f>
        <v>49.941000000000003</v>
      </c>
      <c r="J1905" s="2">
        <f ca="1">IFERROR(__xludf.DUMMYFUNCTION("""COMPUTED_VALUE"""),48.696)</f>
        <v>48.695999999999998</v>
      </c>
      <c r="K1905" s="2">
        <f ca="1">IFERROR(__xludf.DUMMYFUNCTION("""COMPUTED_VALUE"""),65.274)</f>
        <v>65.274000000000001</v>
      </c>
      <c r="M1905" s="2">
        <f ca="1">IFERROR(__xludf.DUMMYFUNCTION("""COMPUTED_VALUE"""),18.151)</f>
        <v>18.151</v>
      </c>
      <c r="U1905" s="3" t="e">
        <f ca="1"/>
        <v>#NAME?</v>
      </c>
    </row>
    <row r="1906" spans="3:21" ht="12.5" x14ac:dyDescent="0.25">
      <c r="C1906" s="4">
        <f ca="1">IFERROR(__xludf.DUMMYFUNCTION("""COMPUTED_VALUE"""),42258.9986111111)</f>
        <v>42258.998611111099</v>
      </c>
      <c r="D1906" s="2">
        <f ca="1">IFERROR(__xludf.DUMMYFUNCTION("""COMPUTED_VALUE"""),66.234)</f>
        <v>66.233999999999995</v>
      </c>
      <c r="E1906" s="2">
        <f ca="1">IFERROR(__xludf.DUMMYFUNCTION("""COMPUTED_VALUE"""),75.545)</f>
        <v>75.545000000000002</v>
      </c>
      <c r="F1906" s="2">
        <f ca="1">IFERROR(__xludf.DUMMYFUNCTION("""COMPUTED_VALUE"""),100.24)</f>
        <v>100.24</v>
      </c>
      <c r="G1906" s="2">
        <f ca="1">IFERROR(__xludf.DUMMYFUNCTION("""COMPUTED_VALUE"""),0.59386)</f>
        <v>0.59386000000000005</v>
      </c>
      <c r="H1906" s="2">
        <f ca="1">IFERROR(__xludf.DUMMYFUNCTION("""COMPUTED_VALUE"""),48.958)</f>
        <v>48.957999999999998</v>
      </c>
      <c r="I1906" s="2">
        <f ca="1">IFERROR(__xludf.DUMMYFUNCTION("""COMPUTED_VALUE"""),49.856)</f>
        <v>49.856000000000002</v>
      </c>
      <c r="J1906" s="2">
        <f ca="1">IFERROR(__xludf.DUMMYFUNCTION("""COMPUTED_VALUE"""),48.631)</f>
        <v>48.631</v>
      </c>
      <c r="K1906" s="2">
        <f ca="1">IFERROR(__xludf.DUMMYFUNCTION("""COMPUTED_VALUE"""),67.143)</f>
        <v>67.143000000000001</v>
      </c>
      <c r="M1906" s="2">
        <f ca="1">IFERROR(__xludf.DUMMYFUNCTION("""COMPUTED_VALUE"""),18.184)</f>
        <v>18.184000000000001</v>
      </c>
      <c r="U1906" s="3" t="e">
        <f ca="1"/>
        <v>#NAME?</v>
      </c>
    </row>
    <row r="1907" spans="3:21" ht="12.5" x14ac:dyDescent="0.25">
      <c r="C1907" s="4">
        <f ca="1">IFERROR(__xludf.DUMMYFUNCTION("""COMPUTED_VALUE"""),42260.9986111111)</f>
        <v>42260.998611111099</v>
      </c>
      <c r="D1907" s="2">
        <f ca="1">IFERROR(__xludf.DUMMYFUNCTION("""COMPUTED_VALUE"""),66.235)</f>
        <v>66.234999999999999</v>
      </c>
      <c r="E1907" s="2">
        <f ca="1">IFERROR(__xludf.DUMMYFUNCTION("""COMPUTED_VALUE"""),75.557)</f>
        <v>75.557000000000002</v>
      </c>
      <c r="F1907" s="2">
        <f ca="1">IFERROR(__xludf.DUMMYFUNCTION("""COMPUTED_VALUE"""),101.15)</f>
        <v>101.15</v>
      </c>
      <c r="G1907" s="2">
        <f ca="1">IFERROR(__xludf.DUMMYFUNCTION("""COMPUTED_VALUE"""),0.59347)</f>
        <v>0.59347000000000005</v>
      </c>
      <c r="H1907" s="2">
        <f ca="1">IFERROR(__xludf.DUMMYFUNCTION("""COMPUTED_VALUE"""),48.957)</f>
        <v>48.957000000000001</v>
      </c>
      <c r="I1907" s="2">
        <f ca="1">IFERROR(__xludf.DUMMYFUNCTION("""COMPUTED_VALUE"""),49.751)</f>
        <v>49.750999999999998</v>
      </c>
      <c r="J1907" s="2">
        <f ca="1">IFERROR(__xludf.DUMMYFUNCTION("""COMPUTED_VALUE"""),48.781)</f>
        <v>48.780999999999999</v>
      </c>
      <c r="K1907" s="2">
        <f ca="1">IFERROR(__xludf.DUMMYFUNCTION("""COMPUTED_VALUE"""),66.84)</f>
        <v>66.84</v>
      </c>
      <c r="M1907" s="2">
        <f ca="1">IFERROR(__xludf.DUMMYFUNCTION("""COMPUTED_VALUE"""),18.065)</f>
        <v>18.065000000000001</v>
      </c>
      <c r="U1907" s="3" t="e">
        <f ca="1"/>
        <v>#NAME?</v>
      </c>
    </row>
    <row r="1908" spans="3:21" ht="12.5" x14ac:dyDescent="0.25">
      <c r="C1908" s="4">
        <f ca="1">IFERROR(__xludf.DUMMYFUNCTION("""COMPUTED_VALUE"""),42261.9986111111)</f>
        <v>42261.998611111099</v>
      </c>
      <c r="D1908" s="2">
        <f ca="1">IFERROR(__xludf.DUMMYFUNCTION("""COMPUTED_VALUE"""),66.315)</f>
        <v>66.314999999999998</v>
      </c>
      <c r="E1908" s="2">
        <f ca="1">IFERROR(__xludf.DUMMYFUNCTION("""COMPUTED_VALUE"""),75.235)</f>
        <v>75.234999999999999</v>
      </c>
      <c r="F1908" s="2">
        <f ca="1">IFERROR(__xludf.DUMMYFUNCTION("""COMPUTED_VALUE"""),101.88)</f>
        <v>101.88</v>
      </c>
      <c r="G1908" s="2">
        <f ca="1">IFERROR(__xludf.DUMMYFUNCTION("""COMPUTED_VALUE"""),0.59347)</f>
        <v>0.59347000000000005</v>
      </c>
      <c r="H1908" s="2">
        <f ca="1">IFERROR(__xludf.DUMMYFUNCTION("""COMPUTED_VALUE"""),48.957)</f>
        <v>48.957000000000001</v>
      </c>
      <c r="I1908" s="2">
        <f ca="1">IFERROR(__xludf.DUMMYFUNCTION("""COMPUTED_VALUE"""),49.711)</f>
        <v>49.710999999999999</v>
      </c>
      <c r="J1908" s="2">
        <f ca="1">IFERROR(__xludf.DUMMYFUNCTION("""COMPUTED_VALUE"""),48.73)</f>
        <v>48.73</v>
      </c>
      <c r="K1908" s="2">
        <f ca="1">IFERROR(__xludf.DUMMYFUNCTION("""COMPUTED_VALUE"""),66.655)</f>
        <v>66.655000000000001</v>
      </c>
      <c r="M1908" s="2">
        <f ca="1">IFERROR(__xludf.DUMMYFUNCTION("""COMPUTED_VALUE"""),18.134)</f>
        <v>18.134</v>
      </c>
      <c r="U1908" s="3" t="e">
        <f ca="1"/>
        <v>#NAME?</v>
      </c>
    </row>
    <row r="1909" spans="3:21" ht="12.5" x14ac:dyDescent="0.25">
      <c r="C1909" s="4">
        <f ca="1">IFERROR(__xludf.DUMMYFUNCTION("""COMPUTED_VALUE"""),42262.9986111111)</f>
        <v>42262.998611111099</v>
      </c>
      <c r="D1909" s="2">
        <f ca="1">IFERROR(__xludf.DUMMYFUNCTION("""COMPUTED_VALUE"""),66.43)</f>
        <v>66.430000000000007</v>
      </c>
      <c r="E1909" s="2">
        <f ca="1">IFERROR(__xludf.DUMMYFUNCTION("""COMPUTED_VALUE"""),75.763)</f>
        <v>75.763000000000005</v>
      </c>
      <c r="F1909" s="2">
        <f ca="1">IFERROR(__xludf.DUMMYFUNCTION("""COMPUTED_VALUE"""),101.88)</f>
        <v>101.88</v>
      </c>
      <c r="G1909" s="2">
        <f ca="1">IFERROR(__xludf.DUMMYFUNCTION("""COMPUTED_VALUE"""),0.59377)</f>
        <v>0.59377000000000002</v>
      </c>
      <c r="H1909" s="2">
        <f ca="1">IFERROR(__xludf.DUMMYFUNCTION("""COMPUTED_VALUE"""),49.544)</f>
        <v>49.543999999999997</v>
      </c>
      <c r="I1909" s="2">
        <f ca="1">IFERROR(__xludf.DUMMYFUNCTION("""COMPUTED_VALUE"""),49.988)</f>
        <v>49.988</v>
      </c>
      <c r="J1909" s="2">
        <f ca="1">IFERROR(__xludf.DUMMYFUNCTION("""COMPUTED_VALUE"""),48.73)</f>
        <v>48.73</v>
      </c>
      <c r="K1909" s="2">
        <f ca="1">IFERROR(__xludf.DUMMYFUNCTION("""COMPUTED_VALUE"""),67.227)</f>
        <v>67.227000000000004</v>
      </c>
      <c r="M1909" s="2">
        <f ca="1">IFERROR(__xludf.DUMMYFUNCTION("""COMPUTED_VALUE"""),18.052)</f>
        <v>18.052</v>
      </c>
      <c r="U1909" s="3" t="e">
        <f ca="1"/>
        <v>#NAME?</v>
      </c>
    </row>
    <row r="1910" spans="3:21" ht="12.5" x14ac:dyDescent="0.25">
      <c r="C1910" s="4">
        <f ca="1">IFERROR(__xludf.DUMMYFUNCTION("""COMPUTED_VALUE"""),42263.9986111111)</f>
        <v>42263.998611111099</v>
      </c>
      <c r="D1910" s="2">
        <f ca="1">IFERROR(__xludf.DUMMYFUNCTION("""COMPUTED_VALUE"""),66.196)</f>
        <v>66.195999999999998</v>
      </c>
      <c r="E1910" s="2">
        <f ca="1">IFERROR(__xludf.DUMMYFUNCTION("""COMPUTED_VALUE"""),74.7189)</f>
        <v>74.718900000000005</v>
      </c>
      <c r="F1910" s="2">
        <f ca="1">IFERROR(__xludf.DUMMYFUNCTION("""COMPUTED_VALUE"""),101.93)</f>
        <v>101.93</v>
      </c>
      <c r="G1910" s="2">
        <f ca="1">IFERROR(__xludf.DUMMYFUNCTION("""COMPUTED_VALUE"""),0.60155)</f>
        <v>0.60155000000000003</v>
      </c>
      <c r="H1910" s="2">
        <f ca="1">IFERROR(__xludf.DUMMYFUNCTION("""COMPUTED_VALUE"""),49.306)</f>
        <v>49.305999999999997</v>
      </c>
      <c r="I1910" s="2">
        <f ca="1">IFERROR(__xludf.DUMMYFUNCTION("""COMPUTED_VALUE"""),49.676)</f>
        <v>49.676000000000002</v>
      </c>
      <c r="J1910" s="2">
        <f ca="1">IFERROR(__xludf.DUMMYFUNCTION("""COMPUTED_VALUE"""),48.95)</f>
        <v>48.95</v>
      </c>
      <c r="K1910" s="2">
        <f ca="1">IFERROR(__xludf.DUMMYFUNCTION("""COMPUTED_VALUE"""),67.944)</f>
        <v>67.944000000000003</v>
      </c>
      <c r="M1910" s="2">
        <f ca="1">IFERROR(__xludf.DUMMYFUNCTION("""COMPUTED_VALUE"""),18.031)</f>
        <v>18.030999999999999</v>
      </c>
      <c r="U1910" s="3" t="e">
        <f ca="1"/>
        <v>#NAME?</v>
      </c>
    </row>
    <row r="1911" spans="3:21" ht="12.5" x14ac:dyDescent="0.25">
      <c r="C1911" s="4">
        <f ca="1">IFERROR(__xludf.DUMMYFUNCTION("""COMPUTED_VALUE"""),42264.9986111111)</f>
        <v>42264.998611111099</v>
      </c>
      <c r="D1911" s="2">
        <f ca="1">IFERROR(__xludf.DUMMYFUNCTION("""COMPUTED_VALUE"""),66.122)</f>
        <v>66.122</v>
      </c>
      <c r="E1911" s="2">
        <f ca="1">IFERROR(__xludf.DUMMYFUNCTION("""COMPUTED_VALUE"""),74.187)</f>
        <v>74.186999999999998</v>
      </c>
      <c r="F1911" s="2">
        <f ca="1">IFERROR(__xludf.DUMMYFUNCTION("""COMPUTED_VALUE"""),101.99)</f>
        <v>101.99</v>
      </c>
      <c r="G1911" s="2">
        <f ca="1">IFERROR(__xludf.DUMMYFUNCTION("""COMPUTED_VALUE"""),0.60577)</f>
        <v>0.60577000000000003</v>
      </c>
      <c r="H1911" s="2">
        <f ca="1">IFERROR(__xludf.DUMMYFUNCTION("""COMPUTED_VALUE"""),49.125)</f>
        <v>49.125</v>
      </c>
      <c r="I1911" s="2">
        <f ca="1">IFERROR(__xludf.DUMMYFUNCTION("""COMPUTED_VALUE"""),49.848)</f>
        <v>49.847999999999999</v>
      </c>
      <c r="J1911" s="2">
        <f ca="1">IFERROR(__xludf.DUMMYFUNCTION("""COMPUTED_VALUE"""),48.673)</f>
        <v>48.673000000000002</v>
      </c>
      <c r="K1911" s="2">
        <f ca="1">IFERROR(__xludf.DUMMYFUNCTION("""COMPUTED_VALUE"""),67.521)</f>
        <v>67.521000000000001</v>
      </c>
      <c r="M1911" s="2">
        <f ca="1">IFERROR(__xludf.DUMMYFUNCTION("""COMPUTED_VALUE"""),18.055)</f>
        <v>18.055</v>
      </c>
      <c r="U1911" s="3" t="e">
        <f ca="1"/>
        <v>#NAME?</v>
      </c>
    </row>
    <row r="1912" spans="3:21" ht="12.5" x14ac:dyDescent="0.25">
      <c r="C1912" s="4">
        <f ca="1">IFERROR(__xludf.DUMMYFUNCTION("""COMPUTED_VALUE"""),42265.9986111111)</f>
        <v>42265.998611111099</v>
      </c>
      <c r="D1912" s="2">
        <f ca="1">IFERROR(__xludf.DUMMYFUNCTION("""COMPUTED_VALUE"""),65.861)</f>
        <v>65.861000000000004</v>
      </c>
      <c r="E1912" s="2">
        <f ca="1">IFERROR(__xludf.DUMMYFUNCTION("""COMPUTED_VALUE"""),73.595)</f>
        <v>73.594999999999999</v>
      </c>
      <c r="F1912" s="2">
        <f ca="1">IFERROR(__xludf.DUMMYFUNCTION("""COMPUTED_VALUE"""),102.48)</f>
        <v>102.48</v>
      </c>
      <c r="G1912" s="2">
        <f ca="1">IFERROR(__xludf.DUMMYFUNCTION("""COMPUTED_VALUE"""),0.61553)</f>
        <v>0.61553000000000002</v>
      </c>
      <c r="H1912" s="2">
        <f ca="1">IFERROR(__xludf.DUMMYFUNCTION("""COMPUTED_VALUE"""),49.728)</f>
        <v>49.728000000000002</v>
      </c>
      <c r="I1912" s="2">
        <f ca="1">IFERROR(__xludf.DUMMYFUNCTION("""COMPUTED_VALUE"""),50.734)</f>
        <v>50.734000000000002</v>
      </c>
      <c r="J1912" s="2">
        <f ca="1">IFERROR(__xludf.DUMMYFUNCTION("""COMPUTED_VALUE"""),48.634)</f>
        <v>48.634</v>
      </c>
      <c r="K1912" s="2">
        <f ca="1">IFERROR(__xludf.DUMMYFUNCTION("""COMPUTED_VALUE"""),67.035)</f>
        <v>67.034999999999997</v>
      </c>
      <c r="M1912" s="2">
        <f ca="1">IFERROR(__xludf.DUMMYFUNCTION("""COMPUTED_VALUE"""),18.082)</f>
        <v>18.082000000000001</v>
      </c>
      <c r="U1912" s="3" t="e">
        <f ca="1"/>
        <v>#NAME?</v>
      </c>
    </row>
    <row r="1913" spans="3:21" ht="12.5" x14ac:dyDescent="0.25">
      <c r="C1913" s="4">
        <f ca="1">IFERROR(__xludf.DUMMYFUNCTION("""COMPUTED_VALUE"""),42266.9986111111)</f>
        <v>42266.998611111099</v>
      </c>
      <c r="D1913" s="2">
        <f ca="1">IFERROR(__xludf.DUMMYFUNCTION("""COMPUTED_VALUE"""),65.862)</f>
        <v>65.861999999999995</v>
      </c>
      <c r="E1913" s="2">
        <f ca="1">IFERROR(__xludf.DUMMYFUNCTION("""COMPUTED_VALUE"""),73.169)</f>
        <v>73.168999999999997</v>
      </c>
      <c r="F1913" s="2">
        <f ca="1">IFERROR(__xludf.DUMMYFUNCTION("""COMPUTED_VALUE"""),102.02)</f>
        <v>102.02</v>
      </c>
      <c r="G1913" s="2">
        <f ca="1">IFERROR(__xludf.DUMMYFUNCTION("""COMPUTED_VALUE"""),0.61539)</f>
        <v>0.61538999999999999</v>
      </c>
      <c r="H1913" s="2">
        <f ca="1">IFERROR(__xludf.DUMMYFUNCTION("""COMPUTED_VALUE"""),48.861)</f>
        <v>48.860999999999997</v>
      </c>
      <c r="I1913" s="2">
        <f ca="1">IFERROR(__xludf.DUMMYFUNCTION("""COMPUTED_VALUE"""),50.582)</f>
        <v>50.582000000000001</v>
      </c>
      <c r="J1913" s="2">
        <f ca="1">IFERROR(__xludf.DUMMYFUNCTION("""COMPUTED_VALUE"""),49.052)</f>
        <v>49.052</v>
      </c>
      <c r="K1913" s="2">
        <f ca="1">IFERROR(__xludf.DUMMYFUNCTION("""COMPUTED_VALUE"""),67.966)</f>
        <v>67.965999999999994</v>
      </c>
      <c r="M1913" s="2">
        <f ca="1">IFERROR(__xludf.DUMMYFUNCTION("""COMPUTED_VALUE"""),18.02)</f>
        <v>18.02</v>
      </c>
      <c r="U1913" s="3" t="e">
        <f ca="1"/>
        <v>#NAME?</v>
      </c>
    </row>
    <row r="1914" spans="3:21" ht="12.5" x14ac:dyDescent="0.25">
      <c r="C1914" s="4">
        <f ca="1">IFERROR(__xludf.DUMMYFUNCTION("""COMPUTED_VALUE"""),42268.9986111111)</f>
        <v>42268.998611111099</v>
      </c>
      <c r="D1914" s="2">
        <f ca="1">IFERROR(__xludf.DUMMYFUNCTION("""COMPUTED_VALUE"""),65.739)</f>
        <v>65.739000000000004</v>
      </c>
      <c r="E1914" s="2">
        <f ca="1">IFERROR(__xludf.DUMMYFUNCTION("""COMPUTED_VALUE"""),73.433)</f>
        <v>73.433000000000007</v>
      </c>
      <c r="F1914" s="2">
        <f ca="1">IFERROR(__xludf.DUMMYFUNCTION("""COMPUTED_VALUE"""),102.71)</f>
        <v>102.71</v>
      </c>
      <c r="G1914" s="2">
        <f ca="1">IFERROR(__xludf.DUMMYFUNCTION("""COMPUTED_VALUE"""),0.61539)</f>
        <v>0.61538999999999999</v>
      </c>
      <c r="H1914" s="2">
        <f ca="1">IFERROR(__xludf.DUMMYFUNCTION("""COMPUTED_VALUE"""),48.659)</f>
        <v>48.658999999999999</v>
      </c>
      <c r="I1914" s="2">
        <f ca="1">IFERROR(__xludf.DUMMYFUNCTION("""COMPUTED_VALUE"""),50.334)</f>
        <v>50.334000000000003</v>
      </c>
      <c r="J1914" s="2">
        <f ca="1">IFERROR(__xludf.DUMMYFUNCTION("""COMPUTED_VALUE"""),48.574)</f>
        <v>48.573999999999998</v>
      </c>
      <c r="K1914" s="2">
        <f ca="1">IFERROR(__xludf.DUMMYFUNCTION("""COMPUTED_VALUE"""),67.447)</f>
        <v>67.447000000000003</v>
      </c>
      <c r="M1914" s="2">
        <f ca="1">IFERROR(__xludf.DUMMYFUNCTION("""COMPUTED_VALUE"""),18.002)</f>
        <v>18.001999999999999</v>
      </c>
      <c r="U1914" s="3" t="e">
        <f ca="1"/>
        <v>#NAME?</v>
      </c>
    </row>
    <row r="1915" spans="3:21" ht="12.5" x14ac:dyDescent="0.25">
      <c r="C1915" s="4">
        <f ca="1">IFERROR(__xludf.DUMMYFUNCTION("""COMPUTED_VALUE"""),42269.9986111111)</f>
        <v>42269.998611111099</v>
      </c>
      <c r="D1915" s="2">
        <f ca="1">IFERROR(__xludf.DUMMYFUNCTION("""COMPUTED_VALUE"""),65.875)</f>
        <v>65.875</v>
      </c>
      <c r="E1915" s="2">
        <f ca="1">IFERROR(__xludf.DUMMYFUNCTION("""COMPUTED_VALUE"""),72.6618)</f>
        <v>72.661799999999999</v>
      </c>
      <c r="F1915" s="2">
        <f ca="1">IFERROR(__xludf.DUMMYFUNCTION("""COMPUTED_VALUE"""),103.62)</f>
        <v>103.62</v>
      </c>
      <c r="G1915" s="2">
        <f ca="1">IFERROR(__xludf.DUMMYFUNCTION("""COMPUTED_VALUE"""),0.61539)</f>
        <v>0.61538999999999999</v>
      </c>
      <c r="H1915" s="2">
        <f ca="1">IFERROR(__xludf.DUMMYFUNCTION("""COMPUTED_VALUE"""),48.589)</f>
        <v>48.588999999999999</v>
      </c>
      <c r="I1915" s="2">
        <f ca="1">IFERROR(__xludf.DUMMYFUNCTION("""COMPUTED_VALUE"""),50.4)</f>
        <v>50.4</v>
      </c>
      <c r="J1915" s="2">
        <f ca="1">IFERROR(__xludf.DUMMYFUNCTION("""COMPUTED_VALUE"""),48.51)</f>
        <v>48.51</v>
      </c>
      <c r="K1915" s="2">
        <f ca="1">IFERROR(__xludf.DUMMYFUNCTION("""COMPUTED_VALUE"""),66.83)</f>
        <v>66.83</v>
      </c>
      <c r="M1915" s="2">
        <f ca="1">IFERROR(__xludf.DUMMYFUNCTION("""COMPUTED_VALUE"""),17.938)</f>
        <v>17.937999999999999</v>
      </c>
      <c r="U1915" s="3" t="e">
        <f ca="1"/>
        <v>#NAME?</v>
      </c>
    </row>
    <row r="1916" spans="3:21" ht="12.5" x14ac:dyDescent="0.25">
      <c r="C1916" s="4">
        <f ca="1">IFERROR(__xludf.DUMMYFUNCTION("""COMPUTED_VALUE"""),42270.9986111111)</f>
        <v>42270.998611111099</v>
      </c>
      <c r="D1916" s="2">
        <f ca="1">IFERROR(__xludf.DUMMYFUNCTION("""COMPUTED_VALUE"""),66.162)</f>
        <v>66.162000000000006</v>
      </c>
      <c r="E1916" s="2">
        <f ca="1">IFERROR(__xludf.DUMMYFUNCTION("""COMPUTED_VALUE"""),73.773)</f>
        <v>73.772999999999996</v>
      </c>
      <c r="F1916" s="2">
        <f ca="1">IFERROR(__xludf.DUMMYFUNCTION("""COMPUTED_VALUE"""),103.845)</f>
        <v>103.845</v>
      </c>
      <c r="G1916" s="2">
        <f ca="1">IFERROR(__xludf.DUMMYFUNCTION("""COMPUTED_VALUE"""),0.61345)</f>
        <v>0.61345000000000005</v>
      </c>
      <c r="H1916" s="2">
        <f ca="1">IFERROR(__xludf.DUMMYFUNCTION("""COMPUTED_VALUE"""),49.042)</f>
        <v>49.042000000000002</v>
      </c>
      <c r="I1916" s="2">
        <f ca="1">IFERROR(__xludf.DUMMYFUNCTION("""COMPUTED_VALUE"""),50.124)</f>
        <v>50.124000000000002</v>
      </c>
      <c r="J1916" s="2">
        <f ca="1">IFERROR(__xludf.DUMMYFUNCTION("""COMPUTED_VALUE"""),48.3)</f>
        <v>48.3</v>
      </c>
      <c r="K1916" s="2">
        <f ca="1">IFERROR(__xludf.DUMMYFUNCTION("""COMPUTED_VALUE"""),66.741)</f>
        <v>66.741</v>
      </c>
      <c r="M1916" s="2">
        <f ca="1">IFERROR(__xludf.DUMMYFUNCTION("""COMPUTED_VALUE"""),17.898)</f>
        <v>17.898</v>
      </c>
      <c r="U1916" s="3" t="e">
        <f ca="1"/>
        <v>#NAME?</v>
      </c>
    </row>
    <row r="1917" spans="3:21" ht="12.5" x14ac:dyDescent="0.25">
      <c r="C1917" s="4">
        <f ca="1">IFERROR(__xludf.DUMMYFUNCTION("""COMPUTED_VALUE"""),42271.9986111111)</f>
        <v>42271.998611111099</v>
      </c>
      <c r="D1917" s="2">
        <f ca="1">IFERROR(__xludf.DUMMYFUNCTION("""COMPUTED_VALUE"""),66.221)</f>
        <v>66.221000000000004</v>
      </c>
      <c r="E1917" s="2">
        <f ca="1">IFERROR(__xludf.DUMMYFUNCTION("""COMPUTED_VALUE"""),74.034)</f>
        <v>74.034000000000006</v>
      </c>
      <c r="F1917" s="2">
        <f ca="1">IFERROR(__xludf.DUMMYFUNCTION("""COMPUTED_VALUE"""),103.845)</f>
        <v>103.845</v>
      </c>
      <c r="G1917" s="2">
        <f ca="1">IFERROR(__xludf.DUMMYFUNCTION("""COMPUTED_VALUE"""),0.60979)</f>
        <v>0.60979000000000005</v>
      </c>
      <c r="H1917" s="2">
        <f ca="1">IFERROR(__xludf.DUMMYFUNCTION("""COMPUTED_VALUE"""),49.332)</f>
        <v>49.332000000000001</v>
      </c>
      <c r="I1917" s="2">
        <f ca="1">IFERROR(__xludf.DUMMYFUNCTION("""COMPUTED_VALUE"""),50.026)</f>
        <v>50.026000000000003</v>
      </c>
      <c r="J1917" s="2">
        <f ca="1">IFERROR(__xludf.DUMMYFUNCTION("""COMPUTED_VALUE"""),48.125)</f>
        <v>48.125</v>
      </c>
      <c r="K1917" s="2">
        <f ca="1">IFERROR(__xludf.DUMMYFUNCTION("""COMPUTED_VALUE"""),66.691)</f>
        <v>66.691000000000003</v>
      </c>
      <c r="M1917" s="2">
        <f ca="1">IFERROR(__xludf.DUMMYFUNCTION("""COMPUTED_VALUE"""),17.92)</f>
        <v>17.920000000000002</v>
      </c>
      <c r="U1917" s="3" t="e">
        <f ca="1"/>
        <v>#NAME?</v>
      </c>
    </row>
    <row r="1918" spans="3:21" ht="12.5" x14ac:dyDescent="0.25">
      <c r="C1918" s="4">
        <f ca="1">IFERROR(__xludf.DUMMYFUNCTION("""COMPUTED_VALUE"""),42272.9986111111)</f>
        <v>42272.998611111099</v>
      </c>
      <c r="D1918" s="2">
        <f ca="1">IFERROR(__xludf.DUMMYFUNCTION("""COMPUTED_VALUE"""),66.163)</f>
        <v>66.162999999999997</v>
      </c>
      <c r="E1918" s="2">
        <f ca="1">IFERROR(__xludf.DUMMYFUNCTION("""COMPUTED_VALUE"""),73.694)</f>
        <v>73.694000000000003</v>
      </c>
      <c r="F1918" s="2">
        <f ca="1">IFERROR(__xludf.DUMMYFUNCTION("""COMPUTED_VALUE"""),105.22)</f>
        <v>105.22</v>
      </c>
      <c r="G1918" s="2">
        <f ca="1">IFERROR(__xludf.DUMMYFUNCTION("""COMPUTED_VALUE"""),0.60737)</f>
        <v>0.60736999999999997</v>
      </c>
      <c r="H1918" s="2">
        <f ca="1">IFERROR(__xludf.DUMMYFUNCTION("""COMPUTED_VALUE"""),49.721)</f>
        <v>49.720999999999997</v>
      </c>
      <c r="I1918" s="2">
        <f ca="1">IFERROR(__xludf.DUMMYFUNCTION("""COMPUTED_VALUE"""),50.214)</f>
        <v>50.213999999999999</v>
      </c>
      <c r="J1918" s="2">
        <f ca="1">IFERROR(__xludf.DUMMYFUNCTION("""COMPUTED_VALUE"""),48.273)</f>
        <v>48.273000000000003</v>
      </c>
      <c r="K1918" s="2">
        <f ca="1">IFERROR(__xludf.DUMMYFUNCTION("""COMPUTED_VALUE"""),66.68)</f>
        <v>66.680000000000007</v>
      </c>
      <c r="M1918" s="2">
        <f ca="1">IFERROR(__xludf.DUMMYFUNCTION("""COMPUTED_VALUE"""),18.012)</f>
        <v>18.012</v>
      </c>
      <c r="U1918" s="3" t="e">
        <f ca="1"/>
        <v>#NAME?</v>
      </c>
    </row>
    <row r="1919" spans="3:21" ht="12.5" x14ac:dyDescent="0.25">
      <c r="C1919" s="4">
        <f ca="1">IFERROR(__xludf.DUMMYFUNCTION("""COMPUTED_VALUE"""),42273.9986111111)</f>
        <v>42273.998611111099</v>
      </c>
      <c r="D1919" s="2">
        <f ca="1">IFERROR(__xludf.DUMMYFUNCTION("""COMPUTED_VALUE"""),66.155)</f>
        <v>66.155000000000001</v>
      </c>
      <c r="E1919" s="2">
        <f ca="1">IFERROR(__xludf.DUMMYFUNCTION("""COMPUTED_VALUE"""),75.153)</f>
        <v>75.153000000000006</v>
      </c>
      <c r="F1919" s="2">
        <f ca="1">IFERROR(__xludf.DUMMYFUNCTION("""COMPUTED_VALUE"""),104.01)</f>
        <v>104.01</v>
      </c>
      <c r="G1919" s="2">
        <f ca="1">IFERROR(__xludf.DUMMYFUNCTION("""COMPUTED_VALUE"""),0.60897)</f>
        <v>0.60897000000000001</v>
      </c>
      <c r="H1919" s="2">
        <f ca="1">IFERROR(__xludf.DUMMYFUNCTION("""COMPUTED_VALUE"""),49.938)</f>
        <v>49.938000000000002</v>
      </c>
      <c r="I1919" s="2">
        <f ca="1">IFERROR(__xludf.DUMMYFUNCTION("""COMPUTED_VALUE"""),50.377)</f>
        <v>50.377000000000002</v>
      </c>
      <c r="J1919" s="2">
        <f ca="1">IFERROR(__xludf.DUMMYFUNCTION("""COMPUTED_VALUE"""),48.642)</f>
        <v>48.642000000000003</v>
      </c>
      <c r="K1919" s="2">
        <f ca="1">IFERROR(__xludf.DUMMYFUNCTION("""COMPUTED_VALUE"""),66.973)</f>
        <v>66.972999999999999</v>
      </c>
      <c r="M1919" s="2">
        <f ca="1">IFERROR(__xludf.DUMMYFUNCTION("""COMPUTED_VALUE"""),18.024)</f>
        <v>18.024000000000001</v>
      </c>
      <c r="U1919" s="3" t="e">
        <f ca="1"/>
        <v>#NAME?</v>
      </c>
    </row>
    <row r="1920" spans="3:21" ht="12.5" x14ac:dyDescent="0.25">
      <c r="C1920" s="4">
        <f ca="1">IFERROR(__xludf.DUMMYFUNCTION("""COMPUTED_VALUE"""),42274.9986111111)</f>
        <v>42274.998611111099</v>
      </c>
      <c r="D1920" s="2">
        <f ca="1">IFERROR(__xludf.DUMMYFUNCTION("""COMPUTED_VALUE"""),66.155)</f>
        <v>66.155000000000001</v>
      </c>
      <c r="E1920" s="2">
        <f ca="1">IFERROR(__xludf.DUMMYFUNCTION("""COMPUTED_VALUE"""),73.496)</f>
        <v>73.495999999999995</v>
      </c>
      <c r="F1920" s="2">
        <f ca="1">IFERROR(__xludf.DUMMYFUNCTION("""COMPUTED_VALUE"""),102.25)</f>
        <v>102.25</v>
      </c>
      <c r="G1920" s="2">
        <f ca="1">IFERROR(__xludf.DUMMYFUNCTION("""COMPUTED_VALUE"""),0.61224)</f>
        <v>0.61224000000000001</v>
      </c>
      <c r="H1920" s="2">
        <f ca="1">IFERROR(__xludf.DUMMYFUNCTION("""COMPUTED_VALUE"""),50.018)</f>
        <v>50.018000000000001</v>
      </c>
      <c r="I1920" s="2">
        <f ca="1">IFERROR(__xludf.DUMMYFUNCTION("""COMPUTED_VALUE"""),50.15)</f>
        <v>50.15</v>
      </c>
      <c r="J1920" s="2">
        <f ca="1">IFERROR(__xludf.DUMMYFUNCTION("""COMPUTED_VALUE"""),48.56)</f>
        <v>48.56</v>
      </c>
      <c r="K1920" s="2">
        <f ca="1">IFERROR(__xludf.DUMMYFUNCTION("""COMPUTED_VALUE"""),66.702)</f>
        <v>66.701999999999998</v>
      </c>
      <c r="M1920" s="2">
        <f ca="1">IFERROR(__xludf.DUMMYFUNCTION("""COMPUTED_VALUE"""),18.024)</f>
        <v>18.024000000000001</v>
      </c>
      <c r="U1920" s="3" t="e">
        <f ca="1"/>
        <v>#NAME?</v>
      </c>
    </row>
    <row r="1921" spans="3:21" ht="12.5" x14ac:dyDescent="0.25">
      <c r="C1921" s="4">
        <f ca="1">IFERROR(__xludf.DUMMYFUNCTION("""COMPUTED_VALUE"""),42275.9986111111)</f>
        <v>42275.998611111099</v>
      </c>
      <c r="D1921" s="2">
        <f ca="1">IFERROR(__xludf.DUMMYFUNCTION("""COMPUTED_VALUE"""),66.26)</f>
        <v>66.260000000000005</v>
      </c>
      <c r="E1921" s="2">
        <f ca="1">IFERROR(__xludf.DUMMYFUNCTION("""COMPUTED_VALUE"""),74.498)</f>
        <v>74.498000000000005</v>
      </c>
      <c r="F1921" s="2">
        <f ca="1">IFERROR(__xludf.DUMMYFUNCTION("""COMPUTED_VALUE"""),101.8)</f>
        <v>101.8</v>
      </c>
      <c r="G1921" s="2">
        <f ca="1">IFERROR(__xludf.DUMMYFUNCTION("""COMPUTED_VALUE"""),0.60821)</f>
        <v>0.60821000000000003</v>
      </c>
      <c r="H1921" s="2">
        <f ca="1">IFERROR(__xludf.DUMMYFUNCTION("""COMPUTED_VALUE"""),50.093)</f>
        <v>50.093000000000004</v>
      </c>
      <c r="I1921" s="2">
        <f ca="1">IFERROR(__xludf.DUMMYFUNCTION("""COMPUTED_VALUE"""),50.627)</f>
        <v>50.627000000000002</v>
      </c>
      <c r="J1921" s="2">
        <f ca="1">IFERROR(__xludf.DUMMYFUNCTION("""COMPUTED_VALUE"""),48.555)</f>
        <v>48.555</v>
      </c>
      <c r="K1921" s="2">
        <f ca="1">IFERROR(__xludf.DUMMYFUNCTION("""COMPUTED_VALUE"""),66.836)</f>
        <v>66.835999999999999</v>
      </c>
      <c r="M1921" s="2">
        <f ca="1">IFERROR(__xludf.DUMMYFUNCTION("""COMPUTED_VALUE"""),18.038)</f>
        <v>18.038</v>
      </c>
      <c r="U1921" s="3" t="e">
        <f ca="1"/>
        <v>#NAME?</v>
      </c>
    </row>
    <row r="1922" spans="3:21" ht="12.5" x14ac:dyDescent="0.25">
      <c r="C1922" s="4">
        <f ca="1">IFERROR(__xludf.DUMMYFUNCTION("""COMPUTED_VALUE"""),42276.9986111111)</f>
        <v>42276.998611111099</v>
      </c>
      <c r="D1922" s="2">
        <f ca="1">IFERROR(__xludf.DUMMYFUNCTION("""COMPUTED_VALUE"""),65.92)</f>
        <v>65.92</v>
      </c>
      <c r="E1922" s="2">
        <f ca="1">IFERROR(__xludf.DUMMYFUNCTION("""COMPUTED_VALUE"""),74.738)</f>
        <v>74.738</v>
      </c>
      <c r="F1922" s="2">
        <f ca="1">IFERROR(__xludf.DUMMYFUNCTION("""COMPUTED_VALUE"""),101.8)</f>
        <v>101.8</v>
      </c>
      <c r="G1922" s="2">
        <f ca="1">IFERROR(__xludf.DUMMYFUNCTION("""COMPUTED_VALUE"""),0.60558)</f>
        <v>0.60558000000000001</v>
      </c>
      <c r="H1922" s="2">
        <f ca="1">IFERROR(__xludf.DUMMYFUNCTION("""COMPUTED_VALUE"""),50.157)</f>
        <v>50.156999999999996</v>
      </c>
      <c r="I1922" s="2">
        <f ca="1">IFERROR(__xludf.DUMMYFUNCTION("""COMPUTED_VALUE"""),50.416)</f>
        <v>50.415999999999997</v>
      </c>
      <c r="J1922" s="2">
        <f ca="1">IFERROR(__xludf.DUMMYFUNCTION("""COMPUTED_VALUE"""),48.537)</f>
        <v>48.536999999999999</v>
      </c>
      <c r="K1922" s="2">
        <f ca="1">IFERROR(__xludf.DUMMYFUNCTION("""COMPUTED_VALUE"""),66.811)</f>
        <v>66.811000000000007</v>
      </c>
      <c r="M1922" s="2">
        <f ca="1">IFERROR(__xludf.DUMMYFUNCTION("""COMPUTED_VALUE"""),17.942)</f>
        <v>17.942</v>
      </c>
      <c r="U1922" s="3" t="e">
        <f ca="1"/>
        <v>#NAME?</v>
      </c>
    </row>
    <row r="1923" spans="3:21" ht="12.5" x14ac:dyDescent="0.25">
      <c r="C1923" s="4">
        <f ca="1">IFERROR(__xludf.DUMMYFUNCTION("""COMPUTED_VALUE"""),42277.9986111111)</f>
        <v>42277.998611111099</v>
      </c>
      <c r="D1923" s="2">
        <f ca="1">IFERROR(__xludf.DUMMYFUNCTION("""COMPUTED_VALUE"""),65.527)</f>
        <v>65.527000000000001</v>
      </c>
      <c r="E1923" s="2">
        <f ca="1">IFERROR(__xludf.DUMMYFUNCTION("""COMPUTED_VALUE"""),75.264)</f>
        <v>75.263999999999996</v>
      </c>
      <c r="F1923" s="2">
        <f ca="1">IFERROR(__xludf.DUMMYFUNCTION("""COMPUTED_VALUE"""),101.839)</f>
        <v>101.839</v>
      </c>
      <c r="G1923" s="2">
        <f ca="1">IFERROR(__xludf.DUMMYFUNCTION("""COMPUTED_VALUE"""),0.60217)</f>
        <v>0.60216999999999998</v>
      </c>
      <c r="H1923" s="2">
        <f ca="1">IFERROR(__xludf.DUMMYFUNCTION("""COMPUTED_VALUE"""),50.619)</f>
        <v>50.619</v>
      </c>
      <c r="I1923" s="2">
        <f ca="1">IFERROR(__xludf.DUMMYFUNCTION("""COMPUTED_VALUE"""),50.606)</f>
        <v>50.606000000000002</v>
      </c>
      <c r="J1923" s="2">
        <f ca="1">IFERROR(__xludf.DUMMYFUNCTION("""COMPUTED_VALUE"""),48.717)</f>
        <v>48.716999999999999</v>
      </c>
      <c r="K1923" s="2">
        <f ca="1">IFERROR(__xludf.DUMMYFUNCTION("""COMPUTED_VALUE"""),66.868)</f>
        <v>66.867999999999995</v>
      </c>
      <c r="M1923" s="2">
        <f ca="1">IFERROR(__xludf.DUMMYFUNCTION("""COMPUTED_VALUE"""),17.839)</f>
        <v>17.838999999999999</v>
      </c>
      <c r="U1923" s="3" t="e">
        <f ca="1"/>
        <v>#NAME?</v>
      </c>
    </row>
    <row r="1924" spans="3:21" ht="12.5" x14ac:dyDescent="0.25">
      <c r="C1924" s="4">
        <f ca="1">IFERROR(__xludf.DUMMYFUNCTION("""COMPUTED_VALUE"""),42278.9986111111)</f>
        <v>42278.998611111099</v>
      </c>
      <c r="D1924" s="2">
        <f ca="1">IFERROR(__xludf.DUMMYFUNCTION("""COMPUTED_VALUE"""),65.618)</f>
        <v>65.617999999999995</v>
      </c>
      <c r="E1924" s="2">
        <f ca="1">IFERROR(__xludf.DUMMYFUNCTION("""COMPUTED_VALUE"""),75.3)</f>
        <v>75.3</v>
      </c>
      <c r="F1924" s="2">
        <f ca="1">IFERROR(__xludf.DUMMYFUNCTION("""COMPUTED_VALUE"""),101.839)</f>
        <v>101.839</v>
      </c>
      <c r="G1924" s="2">
        <f ca="1">IFERROR(__xludf.DUMMYFUNCTION("""COMPUTED_VALUE"""),0.60703)</f>
        <v>0.60702999999999996</v>
      </c>
      <c r="H1924" s="2">
        <f ca="1">IFERROR(__xludf.DUMMYFUNCTION("""COMPUTED_VALUE"""),50.452)</f>
        <v>50.451999999999998</v>
      </c>
      <c r="I1924" s="2">
        <f ca="1">IFERROR(__xludf.DUMMYFUNCTION("""COMPUTED_VALUE"""),50.565)</f>
        <v>50.564999999999998</v>
      </c>
      <c r="J1924" s="2">
        <f ca="1">IFERROR(__xludf.DUMMYFUNCTION("""COMPUTED_VALUE"""),48.728)</f>
        <v>48.728000000000002</v>
      </c>
      <c r="K1924" s="2">
        <f ca="1">IFERROR(__xludf.DUMMYFUNCTION("""COMPUTED_VALUE"""),66.701)</f>
        <v>66.700999999999993</v>
      </c>
      <c r="M1924" s="2">
        <f ca="1">IFERROR(__xludf.DUMMYFUNCTION("""COMPUTED_VALUE"""),17.862)</f>
        <v>17.861999999999998</v>
      </c>
      <c r="U1924" s="3" t="e">
        <f ca="1"/>
        <v>#NAME?</v>
      </c>
    </row>
    <row r="1925" spans="3:21" ht="12.5" x14ac:dyDescent="0.25">
      <c r="C1925" s="4">
        <f ca="1">IFERROR(__xludf.DUMMYFUNCTION("""COMPUTED_VALUE"""),42279.9986111111)</f>
        <v>42279.998611111099</v>
      </c>
      <c r="D1925" s="2">
        <f ca="1">IFERROR(__xludf.DUMMYFUNCTION("""COMPUTED_VALUE"""),65.357)</f>
        <v>65.356999999999999</v>
      </c>
      <c r="E1925" s="2">
        <f ca="1">IFERROR(__xludf.DUMMYFUNCTION("""COMPUTED_VALUE"""),74.728)</f>
        <v>74.727999999999994</v>
      </c>
      <c r="F1925" s="2">
        <f ca="1">IFERROR(__xludf.DUMMYFUNCTION("""COMPUTED_VALUE"""),101.93)</f>
        <v>101.93</v>
      </c>
      <c r="G1925" s="2">
        <f ca="1">IFERROR(__xludf.DUMMYFUNCTION("""COMPUTED_VALUE"""),0.59578)</f>
        <v>0.59577999999999998</v>
      </c>
      <c r="H1925" s="2">
        <f ca="1">IFERROR(__xludf.DUMMYFUNCTION("""COMPUTED_VALUE"""),50.217)</f>
        <v>50.216999999999999</v>
      </c>
      <c r="I1925" s="2">
        <f ca="1">IFERROR(__xludf.DUMMYFUNCTION("""COMPUTED_VALUE"""),50.374)</f>
        <v>50.374000000000002</v>
      </c>
      <c r="J1925" s="2">
        <f ca="1">IFERROR(__xludf.DUMMYFUNCTION("""COMPUTED_VALUE"""),48.754)</f>
        <v>48.753999999999998</v>
      </c>
      <c r="K1925" s="2">
        <f ca="1">IFERROR(__xludf.DUMMYFUNCTION("""COMPUTED_VALUE"""),67.182)</f>
        <v>67.182000000000002</v>
      </c>
      <c r="M1925" s="2">
        <f ca="1">IFERROR(__xludf.DUMMYFUNCTION("""COMPUTED_VALUE"""),17.795)</f>
        <v>17.795000000000002</v>
      </c>
      <c r="U1925" s="3" t="e">
        <f ca="1"/>
        <v>#NAME?</v>
      </c>
    </row>
    <row r="1926" spans="3:21" ht="12.5" x14ac:dyDescent="0.25">
      <c r="C1926" s="4">
        <f ca="1">IFERROR(__xludf.DUMMYFUNCTION("""COMPUTED_VALUE"""),42280.9986111111)</f>
        <v>42280.998611111099</v>
      </c>
      <c r="D1926" s="2">
        <f ca="1">IFERROR(__xludf.DUMMYFUNCTION("""COMPUTED_VALUE"""),65.201)</f>
        <v>65.200999999999993</v>
      </c>
      <c r="E1926" s="2">
        <f ca="1">IFERROR(__xludf.DUMMYFUNCTION("""COMPUTED_VALUE"""),74.728)</f>
        <v>74.727999999999994</v>
      </c>
      <c r="F1926" s="2">
        <f ca="1">IFERROR(__xludf.DUMMYFUNCTION("""COMPUTED_VALUE"""),101.68)</f>
        <v>101.68</v>
      </c>
      <c r="G1926" s="2">
        <f ca="1">IFERROR(__xludf.DUMMYFUNCTION("""COMPUTED_VALUE"""),0.5996)</f>
        <v>0.59960000000000002</v>
      </c>
      <c r="H1926" s="2">
        <f ca="1">IFERROR(__xludf.DUMMYFUNCTION("""COMPUTED_VALUE"""),50.618)</f>
        <v>50.618000000000002</v>
      </c>
      <c r="I1926" s="2">
        <f ca="1">IFERROR(__xludf.DUMMYFUNCTION("""COMPUTED_VALUE"""),51.138)</f>
        <v>51.137999999999998</v>
      </c>
      <c r="J1926" s="2">
        <f ca="1">IFERROR(__xludf.DUMMYFUNCTION("""COMPUTED_VALUE"""),48.704)</f>
        <v>48.704000000000001</v>
      </c>
      <c r="K1926" s="2">
        <f ca="1">IFERROR(__xludf.DUMMYFUNCTION("""COMPUTED_VALUE"""),66.038)</f>
        <v>66.037999999999997</v>
      </c>
      <c r="M1926" s="2">
        <f ca="1">IFERROR(__xludf.DUMMYFUNCTION("""COMPUTED_VALUE"""),17.729)</f>
        <v>17.728999999999999</v>
      </c>
      <c r="U1926" s="3" t="e">
        <f ca="1"/>
        <v>#NAME?</v>
      </c>
    </row>
    <row r="1927" spans="3:21" ht="12.5" x14ac:dyDescent="0.25">
      <c r="C1927" s="4">
        <f ca="1">IFERROR(__xludf.DUMMYFUNCTION("""COMPUTED_VALUE"""),42281.9986111111)</f>
        <v>42281.998611111099</v>
      </c>
      <c r="D1927" s="2">
        <f ca="1">IFERROR(__xludf.DUMMYFUNCTION("""COMPUTED_VALUE"""),65.201)</f>
        <v>65.200999999999993</v>
      </c>
      <c r="E1927" s="2">
        <f ca="1">IFERROR(__xludf.DUMMYFUNCTION("""COMPUTED_VALUE"""),74.664)</f>
        <v>74.664000000000001</v>
      </c>
      <c r="F1927" s="2">
        <f ca="1">IFERROR(__xludf.DUMMYFUNCTION("""COMPUTED_VALUE"""),101.37)</f>
        <v>101.37</v>
      </c>
      <c r="G1927" s="2">
        <f ca="1">IFERROR(__xludf.DUMMYFUNCTION("""COMPUTED_VALUE"""),0.59678)</f>
        <v>0.59677999999999998</v>
      </c>
      <c r="H1927" s="2">
        <f ca="1">IFERROR(__xludf.DUMMYFUNCTION("""COMPUTED_VALUE"""),50.889)</f>
        <v>50.889000000000003</v>
      </c>
      <c r="I1927" s="2">
        <f ca="1">IFERROR(__xludf.DUMMYFUNCTION("""COMPUTED_VALUE"""),51.245)</f>
        <v>51.244999999999997</v>
      </c>
      <c r="J1927" s="2">
        <f ca="1">IFERROR(__xludf.DUMMYFUNCTION("""COMPUTED_VALUE"""),49.099)</f>
        <v>49.098999999999997</v>
      </c>
      <c r="K1927" s="2">
        <f ca="1">IFERROR(__xludf.DUMMYFUNCTION("""COMPUTED_VALUE"""),66.002)</f>
        <v>66.001999999999995</v>
      </c>
      <c r="M1927" s="2">
        <f ca="1">IFERROR(__xludf.DUMMYFUNCTION("""COMPUTED_VALUE"""),17.744)</f>
        <v>17.744</v>
      </c>
      <c r="U1927" s="3" t="e">
        <f ca="1"/>
        <v>#NAME?</v>
      </c>
    </row>
    <row r="1928" spans="3:21" ht="12.5" x14ac:dyDescent="0.25">
      <c r="C1928" s="4">
        <f ca="1">IFERROR(__xludf.DUMMYFUNCTION("""COMPUTED_VALUE"""),42282.9986111111)</f>
        <v>42282.998611111099</v>
      </c>
      <c r="D1928" s="2">
        <f ca="1">IFERROR(__xludf.DUMMYFUNCTION("""COMPUTED_VALUE"""),65.123)</f>
        <v>65.123000000000005</v>
      </c>
      <c r="E1928" s="2">
        <f ca="1">IFERROR(__xludf.DUMMYFUNCTION("""COMPUTED_VALUE"""),74.847)</f>
        <v>74.846999999999994</v>
      </c>
      <c r="F1928" s="2">
        <f ca="1">IFERROR(__xludf.DUMMYFUNCTION("""COMPUTED_VALUE"""),100.96)</f>
        <v>100.96</v>
      </c>
      <c r="G1928" s="2">
        <f ca="1">IFERROR(__xludf.DUMMYFUNCTION("""COMPUTED_VALUE"""),0.59425)</f>
        <v>0.59424999999999994</v>
      </c>
      <c r="H1928" s="2">
        <f ca="1">IFERROR(__xludf.DUMMYFUNCTION("""COMPUTED_VALUE"""),50.424)</f>
        <v>50.423999999999999</v>
      </c>
      <c r="I1928" s="2">
        <f ca="1">IFERROR(__xludf.DUMMYFUNCTION("""COMPUTED_VALUE"""),50.983)</f>
        <v>50.982999999999997</v>
      </c>
      <c r="J1928" s="2">
        <f ca="1">IFERROR(__xludf.DUMMYFUNCTION("""COMPUTED_VALUE"""),49.248)</f>
        <v>49.247999999999998</v>
      </c>
      <c r="K1928" s="2">
        <f ca="1">IFERROR(__xludf.DUMMYFUNCTION("""COMPUTED_VALUE"""),66.36)</f>
        <v>66.36</v>
      </c>
      <c r="M1928" s="2">
        <f ca="1">IFERROR(__xludf.DUMMYFUNCTION("""COMPUTED_VALUE"""),17.679)</f>
        <v>17.678999999999998</v>
      </c>
      <c r="U1928" s="3" t="e">
        <f ca="1"/>
        <v>#NAME?</v>
      </c>
    </row>
    <row r="1929" spans="3:21" ht="12.5" x14ac:dyDescent="0.25">
      <c r="C1929" s="4">
        <f ca="1">IFERROR(__xludf.DUMMYFUNCTION("""COMPUTED_VALUE"""),42283.9986111111)</f>
        <v>42283.998611111099</v>
      </c>
      <c r="D1929" s="2">
        <f ca="1">IFERROR(__xludf.DUMMYFUNCTION("""COMPUTED_VALUE"""),65.184)</f>
        <v>65.183999999999997</v>
      </c>
      <c r="E1929" s="2">
        <f ca="1">IFERROR(__xludf.DUMMYFUNCTION("""COMPUTED_VALUE"""),74.715)</f>
        <v>74.715000000000003</v>
      </c>
      <c r="F1929" s="2">
        <f ca="1">IFERROR(__xludf.DUMMYFUNCTION("""COMPUTED_VALUE"""),101.14)</f>
        <v>101.14</v>
      </c>
      <c r="G1929" s="2">
        <f ca="1">IFERROR(__xludf.DUMMYFUNCTION("""COMPUTED_VALUE"""),0.61404)</f>
        <v>0.61404000000000003</v>
      </c>
      <c r="H1929" s="2">
        <f ca="1">IFERROR(__xludf.DUMMYFUNCTION("""COMPUTED_VALUE"""),50.42)</f>
        <v>50.42</v>
      </c>
      <c r="I1929" s="2">
        <f ca="1">IFERROR(__xludf.DUMMYFUNCTION("""COMPUTED_VALUE"""),50.995)</f>
        <v>50.994999999999997</v>
      </c>
      <c r="J1929" s="2">
        <f ca="1">IFERROR(__xludf.DUMMYFUNCTION("""COMPUTED_VALUE"""),48.815)</f>
        <v>48.814999999999998</v>
      </c>
      <c r="K1929" s="2">
        <f ca="1">IFERROR(__xludf.DUMMYFUNCTION("""COMPUTED_VALUE"""),65.892)</f>
        <v>65.891999999999996</v>
      </c>
      <c r="M1929" s="2">
        <f ca="1">IFERROR(__xludf.DUMMYFUNCTION("""COMPUTED_VALUE"""),17.657)</f>
        <v>17.657</v>
      </c>
      <c r="U1929" s="3" t="e">
        <f ca="1"/>
        <v>#NAME?</v>
      </c>
    </row>
    <row r="1930" spans="3:21" ht="12.5" x14ac:dyDescent="0.25">
      <c r="C1930" s="4">
        <f ca="1">IFERROR(__xludf.DUMMYFUNCTION("""COMPUTED_VALUE"""),42284.9986111111)</f>
        <v>42284.998611111099</v>
      </c>
      <c r="D1930" s="2">
        <f ca="1">IFERROR(__xludf.DUMMYFUNCTION("""COMPUTED_VALUE"""),64.939)</f>
        <v>64.938999999999993</v>
      </c>
      <c r="E1930" s="2">
        <f ca="1">IFERROR(__xludf.DUMMYFUNCTION("""COMPUTED_VALUE"""),74.724)</f>
        <v>74.724000000000004</v>
      </c>
      <c r="F1930" s="2">
        <f ca="1">IFERROR(__xludf.DUMMYFUNCTION("""COMPUTED_VALUE"""),101.221)</f>
        <v>101.221</v>
      </c>
      <c r="G1930" s="2">
        <f ca="1">IFERROR(__xludf.DUMMYFUNCTION("""COMPUTED_VALUE"""),0.62392)</f>
        <v>0.62392000000000003</v>
      </c>
      <c r="H1930" s="2">
        <f ca="1">IFERROR(__xludf.DUMMYFUNCTION("""COMPUTED_VALUE"""),50.311)</f>
        <v>50.311</v>
      </c>
      <c r="I1930" s="2">
        <f ca="1">IFERROR(__xludf.DUMMYFUNCTION("""COMPUTED_VALUE"""),50.756)</f>
        <v>50.756</v>
      </c>
      <c r="J1930" s="2">
        <f ca="1">IFERROR(__xludf.DUMMYFUNCTION("""COMPUTED_VALUE"""),48.815)</f>
        <v>48.814999999999998</v>
      </c>
      <c r="K1930" s="2">
        <f ca="1">IFERROR(__xludf.DUMMYFUNCTION("""COMPUTED_VALUE"""),66.154)</f>
        <v>66.153999999999996</v>
      </c>
      <c r="M1930" s="2">
        <f ca="1">IFERROR(__xludf.DUMMYFUNCTION("""COMPUTED_VALUE"""),17.603)</f>
        <v>17.603000000000002</v>
      </c>
      <c r="U1930" s="3" t="e">
        <f ca="1"/>
        <v>#NAME?</v>
      </c>
    </row>
    <row r="1931" spans="3:21" ht="12.5" x14ac:dyDescent="0.25">
      <c r="C1931" s="4">
        <f ca="1">IFERROR(__xludf.DUMMYFUNCTION("""COMPUTED_VALUE"""),42285.9986111111)</f>
        <v>42285.998611111099</v>
      </c>
      <c r="D1931" s="2">
        <f ca="1">IFERROR(__xludf.DUMMYFUNCTION("""COMPUTED_VALUE"""),64.995)</f>
        <v>64.995000000000005</v>
      </c>
      <c r="E1931" s="2">
        <f ca="1">IFERROR(__xludf.DUMMYFUNCTION("""COMPUTED_VALUE"""),74.724)</f>
        <v>74.724000000000004</v>
      </c>
      <c r="F1931" s="2">
        <f ca="1">IFERROR(__xludf.DUMMYFUNCTION("""COMPUTED_VALUE"""),101.221)</f>
        <v>101.221</v>
      </c>
      <c r="G1931" s="2">
        <f ca="1">IFERROR(__xludf.DUMMYFUNCTION("""COMPUTED_VALUE"""),0.62392)</f>
        <v>0.62392000000000003</v>
      </c>
      <c r="H1931" s="2">
        <f ca="1">IFERROR(__xludf.DUMMYFUNCTION("""COMPUTED_VALUE"""),50.82)</f>
        <v>50.82</v>
      </c>
      <c r="I1931" s="2">
        <f ca="1">IFERROR(__xludf.DUMMYFUNCTION("""COMPUTED_VALUE"""),51.122)</f>
        <v>51.122</v>
      </c>
      <c r="J1931" s="2">
        <f ca="1">IFERROR(__xludf.DUMMYFUNCTION("""COMPUTED_VALUE"""),48.813)</f>
        <v>48.813000000000002</v>
      </c>
      <c r="K1931" s="2">
        <f ca="1">IFERROR(__xludf.DUMMYFUNCTION("""COMPUTED_VALUE"""),67.262)</f>
        <v>67.262</v>
      </c>
      <c r="M1931" s="2">
        <f ca="1">IFERROR(__xludf.DUMMYFUNCTION("""COMPUTED_VALUE"""),17.632)</f>
        <v>17.632000000000001</v>
      </c>
      <c r="U1931" s="3" t="e">
        <f ca="1"/>
        <v>#NAME?</v>
      </c>
    </row>
    <row r="1932" spans="3:21" ht="12.5" x14ac:dyDescent="0.25">
      <c r="C1932" s="4">
        <f ca="1">IFERROR(__xludf.DUMMYFUNCTION("""COMPUTED_VALUE"""),42286.9986111111)</f>
        <v>42286.998611111099</v>
      </c>
      <c r="D1932" s="2">
        <f ca="1">IFERROR(__xludf.DUMMYFUNCTION("""COMPUTED_VALUE"""),64.772)</f>
        <v>64.772000000000006</v>
      </c>
      <c r="E1932" s="2">
        <f ca="1">IFERROR(__xludf.DUMMYFUNCTION("""COMPUTED_VALUE"""),74.724)</f>
        <v>74.724000000000004</v>
      </c>
      <c r="F1932" s="2">
        <f ca="1">IFERROR(__xludf.DUMMYFUNCTION("""COMPUTED_VALUE"""),102.04)</f>
        <v>102.04</v>
      </c>
      <c r="G1932" s="2">
        <f ca="1">IFERROR(__xludf.DUMMYFUNCTION("""COMPUTED_VALUE"""),0.62308)</f>
        <v>0.62307999999999997</v>
      </c>
      <c r="H1932" s="2">
        <f ca="1">IFERROR(__xludf.DUMMYFUNCTION("""COMPUTED_VALUE"""),50.345)</f>
        <v>50.344999999999999</v>
      </c>
      <c r="I1932" s="2">
        <f ca="1">IFERROR(__xludf.DUMMYFUNCTION("""COMPUTED_VALUE"""),50.589)</f>
        <v>50.588999999999999</v>
      </c>
      <c r="J1932" s="2">
        <f ca="1">IFERROR(__xludf.DUMMYFUNCTION("""COMPUTED_VALUE"""),49.021)</f>
        <v>49.021000000000001</v>
      </c>
      <c r="K1932" s="2">
        <f ca="1">IFERROR(__xludf.DUMMYFUNCTION("""COMPUTED_VALUE"""),65.754)</f>
        <v>65.754000000000005</v>
      </c>
      <c r="M1932" s="2">
        <f ca="1">IFERROR(__xludf.DUMMYFUNCTION("""COMPUTED_VALUE"""),17.634)</f>
        <v>17.634</v>
      </c>
      <c r="U1932" s="3" t="e">
        <f ca="1"/>
        <v>#NAME?</v>
      </c>
    </row>
    <row r="1933" spans="3:21" ht="12.5" x14ac:dyDescent="0.25">
      <c r="C1933" s="4">
        <f ca="1">IFERROR(__xludf.DUMMYFUNCTION("""COMPUTED_VALUE"""),42288.9986111111)</f>
        <v>42288.998611111099</v>
      </c>
      <c r="D1933" s="2">
        <f ca="1">IFERROR(__xludf.DUMMYFUNCTION("""COMPUTED_VALUE"""),64.772)</f>
        <v>64.772000000000006</v>
      </c>
      <c r="E1933" s="2">
        <f ca="1">IFERROR(__xludf.DUMMYFUNCTION("""COMPUTED_VALUE"""),74.841)</f>
        <v>74.840999999999994</v>
      </c>
      <c r="F1933" s="2">
        <f ca="1">IFERROR(__xludf.DUMMYFUNCTION("""COMPUTED_VALUE"""),102.25)</f>
        <v>102.25</v>
      </c>
      <c r="G1933" s="2">
        <f ca="1">IFERROR(__xludf.DUMMYFUNCTION("""COMPUTED_VALUE"""),0.6237)</f>
        <v>0.62370000000000003</v>
      </c>
      <c r="H1933" s="2">
        <f ca="1">IFERROR(__xludf.DUMMYFUNCTION("""COMPUTED_VALUE"""),50.293)</f>
        <v>50.292999999999999</v>
      </c>
      <c r="I1933" s="2">
        <f ca="1">IFERROR(__xludf.DUMMYFUNCTION("""COMPUTED_VALUE"""),50.487)</f>
        <v>50.487000000000002</v>
      </c>
      <c r="J1933" s="2">
        <f ca="1">IFERROR(__xludf.DUMMYFUNCTION("""COMPUTED_VALUE"""),48.881)</f>
        <v>48.881</v>
      </c>
      <c r="K1933" s="2">
        <f ca="1">IFERROR(__xludf.DUMMYFUNCTION("""COMPUTED_VALUE"""),66.613)</f>
        <v>66.613</v>
      </c>
      <c r="M1933" s="2">
        <f ca="1">IFERROR(__xludf.DUMMYFUNCTION("""COMPUTED_VALUE"""),17.718)</f>
        <v>17.718</v>
      </c>
      <c r="U1933" s="3" t="e">
        <f ca="1"/>
        <v>#NAME?</v>
      </c>
    </row>
    <row r="1934" spans="3:21" ht="12.5" x14ac:dyDescent="0.25">
      <c r="C1934" s="4">
        <f ca="1">IFERROR(__xludf.DUMMYFUNCTION("""COMPUTED_VALUE"""),42289.9986111111)</f>
        <v>42289.998611111099</v>
      </c>
      <c r="D1934" s="2">
        <f ca="1">IFERROR(__xludf.DUMMYFUNCTION("""COMPUTED_VALUE"""),64.782)</f>
        <v>64.781999999999996</v>
      </c>
      <c r="E1934" s="2">
        <f ca="1">IFERROR(__xludf.DUMMYFUNCTION("""COMPUTED_VALUE"""),75.149)</f>
        <v>75.149000000000001</v>
      </c>
      <c r="F1934" s="2">
        <f ca="1">IFERROR(__xludf.DUMMYFUNCTION("""COMPUTED_VALUE"""),102.27)</f>
        <v>102.27</v>
      </c>
      <c r="G1934" s="2">
        <f ca="1">IFERROR(__xludf.DUMMYFUNCTION("""COMPUTED_VALUE"""),0.62238)</f>
        <v>0.62238000000000004</v>
      </c>
      <c r="H1934" s="2">
        <f ca="1">IFERROR(__xludf.DUMMYFUNCTION("""COMPUTED_VALUE"""),50.244)</f>
        <v>50.244</v>
      </c>
      <c r="I1934" s="2">
        <f ca="1">IFERROR(__xludf.DUMMYFUNCTION("""COMPUTED_VALUE"""),50.435)</f>
        <v>50.435000000000002</v>
      </c>
      <c r="J1934" s="2">
        <f ca="1">IFERROR(__xludf.DUMMYFUNCTION("""COMPUTED_VALUE"""),48.8)</f>
        <v>48.8</v>
      </c>
      <c r="K1934" s="2">
        <f ca="1">IFERROR(__xludf.DUMMYFUNCTION("""COMPUTED_VALUE"""),66.646)</f>
        <v>66.646000000000001</v>
      </c>
      <c r="M1934" s="2">
        <f ca="1">IFERROR(__xludf.DUMMYFUNCTION("""COMPUTED_VALUE"""),17.634)</f>
        <v>17.634</v>
      </c>
      <c r="U1934" s="3" t="e">
        <f ca="1"/>
        <v>#NAME?</v>
      </c>
    </row>
    <row r="1935" spans="3:21" ht="12.5" x14ac:dyDescent="0.25">
      <c r="C1935" s="4">
        <f ca="1">IFERROR(__xludf.DUMMYFUNCTION("""COMPUTED_VALUE"""),42290.9986111111)</f>
        <v>42290.998611111099</v>
      </c>
      <c r="D1935" s="2">
        <f ca="1">IFERROR(__xludf.DUMMYFUNCTION("""COMPUTED_VALUE"""),65.085)</f>
        <v>65.084999999999994</v>
      </c>
      <c r="E1935" s="2">
        <f ca="1">IFERROR(__xludf.DUMMYFUNCTION("""COMPUTED_VALUE"""),75.312)</f>
        <v>75.311999999999998</v>
      </c>
      <c r="F1935" s="2">
        <f ca="1">IFERROR(__xludf.DUMMYFUNCTION("""COMPUTED_VALUE"""),102.4)</f>
        <v>102.4</v>
      </c>
      <c r="G1935" s="2">
        <f ca="1">IFERROR(__xludf.DUMMYFUNCTION("""COMPUTED_VALUE"""),0.6204)</f>
        <v>0.62039999999999995</v>
      </c>
      <c r="H1935" s="2">
        <f ca="1">IFERROR(__xludf.DUMMYFUNCTION("""COMPUTED_VALUE"""),50.326)</f>
        <v>50.326000000000001</v>
      </c>
      <c r="I1935" s="2">
        <f ca="1">IFERROR(__xludf.DUMMYFUNCTION("""COMPUTED_VALUE"""),50.614)</f>
        <v>50.613999999999997</v>
      </c>
      <c r="J1935" s="2">
        <f ca="1">IFERROR(__xludf.DUMMYFUNCTION("""COMPUTED_VALUE"""),48.796)</f>
        <v>48.795999999999999</v>
      </c>
      <c r="K1935" s="2">
        <f ca="1">IFERROR(__xludf.DUMMYFUNCTION("""COMPUTED_VALUE"""),66.455)</f>
        <v>66.454999999999998</v>
      </c>
      <c r="M1935" s="2">
        <f ca="1">IFERROR(__xludf.DUMMYFUNCTION("""COMPUTED_VALUE"""),17.638)</f>
        <v>17.638000000000002</v>
      </c>
      <c r="U1935" s="3" t="e">
        <f ca="1"/>
        <v>#NAME?</v>
      </c>
    </row>
    <row r="1936" spans="3:21" ht="12.5" x14ac:dyDescent="0.25">
      <c r="C1936" s="4">
        <f ca="1">IFERROR(__xludf.DUMMYFUNCTION("""COMPUTED_VALUE"""),42291.9986111111)</f>
        <v>42291.998611111099</v>
      </c>
      <c r="D1936" s="2">
        <f ca="1">IFERROR(__xludf.DUMMYFUNCTION("""COMPUTED_VALUE"""),64.849)</f>
        <v>64.849000000000004</v>
      </c>
      <c r="E1936" s="2">
        <f ca="1">IFERROR(__xludf.DUMMYFUNCTION("""COMPUTED_VALUE"""),75.51)</f>
        <v>75.510000000000005</v>
      </c>
      <c r="F1936" s="2">
        <f ca="1">IFERROR(__xludf.DUMMYFUNCTION("""COMPUTED_VALUE"""),102.19)</f>
        <v>102.19</v>
      </c>
      <c r="G1936" s="2">
        <f ca="1">IFERROR(__xludf.DUMMYFUNCTION("""COMPUTED_VALUE"""),0.62123)</f>
        <v>0.62122999999999995</v>
      </c>
      <c r="H1936" s="2">
        <f ca="1">IFERROR(__xludf.DUMMYFUNCTION("""COMPUTED_VALUE"""),50.632)</f>
        <v>50.631999999999998</v>
      </c>
      <c r="I1936" s="2">
        <f ca="1">IFERROR(__xludf.DUMMYFUNCTION("""COMPUTED_VALUE"""),50.745)</f>
        <v>50.744999999999997</v>
      </c>
      <c r="J1936" s="2">
        <f ca="1">IFERROR(__xludf.DUMMYFUNCTION("""COMPUTED_VALUE"""),48.704)</f>
        <v>48.704000000000001</v>
      </c>
      <c r="K1936" s="2">
        <f ca="1">IFERROR(__xludf.DUMMYFUNCTION("""COMPUTED_VALUE"""),66.88)</f>
        <v>66.88</v>
      </c>
      <c r="M1936" s="2">
        <f ca="1">IFERROR(__xludf.DUMMYFUNCTION("""COMPUTED_VALUE"""),17.612)</f>
        <v>17.611999999999998</v>
      </c>
      <c r="U1936" s="3" t="e">
        <f ca="1"/>
        <v>#NAME?</v>
      </c>
    </row>
    <row r="1937" spans="3:21" ht="12.5" x14ac:dyDescent="0.25">
      <c r="C1937" s="4">
        <f ca="1">IFERROR(__xludf.DUMMYFUNCTION("""COMPUTED_VALUE"""),42292.9986111111)</f>
        <v>42292.998611111099</v>
      </c>
      <c r="D1937" s="2">
        <f ca="1">IFERROR(__xludf.DUMMYFUNCTION("""COMPUTED_VALUE"""),64.784)</f>
        <v>64.784000000000006</v>
      </c>
      <c r="E1937" s="2">
        <f ca="1">IFERROR(__xludf.DUMMYFUNCTION("""COMPUTED_VALUE"""),75.51)</f>
        <v>75.510000000000005</v>
      </c>
      <c r="F1937" s="2">
        <f ca="1">IFERROR(__xludf.DUMMYFUNCTION("""COMPUTED_VALUE"""),102.19)</f>
        <v>102.19</v>
      </c>
      <c r="G1937" s="2">
        <f ca="1">IFERROR(__xludf.DUMMYFUNCTION("""COMPUTED_VALUE"""),0.61536)</f>
        <v>0.61536000000000002</v>
      </c>
      <c r="H1937" s="2">
        <f ca="1">IFERROR(__xludf.DUMMYFUNCTION("""COMPUTED_VALUE"""),50.775)</f>
        <v>50.774999999999999</v>
      </c>
      <c r="I1937" s="2">
        <f ca="1">IFERROR(__xludf.DUMMYFUNCTION("""COMPUTED_VALUE"""),51.091)</f>
        <v>51.091000000000001</v>
      </c>
      <c r="J1937" s="2">
        <f ca="1">IFERROR(__xludf.DUMMYFUNCTION("""COMPUTED_VALUE"""),48.941)</f>
        <v>48.941000000000003</v>
      </c>
      <c r="K1937" s="2">
        <f ca="1">IFERROR(__xludf.DUMMYFUNCTION("""COMPUTED_VALUE"""),67.615)</f>
        <v>67.614999999999995</v>
      </c>
      <c r="M1937" s="2">
        <f ca="1">IFERROR(__xludf.DUMMYFUNCTION("""COMPUTED_VALUE"""),17.681)</f>
        <v>17.681000000000001</v>
      </c>
      <c r="U1937" s="3" t="e">
        <f ca="1"/>
        <v>#NAME?</v>
      </c>
    </row>
    <row r="1938" spans="3:21" ht="12.5" x14ac:dyDescent="0.25">
      <c r="C1938" s="4">
        <f ca="1">IFERROR(__xludf.DUMMYFUNCTION("""COMPUTED_VALUE"""),42293.9986111111)</f>
        <v>42293.998611111099</v>
      </c>
      <c r="D1938" s="2">
        <f ca="1">IFERROR(__xludf.DUMMYFUNCTION("""COMPUTED_VALUE"""),64.695)</f>
        <v>64.694999999999993</v>
      </c>
      <c r="E1938" s="2">
        <f ca="1">IFERROR(__xludf.DUMMYFUNCTION("""COMPUTED_VALUE"""),75.51)</f>
        <v>75.510000000000005</v>
      </c>
      <c r="F1938" s="2">
        <f ca="1">IFERROR(__xludf.DUMMYFUNCTION("""COMPUTED_VALUE"""),102.29)</f>
        <v>102.29</v>
      </c>
      <c r="G1938" s="2">
        <f ca="1">IFERROR(__xludf.DUMMYFUNCTION("""COMPUTED_VALUE"""),0.60984)</f>
        <v>0.60984000000000005</v>
      </c>
      <c r="H1938" s="2">
        <f ca="1">IFERROR(__xludf.DUMMYFUNCTION("""COMPUTED_VALUE"""),50.751)</f>
        <v>50.750999999999998</v>
      </c>
      <c r="I1938" s="2">
        <f ca="1">IFERROR(__xludf.DUMMYFUNCTION("""COMPUTED_VALUE"""),50.946)</f>
        <v>50.945999999999998</v>
      </c>
      <c r="J1938" s="2">
        <f ca="1">IFERROR(__xludf.DUMMYFUNCTION("""COMPUTED_VALUE"""),49.066)</f>
        <v>49.066000000000003</v>
      </c>
      <c r="K1938" s="2">
        <f ca="1">IFERROR(__xludf.DUMMYFUNCTION("""COMPUTED_VALUE"""),67.3)</f>
        <v>67.3</v>
      </c>
      <c r="M1938" s="2">
        <f ca="1">IFERROR(__xludf.DUMMYFUNCTION("""COMPUTED_VALUE"""),17.694)</f>
        <v>17.693999999999999</v>
      </c>
      <c r="U1938" s="3" t="e">
        <f ca="1"/>
        <v>#NAME?</v>
      </c>
    </row>
    <row r="1939" spans="3:21" ht="12.5" x14ac:dyDescent="0.25">
      <c r="C1939" s="4">
        <f ca="1">IFERROR(__xludf.DUMMYFUNCTION("""COMPUTED_VALUE"""),42295.9986111111)</f>
        <v>42295.998611111099</v>
      </c>
      <c r="D1939" s="2">
        <f ca="1">IFERROR(__xludf.DUMMYFUNCTION("""COMPUTED_VALUE"""),64.698)</f>
        <v>64.697999999999993</v>
      </c>
      <c r="E1939" s="2">
        <f ca="1">IFERROR(__xludf.DUMMYFUNCTION("""COMPUTED_VALUE"""),75.225)</f>
        <v>75.224999999999994</v>
      </c>
      <c r="F1939" s="2">
        <f ca="1">IFERROR(__xludf.DUMMYFUNCTION("""COMPUTED_VALUE"""),101.93)</f>
        <v>101.93</v>
      </c>
      <c r="G1939" s="2">
        <f ca="1">IFERROR(__xludf.DUMMYFUNCTION("""COMPUTED_VALUE"""),0.61368)</f>
        <v>0.61368</v>
      </c>
      <c r="H1939" s="2">
        <f ca="1">IFERROR(__xludf.DUMMYFUNCTION("""COMPUTED_VALUE"""),50.953)</f>
        <v>50.953000000000003</v>
      </c>
      <c r="I1939" s="2">
        <f ca="1">IFERROR(__xludf.DUMMYFUNCTION("""COMPUTED_VALUE"""),50.932)</f>
        <v>50.932000000000002</v>
      </c>
      <c r="J1939" s="2">
        <f ca="1">IFERROR(__xludf.DUMMYFUNCTION("""COMPUTED_VALUE"""),49.103)</f>
        <v>49.103000000000002</v>
      </c>
      <c r="K1939" s="2">
        <f ca="1">IFERROR(__xludf.DUMMYFUNCTION("""COMPUTED_VALUE"""),67.472)</f>
        <v>67.471999999999994</v>
      </c>
      <c r="M1939" s="2">
        <f ca="1">IFERROR(__xludf.DUMMYFUNCTION("""COMPUTED_VALUE"""),17.737)</f>
        <v>17.736999999999998</v>
      </c>
      <c r="U1939" s="3" t="e">
        <f ca="1"/>
        <v>#NAME?</v>
      </c>
    </row>
    <row r="1940" spans="3:21" ht="12.5" x14ac:dyDescent="0.25">
      <c r="C1940" s="4">
        <f ca="1">IFERROR(__xludf.DUMMYFUNCTION("""COMPUTED_VALUE"""),42296.9986111111)</f>
        <v>42296.998611111099</v>
      </c>
      <c r="D1940" s="2">
        <f ca="1">IFERROR(__xludf.DUMMYFUNCTION("""COMPUTED_VALUE"""),64.951)</f>
        <v>64.950999999999993</v>
      </c>
      <c r="E1940" s="2">
        <f ca="1">IFERROR(__xludf.DUMMYFUNCTION("""COMPUTED_VALUE"""),75.582)</f>
        <v>75.581999999999994</v>
      </c>
      <c r="F1940" s="2">
        <f ca="1">IFERROR(__xludf.DUMMYFUNCTION("""COMPUTED_VALUE"""),102.66)</f>
        <v>102.66</v>
      </c>
      <c r="G1940" s="2">
        <f ca="1">IFERROR(__xludf.DUMMYFUNCTION("""COMPUTED_VALUE"""),0.61109)</f>
        <v>0.61109000000000002</v>
      </c>
      <c r="H1940" s="2">
        <f ca="1">IFERROR(__xludf.DUMMYFUNCTION("""COMPUTED_VALUE"""),50.859)</f>
        <v>50.859000000000002</v>
      </c>
      <c r="I1940" s="2">
        <f ca="1">IFERROR(__xludf.DUMMYFUNCTION("""COMPUTED_VALUE"""),50.965)</f>
        <v>50.965000000000003</v>
      </c>
      <c r="J1940" s="2">
        <f ca="1">IFERROR(__xludf.DUMMYFUNCTION("""COMPUTED_VALUE"""),49.082)</f>
        <v>49.082000000000001</v>
      </c>
      <c r="K1940" s="2">
        <f ca="1">IFERROR(__xludf.DUMMYFUNCTION("""COMPUTED_VALUE"""),67.517)</f>
        <v>67.516999999999996</v>
      </c>
      <c r="M1940" s="2">
        <f ca="1">IFERROR(__xludf.DUMMYFUNCTION("""COMPUTED_VALUE"""),17.707)</f>
        <v>17.707000000000001</v>
      </c>
      <c r="U1940" s="3" t="e">
        <f ca="1"/>
        <v>#NAME?</v>
      </c>
    </row>
    <row r="1941" spans="3:21" ht="12.5" x14ac:dyDescent="0.25">
      <c r="C1941" s="4">
        <f ca="1">IFERROR(__xludf.DUMMYFUNCTION("""COMPUTED_VALUE"""),42297.9986111111)</f>
        <v>42297.998611111099</v>
      </c>
      <c r="D1941" s="2">
        <f ca="1">IFERROR(__xludf.DUMMYFUNCTION("""COMPUTED_VALUE"""),64.994)</f>
        <v>64.994</v>
      </c>
      <c r="E1941" s="2">
        <f ca="1">IFERROR(__xludf.DUMMYFUNCTION("""COMPUTED_VALUE"""),75.779)</f>
        <v>75.778999999999996</v>
      </c>
      <c r="F1941" s="2">
        <f ca="1">IFERROR(__xludf.DUMMYFUNCTION("""COMPUTED_VALUE"""),102.95)</f>
        <v>102.95</v>
      </c>
      <c r="G1941" s="2">
        <f ca="1">IFERROR(__xludf.DUMMYFUNCTION("""COMPUTED_VALUE"""),0.61472)</f>
        <v>0.61472000000000004</v>
      </c>
      <c r="H1941" s="2">
        <f ca="1">IFERROR(__xludf.DUMMYFUNCTION("""COMPUTED_VALUE"""),50.859)</f>
        <v>50.859000000000002</v>
      </c>
      <c r="I1941" s="2">
        <f ca="1">IFERROR(__xludf.DUMMYFUNCTION("""COMPUTED_VALUE"""),50.965)</f>
        <v>50.965000000000003</v>
      </c>
      <c r="J1941" s="2">
        <f ca="1">IFERROR(__xludf.DUMMYFUNCTION("""COMPUTED_VALUE"""),49.082)</f>
        <v>49.082000000000001</v>
      </c>
      <c r="K1941" s="2">
        <f ca="1">IFERROR(__xludf.DUMMYFUNCTION("""COMPUTED_VALUE"""),67.189)</f>
        <v>67.188999999999993</v>
      </c>
      <c r="M1941" s="2">
        <f ca="1">IFERROR(__xludf.DUMMYFUNCTION("""COMPUTED_VALUE"""),17.701)</f>
        <v>17.701000000000001</v>
      </c>
      <c r="U1941" s="3" t="e">
        <f ca="1"/>
        <v>#NAME?</v>
      </c>
    </row>
    <row r="1942" spans="3:21" ht="12.5" x14ac:dyDescent="0.25">
      <c r="C1942" s="4">
        <f ca="1">IFERROR(__xludf.DUMMYFUNCTION("""COMPUTED_VALUE"""),42298.9986111111)</f>
        <v>42298.998611111099</v>
      </c>
      <c r="D1942" s="2">
        <f ca="1">IFERROR(__xludf.DUMMYFUNCTION("""COMPUTED_VALUE"""),65.159)</f>
        <v>65.159000000000006</v>
      </c>
      <c r="E1942" s="2">
        <f ca="1">IFERROR(__xludf.DUMMYFUNCTION("""COMPUTED_VALUE"""),75.867)</f>
        <v>75.867000000000004</v>
      </c>
      <c r="F1942" s="2">
        <f ca="1">IFERROR(__xludf.DUMMYFUNCTION("""COMPUTED_VALUE"""),102.22)</f>
        <v>102.22</v>
      </c>
      <c r="G1942" s="2">
        <f ca="1">IFERROR(__xludf.DUMMYFUNCTION("""COMPUTED_VALUE"""),0.61234)</f>
        <v>0.61234</v>
      </c>
      <c r="H1942" s="2">
        <f ca="1">IFERROR(__xludf.DUMMYFUNCTION("""COMPUTED_VALUE"""),50.197)</f>
        <v>50.197000000000003</v>
      </c>
      <c r="I1942" s="2">
        <f ca="1">IFERROR(__xludf.DUMMYFUNCTION("""COMPUTED_VALUE"""),50.517)</f>
        <v>50.517000000000003</v>
      </c>
      <c r="J1942" s="2">
        <f ca="1">IFERROR(__xludf.DUMMYFUNCTION("""COMPUTED_VALUE"""),49.082)</f>
        <v>49.082000000000001</v>
      </c>
      <c r="K1942" s="2">
        <f ca="1">IFERROR(__xludf.DUMMYFUNCTION("""COMPUTED_VALUE"""),65.842)</f>
        <v>65.841999999999999</v>
      </c>
      <c r="M1942" s="2">
        <f ca="1">IFERROR(__xludf.DUMMYFUNCTION("""COMPUTED_VALUE"""),17.669)</f>
        <v>17.669</v>
      </c>
      <c r="U1942" s="3" t="e">
        <f ca="1"/>
        <v>#NAME?</v>
      </c>
    </row>
    <row r="1943" spans="3:21" ht="12.5" x14ac:dyDescent="0.25">
      <c r="C1943" s="4">
        <f ca="1">IFERROR(__xludf.DUMMYFUNCTION("""COMPUTED_VALUE"""),42299.9986111111)</f>
        <v>42299.998611111099</v>
      </c>
      <c r="D1943" s="2">
        <f ca="1">IFERROR(__xludf.DUMMYFUNCTION("""COMPUTED_VALUE"""),65.05)</f>
        <v>65.05</v>
      </c>
      <c r="E1943" s="2">
        <f ca="1">IFERROR(__xludf.DUMMYFUNCTION("""COMPUTED_VALUE"""),75.795)</f>
        <v>75.795000000000002</v>
      </c>
      <c r="F1943" s="2">
        <f ca="1">IFERROR(__xludf.DUMMYFUNCTION("""COMPUTED_VALUE"""),102.313)</f>
        <v>102.313</v>
      </c>
      <c r="G1943" s="2">
        <f ca="1">IFERROR(__xludf.DUMMYFUNCTION("""COMPUTED_VALUE"""),0.61305)</f>
        <v>0.61304999999999998</v>
      </c>
      <c r="H1943" s="2">
        <f ca="1">IFERROR(__xludf.DUMMYFUNCTION("""COMPUTED_VALUE"""),50.099)</f>
        <v>50.098999999999997</v>
      </c>
      <c r="I1943" s="2">
        <f ca="1">IFERROR(__xludf.DUMMYFUNCTION("""COMPUTED_VALUE"""),50.529)</f>
        <v>50.529000000000003</v>
      </c>
      <c r="J1943" s="2">
        <f ca="1">IFERROR(__xludf.DUMMYFUNCTION("""COMPUTED_VALUE"""),48.835)</f>
        <v>48.835000000000001</v>
      </c>
      <c r="K1943" s="2">
        <f ca="1">IFERROR(__xludf.DUMMYFUNCTION("""COMPUTED_VALUE"""),66.414)</f>
        <v>66.414000000000001</v>
      </c>
      <c r="M1943" s="2">
        <f ca="1">IFERROR(__xludf.DUMMYFUNCTION("""COMPUTED_VALUE"""),17.712)</f>
        <v>17.712</v>
      </c>
      <c r="U1943" s="3" t="e">
        <f ca="1"/>
        <v>#NAME?</v>
      </c>
    </row>
    <row r="1944" spans="3:21" ht="12.5" x14ac:dyDescent="0.25">
      <c r="C1944" s="4">
        <f ca="1">IFERROR(__xludf.DUMMYFUNCTION("""COMPUTED_VALUE"""),42300.9986111111)</f>
        <v>42300.998611111099</v>
      </c>
      <c r="D1944" s="2">
        <f ca="1">IFERROR(__xludf.DUMMYFUNCTION("""COMPUTED_VALUE"""),64.885)</f>
        <v>64.885000000000005</v>
      </c>
      <c r="E1944" s="2">
        <f ca="1">IFERROR(__xludf.DUMMYFUNCTION("""COMPUTED_VALUE"""),75.795)</f>
        <v>75.795000000000002</v>
      </c>
      <c r="F1944" s="2">
        <f ca="1">IFERROR(__xludf.DUMMYFUNCTION("""COMPUTED_VALUE"""),101.94)</f>
        <v>101.94</v>
      </c>
      <c r="G1944" s="2">
        <f ca="1">IFERROR(__xludf.DUMMYFUNCTION("""COMPUTED_VALUE"""),0.60901)</f>
        <v>0.60901000000000005</v>
      </c>
      <c r="H1944" s="2">
        <f ca="1">IFERROR(__xludf.DUMMYFUNCTION("""COMPUTED_VALUE"""),50.577)</f>
        <v>50.576999999999998</v>
      </c>
      <c r="I1944" s="2">
        <f ca="1">IFERROR(__xludf.DUMMYFUNCTION("""COMPUTED_VALUE"""),50.8)</f>
        <v>50.8</v>
      </c>
      <c r="J1944" s="2">
        <f ca="1">IFERROR(__xludf.DUMMYFUNCTION("""COMPUTED_VALUE"""),48.995)</f>
        <v>48.994999999999997</v>
      </c>
      <c r="K1944" s="2">
        <f ca="1">IFERROR(__xludf.DUMMYFUNCTION("""COMPUTED_VALUE"""),66.834)</f>
        <v>66.834000000000003</v>
      </c>
      <c r="M1944" s="2">
        <f ca="1">IFERROR(__xludf.DUMMYFUNCTION("""COMPUTED_VALUE"""),17.679)</f>
        <v>17.678999999999998</v>
      </c>
      <c r="U1944" s="3" t="e">
        <f ca="1"/>
        <v>#NAME?</v>
      </c>
    </row>
    <row r="1945" spans="3:21" ht="12.5" x14ac:dyDescent="0.25">
      <c r="C1945" s="4">
        <f ca="1">IFERROR(__xludf.DUMMYFUNCTION("""COMPUTED_VALUE"""),42302.9986111111)</f>
        <v>42302.998611111099</v>
      </c>
      <c r="D1945" s="2">
        <f ca="1">IFERROR(__xludf.DUMMYFUNCTION("""COMPUTED_VALUE"""),64.95)</f>
        <v>64.95</v>
      </c>
      <c r="E1945" s="2">
        <f ca="1">IFERROR(__xludf.DUMMYFUNCTION("""COMPUTED_VALUE"""),75.795)</f>
        <v>75.795000000000002</v>
      </c>
      <c r="F1945" s="2">
        <f ca="1">IFERROR(__xludf.DUMMYFUNCTION("""COMPUTED_VALUE"""),101.14)</f>
        <v>101.14</v>
      </c>
      <c r="G1945" s="2">
        <f ca="1">IFERROR(__xludf.DUMMYFUNCTION("""COMPUTED_VALUE"""),0.61359)</f>
        <v>0.61358999999999997</v>
      </c>
      <c r="H1945" s="2">
        <f ca="1">IFERROR(__xludf.DUMMYFUNCTION("""COMPUTED_VALUE"""),50.122)</f>
        <v>50.122</v>
      </c>
      <c r="I1945" s="2">
        <f ca="1">IFERROR(__xludf.DUMMYFUNCTION("""COMPUTED_VALUE"""),50.766)</f>
        <v>50.765999999999998</v>
      </c>
      <c r="J1945" s="2">
        <f ca="1">IFERROR(__xludf.DUMMYFUNCTION("""COMPUTED_VALUE"""),49.367)</f>
        <v>49.366999999999997</v>
      </c>
      <c r="K1945" s="2">
        <f ca="1">IFERROR(__xludf.DUMMYFUNCTION("""COMPUTED_VALUE"""),66.561)</f>
        <v>66.561000000000007</v>
      </c>
      <c r="M1945" s="2">
        <f ca="1">IFERROR(__xludf.DUMMYFUNCTION("""COMPUTED_VALUE"""),17.815)</f>
        <v>17.815000000000001</v>
      </c>
      <c r="U1945" s="3" t="e">
        <f ca="1"/>
        <v>#NAME?</v>
      </c>
    </row>
    <row r="1946" spans="3:21" ht="12.5" x14ac:dyDescent="0.25">
      <c r="C1946" s="4">
        <f ca="1">IFERROR(__xludf.DUMMYFUNCTION("""COMPUTED_VALUE"""),42303.9986111111)</f>
        <v>42303.998611111099</v>
      </c>
      <c r="D1946" s="2">
        <f ca="1">IFERROR(__xludf.DUMMYFUNCTION("""COMPUTED_VALUE"""),64.901)</f>
        <v>64.900999999999996</v>
      </c>
      <c r="E1946" s="2">
        <f ca="1">IFERROR(__xludf.DUMMYFUNCTION("""COMPUTED_VALUE"""),75.565)</f>
        <v>75.564999999999998</v>
      </c>
      <c r="F1946" s="2">
        <f ca="1">IFERROR(__xludf.DUMMYFUNCTION("""COMPUTED_VALUE"""),100.89)</f>
        <v>100.89</v>
      </c>
      <c r="G1946" s="2">
        <f ca="1">IFERROR(__xludf.DUMMYFUNCTION("""COMPUTED_VALUE"""),0.6117)</f>
        <v>0.61170000000000002</v>
      </c>
      <c r="H1946" s="2">
        <f ca="1">IFERROR(__xludf.DUMMYFUNCTION("""COMPUTED_VALUE"""),50.284)</f>
        <v>50.283999999999999</v>
      </c>
      <c r="I1946" s="2">
        <f ca="1">IFERROR(__xludf.DUMMYFUNCTION("""COMPUTED_VALUE"""),51.196)</f>
        <v>51.195999999999998</v>
      </c>
      <c r="J1946" s="2">
        <f ca="1">IFERROR(__xludf.DUMMYFUNCTION("""COMPUTED_VALUE"""),49.306)</f>
        <v>49.305999999999997</v>
      </c>
      <c r="K1946" s="2">
        <f ca="1">IFERROR(__xludf.DUMMYFUNCTION("""COMPUTED_VALUE"""),67.16)</f>
        <v>67.16</v>
      </c>
      <c r="M1946" s="2">
        <f ca="1">IFERROR(__xludf.DUMMYFUNCTION("""COMPUTED_VALUE"""),17.808)</f>
        <v>17.808</v>
      </c>
      <c r="U1946" s="3" t="e">
        <f ca="1"/>
        <v>#NAME?</v>
      </c>
    </row>
    <row r="1947" spans="3:21" ht="12.5" x14ac:dyDescent="0.25">
      <c r="C1947" s="4">
        <f ca="1">IFERROR(__xludf.DUMMYFUNCTION("""COMPUTED_VALUE"""),42304.9986111111)</f>
        <v>42304.998611111099</v>
      </c>
      <c r="D1947" s="2">
        <f ca="1">IFERROR(__xludf.DUMMYFUNCTION("""COMPUTED_VALUE"""),65.067)</f>
        <v>65.066999999999993</v>
      </c>
      <c r="E1947" s="2">
        <f ca="1">IFERROR(__xludf.DUMMYFUNCTION("""COMPUTED_VALUE"""),75.422)</f>
        <v>75.421999999999997</v>
      </c>
      <c r="F1947" s="2">
        <f ca="1">IFERROR(__xludf.DUMMYFUNCTION("""COMPUTED_VALUE"""),100.83)</f>
        <v>100.83</v>
      </c>
      <c r="G1947" s="2">
        <f ca="1">IFERROR(__xludf.DUMMYFUNCTION("""COMPUTED_VALUE"""),0.61098)</f>
        <v>0.61097999999999997</v>
      </c>
      <c r="H1947" s="2">
        <f ca="1">IFERROR(__xludf.DUMMYFUNCTION("""COMPUTED_VALUE"""),50.252)</f>
        <v>50.252000000000002</v>
      </c>
      <c r="I1947" s="2">
        <f ca="1">IFERROR(__xludf.DUMMYFUNCTION("""COMPUTED_VALUE"""),51.192)</f>
        <v>51.192</v>
      </c>
      <c r="J1947" s="2">
        <f ca="1">IFERROR(__xludf.DUMMYFUNCTION("""COMPUTED_VALUE"""),49.27)</f>
        <v>49.27</v>
      </c>
      <c r="K1947" s="2">
        <f ca="1">IFERROR(__xludf.DUMMYFUNCTION("""COMPUTED_VALUE"""),67.086)</f>
        <v>67.085999999999999</v>
      </c>
      <c r="M1947" s="2">
        <f ca="1">IFERROR(__xludf.DUMMYFUNCTION("""COMPUTED_VALUE"""),17.842)</f>
        <v>17.841999999999999</v>
      </c>
      <c r="U1947" s="3" t="e">
        <f ca="1"/>
        <v>#NAME?</v>
      </c>
    </row>
    <row r="1948" spans="3:21" ht="12.5" x14ac:dyDescent="0.25">
      <c r="C1948" s="4">
        <f ca="1">IFERROR(__xludf.DUMMYFUNCTION("""COMPUTED_VALUE"""),42305.9986111111)</f>
        <v>42305.998611111099</v>
      </c>
      <c r="D1948" s="2">
        <f ca="1">IFERROR(__xludf.DUMMYFUNCTION("""COMPUTED_VALUE"""),64.946)</f>
        <v>64.945999999999998</v>
      </c>
      <c r="E1948" s="2">
        <f ca="1">IFERROR(__xludf.DUMMYFUNCTION("""COMPUTED_VALUE"""),74.959)</f>
        <v>74.959000000000003</v>
      </c>
      <c r="F1948" s="2">
        <f ca="1">IFERROR(__xludf.DUMMYFUNCTION("""COMPUTED_VALUE"""),100.45)</f>
        <v>100.45</v>
      </c>
      <c r="G1948" s="2">
        <f ca="1">IFERROR(__xludf.DUMMYFUNCTION("""COMPUTED_VALUE"""),0.61583)</f>
        <v>0.61582999999999999</v>
      </c>
      <c r="H1948" s="2">
        <f ca="1">IFERROR(__xludf.DUMMYFUNCTION("""COMPUTED_VALUE"""),50.252)</f>
        <v>50.252000000000002</v>
      </c>
      <c r="I1948" s="2">
        <f ca="1">IFERROR(__xludf.DUMMYFUNCTION("""COMPUTED_VALUE"""),51.192)</f>
        <v>51.192</v>
      </c>
      <c r="J1948" s="2">
        <f ca="1">IFERROR(__xludf.DUMMYFUNCTION("""COMPUTED_VALUE"""),49.27)</f>
        <v>49.27</v>
      </c>
      <c r="K1948" s="2">
        <f ca="1">IFERROR(__xludf.DUMMYFUNCTION("""COMPUTED_VALUE"""),65.895)</f>
        <v>65.894999999999996</v>
      </c>
      <c r="M1948" s="2">
        <f ca="1">IFERROR(__xludf.DUMMYFUNCTION("""COMPUTED_VALUE"""),17.839)</f>
        <v>17.838999999999999</v>
      </c>
      <c r="U1948" s="3" t="e">
        <f ca="1"/>
        <v>#NAME?</v>
      </c>
    </row>
    <row r="1949" spans="3:21" ht="12.5" x14ac:dyDescent="0.25">
      <c r="C1949" s="4">
        <f ca="1">IFERROR(__xludf.DUMMYFUNCTION("""COMPUTED_VALUE"""),42306.9986111111)</f>
        <v>42306.998611111099</v>
      </c>
      <c r="D1949" s="2">
        <f ca="1">IFERROR(__xludf.DUMMYFUNCTION("""COMPUTED_VALUE"""),65.444)</f>
        <v>65.444000000000003</v>
      </c>
      <c r="E1949" s="2">
        <f ca="1">IFERROR(__xludf.DUMMYFUNCTION("""COMPUTED_VALUE"""),75.019)</f>
        <v>75.019000000000005</v>
      </c>
      <c r="F1949" s="2">
        <f ca="1">IFERROR(__xludf.DUMMYFUNCTION("""COMPUTED_VALUE"""),100.451)</f>
        <v>100.45099999999999</v>
      </c>
      <c r="G1949" s="2">
        <f ca="1">IFERROR(__xludf.DUMMYFUNCTION("""COMPUTED_VALUE"""),0.61335)</f>
        <v>0.61334999999999995</v>
      </c>
      <c r="H1949" s="2">
        <f ca="1">IFERROR(__xludf.DUMMYFUNCTION("""COMPUTED_VALUE"""),50.282)</f>
        <v>50.281999999999996</v>
      </c>
      <c r="I1949" s="2">
        <f ca="1">IFERROR(__xludf.DUMMYFUNCTION("""COMPUTED_VALUE"""),51.288)</f>
        <v>51.287999999999997</v>
      </c>
      <c r="J1949" s="2">
        <f ca="1">IFERROR(__xludf.DUMMYFUNCTION("""COMPUTED_VALUE"""),49.27)</f>
        <v>49.27</v>
      </c>
      <c r="K1949" s="2">
        <f ca="1">IFERROR(__xludf.DUMMYFUNCTION("""COMPUTED_VALUE"""),66.504)</f>
        <v>66.504000000000005</v>
      </c>
      <c r="M1949" s="2">
        <f ca="1">IFERROR(__xludf.DUMMYFUNCTION("""COMPUTED_VALUE"""),17.853)</f>
        <v>17.853000000000002</v>
      </c>
      <c r="U1949" s="3" t="e">
        <f ca="1"/>
        <v>#NAME?</v>
      </c>
    </row>
    <row r="1950" spans="3:21" ht="12.5" x14ac:dyDescent="0.25">
      <c r="C1950" s="4">
        <f ca="1">IFERROR(__xludf.DUMMYFUNCTION("""COMPUTED_VALUE"""),42307.9986111111)</f>
        <v>42307.998611111099</v>
      </c>
      <c r="D1950" s="2">
        <f ca="1">IFERROR(__xludf.DUMMYFUNCTION("""COMPUTED_VALUE"""),65.415)</f>
        <v>65.415000000000006</v>
      </c>
      <c r="E1950" s="2">
        <f ca="1">IFERROR(__xludf.DUMMYFUNCTION("""COMPUTED_VALUE"""),75.133)</f>
        <v>75.132999999999996</v>
      </c>
      <c r="F1950" s="2">
        <f ca="1">IFERROR(__xludf.DUMMYFUNCTION("""COMPUTED_VALUE"""),100.451)</f>
        <v>100.45099999999999</v>
      </c>
      <c r="G1950" s="2">
        <f ca="1">IFERROR(__xludf.DUMMYFUNCTION("""COMPUTED_VALUE"""),0.61058)</f>
        <v>0.61058000000000001</v>
      </c>
      <c r="H1950" s="2">
        <f ca="1">IFERROR(__xludf.DUMMYFUNCTION("""COMPUTED_VALUE"""),50.902)</f>
        <v>50.902000000000001</v>
      </c>
      <c r="I1950" s="2">
        <f ca="1">IFERROR(__xludf.DUMMYFUNCTION("""COMPUTED_VALUE"""),51.893)</f>
        <v>51.893000000000001</v>
      </c>
      <c r="J1950" s="2">
        <f ca="1">IFERROR(__xludf.DUMMYFUNCTION("""COMPUTED_VALUE"""),49.271)</f>
        <v>49.271000000000001</v>
      </c>
      <c r="K1950" s="2">
        <f ca="1">IFERROR(__xludf.DUMMYFUNCTION("""COMPUTED_VALUE"""),66.662)</f>
        <v>66.662000000000006</v>
      </c>
      <c r="M1950" s="2">
        <f ca="1">IFERROR(__xludf.DUMMYFUNCTION("""COMPUTED_VALUE"""),17.93)</f>
        <v>17.93</v>
      </c>
      <c r="U1950" s="3" t="e">
        <f ca="1"/>
        <v>#NAME?</v>
      </c>
    </row>
    <row r="1951" spans="3:21" ht="12.5" x14ac:dyDescent="0.25">
      <c r="C1951" s="4">
        <f ca="1">IFERROR(__xludf.DUMMYFUNCTION("""COMPUTED_VALUE"""),42308.9986111111)</f>
        <v>42308.998611111099</v>
      </c>
      <c r="D1951" s="2">
        <f ca="1">IFERROR(__xludf.DUMMYFUNCTION("""COMPUTED_VALUE"""),65.413)</f>
        <v>65.412999999999997</v>
      </c>
      <c r="E1951" s="2">
        <f ca="1">IFERROR(__xludf.DUMMYFUNCTION("""COMPUTED_VALUE"""),75.02)</f>
        <v>75.02</v>
      </c>
      <c r="F1951" s="2">
        <f ca="1">IFERROR(__xludf.DUMMYFUNCTION("""COMPUTED_VALUE"""),100.53)</f>
        <v>100.53</v>
      </c>
      <c r="G1951" s="2">
        <f ca="1">IFERROR(__xludf.DUMMYFUNCTION("""COMPUTED_VALUE"""),0.60953)</f>
        <v>0.60953000000000002</v>
      </c>
      <c r="H1951" s="2">
        <f ca="1">IFERROR(__xludf.DUMMYFUNCTION("""COMPUTED_VALUE"""),50.901)</f>
        <v>50.901000000000003</v>
      </c>
      <c r="I1951" s="2">
        <f ca="1">IFERROR(__xludf.DUMMYFUNCTION("""COMPUTED_VALUE"""),51.848)</f>
        <v>51.847999999999999</v>
      </c>
      <c r="J1951" s="2">
        <f ca="1">IFERROR(__xludf.DUMMYFUNCTION("""COMPUTED_VALUE"""),49.305)</f>
        <v>49.305</v>
      </c>
      <c r="K1951" s="2">
        <f ca="1">IFERROR(__xludf.DUMMYFUNCTION("""COMPUTED_VALUE"""),67.498)</f>
        <v>67.498000000000005</v>
      </c>
      <c r="M1951" s="2">
        <f ca="1">IFERROR(__xludf.DUMMYFUNCTION("""COMPUTED_VALUE"""),17.984)</f>
        <v>17.984000000000002</v>
      </c>
      <c r="U1951" s="3" t="e">
        <f ca="1"/>
        <v>#NAME?</v>
      </c>
    </row>
    <row r="1952" spans="3:21" ht="12.5" x14ac:dyDescent="0.25">
      <c r="C1952" s="4">
        <f ca="1">IFERROR(__xludf.DUMMYFUNCTION("""COMPUTED_VALUE"""),42309.9986111111)</f>
        <v>42309.998611111099</v>
      </c>
      <c r="D1952" s="2">
        <f ca="1">IFERROR(__xludf.DUMMYFUNCTION("""COMPUTED_VALUE"""),65.413)</f>
        <v>65.412999999999997</v>
      </c>
      <c r="E1952" s="2">
        <f ca="1">IFERROR(__xludf.DUMMYFUNCTION("""COMPUTED_VALUE"""),75.146)</f>
        <v>75.146000000000001</v>
      </c>
      <c r="F1952" s="2">
        <f ca="1">IFERROR(__xludf.DUMMYFUNCTION("""COMPUTED_VALUE"""),99.915)</f>
        <v>99.915000000000006</v>
      </c>
      <c r="G1952" s="2">
        <f ca="1">IFERROR(__xludf.DUMMYFUNCTION("""COMPUTED_VALUE"""),0.60756)</f>
        <v>0.60755999999999999</v>
      </c>
      <c r="H1952" s="2">
        <f ca="1">IFERROR(__xludf.DUMMYFUNCTION("""COMPUTED_VALUE"""),51.216)</f>
        <v>51.216000000000001</v>
      </c>
      <c r="I1952" s="2">
        <f ca="1">IFERROR(__xludf.DUMMYFUNCTION("""COMPUTED_VALUE"""),51.848)</f>
        <v>51.847999999999999</v>
      </c>
      <c r="J1952" s="2">
        <f ca="1">IFERROR(__xludf.DUMMYFUNCTION("""COMPUTED_VALUE"""),49.212)</f>
        <v>49.212000000000003</v>
      </c>
      <c r="K1952" s="2">
        <f ca="1">IFERROR(__xludf.DUMMYFUNCTION("""COMPUTED_VALUE"""),67.931)</f>
        <v>67.930999999999997</v>
      </c>
      <c r="M1952" s="2">
        <f ca="1">IFERROR(__xludf.DUMMYFUNCTION("""COMPUTED_VALUE"""),18.093)</f>
        <v>18.093</v>
      </c>
      <c r="U1952" s="3" t="e">
        <f ca="1"/>
        <v>#NAME?</v>
      </c>
    </row>
    <row r="1953" spans="3:21" ht="12.5" x14ac:dyDescent="0.25">
      <c r="C1953" s="4">
        <f ca="1">IFERROR(__xludf.DUMMYFUNCTION("""COMPUTED_VALUE"""),42310.9986111111)</f>
        <v>42310.998611111099</v>
      </c>
      <c r="D1953" s="2">
        <f ca="1">IFERROR(__xludf.DUMMYFUNCTION("""COMPUTED_VALUE"""),65.541)</f>
        <v>65.540999999999997</v>
      </c>
      <c r="E1953" s="2">
        <f ca="1">IFERROR(__xludf.DUMMYFUNCTION("""COMPUTED_VALUE"""),74.745)</f>
        <v>74.745000000000005</v>
      </c>
      <c r="F1953" s="2">
        <f ca="1">IFERROR(__xludf.DUMMYFUNCTION("""COMPUTED_VALUE"""),99.093)</f>
        <v>99.093000000000004</v>
      </c>
      <c r="G1953" s="2">
        <f ca="1">IFERROR(__xludf.DUMMYFUNCTION("""COMPUTED_VALUE"""),0.60723)</f>
        <v>0.60723000000000005</v>
      </c>
      <c r="H1953" s="2">
        <f ca="1">IFERROR(__xludf.DUMMYFUNCTION("""COMPUTED_VALUE"""),51.454)</f>
        <v>51.454000000000001</v>
      </c>
      <c r="I1953" s="2">
        <f ca="1">IFERROR(__xludf.DUMMYFUNCTION("""COMPUTED_VALUE"""),51.947)</f>
        <v>51.947000000000003</v>
      </c>
      <c r="J1953" s="2">
        <f ca="1">IFERROR(__xludf.DUMMYFUNCTION("""COMPUTED_VALUE"""),48.856)</f>
        <v>48.856000000000002</v>
      </c>
      <c r="K1953" s="2">
        <f ca="1">IFERROR(__xludf.DUMMYFUNCTION("""COMPUTED_VALUE"""),68.311)</f>
        <v>68.311000000000007</v>
      </c>
      <c r="M1953" s="2">
        <f ca="1">IFERROR(__xludf.DUMMYFUNCTION("""COMPUTED_VALUE"""),18.02)</f>
        <v>18.02</v>
      </c>
      <c r="U1953" s="3" t="e">
        <f ca="1"/>
        <v>#NAME?</v>
      </c>
    </row>
    <row r="1954" spans="3:21" ht="12.5" x14ac:dyDescent="0.25">
      <c r="C1954" s="4">
        <f ca="1">IFERROR(__xludf.DUMMYFUNCTION("""COMPUTED_VALUE"""),42311.9986111111)</f>
        <v>42311.998611111099</v>
      </c>
      <c r="D1954" s="2">
        <f ca="1">IFERROR(__xludf.DUMMYFUNCTION("""COMPUTED_VALUE"""),65.531)</f>
        <v>65.531000000000006</v>
      </c>
      <c r="E1954" s="2">
        <f ca="1">IFERROR(__xludf.DUMMYFUNCTION("""COMPUTED_VALUE"""),75.014)</f>
        <v>75.013999999999996</v>
      </c>
      <c r="F1954" s="2">
        <f ca="1">IFERROR(__xludf.DUMMYFUNCTION("""COMPUTED_VALUE"""),99.352)</f>
        <v>99.352000000000004</v>
      </c>
      <c r="G1954" s="2">
        <f ca="1">IFERROR(__xludf.DUMMYFUNCTION("""COMPUTED_VALUE"""),0.60511)</f>
        <v>0.60511000000000004</v>
      </c>
      <c r="H1954" s="2">
        <f ca="1">IFERROR(__xludf.DUMMYFUNCTION("""COMPUTED_VALUE"""),51.548)</f>
        <v>51.548000000000002</v>
      </c>
      <c r="I1954" s="2">
        <f ca="1">IFERROR(__xludf.DUMMYFUNCTION("""COMPUTED_VALUE"""),51.957)</f>
        <v>51.957000000000001</v>
      </c>
      <c r="J1954" s="2">
        <f ca="1">IFERROR(__xludf.DUMMYFUNCTION("""COMPUTED_VALUE"""),49.041)</f>
        <v>49.040999999999997</v>
      </c>
      <c r="K1954" s="2">
        <f ca="1">IFERROR(__xludf.DUMMYFUNCTION("""COMPUTED_VALUE"""),68.311)</f>
        <v>68.311000000000007</v>
      </c>
      <c r="M1954" s="2">
        <f ca="1">IFERROR(__xludf.DUMMYFUNCTION("""COMPUTED_VALUE"""),17.983)</f>
        <v>17.983000000000001</v>
      </c>
      <c r="U1954" s="3" t="e">
        <f ca="1"/>
        <v>#NAME?</v>
      </c>
    </row>
    <row r="1955" spans="3:21" ht="12.5" x14ac:dyDescent="0.25">
      <c r="C1955" s="4">
        <f ca="1">IFERROR(__xludf.DUMMYFUNCTION("""COMPUTED_VALUE"""),42312.9986111111)</f>
        <v>42312.998611111099</v>
      </c>
      <c r="D1955" s="2">
        <f ca="1">IFERROR(__xludf.DUMMYFUNCTION("""COMPUTED_VALUE"""),65.585)</f>
        <v>65.584999999999994</v>
      </c>
      <c r="E1955" s="2">
        <f ca="1">IFERROR(__xludf.DUMMYFUNCTION("""COMPUTED_VALUE"""),74.763)</f>
        <v>74.763000000000005</v>
      </c>
      <c r="F1955" s="2">
        <f ca="1">IFERROR(__xludf.DUMMYFUNCTION("""COMPUTED_VALUE"""),99.199)</f>
        <v>99.198999999999998</v>
      </c>
      <c r="G1955" s="2">
        <f ca="1">IFERROR(__xludf.DUMMYFUNCTION("""COMPUTED_VALUE"""),0.60678)</f>
        <v>0.60677999999999999</v>
      </c>
      <c r="H1955" s="2">
        <f ca="1">IFERROR(__xludf.DUMMYFUNCTION("""COMPUTED_VALUE"""),51.587)</f>
        <v>51.587000000000003</v>
      </c>
      <c r="I1955" s="2">
        <f ca="1">IFERROR(__xludf.DUMMYFUNCTION("""COMPUTED_VALUE"""),52.103)</f>
        <v>52.103000000000002</v>
      </c>
      <c r="J1955" s="2">
        <f ca="1">IFERROR(__xludf.DUMMYFUNCTION("""COMPUTED_VALUE"""),49.123)</f>
        <v>49.122999999999998</v>
      </c>
      <c r="K1955" s="2">
        <f ca="1">IFERROR(__xludf.DUMMYFUNCTION("""COMPUTED_VALUE"""),68.88)</f>
        <v>68.88</v>
      </c>
      <c r="M1955" s="2">
        <f ca="1">IFERROR(__xludf.DUMMYFUNCTION("""COMPUTED_VALUE"""),17.979)</f>
        <v>17.978999999999999</v>
      </c>
      <c r="U1955" s="3" t="e">
        <f ca="1"/>
        <v>#NAME?</v>
      </c>
    </row>
    <row r="1956" spans="3:21" ht="12.5" x14ac:dyDescent="0.25">
      <c r="C1956" s="4">
        <f ca="1">IFERROR(__xludf.DUMMYFUNCTION("""COMPUTED_VALUE"""),42313.9986111111)</f>
        <v>42313.998611111099</v>
      </c>
      <c r="D1956" s="2">
        <f ca="1">IFERROR(__xludf.DUMMYFUNCTION("""COMPUTED_VALUE"""),65.86)</f>
        <v>65.86</v>
      </c>
      <c r="E1956" s="2">
        <f ca="1">IFERROR(__xludf.DUMMYFUNCTION("""COMPUTED_VALUE"""),75.091)</f>
        <v>75.090999999999994</v>
      </c>
      <c r="F1956" s="2">
        <f ca="1">IFERROR(__xludf.DUMMYFUNCTION("""COMPUTED_VALUE"""),98.856)</f>
        <v>98.855999999999995</v>
      </c>
      <c r="G1956" s="2">
        <f ca="1">IFERROR(__xludf.DUMMYFUNCTION("""COMPUTED_VALUE"""),0.61516)</f>
        <v>0.61516000000000004</v>
      </c>
      <c r="H1956" s="2">
        <f ca="1">IFERROR(__xludf.DUMMYFUNCTION("""COMPUTED_VALUE"""),51.593)</f>
        <v>51.593000000000004</v>
      </c>
      <c r="I1956" s="2">
        <f ca="1">IFERROR(__xludf.DUMMYFUNCTION("""COMPUTED_VALUE"""),52.295)</f>
        <v>52.295000000000002</v>
      </c>
      <c r="J1956" s="2">
        <f ca="1">IFERROR(__xludf.DUMMYFUNCTION("""COMPUTED_VALUE"""),49.419)</f>
        <v>49.418999999999997</v>
      </c>
      <c r="K1956" s="2">
        <f ca="1">IFERROR(__xludf.DUMMYFUNCTION("""COMPUTED_VALUE"""),69.739)</f>
        <v>69.739000000000004</v>
      </c>
      <c r="M1956" s="2">
        <f ca="1">IFERROR(__xludf.DUMMYFUNCTION("""COMPUTED_VALUE"""),17.992)</f>
        <v>17.992000000000001</v>
      </c>
      <c r="U1956" s="3" t="e">
        <f ca="1"/>
        <v>#NAME?</v>
      </c>
    </row>
    <row r="1957" spans="3:21" ht="12.5" x14ac:dyDescent="0.25">
      <c r="C1957" s="4">
        <f ca="1">IFERROR(__xludf.DUMMYFUNCTION("""COMPUTED_VALUE"""),42314.9986111111)</f>
        <v>42314.998611111099</v>
      </c>
      <c r="D1957" s="2">
        <f ca="1">IFERROR(__xludf.DUMMYFUNCTION("""COMPUTED_VALUE"""),66.133)</f>
        <v>66.132999999999996</v>
      </c>
      <c r="E1957" s="2">
        <f ca="1">IFERROR(__xludf.DUMMYFUNCTION("""COMPUTED_VALUE"""),74.994)</f>
        <v>74.994</v>
      </c>
      <c r="F1957" s="2">
        <f ca="1">IFERROR(__xludf.DUMMYFUNCTION("""COMPUTED_VALUE"""),98.856)</f>
        <v>98.855999999999995</v>
      </c>
      <c r="G1957" s="2">
        <f ca="1">IFERROR(__xludf.DUMMYFUNCTION("""COMPUTED_VALUE"""),0.61746)</f>
        <v>0.61746000000000001</v>
      </c>
      <c r="H1957" s="2">
        <f ca="1">IFERROR(__xludf.DUMMYFUNCTION("""COMPUTED_VALUE"""),51.438)</f>
        <v>51.438000000000002</v>
      </c>
      <c r="I1957" s="2">
        <f ca="1">IFERROR(__xludf.DUMMYFUNCTION("""COMPUTED_VALUE"""),52.209)</f>
        <v>52.209000000000003</v>
      </c>
      <c r="J1957" s="2">
        <f ca="1">IFERROR(__xludf.DUMMYFUNCTION("""COMPUTED_VALUE"""),49.213)</f>
        <v>49.213000000000001</v>
      </c>
      <c r="K1957" s="2">
        <f ca="1">IFERROR(__xludf.DUMMYFUNCTION("""COMPUTED_VALUE"""),69.664)</f>
        <v>69.664000000000001</v>
      </c>
      <c r="M1957" s="2">
        <f ca="1">IFERROR(__xludf.DUMMYFUNCTION("""COMPUTED_VALUE"""),17.939)</f>
        <v>17.939</v>
      </c>
      <c r="U1957" s="3" t="e">
        <f ca="1"/>
        <v>#NAME?</v>
      </c>
    </row>
    <row r="1958" spans="3:21" ht="12.5" x14ac:dyDescent="0.25">
      <c r="C1958" s="4">
        <f ca="1">IFERROR(__xludf.DUMMYFUNCTION("""COMPUTED_VALUE"""),42315.9986111111)</f>
        <v>42315.998611111099</v>
      </c>
      <c r="D1958" s="2">
        <f ca="1">IFERROR(__xludf.DUMMYFUNCTION("""COMPUTED_VALUE"""),66.059)</f>
        <v>66.058999999999997</v>
      </c>
      <c r="E1958" s="2">
        <f ca="1">IFERROR(__xludf.DUMMYFUNCTION("""COMPUTED_VALUE"""),75.093)</f>
        <v>75.093000000000004</v>
      </c>
      <c r="F1958" s="2">
        <f ca="1">IFERROR(__xludf.DUMMYFUNCTION("""COMPUTED_VALUE"""),98.678)</f>
        <v>98.677999999999997</v>
      </c>
      <c r="G1958" s="2">
        <f ca="1">IFERROR(__xludf.DUMMYFUNCTION("""COMPUTED_VALUE"""),0.62817)</f>
        <v>0.62817000000000001</v>
      </c>
      <c r="H1958" s="2">
        <f ca="1">IFERROR(__xludf.DUMMYFUNCTION("""COMPUTED_VALUE"""),51.356)</f>
        <v>51.356000000000002</v>
      </c>
      <c r="I1958" s="2">
        <f ca="1">IFERROR(__xludf.DUMMYFUNCTION("""COMPUTED_VALUE"""),52.584)</f>
        <v>52.584000000000003</v>
      </c>
      <c r="J1958" s="2">
        <f ca="1">IFERROR(__xludf.DUMMYFUNCTION("""COMPUTED_VALUE"""),49.227)</f>
        <v>49.226999999999997</v>
      </c>
      <c r="K1958" s="2">
        <f ca="1">IFERROR(__xludf.DUMMYFUNCTION("""COMPUTED_VALUE"""),70.348)</f>
        <v>70.347999999999999</v>
      </c>
      <c r="M1958" s="2">
        <f ca="1">IFERROR(__xludf.DUMMYFUNCTION("""COMPUTED_VALUE"""),17.979)</f>
        <v>17.978999999999999</v>
      </c>
      <c r="U1958" s="3" t="e">
        <f ca="1"/>
        <v>#NAME?</v>
      </c>
    </row>
    <row r="1959" spans="3:21" ht="12.5" x14ac:dyDescent="0.25">
      <c r="C1959" s="4">
        <f ca="1">IFERROR(__xludf.DUMMYFUNCTION("""COMPUTED_VALUE"""),42316.9986111111)</f>
        <v>42316.998611111099</v>
      </c>
      <c r="D1959" s="2">
        <f ca="1">IFERROR(__xludf.DUMMYFUNCTION("""COMPUTED_VALUE"""),66.059)</f>
        <v>66.058999999999997</v>
      </c>
      <c r="E1959" s="2">
        <f ca="1">IFERROR(__xludf.DUMMYFUNCTION("""COMPUTED_VALUE"""),75.376)</f>
        <v>75.376000000000005</v>
      </c>
      <c r="F1959" s="2">
        <f ca="1">IFERROR(__xludf.DUMMYFUNCTION("""COMPUTED_VALUE"""),99.24)</f>
        <v>99.24</v>
      </c>
      <c r="G1959" s="2">
        <f ca="1">IFERROR(__xludf.DUMMYFUNCTION("""COMPUTED_VALUE"""),0.62095)</f>
        <v>0.62095</v>
      </c>
      <c r="H1959" s="2">
        <f ca="1">IFERROR(__xludf.DUMMYFUNCTION("""COMPUTED_VALUE"""),51.422)</f>
        <v>51.421999999999997</v>
      </c>
      <c r="I1959" s="2">
        <f ca="1">IFERROR(__xludf.DUMMYFUNCTION("""COMPUTED_VALUE"""),52.57)</f>
        <v>52.57</v>
      </c>
      <c r="J1959" s="2">
        <f ca="1">IFERROR(__xludf.DUMMYFUNCTION("""COMPUTED_VALUE"""),49.133)</f>
        <v>49.133000000000003</v>
      </c>
      <c r="K1959" s="2">
        <f ca="1">IFERROR(__xludf.DUMMYFUNCTION("""COMPUTED_VALUE"""),69.665)</f>
        <v>69.665000000000006</v>
      </c>
      <c r="M1959" s="2">
        <f ca="1">IFERROR(__xludf.DUMMYFUNCTION("""COMPUTED_VALUE"""),17.988)</f>
        <v>17.988</v>
      </c>
      <c r="U1959" s="3" t="e">
        <f ca="1"/>
        <v>#NAME?</v>
      </c>
    </row>
    <row r="1960" spans="3:21" ht="12.5" x14ac:dyDescent="0.25">
      <c r="C1960" s="4">
        <f ca="1">IFERROR(__xludf.DUMMYFUNCTION("""COMPUTED_VALUE"""),42317.9986111111)</f>
        <v>42317.998611111099</v>
      </c>
      <c r="D1960" s="2">
        <f ca="1">IFERROR(__xludf.DUMMYFUNCTION("""COMPUTED_VALUE"""),66.468)</f>
        <v>66.468000000000004</v>
      </c>
      <c r="E1960" s="2">
        <f ca="1">IFERROR(__xludf.DUMMYFUNCTION("""COMPUTED_VALUE"""),75.99)</f>
        <v>75.989999999999995</v>
      </c>
      <c r="F1960" s="2">
        <f ca="1">IFERROR(__xludf.DUMMYFUNCTION("""COMPUTED_VALUE"""),99.46)</f>
        <v>99.46</v>
      </c>
      <c r="G1960" s="2">
        <f ca="1">IFERROR(__xludf.DUMMYFUNCTION("""COMPUTED_VALUE"""),0.6217)</f>
        <v>0.62170000000000003</v>
      </c>
      <c r="H1960" s="2">
        <f ca="1">IFERROR(__xludf.DUMMYFUNCTION("""COMPUTED_VALUE"""),51.433)</f>
        <v>51.433</v>
      </c>
      <c r="I1960" s="2">
        <f ca="1">IFERROR(__xludf.DUMMYFUNCTION("""COMPUTED_VALUE"""),52.655)</f>
        <v>52.655000000000001</v>
      </c>
      <c r="J1960" s="2">
        <f ca="1">IFERROR(__xludf.DUMMYFUNCTION("""COMPUTED_VALUE"""),49.288)</f>
        <v>49.287999999999997</v>
      </c>
      <c r="K1960" s="2">
        <f ca="1">IFERROR(__xludf.DUMMYFUNCTION("""COMPUTED_VALUE"""),69.023)</f>
        <v>69.022999999999996</v>
      </c>
      <c r="M1960" s="2">
        <f ca="1">IFERROR(__xludf.DUMMYFUNCTION("""COMPUTED_VALUE"""),17.984)</f>
        <v>17.984000000000002</v>
      </c>
      <c r="U1960" s="3" t="e">
        <f ca="1"/>
        <v>#NAME?</v>
      </c>
    </row>
    <row r="1961" spans="3:21" ht="12.5" x14ac:dyDescent="0.25">
      <c r="C1961" s="4">
        <f ca="1">IFERROR(__xludf.DUMMYFUNCTION("""COMPUTED_VALUE"""),42318.9986111111)</f>
        <v>42318.998611111099</v>
      </c>
      <c r="D1961" s="2">
        <f ca="1">IFERROR(__xludf.DUMMYFUNCTION("""COMPUTED_VALUE"""),66.193)</f>
        <v>66.192999999999998</v>
      </c>
      <c r="E1961" s="2">
        <f ca="1">IFERROR(__xludf.DUMMYFUNCTION("""COMPUTED_VALUE"""),75.99)</f>
        <v>75.989999999999995</v>
      </c>
      <c r="F1961" s="2">
        <f ca="1">IFERROR(__xludf.DUMMYFUNCTION("""COMPUTED_VALUE"""),99.784)</f>
        <v>99.784000000000006</v>
      </c>
      <c r="G1961" s="2">
        <f ca="1">IFERROR(__xludf.DUMMYFUNCTION("""COMPUTED_VALUE"""),0.62216)</f>
        <v>0.62216000000000005</v>
      </c>
      <c r="H1961" s="2">
        <f ca="1">IFERROR(__xludf.DUMMYFUNCTION("""COMPUTED_VALUE"""),50.395)</f>
        <v>50.395000000000003</v>
      </c>
      <c r="I1961" s="2">
        <f ca="1">IFERROR(__xludf.DUMMYFUNCTION("""COMPUTED_VALUE"""),52.677)</f>
        <v>52.677</v>
      </c>
      <c r="J1961" s="2">
        <f ca="1">IFERROR(__xludf.DUMMYFUNCTION("""COMPUTED_VALUE"""),49.131)</f>
        <v>49.131</v>
      </c>
      <c r="K1961" s="2">
        <f ca="1">IFERROR(__xludf.DUMMYFUNCTION("""COMPUTED_VALUE"""),69.052)</f>
        <v>69.052000000000007</v>
      </c>
      <c r="M1961" s="2">
        <f ca="1">IFERROR(__xludf.DUMMYFUNCTION("""COMPUTED_VALUE"""),17.995)</f>
        <v>17.995000000000001</v>
      </c>
      <c r="U1961" s="3" t="e">
        <f ca="1"/>
        <v>#NAME?</v>
      </c>
    </row>
    <row r="1962" spans="3:21" ht="12.5" x14ac:dyDescent="0.25">
      <c r="C1962" s="4">
        <f ca="1">IFERROR(__xludf.DUMMYFUNCTION("""COMPUTED_VALUE"""),42319.9986111111)</f>
        <v>42319.998611111099</v>
      </c>
      <c r="D1962" s="2">
        <f ca="1">IFERROR(__xludf.DUMMYFUNCTION("""COMPUTED_VALUE"""),66.063)</f>
        <v>66.063000000000002</v>
      </c>
      <c r="E1962" s="2">
        <f ca="1">IFERROR(__xludf.DUMMYFUNCTION("""COMPUTED_VALUE"""),76.411)</f>
        <v>76.411000000000001</v>
      </c>
      <c r="F1962" s="2">
        <f ca="1">IFERROR(__xludf.DUMMYFUNCTION("""COMPUTED_VALUE"""),99.185)</f>
        <v>99.185000000000002</v>
      </c>
      <c r="G1962" s="2">
        <f ca="1">IFERROR(__xludf.DUMMYFUNCTION("""COMPUTED_VALUE"""),0.62259)</f>
        <v>0.62258999999999998</v>
      </c>
      <c r="H1962" s="2">
        <f ca="1">IFERROR(__xludf.DUMMYFUNCTION("""COMPUTED_VALUE"""),50.646)</f>
        <v>50.646000000000001</v>
      </c>
      <c r="I1962" s="2">
        <f ca="1">IFERROR(__xludf.DUMMYFUNCTION("""COMPUTED_VALUE"""),52.874)</f>
        <v>52.874000000000002</v>
      </c>
      <c r="J1962" s="2">
        <f ca="1">IFERROR(__xludf.DUMMYFUNCTION("""COMPUTED_VALUE"""),49.164)</f>
        <v>49.164000000000001</v>
      </c>
      <c r="K1962" s="2">
        <f ca="1">IFERROR(__xludf.DUMMYFUNCTION("""COMPUTED_VALUE"""),69.242)</f>
        <v>69.242000000000004</v>
      </c>
      <c r="M1962" s="2">
        <f ca="1">IFERROR(__xludf.DUMMYFUNCTION("""COMPUTED_VALUE"""),18.073)</f>
        <v>18.073</v>
      </c>
      <c r="U1962" s="3" t="e">
        <f ca="1"/>
        <v>#NAME?</v>
      </c>
    </row>
    <row r="1963" spans="3:21" ht="12.5" x14ac:dyDescent="0.25">
      <c r="C1963" s="4">
        <f ca="1">IFERROR(__xludf.DUMMYFUNCTION("""COMPUTED_VALUE"""),42320.9986111111)</f>
        <v>42320.998611111099</v>
      </c>
      <c r="D1963" s="2">
        <f ca="1">IFERROR(__xludf.DUMMYFUNCTION("""COMPUTED_VALUE"""),66.048)</f>
        <v>66.048000000000002</v>
      </c>
      <c r="E1963" s="2">
        <f ca="1">IFERROR(__xludf.DUMMYFUNCTION("""COMPUTED_VALUE"""),76.513)</f>
        <v>76.513000000000005</v>
      </c>
      <c r="F1963" s="2">
        <f ca="1">IFERROR(__xludf.DUMMYFUNCTION("""COMPUTED_VALUE"""),99.185)</f>
        <v>99.185000000000002</v>
      </c>
      <c r="G1963" s="2">
        <f ca="1">IFERROR(__xludf.DUMMYFUNCTION("""COMPUTED_VALUE"""),0.62533)</f>
        <v>0.62533000000000005</v>
      </c>
      <c r="H1963" s="2">
        <f ca="1">IFERROR(__xludf.DUMMYFUNCTION("""COMPUTED_VALUE"""),50.483)</f>
        <v>50.482999999999997</v>
      </c>
      <c r="I1963" s="2">
        <f ca="1">IFERROR(__xludf.DUMMYFUNCTION("""COMPUTED_VALUE"""),52.883)</f>
        <v>52.883000000000003</v>
      </c>
      <c r="J1963" s="2">
        <f ca="1">IFERROR(__xludf.DUMMYFUNCTION("""COMPUTED_VALUE"""),49.362)</f>
        <v>49.362000000000002</v>
      </c>
      <c r="K1963" s="2">
        <f ca="1">IFERROR(__xludf.DUMMYFUNCTION("""COMPUTED_VALUE"""),68.802)</f>
        <v>68.802000000000007</v>
      </c>
      <c r="M1963" s="2">
        <f ca="1">IFERROR(__xludf.DUMMYFUNCTION("""COMPUTED_VALUE"""),18.048)</f>
        <v>18.047999999999998</v>
      </c>
      <c r="U1963" s="3" t="e">
        <f ca="1"/>
        <v>#NAME?</v>
      </c>
    </row>
    <row r="1964" spans="3:21" ht="12.5" x14ac:dyDescent="0.25">
      <c r="C1964" s="4">
        <f ca="1">IFERROR(__xludf.DUMMYFUNCTION("""COMPUTED_VALUE"""),42321.9986111111)</f>
        <v>42321.998611111099</v>
      </c>
      <c r="D1964" s="2">
        <f ca="1">IFERROR(__xludf.DUMMYFUNCTION("""COMPUTED_VALUE"""),66.051)</f>
        <v>66.051000000000002</v>
      </c>
      <c r="E1964" s="2">
        <f ca="1">IFERROR(__xludf.DUMMYFUNCTION("""COMPUTED_VALUE"""),76.478)</f>
        <v>76.477999999999994</v>
      </c>
      <c r="F1964" s="2">
        <f ca="1">IFERROR(__xludf.DUMMYFUNCTION("""COMPUTED_VALUE"""),99.386)</f>
        <v>99.385999999999996</v>
      </c>
      <c r="G1964" s="2">
        <f ca="1">IFERROR(__xludf.DUMMYFUNCTION("""COMPUTED_VALUE"""),0.63159)</f>
        <v>0.63158999999999998</v>
      </c>
      <c r="H1964" s="2">
        <f ca="1">IFERROR(__xludf.DUMMYFUNCTION("""COMPUTED_VALUE"""),50.458)</f>
        <v>50.457999999999998</v>
      </c>
      <c r="I1964" s="2">
        <f ca="1">IFERROR(__xludf.DUMMYFUNCTION("""COMPUTED_VALUE"""),52.844)</f>
        <v>52.844000000000001</v>
      </c>
      <c r="J1964" s="2">
        <f ca="1">IFERROR(__xludf.DUMMYFUNCTION("""COMPUTED_VALUE"""),49.367)</f>
        <v>49.366999999999997</v>
      </c>
      <c r="K1964" s="2">
        <f ca="1">IFERROR(__xludf.DUMMYFUNCTION("""COMPUTED_VALUE"""),68.948)</f>
        <v>68.947999999999993</v>
      </c>
      <c r="M1964" s="2">
        <f ca="1">IFERROR(__xludf.DUMMYFUNCTION("""COMPUTED_VALUE"""),18.073)</f>
        <v>18.073</v>
      </c>
      <c r="U1964" s="3" t="e">
        <f ca="1"/>
        <v>#NAME?</v>
      </c>
    </row>
    <row r="1965" spans="3:21" ht="12.5" x14ac:dyDescent="0.25">
      <c r="C1965" s="4">
        <f ca="1">IFERROR(__xludf.DUMMYFUNCTION("""COMPUTED_VALUE"""),42323.9986111111)</f>
        <v>42323.998611111099</v>
      </c>
      <c r="D1965" s="2">
        <f ca="1">IFERROR(__xludf.DUMMYFUNCTION("""COMPUTED_VALUE"""),66.089)</f>
        <v>66.088999999999999</v>
      </c>
      <c r="E1965" s="2">
        <f ca="1">IFERROR(__xludf.DUMMYFUNCTION("""COMPUTED_VALUE"""),75.878)</f>
        <v>75.878</v>
      </c>
      <c r="F1965" s="2">
        <f ca="1">IFERROR(__xludf.DUMMYFUNCTION("""COMPUTED_VALUE"""),99.249)</f>
        <v>99.248999999999995</v>
      </c>
      <c r="G1965" s="2">
        <f ca="1">IFERROR(__xludf.DUMMYFUNCTION("""COMPUTED_VALUE"""),0.63363)</f>
        <v>0.63363000000000003</v>
      </c>
      <c r="H1965" s="2">
        <f ca="1">IFERROR(__xludf.DUMMYFUNCTION("""COMPUTED_VALUE"""),50.809)</f>
        <v>50.808999999999997</v>
      </c>
      <c r="I1965" s="2">
        <f ca="1">IFERROR(__xludf.DUMMYFUNCTION("""COMPUTED_VALUE"""),52.919)</f>
        <v>52.918999999999997</v>
      </c>
      <c r="J1965" s="2">
        <f ca="1">IFERROR(__xludf.DUMMYFUNCTION("""COMPUTED_VALUE"""),49.349)</f>
        <v>49.348999999999997</v>
      </c>
      <c r="K1965" s="2">
        <f ca="1">IFERROR(__xludf.DUMMYFUNCTION("""COMPUTED_VALUE"""),69.211)</f>
        <v>69.210999999999999</v>
      </c>
      <c r="M1965" s="2">
        <f ca="1">IFERROR(__xludf.DUMMYFUNCTION("""COMPUTED_VALUE"""),18.118)</f>
        <v>18.117999999999999</v>
      </c>
      <c r="U1965" s="3" t="e">
        <f ca="1"/>
        <v>#NAME?</v>
      </c>
    </row>
    <row r="1966" spans="3:21" ht="12.5" x14ac:dyDescent="0.25">
      <c r="C1966" s="4">
        <f ca="1">IFERROR(__xludf.DUMMYFUNCTION("""COMPUTED_VALUE"""),42324.9986111111)</f>
        <v>42324.998611111099</v>
      </c>
      <c r="D1966" s="2">
        <f ca="1">IFERROR(__xludf.DUMMYFUNCTION("""COMPUTED_VALUE"""),65.897)</f>
        <v>65.897000000000006</v>
      </c>
      <c r="E1966" s="2">
        <f ca="1">IFERROR(__xludf.DUMMYFUNCTION("""COMPUTED_VALUE"""),75.878)</f>
        <v>75.878</v>
      </c>
      <c r="F1966" s="2">
        <f ca="1">IFERROR(__xludf.DUMMYFUNCTION("""COMPUTED_VALUE"""),100.36)</f>
        <v>100.36</v>
      </c>
      <c r="G1966" s="2">
        <f ca="1">IFERROR(__xludf.DUMMYFUNCTION("""COMPUTED_VALUE"""),0.63303)</f>
        <v>0.63302999999999998</v>
      </c>
      <c r="H1966" s="2">
        <f ca="1">IFERROR(__xludf.DUMMYFUNCTION("""COMPUTED_VALUE"""),49.886)</f>
        <v>49.886000000000003</v>
      </c>
      <c r="I1966" s="2">
        <f ca="1">IFERROR(__xludf.DUMMYFUNCTION("""COMPUTED_VALUE"""),52.377)</f>
        <v>52.377000000000002</v>
      </c>
      <c r="J1966" s="2">
        <f ca="1">IFERROR(__xludf.DUMMYFUNCTION("""COMPUTED_VALUE"""),49.428)</f>
        <v>49.427999999999997</v>
      </c>
      <c r="K1966" s="2">
        <f ca="1">IFERROR(__xludf.DUMMYFUNCTION("""COMPUTED_VALUE"""),69.2)</f>
        <v>69.2</v>
      </c>
      <c r="M1966" s="2">
        <f ca="1">IFERROR(__xludf.DUMMYFUNCTION("""COMPUTED_VALUE"""),18.191)</f>
        <v>18.190999999999999</v>
      </c>
      <c r="U1966" s="3" t="e">
        <f ca="1"/>
        <v>#NAME?</v>
      </c>
    </row>
    <row r="1967" spans="3:21" ht="12.5" x14ac:dyDescent="0.25">
      <c r="C1967" s="4">
        <f ca="1">IFERROR(__xludf.DUMMYFUNCTION("""COMPUTED_VALUE"""),42325.9986111111)</f>
        <v>42325.998611111099</v>
      </c>
      <c r="D1967" s="2">
        <f ca="1">IFERROR(__xludf.DUMMYFUNCTION("""COMPUTED_VALUE"""),66.037)</f>
        <v>66.037000000000006</v>
      </c>
      <c r="E1967" s="2">
        <f ca="1">IFERROR(__xludf.DUMMYFUNCTION("""COMPUTED_VALUE"""),75.901)</f>
        <v>75.900999999999996</v>
      </c>
      <c r="F1967" s="2">
        <f ca="1">IFERROR(__xludf.DUMMYFUNCTION("""COMPUTED_VALUE"""),100.24)</f>
        <v>100.24</v>
      </c>
      <c r="G1967" s="2">
        <f ca="1">IFERROR(__xludf.DUMMYFUNCTION("""COMPUTED_VALUE"""),0.64192)</f>
        <v>0.64192000000000005</v>
      </c>
      <c r="H1967" s="2">
        <f ca="1">IFERROR(__xludf.DUMMYFUNCTION("""COMPUTED_VALUE"""),49.684)</f>
        <v>49.683999999999997</v>
      </c>
      <c r="I1967" s="2">
        <f ca="1">IFERROR(__xludf.DUMMYFUNCTION("""COMPUTED_VALUE"""),51.738)</f>
        <v>51.738</v>
      </c>
      <c r="J1967" s="2">
        <f ca="1">IFERROR(__xludf.DUMMYFUNCTION("""COMPUTED_VALUE"""),49.22)</f>
        <v>49.22</v>
      </c>
      <c r="K1967" s="2">
        <f ca="1">IFERROR(__xludf.DUMMYFUNCTION("""COMPUTED_VALUE"""),68.528)</f>
        <v>68.528000000000006</v>
      </c>
      <c r="M1967" s="2">
        <f ca="1">IFERROR(__xludf.DUMMYFUNCTION("""COMPUTED_VALUE"""),18.104)</f>
        <v>18.103999999999999</v>
      </c>
      <c r="U1967" s="3" t="e">
        <f ca="1"/>
        <v>#NAME?</v>
      </c>
    </row>
    <row r="1968" spans="3:21" ht="12.5" x14ac:dyDescent="0.25">
      <c r="C1968" s="4">
        <f ca="1">IFERROR(__xludf.DUMMYFUNCTION("""COMPUTED_VALUE"""),42326.9986111111)</f>
        <v>42326.998611111099</v>
      </c>
      <c r="D1968" s="2">
        <f ca="1">IFERROR(__xludf.DUMMYFUNCTION("""COMPUTED_VALUE"""),66.075)</f>
        <v>66.075000000000003</v>
      </c>
      <c r="E1968" s="2">
        <f ca="1">IFERROR(__xludf.DUMMYFUNCTION("""COMPUTED_VALUE"""),75.754)</f>
        <v>75.754000000000005</v>
      </c>
      <c r="F1968" s="2">
        <f ca="1">IFERROR(__xludf.DUMMYFUNCTION("""COMPUTED_VALUE"""),99.89)</f>
        <v>99.89</v>
      </c>
      <c r="G1968" s="2">
        <f ca="1">IFERROR(__xludf.DUMMYFUNCTION("""COMPUTED_VALUE"""),0.64325)</f>
        <v>0.64324999999999999</v>
      </c>
      <c r="H1968" s="2">
        <f ca="1">IFERROR(__xludf.DUMMYFUNCTION("""COMPUTED_VALUE"""),49.745)</f>
        <v>49.744999999999997</v>
      </c>
      <c r="I1968" s="2">
        <f ca="1">IFERROR(__xludf.DUMMYFUNCTION("""COMPUTED_VALUE"""),51.763)</f>
        <v>51.762999999999998</v>
      </c>
      <c r="J1968" s="2">
        <f ca="1">IFERROR(__xludf.DUMMYFUNCTION("""COMPUTED_VALUE"""),49.037)</f>
        <v>49.036999999999999</v>
      </c>
      <c r="K1968" s="2">
        <f ca="1">IFERROR(__xludf.DUMMYFUNCTION("""COMPUTED_VALUE"""),69.128)</f>
        <v>69.128</v>
      </c>
      <c r="M1968" s="2">
        <f ca="1">IFERROR(__xludf.DUMMYFUNCTION("""COMPUTED_VALUE"""),18.097)</f>
        <v>18.097000000000001</v>
      </c>
      <c r="U1968" s="3" t="e">
        <f ca="1"/>
        <v>#NAME?</v>
      </c>
    </row>
    <row r="1969" spans="3:21" ht="12.5" x14ac:dyDescent="0.25">
      <c r="C1969" s="4">
        <f ca="1">IFERROR(__xludf.DUMMYFUNCTION("""COMPUTED_VALUE"""),42327.9986111111)</f>
        <v>42327.998611111099</v>
      </c>
      <c r="D1969" s="2">
        <f ca="1">IFERROR(__xludf.DUMMYFUNCTION("""COMPUTED_VALUE"""),66.085)</f>
        <v>66.084999999999994</v>
      </c>
      <c r="E1969" s="2">
        <f ca="1">IFERROR(__xludf.DUMMYFUNCTION("""COMPUTED_VALUE"""),76.016)</f>
        <v>76.016000000000005</v>
      </c>
      <c r="F1969" s="2">
        <f ca="1">IFERROR(__xludf.DUMMYFUNCTION("""COMPUTED_VALUE"""),99.893)</f>
        <v>99.893000000000001</v>
      </c>
      <c r="G1969" s="2">
        <f ca="1">IFERROR(__xludf.DUMMYFUNCTION("""COMPUTED_VALUE"""),0.63661)</f>
        <v>0.63661000000000001</v>
      </c>
      <c r="H1969" s="2">
        <f ca="1">IFERROR(__xludf.DUMMYFUNCTION("""COMPUTED_VALUE"""),49.082)</f>
        <v>49.082000000000001</v>
      </c>
      <c r="I1969" s="2">
        <f ca="1">IFERROR(__xludf.DUMMYFUNCTION("""COMPUTED_VALUE"""),51.543)</f>
        <v>51.542999999999999</v>
      </c>
      <c r="J1969" s="2">
        <f ca="1">IFERROR(__xludf.DUMMYFUNCTION("""COMPUTED_VALUE"""),48.989)</f>
        <v>48.988999999999997</v>
      </c>
      <c r="K1969" s="2">
        <f ca="1">IFERROR(__xludf.DUMMYFUNCTION("""COMPUTED_VALUE"""),69.039)</f>
        <v>69.039000000000001</v>
      </c>
      <c r="M1969" s="2">
        <f ca="1">IFERROR(__xludf.DUMMYFUNCTION("""COMPUTED_VALUE"""),18.12)</f>
        <v>18.12</v>
      </c>
      <c r="U1969" s="3" t="e">
        <f ca="1"/>
        <v>#NAME?</v>
      </c>
    </row>
    <row r="1970" spans="3:21" ht="12.5" x14ac:dyDescent="0.25">
      <c r="C1970" s="4">
        <f ca="1">IFERROR(__xludf.DUMMYFUNCTION("""COMPUTED_VALUE"""),42328.9986111111)</f>
        <v>42328.998611111099</v>
      </c>
      <c r="D1970" s="2">
        <f ca="1">IFERROR(__xludf.DUMMYFUNCTION("""COMPUTED_VALUE"""),66.05)</f>
        <v>66.05</v>
      </c>
      <c r="E1970" s="2">
        <f ca="1">IFERROR(__xludf.DUMMYFUNCTION("""COMPUTED_VALUE"""),75.844)</f>
        <v>75.843999999999994</v>
      </c>
      <c r="F1970" s="2">
        <f ca="1">IFERROR(__xludf.DUMMYFUNCTION("""COMPUTED_VALUE"""),100.44)</f>
        <v>100.44</v>
      </c>
      <c r="G1970" s="2">
        <f ca="1">IFERROR(__xludf.DUMMYFUNCTION("""COMPUTED_VALUE"""),0.64989)</f>
        <v>0.64988999999999997</v>
      </c>
      <c r="H1970" s="2">
        <f ca="1">IFERROR(__xludf.DUMMYFUNCTION("""COMPUTED_VALUE"""),48.762)</f>
        <v>48.762</v>
      </c>
      <c r="I1970" s="2">
        <f ca="1">IFERROR(__xludf.DUMMYFUNCTION("""COMPUTED_VALUE"""),51.458)</f>
        <v>51.457999999999998</v>
      </c>
      <c r="J1970" s="2">
        <f ca="1">IFERROR(__xludf.DUMMYFUNCTION("""COMPUTED_VALUE"""),48.868)</f>
        <v>48.868000000000002</v>
      </c>
      <c r="K1970" s="2">
        <f ca="1">IFERROR(__xludf.DUMMYFUNCTION("""COMPUTED_VALUE"""),69.405)</f>
        <v>69.405000000000001</v>
      </c>
      <c r="M1970" s="2">
        <f ca="1">IFERROR(__xludf.DUMMYFUNCTION("""COMPUTED_VALUE"""),18.184)</f>
        <v>18.184000000000001</v>
      </c>
      <c r="U1970" s="3" t="e">
        <f ca="1"/>
        <v>#NAME?</v>
      </c>
    </row>
    <row r="1971" spans="3:21" ht="12.5" x14ac:dyDescent="0.25">
      <c r="C1971" s="4">
        <f ca="1">IFERROR(__xludf.DUMMYFUNCTION("""COMPUTED_VALUE"""),42329.9986111111)</f>
        <v>42329.998611111099</v>
      </c>
      <c r="D1971" s="2">
        <f ca="1">IFERROR(__xludf.DUMMYFUNCTION("""COMPUTED_VALUE"""),66.099)</f>
        <v>66.099000000000004</v>
      </c>
      <c r="E1971" s="2">
        <f ca="1">IFERROR(__xludf.DUMMYFUNCTION("""COMPUTED_VALUE"""),75.526)</f>
        <v>75.525999999999996</v>
      </c>
      <c r="F1971" s="2">
        <f ca="1">IFERROR(__xludf.DUMMYFUNCTION("""COMPUTED_VALUE"""),100.39)</f>
        <v>100.39</v>
      </c>
      <c r="G1971" s="2">
        <f ca="1">IFERROR(__xludf.DUMMYFUNCTION("""COMPUTED_VALUE"""),0.64473)</f>
        <v>0.64473000000000003</v>
      </c>
      <c r="H1971" s="2">
        <f ca="1">IFERROR(__xludf.DUMMYFUNCTION("""COMPUTED_VALUE"""),49.098)</f>
        <v>49.097999999999999</v>
      </c>
      <c r="I1971" s="2">
        <f ca="1">IFERROR(__xludf.DUMMYFUNCTION("""COMPUTED_VALUE"""),51.563)</f>
        <v>51.563000000000002</v>
      </c>
      <c r="J1971" s="2">
        <f ca="1">IFERROR(__xludf.DUMMYFUNCTION("""COMPUTED_VALUE"""),48.586)</f>
        <v>48.585999999999999</v>
      </c>
      <c r="K1971" s="2">
        <f ca="1">IFERROR(__xludf.DUMMYFUNCTION("""COMPUTED_VALUE"""),68.565)</f>
        <v>68.564999999999998</v>
      </c>
      <c r="M1971" s="2">
        <f ca="1">IFERROR(__xludf.DUMMYFUNCTION("""COMPUTED_VALUE"""),18.152)</f>
        <v>18.152000000000001</v>
      </c>
      <c r="U1971" s="3" t="e">
        <f ca="1"/>
        <v>#NAME?</v>
      </c>
    </row>
    <row r="1972" spans="3:21" ht="12.5" x14ac:dyDescent="0.25">
      <c r="C1972" s="4">
        <f ca="1">IFERROR(__xludf.DUMMYFUNCTION("""COMPUTED_VALUE"""),42331.9986111111)</f>
        <v>42331.998611111099</v>
      </c>
      <c r="D1972" s="2">
        <f ca="1">IFERROR(__xludf.DUMMYFUNCTION("""COMPUTED_VALUE"""),66.371)</f>
        <v>66.370999999999995</v>
      </c>
      <c r="E1972" s="2">
        <f ca="1">IFERROR(__xludf.DUMMYFUNCTION("""COMPUTED_VALUE"""),75.578)</f>
        <v>75.578000000000003</v>
      </c>
      <c r="F1972" s="2">
        <f ca="1">IFERROR(__xludf.DUMMYFUNCTION("""COMPUTED_VALUE"""),100.47)</f>
        <v>100.47</v>
      </c>
      <c r="G1972" s="2">
        <f ca="1">IFERROR(__xludf.DUMMYFUNCTION("""COMPUTED_VALUE"""),0.64353)</f>
        <v>0.64353000000000005</v>
      </c>
      <c r="H1972" s="2">
        <f ca="1">IFERROR(__xludf.DUMMYFUNCTION("""COMPUTED_VALUE"""),48.949)</f>
        <v>48.948999999999998</v>
      </c>
      <c r="I1972" s="2">
        <f ca="1">IFERROR(__xludf.DUMMYFUNCTION("""COMPUTED_VALUE"""),51.727)</f>
        <v>51.726999999999997</v>
      </c>
      <c r="J1972" s="2">
        <f ca="1">IFERROR(__xludf.DUMMYFUNCTION("""COMPUTED_VALUE"""),48.68)</f>
        <v>48.68</v>
      </c>
      <c r="K1972" s="2">
        <f ca="1">IFERROR(__xludf.DUMMYFUNCTION("""COMPUTED_VALUE"""),68.284)</f>
        <v>68.284000000000006</v>
      </c>
      <c r="M1972" s="2">
        <f ca="1">IFERROR(__xludf.DUMMYFUNCTION("""COMPUTED_VALUE"""),18.176)</f>
        <v>18.175999999999998</v>
      </c>
      <c r="U1972" s="3" t="e">
        <f ca="1"/>
        <v>#NAME?</v>
      </c>
    </row>
    <row r="1973" spans="3:21" ht="12.5" x14ac:dyDescent="0.25">
      <c r="C1973" s="4">
        <f ca="1">IFERROR(__xludf.DUMMYFUNCTION("""COMPUTED_VALUE"""),42332.9986111111)</f>
        <v>42332.998611111099</v>
      </c>
      <c r="D1973" s="2">
        <f ca="1">IFERROR(__xludf.DUMMYFUNCTION("""COMPUTED_VALUE"""),66.3)</f>
        <v>66.3</v>
      </c>
      <c r="E1973" s="2">
        <f ca="1">IFERROR(__xludf.DUMMYFUNCTION("""COMPUTED_VALUE"""),75.583)</f>
        <v>75.582999999999998</v>
      </c>
      <c r="F1973" s="2">
        <f ca="1">IFERROR(__xludf.DUMMYFUNCTION("""COMPUTED_VALUE"""),100.07)</f>
        <v>100.07</v>
      </c>
      <c r="G1973" s="2">
        <f ca="1">IFERROR(__xludf.DUMMYFUNCTION("""COMPUTED_VALUE"""),0.64016)</f>
        <v>0.64015999999999995</v>
      </c>
      <c r="H1973" s="2">
        <f ca="1">IFERROR(__xludf.DUMMYFUNCTION("""COMPUTED_VALUE"""),48.784)</f>
        <v>48.783999999999999</v>
      </c>
      <c r="I1973" s="2">
        <f ca="1">IFERROR(__xludf.DUMMYFUNCTION("""COMPUTED_VALUE"""),51.921)</f>
        <v>51.920999999999999</v>
      </c>
      <c r="J1973" s="2">
        <f ca="1">IFERROR(__xludf.DUMMYFUNCTION("""COMPUTED_VALUE"""),48.661)</f>
        <v>48.661000000000001</v>
      </c>
      <c r="K1973" s="2">
        <f ca="1">IFERROR(__xludf.DUMMYFUNCTION("""COMPUTED_VALUE"""),67.889)</f>
        <v>67.888999999999996</v>
      </c>
      <c r="M1973" s="2">
        <f ca="1">IFERROR(__xludf.DUMMYFUNCTION("""COMPUTED_VALUE"""),18.199)</f>
        <v>18.199000000000002</v>
      </c>
      <c r="U1973" s="3" t="e">
        <f ca="1"/>
        <v>#NAME?</v>
      </c>
    </row>
    <row r="1974" spans="3:21" ht="12.5" x14ac:dyDescent="0.25">
      <c r="C1974" s="4">
        <f ca="1">IFERROR(__xludf.DUMMYFUNCTION("""COMPUTED_VALUE"""),42333.9986111111)</f>
        <v>42333.998611111099</v>
      </c>
      <c r="D1974" s="2">
        <f ca="1">IFERROR(__xludf.DUMMYFUNCTION("""COMPUTED_VALUE"""),66.382)</f>
        <v>66.382000000000005</v>
      </c>
      <c r="E1974" s="2">
        <f ca="1">IFERROR(__xludf.DUMMYFUNCTION("""COMPUTED_VALUE"""),75.271)</f>
        <v>75.271000000000001</v>
      </c>
      <c r="F1974" s="2">
        <f ca="1">IFERROR(__xludf.DUMMYFUNCTION("""COMPUTED_VALUE"""),99.364)</f>
        <v>99.364000000000004</v>
      </c>
      <c r="G1974" s="2">
        <f ca="1">IFERROR(__xludf.DUMMYFUNCTION("""COMPUTED_VALUE"""),0.66371)</f>
        <v>0.66371000000000002</v>
      </c>
      <c r="H1974" s="2">
        <f ca="1">IFERROR(__xludf.DUMMYFUNCTION("""COMPUTED_VALUE"""),48.565)</f>
        <v>48.564999999999998</v>
      </c>
      <c r="I1974" s="2">
        <f ca="1">IFERROR(__xludf.DUMMYFUNCTION("""COMPUTED_VALUE"""),51.619)</f>
        <v>51.619</v>
      </c>
      <c r="J1974" s="2">
        <f ca="1">IFERROR(__xludf.DUMMYFUNCTION("""COMPUTED_VALUE"""),48.555)</f>
        <v>48.555</v>
      </c>
      <c r="K1974" s="2">
        <f ca="1">IFERROR(__xludf.DUMMYFUNCTION("""COMPUTED_VALUE"""),67.543)</f>
        <v>67.543000000000006</v>
      </c>
      <c r="M1974" s="2">
        <f ca="1">IFERROR(__xludf.DUMMYFUNCTION("""COMPUTED_VALUE"""),18.21)</f>
        <v>18.21</v>
      </c>
      <c r="U1974" s="3" t="e">
        <f ca="1"/>
        <v>#NAME?</v>
      </c>
    </row>
    <row r="1975" spans="3:21" ht="12.5" x14ac:dyDescent="0.25">
      <c r="C1975" s="4">
        <f ca="1">IFERROR(__xludf.DUMMYFUNCTION("""COMPUTED_VALUE"""),42334.9986111111)</f>
        <v>42334.998611111099</v>
      </c>
      <c r="D1975" s="2">
        <f ca="1">IFERROR(__xludf.DUMMYFUNCTION("""COMPUTED_VALUE"""),66.558)</f>
        <v>66.558000000000007</v>
      </c>
      <c r="E1975" s="2">
        <f ca="1">IFERROR(__xludf.DUMMYFUNCTION("""COMPUTED_VALUE"""),75.536)</f>
        <v>75.536000000000001</v>
      </c>
      <c r="F1975" s="2">
        <f ca="1">IFERROR(__xludf.DUMMYFUNCTION("""COMPUTED_VALUE"""),99.464)</f>
        <v>99.463999999999999</v>
      </c>
      <c r="G1975" s="2">
        <f ca="1">IFERROR(__xludf.DUMMYFUNCTION("""COMPUTED_VALUE"""),0.66648)</f>
        <v>0.66647999999999996</v>
      </c>
      <c r="H1975" s="2">
        <f ca="1">IFERROR(__xludf.DUMMYFUNCTION("""COMPUTED_VALUE"""),48.674)</f>
        <v>48.673999999999999</v>
      </c>
      <c r="I1975" s="2">
        <f ca="1">IFERROR(__xludf.DUMMYFUNCTION("""COMPUTED_VALUE"""),51.769)</f>
        <v>51.768999999999998</v>
      </c>
      <c r="J1975" s="2">
        <f ca="1">IFERROR(__xludf.DUMMYFUNCTION("""COMPUTED_VALUE"""),48.672)</f>
        <v>48.671999999999997</v>
      </c>
      <c r="K1975" s="2">
        <f ca="1">IFERROR(__xludf.DUMMYFUNCTION("""COMPUTED_VALUE"""),67.584)</f>
        <v>67.584000000000003</v>
      </c>
      <c r="M1975" s="2">
        <f ca="1">IFERROR(__xludf.DUMMYFUNCTION("""COMPUTED_VALUE"""),18.179)</f>
        <v>18.178999999999998</v>
      </c>
      <c r="U1975" s="3" t="e">
        <f ca="1"/>
        <v>#NAME?</v>
      </c>
    </row>
    <row r="1976" spans="3:21" ht="12.5" x14ac:dyDescent="0.25">
      <c r="C1976" s="4">
        <f ca="1">IFERROR(__xludf.DUMMYFUNCTION("""COMPUTED_VALUE"""),42335.9986111111)</f>
        <v>42335.998611111099</v>
      </c>
      <c r="D1976" s="2">
        <f ca="1">IFERROR(__xludf.DUMMYFUNCTION("""COMPUTED_VALUE"""),66.9)</f>
        <v>66.900000000000006</v>
      </c>
      <c r="E1976" s="2">
        <f ca="1">IFERROR(__xludf.DUMMYFUNCTION("""COMPUTED_VALUE"""),75.6)</f>
        <v>75.599999999999994</v>
      </c>
      <c r="F1976" s="2">
        <f ca="1">IFERROR(__xludf.DUMMYFUNCTION("""COMPUTED_VALUE"""),99.652)</f>
        <v>99.652000000000001</v>
      </c>
      <c r="G1976" s="2">
        <f ca="1">IFERROR(__xludf.DUMMYFUNCTION("""COMPUTED_VALUE"""),0.65859)</f>
        <v>0.65859000000000001</v>
      </c>
      <c r="H1976" s="2">
        <f ca="1">IFERROR(__xludf.DUMMYFUNCTION("""COMPUTED_VALUE"""),48.84)</f>
        <v>48.84</v>
      </c>
      <c r="I1976" s="2">
        <f ca="1">IFERROR(__xludf.DUMMYFUNCTION("""COMPUTED_VALUE"""),51.741)</f>
        <v>51.741</v>
      </c>
      <c r="J1976" s="2">
        <f ca="1">IFERROR(__xludf.DUMMYFUNCTION("""COMPUTED_VALUE"""),48.774)</f>
        <v>48.774000000000001</v>
      </c>
      <c r="K1976" s="2">
        <f ca="1">IFERROR(__xludf.DUMMYFUNCTION("""COMPUTED_VALUE"""),67.336)</f>
        <v>67.335999999999999</v>
      </c>
      <c r="M1976" s="2">
        <f ca="1">IFERROR(__xludf.DUMMYFUNCTION("""COMPUTED_VALUE"""),18.28)</f>
        <v>18.28</v>
      </c>
      <c r="U1976" s="3" t="e">
        <f ca="1"/>
        <v>#NAME?</v>
      </c>
    </row>
    <row r="1977" spans="3:21" ht="12.5" x14ac:dyDescent="0.25">
      <c r="C1977" s="4">
        <f ca="1">IFERROR(__xludf.DUMMYFUNCTION("""COMPUTED_VALUE"""),42337.9986111111)</f>
        <v>42337.998611111099</v>
      </c>
      <c r="D1977" s="2">
        <f ca="1">IFERROR(__xludf.DUMMYFUNCTION("""COMPUTED_VALUE"""),66.661)</f>
        <v>66.661000000000001</v>
      </c>
      <c r="E1977" s="2">
        <f ca="1">IFERROR(__xludf.DUMMYFUNCTION("""COMPUTED_VALUE"""),75.6)</f>
        <v>75.599999999999994</v>
      </c>
      <c r="F1977" s="2">
        <f ca="1">IFERROR(__xludf.DUMMYFUNCTION("""COMPUTED_VALUE"""),99.606)</f>
        <v>99.605999999999995</v>
      </c>
      <c r="G1977" s="2">
        <f ca="1">IFERROR(__xludf.DUMMYFUNCTION("""COMPUTED_VALUE"""),0.65509)</f>
        <v>0.65508999999999995</v>
      </c>
      <c r="H1977" s="2">
        <f ca="1">IFERROR(__xludf.DUMMYFUNCTION("""COMPUTED_VALUE"""),48.468)</f>
        <v>48.468000000000004</v>
      </c>
      <c r="I1977" s="2">
        <f ca="1">IFERROR(__xludf.DUMMYFUNCTION("""COMPUTED_VALUE"""),51.502)</f>
        <v>51.502000000000002</v>
      </c>
      <c r="J1977" s="2">
        <f ca="1">IFERROR(__xludf.DUMMYFUNCTION("""COMPUTED_VALUE"""),48.736)</f>
        <v>48.735999999999997</v>
      </c>
      <c r="K1977" s="2">
        <f ca="1">IFERROR(__xludf.DUMMYFUNCTION("""COMPUTED_VALUE"""),67.281)</f>
        <v>67.281000000000006</v>
      </c>
      <c r="M1977" s="2">
        <f ca="1">IFERROR(__xludf.DUMMYFUNCTION("""COMPUTED_VALUE"""),18.257)</f>
        <v>18.257000000000001</v>
      </c>
      <c r="U1977" s="3" t="e">
        <f ca="1"/>
        <v>#NAME?</v>
      </c>
    </row>
    <row r="1978" spans="3:21" ht="12.5" x14ac:dyDescent="0.25">
      <c r="C1978" s="4">
        <f ca="1">IFERROR(__xludf.DUMMYFUNCTION("""COMPUTED_VALUE"""),42338.9986111111)</f>
        <v>42338.998611111099</v>
      </c>
      <c r="D1978" s="2">
        <f ca="1">IFERROR(__xludf.DUMMYFUNCTION("""COMPUTED_VALUE"""),66.508)</f>
        <v>66.507999999999996</v>
      </c>
      <c r="E1978" s="2">
        <f ca="1">IFERROR(__xludf.DUMMYFUNCTION("""COMPUTED_VALUE"""),75.541)</f>
        <v>75.540999999999997</v>
      </c>
      <c r="F1978" s="2">
        <f ca="1">IFERROR(__xludf.DUMMYFUNCTION("""COMPUTED_VALUE"""),99.186)</f>
        <v>99.186000000000007</v>
      </c>
      <c r="G1978" s="2">
        <f ca="1">IFERROR(__xludf.DUMMYFUNCTION("""COMPUTED_VALUE"""),0.65292)</f>
        <v>0.65291999999999994</v>
      </c>
      <c r="H1978" s="2">
        <f ca="1">IFERROR(__xludf.DUMMYFUNCTION("""COMPUTED_VALUE"""),48.733)</f>
        <v>48.732999999999997</v>
      </c>
      <c r="I1978" s="2">
        <f ca="1">IFERROR(__xludf.DUMMYFUNCTION("""COMPUTED_VALUE"""),51.507)</f>
        <v>51.506999999999998</v>
      </c>
      <c r="J1978" s="2">
        <f ca="1">IFERROR(__xludf.DUMMYFUNCTION("""COMPUTED_VALUE"""),48.554)</f>
        <v>48.554000000000002</v>
      </c>
      <c r="K1978" s="2">
        <f ca="1">IFERROR(__xludf.DUMMYFUNCTION("""COMPUTED_VALUE"""),67.532)</f>
        <v>67.531999999999996</v>
      </c>
      <c r="M1978" s="2">
        <f ca="1">IFERROR(__xludf.DUMMYFUNCTION("""COMPUTED_VALUE"""),18.212)</f>
        <v>18.212</v>
      </c>
      <c r="U1978" s="3" t="e">
        <f ca="1"/>
        <v>#NAME?</v>
      </c>
    </row>
    <row r="1979" spans="3:21" ht="12.5" x14ac:dyDescent="0.25">
      <c r="C1979" s="4">
        <f ca="1">IFERROR(__xludf.DUMMYFUNCTION("""COMPUTED_VALUE"""),42339.9986111111)</f>
        <v>42339.998611111099</v>
      </c>
      <c r="D1979" s="2">
        <f ca="1">IFERROR(__xludf.DUMMYFUNCTION("""COMPUTED_VALUE"""),66.461)</f>
        <v>66.460999999999999</v>
      </c>
      <c r="E1979" s="2">
        <f ca="1">IFERROR(__xludf.DUMMYFUNCTION("""COMPUTED_VALUE"""),75.258)</f>
        <v>75.257999999999996</v>
      </c>
      <c r="F1979" s="2">
        <f ca="1">IFERROR(__xludf.DUMMYFUNCTION("""COMPUTED_VALUE"""),100.25)</f>
        <v>100.25</v>
      </c>
      <c r="G1979" s="2">
        <f ca="1">IFERROR(__xludf.DUMMYFUNCTION("""COMPUTED_VALUE"""),0.65438)</f>
        <v>0.65437999999999996</v>
      </c>
      <c r="H1979" s="2">
        <f ca="1">IFERROR(__xludf.DUMMYFUNCTION("""COMPUTED_VALUE"""),48.705)</f>
        <v>48.704999999999998</v>
      </c>
      <c r="I1979" s="2">
        <f ca="1">IFERROR(__xludf.DUMMYFUNCTION("""COMPUTED_VALUE"""),51.359)</f>
        <v>51.359000000000002</v>
      </c>
      <c r="J1979" s="2">
        <f ca="1">IFERROR(__xludf.DUMMYFUNCTION("""COMPUTED_VALUE"""),48.859)</f>
        <v>48.859000000000002</v>
      </c>
      <c r="K1979" s="2">
        <f ca="1">IFERROR(__xludf.DUMMYFUNCTION("""COMPUTED_VALUE"""),67.205)</f>
        <v>67.204999999999998</v>
      </c>
      <c r="M1979" s="2">
        <f ca="1">IFERROR(__xludf.DUMMYFUNCTION("""COMPUTED_VALUE"""),18.082)</f>
        <v>18.082000000000001</v>
      </c>
      <c r="U1979" s="3" t="e">
        <f ca="1"/>
        <v>#NAME?</v>
      </c>
    </row>
    <row r="1980" spans="3:21" ht="12.5" x14ac:dyDescent="0.25">
      <c r="C1980" s="4">
        <f ca="1">IFERROR(__xludf.DUMMYFUNCTION("""COMPUTED_VALUE"""),42340.9986111111)</f>
        <v>42340.998611111099</v>
      </c>
      <c r="D1980" s="2">
        <f ca="1">IFERROR(__xludf.DUMMYFUNCTION("""COMPUTED_VALUE"""),66.557)</f>
        <v>66.557000000000002</v>
      </c>
      <c r="E1980" s="2">
        <f ca="1">IFERROR(__xludf.DUMMYFUNCTION("""COMPUTED_VALUE"""),75.013)</f>
        <v>75.013000000000005</v>
      </c>
      <c r="F1980" s="2">
        <f ca="1">IFERROR(__xludf.DUMMYFUNCTION("""COMPUTED_VALUE"""),100.91)</f>
        <v>100.91</v>
      </c>
      <c r="G1980" s="2">
        <f ca="1">IFERROR(__xludf.DUMMYFUNCTION("""COMPUTED_VALUE"""),0.65435)</f>
        <v>0.65434999999999999</v>
      </c>
      <c r="H1980" s="2">
        <f ca="1">IFERROR(__xludf.DUMMYFUNCTION("""COMPUTED_VALUE"""),48.705)</f>
        <v>48.704999999999998</v>
      </c>
      <c r="I1980" s="2">
        <f ca="1">IFERROR(__xludf.DUMMYFUNCTION("""COMPUTED_VALUE"""),51.369)</f>
        <v>51.369</v>
      </c>
      <c r="J1980" s="2">
        <f ca="1">IFERROR(__xludf.DUMMYFUNCTION("""COMPUTED_VALUE"""),48.741)</f>
        <v>48.741</v>
      </c>
      <c r="K1980" s="2">
        <f ca="1">IFERROR(__xludf.DUMMYFUNCTION("""COMPUTED_VALUE"""),68.287)</f>
        <v>68.287000000000006</v>
      </c>
      <c r="M1980" s="2">
        <f ca="1">IFERROR(__xludf.DUMMYFUNCTION("""COMPUTED_VALUE"""),18.089)</f>
        <v>18.088999999999999</v>
      </c>
      <c r="U1980" s="3" t="e">
        <f ca="1"/>
        <v>#NAME?</v>
      </c>
    </row>
    <row r="1981" spans="3:21" ht="12.5" x14ac:dyDescent="0.25">
      <c r="C1981" s="4">
        <f ca="1">IFERROR(__xludf.DUMMYFUNCTION("""COMPUTED_VALUE"""),42341.9986111111)</f>
        <v>42341.998611111099</v>
      </c>
      <c r="D1981" s="2">
        <f ca="1">IFERROR(__xludf.DUMMYFUNCTION("""COMPUTED_VALUE"""),66.803)</f>
        <v>66.802999999999997</v>
      </c>
      <c r="E1981" s="2">
        <f ca="1">IFERROR(__xludf.DUMMYFUNCTION("""COMPUTED_VALUE"""),74.86)</f>
        <v>74.86</v>
      </c>
      <c r="F1981" s="2">
        <f ca="1">IFERROR(__xludf.DUMMYFUNCTION("""COMPUTED_VALUE"""),100.92)</f>
        <v>100.92</v>
      </c>
      <c r="G1981" s="2">
        <f ca="1">IFERROR(__xludf.DUMMYFUNCTION("""COMPUTED_VALUE"""),0.65521)</f>
        <v>0.65520999999999996</v>
      </c>
      <c r="H1981" s="2">
        <f ca="1">IFERROR(__xludf.DUMMYFUNCTION("""COMPUTED_VALUE"""),48.645)</f>
        <v>48.645000000000003</v>
      </c>
      <c r="I1981" s="2">
        <f ca="1">IFERROR(__xludf.DUMMYFUNCTION("""COMPUTED_VALUE"""),51.245)</f>
        <v>51.244999999999997</v>
      </c>
      <c r="J1981" s="2">
        <f ca="1">IFERROR(__xludf.DUMMYFUNCTION("""COMPUTED_VALUE"""),48.754)</f>
        <v>48.753999999999998</v>
      </c>
      <c r="K1981" s="2">
        <f ca="1">IFERROR(__xludf.DUMMYFUNCTION("""COMPUTED_VALUE"""),68.064)</f>
        <v>68.063999999999993</v>
      </c>
      <c r="M1981" s="2">
        <f ca="1">IFERROR(__xludf.DUMMYFUNCTION("""COMPUTED_VALUE"""),18.049)</f>
        <v>18.048999999999999</v>
      </c>
      <c r="U1981" s="3" t="e">
        <f ca="1"/>
        <v>#NAME?</v>
      </c>
    </row>
    <row r="1982" spans="3:21" ht="12.5" x14ac:dyDescent="0.25">
      <c r="C1982" s="4">
        <f ca="1">IFERROR(__xludf.DUMMYFUNCTION("""COMPUTED_VALUE"""),42342.9986111111)</f>
        <v>42342.998611111099</v>
      </c>
      <c r="D1982" s="2">
        <f ca="1">IFERROR(__xludf.DUMMYFUNCTION("""COMPUTED_VALUE"""),66.636)</f>
        <v>66.635999999999996</v>
      </c>
      <c r="E1982" s="2">
        <f ca="1">IFERROR(__xludf.DUMMYFUNCTION("""COMPUTED_VALUE"""),74.425)</f>
        <v>74.424999999999997</v>
      </c>
      <c r="F1982" s="2">
        <f ca="1">IFERROR(__xludf.DUMMYFUNCTION("""COMPUTED_VALUE"""),100.92)</f>
        <v>100.92</v>
      </c>
      <c r="G1982" s="2">
        <f ca="1">IFERROR(__xludf.DUMMYFUNCTION("""COMPUTED_VALUE"""),0.66588)</f>
        <v>0.66588000000000003</v>
      </c>
      <c r="H1982" s="2">
        <f ca="1">IFERROR(__xludf.DUMMYFUNCTION("""COMPUTED_VALUE"""),48.594)</f>
        <v>48.594000000000001</v>
      </c>
      <c r="I1982" s="2">
        <f ca="1">IFERROR(__xludf.DUMMYFUNCTION("""COMPUTED_VALUE"""),51.481)</f>
        <v>51.481000000000002</v>
      </c>
      <c r="J1982" s="2">
        <f ca="1">IFERROR(__xludf.DUMMYFUNCTION("""COMPUTED_VALUE"""),48.867)</f>
        <v>48.866999999999997</v>
      </c>
      <c r="K1982" s="2">
        <f ca="1">IFERROR(__xludf.DUMMYFUNCTION("""COMPUTED_VALUE"""),67.988)</f>
        <v>67.988</v>
      </c>
      <c r="M1982" s="2">
        <f ca="1">IFERROR(__xludf.DUMMYFUNCTION("""COMPUTED_VALUE"""),18.041)</f>
        <v>18.041</v>
      </c>
      <c r="U1982" s="3" t="e">
        <f ca="1"/>
        <v>#NAME?</v>
      </c>
    </row>
    <row r="1983" spans="3:21" ht="12.5" x14ac:dyDescent="0.25">
      <c r="C1983" s="4">
        <f ca="1">IFERROR(__xludf.DUMMYFUNCTION("""COMPUTED_VALUE"""),42344.9986111111)</f>
        <v>42344.998611111099</v>
      </c>
      <c r="D1983" s="2">
        <f ca="1">IFERROR(__xludf.DUMMYFUNCTION("""COMPUTED_VALUE"""),66.641)</f>
        <v>66.641000000000005</v>
      </c>
      <c r="E1983" s="2">
        <f ca="1">IFERROR(__xludf.DUMMYFUNCTION("""COMPUTED_VALUE"""),74.425)</f>
        <v>74.424999999999997</v>
      </c>
      <c r="F1983" s="2">
        <f ca="1">IFERROR(__xludf.DUMMYFUNCTION("""COMPUTED_VALUE"""),101.07)</f>
        <v>101.07</v>
      </c>
      <c r="G1983" s="2">
        <f ca="1">IFERROR(__xludf.DUMMYFUNCTION("""COMPUTED_VALUE"""),0.66592)</f>
        <v>0.66591999999999996</v>
      </c>
      <c r="H1983" s="2">
        <f ca="1">IFERROR(__xludf.DUMMYFUNCTION("""COMPUTED_VALUE"""),48.311)</f>
        <v>48.311</v>
      </c>
      <c r="I1983" s="2">
        <f ca="1">IFERROR(__xludf.DUMMYFUNCTION("""COMPUTED_VALUE"""),51.579)</f>
        <v>51.579000000000001</v>
      </c>
      <c r="J1983" s="2">
        <f ca="1">IFERROR(__xludf.DUMMYFUNCTION("""COMPUTED_VALUE"""),48.912)</f>
        <v>48.911999999999999</v>
      </c>
      <c r="K1983" s="2">
        <f ca="1">IFERROR(__xludf.DUMMYFUNCTION("""COMPUTED_VALUE"""),68.154)</f>
        <v>68.153999999999996</v>
      </c>
      <c r="M1983" s="2">
        <f ca="1">IFERROR(__xludf.DUMMYFUNCTION("""COMPUTED_VALUE"""),18.033)</f>
        <v>18.033000000000001</v>
      </c>
      <c r="U1983" s="3" t="e">
        <f ca="1"/>
        <v>#NAME?</v>
      </c>
    </row>
    <row r="1984" spans="3:21" ht="12.5" x14ac:dyDescent="0.25">
      <c r="C1984" s="4">
        <f ca="1">IFERROR(__xludf.DUMMYFUNCTION("""COMPUTED_VALUE"""),42345.9986111111)</f>
        <v>42345.998611111099</v>
      </c>
      <c r="D1984" s="2">
        <f ca="1">IFERROR(__xludf.DUMMYFUNCTION("""COMPUTED_VALUE"""),66.768)</f>
        <v>66.768000000000001</v>
      </c>
      <c r="E1984" s="2">
        <f ca="1">IFERROR(__xludf.DUMMYFUNCTION("""COMPUTED_VALUE"""),74.771)</f>
        <v>74.771000000000001</v>
      </c>
      <c r="F1984" s="2">
        <f ca="1">IFERROR(__xludf.DUMMYFUNCTION("""COMPUTED_VALUE"""),101.05)</f>
        <v>101.05</v>
      </c>
      <c r="G1984" s="2">
        <f ca="1">IFERROR(__xludf.DUMMYFUNCTION("""COMPUTED_VALUE"""),0.669)</f>
        <v>0.66900000000000004</v>
      </c>
      <c r="H1984" s="2">
        <f ca="1">IFERROR(__xludf.DUMMYFUNCTION("""COMPUTED_VALUE"""),48.305)</f>
        <v>48.305</v>
      </c>
      <c r="I1984" s="2">
        <f ca="1">IFERROR(__xludf.DUMMYFUNCTION("""COMPUTED_VALUE"""),51.546)</f>
        <v>51.545999999999999</v>
      </c>
      <c r="J1984" s="2">
        <f ca="1">IFERROR(__xludf.DUMMYFUNCTION("""COMPUTED_VALUE"""),48.775)</f>
        <v>48.774999999999999</v>
      </c>
      <c r="K1984" s="2">
        <f ca="1">IFERROR(__xludf.DUMMYFUNCTION("""COMPUTED_VALUE"""),68.603)</f>
        <v>68.602999999999994</v>
      </c>
      <c r="M1984" s="2">
        <f ca="1">IFERROR(__xludf.DUMMYFUNCTION("""COMPUTED_VALUE"""),18.008)</f>
        <v>18.007999999999999</v>
      </c>
      <c r="U1984" s="3" t="e">
        <f ca="1"/>
        <v>#NAME?</v>
      </c>
    </row>
    <row r="1985" spans="3:21" ht="12.5" x14ac:dyDescent="0.25">
      <c r="C1985" s="4">
        <f ca="1">IFERROR(__xludf.DUMMYFUNCTION("""COMPUTED_VALUE"""),42346.9986111111)</f>
        <v>42346.998611111099</v>
      </c>
      <c r="D1985" s="2">
        <f ca="1">IFERROR(__xludf.DUMMYFUNCTION("""COMPUTED_VALUE"""),66.833)</f>
        <v>66.832999999999998</v>
      </c>
      <c r="E1985" s="2">
        <f ca="1">IFERROR(__xludf.DUMMYFUNCTION("""COMPUTED_VALUE"""),74.776)</f>
        <v>74.775999999999996</v>
      </c>
      <c r="F1985" s="2">
        <f ca="1">IFERROR(__xludf.DUMMYFUNCTION("""COMPUTED_VALUE"""),100.89)</f>
        <v>100.89</v>
      </c>
      <c r="G1985" s="2">
        <f ca="1">IFERROR(__xludf.DUMMYFUNCTION("""COMPUTED_VALUE"""),0.66681)</f>
        <v>0.66681000000000001</v>
      </c>
      <c r="H1985" s="2">
        <f ca="1">IFERROR(__xludf.DUMMYFUNCTION("""COMPUTED_VALUE"""),48.119)</f>
        <v>48.119</v>
      </c>
      <c r="I1985" s="2">
        <f ca="1">IFERROR(__xludf.DUMMYFUNCTION("""COMPUTED_VALUE"""),51.405)</f>
        <v>51.405000000000001</v>
      </c>
      <c r="J1985" s="2">
        <f ca="1">IFERROR(__xludf.DUMMYFUNCTION("""COMPUTED_VALUE"""),48.695)</f>
        <v>48.695</v>
      </c>
      <c r="K1985" s="2">
        <f ca="1">IFERROR(__xludf.DUMMYFUNCTION("""COMPUTED_VALUE"""),68.805)</f>
        <v>68.805000000000007</v>
      </c>
      <c r="M1985" s="2">
        <f ca="1">IFERROR(__xludf.DUMMYFUNCTION("""COMPUTED_VALUE"""),17.991)</f>
        <v>17.991</v>
      </c>
      <c r="U1985" s="3" t="e">
        <f ca="1"/>
        <v>#NAME?</v>
      </c>
    </row>
    <row r="1986" spans="3:21" ht="12.5" x14ac:dyDescent="0.25">
      <c r="C1986" s="4">
        <f ca="1">IFERROR(__xludf.DUMMYFUNCTION("""COMPUTED_VALUE"""),42347.9986111111)</f>
        <v>42347.998611111099</v>
      </c>
      <c r="D1986" s="2">
        <f ca="1">IFERROR(__xludf.DUMMYFUNCTION("""COMPUTED_VALUE"""),66.89)</f>
        <v>66.89</v>
      </c>
      <c r="E1986" s="2">
        <f ca="1">IFERROR(__xludf.DUMMYFUNCTION("""COMPUTED_VALUE"""),75.348)</f>
        <v>75.347999999999999</v>
      </c>
      <c r="F1986" s="2">
        <f ca="1">IFERROR(__xludf.DUMMYFUNCTION("""COMPUTED_VALUE"""),100.18)</f>
        <v>100.18</v>
      </c>
      <c r="G1986" s="2">
        <f ca="1">IFERROR(__xludf.DUMMYFUNCTION("""COMPUTED_VALUE"""),0.66707)</f>
        <v>0.66707000000000005</v>
      </c>
      <c r="H1986" s="2">
        <f ca="1">IFERROR(__xludf.DUMMYFUNCTION("""COMPUTED_VALUE"""),48.119)</f>
        <v>48.119</v>
      </c>
      <c r="I1986" s="2">
        <f ca="1">IFERROR(__xludf.DUMMYFUNCTION("""COMPUTED_VALUE"""),51.427)</f>
        <v>51.427</v>
      </c>
      <c r="J1986" s="2">
        <f ca="1">IFERROR(__xludf.DUMMYFUNCTION("""COMPUTED_VALUE"""),48.53)</f>
        <v>48.53</v>
      </c>
      <c r="K1986" s="2">
        <f ca="1">IFERROR(__xludf.DUMMYFUNCTION("""COMPUTED_VALUE"""),68.405)</f>
        <v>68.405000000000001</v>
      </c>
      <c r="M1986" s="2">
        <f ca="1">IFERROR(__xludf.DUMMYFUNCTION("""COMPUTED_VALUE"""),17.991)</f>
        <v>17.991</v>
      </c>
      <c r="U1986" s="3" t="e">
        <f ca="1"/>
        <v>#NAME?</v>
      </c>
    </row>
    <row r="1987" spans="3:21" ht="12.5" x14ac:dyDescent="0.25">
      <c r="C1987" s="4">
        <f ca="1">IFERROR(__xludf.DUMMYFUNCTION("""COMPUTED_VALUE"""),42348.9986111111)</f>
        <v>42348.998611111099</v>
      </c>
      <c r="D1987" s="2">
        <f ca="1">IFERROR(__xludf.DUMMYFUNCTION("""COMPUTED_VALUE"""),66.786)</f>
        <v>66.786000000000001</v>
      </c>
      <c r="E1987" s="2">
        <f ca="1">IFERROR(__xludf.DUMMYFUNCTION("""COMPUTED_VALUE"""),74.963)</f>
        <v>74.962999999999994</v>
      </c>
      <c r="F1987" s="2">
        <f ca="1">IFERROR(__xludf.DUMMYFUNCTION("""COMPUTED_VALUE"""),99.524)</f>
        <v>99.524000000000001</v>
      </c>
      <c r="G1987" s="2">
        <f ca="1">IFERROR(__xludf.DUMMYFUNCTION("""COMPUTED_VALUE"""),0.65425)</f>
        <v>0.65425</v>
      </c>
      <c r="H1987" s="2">
        <f ca="1">IFERROR(__xludf.DUMMYFUNCTION("""COMPUTED_VALUE"""),48.25)</f>
        <v>48.25</v>
      </c>
      <c r="I1987" s="2">
        <f ca="1">IFERROR(__xludf.DUMMYFUNCTION("""COMPUTED_VALUE"""),51.429)</f>
        <v>51.429000000000002</v>
      </c>
      <c r="J1987" s="2">
        <f ca="1">IFERROR(__xludf.DUMMYFUNCTION("""COMPUTED_VALUE"""),48.538)</f>
        <v>48.537999999999997</v>
      </c>
      <c r="K1987" s="2">
        <f ca="1">IFERROR(__xludf.DUMMYFUNCTION("""COMPUTED_VALUE"""),68.373)</f>
        <v>68.373000000000005</v>
      </c>
      <c r="M1987" s="2">
        <f ca="1">IFERROR(__xludf.DUMMYFUNCTION("""COMPUTED_VALUE"""),18.003)</f>
        <v>18.003</v>
      </c>
      <c r="U1987" s="3" t="e">
        <f ca="1"/>
        <v>#NAME?</v>
      </c>
    </row>
    <row r="1988" spans="3:21" ht="12.5" x14ac:dyDescent="0.25">
      <c r="C1988" s="4">
        <f ca="1">IFERROR(__xludf.DUMMYFUNCTION("""COMPUTED_VALUE"""),42349.9986111111)</f>
        <v>42349.998611111099</v>
      </c>
      <c r="D1988" s="2">
        <f ca="1">IFERROR(__xludf.DUMMYFUNCTION("""COMPUTED_VALUE"""),67.141)</f>
        <v>67.141000000000005</v>
      </c>
      <c r="E1988" s="2">
        <f ca="1">IFERROR(__xludf.DUMMYFUNCTION("""COMPUTED_VALUE"""),76.078)</f>
        <v>76.078000000000003</v>
      </c>
      <c r="F1988" s="2">
        <f ca="1">IFERROR(__xludf.DUMMYFUNCTION("""COMPUTED_VALUE"""),99.407)</f>
        <v>99.406999999999996</v>
      </c>
      <c r="G1988" s="2">
        <f ca="1">IFERROR(__xludf.DUMMYFUNCTION("""COMPUTED_VALUE"""),0.63852)</f>
        <v>0.63851999999999998</v>
      </c>
      <c r="H1988" s="2">
        <f ca="1">IFERROR(__xludf.DUMMYFUNCTION("""COMPUTED_VALUE"""),48.58)</f>
        <v>48.58</v>
      </c>
      <c r="I1988" s="2">
        <f ca="1">IFERROR(__xludf.DUMMYFUNCTION("""COMPUTED_VALUE"""),51.355)</f>
        <v>51.354999999999997</v>
      </c>
      <c r="J1988" s="2">
        <f ca="1">IFERROR(__xludf.DUMMYFUNCTION("""COMPUTED_VALUE"""),48.63)</f>
        <v>48.63</v>
      </c>
      <c r="K1988" s="2">
        <f ca="1">IFERROR(__xludf.DUMMYFUNCTION("""COMPUTED_VALUE"""),68.449)</f>
        <v>68.448999999999998</v>
      </c>
      <c r="M1988" s="2">
        <f ca="1">IFERROR(__xludf.DUMMYFUNCTION("""COMPUTED_VALUE"""),18.036)</f>
        <v>18.036000000000001</v>
      </c>
      <c r="U1988" s="3" t="e">
        <f ca="1"/>
        <v>#NAME?</v>
      </c>
    </row>
    <row r="1989" spans="3:21" ht="12.5" x14ac:dyDescent="0.25">
      <c r="C1989" s="4">
        <f ca="1">IFERROR(__xludf.DUMMYFUNCTION("""COMPUTED_VALUE"""),42350.9986111111)</f>
        <v>42350.998611111099</v>
      </c>
      <c r="D1989" s="2">
        <f ca="1">IFERROR(__xludf.DUMMYFUNCTION("""COMPUTED_VALUE"""),67.14)</f>
        <v>67.14</v>
      </c>
      <c r="E1989" s="2">
        <f ca="1">IFERROR(__xludf.DUMMYFUNCTION("""COMPUTED_VALUE"""),75.818)</f>
        <v>75.817999999999998</v>
      </c>
      <c r="F1989" s="2">
        <f ca="1">IFERROR(__xludf.DUMMYFUNCTION("""COMPUTED_VALUE"""),99.407)</f>
        <v>99.406999999999996</v>
      </c>
      <c r="G1989" s="2">
        <f ca="1">IFERROR(__xludf.DUMMYFUNCTION("""COMPUTED_VALUE"""),0.64308)</f>
        <v>0.64307999999999998</v>
      </c>
      <c r="H1989" s="2">
        <f ca="1">IFERROR(__xludf.DUMMYFUNCTION("""COMPUTED_VALUE"""),48.818)</f>
        <v>48.817999999999998</v>
      </c>
      <c r="I1989" s="2">
        <f ca="1">IFERROR(__xludf.DUMMYFUNCTION("""COMPUTED_VALUE"""),51.509)</f>
        <v>51.509</v>
      </c>
      <c r="J1989" s="2">
        <f ca="1">IFERROR(__xludf.DUMMYFUNCTION("""COMPUTED_VALUE"""),48.749)</f>
        <v>48.749000000000002</v>
      </c>
      <c r="K1989" s="2">
        <f ca="1">IFERROR(__xludf.DUMMYFUNCTION("""COMPUTED_VALUE"""),68.554)</f>
        <v>68.554000000000002</v>
      </c>
      <c r="M1989" s="2">
        <f ca="1">IFERROR(__xludf.DUMMYFUNCTION("""COMPUTED_VALUE"""),18.09)</f>
        <v>18.09</v>
      </c>
      <c r="U1989" s="3" t="e">
        <f ca="1"/>
        <v>#NAME?</v>
      </c>
    </row>
    <row r="1990" spans="3:21" ht="12.5" x14ac:dyDescent="0.25">
      <c r="C1990" s="4">
        <f ca="1">IFERROR(__xludf.DUMMYFUNCTION("""COMPUTED_VALUE"""),42351.9986111111)</f>
        <v>42351.998611111099</v>
      </c>
      <c r="D1990" s="2">
        <f ca="1">IFERROR(__xludf.DUMMYFUNCTION("""COMPUTED_VALUE"""),67.14)</f>
        <v>67.14</v>
      </c>
      <c r="E1990" s="2">
        <f ca="1">IFERROR(__xludf.DUMMYFUNCTION("""COMPUTED_VALUE"""),75.751)</f>
        <v>75.751000000000005</v>
      </c>
      <c r="F1990" s="2">
        <f ca="1">IFERROR(__xludf.DUMMYFUNCTION("""COMPUTED_VALUE"""),100.48)</f>
        <v>100.48</v>
      </c>
      <c r="G1990" s="2">
        <f ca="1">IFERROR(__xludf.DUMMYFUNCTION("""COMPUTED_VALUE"""),0.63465)</f>
        <v>0.63465000000000005</v>
      </c>
      <c r="H1990" s="2">
        <f ca="1">IFERROR(__xludf.DUMMYFUNCTION("""COMPUTED_VALUE"""),48.587)</f>
        <v>48.587000000000003</v>
      </c>
      <c r="I1990" s="2">
        <f ca="1">IFERROR(__xludf.DUMMYFUNCTION("""COMPUTED_VALUE"""),51.331)</f>
        <v>51.331000000000003</v>
      </c>
      <c r="J1990" s="2">
        <f ca="1">IFERROR(__xludf.DUMMYFUNCTION("""COMPUTED_VALUE"""),48.9)</f>
        <v>48.9</v>
      </c>
      <c r="K1990" s="2">
        <f ca="1">IFERROR(__xludf.DUMMYFUNCTION("""COMPUTED_VALUE"""),68.518)</f>
        <v>68.518000000000001</v>
      </c>
      <c r="M1990" s="2">
        <f ca="1">IFERROR(__xludf.DUMMYFUNCTION("""COMPUTED_VALUE"""),18.028)</f>
        <v>18.027999999999999</v>
      </c>
      <c r="U1990" s="3" t="e">
        <f ca="1"/>
        <v>#NAME?</v>
      </c>
    </row>
    <row r="1991" spans="3:21" ht="12.5" x14ac:dyDescent="0.25">
      <c r="C1991" s="4">
        <f ca="1">IFERROR(__xludf.DUMMYFUNCTION("""COMPUTED_VALUE"""),42352.9986111111)</f>
        <v>42352.998611111099</v>
      </c>
      <c r="D1991" s="2">
        <f ca="1">IFERROR(__xludf.DUMMYFUNCTION("""COMPUTED_VALUE"""),67.071)</f>
        <v>67.070999999999998</v>
      </c>
      <c r="E1991" s="2">
        <f ca="1">IFERROR(__xludf.DUMMYFUNCTION("""COMPUTED_VALUE"""),75.77)</f>
        <v>75.77</v>
      </c>
      <c r="F1991" s="2">
        <f ca="1">IFERROR(__xludf.DUMMYFUNCTION("""COMPUTED_VALUE"""),100.09)</f>
        <v>100.09</v>
      </c>
      <c r="G1991" s="2">
        <f ca="1">IFERROR(__xludf.DUMMYFUNCTION("""COMPUTED_VALUE"""),0.63945)</f>
        <v>0.63944999999999996</v>
      </c>
      <c r="H1991" s="2">
        <f ca="1">IFERROR(__xludf.DUMMYFUNCTION("""COMPUTED_VALUE"""),49.302)</f>
        <v>49.302</v>
      </c>
      <c r="I1991" s="2">
        <f ca="1">IFERROR(__xludf.DUMMYFUNCTION("""COMPUTED_VALUE"""),51.731)</f>
        <v>51.731000000000002</v>
      </c>
      <c r="J1991" s="2">
        <f ca="1">IFERROR(__xludf.DUMMYFUNCTION("""COMPUTED_VALUE"""),48.866)</f>
        <v>48.866</v>
      </c>
      <c r="K1991" s="2">
        <f ca="1">IFERROR(__xludf.DUMMYFUNCTION("""COMPUTED_VALUE"""),68.516)</f>
        <v>68.516000000000005</v>
      </c>
      <c r="M1991" s="2">
        <f ca="1">IFERROR(__xludf.DUMMYFUNCTION("""COMPUTED_VALUE"""),18.028)</f>
        <v>18.027999999999999</v>
      </c>
      <c r="U1991" s="3" t="e">
        <f ca="1"/>
        <v>#NAME?</v>
      </c>
    </row>
    <row r="1992" spans="3:21" ht="12.5" x14ac:dyDescent="0.25">
      <c r="C1992" s="4">
        <f ca="1">IFERROR(__xludf.DUMMYFUNCTION("""COMPUTED_VALUE"""),42353.9986111111)</f>
        <v>42353.998611111099</v>
      </c>
      <c r="D1992" s="2">
        <f ca="1">IFERROR(__xludf.DUMMYFUNCTION("""COMPUTED_VALUE"""),66.903)</f>
        <v>66.903000000000006</v>
      </c>
      <c r="E1992" s="2">
        <f ca="1">IFERROR(__xludf.DUMMYFUNCTION("""COMPUTED_VALUE"""),75.43)</f>
        <v>75.430000000000007</v>
      </c>
      <c r="F1992" s="2">
        <f ca="1">IFERROR(__xludf.DUMMYFUNCTION("""COMPUTED_VALUE"""),100.54)</f>
        <v>100.54</v>
      </c>
      <c r="G1992" s="2">
        <f ca="1">IFERROR(__xludf.DUMMYFUNCTION("""COMPUTED_VALUE"""),0.6395)</f>
        <v>0.63949999999999996</v>
      </c>
      <c r="H1992" s="2">
        <f ca="1">IFERROR(__xludf.DUMMYFUNCTION("""COMPUTED_VALUE"""),49.199)</f>
        <v>49.198999999999998</v>
      </c>
      <c r="I1992" s="2">
        <f ca="1">IFERROR(__xludf.DUMMYFUNCTION("""COMPUTED_VALUE"""),52.071)</f>
        <v>52.070999999999998</v>
      </c>
      <c r="J1992" s="2">
        <f ca="1">IFERROR(__xludf.DUMMYFUNCTION("""COMPUTED_VALUE"""),49.321)</f>
        <v>49.320999999999998</v>
      </c>
      <c r="K1992" s="2">
        <f ca="1">IFERROR(__xludf.DUMMYFUNCTION("""COMPUTED_VALUE"""),68.454)</f>
        <v>68.453999999999994</v>
      </c>
      <c r="M1992" s="2">
        <f ca="1">IFERROR(__xludf.DUMMYFUNCTION("""COMPUTED_VALUE"""),18.131)</f>
        <v>18.131</v>
      </c>
      <c r="U1992" s="3" t="e">
        <f ca="1"/>
        <v>#NAME?</v>
      </c>
    </row>
    <row r="1993" spans="3:21" ht="12.5" x14ac:dyDescent="0.25">
      <c r="C1993" s="4">
        <f ca="1">IFERROR(__xludf.DUMMYFUNCTION("""COMPUTED_VALUE"""),42354.9986111111)</f>
        <v>42354.998611111099</v>
      </c>
      <c r="D1993" s="2">
        <f ca="1">IFERROR(__xludf.DUMMYFUNCTION("""COMPUTED_VALUE"""),66.428)</f>
        <v>66.427999999999997</v>
      </c>
      <c r="E1993" s="2">
        <f ca="1">IFERROR(__xludf.DUMMYFUNCTION("""COMPUTED_VALUE"""),75.248)</f>
        <v>75.248000000000005</v>
      </c>
      <c r="F1993" s="2">
        <f ca="1">IFERROR(__xludf.DUMMYFUNCTION("""COMPUTED_VALUE"""),100.59)</f>
        <v>100.59</v>
      </c>
      <c r="G1993" s="2">
        <f ca="1">IFERROR(__xludf.DUMMYFUNCTION("""COMPUTED_VALUE"""),0.63192)</f>
        <v>0.63192000000000004</v>
      </c>
      <c r="H1993" s="2">
        <f ca="1">IFERROR(__xludf.DUMMYFUNCTION("""COMPUTED_VALUE"""),49.658)</f>
        <v>49.658000000000001</v>
      </c>
      <c r="I1993" s="2">
        <f ca="1">IFERROR(__xludf.DUMMYFUNCTION("""COMPUTED_VALUE"""),52.29)</f>
        <v>52.29</v>
      </c>
      <c r="J1993" s="2">
        <f ca="1">IFERROR(__xludf.DUMMYFUNCTION("""COMPUTED_VALUE"""),49.223)</f>
        <v>49.222999999999999</v>
      </c>
      <c r="K1993" s="2">
        <f ca="1">IFERROR(__xludf.DUMMYFUNCTION("""COMPUTED_VALUE"""),68.523)</f>
        <v>68.522999999999996</v>
      </c>
      <c r="M1993" s="2">
        <f ca="1">IFERROR(__xludf.DUMMYFUNCTION("""COMPUTED_VALUE"""),18.108)</f>
        <v>18.108000000000001</v>
      </c>
      <c r="U1993" s="3" t="e">
        <f ca="1"/>
        <v>#NAME?</v>
      </c>
    </row>
    <row r="1994" spans="3:21" ht="12.5" x14ac:dyDescent="0.25">
      <c r="C1994" s="4">
        <f ca="1">IFERROR(__xludf.DUMMYFUNCTION("""COMPUTED_VALUE"""),42355.9986111111)</f>
        <v>42355.998611111099</v>
      </c>
      <c r="D1994" s="2">
        <f ca="1">IFERROR(__xludf.DUMMYFUNCTION("""COMPUTED_VALUE"""),66.459)</f>
        <v>66.459000000000003</v>
      </c>
      <c r="E1994" s="2">
        <f ca="1">IFERROR(__xludf.DUMMYFUNCTION("""COMPUTED_VALUE"""),75.737)</f>
        <v>75.736999999999995</v>
      </c>
      <c r="F1994" s="2">
        <f ca="1">IFERROR(__xludf.DUMMYFUNCTION("""COMPUTED_VALUE"""),100.61)</f>
        <v>100.61</v>
      </c>
      <c r="G1994" s="2">
        <f ca="1">IFERROR(__xludf.DUMMYFUNCTION("""COMPUTED_VALUE"""),0.63246)</f>
        <v>0.63246000000000002</v>
      </c>
      <c r="H1994" s="2">
        <f ca="1">IFERROR(__xludf.DUMMYFUNCTION("""COMPUTED_VALUE"""),49.782)</f>
        <v>49.781999999999996</v>
      </c>
      <c r="I1994" s="2">
        <f ca="1">IFERROR(__xludf.DUMMYFUNCTION("""COMPUTED_VALUE"""),52.371)</f>
        <v>52.371000000000002</v>
      </c>
      <c r="J1994" s="2">
        <f ca="1">IFERROR(__xludf.DUMMYFUNCTION("""COMPUTED_VALUE"""),49.349)</f>
        <v>49.348999999999997</v>
      </c>
      <c r="K1994" s="2">
        <f ca="1">IFERROR(__xludf.DUMMYFUNCTION("""COMPUTED_VALUE"""),68.58)</f>
        <v>68.58</v>
      </c>
      <c r="M1994" s="2">
        <f ca="1">IFERROR(__xludf.DUMMYFUNCTION("""COMPUTED_VALUE"""),18.163)</f>
        <v>18.163</v>
      </c>
      <c r="U1994" s="3" t="e">
        <f ca="1"/>
        <v>#NAME?</v>
      </c>
    </row>
    <row r="1995" spans="3:21" ht="12.5" x14ac:dyDescent="0.25">
      <c r="C1995" s="4">
        <f ca="1">IFERROR(__xludf.DUMMYFUNCTION("""COMPUTED_VALUE"""),42356.9986111111)</f>
        <v>42356.998611111099</v>
      </c>
      <c r="D1995" s="2">
        <f ca="1">IFERROR(__xludf.DUMMYFUNCTION("""COMPUTED_VALUE"""),66.248)</f>
        <v>66.248000000000005</v>
      </c>
      <c r="E1995" s="2">
        <f ca="1">IFERROR(__xludf.DUMMYFUNCTION("""COMPUTED_VALUE"""),75.373)</f>
        <v>75.373000000000005</v>
      </c>
      <c r="F1995" s="2">
        <f ca="1">IFERROR(__xludf.DUMMYFUNCTION("""COMPUTED_VALUE"""),100.629)</f>
        <v>100.629</v>
      </c>
      <c r="G1995" s="2">
        <f ca="1">IFERROR(__xludf.DUMMYFUNCTION("""COMPUTED_VALUE"""),0.6258)</f>
        <v>0.62580000000000002</v>
      </c>
      <c r="H1995" s="2">
        <f ca="1">IFERROR(__xludf.DUMMYFUNCTION("""COMPUTED_VALUE"""),49.444)</f>
        <v>49.444000000000003</v>
      </c>
      <c r="I1995" s="2">
        <f ca="1">IFERROR(__xludf.DUMMYFUNCTION("""COMPUTED_VALUE"""),52.38)</f>
        <v>52.38</v>
      </c>
      <c r="J1995" s="2">
        <f ca="1">IFERROR(__xludf.DUMMYFUNCTION("""COMPUTED_VALUE"""),49.352)</f>
        <v>49.351999999999997</v>
      </c>
      <c r="K1995" s="2">
        <f ca="1">IFERROR(__xludf.DUMMYFUNCTION("""COMPUTED_VALUE"""),68.702)</f>
        <v>68.701999999999998</v>
      </c>
      <c r="M1995" s="2">
        <f ca="1">IFERROR(__xludf.DUMMYFUNCTION("""COMPUTED_VALUE"""),18.217)</f>
        <v>18.216999999999999</v>
      </c>
      <c r="U1995" s="3" t="e">
        <f ca="1"/>
        <v>#NAME?</v>
      </c>
    </row>
    <row r="1996" spans="3:21" ht="12.5" x14ac:dyDescent="0.25">
      <c r="C1996" s="4">
        <f ca="1">IFERROR(__xludf.DUMMYFUNCTION("""COMPUTED_VALUE"""),42357.9986111111)</f>
        <v>42357.998611111099</v>
      </c>
      <c r="D1996" s="2">
        <f ca="1">IFERROR(__xludf.DUMMYFUNCTION("""COMPUTED_VALUE"""),66.19)</f>
        <v>66.19</v>
      </c>
      <c r="E1996" s="2">
        <f ca="1">IFERROR(__xludf.DUMMYFUNCTION("""COMPUTED_VALUE"""),75.46)</f>
        <v>75.459999999999994</v>
      </c>
      <c r="F1996" s="2">
        <f ca="1">IFERROR(__xludf.DUMMYFUNCTION("""COMPUTED_VALUE"""),100.18)</f>
        <v>100.18</v>
      </c>
      <c r="G1996" s="2">
        <f ca="1">IFERROR(__xludf.DUMMYFUNCTION("""COMPUTED_VALUE"""),0.63403)</f>
        <v>0.63402999999999998</v>
      </c>
      <c r="H1996" s="2">
        <f ca="1">IFERROR(__xludf.DUMMYFUNCTION("""COMPUTED_VALUE"""),49.356)</f>
        <v>49.356000000000002</v>
      </c>
      <c r="I1996" s="2">
        <f ca="1">IFERROR(__xludf.DUMMYFUNCTION("""COMPUTED_VALUE"""),52.338)</f>
        <v>52.338000000000001</v>
      </c>
      <c r="J1996" s="2">
        <f ca="1">IFERROR(__xludf.DUMMYFUNCTION("""COMPUTED_VALUE"""),49.23)</f>
        <v>49.23</v>
      </c>
      <c r="K1996" s="2">
        <f ca="1">IFERROR(__xludf.DUMMYFUNCTION("""COMPUTED_VALUE"""),68.844)</f>
        <v>68.843999999999994</v>
      </c>
      <c r="M1996" s="2">
        <f ca="1">IFERROR(__xludf.DUMMYFUNCTION("""COMPUTED_VALUE"""),18.208)</f>
        <v>18.207999999999998</v>
      </c>
      <c r="U1996" s="3" t="e">
        <f ca="1"/>
        <v>#NAME?</v>
      </c>
    </row>
    <row r="1997" spans="3:21" ht="12.5" x14ac:dyDescent="0.25">
      <c r="C1997" s="4">
        <f ca="1">IFERROR(__xludf.DUMMYFUNCTION("""COMPUTED_VALUE"""),42358.9986111111)</f>
        <v>42358.998611111099</v>
      </c>
      <c r="D1997" s="2">
        <f ca="1">IFERROR(__xludf.DUMMYFUNCTION("""COMPUTED_VALUE"""),66.19)</f>
        <v>66.19</v>
      </c>
      <c r="E1997" s="2">
        <f ca="1">IFERROR(__xludf.DUMMYFUNCTION("""COMPUTED_VALUE"""),75.696)</f>
        <v>75.695999999999998</v>
      </c>
      <c r="F1997" s="2">
        <f ca="1">IFERROR(__xludf.DUMMYFUNCTION("""COMPUTED_VALUE"""),100.49)</f>
        <v>100.49</v>
      </c>
      <c r="G1997" s="2">
        <f ca="1">IFERROR(__xludf.DUMMYFUNCTION("""COMPUTED_VALUE"""),0.63195)</f>
        <v>0.63195000000000001</v>
      </c>
      <c r="H1997" s="2">
        <f ca="1">IFERROR(__xludf.DUMMYFUNCTION("""COMPUTED_VALUE"""),49.516)</f>
        <v>49.515999999999998</v>
      </c>
      <c r="I1997" s="2">
        <f ca="1">IFERROR(__xludf.DUMMYFUNCTION("""COMPUTED_VALUE"""),52.296)</f>
        <v>52.295999999999999</v>
      </c>
      <c r="J1997" s="2">
        <f ca="1">IFERROR(__xludf.DUMMYFUNCTION("""COMPUTED_VALUE"""),49.169)</f>
        <v>49.168999999999997</v>
      </c>
      <c r="K1997" s="2">
        <f ca="1">IFERROR(__xludf.DUMMYFUNCTION("""COMPUTED_VALUE"""),69.18)</f>
        <v>69.180000000000007</v>
      </c>
      <c r="M1997" s="2">
        <f ca="1">IFERROR(__xludf.DUMMYFUNCTION("""COMPUTED_VALUE"""),18.183)</f>
        <v>18.183</v>
      </c>
      <c r="U1997" s="3" t="e">
        <f ca="1"/>
        <v>#NAME?</v>
      </c>
    </row>
    <row r="1998" spans="3:21" ht="12.5" x14ac:dyDescent="0.25">
      <c r="C1998" s="4">
        <f ca="1">IFERROR(__xludf.DUMMYFUNCTION("""COMPUTED_VALUE"""),42359.9986111111)</f>
        <v>42359.998611111099</v>
      </c>
      <c r="D1998" s="2">
        <f ca="1">IFERROR(__xludf.DUMMYFUNCTION("""COMPUTED_VALUE"""),66.269)</f>
        <v>66.269000000000005</v>
      </c>
      <c r="E1998" s="2">
        <f ca="1">IFERROR(__xludf.DUMMYFUNCTION("""COMPUTED_VALUE"""),75.559)</f>
        <v>75.558999999999997</v>
      </c>
      <c r="F1998" s="2">
        <f ca="1">IFERROR(__xludf.DUMMYFUNCTION("""COMPUTED_VALUE"""),100.65)</f>
        <v>100.65</v>
      </c>
      <c r="G1998" s="2">
        <f ca="1">IFERROR(__xludf.DUMMYFUNCTION("""COMPUTED_VALUE"""),0.63765)</f>
        <v>0.63765000000000005</v>
      </c>
      <c r="H1998" s="2">
        <f ca="1">IFERROR(__xludf.DUMMYFUNCTION("""COMPUTED_VALUE"""),49.434)</f>
        <v>49.433999999999997</v>
      </c>
      <c r="I1998" s="2">
        <f ca="1">IFERROR(__xludf.DUMMYFUNCTION("""COMPUTED_VALUE"""),52.272)</f>
        <v>52.271999999999998</v>
      </c>
      <c r="J1998" s="2">
        <f ca="1">IFERROR(__xludf.DUMMYFUNCTION("""COMPUTED_VALUE"""),49.469)</f>
        <v>49.469000000000001</v>
      </c>
      <c r="K1998" s="2">
        <f ca="1">IFERROR(__xludf.DUMMYFUNCTION("""COMPUTED_VALUE"""),69.171)</f>
        <v>69.171000000000006</v>
      </c>
      <c r="M1998" s="2">
        <f ca="1">IFERROR(__xludf.DUMMYFUNCTION("""COMPUTED_VALUE"""),18.217)</f>
        <v>18.216999999999999</v>
      </c>
      <c r="U1998" s="3" t="e">
        <f ca="1"/>
        <v>#NAME?</v>
      </c>
    </row>
    <row r="1999" spans="3:21" ht="12.5" x14ac:dyDescent="0.25">
      <c r="C1999" s="4">
        <f ca="1">IFERROR(__xludf.DUMMYFUNCTION("""COMPUTED_VALUE"""),42360.9986111111)</f>
        <v>42360.998611111099</v>
      </c>
      <c r="D1999" s="2">
        <f ca="1">IFERROR(__xludf.DUMMYFUNCTION("""COMPUTED_VALUE"""),66.243)</f>
        <v>66.242999999999995</v>
      </c>
      <c r="E1999" s="2">
        <f ca="1">IFERROR(__xludf.DUMMYFUNCTION("""COMPUTED_VALUE"""),75.559)</f>
        <v>75.558999999999997</v>
      </c>
      <c r="F1999" s="2">
        <f ca="1">IFERROR(__xludf.DUMMYFUNCTION("""COMPUTED_VALUE"""),101.03)</f>
        <v>101.03</v>
      </c>
      <c r="G1999" s="2">
        <f ca="1">IFERROR(__xludf.DUMMYFUNCTION("""COMPUTED_VALUE"""),0.64106)</f>
        <v>0.64105999999999996</v>
      </c>
      <c r="H1999" s="2">
        <f ca="1">IFERROR(__xludf.DUMMYFUNCTION("""COMPUTED_VALUE"""),49.671)</f>
        <v>49.670999999999999</v>
      </c>
      <c r="I1999" s="2">
        <f ca="1">IFERROR(__xludf.DUMMYFUNCTION("""COMPUTED_VALUE"""),51.898)</f>
        <v>51.898000000000003</v>
      </c>
      <c r="J1999" s="2">
        <f ca="1">IFERROR(__xludf.DUMMYFUNCTION("""COMPUTED_VALUE"""),49.591)</f>
        <v>49.591000000000001</v>
      </c>
      <c r="K1999" s="2">
        <f ca="1">IFERROR(__xludf.DUMMYFUNCTION("""COMPUTED_VALUE"""),69.171)</f>
        <v>69.171000000000006</v>
      </c>
      <c r="M1999" s="2">
        <f ca="1">IFERROR(__xludf.DUMMYFUNCTION("""COMPUTED_VALUE"""),18.221)</f>
        <v>18.221</v>
      </c>
      <c r="U1999" s="3" t="e">
        <f ca="1"/>
        <v>#NAME?</v>
      </c>
    </row>
    <row r="2000" spans="3:21" ht="12.5" x14ac:dyDescent="0.25">
      <c r="C2000" s="4">
        <f ca="1">IFERROR(__xludf.DUMMYFUNCTION("""COMPUTED_VALUE"""),42361.9986111111)</f>
        <v>42361.998611111099</v>
      </c>
      <c r="D2000" s="2">
        <f ca="1">IFERROR(__xludf.DUMMYFUNCTION("""COMPUTED_VALUE"""),66.154)</f>
        <v>66.153999999999996</v>
      </c>
      <c r="E2000" s="2">
        <f ca="1">IFERROR(__xludf.DUMMYFUNCTION("""COMPUTED_VALUE"""),76.398)</f>
        <v>76.397999999999996</v>
      </c>
      <c r="F2000" s="2">
        <f ca="1">IFERROR(__xludf.DUMMYFUNCTION("""COMPUTED_VALUE"""),100.34)</f>
        <v>100.34</v>
      </c>
      <c r="G2000" s="2">
        <f ca="1">IFERROR(__xludf.DUMMYFUNCTION("""COMPUTED_VALUE"""),0.63839)</f>
        <v>0.63839000000000001</v>
      </c>
      <c r="H2000" s="2">
        <f ca="1">IFERROR(__xludf.DUMMYFUNCTION("""COMPUTED_VALUE"""),49.656)</f>
        <v>49.655999999999999</v>
      </c>
      <c r="I2000" s="2">
        <f ca="1">IFERROR(__xludf.DUMMYFUNCTION("""COMPUTED_VALUE"""),52.039)</f>
        <v>52.039000000000001</v>
      </c>
      <c r="J2000" s="2">
        <f ca="1">IFERROR(__xludf.DUMMYFUNCTION("""COMPUTED_VALUE"""),49.612)</f>
        <v>49.612000000000002</v>
      </c>
      <c r="K2000" s="2">
        <f ca="1">IFERROR(__xludf.DUMMYFUNCTION("""COMPUTED_VALUE"""),68.881)</f>
        <v>68.881</v>
      </c>
      <c r="M2000" s="2">
        <f ca="1">IFERROR(__xludf.DUMMYFUNCTION("""COMPUTED_VALUE"""),18.317)</f>
        <v>18.317</v>
      </c>
      <c r="U2000" s="3" t="e">
        <f ca="1"/>
        <v>#NAME?</v>
      </c>
    </row>
    <row r="2001" spans="3:21" ht="12.5" x14ac:dyDescent="0.25">
      <c r="C2001" s="4">
        <f ca="1">IFERROR(__xludf.DUMMYFUNCTION("""COMPUTED_VALUE"""),42362.9986111111)</f>
        <v>42362.998611111099</v>
      </c>
      <c r="D2001" s="2">
        <f ca="1">IFERROR(__xludf.DUMMYFUNCTION("""COMPUTED_VALUE"""),65.94)</f>
        <v>65.94</v>
      </c>
      <c r="E2001" s="2">
        <f ca="1">IFERROR(__xludf.DUMMYFUNCTION("""COMPUTED_VALUE"""),75.982)</f>
        <v>75.981999999999999</v>
      </c>
      <c r="F2001" s="2">
        <f ca="1">IFERROR(__xludf.DUMMYFUNCTION("""COMPUTED_VALUE"""),100.42)</f>
        <v>100.42</v>
      </c>
      <c r="G2001" s="2">
        <f ca="1">IFERROR(__xludf.DUMMYFUNCTION("""COMPUTED_VALUE"""),0.639)</f>
        <v>0.63900000000000001</v>
      </c>
      <c r="H2001" s="2">
        <f ca="1">IFERROR(__xludf.DUMMYFUNCTION("""COMPUTED_VALUE"""),49.575)</f>
        <v>49.575000000000003</v>
      </c>
      <c r="I2001" s="2">
        <f ca="1">IFERROR(__xludf.DUMMYFUNCTION("""COMPUTED_VALUE"""),51.977)</f>
        <v>51.976999999999997</v>
      </c>
      <c r="J2001" s="2">
        <f ca="1">IFERROR(__xludf.DUMMYFUNCTION("""COMPUTED_VALUE"""),49.92)</f>
        <v>49.92</v>
      </c>
      <c r="K2001" s="2">
        <f ca="1">IFERROR(__xludf.DUMMYFUNCTION("""COMPUTED_VALUE"""),69.421)</f>
        <v>69.421000000000006</v>
      </c>
      <c r="M2001" s="2">
        <f ca="1">IFERROR(__xludf.DUMMYFUNCTION("""COMPUTED_VALUE"""),18.451)</f>
        <v>18.451000000000001</v>
      </c>
      <c r="U2001" s="3" t="e">
        <f ca="1"/>
        <v>#NAME?</v>
      </c>
    </row>
    <row r="2002" spans="3:21" ht="12.5" x14ac:dyDescent="0.25">
      <c r="C2002" s="4">
        <f ca="1">IFERROR(__xludf.DUMMYFUNCTION("""COMPUTED_VALUE"""),42363.9986111111)</f>
        <v>42363.998611111099</v>
      </c>
      <c r="D2002" s="2">
        <f ca="1">IFERROR(__xludf.DUMMYFUNCTION("""COMPUTED_VALUE"""),65.94)</f>
        <v>65.94</v>
      </c>
      <c r="E2002" s="2">
        <f ca="1">IFERROR(__xludf.DUMMYFUNCTION("""COMPUTED_VALUE"""),76.287)</f>
        <v>76.287000000000006</v>
      </c>
      <c r="F2002" s="2">
        <f ca="1">IFERROR(__xludf.DUMMYFUNCTION("""COMPUTED_VALUE"""),100.36)</f>
        <v>100.36</v>
      </c>
      <c r="G2002" s="2">
        <f ca="1">IFERROR(__xludf.DUMMYFUNCTION("""COMPUTED_VALUE"""),0.65223)</f>
        <v>0.65222999999999998</v>
      </c>
      <c r="H2002" s="2">
        <f ca="1">IFERROR(__xludf.DUMMYFUNCTION("""COMPUTED_VALUE"""),49.472)</f>
        <v>49.472000000000001</v>
      </c>
      <c r="I2002" s="2">
        <f ca="1">IFERROR(__xludf.DUMMYFUNCTION("""COMPUTED_VALUE"""),51.857)</f>
        <v>51.856999999999999</v>
      </c>
      <c r="J2002" s="2">
        <f ca="1">IFERROR(__xludf.DUMMYFUNCTION("""COMPUTED_VALUE"""),49.646)</f>
        <v>49.646000000000001</v>
      </c>
      <c r="K2002" s="2">
        <f ca="1">IFERROR(__xludf.DUMMYFUNCTION("""COMPUTED_VALUE"""),69.541)</f>
        <v>69.540999999999997</v>
      </c>
      <c r="M2002" s="2">
        <f ca="1">IFERROR(__xludf.DUMMYFUNCTION("""COMPUTED_VALUE"""),18.439)</f>
        <v>18.439</v>
      </c>
      <c r="U2002" s="3" t="e">
        <f ca="1"/>
        <v>#NAME?</v>
      </c>
    </row>
    <row r="2003" spans="3:21" ht="12.5" x14ac:dyDescent="0.25">
      <c r="C2003" s="4">
        <f ca="1">IFERROR(__xludf.DUMMYFUNCTION("""COMPUTED_VALUE"""),42364.9986111111)</f>
        <v>42364.998611111099</v>
      </c>
      <c r="D2003" s="2">
        <f ca="1">IFERROR(__xludf.DUMMYFUNCTION("""COMPUTED_VALUE"""),66.07)</f>
        <v>66.069999999999993</v>
      </c>
      <c r="E2003" s="2">
        <f ca="1">IFERROR(__xludf.DUMMYFUNCTION("""COMPUTED_VALUE"""),76.083)</f>
        <v>76.082999999999998</v>
      </c>
      <c r="F2003" s="2">
        <f ca="1">IFERROR(__xludf.DUMMYFUNCTION("""COMPUTED_VALUE"""),99.98)</f>
        <v>99.98</v>
      </c>
      <c r="G2003" s="2">
        <f ca="1">IFERROR(__xludf.DUMMYFUNCTION("""COMPUTED_VALUE"""),0.65223)</f>
        <v>0.65222999999999998</v>
      </c>
      <c r="H2003" s="2">
        <f ca="1">IFERROR(__xludf.DUMMYFUNCTION("""COMPUTED_VALUE"""),50.333)</f>
        <v>50.332999999999998</v>
      </c>
      <c r="I2003" s="2">
        <f ca="1">IFERROR(__xludf.DUMMYFUNCTION("""COMPUTED_VALUE"""),52.72)</f>
        <v>52.72</v>
      </c>
      <c r="J2003" s="2">
        <f ca="1">IFERROR(__xludf.DUMMYFUNCTION("""COMPUTED_VALUE"""),49.646)</f>
        <v>49.646000000000001</v>
      </c>
      <c r="K2003" s="2">
        <f ca="1">IFERROR(__xludf.DUMMYFUNCTION("""COMPUTED_VALUE"""),69.772)</f>
        <v>69.772000000000006</v>
      </c>
      <c r="M2003" s="2">
        <f ca="1">IFERROR(__xludf.DUMMYFUNCTION("""COMPUTED_VALUE"""),18.438)</f>
        <v>18.437999999999999</v>
      </c>
      <c r="U2003" s="3" t="e">
        <f ca="1"/>
        <v>#NAME?</v>
      </c>
    </row>
    <row r="2004" spans="3:21" ht="12.5" x14ac:dyDescent="0.25">
      <c r="C2004" s="4">
        <f ca="1">IFERROR(__xludf.DUMMYFUNCTION("""COMPUTED_VALUE"""),42365.9986111111)</f>
        <v>42365.998611111099</v>
      </c>
      <c r="D2004" s="2">
        <f ca="1">IFERROR(__xludf.DUMMYFUNCTION("""COMPUTED_VALUE"""),66.07)</f>
        <v>66.069999999999993</v>
      </c>
      <c r="E2004" s="2">
        <f ca="1">IFERROR(__xludf.DUMMYFUNCTION("""COMPUTED_VALUE"""),74.0185)</f>
        <v>74.018500000000003</v>
      </c>
      <c r="F2004" s="2">
        <f ca="1">IFERROR(__xludf.DUMMYFUNCTION("""COMPUTED_VALUE"""),100.4)</f>
        <v>100.4</v>
      </c>
      <c r="G2004" s="2">
        <f ca="1">IFERROR(__xludf.DUMMYFUNCTION("""COMPUTED_VALUE"""),0.65153)</f>
        <v>0.65153000000000005</v>
      </c>
      <c r="H2004" s="2">
        <f ca="1">IFERROR(__xludf.DUMMYFUNCTION("""COMPUTED_VALUE"""),50.354)</f>
        <v>50.353999999999999</v>
      </c>
      <c r="I2004" s="2">
        <f ca="1">IFERROR(__xludf.DUMMYFUNCTION("""COMPUTED_VALUE"""),52.752)</f>
        <v>52.752000000000002</v>
      </c>
      <c r="J2004" s="2">
        <f ca="1">IFERROR(__xludf.DUMMYFUNCTION("""COMPUTED_VALUE"""),50.242)</f>
        <v>50.241999999999997</v>
      </c>
      <c r="K2004" s="2">
        <f ca="1">IFERROR(__xludf.DUMMYFUNCTION("""COMPUTED_VALUE"""),69.748)</f>
        <v>69.748000000000005</v>
      </c>
      <c r="M2004" s="2">
        <f ca="1">IFERROR(__xludf.DUMMYFUNCTION("""COMPUTED_VALUE"""),18.498)</f>
        <v>18.498000000000001</v>
      </c>
      <c r="U2004" s="3" t="e">
        <f ca="1"/>
        <v>#NAME?</v>
      </c>
    </row>
    <row r="2005" spans="3:21" ht="12.5" x14ac:dyDescent="0.25">
      <c r="C2005" s="4">
        <f ca="1">IFERROR(__xludf.DUMMYFUNCTION("""COMPUTED_VALUE"""),42366.9986111111)</f>
        <v>42366.998611111099</v>
      </c>
      <c r="D2005" s="2">
        <f ca="1">IFERROR(__xludf.DUMMYFUNCTION("""COMPUTED_VALUE"""),66.134)</f>
        <v>66.134</v>
      </c>
      <c r="E2005" s="2">
        <f ca="1">IFERROR(__xludf.DUMMYFUNCTION("""COMPUTED_VALUE"""),74.74)</f>
        <v>74.739999999999995</v>
      </c>
      <c r="F2005" s="2">
        <f ca="1">IFERROR(__xludf.DUMMYFUNCTION("""COMPUTED_VALUE"""),100.51)</f>
        <v>100.51</v>
      </c>
      <c r="G2005" s="2">
        <f ca="1">IFERROR(__xludf.DUMMYFUNCTION("""COMPUTED_VALUE"""),0.65908)</f>
        <v>0.65908</v>
      </c>
      <c r="H2005" s="2">
        <f ca="1">IFERROR(__xludf.DUMMYFUNCTION("""COMPUTED_VALUE"""),50.597)</f>
        <v>50.597000000000001</v>
      </c>
      <c r="I2005" s="2">
        <f ca="1">IFERROR(__xludf.DUMMYFUNCTION("""COMPUTED_VALUE"""),52.552)</f>
        <v>52.552</v>
      </c>
      <c r="J2005" s="2">
        <f ca="1">IFERROR(__xludf.DUMMYFUNCTION("""COMPUTED_VALUE"""),50.302)</f>
        <v>50.302</v>
      </c>
      <c r="K2005" s="2">
        <f ca="1">IFERROR(__xludf.DUMMYFUNCTION("""COMPUTED_VALUE"""),69.732)</f>
        <v>69.731999999999999</v>
      </c>
      <c r="M2005" s="2">
        <f ca="1">IFERROR(__xludf.DUMMYFUNCTION("""COMPUTED_VALUE"""),18.454)</f>
        <v>18.454000000000001</v>
      </c>
      <c r="U2005" s="3" t="e">
        <f ca="1"/>
        <v>#NAME?</v>
      </c>
    </row>
    <row r="2006" spans="3:21" ht="12.5" x14ac:dyDescent="0.25">
      <c r="C2006" s="4">
        <f ca="1">IFERROR(__xludf.DUMMYFUNCTION("""COMPUTED_VALUE"""),42367.9986111111)</f>
        <v>42367.998611111099</v>
      </c>
      <c r="D2006" s="2">
        <f ca="1">IFERROR(__xludf.DUMMYFUNCTION("""COMPUTED_VALUE"""),66.26)</f>
        <v>66.260000000000005</v>
      </c>
      <c r="E2006" s="2">
        <f ca="1">IFERROR(__xludf.DUMMYFUNCTION("""COMPUTED_VALUE"""),74.897)</f>
        <v>74.897000000000006</v>
      </c>
      <c r="F2006" s="2">
        <f ca="1">IFERROR(__xludf.DUMMYFUNCTION("""COMPUTED_VALUE"""),100.56)</f>
        <v>100.56</v>
      </c>
      <c r="G2006" s="2">
        <f ca="1">IFERROR(__xludf.DUMMYFUNCTION("""COMPUTED_VALUE"""),0.6582)</f>
        <v>0.65820000000000001</v>
      </c>
      <c r="H2006" s="2">
        <f ca="1">IFERROR(__xludf.DUMMYFUNCTION("""COMPUTED_VALUE"""),50.596)</f>
        <v>50.595999999999997</v>
      </c>
      <c r="I2006" s="2">
        <f ca="1">IFERROR(__xludf.DUMMYFUNCTION("""COMPUTED_VALUE"""),52.348)</f>
        <v>52.347999999999999</v>
      </c>
      <c r="J2006" s="2">
        <f ca="1">IFERROR(__xludf.DUMMYFUNCTION("""COMPUTED_VALUE"""),50.356)</f>
        <v>50.356000000000002</v>
      </c>
      <c r="K2006" s="2">
        <f ca="1">IFERROR(__xludf.DUMMYFUNCTION("""COMPUTED_VALUE"""),69.732)</f>
        <v>69.731999999999999</v>
      </c>
      <c r="M2006" s="2">
        <f ca="1">IFERROR(__xludf.DUMMYFUNCTION("""COMPUTED_VALUE"""),18.397)</f>
        <v>18.396999999999998</v>
      </c>
      <c r="U2006" s="3" t="e">
        <f ca="1"/>
        <v>#NAME?</v>
      </c>
    </row>
    <row r="2007" spans="3:21" ht="12.5" x14ac:dyDescent="0.25">
      <c r="C2007" s="4">
        <f ca="1">IFERROR(__xludf.DUMMYFUNCTION("""COMPUTED_VALUE"""),42368.9986111111)</f>
        <v>42368.998611111099</v>
      </c>
      <c r="D2007" s="2">
        <f ca="1">IFERROR(__xludf.DUMMYFUNCTION("""COMPUTED_VALUE"""),66.455)</f>
        <v>66.454999999999998</v>
      </c>
      <c r="E2007" s="2">
        <f ca="1">IFERROR(__xludf.DUMMYFUNCTION("""COMPUTED_VALUE"""),74.926)</f>
        <v>74.926000000000002</v>
      </c>
      <c r="F2007" s="2">
        <f ca="1">IFERROR(__xludf.DUMMYFUNCTION("""COMPUTED_VALUE"""),100.253)</f>
        <v>100.253</v>
      </c>
      <c r="G2007" s="2">
        <f ca="1">IFERROR(__xludf.DUMMYFUNCTION("""COMPUTED_VALUE"""),0.65981)</f>
        <v>0.65981000000000001</v>
      </c>
      <c r="H2007" s="2">
        <f ca="1">IFERROR(__xludf.DUMMYFUNCTION("""COMPUTED_VALUE"""),50.785)</f>
        <v>50.784999999999997</v>
      </c>
      <c r="I2007" s="2">
        <f ca="1">IFERROR(__xludf.DUMMYFUNCTION("""COMPUTED_VALUE"""),52.128)</f>
        <v>52.128</v>
      </c>
      <c r="J2007" s="2">
        <f ca="1">IFERROR(__xludf.DUMMYFUNCTION("""COMPUTED_VALUE"""),49.982)</f>
        <v>49.981999999999999</v>
      </c>
      <c r="K2007" s="2">
        <f ca="1">IFERROR(__xludf.DUMMYFUNCTION("""COMPUTED_VALUE"""),69.393)</f>
        <v>69.393000000000001</v>
      </c>
      <c r="M2007" s="2">
        <f ca="1">IFERROR(__xludf.DUMMYFUNCTION("""COMPUTED_VALUE"""),18.388)</f>
        <v>18.388000000000002</v>
      </c>
      <c r="U2007" s="3" t="e">
        <f ca="1"/>
        <v>#NAME?</v>
      </c>
    </row>
    <row r="2008" spans="3:21" ht="12.5" x14ac:dyDescent="0.25">
      <c r="C2008" s="4">
        <f ca="1">IFERROR(__xludf.DUMMYFUNCTION("""COMPUTED_VALUE"""),42369.9986111111)</f>
        <v>42369.998611111099</v>
      </c>
      <c r="D2008" s="2">
        <f ca="1">IFERROR(__xludf.DUMMYFUNCTION("""COMPUTED_VALUE"""),66.193)</f>
        <v>66.192999999999998</v>
      </c>
      <c r="E2008" s="2">
        <f ca="1">IFERROR(__xludf.DUMMYFUNCTION("""COMPUTED_VALUE"""),74.896)</f>
        <v>74.896000000000001</v>
      </c>
      <c r="F2008" s="2">
        <f ca="1">IFERROR(__xludf.DUMMYFUNCTION("""COMPUTED_VALUE"""),100.16)</f>
        <v>100.16</v>
      </c>
      <c r="G2008" s="2">
        <f ca="1">IFERROR(__xludf.DUMMYFUNCTION("""COMPUTED_VALUE"""),0.65575)</f>
        <v>0.65575000000000006</v>
      </c>
      <c r="H2008" s="2">
        <f ca="1">IFERROR(__xludf.DUMMYFUNCTION("""COMPUTED_VALUE"""),49.921)</f>
        <v>49.920999999999999</v>
      </c>
      <c r="I2008" s="2">
        <f ca="1">IFERROR(__xludf.DUMMYFUNCTION("""COMPUTED_VALUE"""),51.934)</f>
        <v>51.933999999999997</v>
      </c>
      <c r="J2008" s="2">
        <f ca="1">IFERROR(__xludf.DUMMYFUNCTION("""COMPUTED_VALUE"""),50.15)</f>
        <v>50.15</v>
      </c>
      <c r="K2008" s="2">
        <f ca="1">IFERROR(__xludf.DUMMYFUNCTION("""COMPUTED_VALUE"""),69.331)</f>
        <v>69.331000000000003</v>
      </c>
      <c r="M2008" s="2">
        <f ca="1">IFERROR(__xludf.DUMMYFUNCTION("""COMPUTED_VALUE"""),18.439)</f>
        <v>18.439</v>
      </c>
      <c r="U2008" s="3" t="e">
        <f ca="1"/>
        <v>#NAME?</v>
      </c>
    </row>
    <row r="2009" spans="3:21" ht="12.5" x14ac:dyDescent="0.25">
      <c r="C2009" s="4">
        <f ca="1">IFERROR(__xludf.DUMMYFUNCTION("""COMPUTED_VALUE"""),42370.9986111111)</f>
        <v>42370.998611111099</v>
      </c>
      <c r="D2009" s="2">
        <f ca="1">IFERROR(__xludf.DUMMYFUNCTION("""COMPUTED_VALUE"""),66.193)</f>
        <v>66.192999999999998</v>
      </c>
      <c r="E2009" s="2">
        <f ca="1">IFERROR(__xludf.DUMMYFUNCTION("""COMPUTED_VALUE"""),74.743)</f>
        <v>74.742999999999995</v>
      </c>
      <c r="F2009" s="2">
        <f ca="1">IFERROR(__xludf.DUMMYFUNCTION("""COMPUTED_VALUE"""),100.22)</f>
        <v>100.22</v>
      </c>
      <c r="G2009" s="2">
        <f ca="1">IFERROR(__xludf.DUMMYFUNCTION("""COMPUTED_VALUE"""),0.65238)</f>
        <v>0.65237999999999996</v>
      </c>
      <c r="H2009" s="2">
        <f ca="1">IFERROR(__xludf.DUMMYFUNCTION("""COMPUTED_VALUE"""),50.058)</f>
        <v>50.058</v>
      </c>
      <c r="I2009" s="2">
        <f ca="1">IFERROR(__xludf.DUMMYFUNCTION("""COMPUTED_VALUE"""),51.935)</f>
        <v>51.935000000000002</v>
      </c>
      <c r="J2009" s="2">
        <f ca="1">IFERROR(__xludf.DUMMYFUNCTION("""COMPUTED_VALUE"""),49.823)</f>
        <v>49.823</v>
      </c>
      <c r="K2009" s="2">
        <f ca="1">IFERROR(__xludf.DUMMYFUNCTION("""COMPUTED_VALUE"""),68.751)</f>
        <v>68.751000000000005</v>
      </c>
      <c r="M2009" s="2">
        <f ca="1">IFERROR(__xludf.DUMMYFUNCTION("""COMPUTED_VALUE"""),18.437)</f>
        <v>18.437000000000001</v>
      </c>
      <c r="U2009" s="3" t="e">
        <f ca="1"/>
        <v>#NAME?</v>
      </c>
    </row>
    <row r="2010" spans="3:21" ht="12.5" x14ac:dyDescent="0.25">
      <c r="C2010" s="4">
        <f ca="1">IFERROR(__xludf.DUMMYFUNCTION("""COMPUTED_VALUE"""),42371.9986111111)</f>
        <v>42371.998611111099</v>
      </c>
      <c r="D2010" s="2">
        <f ca="1">IFERROR(__xludf.DUMMYFUNCTION("""COMPUTED_VALUE"""),66.15)</f>
        <v>66.150000000000006</v>
      </c>
      <c r="E2010" s="2">
        <f ca="1">IFERROR(__xludf.DUMMYFUNCTION("""COMPUTED_VALUE"""),74.743)</f>
        <v>74.742999999999995</v>
      </c>
      <c r="F2010" s="2">
        <f ca="1">IFERROR(__xludf.DUMMYFUNCTION("""COMPUTED_VALUE"""),99.48)</f>
        <v>99.48</v>
      </c>
      <c r="G2010" s="2">
        <f ca="1">IFERROR(__xludf.DUMMYFUNCTION("""COMPUTED_VALUE"""),0.65458)</f>
        <v>0.65458000000000005</v>
      </c>
      <c r="H2010" s="2">
        <f ca="1">IFERROR(__xludf.DUMMYFUNCTION("""COMPUTED_VALUE"""),50.294)</f>
        <v>50.293999999999997</v>
      </c>
      <c r="I2010" s="2">
        <f ca="1">IFERROR(__xludf.DUMMYFUNCTION("""COMPUTED_VALUE"""),52.063)</f>
        <v>52.063000000000002</v>
      </c>
      <c r="J2010" s="2">
        <f ca="1">IFERROR(__xludf.DUMMYFUNCTION("""COMPUTED_VALUE"""),49.999)</f>
        <v>49.999000000000002</v>
      </c>
      <c r="K2010" s="2">
        <f ca="1">IFERROR(__xludf.DUMMYFUNCTION("""COMPUTED_VALUE"""),68.888)</f>
        <v>68.888000000000005</v>
      </c>
      <c r="M2010" s="2">
        <f ca="1">IFERROR(__xludf.DUMMYFUNCTION("""COMPUTED_VALUE"""),18.554)</f>
        <v>18.553999999999998</v>
      </c>
      <c r="U2010" s="3" t="e">
        <f ca="1"/>
        <v>#NAME?</v>
      </c>
    </row>
    <row r="2011" spans="3:21" ht="12.5" x14ac:dyDescent="0.25">
      <c r="C2011" s="4">
        <f ca="1">IFERROR(__xludf.DUMMYFUNCTION("""COMPUTED_VALUE"""),42372.9986111111)</f>
        <v>42372.998611111099</v>
      </c>
      <c r="D2011" s="2">
        <f ca="1">IFERROR(__xludf.DUMMYFUNCTION("""COMPUTED_VALUE"""),66.15)</f>
        <v>66.150000000000006</v>
      </c>
      <c r="E2011" s="2">
        <f ca="1">IFERROR(__xludf.DUMMYFUNCTION("""COMPUTED_VALUE"""),74.861)</f>
        <v>74.861000000000004</v>
      </c>
      <c r="F2011" s="2">
        <f ca="1">IFERROR(__xludf.DUMMYFUNCTION("""COMPUTED_VALUE"""),101.15)</f>
        <v>101.15</v>
      </c>
      <c r="G2011" s="2">
        <f ca="1">IFERROR(__xludf.DUMMYFUNCTION("""COMPUTED_VALUE"""),0.65941)</f>
        <v>0.65941000000000005</v>
      </c>
      <c r="H2011" s="2">
        <f ca="1">IFERROR(__xludf.DUMMYFUNCTION("""COMPUTED_VALUE"""),50.165)</f>
        <v>50.164999999999999</v>
      </c>
      <c r="I2011" s="2">
        <f ca="1">IFERROR(__xludf.DUMMYFUNCTION("""COMPUTED_VALUE"""),52.143)</f>
        <v>52.143000000000001</v>
      </c>
      <c r="J2011" s="2">
        <f ca="1">IFERROR(__xludf.DUMMYFUNCTION("""COMPUTED_VALUE"""),50.014)</f>
        <v>50.014000000000003</v>
      </c>
      <c r="K2011" s="2">
        <f ca="1">IFERROR(__xludf.DUMMYFUNCTION("""COMPUTED_VALUE"""),68.77)</f>
        <v>68.77</v>
      </c>
      <c r="M2011" s="2">
        <f ca="1">IFERROR(__xludf.DUMMYFUNCTION("""COMPUTED_VALUE"""),18.536)</f>
        <v>18.536000000000001</v>
      </c>
      <c r="U2011" s="3" t="e">
        <f ca="1"/>
        <v>#NAME?</v>
      </c>
    </row>
    <row r="2012" spans="3:21" ht="12.5" x14ac:dyDescent="0.25">
      <c r="C2012" s="4">
        <f ca="1">IFERROR(__xludf.DUMMYFUNCTION("""COMPUTED_VALUE"""),42373.9986111111)</f>
        <v>42373.998611111099</v>
      </c>
      <c r="D2012" s="2">
        <f ca="1">IFERROR(__xludf.DUMMYFUNCTION("""COMPUTED_VALUE"""),66.601)</f>
        <v>66.600999999999999</v>
      </c>
      <c r="E2012" s="2">
        <f ca="1">IFERROR(__xludf.DUMMYFUNCTION("""COMPUTED_VALUE"""),74.515)</f>
        <v>74.515000000000001</v>
      </c>
      <c r="F2012" s="2">
        <f ca="1">IFERROR(__xludf.DUMMYFUNCTION("""COMPUTED_VALUE"""),100.69)</f>
        <v>100.69</v>
      </c>
      <c r="G2012" s="2">
        <f ca="1">IFERROR(__xludf.DUMMYFUNCTION("""COMPUTED_VALUE"""),0.6548)</f>
        <v>0.65480000000000005</v>
      </c>
      <c r="H2012" s="2">
        <f ca="1">IFERROR(__xludf.DUMMYFUNCTION("""COMPUTED_VALUE"""),50.281)</f>
        <v>50.280999999999999</v>
      </c>
      <c r="I2012" s="2">
        <f ca="1">IFERROR(__xludf.DUMMYFUNCTION("""COMPUTED_VALUE"""),51.973)</f>
        <v>51.972999999999999</v>
      </c>
      <c r="J2012" s="2">
        <f ca="1">IFERROR(__xludf.DUMMYFUNCTION("""COMPUTED_VALUE"""),50.046)</f>
        <v>50.045999999999999</v>
      </c>
      <c r="K2012" s="2">
        <f ca="1">IFERROR(__xludf.DUMMYFUNCTION("""COMPUTED_VALUE"""),68.772)</f>
        <v>68.772000000000006</v>
      </c>
      <c r="M2012" s="2">
        <f ca="1">IFERROR(__xludf.DUMMYFUNCTION("""COMPUTED_VALUE"""),18.48)</f>
        <v>18.48</v>
      </c>
      <c r="U2012" s="3" t="e">
        <f ca="1"/>
        <v>#NAME?</v>
      </c>
    </row>
    <row r="2013" spans="3:21" ht="12.5" x14ac:dyDescent="0.25">
      <c r="C2013" s="4">
        <f ca="1">IFERROR(__xludf.DUMMYFUNCTION("""COMPUTED_VALUE"""),42374.9986111111)</f>
        <v>42374.998611111099</v>
      </c>
      <c r="D2013" s="2">
        <f ca="1">IFERROR(__xludf.DUMMYFUNCTION("""COMPUTED_VALUE"""),66.524)</f>
        <v>66.524000000000001</v>
      </c>
      <c r="E2013" s="2">
        <f ca="1">IFERROR(__xludf.DUMMYFUNCTION("""COMPUTED_VALUE"""),74.73)</f>
        <v>74.73</v>
      </c>
      <c r="F2013" s="2">
        <f ca="1">IFERROR(__xludf.DUMMYFUNCTION("""COMPUTED_VALUE"""),100.661)</f>
        <v>100.661</v>
      </c>
      <c r="G2013" s="2">
        <f ca="1">IFERROR(__xludf.DUMMYFUNCTION("""COMPUTED_VALUE"""),0.65968)</f>
        <v>0.65968000000000004</v>
      </c>
      <c r="H2013" s="2">
        <f ca="1">IFERROR(__xludf.DUMMYFUNCTION("""COMPUTED_VALUE"""),50.324)</f>
        <v>50.323999999999998</v>
      </c>
      <c r="I2013" s="2">
        <f ca="1">IFERROR(__xludf.DUMMYFUNCTION("""COMPUTED_VALUE"""),51.97)</f>
        <v>51.97</v>
      </c>
      <c r="J2013" s="2">
        <f ca="1">IFERROR(__xludf.DUMMYFUNCTION("""COMPUTED_VALUE"""),49.88)</f>
        <v>49.88</v>
      </c>
      <c r="K2013" s="2">
        <f ca="1">IFERROR(__xludf.DUMMYFUNCTION("""COMPUTED_VALUE"""),68.768)</f>
        <v>68.768000000000001</v>
      </c>
      <c r="M2013" s="2">
        <f ca="1">IFERROR(__xludf.DUMMYFUNCTION("""COMPUTED_VALUE"""),18.478)</f>
        <v>18.478000000000002</v>
      </c>
      <c r="U2013" s="3" t="e">
        <f ca="1"/>
        <v>#NAME?</v>
      </c>
    </row>
    <row r="2014" spans="3:21" ht="12.5" x14ac:dyDescent="0.25">
      <c r="C2014" s="4">
        <f ca="1">IFERROR(__xludf.DUMMYFUNCTION("""COMPUTED_VALUE"""),42375.9986111111)</f>
        <v>42375.998611111099</v>
      </c>
      <c r="D2014" s="2">
        <f ca="1">IFERROR(__xludf.DUMMYFUNCTION("""COMPUTED_VALUE"""),66.724)</f>
        <v>66.724000000000004</v>
      </c>
      <c r="E2014" s="2">
        <f ca="1">IFERROR(__xludf.DUMMYFUNCTION("""COMPUTED_VALUE"""),74.614)</f>
        <v>74.614000000000004</v>
      </c>
      <c r="F2014" s="2">
        <f ca="1">IFERROR(__xludf.DUMMYFUNCTION("""COMPUTED_VALUE"""),100.52)</f>
        <v>100.52</v>
      </c>
      <c r="G2014" s="2">
        <f ca="1">IFERROR(__xludf.DUMMYFUNCTION("""COMPUTED_VALUE"""),0.65984)</f>
        <v>0.65983999999999998</v>
      </c>
      <c r="H2014" s="2">
        <f ca="1">IFERROR(__xludf.DUMMYFUNCTION("""COMPUTED_VALUE"""),50.57)</f>
        <v>50.57</v>
      </c>
      <c r="I2014" s="2">
        <f ca="1">IFERROR(__xludf.DUMMYFUNCTION("""COMPUTED_VALUE"""),52.201)</f>
        <v>52.201000000000001</v>
      </c>
      <c r="J2014" s="2">
        <f ca="1">IFERROR(__xludf.DUMMYFUNCTION("""COMPUTED_VALUE"""),49.88)</f>
        <v>49.88</v>
      </c>
      <c r="K2014" s="2">
        <f ca="1">IFERROR(__xludf.DUMMYFUNCTION("""COMPUTED_VALUE"""),68.086)</f>
        <v>68.085999999999999</v>
      </c>
      <c r="M2014" s="2">
        <f ca="1">IFERROR(__xludf.DUMMYFUNCTION("""COMPUTED_VALUE"""),18.502)</f>
        <v>18.501999999999999</v>
      </c>
      <c r="U2014" s="3" t="e">
        <f ca="1"/>
        <v>#NAME?</v>
      </c>
    </row>
    <row r="2015" spans="3:21" ht="12.5" x14ac:dyDescent="0.25">
      <c r="C2015" s="4">
        <f ca="1">IFERROR(__xludf.DUMMYFUNCTION("""COMPUTED_VALUE"""),42376.9986111111)</f>
        <v>42376.998611111099</v>
      </c>
      <c r="D2015" s="2">
        <f ca="1">IFERROR(__xludf.DUMMYFUNCTION("""COMPUTED_VALUE"""),66.921)</f>
        <v>66.921000000000006</v>
      </c>
      <c r="E2015" s="2">
        <f ca="1">IFERROR(__xludf.DUMMYFUNCTION("""COMPUTED_VALUE"""),73.5245)</f>
        <v>73.524500000000003</v>
      </c>
      <c r="F2015" s="2">
        <f ca="1">IFERROR(__xludf.DUMMYFUNCTION("""COMPUTED_VALUE"""),100.33)</f>
        <v>100.33</v>
      </c>
      <c r="G2015" s="2">
        <f ca="1">IFERROR(__xludf.DUMMYFUNCTION("""COMPUTED_VALUE"""),0.66663)</f>
        <v>0.66662999999999994</v>
      </c>
      <c r="H2015" s="2">
        <f ca="1">IFERROR(__xludf.DUMMYFUNCTION("""COMPUTED_VALUE"""),50.118)</f>
        <v>50.118000000000002</v>
      </c>
      <c r="I2015" s="2">
        <f ca="1">IFERROR(__xludf.DUMMYFUNCTION("""COMPUTED_VALUE"""),51.784)</f>
        <v>51.783999999999999</v>
      </c>
      <c r="J2015" s="2">
        <f ca="1">IFERROR(__xludf.DUMMYFUNCTION("""COMPUTED_VALUE"""),49.876)</f>
        <v>49.875999999999998</v>
      </c>
      <c r="K2015" s="2">
        <f ca="1">IFERROR(__xludf.DUMMYFUNCTION("""COMPUTED_VALUE"""),68.16)</f>
        <v>68.16</v>
      </c>
      <c r="M2015" s="2">
        <f ca="1">IFERROR(__xludf.DUMMYFUNCTION("""COMPUTED_VALUE"""),18.491)</f>
        <v>18.491</v>
      </c>
      <c r="U2015" s="3" t="e">
        <f ca="1"/>
        <v>#NAME?</v>
      </c>
    </row>
    <row r="2016" spans="3:21" ht="12.5" x14ac:dyDescent="0.25">
      <c r="C2016" s="4">
        <f ca="1">IFERROR(__xludf.DUMMYFUNCTION("""COMPUTED_VALUE"""),42377.9986111111)</f>
        <v>42377.998611111099</v>
      </c>
      <c r="D2016" s="2">
        <f ca="1">IFERROR(__xludf.DUMMYFUNCTION("""COMPUTED_VALUE"""),66.84)</f>
        <v>66.84</v>
      </c>
      <c r="E2016" s="2">
        <f ca="1">IFERROR(__xludf.DUMMYFUNCTION("""COMPUTED_VALUE"""),73.5245)</f>
        <v>73.524500000000003</v>
      </c>
      <c r="F2016" s="2">
        <f ca="1">IFERROR(__xludf.DUMMYFUNCTION("""COMPUTED_VALUE"""),101.55)</f>
        <v>101.55</v>
      </c>
      <c r="G2016" s="2">
        <f ca="1">IFERROR(__xludf.DUMMYFUNCTION("""COMPUTED_VALUE"""),0.66914)</f>
        <v>0.66913999999999996</v>
      </c>
      <c r="H2016" s="2">
        <f ca="1">IFERROR(__xludf.DUMMYFUNCTION("""COMPUTED_VALUE"""),50.613)</f>
        <v>50.613</v>
      </c>
      <c r="I2016" s="2">
        <f ca="1">IFERROR(__xludf.DUMMYFUNCTION("""COMPUTED_VALUE"""),51.952)</f>
        <v>51.951999999999998</v>
      </c>
      <c r="J2016" s="2">
        <f ca="1">IFERROR(__xludf.DUMMYFUNCTION("""COMPUTED_VALUE"""),49.781)</f>
        <v>49.780999999999999</v>
      </c>
      <c r="K2016" s="2">
        <f ca="1">IFERROR(__xludf.DUMMYFUNCTION("""COMPUTED_VALUE"""),68.059)</f>
        <v>68.058999999999997</v>
      </c>
      <c r="M2016" s="2">
        <f ca="1">IFERROR(__xludf.DUMMYFUNCTION("""COMPUTED_VALUE"""),18.391)</f>
        <v>18.390999999999998</v>
      </c>
      <c r="U2016" s="3" t="e">
        <f ca="1"/>
        <v>#NAME?</v>
      </c>
    </row>
    <row r="2017" spans="3:21" ht="12.5" x14ac:dyDescent="0.25">
      <c r="C2017" s="4">
        <f ca="1">IFERROR(__xludf.DUMMYFUNCTION("""COMPUTED_VALUE"""),42378.9986111111)</f>
        <v>42378.998611111099</v>
      </c>
      <c r="D2017" s="2">
        <f ca="1">IFERROR(__xludf.DUMMYFUNCTION("""COMPUTED_VALUE"""),66.78)</f>
        <v>66.78</v>
      </c>
      <c r="E2017" s="2">
        <f ca="1">IFERROR(__xludf.DUMMYFUNCTION("""COMPUTED_VALUE"""),74.173)</f>
        <v>74.173000000000002</v>
      </c>
      <c r="F2017" s="2">
        <f ca="1">IFERROR(__xludf.DUMMYFUNCTION("""COMPUTED_VALUE"""),101.24)</f>
        <v>101.24</v>
      </c>
      <c r="G2017" s="2">
        <f ca="1">IFERROR(__xludf.DUMMYFUNCTION("""COMPUTED_VALUE"""),0.66679)</f>
        <v>0.66678999999999999</v>
      </c>
      <c r="H2017" s="2">
        <f ca="1">IFERROR(__xludf.DUMMYFUNCTION("""COMPUTED_VALUE"""),50.522)</f>
        <v>50.521999999999998</v>
      </c>
      <c r="I2017" s="2">
        <f ca="1">IFERROR(__xludf.DUMMYFUNCTION("""COMPUTED_VALUE"""),51.877)</f>
        <v>51.877000000000002</v>
      </c>
      <c r="J2017" s="2">
        <f ca="1">IFERROR(__xludf.DUMMYFUNCTION("""COMPUTED_VALUE"""),49.865)</f>
        <v>49.865000000000002</v>
      </c>
      <c r="K2017" s="2">
        <f ca="1">IFERROR(__xludf.DUMMYFUNCTION("""COMPUTED_VALUE"""),68.344)</f>
        <v>68.343999999999994</v>
      </c>
      <c r="M2017" s="2">
        <f ca="1">IFERROR(__xludf.DUMMYFUNCTION("""COMPUTED_VALUE"""),18.476)</f>
        <v>18.475999999999999</v>
      </c>
      <c r="U2017" s="3" t="e">
        <f ca="1"/>
        <v>#NAME?</v>
      </c>
    </row>
    <row r="2018" spans="3:21" ht="12.5" x14ac:dyDescent="0.25">
      <c r="C2018" s="4">
        <f ca="1">IFERROR(__xludf.DUMMYFUNCTION("""COMPUTED_VALUE"""),42379.9986111111)</f>
        <v>42379.998611111099</v>
      </c>
      <c r="D2018" s="2">
        <f ca="1">IFERROR(__xludf.DUMMYFUNCTION("""COMPUTED_VALUE"""),66.78)</f>
        <v>66.78</v>
      </c>
      <c r="E2018" s="2">
        <f ca="1">IFERROR(__xludf.DUMMYFUNCTION("""COMPUTED_VALUE"""),73.998)</f>
        <v>73.998000000000005</v>
      </c>
      <c r="F2018" s="2">
        <f ca="1">IFERROR(__xludf.DUMMYFUNCTION("""COMPUTED_VALUE"""),102.2)</f>
        <v>102.2</v>
      </c>
      <c r="G2018" s="2">
        <f ca="1">IFERROR(__xludf.DUMMYFUNCTION("""COMPUTED_VALUE"""),0.66916)</f>
        <v>0.66915999999999998</v>
      </c>
      <c r="H2018" s="2">
        <f ca="1">IFERROR(__xludf.DUMMYFUNCTION("""COMPUTED_VALUE"""),50.757)</f>
        <v>50.756999999999998</v>
      </c>
      <c r="I2018" s="2">
        <f ca="1">IFERROR(__xludf.DUMMYFUNCTION("""COMPUTED_VALUE"""),51.434)</f>
        <v>51.433999999999997</v>
      </c>
      <c r="J2018" s="2">
        <f ca="1">IFERROR(__xludf.DUMMYFUNCTION("""COMPUTED_VALUE"""),49.961)</f>
        <v>49.960999999999999</v>
      </c>
      <c r="K2018" s="2">
        <f ca="1">IFERROR(__xludf.DUMMYFUNCTION("""COMPUTED_VALUE"""),68.176)</f>
        <v>68.176000000000002</v>
      </c>
      <c r="M2018" s="2">
        <f ca="1">IFERROR(__xludf.DUMMYFUNCTION("""COMPUTED_VALUE"""),18.457)</f>
        <v>18.457000000000001</v>
      </c>
      <c r="U2018" s="3" t="e">
        <f ca="1"/>
        <v>#NAME?</v>
      </c>
    </row>
    <row r="2019" spans="3:21" ht="12.5" x14ac:dyDescent="0.25">
      <c r="C2019" s="4">
        <f ca="1">IFERROR(__xludf.DUMMYFUNCTION("""COMPUTED_VALUE"""),42380.9986111111)</f>
        <v>42380.998611111099</v>
      </c>
      <c r="D2019" s="2">
        <f ca="1">IFERROR(__xludf.DUMMYFUNCTION("""COMPUTED_VALUE"""),66.793)</f>
        <v>66.793000000000006</v>
      </c>
      <c r="E2019" s="2">
        <f ca="1">IFERROR(__xludf.DUMMYFUNCTION("""COMPUTED_VALUE"""),74.272)</f>
        <v>74.272000000000006</v>
      </c>
      <c r="F2019" s="2">
        <f ca="1">IFERROR(__xludf.DUMMYFUNCTION("""COMPUTED_VALUE"""),102.23)</f>
        <v>102.23</v>
      </c>
      <c r="G2019" s="2">
        <f ca="1">IFERROR(__xludf.DUMMYFUNCTION("""COMPUTED_VALUE"""),0.6692)</f>
        <v>0.66920000000000002</v>
      </c>
      <c r="H2019" s="2">
        <f ca="1">IFERROR(__xludf.DUMMYFUNCTION("""COMPUTED_VALUE"""),50.757)</f>
        <v>50.756999999999998</v>
      </c>
      <c r="I2019" s="2">
        <f ca="1">IFERROR(__xludf.DUMMYFUNCTION("""COMPUTED_VALUE"""),51.429)</f>
        <v>51.429000000000002</v>
      </c>
      <c r="J2019" s="2">
        <f ca="1">IFERROR(__xludf.DUMMYFUNCTION("""COMPUTED_VALUE"""),49.857)</f>
        <v>49.856999999999999</v>
      </c>
      <c r="K2019" s="2">
        <f ca="1">IFERROR(__xludf.DUMMYFUNCTION("""COMPUTED_VALUE"""),68.266)</f>
        <v>68.266000000000005</v>
      </c>
      <c r="M2019" s="2">
        <f ca="1">IFERROR(__xludf.DUMMYFUNCTION("""COMPUTED_VALUE"""),18.531)</f>
        <v>18.530999999999999</v>
      </c>
      <c r="U2019" s="3" t="e">
        <f ca="1"/>
        <v>#NAME?</v>
      </c>
    </row>
    <row r="2020" spans="3:21" ht="12.5" x14ac:dyDescent="0.25">
      <c r="C2020" s="4">
        <f ca="1">IFERROR(__xludf.DUMMYFUNCTION("""COMPUTED_VALUE"""),42381.9986111111)</f>
        <v>42381.998611111099</v>
      </c>
      <c r="D2020" s="2">
        <f ca="1">IFERROR(__xludf.DUMMYFUNCTION("""COMPUTED_VALUE"""),66.92)</f>
        <v>66.92</v>
      </c>
      <c r="E2020" s="2">
        <f ca="1">IFERROR(__xludf.DUMMYFUNCTION("""COMPUTED_VALUE"""),74.145)</f>
        <v>74.144999999999996</v>
      </c>
      <c r="F2020" s="2">
        <f ca="1">IFERROR(__xludf.DUMMYFUNCTION("""COMPUTED_VALUE"""),102.23)</f>
        <v>102.23</v>
      </c>
      <c r="G2020" s="2">
        <f ca="1">IFERROR(__xludf.DUMMYFUNCTION("""COMPUTED_VALUE"""),0.66854)</f>
        <v>0.66854000000000002</v>
      </c>
      <c r="H2020" s="2">
        <f ca="1">IFERROR(__xludf.DUMMYFUNCTION("""COMPUTED_VALUE"""),50.553)</f>
        <v>50.552999999999997</v>
      </c>
      <c r="I2020" s="2">
        <f ca="1">IFERROR(__xludf.DUMMYFUNCTION("""COMPUTED_VALUE"""),51.109)</f>
        <v>51.109000000000002</v>
      </c>
      <c r="J2020" s="2">
        <f ca="1">IFERROR(__xludf.DUMMYFUNCTION("""COMPUTED_VALUE"""),49.857)</f>
        <v>49.856999999999999</v>
      </c>
      <c r="K2020" s="2">
        <f ca="1">IFERROR(__xludf.DUMMYFUNCTION("""COMPUTED_VALUE"""),68.677)</f>
        <v>68.677000000000007</v>
      </c>
      <c r="M2020" s="2">
        <f ca="1">IFERROR(__xludf.DUMMYFUNCTION("""COMPUTED_VALUE"""),18.491)</f>
        <v>18.491</v>
      </c>
      <c r="U2020" s="3" t="e">
        <f ca="1"/>
        <v>#NAME?</v>
      </c>
    </row>
    <row r="2021" spans="3:21" ht="12.5" x14ac:dyDescent="0.25">
      <c r="C2021" s="4">
        <f ca="1">IFERROR(__xludf.DUMMYFUNCTION("""COMPUTED_VALUE"""),42382.9986111111)</f>
        <v>42382.998611111099</v>
      </c>
      <c r="D2021" s="2">
        <f ca="1">IFERROR(__xludf.DUMMYFUNCTION("""COMPUTED_VALUE"""),66.936)</f>
        <v>66.936000000000007</v>
      </c>
      <c r="E2021" s="2">
        <f ca="1">IFERROR(__xludf.DUMMYFUNCTION("""COMPUTED_VALUE"""),73.7029)</f>
        <v>73.7029</v>
      </c>
      <c r="F2021" s="2">
        <f ca="1">IFERROR(__xludf.DUMMYFUNCTION("""COMPUTED_VALUE"""),101.68)</f>
        <v>101.68</v>
      </c>
      <c r="G2021" s="2">
        <f ca="1">IFERROR(__xludf.DUMMYFUNCTION("""COMPUTED_VALUE"""),0.66732)</f>
        <v>0.66732000000000002</v>
      </c>
      <c r="H2021" s="2">
        <f ca="1">IFERROR(__xludf.DUMMYFUNCTION("""COMPUTED_VALUE"""),50.872)</f>
        <v>50.872</v>
      </c>
      <c r="I2021" s="2">
        <f ca="1">IFERROR(__xludf.DUMMYFUNCTION("""COMPUTED_VALUE"""),51.227)</f>
        <v>51.226999999999997</v>
      </c>
      <c r="J2021" s="2">
        <f ca="1">IFERROR(__xludf.DUMMYFUNCTION("""COMPUTED_VALUE"""),49.643)</f>
        <v>49.643000000000001</v>
      </c>
      <c r="K2021" s="2">
        <f ca="1">IFERROR(__xludf.DUMMYFUNCTION("""COMPUTED_VALUE"""),69.179)</f>
        <v>69.179000000000002</v>
      </c>
      <c r="M2021" s="2">
        <f ca="1">IFERROR(__xludf.DUMMYFUNCTION("""COMPUTED_VALUE"""),18.471)</f>
        <v>18.471</v>
      </c>
      <c r="U2021" s="3" t="e">
        <f ca="1"/>
        <v>#NAME?</v>
      </c>
    </row>
    <row r="2022" spans="3:21" ht="12.5" x14ac:dyDescent="0.25">
      <c r="C2022" s="4">
        <f ca="1">IFERROR(__xludf.DUMMYFUNCTION("""COMPUTED_VALUE"""),42383.9986111111)</f>
        <v>42383.998611111099</v>
      </c>
      <c r="D2022" s="2">
        <f ca="1">IFERROR(__xludf.DUMMYFUNCTION("""COMPUTED_VALUE"""),67.304)</f>
        <v>67.304000000000002</v>
      </c>
      <c r="E2022" s="2">
        <f ca="1">IFERROR(__xludf.DUMMYFUNCTION("""COMPUTED_VALUE"""),74)</f>
        <v>74</v>
      </c>
      <c r="F2022" s="2">
        <f ca="1">IFERROR(__xludf.DUMMYFUNCTION("""COMPUTED_VALUE"""),100.6)</f>
        <v>100.6</v>
      </c>
      <c r="G2022" s="2">
        <f ca="1">IFERROR(__xludf.DUMMYFUNCTION("""COMPUTED_VALUE"""),0.66579)</f>
        <v>0.66578999999999999</v>
      </c>
      <c r="H2022" s="2">
        <f ca="1">IFERROR(__xludf.DUMMYFUNCTION("""COMPUTED_VALUE"""),50.849)</f>
        <v>50.848999999999997</v>
      </c>
      <c r="I2022" s="2">
        <f ca="1">IFERROR(__xludf.DUMMYFUNCTION("""COMPUTED_VALUE"""),51.589)</f>
        <v>51.588999999999999</v>
      </c>
      <c r="J2022" s="2">
        <f ca="1">IFERROR(__xludf.DUMMYFUNCTION("""COMPUTED_VALUE"""),49.663)</f>
        <v>49.662999999999997</v>
      </c>
      <c r="K2022" s="2">
        <f ca="1">IFERROR(__xludf.DUMMYFUNCTION("""COMPUTED_VALUE"""),69.179)</f>
        <v>69.179000000000002</v>
      </c>
      <c r="M2022" s="2">
        <f ca="1">IFERROR(__xludf.DUMMYFUNCTION("""COMPUTED_VALUE"""),18.644)</f>
        <v>18.643999999999998</v>
      </c>
      <c r="U2022" s="3" t="e">
        <f ca="1"/>
        <v>#NAME?</v>
      </c>
    </row>
    <row r="2023" spans="3:21" ht="12.5" x14ac:dyDescent="0.25">
      <c r="C2023" s="4">
        <f ca="1">IFERROR(__xludf.DUMMYFUNCTION("""COMPUTED_VALUE"""),42384.9986111111)</f>
        <v>42384.998611111099</v>
      </c>
      <c r="D2023" s="2">
        <f ca="1">IFERROR(__xludf.DUMMYFUNCTION("""COMPUTED_VALUE"""),67.767)</f>
        <v>67.766999999999996</v>
      </c>
      <c r="E2023" s="2">
        <f ca="1">IFERROR(__xludf.DUMMYFUNCTION("""COMPUTED_VALUE"""),74.261)</f>
        <v>74.260999999999996</v>
      </c>
      <c r="F2023" s="2">
        <f ca="1">IFERROR(__xludf.DUMMYFUNCTION("""COMPUTED_VALUE"""),99.495)</f>
        <v>99.495000000000005</v>
      </c>
      <c r="G2023" s="2">
        <f ca="1">IFERROR(__xludf.DUMMYFUNCTION("""COMPUTED_VALUE"""),0.65894)</f>
        <v>0.65893999999999997</v>
      </c>
      <c r="H2023" s="2">
        <f ca="1">IFERROR(__xludf.DUMMYFUNCTION("""COMPUTED_VALUE"""),50.822)</f>
        <v>50.822000000000003</v>
      </c>
      <c r="I2023" s="2">
        <f ca="1">IFERROR(__xludf.DUMMYFUNCTION("""COMPUTED_VALUE"""),51.72)</f>
        <v>51.72</v>
      </c>
      <c r="J2023" s="2">
        <f ca="1">IFERROR(__xludf.DUMMYFUNCTION("""COMPUTED_VALUE"""),49.671)</f>
        <v>49.670999999999999</v>
      </c>
      <c r="K2023" s="2">
        <f ca="1">IFERROR(__xludf.DUMMYFUNCTION("""COMPUTED_VALUE"""),69.408)</f>
        <v>69.408000000000001</v>
      </c>
      <c r="M2023" s="2">
        <f ca="1">IFERROR(__xludf.DUMMYFUNCTION("""COMPUTED_VALUE"""),18.544)</f>
        <v>18.544</v>
      </c>
      <c r="U2023" s="3" t="e">
        <f ca="1"/>
        <v>#NAME?</v>
      </c>
    </row>
    <row r="2024" spans="3:21" ht="12.5" x14ac:dyDescent="0.25">
      <c r="C2024" s="4">
        <f ca="1">IFERROR(__xludf.DUMMYFUNCTION("""COMPUTED_VALUE"""),42385.9986111111)</f>
        <v>42385.998611111099</v>
      </c>
      <c r="D2024" s="2">
        <f ca="1">IFERROR(__xludf.DUMMYFUNCTION("""COMPUTED_VALUE"""),67.757)</f>
        <v>67.757000000000005</v>
      </c>
      <c r="E2024" s="2">
        <f ca="1">IFERROR(__xludf.DUMMYFUNCTION("""COMPUTED_VALUE"""),73.935)</f>
        <v>73.935000000000002</v>
      </c>
      <c r="F2024" s="2">
        <f ca="1">IFERROR(__xludf.DUMMYFUNCTION("""COMPUTED_VALUE"""),99.207)</f>
        <v>99.206999999999994</v>
      </c>
      <c r="G2024" s="2">
        <f ca="1">IFERROR(__xludf.DUMMYFUNCTION("""COMPUTED_VALUE"""),0.65862)</f>
        <v>0.65861999999999998</v>
      </c>
      <c r="H2024" s="2">
        <f ca="1">IFERROR(__xludf.DUMMYFUNCTION("""COMPUTED_VALUE"""),50.829)</f>
        <v>50.829000000000001</v>
      </c>
      <c r="I2024" s="2">
        <f ca="1">IFERROR(__xludf.DUMMYFUNCTION("""COMPUTED_VALUE"""),51.72)</f>
        <v>51.72</v>
      </c>
      <c r="J2024" s="2">
        <f ca="1">IFERROR(__xludf.DUMMYFUNCTION("""COMPUTED_VALUE"""),49.683)</f>
        <v>49.683</v>
      </c>
      <c r="K2024" s="2">
        <f ca="1">IFERROR(__xludf.DUMMYFUNCTION("""COMPUTED_VALUE"""),69.728)</f>
        <v>69.727999999999994</v>
      </c>
      <c r="M2024" s="2">
        <f ca="1">IFERROR(__xludf.DUMMYFUNCTION("""COMPUTED_VALUE"""),18.548)</f>
        <v>18.547999999999998</v>
      </c>
      <c r="U2024" s="3" t="e">
        <f ca="1"/>
        <v>#NAME?</v>
      </c>
    </row>
    <row r="2025" spans="3:21" ht="12.5" x14ac:dyDescent="0.25">
      <c r="C2025" s="4">
        <f ca="1">IFERROR(__xludf.DUMMYFUNCTION("""COMPUTED_VALUE"""),42386.9986111111)</f>
        <v>42386.998611111099</v>
      </c>
      <c r="D2025" s="2">
        <f ca="1">IFERROR(__xludf.DUMMYFUNCTION("""COMPUTED_VALUE"""),67.757)</f>
        <v>67.757000000000005</v>
      </c>
      <c r="E2025" s="2">
        <f ca="1">IFERROR(__xludf.DUMMYFUNCTION("""COMPUTED_VALUE"""),73.926)</f>
        <v>73.926000000000002</v>
      </c>
      <c r="F2025" s="2">
        <f ca="1">IFERROR(__xludf.DUMMYFUNCTION("""COMPUTED_VALUE"""),98.658)</f>
        <v>98.658000000000001</v>
      </c>
      <c r="G2025" s="2">
        <f ca="1">IFERROR(__xludf.DUMMYFUNCTION("""COMPUTED_VALUE"""),0.65519)</f>
        <v>0.65519000000000005</v>
      </c>
      <c r="H2025" s="2">
        <f ca="1">IFERROR(__xludf.DUMMYFUNCTION("""COMPUTED_VALUE"""),50.678)</f>
        <v>50.677999999999997</v>
      </c>
      <c r="I2025" s="2">
        <f ca="1">IFERROR(__xludf.DUMMYFUNCTION("""COMPUTED_VALUE"""),51.73)</f>
        <v>51.73</v>
      </c>
      <c r="J2025" s="2">
        <f ca="1">IFERROR(__xludf.DUMMYFUNCTION("""COMPUTED_VALUE"""),49.779)</f>
        <v>49.779000000000003</v>
      </c>
      <c r="K2025" s="2">
        <f ca="1">IFERROR(__xludf.DUMMYFUNCTION("""COMPUTED_VALUE"""),69.548)</f>
        <v>69.548000000000002</v>
      </c>
      <c r="M2025" s="2">
        <f ca="1">IFERROR(__xludf.DUMMYFUNCTION("""COMPUTED_VALUE"""),18.648)</f>
        <v>18.648</v>
      </c>
      <c r="U2025" s="3" t="e">
        <f ca="1"/>
        <v>#NAME?</v>
      </c>
    </row>
    <row r="2026" spans="3:21" ht="12.5" x14ac:dyDescent="0.25">
      <c r="C2026" s="4">
        <f ca="1">IFERROR(__xludf.DUMMYFUNCTION("""COMPUTED_VALUE"""),42387.9986111111)</f>
        <v>42387.998611111099</v>
      </c>
      <c r="D2026" s="2">
        <f ca="1">IFERROR(__xludf.DUMMYFUNCTION("""COMPUTED_VALUE"""),67.711)</f>
        <v>67.710999999999999</v>
      </c>
      <c r="E2026" s="2">
        <f ca="1">IFERROR(__xludf.DUMMYFUNCTION("""COMPUTED_VALUE"""),74.012)</f>
        <v>74.012</v>
      </c>
      <c r="F2026" s="2">
        <f ca="1">IFERROR(__xludf.DUMMYFUNCTION("""COMPUTED_VALUE"""),98.749)</f>
        <v>98.748999999999995</v>
      </c>
      <c r="G2026" s="2">
        <f ca="1">IFERROR(__xludf.DUMMYFUNCTION("""COMPUTED_VALUE"""),0.65829)</f>
        <v>0.65829000000000004</v>
      </c>
      <c r="H2026" s="2">
        <f ca="1">IFERROR(__xludf.DUMMYFUNCTION("""COMPUTED_VALUE"""),50.805)</f>
        <v>50.805</v>
      </c>
      <c r="I2026" s="2">
        <f ca="1">IFERROR(__xludf.DUMMYFUNCTION("""COMPUTED_VALUE"""),51.76)</f>
        <v>51.76</v>
      </c>
      <c r="J2026" s="2">
        <f ca="1">IFERROR(__xludf.DUMMYFUNCTION("""COMPUTED_VALUE"""),49.763)</f>
        <v>49.762999999999998</v>
      </c>
      <c r="K2026" s="2">
        <f ca="1">IFERROR(__xludf.DUMMYFUNCTION("""COMPUTED_VALUE"""),68.739)</f>
        <v>68.739000000000004</v>
      </c>
      <c r="M2026" s="2">
        <f ca="1">IFERROR(__xludf.DUMMYFUNCTION("""COMPUTED_VALUE"""),18.607)</f>
        <v>18.606999999999999</v>
      </c>
      <c r="U2026" s="3" t="e">
        <f ca="1"/>
        <v>#NAME?</v>
      </c>
    </row>
    <row r="2027" spans="3:21" ht="12.5" x14ac:dyDescent="0.25">
      <c r="C2027" s="4">
        <f ca="1">IFERROR(__xludf.DUMMYFUNCTION("""COMPUTED_VALUE"""),42388.9986111111)</f>
        <v>42388.998611111099</v>
      </c>
      <c r="D2027" s="2">
        <f ca="1">IFERROR(__xludf.DUMMYFUNCTION("""COMPUTED_VALUE"""),67.767)</f>
        <v>67.766999999999996</v>
      </c>
      <c r="E2027" s="2">
        <f ca="1">IFERROR(__xludf.DUMMYFUNCTION("""COMPUTED_VALUE"""),73.625)</f>
        <v>73.625</v>
      </c>
      <c r="F2027" s="2">
        <f ca="1">IFERROR(__xludf.DUMMYFUNCTION("""COMPUTED_VALUE"""),98.749)</f>
        <v>98.748999999999995</v>
      </c>
      <c r="G2027" s="2">
        <f ca="1">IFERROR(__xludf.DUMMYFUNCTION("""COMPUTED_VALUE"""),0.65186)</f>
        <v>0.65185999999999999</v>
      </c>
      <c r="H2027" s="2">
        <f ca="1">IFERROR(__xludf.DUMMYFUNCTION("""COMPUTED_VALUE"""),50.397)</f>
        <v>50.396999999999998</v>
      </c>
      <c r="I2027" s="2">
        <f ca="1">IFERROR(__xludf.DUMMYFUNCTION("""COMPUTED_VALUE"""),51.533)</f>
        <v>51.533000000000001</v>
      </c>
      <c r="J2027" s="2">
        <f ca="1">IFERROR(__xludf.DUMMYFUNCTION("""COMPUTED_VALUE"""),49.728)</f>
        <v>49.728000000000002</v>
      </c>
      <c r="K2027" s="2">
        <f ca="1">IFERROR(__xludf.DUMMYFUNCTION("""COMPUTED_VALUE"""),68.41)</f>
        <v>68.41</v>
      </c>
      <c r="M2027" s="2">
        <f ca="1">IFERROR(__xludf.DUMMYFUNCTION("""COMPUTED_VALUE"""),18.653)</f>
        <v>18.652999999999999</v>
      </c>
      <c r="U2027" s="3" t="e">
        <f ca="1"/>
        <v>#NAME?</v>
      </c>
    </row>
    <row r="2028" spans="3:21" ht="12.5" x14ac:dyDescent="0.25">
      <c r="C2028" s="4">
        <f ca="1">IFERROR(__xludf.DUMMYFUNCTION("""COMPUTED_VALUE"""),42389.9986111111)</f>
        <v>42389.998611111099</v>
      </c>
      <c r="D2028" s="2">
        <f ca="1">IFERROR(__xludf.DUMMYFUNCTION("""COMPUTED_VALUE"""),67.949)</f>
        <v>67.948999999999998</v>
      </c>
      <c r="E2028" s="2">
        <f ca="1">IFERROR(__xludf.DUMMYFUNCTION("""COMPUTED_VALUE"""),73.993)</f>
        <v>73.992999999999995</v>
      </c>
      <c r="F2028" s="2">
        <f ca="1">IFERROR(__xludf.DUMMYFUNCTION("""COMPUTED_VALUE"""),98.658)</f>
        <v>98.658000000000001</v>
      </c>
      <c r="G2028" s="2">
        <f ca="1">IFERROR(__xludf.DUMMYFUNCTION("""COMPUTED_VALUE"""),0.64767)</f>
        <v>0.64766999999999997</v>
      </c>
      <c r="H2028" s="2">
        <f ca="1">IFERROR(__xludf.DUMMYFUNCTION("""COMPUTED_VALUE"""),50.121)</f>
        <v>50.121000000000002</v>
      </c>
      <c r="I2028" s="2">
        <f ca="1">IFERROR(__xludf.DUMMYFUNCTION("""COMPUTED_VALUE"""),51.347)</f>
        <v>51.347000000000001</v>
      </c>
      <c r="J2028" s="2">
        <f ca="1">IFERROR(__xludf.DUMMYFUNCTION("""COMPUTED_VALUE"""),49.578)</f>
        <v>49.578000000000003</v>
      </c>
      <c r="K2028" s="2">
        <f ca="1">IFERROR(__xludf.DUMMYFUNCTION("""COMPUTED_VALUE"""),68.633)</f>
        <v>68.632999999999996</v>
      </c>
      <c r="M2028" s="2">
        <f ca="1">IFERROR(__xludf.DUMMYFUNCTION("""COMPUTED_VALUE"""),18.657)</f>
        <v>18.657</v>
      </c>
      <c r="U2028" s="3" t="e">
        <f ca="1"/>
        <v>#NAME?</v>
      </c>
    </row>
    <row r="2029" spans="3:21" ht="12.5" x14ac:dyDescent="0.25">
      <c r="C2029" s="4">
        <f ca="1">IFERROR(__xludf.DUMMYFUNCTION("""COMPUTED_VALUE"""),42390.9986111111)</f>
        <v>42390.998611111099</v>
      </c>
      <c r="D2029" s="2">
        <f ca="1">IFERROR(__xludf.DUMMYFUNCTION("""COMPUTED_VALUE"""),67.808)</f>
        <v>67.808000000000007</v>
      </c>
      <c r="E2029" s="2">
        <f ca="1">IFERROR(__xludf.DUMMYFUNCTION("""COMPUTED_VALUE"""),73.857)</f>
        <v>73.856999999999999</v>
      </c>
      <c r="F2029" s="2">
        <f ca="1">IFERROR(__xludf.DUMMYFUNCTION("""COMPUTED_VALUE"""),98.189)</f>
        <v>98.188999999999993</v>
      </c>
      <c r="G2029" s="2">
        <f ca="1">IFERROR(__xludf.DUMMYFUNCTION("""COMPUTED_VALUE"""),0.64621)</f>
        <v>0.64620999999999995</v>
      </c>
      <c r="H2029" s="2">
        <f ca="1">IFERROR(__xludf.DUMMYFUNCTION("""COMPUTED_VALUE"""),50.357)</f>
        <v>50.356999999999999</v>
      </c>
      <c r="I2029" s="2">
        <f ca="1">IFERROR(__xludf.DUMMYFUNCTION("""COMPUTED_VALUE"""),51.316)</f>
        <v>51.316000000000003</v>
      </c>
      <c r="J2029" s="2">
        <f ca="1">IFERROR(__xludf.DUMMYFUNCTION("""COMPUTED_VALUE"""),49.441)</f>
        <v>49.441000000000003</v>
      </c>
      <c r="K2029" s="2">
        <f ca="1">IFERROR(__xludf.DUMMYFUNCTION("""COMPUTED_VALUE"""),68.281)</f>
        <v>68.281000000000006</v>
      </c>
      <c r="M2029" s="2">
        <f ca="1">IFERROR(__xludf.DUMMYFUNCTION("""COMPUTED_VALUE"""),18.657)</f>
        <v>18.657</v>
      </c>
      <c r="U2029" s="3" t="e">
        <f ca="1"/>
        <v>#NAME?</v>
      </c>
    </row>
    <row r="2030" spans="3:21" ht="12.5" x14ac:dyDescent="0.25">
      <c r="C2030" s="4">
        <f ca="1">IFERROR(__xludf.DUMMYFUNCTION("""COMPUTED_VALUE"""),42391.9986111111)</f>
        <v>42391.998611111099</v>
      </c>
      <c r="D2030" s="2">
        <f ca="1">IFERROR(__xludf.DUMMYFUNCTION("""COMPUTED_VALUE"""),67.541)</f>
        <v>67.540999999999997</v>
      </c>
      <c r="E2030" s="2">
        <f ca="1">IFERROR(__xludf.DUMMYFUNCTION("""COMPUTED_VALUE"""),74.16)</f>
        <v>74.16</v>
      </c>
      <c r="F2030" s="2">
        <f ca="1">IFERROR(__xludf.DUMMYFUNCTION("""COMPUTED_VALUE"""),98.378)</f>
        <v>98.378</v>
      </c>
      <c r="G2030" s="2">
        <f ca="1">IFERROR(__xludf.DUMMYFUNCTION("""COMPUTED_VALUE"""),0.64184)</f>
        <v>0.64183999999999997</v>
      </c>
      <c r="H2030" s="2">
        <f ca="1">IFERROR(__xludf.DUMMYFUNCTION("""COMPUTED_VALUE"""),50.076)</f>
        <v>50.076000000000001</v>
      </c>
      <c r="I2030" s="2">
        <f ca="1">IFERROR(__xludf.DUMMYFUNCTION("""COMPUTED_VALUE"""),51.097)</f>
        <v>51.097000000000001</v>
      </c>
      <c r="J2030" s="2">
        <f ca="1">IFERROR(__xludf.DUMMYFUNCTION("""COMPUTED_VALUE"""),49.541)</f>
        <v>49.540999999999997</v>
      </c>
      <c r="K2030" s="2">
        <f ca="1">IFERROR(__xludf.DUMMYFUNCTION("""COMPUTED_VALUE"""),68.514)</f>
        <v>68.513999999999996</v>
      </c>
      <c r="M2030" s="2">
        <f ca="1">IFERROR(__xludf.DUMMYFUNCTION("""COMPUTED_VALUE"""),18.666)</f>
        <v>18.666</v>
      </c>
      <c r="U2030" s="3" t="e">
        <f ca="1"/>
        <v>#NAME?</v>
      </c>
    </row>
    <row r="2031" spans="3:21" ht="12.5" x14ac:dyDescent="0.25">
      <c r="C2031" s="4">
        <f ca="1">IFERROR(__xludf.DUMMYFUNCTION("""COMPUTED_VALUE"""),42392.9986111111)</f>
        <v>42392.998611111099</v>
      </c>
      <c r="D2031" s="2">
        <f ca="1">IFERROR(__xludf.DUMMYFUNCTION("""COMPUTED_VALUE"""),67.541)</f>
        <v>67.540999999999997</v>
      </c>
      <c r="E2031" s="2">
        <f ca="1">IFERROR(__xludf.DUMMYFUNCTION("""COMPUTED_VALUE"""),74.193)</f>
        <v>74.192999999999998</v>
      </c>
      <c r="F2031" s="2">
        <f ca="1">IFERROR(__xludf.DUMMYFUNCTION("""COMPUTED_VALUE"""),98.327)</f>
        <v>98.326999999999998</v>
      </c>
      <c r="G2031" s="2">
        <f ca="1">IFERROR(__xludf.DUMMYFUNCTION("""COMPUTED_VALUE"""),0.64135)</f>
        <v>0.64134999999999998</v>
      </c>
      <c r="H2031" s="2">
        <f ca="1">IFERROR(__xludf.DUMMYFUNCTION("""COMPUTED_VALUE"""),50.328)</f>
        <v>50.328000000000003</v>
      </c>
      <c r="I2031" s="2">
        <f ca="1">IFERROR(__xludf.DUMMYFUNCTION("""COMPUTED_VALUE"""),50.911)</f>
        <v>50.911000000000001</v>
      </c>
      <c r="J2031" s="2">
        <f ca="1">IFERROR(__xludf.DUMMYFUNCTION("""COMPUTED_VALUE"""),49.368)</f>
        <v>49.368000000000002</v>
      </c>
      <c r="K2031" s="2">
        <f ca="1">IFERROR(__xludf.DUMMYFUNCTION("""COMPUTED_VALUE"""),68.656)</f>
        <v>68.656000000000006</v>
      </c>
      <c r="M2031" s="2">
        <f ca="1">IFERROR(__xludf.DUMMYFUNCTION("""COMPUTED_VALUE"""),18.674)</f>
        <v>18.673999999999999</v>
      </c>
      <c r="U2031" s="3" t="e">
        <f ca="1"/>
        <v>#NAME?</v>
      </c>
    </row>
    <row r="2032" spans="3:21" ht="12.5" x14ac:dyDescent="0.25">
      <c r="C2032" s="4">
        <f ca="1">IFERROR(__xludf.DUMMYFUNCTION("""COMPUTED_VALUE"""),42393.9986111111)</f>
        <v>42393.998611111099</v>
      </c>
      <c r="D2032" s="2">
        <f ca="1">IFERROR(__xludf.DUMMYFUNCTION("""COMPUTED_VALUE"""),67.569)</f>
        <v>67.569000000000003</v>
      </c>
      <c r="E2032" s="2">
        <f ca="1">IFERROR(__xludf.DUMMYFUNCTION("""COMPUTED_VALUE"""),74.4)</f>
        <v>74.400000000000006</v>
      </c>
      <c r="F2032" s="2">
        <f ca="1">IFERROR(__xludf.DUMMYFUNCTION("""COMPUTED_VALUE"""),98.327)</f>
        <v>98.326999999999998</v>
      </c>
      <c r="G2032" s="2">
        <f ca="1">IFERROR(__xludf.DUMMYFUNCTION("""COMPUTED_VALUE"""),0.65234)</f>
        <v>0.65234000000000003</v>
      </c>
      <c r="H2032" s="2">
        <f ca="1">IFERROR(__xludf.DUMMYFUNCTION("""COMPUTED_VALUE"""),50.511)</f>
        <v>50.511000000000003</v>
      </c>
      <c r="I2032" s="2">
        <f ca="1">IFERROR(__xludf.DUMMYFUNCTION("""COMPUTED_VALUE"""),51.018)</f>
        <v>51.018000000000001</v>
      </c>
      <c r="J2032" s="2">
        <f ca="1">IFERROR(__xludf.DUMMYFUNCTION("""COMPUTED_VALUE"""),49.423)</f>
        <v>49.423000000000002</v>
      </c>
      <c r="K2032" s="2">
        <f ca="1">IFERROR(__xludf.DUMMYFUNCTION("""COMPUTED_VALUE"""),68.467)</f>
        <v>68.466999999999999</v>
      </c>
      <c r="M2032" s="2">
        <f ca="1">IFERROR(__xludf.DUMMYFUNCTION("""COMPUTED_VALUE"""),18.62)</f>
        <v>18.62</v>
      </c>
      <c r="U2032" s="3" t="e">
        <f ca="1"/>
        <v>#NAME?</v>
      </c>
    </row>
    <row r="2033" spans="3:21" ht="12.5" x14ac:dyDescent="0.25">
      <c r="C2033" s="4">
        <f ca="1">IFERROR(__xludf.DUMMYFUNCTION("""COMPUTED_VALUE"""),42394.9986111111)</f>
        <v>42394.998611111099</v>
      </c>
      <c r="D2033" s="2">
        <f ca="1">IFERROR(__xludf.DUMMYFUNCTION("""COMPUTED_VALUE"""),67.741)</f>
        <v>67.741</v>
      </c>
      <c r="E2033" s="2">
        <f ca="1">IFERROR(__xludf.DUMMYFUNCTION("""COMPUTED_VALUE"""),73.426)</f>
        <v>73.426000000000002</v>
      </c>
      <c r="F2033" s="2">
        <f ca="1">IFERROR(__xludf.DUMMYFUNCTION("""COMPUTED_VALUE"""),98.586)</f>
        <v>98.585999999999999</v>
      </c>
      <c r="G2033" s="2">
        <f ca="1">IFERROR(__xludf.DUMMYFUNCTION("""COMPUTED_VALUE"""),0.65215)</f>
        <v>0.65215000000000001</v>
      </c>
      <c r="H2033" s="2">
        <f ca="1">IFERROR(__xludf.DUMMYFUNCTION("""COMPUTED_VALUE"""),50.357)</f>
        <v>50.356999999999999</v>
      </c>
      <c r="I2033" s="2">
        <f ca="1">IFERROR(__xludf.DUMMYFUNCTION("""COMPUTED_VALUE"""),50.999)</f>
        <v>50.999000000000002</v>
      </c>
      <c r="J2033" s="2">
        <f ca="1">IFERROR(__xludf.DUMMYFUNCTION("""COMPUTED_VALUE"""),49.494)</f>
        <v>49.494</v>
      </c>
      <c r="K2033" s="2">
        <f ca="1">IFERROR(__xludf.DUMMYFUNCTION("""COMPUTED_VALUE"""),68.291)</f>
        <v>68.290999999999997</v>
      </c>
      <c r="M2033" s="2">
        <f ca="1">IFERROR(__xludf.DUMMYFUNCTION("""COMPUTED_VALUE"""),18.716)</f>
        <v>18.716000000000001</v>
      </c>
      <c r="U2033" s="3" t="e">
        <f ca="1"/>
        <v>#NAME?</v>
      </c>
    </row>
    <row r="2034" spans="3:21" ht="12.5" x14ac:dyDescent="0.25">
      <c r="C2034" s="4">
        <f ca="1">IFERROR(__xludf.DUMMYFUNCTION("""COMPUTED_VALUE"""),42395.9986111111)</f>
        <v>42395.998611111099</v>
      </c>
      <c r="D2034" s="2">
        <f ca="1">IFERROR(__xludf.DUMMYFUNCTION("""COMPUTED_VALUE"""),67.77)</f>
        <v>67.77</v>
      </c>
      <c r="E2034" s="2">
        <f ca="1">IFERROR(__xludf.DUMMYFUNCTION("""COMPUTED_VALUE"""),74.473)</f>
        <v>74.472999999999999</v>
      </c>
      <c r="F2034" s="2">
        <f ca="1">IFERROR(__xludf.DUMMYFUNCTION("""COMPUTED_VALUE"""),98.586)</f>
        <v>98.585999999999999</v>
      </c>
      <c r="G2034" s="2">
        <f ca="1">IFERROR(__xludf.DUMMYFUNCTION("""COMPUTED_VALUE"""),0.64887)</f>
        <v>0.64886999999999995</v>
      </c>
      <c r="H2034" s="2">
        <f ca="1">IFERROR(__xludf.DUMMYFUNCTION("""COMPUTED_VALUE"""),50.28)</f>
        <v>50.28</v>
      </c>
      <c r="I2034" s="2">
        <f ca="1">IFERROR(__xludf.DUMMYFUNCTION("""COMPUTED_VALUE"""),50.895)</f>
        <v>50.895000000000003</v>
      </c>
      <c r="J2034" s="2">
        <f ca="1">IFERROR(__xludf.DUMMYFUNCTION("""COMPUTED_VALUE"""),49.66)</f>
        <v>49.66</v>
      </c>
      <c r="K2034" s="2">
        <f ca="1">IFERROR(__xludf.DUMMYFUNCTION("""COMPUTED_VALUE"""),68.148)</f>
        <v>68.147999999999996</v>
      </c>
      <c r="M2034" s="2">
        <f ca="1">IFERROR(__xludf.DUMMYFUNCTION("""COMPUTED_VALUE"""),18.726)</f>
        <v>18.725999999999999</v>
      </c>
      <c r="U2034" s="3" t="e">
        <f ca="1"/>
        <v>#NAME?</v>
      </c>
    </row>
    <row r="2035" spans="3:21" ht="12.5" x14ac:dyDescent="0.25">
      <c r="C2035" s="4">
        <f ca="1">IFERROR(__xludf.DUMMYFUNCTION("""COMPUTED_VALUE"""),42396.9986111111)</f>
        <v>42396.998611111099</v>
      </c>
      <c r="D2035" s="2">
        <f ca="1">IFERROR(__xludf.DUMMYFUNCTION("""COMPUTED_VALUE"""),68.196)</f>
        <v>68.195999999999998</v>
      </c>
      <c r="E2035" s="2">
        <f ca="1">IFERROR(__xludf.DUMMYFUNCTION("""COMPUTED_VALUE"""),74.732)</f>
        <v>74.731999999999999</v>
      </c>
      <c r="F2035" s="2">
        <f ca="1">IFERROR(__xludf.DUMMYFUNCTION("""COMPUTED_VALUE"""),98.443)</f>
        <v>98.442999999999998</v>
      </c>
      <c r="G2035" s="2">
        <f ca="1">IFERROR(__xludf.DUMMYFUNCTION("""COMPUTED_VALUE"""),0.64922)</f>
        <v>0.64922000000000002</v>
      </c>
      <c r="H2035" s="2">
        <f ca="1">IFERROR(__xludf.DUMMYFUNCTION("""COMPUTED_VALUE"""),50.601)</f>
        <v>50.600999999999999</v>
      </c>
      <c r="I2035" s="2">
        <f ca="1">IFERROR(__xludf.DUMMYFUNCTION("""COMPUTED_VALUE"""),51.085)</f>
        <v>51.085000000000001</v>
      </c>
      <c r="J2035" s="2">
        <f ca="1">IFERROR(__xludf.DUMMYFUNCTION("""COMPUTED_VALUE"""),49.482)</f>
        <v>49.481999999999999</v>
      </c>
      <c r="K2035" s="2">
        <f ca="1">IFERROR(__xludf.DUMMYFUNCTION("""COMPUTED_VALUE"""),67.897)</f>
        <v>67.897000000000006</v>
      </c>
      <c r="M2035" s="2">
        <f ca="1">IFERROR(__xludf.DUMMYFUNCTION("""COMPUTED_VALUE"""),18.57)</f>
        <v>18.57</v>
      </c>
      <c r="U2035" s="3" t="e">
        <f ca="1"/>
        <v>#NAME?</v>
      </c>
    </row>
    <row r="2036" spans="3:21" ht="12.5" x14ac:dyDescent="0.25">
      <c r="C2036" s="4">
        <f ca="1">IFERROR(__xludf.DUMMYFUNCTION("""COMPUTED_VALUE"""),42397.9986111111)</f>
        <v>42397.998611111099</v>
      </c>
      <c r="D2036" s="2">
        <f ca="1">IFERROR(__xludf.DUMMYFUNCTION("""COMPUTED_VALUE"""),68.093)</f>
        <v>68.093000000000004</v>
      </c>
      <c r="E2036" s="2">
        <f ca="1">IFERROR(__xludf.DUMMYFUNCTION("""COMPUTED_VALUE"""),74.375)</f>
        <v>74.375</v>
      </c>
      <c r="F2036" s="2">
        <f ca="1">IFERROR(__xludf.DUMMYFUNCTION("""COMPUTED_VALUE"""),98.185)</f>
        <v>98.185000000000002</v>
      </c>
      <c r="G2036" s="2">
        <f ca="1">IFERROR(__xludf.DUMMYFUNCTION("""COMPUTED_VALUE"""),0.65031)</f>
        <v>0.65031000000000005</v>
      </c>
      <c r="H2036" s="2">
        <f ca="1">IFERROR(__xludf.DUMMYFUNCTION("""COMPUTED_VALUE"""),50.243)</f>
        <v>50.243000000000002</v>
      </c>
      <c r="I2036" s="2">
        <f ca="1">IFERROR(__xludf.DUMMYFUNCTION("""COMPUTED_VALUE"""),51.059)</f>
        <v>51.058999999999997</v>
      </c>
      <c r="J2036" s="2">
        <f ca="1">IFERROR(__xludf.DUMMYFUNCTION("""COMPUTED_VALUE"""),49.643)</f>
        <v>49.643000000000001</v>
      </c>
      <c r="K2036" s="2">
        <f ca="1">IFERROR(__xludf.DUMMYFUNCTION("""COMPUTED_VALUE"""),68.05)</f>
        <v>68.05</v>
      </c>
      <c r="M2036" s="2">
        <f ca="1">IFERROR(__xludf.DUMMYFUNCTION("""COMPUTED_VALUE"""),18.441)</f>
        <v>18.440999999999999</v>
      </c>
      <c r="U2036" s="3" t="e">
        <f ca="1"/>
        <v>#NAME?</v>
      </c>
    </row>
    <row r="2037" spans="3:21" ht="12.5" x14ac:dyDescent="0.25">
      <c r="C2037" s="4">
        <f ca="1">IFERROR(__xludf.DUMMYFUNCTION("""COMPUTED_VALUE"""),42398.9986111111)</f>
        <v>42398.998611111099</v>
      </c>
      <c r="D2037" s="2">
        <f ca="1">IFERROR(__xludf.DUMMYFUNCTION("""COMPUTED_VALUE"""),67.87)</f>
        <v>67.87</v>
      </c>
      <c r="E2037" s="2">
        <f ca="1">IFERROR(__xludf.DUMMYFUNCTION("""COMPUTED_VALUE"""),74.343)</f>
        <v>74.343000000000004</v>
      </c>
      <c r="F2037" s="2">
        <f ca="1">IFERROR(__xludf.DUMMYFUNCTION("""COMPUTED_VALUE"""),98.43)</f>
        <v>98.43</v>
      </c>
      <c r="G2037" s="2">
        <f ca="1">IFERROR(__xludf.DUMMYFUNCTION("""COMPUTED_VALUE"""),0.65517)</f>
        <v>0.65517000000000003</v>
      </c>
      <c r="H2037" s="2">
        <f ca="1">IFERROR(__xludf.DUMMYFUNCTION("""COMPUTED_VALUE"""),50.208)</f>
        <v>50.207999999999998</v>
      </c>
      <c r="I2037" s="2">
        <f ca="1">IFERROR(__xludf.DUMMYFUNCTION("""COMPUTED_VALUE"""),50.817)</f>
        <v>50.817</v>
      </c>
      <c r="J2037" s="2">
        <f ca="1">IFERROR(__xludf.DUMMYFUNCTION("""COMPUTED_VALUE"""),49.704)</f>
        <v>49.704000000000001</v>
      </c>
      <c r="K2037" s="2">
        <f ca="1">IFERROR(__xludf.DUMMYFUNCTION("""COMPUTED_VALUE"""),68.02)</f>
        <v>68.02</v>
      </c>
      <c r="M2037" s="2">
        <f ca="1">IFERROR(__xludf.DUMMYFUNCTION("""COMPUTED_VALUE"""),18.344)</f>
        <v>18.344000000000001</v>
      </c>
      <c r="U2037" s="3" t="e">
        <f ca="1"/>
        <v>#NAME?</v>
      </c>
    </row>
    <row r="2038" spans="3:21" ht="12.5" x14ac:dyDescent="0.25">
      <c r="C2038" s="4">
        <f ca="1">IFERROR(__xludf.DUMMYFUNCTION("""COMPUTED_VALUE"""),42401.9986111111)</f>
        <v>42401.998611111099</v>
      </c>
      <c r="D2038" s="2">
        <f ca="1">IFERROR(__xludf.DUMMYFUNCTION("""COMPUTED_VALUE"""),67.882)</f>
        <v>67.882000000000005</v>
      </c>
      <c r="E2038" s="2">
        <f ca="1">IFERROR(__xludf.DUMMYFUNCTION("""COMPUTED_VALUE"""),73.4158)</f>
        <v>73.415800000000004</v>
      </c>
      <c r="F2038" s="2">
        <f ca="1">IFERROR(__xludf.DUMMYFUNCTION("""COMPUTED_VALUE"""),97.551)</f>
        <v>97.551000000000002</v>
      </c>
      <c r="G2038" s="2">
        <f ca="1">IFERROR(__xludf.DUMMYFUNCTION("""COMPUTED_VALUE"""),0.6535)</f>
        <v>0.65349999999999997</v>
      </c>
      <c r="H2038" s="2">
        <f ca="1">IFERROR(__xludf.DUMMYFUNCTION("""COMPUTED_VALUE"""),50.619)</f>
        <v>50.619</v>
      </c>
      <c r="I2038" s="2">
        <f ca="1">IFERROR(__xludf.DUMMYFUNCTION("""COMPUTED_VALUE"""),50.836)</f>
        <v>50.835999999999999</v>
      </c>
      <c r="J2038" s="2">
        <f ca="1">IFERROR(__xludf.DUMMYFUNCTION("""COMPUTED_VALUE"""),49.673)</f>
        <v>49.673000000000002</v>
      </c>
      <c r="K2038" s="2">
        <f ca="1">IFERROR(__xludf.DUMMYFUNCTION("""COMPUTED_VALUE"""),68.025)</f>
        <v>68.025000000000006</v>
      </c>
      <c r="M2038" s="2">
        <f ca="1">IFERROR(__xludf.DUMMYFUNCTION("""COMPUTED_VALUE"""),18.277)</f>
        <v>18.277000000000001</v>
      </c>
      <c r="U2038" s="3" t="e">
        <f ca="1"/>
        <v>#NAME?</v>
      </c>
    </row>
    <row r="2039" spans="3:21" ht="12.5" x14ac:dyDescent="0.25">
      <c r="C2039" s="4">
        <f ca="1">IFERROR(__xludf.DUMMYFUNCTION("""COMPUTED_VALUE"""),42402.9986111111)</f>
        <v>42402.998611111099</v>
      </c>
      <c r="D2039" s="2">
        <f ca="1">IFERROR(__xludf.DUMMYFUNCTION("""COMPUTED_VALUE"""),67.986)</f>
        <v>67.986000000000004</v>
      </c>
      <c r="E2039" s="2">
        <f ca="1">IFERROR(__xludf.DUMMYFUNCTION("""COMPUTED_VALUE"""),73.966)</f>
        <v>73.965999999999994</v>
      </c>
      <c r="F2039" s="2">
        <f ca="1">IFERROR(__xludf.DUMMYFUNCTION("""COMPUTED_VALUE"""),97.598)</f>
        <v>97.597999999999999</v>
      </c>
      <c r="G2039" s="2">
        <f ca="1">IFERROR(__xludf.DUMMYFUNCTION("""COMPUTED_VALUE"""),0.65036)</f>
        <v>0.65036000000000005</v>
      </c>
      <c r="H2039" s="2">
        <f ca="1">IFERROR(__xludf.DUMMYFUNCTION("""COMPUTED_VALUE"""),50.619)</f>
        <v>50.619</v>
      </c>
      <c r="I2039" s="2">
        <f ca="1">IFERROR(__xludf.DUMMYFUNCTION("""COMPUTED_VALUE"""),51.03)</f>
        <v>51.03</v>
      </c>
      <c r="J2039" s="2">
        <f ca="1">IFERROR(__xludf.DUMMYFUNCTION("""COMPUTED_VALUE"""),49.688)</f>
        <v>49.688000000000002</v>
      </c>
      <c r="K2039" s="2">
        <f ca="1">IFERROR(__xludf.DUMMYFUNCTION("""COMPUTED_VALUE"""),68.058)</f>
        <v>68.058000000000007</v>
      </c>
      <c r="M2039" s="2">
        <f ca="1">IFERROR(__xludf.DUMMYFUNCTION("""COMPUTED_VALUE"""),18.231)</f>
        <v>18.231000000000002</v>
      </c>
      <c r="U2039" s="3" t="e">
        <f ca="1"/>
        <v>#NAME?</v>
      </c>
    </row>
    <row r="2040" spans="3:21" ht="12.5" x14ac:dyDescent="0.25">
      <c r="C2040" s="4">
        <f ca="1">IFERROR(__xludf.DUMMYFUNCTION("""COMPUTED_VALUE"""),42403.9986111111)</f>
        <v>42403.998611111099</v>
      </c>
      <c r="D2040" s="2">
        <f ca="1">IFERROR(__xludf.DUMMYFUNCTION("""COMPUTED_VALUE"""),67.927)</f>
        <v>67.927000000000007</v>
      </c>
      <c r="E2040" s="2">
        <f ca="1">IFERROR(__xludf.DUMMYFUNCTION("""COMPUTED_VALUE"""),74.174)</f>
        <v>74.174000000000007</v>
      </c>
      <c r="F2040" s="2">
        <f ca="1">IFERROR(__xludf.DUMMYFUNCTION("""COMPUTED_VALUE"""),97.516)</f>
        <v>97.516000000000005</v>
      </c>
      <c r="G2040" s="2">
        <f ca="1">IFERROR(__xludf.DUMMYFUNCTION("""COMPUTED_VALUE"""),0.65466)</f>
        <v>0.65466000000000002</v>
      </c>
      <c r="H2040" s="2">
        <f ca="1">IFERROR(__xludf.DUMMYFUNCTION("""COMPUTED_VALUE"""),51.004)</f>
        <v>51.003999999999998</v>
      </c>
      <c r="I2040" s="2">
        <f ca="1">IFERROR(__xludf.DUMMYFUNCTION("""COMPUTED_VALUE"""),51.298)</f>
        <v>51.298000000000002</v>
      </c>
      <c r="J2040" s="2">
        <f ca="1">IFERROR(__xludf.DUMMYFUNCTION("""COMPUTED_VALUE"""),49.704)</f>
        <v>49.704000000000001</v>
      </c>
      <c r="K2040" s="2">
        <f ca="1">IFERROR(__xludf.DUMMYFUNCTION("""COMPUTED_VALUE"""),68.042)</f>
        <v>68.042000000000002</v>
      </c>
      <c r="M2040" s="2">
        <f ca="1">IFERROR(__xludf.DUMMYFUNCTION("""COMPUTED_VALUE"""),18.239)</f>
        <v>18.239000000000001</v>
      </c>
      <c r="U2040" s="3" t="e">
        <f ca="1"/>
        <v>#NAME?</v>
      </c>
    </row>
    <row r="2041" spans="3:21" ht="12.5" x14ac:dyDescent="0.25">
      <c r="C2041" s="4">
        <f ca="1">IFERROR(__xludf.DUMMYFUNCTION("""COMPUTED_VALUE"""),42404.9986111111)</f>
        <v>42404.998611111099</v>
      </c>
      <c r="D2041" s="2">
        <f ca="1">IFERROR(__xludf.DUMMYFUNCTION("""COMPUTED_VALUE"""),67.564)</f>
        <v>67.563999999999993</v>
      </c>
      <c r="E2041" s="2">
        <f ca="1">IFERROR(__xludf.DUMMYFUNCTION("""COMPUTED_VALUE"""),74.597)</f>
        <v>74.596999999999994</v>
      </c>
      <c r="F2041" s="2">
        <f ca="1">IFERROR(__xludf.DUMMYFUNCTION("""COMPUTED_VALUE"""),97.516)</f>
        <v>97.516000000000005</v>
      </c>
      <c r="G2041" s="2">
        <f ca="1">IFERROR(__xludf.DUMMYFUNCTION("""COMPUTED_VALUE"""),0.65512)</f>
        <v>0.65512000000000004</v>
      </c>
      <c r="H2041" s="2">
        <f ca="1">IFERROR(__xludf.DUMMYFUNCTION("""COMPUTED_VALUE"""),50.871)</f>
        <v>50.871000000000002</v>
      </c>
      <c r="I2041" s="2">
        <f ca="1">IFERROR(__xludf.DUMMYFUNCTION("""COMPUTED_VALUE"""),50.687)</f>
        <v>50.686999999999998</v>
      </c>
      <c r="J2041" s="2">
        <f ca="1">IFERROR(__xludf.DUMMYFUNCTION("""COMPUTED_VALUE"""),49.758)</f>
        <v>49.758000000000003</v>
      </c>
      <c r="K2041" s="2">
        <f ca="1">IFERROR(__xludf.DUMMYFUNCTION("""COMPUTED_VALUE"""),67.827)</f>
        <v>67.826999999999998</v>
      </c>
      <c r="M2041" s="2">
        <f ca="1">IFERROR(__xludf.DUMMYFUNCTION("""COMPUTED_VALUE"""),18.325)</f>
        <v>18.324999999999999</v>
      </c>
      <c r="U2041" s="3" t="e">
        <f ca="1"/>
        <v>#NAME?</v>
      </c>
    </row>
    <row r="2042" spans="3:21" ht="12.5" x14ac:dyDescent="0.25">
      <c r="C2042" s="4">
        <f ca="1">IFERROR(__xludf.DUMMYFUNCTION("""COMPUTED_VALUE"""),42405.9986111111)</f>
        <v>42405.998611111099</v>
      </c>
      <c r="D2042" s="2">
        <f ca="1">IFERROR(__xludf.DUMMYFUNCTION("""COMPUTED_VALUE"""),67.802)</f>
        <v>67.802000000000007</v>
      </c>
      <c r="E2042" s="2">
        <f ca="1">IFERROR(__xludf.DUMMYFUNCTION("""COMPUTED_VALUE"""),74.256)</f>
        <v>74.256</v>
      </c>
      <c r="F2042" s="2">
        <f ca="1">IFERROR(__xludf.DUMMYFUNCTION("""COMPUTED_VALUE"""),97.979)</f>
        <v>97.978999999999999</v>
      </c>
      <c r="G2042" s="2">
        <f ca="1">IFERROR(__xludf.DUMMYFUNCTION("""COMPUTED_VALUE"""),0.65512)</f>
        <v>0.65512000000000004</v>
      </c>
      <c r="H2042" s="2">
        <f ca="1">IFERROR(__xludf.DUMMYFUNCTION("""COMPUTED_VALUE"""),51.116)</f>
        <v>51.116</v>
      </c>
      <c r="I2042" s="2">
        <f ca="1">IFERROR(__xludf.DUMMYFUNCTION("""COMPUTED_VALUE"""),50.725)</f>
        <v>50.725000000000001</v>
      </c>
      <c r="J2042" s="2">
        <f ca="1">IFERROR(__xludf.DUMMYFUNCTION("""COMPUTED_VALUE"""),49.57)</f>
        <v>49.57</v>
      </c>
      <c r="K2042" s="2">
        <f ca="1">IFERROR(__xludf.DUMMYFUNCTION("""COMPUTED_VALUE"""),67.603)</f>
        <v>67.602999999999994</v>
      </c>
      <c r="M2042" s="2">
        <f ca="1">IFERROR(__xludf.DUMMYFUNCTION("""COMPUTED_VALUE"""),18.268)</f>
        <v>18.268000000000001</v>
      </c>
      <c r="U2042" s="3" t="e">
        <f ca="1"/>
        <v>#NAME?</v>
      </c>
    </row>
    <row r="2043" spans="3:21" ht="12.5" x14ac:dyDescent="0.25">
      <c r="C2043" s="4">
        <f ca="1">IFERROR(__xludf.DUMMYFUNCTION("""COMPUTED_VALUE"""),42406.9986111111)</f>
        <v>42406.998611111099</v>
      </c>
      <c r="D2043" s="2">
        <f ca="1">IFERROR(__xludf.DUMMYFUNCTION("""COMPUTED_VALUE"""),67.802)</f>
        <v>67.802000000000007</v>
      </c>
      <c r="E2043" s="2">
        <f ca="1">IFERROR(__xludf.DUMMYFUNCTION("""COMPUTED_VALUE"""),74.616)</f>
        <v>74.616</v>
      </c>
      <c r="F2043" s="2">
        <f ca="1">IFERROR(__xludf.DUMMYFUNCTION("""COMPUTED_VALUE"""),97.643)</f>
        <v>97.643000000000001</v>
      </c>
      <c r="G2043" s="2">
        <f ca="1">IFERROR(__xludf.DUMMYFUNCTION("""COMPUTED_VALUE"""),0.6567)</f>
        <v>0.65669999999999995</v>
      </c>
      <c r="H2043" s="2">
        <f ca="1">IFERROR(__xludf.DUMMYFUNCTION("""COMPUTED_VALUE"""),51.135)</f>
        <v>51.134999999999998</v>
      </c>
      <c r="I2043" s="2">
        <f ca="1">IFERROR(__xludf.DUMMYFUNCTION("""COMPUTED_VALUE"""),50.864)</f>
        <v>50.863999999999997</v>
      </c>
      <c r="J2043" s="2">
        <f ca="1">IFERROR(__xludf.DUMMYFUNCTION("""COMPUTED_VALUE"""),49.565)</f>
        <v>49.564999999999998</v>
      </c>
      <c r="K2043" s="2">
        <f ca="1">IFERROR(__xludf.DUMMYFUNCTION("""COMPUTED_VALUE"""),67.319)</f>
        <v>67.319000000000003</v>
      </c>
      <c r="M2043" s="2">
        <f ca="1">IFERROR(__xludf.DUMMYFUNCTION("""COMPUTED_VALUE"""),18.312)</f>
        <v>18.312000000000001</v>
      </c>
      <c r="U2043" s="3" t="e">
        <f ca="1"/>
        <v>#NAME?</v>
      </c>
    </row>
    <row r="2044" spans="3:21" ht="12.5" x14ac:dyDescent="0.25">
      <c r="C2044" s="4">
        <f ca="1">IFERROR(__xludf.DUMMYFUNCTION("""COMPUTED_VALUE"""),42408.9986111111)</f>
        <v>42408.998611111099</v>
      </c>
      <c r="D2044" s="2">
        <f ca="1">IFERROR(__xludf.DUMMYFUNCTION("""COMPUTED_VALUE"""),68.076)</f>
        <v>68.075999999999993</v>
      </c>
      <c r="E2044" s="2">
        <f ca="1">IFERROR(__xludf.DUMMYFUNCTION("""COMPUTED_VALUE"""),74.706)</f>
        <v>74.706000000000003</v>
      </c>
      <c r="F2044" s="2">
        <f ca="1">IFERROR(__xludf.DUMMYFUNCTION("""COMPUTED_VALUE"""),97.608)</f>
        <v>97.608000000000004</v>
      </c>
      <c r="G2044" s="2">
        <f ca="1">IFERROR(__xludf.DUMMYFUNCTION("""COMPUTED_VALUE"""),0.65893)</f>
        <v>0.65893000000000002</v>
      </c>
      <c r="H2044" s="2">
        <f ca="1">IFERROR(__xludf.DUMMYFUNCTION("""COMPUTED_VALUE"""),51.447)</f>
        <v>51.447000000000003</v>
      </c>
      <c r="I2044" s="2">
        <f ca="1">IFERROR(__xludf.DUMMYFUNCTION("""COMPUTED_VALUE"""),51.077)</f>
        <v>51.076999999999998</v>
      </c>
      <c r="J2044" s="2">
        <f ca="1">IFERROR(__xludf.DUMMYFUNCTION("""COMPUTED_VALUE"""),49.63)</f>
        <v>49.63</v>
      </c>
      <c r="K2044" s="2">
        <f ca="1">IFERROR(__xludf.DUMMYFUNCTION("""COMPUTED_VALUE"""),67.319)</f>
        <v>67.319000000000003</v>
      </c>
      <c r="M2044" s="2">
        <f ca="1">IFERROR(__xludf.DUMMYFUNCTION("""COMPUTED_VALUE"""),18.215)</f>
        <v>18.215</v>
      </c>
      <c r="U2044" s="3" t="e">
        <f ca="1"/>
        <v>#NAME?</v>
      </c>
    </row>
    <row r="2045" spans="3:21" ht="12.5" x14ac:dyDescent="0.25">
      <c r="C2045" s="4">
        <f ca="1">IFERROR(__xludf.DUMMYFUNCTION("""COMPUTED_VALUE"""),42409.9986111111)</f>
        <v>42409.998611111099</v>
      </c>
      <c r="D2045" s="2">
        <f ca="1">IFERROR(__xludf.DUMMYFUNCTION("""COMPUTED_VALUE"""),67.928)</f>
        <v>67.927999999999997</v>
      </c>
      <c r="E2045" s="2">
        <f ca="1">IFERROR(__xludf.DUMMYFUNCTION("""COMPUTED_VALUE"""),75.323)</f>
        <v>75.322999999999993</v>
      </c>
      <c r="F2045" s="2">
        <f ca="1">IFERROR(__xludf.DUMMYFUNCTION("""COMPUTED_VALUE"""),97.882)</f>
        <v>97.882000000000005</v>
      </c>
      <c r="G2045" s="2">
        <f ca="1">IFERROR(__xludf.DUMMYFUNCTION("""COMPUTED_VALUE"""),0.66433)</f>
        <v>0.66432999999999998</v>
      </c>
      <c r="H2045" s="2">
        <f ca="1">IFERROR(__xludf.DUMMYFUNCTION("""COMPUTED_VALUE"""),51.297)</f>
        <v>51.296999999999997</v>
      </c>
      <c r="I2045" s="2">
        <f ca="1">IFERROR(__xludf.DUMMYFUNCTION("""COMPUTED_VALUE"""),51.339)</f>
        <v>51.338999999999999</v>
      </c>
      <c r="J2045" s="2">
        <f ca="1">IFERROR(__xludf.DUMMYFUNCTION("""COMPUTED_VALUE"""),49.76)</f>
        <v>49.76</v>
      </c>
      <c r="K2045" s="2">
        <f ca="1">IFERROR(__xludf.DUMMYFUNCTION("""COMPUTED_VALUE"""),67.635)</f>
        <v>67.635000000000005</v>
      </c>
      <c r="M2045" s="2">
        <f ca="1">IFERROR(__xludf.DUMMYFUNCTION("""COMPUTED_VALUE"""),18.274)</f>
        <v>18.274000000000001</v>
      </c>
      <c r="U2045" s="3" t="e">
        <f ca="1"/>
        <v>#NAME?</v>
      </c>
    </row>
    <row r="2046" spans="3:21" ht="12.5" x14ac:dyDescent="0.25">
      <c r="C2046" s="4">
        <f ca="1">IFERROR(__xludf.DUMMYFUNCTION("""COMPUTED_VALUE"""),42410.9986111111)</f>
        <v>42410.998611111099</v>
      </c>
      <c r="D2046" s="2">
        <f ca="1">IFERROR(__xludf.DUMMYFUNCTION("""COMPUTED_VALUE"""),67.893)</f>
        <v>67.893000000000001</v>
      </c>
      <c r="E2046" s="2">
        <f ca="1">IFERROR(__xludf.DUMMYFUNCTION("""COMPUTED_VALUE"""),75.535)</f>
        <v>75.534999999999997</v>
      </c>
      <c r="F2046" s="2">
        <f ca="1">IFERROR(__xludf.DUMMYFUNCTION("""COMPUTED_VALUE"""),97.056)</f>
        <v>97.055999999999997</v>
      </c>
      <c r="G2046" s="2">
        <f ca="1">IFERROR(__xludf.DUMMYFUNCTION("""COMPUTED_VALUE"""),0.66014)</f>
        <v>0.66013999999999995</v>
      </c>
      <c r="H2046" s="2">
        <f ca="1">IFERROR(__xludf.DUMMYFUNCTION("""COMPUTED_VALUE"""),51.123)</f>
        <v>51.122999999999998</v>
      </c>
      <c r="I2046" s="2">
        <f ca="1">IFERROR(__xludf.DUMMYFUNCTION("""COMPUTED_VALUE"""),51.58)</f>
        <v>51.58</v>
      </c>
      <c r="J2046" s="2">
        <f ca="1">IFERROR(__xludf.DUMMYFUNCTION("""COMPUTED_VALUE"""),49.611)</f>
        <v>49.610999999999997</v>
      </c>
      <c r="K2046" s="2">
        <f ca="1">IFERROR(__xludf.DUMMYFUNCTION("""COMPUTED_VALUE"""),67.612)</f>
        <v>67.611999999999995</v>
      </c>
      <c r="M2046" s="2">
        <f ca="1">IFERROR(__xludf.DUMMYFUNCTION("""COMPUTED_VALUE"""),18.341)</f>
        <v>18.341000000000001</v>
      </c>
      <c r="U2046" s="3" t="e">
        <f ca="1"/>
        <v>#NAME?</v>
      </c>
    </row>
    <row r="2047" spans="3:21" ht="12.5" x14ac:dyDescent="0.25">
      <c r="C2047" s="4">
        <f ca="1">IFERROR(__xludf.DUMMYFUNCTION("""COMPUTED_VALUE"""),42411.9986111111)</f>
        <v>42411.998611111099</v>
      </c>
      <c r="D2047" s="2">
        <f ca="1">IFERROR(__xludf.DUMMYFUNCTION("""COMPUTED_VALUE"""),68.474)</f>
        <v>68.474000000000004</v>
      </c>
      <c r="E2047" s="2">
        <f ca="1">IFERROR(__xludf.DUMMYFUNCTION("""COMPUTED_VALUE"""),75.756)</f>
        <v>75.756</v>
      </c>
      <c r="F2047" s="2">
        <f ca="1">IFERROR(__xludf.DUMMYFUNCTION("""COMPUTED_VALUE"""),96.972)</f>
        <v>96.971999999999994</v>
      </c>
      <c r="G2047" s="2">
        <f ca="1">IFERROR(__xludf.DUMMYFUNCTION("""COMPUTED_VALUE"""),0.65974)</f>
        <v>0.65973999999999999</v>
      </c>
      <c r="H2047" s="2">
        <f ca="1">IFERROR(__xludf.DUMMYFUNCTION("""COMPUTED_VALUE"""),51.277)</f>
        <v>51.277000000000001</v>
      </c>
      <c r="I2047" s="2">
        <f ca="1">IFERROR(__xludf.DUMMYFUNCTION("""COMPUTED_VALUE"""),51.677)</f>
        <v>51.677</v>
      </c>
      <c r="J2047" s="2">
        <f ca="1">IFERROR(__xludf.DUMMYFUNCTION("""COMPUTED_VALUE"""),49.691)</f>
        <v>49.691000000000003</v>
      </c>
      <c r="K2047" s="2">
        <f ca="1">IFERROR(__xludf.DUMMYFUNCTION("""COMPUTED_VALUE"""),68.128)</f>
        <v>68.128</v>
      </c>
      <c r="M2047" s="2">
        <f ca="1">IFERROR(__xludf.DUMMYFUNCTION("""COMPUTED_VALUE"""),18.284)</f>
        <v>18.283999999999999</v>
      </c>
      <c r="U2047" s="3" t="e">
        <f ca="1"/>
        <v>#NAME?</v>
      </c>
    </row>
    <row r="2048" spans="3:21" ht="12.5" x14ac:dyDescent="0.25">
      <c r="C2048" s="4">
        <f ca="1">IFERROR(__xludf.DUMMYFUNCTION("""COMPUTED_VALUE"""),42412.9986111111)</f>
        <v>42412.998611111099</v>
      </c>
      <c r="D2048" s="2">
        <f ca="1">IFERROR(__xludf.DUMMYFUNCTION("""COMPUTED_VALUE"""),68.111)</f>
        <v>68.111000000000004</v>
      </c>
      <c r="E2048" s="2">
        <f ca="1">IFERROR(__xludf.DUMMYFUNCTION("""COMPUTED_VALUE"""),75.96)</f>
        <v>75.959999999999994</v>
      </c>
      <c r="F2048" s="2">
        <f ca="1">IFERROR(__xludf.DUMMYFUNCTION("""COMPUTED_VALUE"""),96.972)</f>
        <v>96.971999999999994</v>
      </c>
      <c r="G2048" s="2">
        <f ca="1">IFERROR(__xludf.DUMMYFUNCTION("""COMPUTED_VALUE"""),0.65974)</f>
        <v>0.65973999999999999</v>
      </c>
      <c r="H2048" s="2">
        <f ca="1">IFERROR(__xludf.DUMMYFUNCTION("""COMPUTED_VALUE"""),51.429)</f>
        <v>51.429000000000002</v>
      </c>
      <c r="I2048" s="2">
        <f ca="1">IFERROR(__xludf.DUMMYFUNCTION("""COMPUTED_VALUE"""),51.916)</f>
        <v>51.915999999999997</v>
      </c>
      <c r="J2048" s="2">
        <f ca="1">IFERROR(__xludf.DUMMYFUNCTION("""COMPUTED_VALUE"""),49.731)</f>
        <v>49.731000000000002</v>
      </c>
      <c r="K2048" s="2">
        <f ca="1">IFERROR(__xludf.DUMMYFUNCTION("""COMPUTED_VALUE"""),67.871)</f>
        <v>67.870999999999995</v>
      </c>
      <c r="M2048" s="2">
        <f ca="1">IFERROR(__xludf.DUMMYFUNCTION("""COMPUTED_VALUE"""),18.133)</f>
        <v>18.132999999999999</v>
      </c>
      <c r="U2048" s="3" t="e">
        <f ca="1"/>
        <v>#NAME?</v>
      </c>
    </row>
    <row r="2049" spans="3:21" ht="12.5" x14ac:dyDescent="0.25">
      <c r="C2049" s="4">
        <f ca="1">IFERROR(__xludf.DUMMYFUNCTION("""COMPUTED_VALUE"""),42415.9986111111)</f>
        <v>42415.998611111099</v>
      </c>
      <c r="D2049" s="2">
        <f ca="1">IFERROR(__xludf.DUMMYFUNCTION("""COMPUTED_VALUE"""),68.137)</f>
        <v>68.137</v>
      </c>
      <c r="E2049" s="2">
        <f ca="1">IFERROR(__xludf.DUMMYFUNCTION("""COMPUTED_VALUE"""),75.977)</f>
        <v>75.977000000000004</v>
      </c>
      <c r="F2049" s="2">
        <f ca="1">IFERROR(__xludf.DUMMYFUNCTION("""COMPUTED_VALUE"""),97.12)</f>
        <v>97.12</v>
      </c>
      <c r="G2049" s="2">
        <f ca="1">IFERROR(__xludf.DUMMYFUNCTION("""COMPUTED_VALUE"""),0.663)</f>
        <v>0.66300000000000003</v>
      </c>
      <c r="H2049" s="2">
        <f ca="1">IFERROR(__xludf.DUMMYFUNCTION("""COMPUTED_VALUE"""),51.228)</f>
        <v>51.228000000000002</v>
      </c>
      <c r="I2049" s="2">
        <f ca="1">IFERROR(__xludf.DUMMYFUNCTION("""COMPUTED_VALUE"""),52.043)</f>
        <v>52.042999999999999</v>
      </c>
      <c r="J2049" s="2">
        <f ca="1">IFERROR(__xludf.DUMMYFUNCTION("""COMPUTED_VALUE"""),49.876)</f>
        <v>49.875999999999998</v>
      </c>
      <c r="K2049" s="2">
        <f ca="1">IFERROR(__xludf.DUMMYFUNCTION("""COMPUTED_VALUE"""),68.594)</f>
        <v>68.593999999999994</v>
      </c>
      <c r="M2049" s="2">
        <f ca="1">IFERROR(__xludf.DUMMYFUNCTION("""COMPUTED_VALUE"""),18.069)</f>
        <v>18.068999999999999</v>
      </c>
      <c r="U2049" s="3" t="e">
        <f ca="1"/>
        <v>#NAME?</v>
      </c>
    </row>
    <row r="2050" spans="3:21" ht="12.5" x14ac:dyDescent="0.25">
      <c r="C2050" s="4">
        <f ca="1">IFERROR(__xludf.DUMMYFUNCTION("""COMPUTED_VALUE"""),42416.9986111111)</f>
        <v>42416.998611111099</v>
      </c>
      <c r="D2050" s="2">
        <f ca="1">IFERROR(__xludf.DUMMYFUNCTION("""COMPUTED_VALUE"""),68.506)</f>
        <v>68.506</v>
      </c>
      <c r="E2050" s="2">
        <f ca="1">IFERROR(__xludf.DUMMYFUNCTION("""COMPUTED_VALUE"""),75.792)</f>
        <v>75.792000000000002</v>
      </c>
      <c r="F2050" s="2">
        <f ca="1">IFERROR(__xludf.DUMMYFUNCTION("""COMPUTED_VALUE"""),96.642)</f>
        <v>96.641999999999996</v>
      </c>
      <c r="G2050" s="2">
        <f ca="1">IFERROR(__xludf.DUMMYFUNCTION("""COMPUTED_VALUE"""),0.66054)</f>
        <v>0.66054000000000002</v>
      </c>
      <c r="H2050" s="2">
        <f ca="1">IFERROR(__xludf.DUMMYFUNCTION("""COMPUTED_VALUE"""),51.257)</f>
        <v>51.256999999999998</v>
      </c>
      <c r="I2050" s="2">
        <f ca="1">IFERROR(__xludf.DUMMYFUNCTION("""COMPUTED_VALUE"""),52.251)</f>
        <v>52.250999999999998</v>
      </c>
      <c r="J2050" s="2">
        <f ca="1">IFERROR(__xludf.DUMMYFUNCTION("""COMPUTED_VALUE"""),49.855)</f>
        <v>49.854999999999997</v>
      </c>
      <c r="K2050" s="2">
        <f ca="1">IFERROR(__xludf.DUMMYFUNCTION("""COMPUTED_VALUE"""),68.769)</f>
        <v>68.769000000000005</v>
      </c>
      <c r="M2050" s="2">
        <f ca="1">IFERROR(__xludf.DUMMYFUNCTION("""COMPUTED_VALUE"""),18.069)</f>
        <v>18.068999999999999</v>
      </c>
      <c r="U2050" s="3" t="e">
        <f ca="1"/>
        <v>#NAME?</v>
      </c>
    </row>
    <row r="2051" spans="3:21" ht="12.5" x14ac:dyDescent="0.25">
      <c r="C2051" s="4">
        <f ca="1">IFERROR(__xludf.DUMMYFUNCTION("""COMPUTED_VALUE"""),42417.9986111111)</f>
        <v>42417.998611111099</v>
      </c>
      <c r="D2051" s="2">
        <f ca="1">IFERROR(__xludf.DUMMYFUNCTION("""COMPUTED_VALUE"""),68.356)</f>
        <v>68.355999999999995</v>
      </c>
      <c r="E2051" s="2">
        <f ca="1">IFERROR(__xludf.DUMMYFUNCTION("""COMPUTED_VALUE"""),75.554)</f>
        <v>75.554000000000002</v>
      </c>
      <c r="F2051" s="2">
        <f ca="1">IFERROR(__xludf.DUMMYFUNCTION("""COMPUTED_VALUE"""),96.54)</f>
        <v>96.54</v>
      </c>
      <c r="G2051" s="2">
        <f ca="1">IFERROR(__xludf.DUMMYFUNCTION("""COMPUTED_VALUE"""),0.65643)</f>
        <v>0.65642999999999996</v>
      </c>
      <c r="H2051" s="2">
        <f ca="1">IFERROR(__xludf.DUMMYFUNCTION("""COMPUTED_VALUE"""),51.158)</f>
        <v>51.158000000000001</v>
      </c>
      <c r="I2051" s="2">
        <f ca="1">IFERROR(__xludf.DUMMYFUNCTION("""COMPUTED_VALUE"""),52.109)</f>
        <v>52.109000000000002</v>
      </c>
      <c r="J2051" s="2">
        <f ca="1">IFERROR(__xludf.DUMMYFUNCTION("""COMPUTED_VALUE"""),49.823)</f>
        <v>49.823</v>
      </c>
      <c r="K2051" s="2">
        <f ca="1">IFERROR(__xludf.DUMMYFUNCTION("""COMPUTED_VALUE"""),69.097)</f>
        <v>69.096999999999994</v>
      </c>
      <c r="M2051" s="2">
        <f ca="1">IFERROR(__xludf.DUMMYFUNCTION("""COMPUTED_VALUE"""),18.111)</f>
        <v>18.111000000000001</v>
      </c>
      <c r="U2051" s="3" t="e">
        <f ca="1"/>
        <v>#NAME?</v>
      </c>
    </row>
    <row r="2052" spans="3:21" ht="12.5" x14ac:dyDescent="0.25">
      <c r="C2052" s="4">
        <f ca="1">IFERROR(__xludf.DUMMYFUNCTION("""COMPUTED_VALUE"""),42418.9986111111)</f>
        <v>42418.998611111099</v>
      </c>
      <c r="D2052" s="2">
        <f ca="1">IFERROR(__xludf.DUMMYFUNCTION("""COMPUTED_VALUE"""),68.566)</f>
        <v>68.566000000000003</v>
      </c>
      <c r="E2052" s="2">
        <f ca="1">IFERROR(__xludf.DUMMYFUNCTION("""COMPUTED_VALUE"""),75.567)</f>
        <v>75.566999999999993</v>
      </c>
      <c r="F2052" s="2">
        <f ca="1">IFERROR(__xludf.DUMMYFUNCTION("""COMPUTED_VALUE"""),97.043)</f>
        <v>97.043000000000006</v>
      </c>
      <c r="G2052" s="2">
        <f ca="1">IFERROR(__xludf.DUMMYFUNCTION("""COMPUTED_VALUE"""),0.65964)</f>
        <v>0.65964</v>
      </c>
      <c r="H2052" s="2">
        <f ca="1">IFERROR(__xludf.DUMMYFUNCTION("""COMPUTED_VALUE"""),51.208)</f>
        <v>51.207999999999998</v>
      </c>
      <c r="I2052" s="2">
        <f ca="1">IFERROR(__xludf.DUMMYFUNCTION("""COMPUTED_VALUE"""),51.879)</f>
        <v>51.878999999999998</v>
      </c>
      <c r="J2052" s="2">
        <f ca="1">IFERROR(__xludf.DUMMYFUNCTION("""COMPUTED_VALUE"""),49.846)</f>
        <v>49.845999999999997</v>
      </c>
      <c r="K2052" s="2">
        <f ca="1">IFERROR(__xludf.DUMMYFUNCTION("""COMPUTED_VALUE"""),69.317)</f>
        <v>69.316999999999993</v>
      </c>
      <c r="M2052" s="2">
        <f ca="1">IFERROR(__xludf.DUMMYFUNCTION("""COMPUTED_VALUE"""),18.164)</f>
        <v>18.164000000000001</v>
      </c>
      <c r="U2052" s="3" t="e">
        <f ca="1"/>
        <v>#NAME?</v>
      </c>
    </row>
    <row r="2053" spans="3:21" ht="12.5" x14ac:dyDescent="0.25">
      <c r="C2053" s="4">
        <f ca="1">IFERROR(__xludf.DUMMYFUNCTION("""COMPUTED_VALUE"""),42419.9986111111)</f>
        <v>42419.998611111099</v>
      </c>
      <c r="D2053" s="2">
        <f ca="1">IFERROR(__xludf.DUMMYFUNCTION("""COMPUTED_VALUE"""),68.538)</f>
        <v>68.537999999999997</v>
      </c>
      <c r="E2053" s="2">
        <f ca="1">IFERROR(__xludf.DUMMYFUNCTION("""COMPUTED_VALUE"""),74.7011)</f>
        <v>74.701099999999997</v>
      </c>
      <c r="F2053" s="2">
        <f ca="1">IFERROR(__xludf.DUMMYFUNCTION("""COMPUTED_VALUE"""),96.608)</f>
        <v>96.608000000000004</v>
      </c>
      <c r="G2053" s="2">
        <f ca="1">IFERROR(__xludf.DUMMYFUNCTION("""COMPUTED_VALUE"""),0.65609)</f>
        <v>0.65608999999999995</v>
      </c>
      <c r="H2053" s="2">
        <f ca="1">IFERROR(__xludf.DUMMYFUNCTION("""COMPUTED_VALUE"""),51.063)</f>
        <v>51.063000000000002</v>
      </c>
      <c r="I2053" s="2">
        <f ca="1">IFERROR(__xludf.DUMMYFUNCTION("""COMPUTED_VALUE"""),51.909)</f>
        <v>51.908999999999999</v>
      </c>
      <c r="J2053" s="2">
        <f ca="1">IFERROR(__xludf.DUMMYFUNCTION("""COMPUTED_VALUE"""),49.691)</f>
        <v>49.691000000000003</v>
      </c>
      <c r="K2053" s="2">
        <f ca="1">IFERROR(__xludf.DUMMYFUNCTION("""COMPUTED_VALUE"""),69.125)</f>
        <v>69.125</v>
      </c>
      <c r="M2053" s="2">
        <f ca="1">IFERROR(__xludf.DUMMYFUNCTION("""COMPUTED_VALUE"""),18.218)</f>
        <v>18.218</v>
      </c>
      <c r="U2053" s="3" t="e">
        <f ca="1"/>
        <v>#NAME?</v>
      </c>
    </row>
    <row r="2054" spans="3:21" ht="12.5" x14ac:dyDescent="0.25">
      <c r="C2054" s="4">
        <f ca="1">IFERROR(__xludf.DUMMYFUNCTION("""COMPUTED_VALUE"""),42420.9986111111)</f>
        <v>42420.998611111099</v>
      </c>
      <c r="D2054" s="2">
        <f ca="1">IFERROR(__xludf.DUMMYFUNCTION("""COMPUTED_VALUE"""),68.538)</f>
        <v>68.537999999999997</v>
      </c>
      <c r="E2054" s="2">
        <f ca="1">IFERROR(__xludf.DUMMYFUNCTION("""COMPUTED_VALUE"""),75.093)</f>
        <v>75.093000000000004</v>
      </c>
      <c r="F2054" s="2">
        <f ca="1">IFERROR(__xludf.DUMMYFUNCTION("""COMPUTED_VALUE"""),96.551)</f>
        <v>96.551000000000002</v>
      </c>
      <c r="G2054" s="2">
        <f ca="1">IFERROR(__xludf.DUMMYFUNCTION("""COMPUTED_VALUE"""),0.65294)</f>
        <v>0.65293999999999996</v>
      </c>
      <c r="H2054" s="2">
        <f ca="1">IFERROR(__xludf.DUMMYFUNCTION("""COMPUTED_VALUE"""),51.06)</f>
        <v>51.06</v>
      </c>
      <c r="I2054" s="2">
        <f ca="1">IFERROR(__xludf.DUMMYFUNCTION("""COMPUTED_VALUE"""),51.885)</f>
        <v>51.884999999999998</v>
      </c>
      <c r="J2054" s="2">
        <f ca="1">IFERROR(__xludf.DUMMYFUNCTION("""COMPUTED_VALUE"""),49.618)</f>
        <v>49.618000000000002</v>
      </c>
      <c r="K2054" s="2">
        <f ca="1">IFERROR(__xludf.DUMMYFUNCTION("""COMPUTED_VALUE"""),69.343)</f>
        <v>69.343000000000004</v>
      </c>
      <c r="M2054" s="2">
        <f ca="1">IFERROR(__xludf.DUMMYFUNCTION("""COMPUTED_VALUE"""),18.2)</f>
        <v>18.2</v>
      </c>
      <c r="U2054" s="3" t="e">
        <f ca="1"/>
        <v>#NAME?</v>
      </c>
    </row>
    <row r="2055" spans="3:21" ht="12.5" x14ac:dyDescent="0.25">
      <c r="C2055" s="4">
        <f ca="1">IFERROR(__xludf.DUMMYFUNCTION("""COMPUTED_VALUE"""),42422.9986111111)</f>
        <v>42422.998611111099</v>
      </c>
      <c r="D2055" s="2">
        <f ca="1">IFERROR(__xludf.DUMMYFUNCTION("""COMPUTED_VALUE"""),68.574)</f>
        <v>68.573999999999998</v>
      </c>
      <c r="E2055" s="2">
        <f ca="1">IFERROR(__xludf.DUMMYFUNCTION("""COMPUTED_VALUE"""),74.7011)</f>
        <v>74.701099999999997</v>
      </c>
      <c r="F2055" s="2">
        <f ca="1">IFERROR(__xludf.DUMMYFUNCTION("""COMPUTED_VALUE"""),96.551)</f>
        <v>96.551000000000002</v>
      </c>
      <c r="G2055" s="2">
        <f ca="1">IFERROR(__xludf.DUMMYFUNCTION("""COMPUTED_VALUE"""),0.64645)</f>
        <v>0.64644999999999997</v>
      </c>
      <c r="H2055" s="2">
        <f ca="1">IFERROR(__xludf.DUMMYFUNCTION("""COMPUTED_VALUE"""),51.042)</f>
        <v>51.042000000000002</v>
      </c>
      <c r="I2055" s="2">
        <f ca="1">IFERROR(__xludf.DUMMYFUNCTION("""COMPUTED_VALUE"""),51.843)</f>
        <v>51.843000000000004</v>
      </c>
      <c r="J2055" s="2">
        <f ca="1">IFERROR(__xludf.DUMMYFUNCTION("""COMPUTED_VALUE"""),49.518)</f>
        <v>49.518000000000001</v>
      </c>
      <c r="K2055" s="2">
        <f ca="1">IFERROR(__xludf.DUMMYFUNCTION("""COMPUTED_VALUE"""),69.694)</f>
        <v>69.694000000000003</v>
      </c>
      <c r="M2055" s="2">
        <f ca="1">IFERROR(__xludf.DUMMYFUNCTION("""COMPUTED_VALUE"""),18.213)</f>
        <v>18.213000000000001</v>
      </c>
      <c r="U2055" s="3" t="e">
        <f ca="1"/>
        <v>#NAME?</v>
      </c>
    </row>
    <row r="2056" spans="3:21" ht="12.5" x14ac:dyDescent="0.25">
      <c r="C2056" s="4">
        <f ca="1">IFERROR(__xludf.DUMMYFUNCTION("""COMPUTED_VALUE"""),42423.9986111111)</f>
        <v>42423.998611111099</v>
      </c>
      <c r="D2056" s="2">
        <f ca="1">IFERROR(__xludf.DUMMYFUNCTION("""COMPUTED_VALUE"""),68.603)</f>
        <v>68.602999999999994</v>
      </c>
      <c r="E2056" s="2">
        <f ca="1">IFERROR(__xludf.DUMMYFUNCTION("""COMPUTED_VALUE"""),75.016)</f>
        <v>75.016000000000005</v>
      </c>
      <c r="F2056" s="2">
        <f ca="1">IFERROR(__xludf.DUMMYFUNCTION("""COMPUTED_VALUE"""),96.503)</f>
        <v>96.503</v>
      </c>
      <c r="G2056" s="2">
        <f ca="1">IFERROR(__xludf.DUMMYFUNCTION("""COMPUTED_VALUE"""),0.64277)</f>
        <v>0.64276999999999995</v>
      </c>
      <c r="H2056" s="2">
        <f ca="1">IFERROR(__xludf.DUMMYFUNCTION("""COMPUTED_VALUE"""),50.724)</f>
        <v>50.723999999999997</v>
      </c>
      <c r="I2056" s="2">
        <f ca="1">IFERROR(__xludf.DUMMYFUNCTION("""COMPUTED_VALUE"""),51.574)</f>
        <v>51.573999999999998</v>
      </c>
      <c r="J2056" s="2">
        <f ca="1">IFERROR(__xludf.DUMMYFUNCTION("""COMPUTED_VALUE"""),49.507)</f>
        <v>49.506999999999998</v>
      </c>
      <c r="K2056" s="2">
        <f ca="1">IFERROR(__xludf.DUMMYFUNCTION("""COMPUTED_VALUE"""),69.787)</f>
        <v>69.787000000000006</v>
      </c>
      <c r="M2056" s="2">
        <f ca="1">IFERROR(__xludf.DUMMYFUNCTION("""COMPUTED_VALUE"""),18.217)</f>
        <v>18.216999999999999</v>
      </c>
      <c r="U2056" s="3" t="e">
        <f ca="1"/>
        <v>#NAME?</v>
      </c>
    </row>
    <row r="2057" spans="3:21" ht="12.5" x14ac:dyDescent="0.25">
      <c r="C2057" s="4">
        <f ca="1">IFERROR(__xludf.DUMMYFUNCTION("""COMPUTED_VALUE"""),42424.9986111111)</f>
        <v>42424.998611111099</v>
      </c>
      <c r="D2057" s="2">
        <f ca="1">IFERROR(__xludf.DUMMYFUNCTION("""COMPUTED_VALUE"""),68.376)</f>
        <v>68.376000000000005</v>
      </c>
      <c r="E2057" s="2">
        <f ca="1">IFERROR(__xludf.DUMMYFUNCTION("""COMPUTED_VALUE"""),74.777)</f>
        <v>74.777000000000001</v>
      </c>
      <c r="F2057" s="2">
        <f ca="1">IFERROR(__xludf.DUMMYFUNCTION("""COMPUTED_VALUE"""),96.076)</f>
        <v>96.075999999999993</v>
      </c>
      <c r="G2057" s="2">
        <f ca="1">IFERROR(__xludf.DUMMYFUNCTION("""COMPUTED_VALUE"""),0.64202)</f>
        <v>0.64202000000000004</v>
      </c>
      <c r="H2057" s="2">
        <f ca="1">IFERROR(__xludf.DUMMYFUNCTION("""COMPUTED_VALUE"""),51.143)</f>
        <v>51.143000000000001</v>
      </c>
      <c r="I2057" s="2">
        <f ca="1">IFERROR(__xludf.DUMMYFUNCTION("""COMPUTED_VALUE"""),51.571)</f>
        <v>51.570999999999998</v>
      </c>
      <c r="J2057" s="2">
        <f ca="1">IFERROR(__xludf.DUMMYFUNCTION("""COMPUTED_VALUE"""),49.342)</f>
        <v>49.341999999999999</v>
      </c>
      <c r="K2057" s="2">
        <f ca="1">IFERROR(__xludf.DUMMYFUNCTION("""COMPUTED_VALUE"""),69.722)</f>
        <v>69.721999999999994</v>
      </c>
      <c r="M2057" s="2">
        <f ca="1">IFERROR(__xludf.DUMMYFUNCTION("""COMPUTED_VALUE"""),18.067)</f>
        <v>18.067</v>
      </c>
      <c r="U2057" s="3" t="e">
        <f ca="1"/>
        <v>#NAME?</v>
      </c>
    </row>
    <row r="2058" spans="3:21" ht="12.5" x14ac:dyDescent="0.25">
      <c r="C2058" s="4">
        <f ca="1">IFERROR(__xludf.DUMMYFUNCTION("""COMPUTED_VALUE"""),42425.9986111111)</f>
        <v>42425.998611111099</v>
      </c>
      <c r="D2058" s="2">
        <f ca="1">IFERROR(__xludf.DUMMYFUNCTION("""COMPUTED_VALUE"""),68.797)</f>
        <v>68.796999999999997</v>
      </c>
      <c r="E2058" s="2">
        <f ca="1">IFERROR(__xludf.DUMMYFUNCTION("""COMPUTED_VALUE"""),74.655)</f>
        <v>74.655000000000001</v>
      </c>
      <c r="F2058" s="2">
        <f ca="1">IFERROR(__xludf.DUMMYFUNCTION("""COMPUTED_VALUE"""),96.416)</f>
        <v>96.415999999999997</v>
      </c>
      <c r="G2058" s="2">
        <f ca="1">IFERROR(__xludf.DUMMYFUNCTION("""COMPUTED_VALUE"""),0.6462)</f>
        <v>0.6462</v>
      </c>
      <c r="H2058" s="2">
        <f ca="1">IFERROR(__xludf.DUMMYFUNCTION("""COMPUTED_VALUE"""),50.443)</f>
        <v>50.442999999999998</v>
      </c>
      <c r="I2058" s="2">
        <f ca="1">IFERROR(__xludf.DUMMYFUNCTION("""COMPUTED_VALUE"""),51.302)</f>
        <v>51.302</v>
      </c>
      <c r="J2058" s="2">
        <f ca="1">IFERROR(__xludf.DUMMYFUNCTION("""COMPUTED_VALUE"""),49.343)</f>
        <v>49.343000000000004</v>
      </c>
      <c r="K2058" s="2">
        <f ca="1">IFERROR(__xludf.DUMMYFUNCTION("""COMPUTED_VALUE"""),69.66)</f>
        <v>69.66</v>
      </c>
      <c r="M2058" s="2">
        <f ca="1">IFERROR(__xludf.DUMMYFUNCTION("""COMPUTED_VALUE"""),18.067)</f>
        <v>18.067</v>
      </c>
      <c r="U2058" s="3" t="e">
        <f ca="1"/>
        <v>#NAME?</v>
      </c>
    </row>
    <row r="2059" spans="3:21" ht="12.5" x14ac:dyDescent="0.25">
      <c r="C2059" s="4">
        <f ca="1">IFERROR(__xludf.DUMMYFUNCTION("""COMPUTED_VALUE"""),42426.9986111111)</f>
        <v>42426.998611111099</v>
      </c>
      <c r="D2059" s="2">
        <f ca="1">IFERROR(__xludf.DUMMYFUNCTION("""COMPUTED_VALUE"""),68.73)</f>
        <v>68.73</v>
      </c>
      <c r="E2059" s="2">
        <f ca="1">IFERROR(__xludf.DUMMYFUNCTION("""COMPUTED_VALUE"""),74.726)</f>
        <v>74.725999999999999</v>
      </c>
      <c r="F2059" s="2">
        <f ca="1">IFERROR(__xludf.DUMMYFUNCTION("""COMPUTED_VALUE"""),96.448)</f>
        <v>96.447999999999993</v>
      </c>
      <c r="G2059" s="2">
        <f ca="1">IFERROR(__xludf.DUMMYFUNCTION("""COMPUTED_VALUE"""),0.64052)</f>
        <v>0.64051999999999998</v>
      </c>
      <c r="H2059" s="2">
        <f ca="1">IFERROR(__xludf.DUMMYFUNCTION("""COMPUTED_VALUE"""),50.796)</f>
        <v>50.795999999999999</v>
      </c>
      <c r="I2059" s="2">
        <f ca="1">IFERROR(__xludf.DUMMYFUNCTION("""COMPUTED_VALUE"""),51.511)</f>
        <v>51.511000000000003</v>
      </c>
      <c r="J2059" s="2">
        <f ca="1">IFERROR(__xludf.DUMMYFUNCTION("""COMPUTED_VALUE"""),49.086)</f>
        <v>49.085999999999999</v>
      </c>
      <c r="K2059" s="2">
        <f ca="1">IFERROR(__xludf.DUMMYFUNCTION("""COMPUTED_VALUE"""),69.817)</f>
        <v>69.816999999999993</v>
      </c>
      <c r="M2059" s="2">
        <f ca="1">IFERROR(__xludf.DUMMYFUNCTION("""COMPUTED_VALUE"""),18.034)</f>
        <v>18.033999999999999</v>
      </c>
      <c r="U2059" s="3" t="e">
        <f ca="1"/>
        <v>#NAME?</v>
      </c>
    </row>
    <row r="2060" spans="3:21" ht="12.5" x14ac:dyDescent="0.25">
      <c r="C2060" s="4">
        <f ca="1">IFERROR(__xludf.DUMMYFUNCTION("""COMPUTED_VALUE"""),42429.9986111111)</f>
        <v>42429.998611111099</v>
      </c>
      <c r="D2060" s="2">
        <f ca="1">IFERROR(__xludf.DUMMYFUNCTION("""COMPUTED_VALUE"""),68.218)</f>
        <v>68.218000000000004</v>
      </c>
      <c r="E2060" s="2">
        <f ca="1">IFERROR(__xludf.DUMMYFUNCTION("""COMPUTED_VALUE"""),74.437)</f>
        <v>74.436999999999998</v>
      </c>
      <c r="F2060" s="2">
        <f ca="1">IFERROR(__xludf.DUMMYFUNCTION("""COMPUTED_VALUE"""),96.358)</f>
        <v>96.358000000000004</v>
      </c>
      <c r="G2060" s="2">
        <f ca="1">IFERROR(__xludf.DUMMYFUNCTION("""COMPUTED_VALUE"""),0.64589)</f>
        <v>0.64588999999999996</v>
      </c>
      <c r="H2060" s="2">
        <f ca="1">IFERROR(__xludf.DUMMYFUNCTION("""COMPUTED_VALUE"""),50.44)</f>
        <v>50.44</v>
      </c>
      <c r="I2060" s="2">
        <f ca="1">IFERROR(__xludf.DUMMYFUNCTION("""COMPUTED_VALUE"""),51.242)</f>
        <v>51.241999999999997</v>
      </c>
      <c r="J2060" s="2">
        <f ca="1">IFERROR(__xludf.DUMMYFUNCTION("""COMPUTED_VALUE"""),49.322)</f>
        <v>49.322000000000003</v>
      </c>
      <c r="K2060" s="2">
        <f ca="1">IFERROR(__xludf.DUMMYFUNCTION("""COMPUTED_VALUE"""),69.352)</f>
        <v>69.352000000000004</v>
      </c>
      <c r="M2060" s="2">
        <f ca="1">IFERROR(__xludf.DUMMYFUNCTION("""COMPUTED_VALUE"""),18.064)</f>
        <v>18.064</v>
      </c>
      <c r="U2060" s="3" t="e">
        <f ca="1"/>
        <v>#NAME?</v>
      </c>
    </row>
    <row r="2061" spans="3:21" ht="12.5" x14ac:dyDescent="0.25">
      <c r="C2061" s="4">
        <f ca="1">IFERROR(__xludf.DUMMYFUNCTION("""COMPUTED_VALUE"""),42430.9986111111)</f>
        <v>42430.998611111099</v>
      </c>
      <c r="D2061" s="2">
        <f ca="1">IFERROR(__xludf.DUMMYFUNCTION("""COMPUTED_VALUE"""),67.746)</f>
        <v>67.745999999999995</v>
      </c>
      <c r="E2061" s="2">
        <f ca="1">IFERROR(__xludf.DUMMYFUNCTION("""COMPUTED_VALUE"""),74.037)</f>
        <v>74.037000000000006</v>
      </c>
      <c r="F2061" s="2">
        <f ca="1">IFERROR(__xludf.DUMMYFUNCTION("""COMPUTED_VALUE"""),96.358)</f>
        <v>96.358000000000004</v>
      </c>
      <c r="G2061" s="2">
        <f ca="1">IFERROR(__xludf.DUMMYFUNCTION("""COMPUTED_VALUE"""),0.63991)</f>
        <v>0.63990999999999998</v>
      </c>
      <c r="H2061" s="2">
        <f ca="1">IFERROR(__xludf.DUMMYFUNCTION("""COMPUTED_VALUE"""),50.313)</f>
        <v>50.313000000000002</v>
      </c>
      <c r="I2061" s="2">
        <f ca="1">IFERROR(__xludf.DUMMYFUNCTION("""COMPUTED_VALUE"""),51.039)</f>
        <v>51.039000000000001</v>
      </c>
      <c r="J2061" s="2">
        <f ca="1">IFERROR(__xludf.DUMMYFUNCTION("""COMPUTED_VALUE"""),49.191)</f>
        <v>49.191000000000003</v>
      </c>
      <c r="K2061" s="2">
        <f ca="1">IFERROR(__xludf.DUMMYFUNCTION("""COMPUTED_VALUE"""),70.174)</f>
        <v>70.174000000000007</v>
      </c>
      <c r="M2061" s="2">
        <f ca="1">IFERROR(__xludf.DUMMYFUNCTION("""COMPUTED_VALUE"""),18.064)</f>
        <v>18.064</v>
      </c>
      <c r="U2061" s="3" t="e">
        <f ca="1"/>
        <v>#NAME?</v>
      </c>
    </row>
    <row r="2062" spans="3:21" ht="12.5" x14ac:dyDescent="0.25">
      <c r="C2062" s="4">
        <f ca="1">IFERROR(__xludf.DUMMYFUNCTION("""COMPUTED_VALUE"""),42431.9986111111)</f>
        <v>42431.998611111099</v>
      </c>
      <c r="D2062" s="2">
        <f ca="1">IFERROR(__xludf.DUMMYFUNCTION("""COMPUTED_VALUE"""),67.388)</f>
        <v>67.388000000000005</v>
      </c>
      <c r="E2062" s="2">
        <f ca="1">IFERROR(__xludf.DUMMYFUNCTION("""COMPUTED_VALUE"""),74.492)</f>
        <v>74.492000000000004</v>
      </c>
      <c r="F2062" s="2">
        <f ca="1">IFERROR(__xludf.DUMMYFUNCTION("""COMPUTED_VALUE"""),96.391)</f>
        <v>96.391000000000005</v>
      </c>
      <c r="G2062" s="2">
        <f ca="1">IFERROR(__xludf.DUMMYFUNCTION("""COMPUTED_VALUE"""),0.64331)</f>
        <v>0.64331000000000005</v>
      </c>
      <c r="H2062" s="2">
        <f ca="1">IFERROR(__xludf.DUMMYFUNCTION("""COMPUTED_VALUE"""),50.383)</f>
        <v>50.383000000000003</v>
      </c>
      <c r="I2062" s="2">
        <f ca="1">IFERROR(__xludf.DUMMYFUNCTION("""COMPUTED_VALUE"""),50.955)</f>
        <v>50.954999999999998</v>
      </c>
      <c r="J2062" s="2">
        <f ca="1">IFERROR(__xludf.DUMMYFUNCTION("""COMPUTED_VALUE"""),49.105)</f>
        <v>49.104999999999997</v>
      </c>
      <c r="K2062" s="2">
        <f ca="1">IFERROR(__xludf.DUMMYFUNCTION("""COMPUTED_VALUE"""),70.179)</f>
        <v>70.179000000000002</v>
      </c>
      <c r="M2062" s="2">
        <f ca="1">IFERROR(__xludf.DUMMYFUNCTION("""COMPUTED_VALUE"""),18.064)</f>
        <v>18.064</v>
      </c>
      <c r="U2062" s="3" t="e">
        <f ca="1"/>
        <v>#NAME?</v>
      </c>
    </row>
    <row r="2063" spans="3:21" ht="12.5" x14ac:dyDescent="0.25">
      <c r="C2063" s="4">
        <f ca="1">IFERROR(__xludf.DUMMYFUNCTION("""COMPUTED_VALUE"""),42432.9986111111)</f>
        <v>42432.998611111099</v>
      </c>
      <c r="D2063" s="2">
        <f ca="1">IFERROR(__xludf.DUMMYFUNCTION("""COMPUTED_VALUE"""),67.143)</f>
        <v>67.143000000000001</v>
      </c>
      <c r="E2063" s="2">
        <f ca="1">IFERROR(__xludf.DUMMYFUNCTION("""COMPUTED_VALUE"""),74.642)</f>
        <v>74.641999999999996</v>
      </c>
      <c r="F2063" s="2">
        <f ca="1">IFERROR(__xludf.DUMMYFUNCTION("""COMPUTED_VALUE"""),96.483)</f>
        <v>96.483000000000004</v>
      </c>
      <c r="G2063" s="2">
        <f ca="1">IFERROR(__xludf.DUMMYFUNCTION("""COMPUTED_VALUE"""),0.63966)</f>
        <v>0.63966000000000001</v>
      </c>
      <c r="H2063" s="2">
        <f ca="1">IFERROR(__xludf.DUMMYFUNCTION("""COMPUTED_VALUE"""),50.527)</f>
        <v>50.527000000000001</v>
      </c>
      <c r="I2063" s="2">
        <f ca="1">IFERROR(__xludf.DUMMYFUNCTION("""COMPUTED_VALUE"""),51.343)</f>
        <v>51.343000000000004</v>
      </c>
      <c r="J2063" s="2">
        <f ca="1">IFERROR(__xludf.DUMMYFUNCTION("""COMPUTED_VALUE"""),49.078)</f>
        <v>49.078000000000003</v>
      </c>
      <c r="K2063" s="2">
        <f ca="1">IFERROR(__xludf.DUMMYFUNCTION("""COMPUTED_VALUE"""),70.181)</f>
        <v>70.180999999999997</v>
      </c>
      <c r="M2063" s="2">
        <f ca="1">IFERROR(__xludf.DUMMYFUNCTION("""COMPUTED_VALUE"""),17.988)</f>
        <v>17.988</v>
      </c>
      <c r="U2063" s="3" t="e">
        <f ca="1"/>
        <v>#NAME?</v>
      </c>
    </row>
    <row r="2064" spans="3:21" ht="12.5" x14ac:dyDescent="0.25">
      <c r="C2064" s="4">
        <f ca="1">IFERROR(__xludf.DUMMYFUNCTION("""COMPUTED_VALUE"""),42433.9986111111)</f>
        <v>42433.998611111099</v>
      </c>
      <c r="D2064" s="2">
        <f ca="1">IFERROR(__xludf.DUMMYFUNCTION("""COMPUTED_VALUE"""),66.93)</f>
        <v>66.930000000000007</v>
      </c>
      <c r="E2064" s="2">
        <f ca="1">IFERROR(__xludf.DUMMYFUNCTION("""COMPUTED_VALUE"""),74.808)</f>
        <v>74.808000000000007</v>
      </c>
      <c r="F2064" s="2">
        <f ca="1">IFERROR(__xludf.DUMMYFUNCTION("""COMPUTED_VALUE"""),97.21)</f>
        <v>97.21</v>
      </c>
      <c r="G2064" s="2">
        <f ca="1">IFERROR(__xludf.DUMMYFUNCTION("""COMPUTED_VALUE"""),0.63966)</f>
        <v>0.63966000000000001</v>
      </c>
      <c r="H2064" s="2">
        <f ca="1">IFERROR(__xludf.DUMMYFUNCTION("""COMPUTED_VALUE"""),50.406)</f>
        <v>50.405999999999999</v>
      </c>
      <c r="I2064" s="2">
        <f ca="1">IFERROR(__xludf.DUMMYFUNCTION("""COMPUTED_VALUE"""),51.347)</f>
        <v>51.347000000000001</v>
      </c>
      <c r="J2064" s="2">
        <f ca="1">IFERROR(__xludf.DUMMYFUNCTION("""COMPUTED_VALUE"""),49.033)</f>
        <v>49.033000000000001</v>
      </c>
      <c r="K2064" s="2">
        <f ca="1">IFERROR(__xludf.DUMMYFUNCTION("""COMPUTED_VALUE"""),69.811)</f>
        <v>69.811000000000007</v>
      </c>
      <c r="M2064" s="2">
        <f ca="1">IFERROR(__xludf.DUMMYFUNCTION("""COMPUTED_VALUE"""),18.082)</f>
        <v>18.082000000000001</v>
      </c>
      <c r="U2064" s="3" t="e">
        <f ca="1"/>
        <v>#NAME?</v>
      </c>
    </row>
    <row r="2065" spans="3:21" ht="12.5" x14ac:dyDescent="0.25">
      <c r="C2065" s="4">
        <f ca="1">IFERROR(__xludf.DUMMYFUNCTION("""COMPUTED_VALUE"""),42436.9986111111)</f>
        <v>42436.998611111099</v>
      </c>
      <c r="D2065" s="2">
        <f ca="1">IFERROR(__xludf.DUMMYFUNCTION("""COMPUTED_VALUE"""),67.046)</f>
        <v>67.046000000000006</v>
      </c>
      <c r="E2065" s="2">
        <f ca="1">IFERROR(__xludf.DUMMYFUNCTION("""COMPUTED_VALUE"""),74.1599)</f>
        <v>74.159899999999993</v>
      </c>
      <c r="F2065" s="2">
        <f ca="1">IFERROR(__xludf.DUMMYFUNCTION("""COMPUTED_VALUE"""),97.18)</f>
        <v>97.18</v>
      </c>
      <c r="G2065" s="2">
        <f ca="1">IFERROR(__xludf.DUMMYFUNCTION("""COMPUTED_VALUE"""),0.64244)</f>
        <v>0.64244000000000001</v>
      </c>
      <c r="H2065" s="2">
        <f ca="1">IFERROR(__xludf.DUMMYFUNCTION("""COMPUTED_VALUE"""),50.891)</f>
        <v>50.890999999999998</v>
      </c>
      <c r="I2065" s="2">
        <f ca="1">IFERROR(__xludf.DUMMYFUNCTION("""COMPUTED_VALUE"""),51.536)</f>
        <v>51.536000000000001</v>
      </c>
      <c r="J2065" s="2">
        <f ca="1">IFERROR(__xludf.DUMMYFUNCTION("""COMPUTED_VALUE"""),48.923)</f>
        <v>48.923000000000002</v>
      </c>
      <c r="K2065" s="2">
        <f ca="1">IFERROR(__xludf.DUMMYFUNCTION("""COMPUTED_VALUE"""),69.784)</f>
        <v>69.784000000000006</v>
      </c>
      <c r="M2065" s="2">
        <f ca="1">IFERROR(__xludf.DUMMYFUNCTION("""COMPUTED_VALUE"""),18.112)</f>
        <v>18.111999999999998</v>
      </c>
      <c r="U2065" s="3" t="e">
        <f ca="1"/>
        <v>#NAME?</v>
      </c>
    </row>
    <row r="2066" spans="3:21" ht="12.5" x14ac:dyDescent="0.25">
      <c r="C2066" s="4">
        <f ca="1">IFERROR(__xludf.DUMMYFUNCTION("""COMPUTED_VALUE"""),42437.9986111111)</f>
        <v>42437.998611111099</v>
      </c>
      <c r="D2066" s="2">
        <f ca="1">IFERROR(__xludf.DUMMYFUNCTION("""COMPUTED_VALUE"""),67.357)</f>
        <v>67.356999999999999</v>
      </c>
      <c r="E2066" s="2">
        <f ca="1">IFERROR(__xludf.DUMMYFUNCTION("""COMPUTED_VALUE"""),74.819)</f>
        <v>74.819000000000003</v>
      </c>
      <c r="F2066" s="2">
        <f ca="1">IFERROR(__xludf.DUMMYFUNCTION("""COMPUTED_VALUE"""),97.772)</f>
        <v>97.772000000000006</v>
      </c>
      <c r="G2066" s="2">
        <f ca="1">IFERROR(__xludf.DUMMYFUNCTION("""COMPUTED_VALUE"""),0.64199)</f>
        <v>0.64198999999999995</v>
      </c>
      <c r="H2066" s="2">
        <f ca="1">IFERROR(__xludf.DUMMYFUNCTION("""COMPUTED_VALUE"""),50.927)</f>
        <v>50.927</v>
      </c>
      <c r="I2066" s="2">
        <f ca="1">IFERROR(__xludf.DUMMYFUNCTION("""COMPUTED_VALUE"""),51.552)</f>
        <v>51.552</v>
      </c>
      <c r="J2066" s="2">
        <f ca="1">IFERROR(__xludf.DUMMYFUNCTION("""COMPUTED_VALUE"""),49.215)</f>
        <v>49.215000000000003</v>
      </c>
      <c r="K2066" s="2">
        <f ca="1">IFERROR(__xludf.DUMMYFUNCTION("""COMPUTED_VALUE"""),69.34)</f>
        <v>69.34</v>
      </c>
      <c r="M2066" s="2">
        <f ca="1">IFERROR(__xludf.DUMMYFUNCTION("""COMPUTED_VALUE"""),18.178)</f>
        <v>18.178000000000001</v>
      </c>
      <c r="U2066" s="3" t="e">
        <f ca="1"/>
        <v>#NAME?</v>
      </c>
    </row>
    <row r="2067" spans="3:21" ht="12.5" x14ac:dyDescent="0.25">
      <c r="C2067" s="4">
        <f ca="1">IFERROR(__xludf.DUMMYFUNCTION("""COMPUTED_VALUE"""),42438.9986111111)</f>
        <v>42438.998611111099</v>
      </c>
      <c r="D2067" s="2">
        <f ca="1">IFERROR(__xludf.DUMMYFUNCTION("""COMPUTED_VALUE"""),67.145)</f>
        <v>67.144999999999996</v>
      </c>
      <c r="E2067" s="2">
        <f ca="1">IFERROR(__xludf.DUMMYFUNCTION("""COMPUTED_VALUE"""),74.938)</f>
        <v>74.938000000000002</v>
      </c>
      <c r="F2067" s="2">
        <f ca="1">IFERROR(__xludf.DUMMYFUNCTION("""COMPUTED_VALUE"""),96.681)</f>
        <v>96.680999999999997</v>
      </c>
      <c r="G2067" s="2">
        <f ca="1">IFERROR(__xludf.DUMMYFUNCTION("""COMPUTED_VALUE"""),0.64397)</f>
        <v>0.64397000000000004</v>
      </c>
      <c r="H2067" s="2">
        <f ca="1">IFERROR(__xludf.DUMMYFUNCTION("""COMPUTED_VALUE"""),50.785)</f>
        <v>50.784999999999997</v>
      </c>
      <c r="I2067" s="2">
        <f ca="1">IFERROR(__xludf.DUMMYFUNCTION("""COMPUTED_VALUE"""),51.371)</f>
        <v>51.371000000000002</v>
      </c>
      <c r="J2067" s="2">
        <f ca="1">IFERROR(__xludf.DUMMYFUNCTION("""COMPUTED_VALUE"""),49.295)</f>
        <v>49.295000000000002</v>
      </c>
      <c r="K2067" s="2">
        <f ca="1">IFERROR(__xludf.DUMMYFUNCTION("""COMPUTED_VALUE"""),68.979)</f>
        <v>68.978999999999999</v>
      </c>
      <c r="M2067" s="2">
        <f ca="1">IFERROR(__xludf.DUMMYFUNCTION("""COMPUTED_VALUE"""),18.114)</f>
        <v>18.114000000000001</v>
      </c>
      <c r="U2067" s="3" t="e">
        <f ca="1"/>
        <v>#NAME?</v>
      </c>
    </row>
    <row r="2068" spans="3:21" ht="12.5" x14ac:dyDescent="0.25">
      <c r="C2068" s="4">
        <f ca="1">IFERROR(__xludf.DUMMYFUNCTION("""COMPUTED_VALUE"""),42439.9986111111)</f>
        <v>42439.998611111099</v>
      </c>
      <c r="D2068" s="2">
        <f ca="1">IFERROR(__xludf.DUMMYFUNCTION("""COMPUTED_VALUE"""),67.309)</f>
        <v>67.308999999999997</v>
      </c>
      <c r="E2068" s="2">
        <f ca="1">IFERROR(__xludf.DUMMYFUNCTION("""COMPUTED_VALUE"""),75.137)</f>
        <v>75.137</v>
      </c>
      <c r="F2068" s="2">
        <f ca="1">IFERROR(__xludf.DUMMYFUNCTION("""COMPUTED_VALUE"""),97.899)</f>
        <v>97.899000000000001</v>
      </c>
      <c r="G2068" s="2">
        <f ca="1">IFERROR(__xludf.DUMMYFUNCTION("""COMPUTED_VALUE"""),0.64145)</f>
        <v>0.64144999999999996</v>
      </c>
      <c r="H2068" s="2">
        <f ca="1">IFERROR(__xludf.DUMMYFUNCTION("""COMPUTED_VALUE"""),50.22)</f>
        <v>50.22</v>
      </c>
      <c r="I2068" s="2">
        <f ca="1">IFERROR(__xludf.DUMMYFUNCTION("""COMPUTED_VALUE"""),51.05)</f>
        <v>51.05</v>
      </c>
      <c r="J2068" s="2">
        <f ca="1">IFERROR(__xludf.DUMMYFUNCTION("""COMPUTED_VALUE"""),49.154)</f>
        <v>49.154000000000003</v>
      </c>
      <c r="K2068" s="2">
        <f ca="1">IFERROR(__xludf.DUMMYFUNCTION("""COMPUTED_VALUE"""),68.768)</f>
        <v>68.768000000000001</v>
      </c>
      <c r="M2068" s="2">
        <f ca="1">IFERROR(__xludf.DUMMYFUNCTION("""COMPUTED_VALUE"""),18.114)</f>
        <v>18.114000000000001</v>
      </c>
      <c r="U2068" s="3" t="e">
        <f ca="1"/>
        <v>#NAME?</v>
      </c>
    </row>
    <row r="2069" spans="3:21" ht="12.5" x14ac:dyDescent="0.25">
      <c r="C2069" s="4">
        <f ca="1">IFERROR(__xludf.DUMMYFUNCTION("""COMPUTED_VALUE"""),42440.9986111111)</f>
        <v>42440.998611111099</v>
      </c>
      <c r="D2069" s="2">
        <f ca="1">IFERROR(__xludf.DUMMYFUNCTION("""COMPUTED_VALUE"""),66.913)</f>
        <v>66.912999999999997</v>
      </c>
      <c r="E2069" s="2">
        <f ca="1">IFERROR(__xludf.DUMMYFUNCTION("""COMPUTED_VALUE"""),75.011)</f>
        <v>75.010999999999996</v>
      </c>
      <c r="F2069" s="2">
        <f ca="1">IFERROR(__xludf.DUMMYFUNCTION("""COMPUTED_VALUE"""),97.955)</f>
        <v>97.954999999999998</v>
      </c>
      <c r="G2069" s="2">
        <f ca="1">IFERROR(__xludf.DUMMYFUNCTION("""COMPUTED_VALUE"""),0.64377)</f>
        <v>0.64376999999999995</v>
      </c>
      <c r="H2069" s="2">
        <f ca="1">IFERROR(__xludf.DUMMYFUNCTION("""COMPUTED_VALUE"""),50.187)</f>
        <v>50.186999999999998</v>
      </c>
      <c r="I2069" s="2">
        <f ca="1">IFERROR(__xludf.DUMMYFUNCTION("""COMPUTED_VALUE"""),50.998)</f>
        <v>50.997999999999998</v>
      </c>
      <c r="J2069" s="2">
        <f ca="1">IFERROR(__xludf.DUMMYFUNCTION("""COMPUTED_VALUE"""),49.023)</f>
        <v>49.023000000000003</v>
      </c>
      <c r="K2069" s="2">
        <f ca="1">IFERROR(__xludf.DUMMYFUNCTION("""COMPUTED_VALUE"""),69.115)</f>
        <v>69.114999999999995</v>
      </c>
      <c r="M2069" s="2">
        <f ca="1">IFERROR(__xludf.DUMMYFUNCTION("""COMPUTED_VALUE"""),18.114)</f>
        <v>18.114000000000001</v>
      </c>
      <c r="U2069" s="3" t="e">
        <f ca="1"/>
        <v>#NAME?</v>
      </c>
    </row>
    <row r="2070" spans="3:21" ht="12.5" x14ac:dyDescent="0.25">
      <c r="C2070" s="4">
        <f ca="1">IFERROR(__xludf.DUMMYFUNCTION("""COMPUTED_VALUE"""),42443.9986111111)</f>
        <v>42443.998611111099</v>
      </c>
      <c r="D2070" s="2">
        <f ca="1">IFERROR(__xludf.DUMMYFUNCTION("""COMPUTED_VALUE"""),67.174)</f>
        <v>67.174000000000007</v>
      </c>
      <c r="E2070" s="2">
        <f ca="1">IFERROR(__xludf.DUMMYFUNCTION("""COMPUTED_VALUE"""),75.094)</f>
        <v>75.093999999999994</v>
      </c>
      <c r="F2070" s="2">
        <f ca="1">IFERROR(__xludf.DUMMYFUNCTION("""COMPUTED_VALUE"""),99.085)</f>
        <v>99.084999999999994</v>
      </c>
      <c r="G2070" s="2">
        <f ca="1">IFERROR(__xludf.DUMMYFUNCTION("""COMPUTED_VALUE"""),0.64385)</f>
        <v>0.64385000000000003</v>
      </c>
      <c r="H2070" s="2">
        <f ca="1">IFERROR(__xludf.DUMMYFUNCTION("""COMPUTED_VALUE"""),50.44)</f>
        <v>50.44</v>
      </c>
      <c r="I2070" s="2">
        <f ca="1">IFERROR(__xludf.DUMMYFUNCTION("""COMPUTED_VALUE"""),51.153)</f>
        <v>51.152999999999999</v>
      </c>
      <c r="J2070" s="2">
        <f ca="1">IFERROR(__xludf.DUMMYFUNCTION("""COMPUTED_VALUE"""),49.112)</f>
        <v>49.112000000000002</v>
      </c>
      <c r="K2070" s="2">
        <f ca="1">IFERROR(__xludf.DUMMYFUNCTION("""COMPUTED_VALUE"""),68.961)</f>
        <v>68.960999999999999</v>
      </c>
      <c r="M2070" s="2">
        <f ca="1">IFERROR(__xludf.DUMMYFUNCTION("""COMPUTED_VALUE"""),18.045)</f>
        <v>18.045000000000002</v>
      </c>
      <c r="U2070" s="3" t="e">
        <f ca="1"/>
        <v>#NAME?</v>
      </c>
    </row>
    <row r="2071" spans="3:21" ht="12.5" x14ac:dyDescent="0.25">
      <c r="C2071" s="4">
        <f ca="1">IFERROR(__xludf.DUMMYFUNCTION("""COMPUTED_VALUE"""),42444.9986111111)</f>
        <v>42444.998611111099</v>
      </c>
      <c r="D2071" s="2">
        <f ca="1">IFERROR(__xludf.DUMMYFUNCTION("""COMPUTED_VALUE"""),67.359)</f>
        <v>67.358999999999995</v>
      </c>
      <c r="E2071" s="2">
        <f ca="1">IFERROR(__xludf.DUMMYFUNCTION("""COMPUTED_VALUE"""),74.2217)</f>
        <v>74.221699999999998</v>
      </c>
      <c r="F2071" s="2">
        <f ca="1">IFERROR(__xludf.DUMMYFUNCTION("""COMPUTED_VALUE"""),98.504)</f>
        <v>98.504000000000005</v>
      </c>
      <c r="G2071" s="2">
        <f ca="1">IFERROR(__xludf.DUMMYFUNCTION("""COMPUTED_VALUE"""),0.64013)</f>
        <v>0.64012999999999998</v>
      </c>
      <c r="H2071" s="2">
        <f ca="1">IFERROR(__xludf.DUMMYFUNCTION("""COMPUTED_VALUE"""),50.03)</f>
        <v>50.03</v>
      </c>
      <c r="I2071" s="2">
        <f ca="1">IFERROR(__xludf.DUMMYFUNCTION("""COMPUTED_VALUE"""),50.902)</f>
        <v>50.902000000000001</v>
      </c>
      <c r="J2071" s="2">
        <f ca="1">IFERROR(__xludf.DUMMYFUNCTION("""COMPUTED_VALUE"""),49.178)</f>
        <v>49.177999999999997</v>
      </c>
      <c r="K2071" s="2">
        <f ca="1">IFERROR(__xludf.DUMMYFUNCTION("""COMPUTED_VALUE"""),68.961)</f>
        <v>68.960999999999999</v>
      </c>
      <c r="M2071" s="2">
        <f ca="1">IFERROR(__xludf.DUMMYFUNCTION("""COMPUTED_VALUE"""),18.052)</f>
        <v>18.052</v>
      </c>
      <c r="U2071" s="3" t="e">
        <f ca="1"/>
        <v>#NAME?</v>
      </c>
    </row>
    <row r="2072" spans="3:21" ht="12.5" x14ac:dyDescent="0.25">
      <c r="C2072" s="4">
        <f ca="1">IFERROR(__xludf.DUMMYFUNCTION("""COMPUTED_VALUE"""),42445.9986111111)</f>
        <v>42445.998611111099</v>
      </c>
      <c r="D2072" s="2">
        <f ca="1">IFERROR(__xludf.DUMMYFUNCTION("""COMPUTED_VALUE"""),66.83)</f>
        <v>66.83</v>
      </c>
      <c r="E2072" s="2">
        <f ca="1">IFERROR(__xludf.DUMMYFUNCTION("""COMPUTED_VALUE"""),74.766)</f>
        <v>74.766000000000005</v>
      </c>
      <c r="F2072" s="2">
        <f ca="1">IFERROR(__xludf.DUMMYFUNCTION("""COMPUTED_VALUE"""),98.33)</f>
        <v>98.33</v>
      </c>
      <c r="G2072" s="2">
        <f ca="1">IFERROR(__xludf.DUMMYFUNCTION("""COMPUTED_VALUE"""),0.64053)</f>
        <v>0.64053000000000004</v>
      </c>
      <c r="H2072" s="2">
        <f ca="1">IFERROR(__xludf.DUMMYFUNCTION("""COMPUTED_VALUE"""),49.9)</f>
        <v>49.9</v>
      </c>
      <c r="I2072" s="2">
        <f ca="1">IFERROR(__xludf.DUMMYFUNCTION("""COMPUTED_VALUE"""),50.55)</f>
        <v>50.55</v>
      </c>
      <c r="J2072" s="2">
        <f ca="1">IFERROR(__xludf.DUMMYFUNCTION("""COMPUTED_VALUE"""),48.997)</f>
        <v>48.997</v>
      </c>
      <c r="K2072" s="2">
        <f ca="1">IFERROR(__xludf.DUMMYFUNCTION("""COMPUTED_VALUE"""),69.168)</f>
        <v>69.168000000000006</v>
      </c>
      <c r="M2072" s="2">
        <f ca="1">IFERROR(__xludf.DUMMYFUNCTION("""COMPUTED_VALUE"""),18.098)</f>
        <v>18.097999999999999</v>
      </c>
      <c r="U2072" s="3" t="e">
        <f ca="1"/>
        <v>#NAME?</v>
      </c>
    </row>
    <row r="2073" spans="3:21" ht="12.5" x14ac:dyDescent="0.25">
      <c r="C2073" s="4">
        <f ca="1">IFERROR(__xludf.DUMMYFUNCTION("""COMPUTED_VALUE"""),42446.9986111111)</f>
        <v>42446.998611111099</v>
      </c>
      <c r="D2073" s="2">
        <f ca="1">IFERROR(__xludf.DUMMYFUNCTION("""COMPUTED_VALUE"""),66.612)</f>
        <v>66.611999999999995</v>
      </c>
      <c r="E2073" s="2">
        <f ca="1">IFERROR(__xludf.DUMMYFUNCTION("""COMPUTED_VALUE"""),74.774)</f>
        <v>74.774000000000001</v>
      </c>
      <c r="F2073" s="2">
        <f ca="1">IFERROR(__xludf.DUMMYFUNCTION("""COMPUTED_VALUE"""),98.323)</f>
        <v>98.322999999999993</v>
      </c>
      <c r="G2073" s="2">
        <f ca="1">IFERROR(__xludf.DUMMYFUNCTION("""COMPUTED_VALUE"""),0.63883)</f>
        <v>0.63883000000000001</v>
      </c>
      <c r="H2073" s="2">
        <f ca="1">IFERROR(__xludf.DUMMYFUNCTION("""COMPUTED_VALUE"""),50.166)</f>
        <v>50.165999999999997</v>
      </c>
      <c r="I2073" s="2">
        <f ca="1">IFERROR(__xludf.DUMMYFUNCTION("""COMPUTED_VALUE"""),50.753)</f>
        <v>50.753</v>
      </c>
      <c r="J2073" s="2">
        <f ca="1">IFERROR(__xludf.DUMMYFUNCTION("""COMPUTED_VALUE"""),48.924)</f>
        <v>48.923999999999999</v>
      </c>
      <c r="K2073" s="2">
        <f ca="1">IFERROR(__xludf.DUMMYFUNCTION("""COMPUTED_VALUE"""),68.941)</f>
        <v>68.941000000000003</v>
      </c>
      <c r="M2073" s="2">
        <f ca="1">IFERROR(__xludf.DUMMYFUNCTION("""COMPUTED_VALUE"""),18.135)</f>
        <v>18.135000000000002</v>
      </c>
      <c r="U2073" s="3" t="e">
        <f ca="1"/>
        <v>#NAME?</v>
      </c>
    </row>
    <row r="2074" spans="3:21" ht="12.5" x14ac:dyDescent="0.25">
      <c r="C2074" s="4">
        <f ca="1">IFERROR(__xludf.DUMMYFUNCTION("""COMPUTED_VALUE"""),42447.9986111111)</f>
        <v>42447.998611111099</v>
      </c>
      <c r="D2074" s="2">
        <f ca="1">IFERROR(__xludf.DUMMYFUNCTION("""COMPUTED_VALUE"""),66.376)</f>
        <v>66.376000000000005</v>
      </c>
      <c r="E2074" s="2">
        <f ca="1">IFERROR(__xludf.DUMMYFUNCTION("""COMPUTED_VALUE"""),74.628)</f>
        <v>74.628</v>
      </c>
      <c r="F2074" s="2">
        <f ca="1">IFERROR(__xludf.DUMMYFUNCTION("""COMPUTED_VALUE"""),98.197)</f>
        <v>98.197000000000003</v>
      </c>
      <c r="G2074" s="2">
        <f ca="1">IFERROR(__xludf.DUMMYFUNCTION("""COMPUTED_VALUE"""),0.63523)</f>
        <v>0.63522999999999996</v>
      </c>
      <c r="H2074" s="2">
        <f ca="1">IFERROR(__xludf.DUMMYFUNCTION("""COMPUTED_VALUE"""),50.205)</f>
        <v>50.204999999999998</v>
      </c>
      <c r="I2074" s="2">
        <f ca="1">IFERROR(__xludf.DUMMYFUNCTION("""COMPUTED_VALUE"""),50.727)</f>
        <v>50.726999999999997</v>
      </c>
      <c r="J2074" s="2">
        <f ca="1">IFERROR(__xludf.DUMMYFUNCTION("""COMPUTED_VALUE"""),49.049)</f>
        <v>49.048999999999999</v>
      </c>
      <c r="K2074" s="2">
        <f ca="1">IFERROR(__xludf.DUMMYFUNCTION("""COMPUTED_VALUE"""),69.054)</f>
        <v>69.054000000000002</v>
      </c>
      <c r="M2074" s="2">
        <f ca="1">IFERROR(__xludf.DUMMYFUNCTION("""COMPUTED_VALUE"""),18.144)</f>
        <v>18.143999999999998</v>
      </c>
      <c r="U2074" s="3" t="e">
        <f ca="1"/>
        <v>#NAME?</v>
      </c>
    </row>
    <row r="2075" spans="3:21" ht="12.5" x14ac:dyDescent="0.25">
      <c r="C2075" s="4">
        <f ca="1">IFERROR(__xludf.DUMMYFUNCTION("""COMPUTED_VALUE"""),42448.9986111111)</f>
        <v>42448.998611111099</v>
      </c>
      <c r="D2075" s="2">
        <f ca="1">IFERROR(__xludf.DUMMYFUNCTION("""COMPUTED_VALUE"""),66.376)</f>
        <v>66.376000000000005</v>
      </c>
      <c r="E2075" s="2">
        <f ca="1">IFERROR(__xludf.DUMMYFUNCTION("""COMPUTED_VALUE"""),74.647)</f>
        <v>74.647000000000006</v>
      </c>
      <c r="F2075" s="2">
        <f ca="1">IFERROR(__xludf.DUMMYFUNCTION("""COMPUTED_VALUE"""),98.227)</f>
        <v>98.227000000000004</v>
      </c>
      <c r="G2075" s="2">
        <f ca="1">IFERROR(__xludf.DUMMYFUNCTION("""COMPUTED_VALUE"""),0.63683)</f>
        <v>0.63683000000000001</v>
      </c>
      <c r="H2075" s="2">
        <f ca="1">IFERROR(__xludf.DUMMYFUNCTION("""COMPUTED_VALUE"""),50.205)</f>
        <v>50.204999999999998</v>
      </c>
      <c r="I2075" s="2">
        <f ca="1">IFERROR(__xludf.DUMMYFUNCTION("""COMPUTED_VALUE"""),50.727)</f>
        <v>50.726999999999997</v>
      </c>
      <c r="J2075" s="2">
        <f ca="1">IFERROR(__xludf.DUMMYFUNCTION("""COMPUTED_VALUE"""),48.966)</f>
        <v>48.966000000000001</v>
      </c>
      <c r="K2075" s="2">
        <f ca="1">IFERROR(__xludf.DUMMYFUNCTION("""COMPUTED_VALUE"""),68.886)</f>
        <v>68.885999999999996</v>
      </c>
      <c r="M2075" s="2">
        <f ca="1">IFERROR(__xludf.DUMMYFUNCTION("""COMPUTED_VALUE"""),18.148)</f>
        <v>18.148</v>
      </c>
      <c r="U2075" s="3" t="e">
        <f ca="1"/>
        <v>#NAME?</v>
      </c>
    </row>
    <row r="2076" spans="3:21" ht="12.5" x14ac:dyDescent="0.25">
      <c r="C2076" s="4">
        <f ca="1">IFERROR(__xludf.DUMMYFUNCTION("""COMPUTED_VALUE"""),42450.9986111111)</f>
        <v>42450.998611111099</v>
      </c>
      <c r="D2076" s="2">
        <f ca="1">IFERROR(__xludf.DUMMYFUNCTION("""COMPUTED_VALUE"""),66.52)</f>
        <v>66.52</v>
      </c>
      <c r="E2076" s="2">
        <f ca="1">IFERROR(__xludf.DUMMYFUNCTION("""COMPUTED_VALUE"""),74.609)</f>
        <v>74.608999999999995</v>
      </c>
      <c r="F2076" s="2">
        <f ca="1">IFERROR(__xludf.DUMMYFUNCTION("""COMPUTED_VALUE"""),98.624)</f>
        <v>98.623999999999995</v>
      </c>
      <c r="G2076" s="2">
        <f ca="1">IFERROR(__xludf.DUMMYFUNCTION("""COMPUTED_VALUE"""),0.63528)</f>
        <v>0.63527999999999996</v>
      </c>
      <c r="H2076" s="2">
        <f ca="1">IFERROR(__xludf.DUMMYFUNCTION("""COMPUTED_VALUE"""),50.411)</f>
        <v>50.411000000000001</v>
      </c>
      <c r="I2076" s="2">
        <f ca="1">IFERROR(__xludf.DUMMYFUNCTION("""COMPUTED_VALUE"""),50.663)</f>
        <v>50.662999999999997</v>
      </c>
      <c r="J2076" s="2">
        <f ca="1">IFERROR(__xludf.DUMMYFUNCTION("""COMPUTED_VALUE"""),48.987)</f>
        <v>48.987000000000002</v>
      </c>
      <c r="K2076" s="2">
        <f ca="1">IFERROR(__xludf.DUMMYFUNCTION("""COMPUTED_VALUE"""),68.233)</f>
        <v>68.233000000000004</v>
      </c>
      <c r="M2076" s="2">
        <f ca="1">IFERROR(__xludf.DUMMYFUNCTION("""COMPUTED_VALUE"""),18.077)</f>
        <v>18.077000000000002</v>
      </c>
      <c r="U2076" s="3" t="e">
        <f ca="1"/>
        <v>#NAME?</v>
      </c>
    </row>
    <row r="2077" spans="3:21" ht="12.5" x14ac:dyDescent="0.25">
      <c r="C2077" s="4">
        <f ca="1">IFERROR(__xludf.DUMMYFUNCTION("""COMPUTED_VALUE"""),42451.9986111111)</f>
        <v>42451.998611111099</v>
      </c>
      <c r="D2077" s="2">
        <f ca="1">IFERROR(__xludf.DUMMYFUNCTION("""COMPUTED_VALUE"""),66.764)</f>
        <v>66.763999999999996</v>
      </c>
      <c r="E2077" s="2">
        <f ca="1">IFERROR(__xludf.DUMMYFUNCTION("""COMPUTED_VALUE"""),74.805)</f>
        <v>74.805000000000007</v>
      </c>
      <c r="F2077" s="2">
        <f ca="1">IFERROR(__xludf.DUMMYFUNCTION("""COMPUTED_VALUE"""),99.144)</f>
        <v>99.144000000000005</v>
      </c>
      <c r="G2077" s="2">
        <f ca="1">IFERROR(__xludf.DUMMYFUNCTION("""COMPUTED_VALUE"""),0.6399)</f>
        <v>0.63990000000000002</v>
      </c>
      <c r="H2077" s="2">
        <f ca="1">IFERROR(__xludf.DUMMYFUNCTION("""COMPUTED_VALUE"""),50.569)</f>
        <v>50.569000000000003</v>
      </c>
      <c r="I2077" s="2">
        <f ca="1">IFERROR(__xludf.DUMMYFUNCTION("""COMPUTED_VALUE"""),50.757)</f>
        <v>50.756999999999998</v>
      </c>
      <c r="J2077" s="2">
        <f ca="1">IFERROR(__xludf.DUMMYFUNCTION("""COMPUTED_VALUE"""),49.116)</f>
        <v>49.116</v>
      </c>
      <c r="K2077" s="2">
        <f ca="1">IFERROR(__xludf.DUMMYFUNCTION("""COMPUTED_VALUE"""),68.192)</f>
        <v>68.191999999999993</v>
      </c>
      <c r="M2077" s="2">
        <f ca="1">IFERROR(__xludf.DUMMYFUNCTION("""COMPUTED_VALUE"""),18.003)</f>
        <v>18.003</v>
      </c>
      <c r="U2077" s="3" t="e">
        <f ca="1"/>
        <v>#NAME?</v>
      </c>
    </row>
    <row r="2078" spans="3:21" ht="12.5" x14ac:dyDescent="0.25">
      <c r="C2078" s="4">
        <f ca="1">IFERROR(__xludf.DUMMYFUNCTION("""COMPUTED_VALUE"""),42452.9986111111)</f>
        <v>42452.998611111099</v>
      </c>
      <c r="D2078" s="2">
        <f ca="1">IFERROR(__xludf.DUMMYFUNCTION("""COMPUTED_VALUE"""),66.902)</f>
        <v>66.902000000000001</v>
      </c>
      <c r="E2078" s="2">
        <f ca="1">IFERROR(__xludf.DUMMYFUNCTION("""COMPUTED_VALUE"""),74.805)</f>
        <v>74.805000000000007</v>
      </c>
      <c r="F2078" s="2">
        <f ca="1">IFERROR(__xludf.DUMMYFUNCTION("""COMPUTED_VALUE"""),98.809)</f>
        <v>98.808999999999997</v>
      </c>
      <c r="G2078" s="2">
        <f ca="1">IFERROR(__xludf.DUMMYFUNCTION("""COMPUTED_VALUE"""),0.64524)</f>
        <v>0.64524000000000004</v>
      </c>
      <c r="H2078" s="2">
        <f ca="1">IFERROR(__xludf.DUMMYFUNCTION("""COMPUTED_VALUE"""),50.919)</f>
        <v>50.918999999999997</v>
      </c>
      <c r="I2078" s="2">
        <f ca="1">IFERROR(__xludf.DUMMYFUNCTION("""COMPUTED_VALUE"""),50.978)</f>
        <v>50.978000000000002</v>
      </c>
      <c r="J2078" s="2">
        <f ca="1">IFERROR(__xludf.DUMMYFUNCTION("""COMPUTED_VALUE"""),49.156)</f>
        <v>49.155999999999999</v>
      </c>
      <c r="K2078" s="2">
        <f ca="1">IFERROR(__xludf.DUMMYFUNCTION("""COMPUTED_VALUE"""),68.254)</f>
        <v>68.254000000000005</v>
      </c>
      <c r="M2078" s="2">
        <f ca="1">IFERROR(__xludf.DUMMYFUNCTION("""COMPUTED_VALUE"""),18.01)</f>
        <v>18.010000000000002</v>
      </c>
      <c r="U2078" s="3" t="e">
        <f ca="1"/>
        <v>#NAME?</v>
      </c>
    </row>
    <row r="2079" spans="3:21" ht="12.5" x14ac:dyDescent="0.25">
      <c r="C2079" s="4">
        <f ca="1">IFERROR(__xludf.DUMMYFUNCTION("""COMPUTED_VALUE"""),42453.9986111111)</f>
        <v>42453.998611111099</v>
      </c>
      <c r="D2079" s="2">
        <f ca="1">IFERROR(__xludf.DUMMYFUNCTION("""COMPUTED_VALUE"""),66.907)</f>
        <v>66.906999999999996</v>
      </c>
      <c r="E2079" s="2">
        <f ca="1">IFERROR(__xludf.DUMMYFUNCTION("""COMPUTED_VALUE"""),74.857)</f>
        <v>74.856999999999999</v>
      </c>
      <c r="F2079" s="2">
        <f ca="1">IFERROR(__xludf.DUMMYFUNCTION("""COMPUTED_VALUE"""),98.411)</f>
        <v>98.411000000000001</v>
      </c>
      <c r="G2079" s="2">
        <f ca="1">IFERROR(__xludf.DUMMYFUNCTION("""COMPUTED_VALUE"""),0.64651)</f>
        <v>0.64651000000000003</v>
      </c>
      <c r="H2079" s="2">
        <f ca="1">IFERROR(__xludf.DUMMYFUNCTION("""COMPUTED_VALUE"""),50.9)</f>
        <v>50.9</v>
      </c>
      <c r="I2079" s="2">
        <f ca="1">IFERROR(__xludf.DUMMYFUNCTION("""COMPUTED_VALUE"""),51.014)</f>
        <v>51.014000000000003</v>
      </c>
      <c r="J2079" s="2">
        <f ca="1">IFERROR(__xludf.DUMMYFUNCTION("""COMPUTED_VALUE"""),49.283)</f>
        <v>49.283000000000001</v>
      </c>
      <c r="K2079" s="2">
        <f ca="1">IFERROR(__xludf.DUMMYFUNCTION("""COMPUTED_VALUE"""),67.632)</f>
        <v>67.632000000000005</v>
      </c>
      <c r="M2079" s="2">
        <f ca="1">IFERROR(__xludf.DUMMYFUNCTION("""COMPUTED_VALUE"""),18.106)</f>
        <v>18.106000000000002</v>
      </c>
      <c r="U2079" s="3" t="e">
        <f ca="1"/>
        <v>#NAME?</v>
      </c>
    </row>
    <row r="2080" spans="3:21" ht="12.5" x14ac:dyDescent="0.25">
      <c r="C2080" s="4">
        <f ca="1">IFERROR(__xludf.DUMMYFUNCTION("""COMPUTED_VALUE"""),42454.9986111111)</f>
        <v>42454.998611111099</v>
      </c>
      <c r="D2080" s="2">
        <f ca="1">IFERROR(__xludf.DUMMYFUNCTION("""COMPUTED_VALUE"""),66.907)</f>
        <v>66.906999999999996</v>
      </c>
      <c r="E2080" s="2">
        <f ca="1">IFERROR(__xludf.DUMMYFUNCTION("""COMPUTED_VALUE"""),74.432)</f>
        <v>74.432000000000002</v>
      </c>
      <c r="F2080" s="2">
        <f ca="1">IFERROR(__xludf.DUMMYFUNCTION("""COMPUTED_VALUE"""),97.998)</f>
        <v>97.998000000000005</v>
      </c>
      <c r="G2080" s="2">
        <f ca="1">IFERROR(__xludf.DUMMYFUNCTION("""COMPUTED_VALUE"""),0.64763)</f>
        <v>0.64763000000000004</v>
      </c>
      <c r="H2080" s="2">
        <f ca="1">IFERROR(__xludf.DUMMYFUNCTION("""COMPUTED_VALUE"""),50.794)</f>
        <v>50.793999999999997</v>
      </c>
      <c r="I2080" s="2">
        <f ca="1">IFERROR(__xludf.DUMMYFUNCTION("""COMPUTED_VALUE"""),50.599)</f>
        <v>50.598999999999997</v>
      </c>
      <c r="J2080" s="2">
        <f ca="1">IFERROR(__xludf.DUMMYFUNCTION("""COMPUTED_VALUE"""),49.075)</f>
        <v>49.075000000000003</v>
      </c>
      <c r="K2080" s="2">
        <f ca="1">IFERROR(__xludf.DUMMYFUNCTION("""COMPUTED_VALUE"""),67.996)</f>
        <v>67.995999999999995</v>
      </c>
      <c r="M2080" s="2">
        <f ca="1">IFERROR(__xludf.DUMMYFUNCTION("""COMPUTED_VALUE"""),18.148)</f>
        <v>18.148</v>
      </c>
      <c r="U2080" s="3" t="e">
        <f ca="1"/>
        <v>#NAME?</v>
      </c>
    </row>
    <row r="2081" spans="3:21" ht="12.5" x14ac:dyDescent="0.25">
      <c r="C2081" s="4">
        <f ca="1">IFERROR(__xludf.DUMMYFUNCTION("""COMPUTED_VALUE"""),42457.9986111111)</f>
        <v>42457.998611111099</v>
      </c>
      <c r="D2081" s="2">
        <f ca="1">IFERROR(__xludf.DUMMYFUNCTION("""COMPUTED_VALUE"""),66.907)</f>
        <v>66.906999999999996</v>
      </c>
      <c r="E2081" s="2">
        <f ca="1">IFERROR(__xludf.DUMMYFUNCTION("""COMPUTED_VALUE"""),74.373)</f>
        <v>74.373000000000005</v>
      </c>
      <c r="F2081" s="2">
        <f ca="1">IFERROR(__xludf.DUMMYFUNCTION("""COMPUTED_VALUE"""),97.617)</f>
        <v>97.617000000000004</v>
      </c>
      <c r="G2081" s="2">
        <f ca="1">IFERROR(__xludf.DUMMYFUNCTION("""COMPUTED_VALUE"""),0.63825)</f>
        <v>0.63824999999999998</v>
      </c>
      <c r="H2081" s="2">
        <f ca="1">IFERROR(__xludf.DUMMYFUNCTION("""COMPUTED_VALUE"""),50.794)</f>
        <v>50.793999999999997</v>
      </c>
      <c r="I2081" s="2">
        <f ca="1">IFERROR(__xludf.DUMMYFUNCTION("""COMPUTED_VALUE"""),50.599)</f>
        <v>50.598999999999997</v>
      </c>
      <c r="J2081" s="2">
        <f ca="1">IFERROR(__xludf.DUMMYFUNCTION("""COMPUTED_VALUE"""),49.027)</f>
        <v>49.027000000000001</v>
      </c>
      <c r="K2081" s="2">
        <f ca="1">IFERROR(__xludf.DUMMYFUNCTION("""COMPUTED_VALUE"""),68.026)</f>
        <v>68.025999999999996</v>
      </c>
      <c r="M2081" s="2">
        <f ca="1">IFERROR(__xludf.DUMMYFUNCTION("""COMPUTED_VALUE"""),18.15)</f>
        <v>18.149999999999999</v>
      </c>
      <c r="U2081" s="3" t="e">
        <f ca="1"/>
        <v>#NAME?</v>
      </c>
    </row>
    <row r="2082" spans="3:21" ht="12.5" x14ac:dyDescent="0.25">
      <c r="C2082" s="4">
        <f ca="1">IFERROR(__xludf.DUMMYFUNCTION("""COMPUTED_VALUE"""),42458.9986111111)</f>
        <v>42458.998611111099</v>
      </c>
      <c r="D2082" s="2">
        <f ca="1">IFERROR(__xludf.DUMMYFUNCTION("""COMPUTED_VALUE"""),66.368)</f>
        <v>66.367999999999995</v>
      </c>
      <c r="E2082" s="2">
        <f ca="1">IFERROR(__xludf.DUMMYFUNCTION("""COMPUTED_VALUE"""),74.896)</f>
        <v>74.896000000000001</v>
      </c>
      <c r="F2082" s="2">
        <f ca="1">IFERROR(__xludf.DUMMYFUNCTION("""COMPUTED_VALUE"""),98.295)</f>
        <v>98.295000000000002</v>
      </c>
      <c r="G2082" s="2">
        <f ca="1">IFERROR(__xludf.DUMMYFUNCTION("""COMPUTED_VALUE"""),0.62996)</f>
        <v>0.62995999999999996</v>
      </c>
      <c r="H2082" s="2">
        <f ca="1">IFERROR(__xludf.DUMMYFUNCTION("""COMPUTED_VALUE"""),50.795)</f>
        <v>50.795000000000002</v>
      </c>
      <c r="I2082" s="2">
        <f ca="1">IFERROR(__xludf.DUMMYFUNCTION("""COMPUTED_VALUE"""),50.3)</f>
        <v>50.3</v>
      </c>
      <c r="J2082" s="2">
        <f ca="1">IFERROR(__xludf.DUMMYFUNCTION("""COMPUTED_VALUE"""),49.032)</f>
        <v>49.031999999999996</v>
      </c>
      <c r="K2082" s="2">
        <f ca="1">IFERROR(__xludf.DUMMYFUNCTION("""COMPUTED_VALUE"""),68.255)</f>
        <v>68.254999999999995</v>
      </c>
      <c r="M2082" s="2">
        <f ca="1">IFERROR(__xludf.DUMMYFUNCTION("""COMPUTED_VALUE"""),18.079)</f>
        <v>18.079000000000001</v>
      </c>
      <c r="U2082" s="3" t="e">
        <f ca="1"/>
        <v>#NAME?</v>
      </c>
    </row>
    <row r="2083" spans="3:21" ht="12.5" x14ac:dyDescent="0.25">
      <c r="C2083" s="4">
        <f ca="1">IFERROR(__xludf.DUMMYFUNCTION("""COMPUTED_VALUE"""),42459.9986111111)</f>
        <v>42459.998611111099</v>
      </c>
      <c r="D2083" s="2">
        <f ca="1">IFERROR(__xludf.DUMMYFUNCTION("""COMPUTED_VALUE"""),66.368)</f>
        <v>66.367999999999995</v>
      </c>
      <c r="E2083" s="2">
        <f ca="1">IFERROR(__xludf.DUMMYFUNCTION("""COMPUTED_VALUE"""),73.331)</f>
        <v>73.331000000000003</v>
      </c>
      <c r="F2083" s="2">
        <f ca="1">IFERROR(__xludf.DUMMYFUNCTION("""COMPUTED_VALUE"""),98.731)</f>
        <v>98.730999999999995</v>
      </c>
      <c r="G2083" s="2">
        <f ca="1">IFERROR(__xludf.DUMMYFUNCTION("""COMPUTED_VALUE"""),0.62765)</f>
        <v>0.62765000000000004</v>
      </c>
      <c r="H2083" s="2">
        <f ca="1">IFERROR(__xludf.DUMMYFUNCTION("""COMPUTED_VALUE"""),50.891)</f>
        <v>50.890999999999998</v>
      </c>
      <c r="I2083" s="2">
        <f ca="1">IFERROR(__xludf.DUMMYFUNCTION("""COMPUTED_VALUE"""),50.241)</f>
        <v>50.241</v>
      </c>
      <c r="J2083" s="2">
        <f ca="1">IFERROR(__xludf.DUMMYFUNCTION("""COMPUTED_VALUE"""),48.907)</f>
        <v>48.906999999999996</v>
      </c>
      <c r="K2083" s="2">
        <f ca="1">IFERROR(__xludf.DUMMYFUNCTION("""COMPUTED_VALUE"""),68.237)</f>
        <v>68.236999999999995</v>
      </c>
      <c r="M2083" s="2">
        <f ca="1">IFERROR(__xludf.DUMMYFUNCTION("""COMPUTED_VALUE"""),18.063)</f>
        <v>18.062999999999999</v>
      </c>
      <c r="U2083" s="3" t="e">
        <f ca="1"/>
        <v>#NAME?</v>
      </c>
    </row>
    <row r="2084" spans="3:21" ht="12.5" x14ac:dyDescent="0.25">
      <c r="C2084" s="4">
        <f ca="1">IFERROR(__xludf.DUMMYFUNCTION("""COMPUTED_VALUE"""),42460.9986111111)</f>
        <v>42460.998611111099</v>
      </c>
      <c r="D2084" s="2">
        <f ca="1">IFERROR(__xludf.DUMMYFUNCTION("""COMPUTED_VALUE"""),66.248)</f>
        <v>66.248000000000005</v>
      </c>
      <c r="E2084" s="2">
        <f ca="1">IFERROR(__xludf.DUMMYFUNCTION("""COMPUTED_VALUE"""),74.511)</f>
        <v>74.510999999999996</v>
      </c>
      <c r="F2084" s="2">
        <f ca="1">IFERROR(__xludf.DUMMYFUNCTION("""COMPUTED_VALUE"""),98.739)</f>
        <v>98.739000000000004</v>
      </c>
      <c r="G2084" s="2">
        <f ca="1">IFERROR(__xludf.DUMMYFUNCTION("""COMPUTED_VALUE"""),0.62503)</f>
        <v>0.62502999999999997</v>
      </c>
      <c r="H2084" s="2">
        <f ca="1">IFERROR(__xludf.DUMMYFUNCTION("""COMPUTED_VALUE"""),50.973)</f>
        <v>50.972999999999999</v>
      </c>
      <c r="I2084" s="2">
        <f ca="1">IFERROR(__xludf.DUMMYFUNCTION("""COMPUTED_VALUE"""),50.725)</f>
        <v>50.725000000000001</v>
      </c>
      <c r="J2084" s="2">
        <f ca="1">IFERROR(__xludf.DUMMYFUNCTION("""COMPUTED_VALUE"""),48.808)</f>
        <v>48.808</v>
      </c>
      <c r="K2084" s="2">
        <f ca="1">IFERROR(__xludf.DUMMYFUNCTION("""COMPUTED_VALUE"""),68.261)</f>
        <v>68.260999999999996</v>
      </c>
      <c r="M2084" s="2">
        <f ca="1">IFERROR(__xludf.DUMMYFUNCTION("""COMPUTED_VALUE"""),18.067)</f>
        <v>18.067</v>
      </c>
      <c r="U2084" s="3" t="e">
        <f ca="1"/>
        <v>#NAME?</v>
      </c>
    </row>
    <row r="2085" spans="3:21" ht="12.5" x14ac:dyDescent="0.25">
      <c r="C2085" s="4">
        <f ca="1">IFERROR(__xludf.DUMMYFUNCTION("""COMPUTED_VALUE"""),42461.9986111111)</f>
        <v>42461.998611111099</v>
      </c>
      <c r="D2085" s="2">
        <f ca="1">IFERROR(__xludf.DUMMYFUNCTION("""COMPUTED_VALUE"""),66.358)</f>
        <v>66.358000000000004</v>
      </c>
      <c r="E2085" s="2">
        <f ca="1">IFERROR(__xludf.DUMMYFUNCTION("""COMPUTED_VALUE"""),74.555)</f>
        <v>74.555000000000007</v>
      </c>
      <c r="F2085" s="2">
        <f ca="1">IFERROR(__xludf.DUMMYFUNCTION("""COMPUTED_VALUE"""),97.014)</f>
        <v>97.013999999999996</v>
      </c>
      <c r="G2085" s="2">
        <f ca="1">IFERROR(__xludf.DUMMYFUNCTION("""COMPUTED_VALUE"""),0.63261)</f>
        <v>0.63261000000000001</v>
      </c>
      <c r="H2085" s="2">
        <f ca="1">IFERROR(__xludf.DUMMYFUNCTION("""COMPUTED_VALUE"""),50.918)</f>
        <v>50.917999999999999</v>
      </c>
      <c r="I2085" s="2">
        <f ca="1">IFERROR(__xludf.DUMMYFUNCTION("""COMPUTED_VALUE"""),50.756)</f>
        <v>50.756</v>
      </c>
      <c r="J2085" s="2">
        <f ca="1">IFERROR(__xludf.DUMMYFUNCTION("""COMPUTED_VALUE"""),48.76)</f>
        <v>48.76</v>
      </c>
      <c r="K2085" s="2">
        <f ca="1">IFERROR(__xludf.DUMMYFUNCTION("""COMPUTED_VALUE"""),68.079)</f>
        <v>68.078999999999994</v>
      </c>
      <c r="M2085" s="2">
        <f ca="1">IFERROR(__xludf.DUMMYFUNCTION("""COMPUTED_VALUE"""),18.08)</f>
        <v>18.079999999999998</v>
      </c>
      <c r="U2085" s="3" t="e">
        <f ca="1"/>
        <v>#NAME?</v>
      </c>
    </row>
    <row r="2086" spans="3:21" ht="12.5" x14ac:dyDescent="0.25">
      <c r="C2086" s="4">
        <f ca="1">IFERROR(__xludf.DUMMYFUNCTION("""COMPUTED_VALUE"""),42462.9986111111)</f>
        <v>42462.998611111099</v>
      </c>
      <c r="D2086" s="2">
        <f ca="1">IFERROR(__xludf.DUMMYFUNCTION("""COMPUTED_VALUE"""),66.358)</f>
        <v>66.358000000000004</v>
      </c>
      <c r="E2086" s="2">
        <f ca="1">IFERROR(__xludf.DUMMYFUNCTION("""COMPUTED_VALUE"""),74.529)</f>
        <v>74.528999999999996</v>
      </c>
      <c r="F2086" s="2">
        <f ca="1">IFERROR(__xludf.DUMMYFUNCTION("""COMPUTED_VALUE"""),96.197)</f>
        <v>96.197000000000003</v>
      </c>
      <c r="G2086" s="2">
        <f ca="1">IFERROR(__xludf.DUMMYFUNCTION("""COMPUTED_VALUE"""),0.63242)</f>
        <v>0.63241999999999998</v>
      </c>
      <c r="H2086" s="2">
        <f ca="1">IFERROR(__xludf.DUMMYFUNCTION("""COMPUTED_VALUE"""),50.926)</f>
        <v>50.926000000000002</v>
      </c>
      <c r="I2086" s="2">
        <f ca="1">IFERROR(__xludf.DUMMYFUNCTION("""COMPUTED_VALUE"""),50.671)</f>
        <v>50.670999999999999</v>
      </c>
      <c r="J2086" s="2">
        <f ca="1">IFERROR(__xludf.DUMMYFUNCTION("""COMPUTED_VALUE"""),48.913)</f>
        <v>48.912999999999997</v>
      </c>
      <c r="K2086" s="2">
        <f ca="1">IFERROR(__xludf.DUMMYFUNCTION("""COMPUTED_VALUE"""),68.014)</f>
        <v>68.013999999999996</v>
      </c>
      <c r="M2086" s="2">
        <f ca="1">IFERROR(__xludf.DUMMYFUNCTION("""COMPUTED_VALUE"""),18.08)</f>
        <v>18.079999999999998</v>
      </c>
      <c r="U2086" s="3" t="e">
        <f ca="1"/>
        <v>#NAME?</v>
      </c>
    </row>
    <row r="2087" spans="3:21" ht="12.5" x14ac:dyDescent="0.25">
      <c r="C2087" s="4">
        <f ca="1">IFERROR(__xludf.DUMMYFUNCTION("""COMPUTED_VALUE"""),42463.9986111111)</f>
        <v>42463.998611111099</v>
      </c>
      <c r="D2087" s="2">
        <f ca="1">IFERROR(__xludf.DUMMYFUNCTION("""COMPUTED_VALUE"""),66.358)</f>
        <v>66.358000000000004</v>
      </c>
      <c r="E2087" s="2">
        <f ca="1">IFERROR(__xludf.DUMMYFUNCTION("""COMPUTED_VALUE"""),74.226)</f>
        <v>74.225999999999999</v>
      </c>
      <c r="F2087" s="2">
        <f ca="1">IFERROR(__xludf.DUMMYFUNCTION("""COMPUTED_VALUE"""),95.21)</f>
        <v>95.21</v>
      </c>
      <c r="G2087" s="2">
        <f ca="1">IFERROR(__xludf.DUMMYFUNCTION("""COMPUTED_VALUE"""),0.63242)</f>
        <v>0.63241999999999998</v>
      </c>
      <c r="H2087" s="2">
        <f ca="1">IFERROR(__xludf.DUMMYFUNCTION("""COMPUTED_VALUE"""),51.084)</f>
        <v>51.084000000000003</v>
      </c>
      <c r="I2087" s="2">
        <f ca="1">IFERROR(__xludf.DUMMYFUNCTION("""COMPUTED_VALUE"""),50.673)</f>
        <v>50.673000000000002</v>
      </c>
      <c r="J2087" s="2">
        <f ca="1">IFERROR(__xludf.DUMMYFUNCTION("""COMPUTED_VALUE"""),48.833)</f>
        <v>48.832999999999998</v>
      </c>
      <c r="K2087" s="2">
        <f ca="1">IFERROR(__xludf.DUMMYFUNCTION("""COMPUTED_VALUE"""),68.108)</f>
        <v>68.108000000000004</v>
      </c>
      <c r="M2087" s="2">
        <f ca="1">IFERROR(__xludf.DUMMYFUNCTION("""COMPUTED_VALUE"""),18.068)</f>
        <v>18.068000000000001</v>
      </c>
      <c r="U2087" s="3" t="e">
        <f ca="1"/>
        <v>#NAME?</v>
      </c>
    </row>
    <row r="2088" spans="3:21" ht="12.5" x14ac:dyDescent="0.25">
      <c r="C2088" s="4">
        <f ca="1">IFERROR(__xludf.DUMMYFUNCTION("""COMPUTED_VALUE"""),42464.9986111111)</f>
        <v>42464.998611111099</v>
      </c>
      <c r="D2088" s="2">
        <f ca="1">IFERROR(__xludf.DUMMYFUNCTION("""COMPUTED_VALUE"""),66.133)</f>
        <v>66.132999999999996</v>
      </c>
      <c r="E2088" s="2">
        <f ca="1">IFERROR(__xludf.DUMMYFUNCTION("""COMPUTED_VALUE"""),73.3261)</f>
        <v>73.326099999999997</v>
      </c>
      <c r="F2088" s="2">
        <f ca="1">IFERROR(__xludf.DUMMYFUNCTION("""COMPUTED_VALUE"""),96.02)</f>
        <v>96.02</v>
      </c>
      <c r="G2088" s="2">
        <f ca="1">IFERROR(__xludf.DUMMYFUNCTION("""COMPUTED_VALUE"""),0.62576)</f>
        <v>0.62575999999999998</v>
      </c>
      <c r="H2088" s="2">
        <f ca="1">IFERROR(__xludf.DUMMYFUNCTION("""COMPUTED_VALUE"""),50.622)</f>
        <v>50.622</v>
      </c>
      <c r="I2088" s="2">
        <f ca="1">IFERROR(__xludf.DUMMYFUNCTION("""COMPUTED_VALUE"""),50.402)</f>
        <v>50.402000000000001</v>
      </c>
      <c r="J2088" s="2">
        <f ca="1">IFERROR(__xludf.DUMMYFUNCTION("""COMPUTED_VALUE"""),48.694)</f>
        <v>48.694000000000003</v>
      </c>
      <c r="K2088" s="2">
        <f ca="1">IFERROR(__xludf.DUMMYFUNCTION("""COMPUTED_VALUE"""),67.96)</f>
        <v>67.959999999999994</v>
      </c>
      <c r="M2088" s="2">
        <f ca="1">IFERROR(__xludf.DUMMYFUNCTION("""COMPUTED_VALUE"""),18.127)</f>
        <v>18.126999999999999</v>
      </c>
      <c r="U2088" s="3" t="e">
        <f ca="1"/>
        <v>#NAME?</v>
      </c>
    </row>
    <row r="2089" spans="3:21" ht="12.5" x14ac:dyDescent="0.25">
      <c r="C2089" s="4">
        <f ca="1">IFERROR(__xludf.DUMMYFUNCTION("""COMPUTED_VALUE"""),42465.9986111111)</f>
        <v>42465.998611111099</v>
      </c>
      <c r="D2089" s="2">
        <f ca="1">IFERROR(__xludf.DUMMYFUNCTION("""COMPUTED_VALUE"""),66.468)</f>
        <v>66.468000000000004</v>
      </c>
      <c r="E2089" s="2">
        <f ca="1">IFERROR(__xludf.DUMMYFUNCTION("""COMPUTED_VALUE"""),73.986)</f>
        <v>73.986000000000004</v>
      </c>
      <c r="F2089" s="2">
        <f ca="1">IFERROR(__xludf.DUMMYFUNCTION("""COMPUTED_VALUE"""),95.342)</f>
        <v>95.341999999999999</v>
      </c>
      <c r="G2089" s="2">
        <f ca="1">IFERROR(__xludf.DUMMYFUNCTION("""COMPUTED_VALUE"""),0.62074)</f>
        <v>0.62073999999999996</v>
      </c>
      <c r="H2089" s="2">
        <f ca="1">IFERROR(__xludf.DUMMYFUNCTION("""COMPUTED_VALUE"""),50.686)</f>
        <v>50.686</v>
      </c>
      <c r="I2089" s="2">
        <f ca="1">IFERROR(__xludf.DUMMYFUNCTION("""COMPUTED_VALUE"""),50.469)</f>
        <v>50.469000000000001</v>
      </c>
      <c r="J2089" s="2">
        <f ca="1">IFERROR(__xludf.DUMMYFUNCTION("""COMPUTED_VALUE"""),48.494)</f>
        <v>48.494</v>
      </c>
      <c r="K2089" s="2">
        <f ca="1">IFERROR(__xludf.DUMMYFUNCTION("""COMPUTED_VALUE"""),68.28)</f>
        <v>68.28</v>
      </c>
      <c r="M2089" s="2">
        <f ca="1">IFERROR(__xludf.DUMMYFUNCTION("""COMPUTED_VALUE"""),18.134)</f>
        <v>18.134</v>
      </c>
      <c r="U2089" s="3" t="e">
        <f ca="1"/>
        <v>#NAME?</v>
      </c>
    </row>
    <row r="2090" spans="3:21" ht="12.5" x14ac:dyDescent="0.25">
      <c r="C2090" s="4">
        <f ca="1">IFERROR(__xludf.DUMMYFUNCTION("""COMPUTED_VALUE"""),42466.9986111111)</f>
        <v>42466.998611111099</v>
      </c>
      <c r="D2090" s="2">
        <f ca="1">IFERROR(__xludf.DUMMYFUNCTION("""COMPUTED_VALUE"""),66.533)</f>
        <v>66.533000000000001</v>
      </c>
      <c r="E2090" s="2">
        <f ca="1">IFERROR(__xludf.DUMMYFUNCTION("""COMPUTED_VALUE"""),73.807)</f>
        <v>73.807000000000002</v>
      </c>
      <c r="F2090" s="2">
        <f ca="1">IFERROR(__xludf.DUMMYFUNCTION("""COMPUTED_VALUE"""),95.005)</f>
        <v>95.004999999999995</v>
      </c>
      <c r="G2090" s="2">
        <f ca="1">IFERROR(__xludf.DUMMYFUNCTION("""COMPUTED_VALUE"""),0.62438)</f>
        <v>0.62438000000000005</v>
      </c>
      <c r="H2090" s="2">
        <f ca="1">IFERROR(__xludf.DUMMYFUNCTION("""COMPUTED_VALUE"""),50.473)</f>
        <v>50.472999999999999</v>
      </c>
      <c r="I2090" s="2">
        <f ca="1">IFERROR(__xludf.DUMMYFUNCTION("""COMPUTED_VALUE"""),50.38)</f>
        <v>50.38</v>
      </c>
      <c r="J2090" s="2">
        <f ca="1">IFERROR(__xludf.DUMMYFUNCTION("""COMPUTED_VALUE"""),48.582)</f>
        <v>48.582000000000001</v>
      </c>
      <c r="K2090" s="2">
        <f ca="1">IFERROR(__xludf.DUMMYFUNCTION("""COMPUTED_VALUE"""),67.75)</f>
        <v>67.75</v>
      </c>
      <c r="M2090" s="2">
        <f ca="1">IFERROR(__xludf.DUMMYFUNCTION("""COMPUTED_VALUE"""),18.119)</f>
        <v>18.119</v>
      </c>
      <c r="U2090" s="3" t="e">
        <f ca="1"/>
        <v>#NAME?</v>
      </c>
    </row>
    <row r="2091" spans="3:21" ht="12.5" x14ac:dyDescent="0.25">
      <c r="C2091" s="4">
        <f ca="1">IFERROR(__xludf.DUMMYFUNCTION("""COMPUTED_VALUE"""),42467.9986111111)</f>
        <v>42467.998611111099</v>
      </c>
      <c r="D2091" s="2">
        <f ca="1">IFERROR(__xludf.DUMMYFUNCTION("""COMPUTED_VALUE"""),66.779)</f>
        <v>66.778999999999996</v>
      </c>
      <c r="E2091" s="2">
        <f ca="1">IFERROR(__xludf.DUMMYFUNCTION("""COMPUTED_VALUE"""),73.498)</f>
        <v>73.498000000000005</v>
      </c>
      <c r="F2091" s="2">
        <f ca="1">IFERROR(__xludf.DUMMYFUNCTION("""COMPUTED_VALUE"""),94.518)</f>
        <v>94.518000000000001</v>
      </c>
      <c r="G2091" s="2">
        <f ca="1">IFERROR(__xludf.DUMMYFUNCTION("""COMPUTED_VALUE"""),0.61593)</f>
        <v>0.61592999999999998</v>
      </c>
      <c r="H2091" s="2">
        <f ca="1">IFERROR(__xludf.DUMMYFUNCTION("""COMPUTED_VALUE"""),50.477)</f>
        <v>50.476999999999997</v>
      </c>
      <c r="I2091" s="2">
        <f ca="1">IFERROR(__xludf.DUMMYFUNCTION("""COMPUTED_VALUE"""),50.038)</f>
        <v>50.037999999999997</v>
      </c>
      <c r="J2091" s="2">
        <f ca="1">IFERROR(__xludf.DUMMYFUNCTION("""COMPUTED_VALUE"""),48.515)</f>
        <v>48.515000000000001</v>
      </c>
      <c r="K2091" s="2">
        <f ca="1">IFERROR(__xludf.DUMMYFUNCTION("""COMPUTED_VALUE"""),68.034)</f>
        <v>68.034000000000006</v>
      </c>
      <c r="M2091" s="2">
        <f ca="1">IFERROR(__xludf.DUMMYFUNCTION("""COMPUTED_VALUE"""),18.125)</f>
        <v>18.125</v>
      </c>
      <c r="U2091" s="3" t="e">
        <f ca="1"/>
        <v>#NAME?</v>
      </c>
    </row>
    <row r="2092" spans="3:21" ht="12.5" x14ac:dyDescent="0.25">
      <c r="C2092" s="4">
        <f ca="1">IFERROR(__xludf.DUMMYFUNCTION("""COMPUTED_VALUE"""),42468.9986111111)</f>
        <v>42468.998611111099</v>
      </c>
      <c r="D2092" s="2">
        <f ca="1">IFERROR(__xludf.DUMMYFUNCTION("""COMPUTED_VALUE"""),66.544)</f>
        <v>66.543999999999997</v>
      </c>
      <c r="E2092" s="2">
        <f ca="1">IFERROR(__xludf.DUMMYFUNCTION("""COMPUTED_VALUE"""),73.711)</f>
        <v>73.710999999999999</v>
      </c>
      <c r="F2092" s="2">
        <f ca="1">IFERROR(__xludf.DUMMYFUNCTION("""COMPUTED_VALUE"""),94.873)</f>
        <v>94.873000000000005</v>
      </c>
      <c r="G2092" s="2">
        <f ca="1">IFERROR(__xludf.DUMMYFUNCTION("""COMPUTED_VALUE"""),0.61392)</f>
        <v>0.61392000000000002</v>
      </c>
      <c r="H2092" s="2">
        <f ca="1">IFERROR(__xludf.DUMMYFUNCTION("""COMPUTED_VALUE"""),50.48)</f>
        <v>50.48</v>
      </c>
      <c r="I2092" s="2">
        <f ca="1">IFERROR(__xludf.DUMMYFUNCTION("""COMPUTED_VALUE"""),50.446)</f>
        <v>50.445999999999998</v>
      </c>
      <c r="J2092" s="2">
        <f ca="1">IFERROR(__xludf.DUMMYFUNCTION("""COMPUTED_VALUE"""),48.448)</f>
        <v>48.448</v>
      </c>
      <c r="K2092" s="2">
        <f ca="1">IFERROR(__xludf.DUMMYFUNCTION("""COMPUTED_VALUE"""),68.322)</f>
        <v>68.322000000000003</v>
      </c>
      <c r="M2092" s="2">
        <f ca="1">IFERROR(__xludf.DUMMYFUNCTION("""COMPUTED_VALUE"""),18.132)</f>
        <v>18.132000000000001</v>
      </c>
      <c r="U2092" s="3" t="e">
        <f ca="1"/>
        <v>#NAME?</v>
      </c>
    </row>
    <row r="2093" spans="3:21" ht="12.5" x14ac:dyDescent="0.25">
      <c r="C2093" s="4">
        <f ca="1">IFERROR(__xludf.DUMMYFUNCTION("""COMPUTED_VALUE"""),42469.9986111111)</f>
        <v>42469.998611111099</v>
      </c>
      <c r="D2093" s="2">
        <f ca="1">IFERROR(__xludf.DUMMYFUNCTION("""COMPUTED_VALUE"""),66.544)</f>
        <v>66.543999999999997</v>
      </c>
      <c r="E2093" s="2">
        <f ca="1">IFERROR(__xludf.DUMMYFUNCTION("""COMPUTED_VALUE"""),72.4619)</f>
        <v>72.4619</v>
      </c>
      <c r="F2093" s="2">
        <f ca="1">IFERROR(__xludf.DUMMYFUNCTION("""COMPUTED_VALUE"""),95.144)</f>
        <v>95.144000000000005</v>
      </c>
      <c r="G2093" s="2">
        <f ca="1">IFERROR(__xludf.DUMMYFUNCTION("""COMPUTED_VALUE"""),0.61397)</f>
        <v>0.61397000000000002</v>
      </c>
      <c r="H2093" s="2">
        <f ca="1">IFERROR(__xludf.DUMMYFUNCTION("""COMPUTED_VALUE"""),50.47)</f>
        <v>50.47</v>
      </c>
      <c r="I2093" s="2">
        <f ca="1">IFERROR(__xludf.DUMMYFUNCTION("""COMPUTED_VALUE"""),50.444)</f>
        <v>50.444000000000003</v>
      </c>
      <c r="J2093" s="2">
        <f ca="1">IFERROR(__xludf.DUMMYFUNCTION("""COMPUTED_VALUE"""),48.297)</f>
        <v>48.296999999999997</v>
      </c>
      <c r="K2093" s="2">
        <f ca="1">IFERROR(__xludf.DUMMYFUNCTION("""COMPUTED_VALUE"""),68.673)</f>
        <v>68.673000000000002</v>
      </c>
      <c r="M2093" s="2">
        <f ca="1">IFERROR(__xludf.DUMMYFUNCTION("""COMPUTED_VALUE"""),18.168)</f>
        <v>18.167999999999999</v>
      </c>
      <c r="U2093" s="3" t="e">
        <f ca="1"/>
        <v>#NAME?</v>
      </c>
    </row>
    <row r="2094" spans="3:21" ht="12.5" x14ac:dyDescent="0.25">
      <c r="C2094" s="4">
        <f ca="1">IFERROR(__xludf.DUMMYFUNCTION("""COMPUTED_VALUE"""),42470.9986111111)</f>
        <v>42470.998611111099</v>
      </c>
      <c r="D2094" s="2">
        <f ca="1">IFERROR(__xludf.DUMMYFUNCTION("""COMPUTED_VALUE"""),66.544)</f>
        <v>66.543999999999997</v>
      </c>
      <c r="E2094" s="2">
        <f ca="1">IFERROR(__xludf.DUMMYFUNCTION("""COMPUTED_VALUE"""),72.4619)</f>
        <v>72.4619</v>
      </c>
      <c r="F2094" s="2">
        <f ca="1">IFERROR(__xludf.DUMMYFUNCTION("""COMPUTED_VALUE"""),95.268)</f>
        <v>95.268000000000001</v>
      </c>
      <c r="G2094" s="2">
        <f ca="1">IFERROR(__xludf.DUMMYFUNCTION("""COMPUTED_VALUE"""),0.61579)</f>
        <v>0.61578999999999995</v>
      </c>
      <c r="H2094" s="2">
        <f ca="1">IFERROR(__xludf.DUMMYFUNCTION("""COMPUTED_VALUE"""),50.438)</f>
        <v>50.438000000000002</v>
      </c>
      <c r="I2094" s="2">
        <f ca="1">IFERROR(__xludf.DUMMYFUNCTION("""COMPUTED_VALUE"""),50.279)</f>
        <v>50.279000000000003</v>
      </c>
      <c r="J2094" s="2">
        <f ca="1">IFERROR(__xludf.DUMMYFUNCTION("""COMPUTED_VALUE"""),48.45)</f>
        <v>48.45</v>
      </c>
      <c r="K2094" s="2">
        <f ca="1">IFERROR(__xludf.DUMMYFUNCTION("""COMPUTED_VALUE"""),68.673)</f>
        <v>68.673000000000002</v>
      </c>
      <c r="M2094" s="2">
        <f ca="1">IFERROR(__xludf.DUMMYFUNCTION("""COMPUTED_VALUE"""),18.136)</f>
        <v>18.135999999999999</v>
      </c>
      <c r="U2094" s="3" t="e">
        <f ca="1"/>
        <v>#NAME?</v>
      </c>
    </row>
    <row r="2095" spans="3:21" ht="12.5" x14ac:dyDescent="0.25">
      <c r="C2095" s="4">
        <f ca="1">IFERROR(__xludf.DUMMYFUNCTION("""COMPUTED_VALUE"""),42471.9986111111)</f>
        <v>42471.998611111099</v>
      </c>
      <c r="D2095" s="2">
        <f ca="1">IFERROR(__xludf.DUMMYFUNCTION("""COMPUTED_VALUE"""),66.29)</f>
        <v>66.290000000000006</v>
      </c>
      <c r="E2095" s="2">
        <f ca="1">IFERROR(__xludf.DUMMYFUNCTION("""COMPUTED_VALUE"""),73.477)</f>
        <v>73.477000000000004</v>
      </c>
      <c r="F2095" s="2">
        <f ca="1">IFERROR(__xludf.DUMMYFUNCTION("""COMPUTED_VALUE"""),95.609)</f>
        <v>95.608999999999995</v>
      </c>
      <c r="G2095" s="2">
        <f ca="1">IFERROR(__xludf.DUMMYFUNCTION("""COMPUTED_VALUE"""),0.61566)</f>
        <v>0.61565999999999999</v>
      </c>
      <c r="H2095" s="2">
        <f ca="1">IFERROR(__xludf.DUMMYFUNCTION("""COMPUTED_VALUE"""),50.459)</f>
        <v>50.459000000000003</v>
      </c>
      <c r="I2095" s="2">
        <f ca="1">IFERROR(__xludf.DUMMYFUNCTION("""COMPUTED_VALUE"""),50.535)</f>
        <v>50.534999999999997</v>
      </c>
      <c r="J2095" s="2">
        <f ca="1">IFERROR(__xludf.DUMMYFUNCTION("""COMPUTED_VALUE"""),48.221)</f>
        <v>48.220999999999997</v>
      </c>
      <c r="K2095" s="2">
        <f ca="1">IFERROR(__xludf.DUMMYFUNCTION("""COMPUTED_VALUE"""),68.871)</f>
        <v>68.870999999999995</v>
      </c>
      <c r="M2095" s="2">
        <f ca="1">IFERROR(__xludf.DUMMYFUNCTION("""COMPUTED_VALUE"""),18.116)</f>
        <v>18.116</v>
      </c>
      <c r="U2095" s="3" t="e">
        <f ca="1"/>
        <v>#NAME?</v>
      </c>
    </row>
    <row r="2096" spans="3:21" ht="12.5" x14ac:dyDescent="0.25">
      <c r="C2096" s="4">
        <f ca="1">IFERROR(__xludf.DUMMYFUNCTION("""COMPUTED_VALUE"""),42472.9986111111)</f>
        <v>42472.998611111099</v>
      </c>
      <c r="D2096" s="2">
        <f ca="1">IFERROR(__xludf.DUMMYFUNCTION("""COMPUTED_VALUE"""),66.315)</f>
        <v>66.314999999999998</v>
      </c>
      <c r="E2096" s="2">
        <f ca="1">IFERROR(__xludf.DUMMYFUNCTION("""COMPUTED_VALUE"""),73.173)</f>
        <v>73.173000000000002</v>
      </c>
      <c r="F2096" s="2">
        <f ca="1">IFERROR(__xludf.DUMMYFUNCTION("""COMPUTED_VALUE"""),95.684)</f>
        <v>95.683999999999997</v>
      </c>
      <c r="G2096" s="2">
        <f ca="1">IFERROR(__xludf.DUMMYFUNCTION("""COMPUTED_VALUE"""),0.61043)</f>
        <v>0.61043000000000003</v>
      </c>
      <c r="H2096" s="2">
        <f ca="1">IFERROR(__xludf.DUMMYFUNCTION("""COMPUTED_VALUE"""),50.771)</f>
        <v>50.771000000000001</v>
      </c>
      <c r="I2096" s="2">
        <f ca="1">IFERROR(__xludf.DUMMYFUNCTION("""COMPUTED_VALUE"""),50.712)</f>
        <v>50.712000000000003</v>
      </c>
      <c r="J2096" s="2">
        <f ca="1">IFERROR(__xludf.DUMMYFUNCTION("""COMPUTED_VALUE"""),48.27)</f>
        <v>48.27</v>
      </c>
      <c r="K2096" s="2">
        <f ca="1">IFERROR(__xludf.DUMMYFUNCTION("""COMPUTED_VALUE"""),69.036)</f>
        <v>69.036000000000001</v>
      </c>
      <c r="M2096" s="2">
        <f ca="1">IFERROR(__xludf.DUMMYFUNCTION("""COMPUTED_VALUE"""),18.17)</f>
        <v>18.170000000000002</v>
      </c>
      <c r="U2096" s="3" t="e">
        <f ca="1"/>
        <v>#NAME?</v>
      </c>
    </row>
    <row r="2097" spans="3:21" ht="12.5" x14ac:dyDescent="0.25">
      <c r="C2097" s="4">
        <f ca="1">IFERROR(__xludf.DUMMYFUNCTION("""COMPUTED_VALUE"""),42473.9986111111)</f>
        <v>42473.998611111099</v>
      </c>
      <c r="D2097" s="2">
        <f ca="1">IFERROR(__xludf.DUMMYFUNCTION("""COMPUTED_VALUE"""),66.525)</f>
        <v>66.525000000000006</v>
      </c>
      <c r="E2097" s="2">
        <f ca="1">IFERROR(__xludf.DUMMYFUNCTION("""COMPUTED_VALUE"""),73.062)</f>
        <v>73.061999999999998</v>
      </c>
      <c r="F2097" s="2">
        <f ca="1">IFERROR(__xludf.DUMMYFUNCTION("""COMPUTED_VALUE"""),95.376)</f>
        <v>95.376000000000005</v>
      </c>
      <c r="G2097" s="2">
        <f ca="1">IFERROR(__xludf.DUMMYFUNCTION("""COMPUTED_VALUE"""),0.60623)</f>
        <v>0.60623000000000005</v>
      </c>
      <c r="H2097" s="2">
        <f ca="1">IFERROR(__xludf.DUMMYFUNCTION("""COMPUTED_VALUE"""),50.771)</f>
        <v>50.771000000000001</v>
      </c>
      <c r="I2097" s="2">
        <f ca="1">IFERROR(__xludf.DUMMYFUNCTION("""COMPUTED_VALUE"""),50.712)</f>
        <v>50.712000000000003</v>
      </c>
      <c r="J2097" s="2">
        <f ca="1">IFERROR(__xludf.DUMMYFUNCTION("""COMPUTED_VALUE"""),47.98)</f>
        <v>47.98</v>
      </c>
      <c r="K2097" s="2">
        <f ca="1">IFERROR(__xludf.DUMMYFUNCTION("""COMPUTED_VALUE"""),68.559)</f>
        <v>68.558999999999997</v>
      </c>
      <c r="M2097" s="2">
        <f ca="1">IFERROR(__xludf.DUMMYFUNCTION("""COMPUTED_VALUE"""),18.201)</f>
        <v>18.201000000000001</v>
      </c>
      <c r="U2097" s="3" t="e">
        <f ca="1"/>
        <v>#NAME?</v>
      </c>
    </row>
    <row r="2098" spans="3:21" ht="12.5" x14ac:dyDescent="0.25">
      <c r="C2098" s="4">
        <f ca="1">IFERROR(__xludf.DUMMYFUNCTION("""COMPUTED_VALUE"""),42474.9986111111)</f>
        <v>42474.998611111099</v>
      </c>
      <c r="D2098" s="2">
        <f ca="1">IFERROR(__xludf.DUMMYFUNCTION("""COMPUTED_VALUE"""),66.637)</f>
        <v>66.637</v>
      </c>
      <c r="E2098" s="2">
        <f ca="1">IFERROR(__xludf.DUMMYFUNCTION("""COMPUTED_VALUE"""),72.985)</f>
        <v>72.984999999999999</v>
      </c>
      <c r="F2098" s="2">
        <f ca="1">IFERROR(__xludf.DUMMYFUNCTION("""COMPUTED_VALUE"""),96.176)</f>
        <v>96.176000000000002</v>
      </c>
      <c r="G2098" s="2">
        <f ca="1">IFERROR(__xludf.DUMMYFUNCTION("""COMPUTED_VALUE"""),0.6052)</f>
        <v>0.60519999999999996</v>
      </c>
      <c r="H2098" s="2">
        <f ca="1">IFERROR(__xludf.DUMMYFUNCTION("""COMPUTED_VALUE"""),50.98)</f>
        <v>50.98</v>
      </c>
      <c r="I2098" s="2">
        <f ca="1">IFERROR(__xludf.DUMMYFUNCTION("""COMPUTED_VALUE"""),50.864)</f>
        <v>50.863999999999997</v>
      </c>
      <c r="J2098" s="2">
        <f ca="1">IFERROR(__xludf.DUMMYFUNCTION("""COMPUTED_VALUE"""),47.924)</f>
        <v>47.923999999999999</v>
      </c>
      <c r="K2098" s="2">
        <f ca="1">IFERROR(__xludf.DUMMYFUNCTION("""COMPUTED_VALUE"""),68.562)</f>
        <v>68.561999999999998</v>
      </c>
      <c r="M2098" s="2">
        <f ca="1">IFERROR(__xludf.DUMMYFUNCTION("""COMPUTED_VALUE"""),18.204)</f>
        <v>18.204000000000001</v>
      </c>
      <c r="U2098" s="3" t="e">
        <f ca="1"/>
        <v>#NAME?</v>
      </c>
    </row>
    <row r="2099" spans="3:21" ht="12.5" x14ac:dyDescent="0.25">
      <c r="C2099" s="4">
        <f ca="1">IFERROR(__xludf.DUMMYFUNCTION("""COMPUTED_VALUE"""),42475.9986111111)</f>
        <v>42475.998611111099</v>
      </c>
      <c r="D2099" s="2">
        <f ca="1">IFERROR(__xludf.DUMMYFUNCTION("""COMPUTED_VALUE"""),66.653)</f>
        <v>66.653000000000006</v>
      </c>
      <c r="E2099" s="2">
        <f ca="1">IFERROR(__xludf.DUMMYFUNCTION("""COMPUTED_VALUE"""),72.765)</f>
        <v>72.765000000000001</v>
      </c>
      <c r="F2099" s="2">
        <f ca="1">IFERROR(__xludf.DUMMYFUNCTION("""COMPUTED_VALUE"""),96.251)</f>
        <v>96.251000000000005</v>
      </c>
      <c r="G2099" s="2">
        <f ca="1">IFERROR(__xludf.DUMMYFUNCTION("""COMPUTED_VALUE"""),0.60528)</f>
        <v>0.60528000000000004</v>
      </c>
      <c r="H2099" s="2">
        <f ca="1">IFERROR(__xludf.DUMMYFUNCTION("""COMPUTED_VALUE"""),51.16)</f>
        <v>51.16</v>
      </c>
      <c r="I2099" s="2">
        <f ca="1">IFERROR(__xludf.DUMMYFUNCTION("""COMPUTED_VALUE"""),50.863)</f>
        <v>50.863</v>
      </c>
      <c r="J2099" s="2">
        <f ca="1">IFERROR(__xludf.DUMMYFUNCTION("""COMPUTED_VALUE"""),48.081)</f>
        <v>48.081000000000003</v>
      </c>
      <c r="K2099" s="2">
        <f ca="1">IFERROR(__xludf.DUMMYFUNCTION("""COMPUTED_VALUE"""),68.084)</f>
        <v>68.084000000000003</v>
      </c>
      <c r="M2099" s="2">
        <f ca="1">IFERROR(__xludf.DUMMYFUNCTION("""COMPUTED_VALUE"""),18.202)</f>
        <v>18.202000000000002</v>
      </c>
      <c r="U2099" s="3" t="e">
        <f ca="1"/>
        <v>#NAME?</v>
      </c>
    </row>
    <row r="2100" spans="3:21" ht="12.5" x14ac:dyDescent="0.25">
      <c r="C2100" s="4">
        <f ca="1">IFERROR(__xludf.DUMMYFUNCTION("""COMPUTED_VALUE"""),42478.9986111111)</f>
        <v>42478.998611111099</v>
      </c>
      <c r="D2100" s="2">
        <f ca="1">IFERROR(__xludf.DUMMYFUNCTION("""COMPUTED_VALUE"""),66.409)</f>
        <v>66.409000000000006</v>
      </c>
      <c r="E2100" s="2">
        <f ca="1">IFERROR(__xludf.DUMMYFUNCTION("""COMPUTED_VALUE"""),71.8253)</f>
        <v>71.825299999999999</v>
      </c>
      <c r="F2100" s="2">
        <f ca="1">IFERROR(__xludf.DUMMYFUNCTION("""COMPUTED_VALUE"""),95.945)</f>
        <v>95.944999999999993</v>
      </c>
      <c r="G2100" s="2">
        <f ca="1">IFERROR(__xludf.DUMMYFUNCTION("""COMPUTED_VALUE"""),0.61338)</f>
        <v>0.61338000000000004</v>
      </c>
      <c r="H2100" s="2">
        <f ca="1">IFERROR(__xludf.DUMMYFUNCTION("""COMPUTED_VALUE"""),51.433)</f>
        <v>51.433</v>
      </c>
      <c r="I2100" s="2">
        <f ca="1">IFERROR(__xludf.DUMMYFUNCTION("""COMPUTED_VALUE"""),50.688)</f>
        <v>50.688000000000002</v>
      </c>
      <c r="J2100" s="2">
        <f ca="1">IFERROR(__xludf.DUMMYFUNCTION("""COMPUTED_VALUE"""),48.102)</f>
        <v>48.101999999999997</v>
      </c>
      <c r="K2100" s="2">
        <f ca="1">IFERROR(__xludf.DUMMYFUNCTION("""COMPUTED_VALUE"""),67.893)</f>
        <v>67.893000000000001</v>
      </c>
      <c r="M2100" s="2">
        <f ca="1">IFERROR(__xludf.DUMMYFUNCTION("""COMPUTED_VALUE"""),18.275)</f>
        <v>18.274999999999999</v>
      </c>
      <c r="U2100" s="3" t="e">
        <f ca="1"/>
        <v>#NAME?</v>
      </c>
    </row>
    <row r="2101" spans="3:21" ht="12.5" x14ac:dyDescent="0.25">
      <c r="C2101" s="4">
        <f ca="1">IFERROR(__xludf.DUMMYFUNCTION("""COMPUTED_VALUE"""),42479.9986111111)</f>
        <v>42479.998611111099</v>
      </c>
      <c r="D2101" s="2">
        <f ca="1">IFERROR(__xludf.DUMMYFUNCTION("""COMPUTED_VALUE"""),66.222)</f>
        <v>66.221999999999994</v>
      </c>
      <c r="E2101" s="2">
        <f ca="1">IFERROR(__xludf.DUMMYFUNCTION("""COMPUTED_VALUE"""),72.597)</f>
        <v>72.596999999999994</v>
      </c>
      <c r="F2101" s="2">
        <f ca="1">IFERROR(__xludf.DUMMYFUNCTION("""COMPUTED_VALUE"""),95.362)</f>
        <v>95.361999999999995</v>
      </c>
      <c r="G2101" s="2">
        <f ca="1">IFERROR(__xludf.DUMMYFUNCTION("""COMPUTED_VALUE"""),0.60927)</f>
        <v>0.60926999999999998</v>
      </c>
      <c r="H2101" s="2">
        <f ca="1">IFERROR(__xludf.DUMMYFUNCTION("""COMPUTED_VALUE"""),50.97)</f>
        <v>50.97</v>
      </c>
      <c r="I2101" s="2">
        <f ca="1">IFERROR(__xludf.DUMMYFUNCTION("""COMPUTED_VALUE"""),50.485)</f>
        <v>50.484999999999999</v>
      </c>
      <c r="J2101" s="2">
        <f ca="1">IFERROR(__xludf.DUMMYFUNCTION("""COMPUTED_VALUE"""),48.045)</f>
        <v>48.045000000000002</v>
      </c>
      <c r="K2101" s="2">
        <f ca="1">IFERROR(__xludf.DUMMYFUNCTION("""COMPUTED_VALUE"""),67.977)</f>
        <v>67.977000000000004</v>
      </c>
      <c r="M2101" s="2">
        <f ca="1">IFERROR(__xludf.DUMMYFUNCTION("""COMPUTED_VALUE"""),18.356)</f>
        <v>18.356000000000002</v>
      </c>
      <c r="U2101" s="3" t="e">
        <f ca="1"/>
        <v>#NAME?</v>
      </c>
    </row>
    <row r="2102" spans="3:21" ht="12.5" x14ac:dyDescent="0.25">
      <c r="C2102" s="4">
        <f ca="1">IFERROR(__xludf.DUMMYFUNCTION("""COMPUTED_VALUE"""),42480.9986111111)</f>
        <v>42480.998611111099</v>
      </c>
      <c r="D2102" s="2">
        <f ca="1">IFERROR(__xludf.DUMMYFUNCTION("""COMPUTED_VALUE"""),66.204)</f>
        <v>66.203999999999994</v>
      </c>
      <c r="E2102" s="2">
        <f ca="1">IFERROR(__xludf.DUMMYFUNCTION("""COMPUTED_VALUE"""),72.626)</f>
        <v>72.626000000000005</v>
      </c>
      <c r="F2102" s="2">
        <f ca="1">IFERROR(__xludf.DUMMYFUNCTION("""COMPUTED_VALUE"""),95.269)</f>
        <v>95.269000000000005</v>
      </c>
      <c r="G2102" s="2">
        <f ca="1">IFERROR(__xludf.DUMMYFUNCTION("""COMPUTED_VALUE"""),0.59743)</f>
        <v>0.59743000000000002</v>
      </c>
      <c r="H2102" s="2">
        <f ca="1">IFERROR(__xludf.DUMMYFUNCTION("""COMPUTED_VALUE"""),50.857)</f>
        <v>50.856999999999999</v>
      </c>
      <c r="I2102" s="2">
        <f ca="1">IFERROR(__xludf.DUMMYFUNCTION("""COMPUTED_VALUE"""),50.115)</f>
        <v>50.115000000000002</v>
      </c>
      <c r="J2102" s="2">
        <f ca="1">IFERROR(__xludf.DUMMYFUNCTION("""COMPUTED_VALUE"""),47.997)</f>
        <v>47.997</v>
      </c>
      <c r="K2102" s="2">
        <f ca="1">IFERROR(__xludf.DUMMYFUNCTION("""COMPUTED_VALUE"""),68.476)</f>
        <v>68.475999999999999</v>
      </c>
      <c r="M2102" s="2">
        <f ca="1">IFERROR(__xludf.DUMMYFUNCTION("""COMPUTED_VALUE"""),18.358)</f>
        <v>18.358000000000001</v>
      </c>
      <c r="U2102" s="3" t="e">
        <f ca="1"/>
        <v>#NAME?</v>
      </c>
    </row>
    <row r="2103" spans="3:21" ht="12.5" x14ac:dyDescent="0.25">
      <c r="C2103" s="4">
        <f ca="1">IFERROR(__xludf.DUMMYFUNCTION("""COMPUTED_VALUE"""),42481.9986111111)</f>
        <v>42481.998611111099</v>
      </c>
      <c r="D2103" s="2">
        <f ca="1">IFERROR(__xludf.DUMMYFUNCTION("""COMPUTED_VALUE"""),66.512)</f>
        <v>66.512</v>
      </c>
      <c r="E2103" s="2">
        <f ca="1">IFERROR(__xludf.DUMMYFUNCTION("""COMPUTED_VALUE"""),72.876)</f>
        <v>72.876000000000005</v>
      </c>
      <c r="F2103" s="2">
        <f ca="1">IFERROR(__xludf.DUMMYFUNCTION("""COMPUTED_VALUE"""),96.426)</f>
        <v>96.426000000000002</v>
      </c>
      <c r="G2103" s="2">
        <f ca="1">IFERROR(__xludf.DUMMYFUNCTION("""COMPUTED_VALUE"""),0.59826)</f>
        <v>0.59826000000000001</v>
      </c>
      <c r="H2103" s="2">
        <f ca="1">IFERROR(__xludf.DUMMYFUNCTION("""COMPUTED_VALUE"""),50.863)</f>
        <v>50.863</v>
      </c>
      <c r="I2103" s="2">
        <f ca="1">IFERROR(__xludf.DUMMYFUNCTION("""COMPUTED_VALUE"""),50.121)</f>
        <v>50.121000000000002</v>
      </c>
      <c r="J2103" s="2">
        <f ca="1">IFERROR(__xludf.DUMMYFUNCTION("""COMPUTED_VALUE"""),47.963)</f>
        <v>47.963000000000001</v>
      </c>
      <c r="K2103" s="2">
        <f ca="1">IFERROR(__xludf.DUMMYFUNCTION("""COMPUTED_VALUE"""),68.368)</f>
        <v>68.367999999999995</v>
      </c>
      <c r="M2103" s="2">
        <f ca="1">IFERROR(__xludf.DUMMYFUNCTION("""COMPUTED_VALUE"""),18.353)</f>
        <v>18.353000000000002</v>
      </c>
      <c r="U2103" s="3" t="e">
        <f ca="1"/>
        <v>#NAME?</v>
      </c>
    </row>
    <row r="2104" spans="3:21" ht="12.5" x14ac:dyDescent="0.25">
      <c r="C2104" s="4">
        <f ca="1">IFERROR(__xludf.DUMMYFUNCTION("""COMPUTED_VALUE"""),42482.9986111111)</f>
        <v>42482.998611111099</v>
      </c>
      <c r="D2104" s="2">
        <f ca="1">IFERROR(__xludf.DUMMYFUNCTION("""COMPUTED_VALUE"""),66.653)</f>
        <v>66.653000000000006</v>
      </c>
      <c r="E2104" s="2">
        <f ca="1">IFERROR(__xludf.DUMMYFUNCTION("""COMPUTED_VALUE"""),72.832)</f>
        <v>72.831999999999994</v>
      </c>
      <c r="F2104" s="2">
        <f ca="1">IFERROR(__xludf.DUMMYFUNCTION("""COMPUTED_VALUE"""),96.106)</f>
        <v>96.105999999999995</v>
      </c>
      <c r="G2104" s="2">
        <f ca="1">IFERROR(__xludf.DUMMYFUNCTION("""COMPUTED_VALUE"""),0.5979)</f>
        <v>0.59789999999999999</v>
      </c>
      <c r="H2104" s="2">
        <f ca="1">IFERROR(__xludf.DUMMYFUNCTION("""COMPUTED_VALUE"""),50.691)</f>
        <v>50.691000000000003</v>
      </c>
      <c r="I2104" s="2">
        <f ca="1">IFERROR(__xludf.DUMMYFUNCTION("""COMPUTED_VALUE"""),50.008)</f>
        <v>50.008000000000003</v>
      </c>
      <c r="J2104" s="2">
        <f ca="1">IFERROR(__xludf.DUMMYFUNCTION("""COMPUTED_VALUE"""),47.958)</f>
        <v>47.957999999999998</v>
      </c>
      <c r="K2104" s="2">
        <f ca="1">IFERROR(__xludf.DUMMYFUNCTION("""COMPUTED_VALUE"""),68.568)</f>
        <v>68.567999999999998</v>
      </c>
      <c r="M2104" s="2">
        <f ca="1">IFERROR(__xludf.DUMMYFUNCTION("""COMPUTED_VALUE"""),18.349)</f>
        <v>18.349</v>
      </c>
      <c r="U2104" s="3" t="e">
        <f ca="1"/>
        <v>#NAME?</v>
      </c>
    </row>
    <row r="2105" spans="3:21" ht="12.5" x14ac:dyDescent="0.25">
      <c r="C2105" s="4">
        <f ca="1">IFERROR(__xludf.DUMMYFUNCTION("""COMPUTED_VALUE"""),42485.9986111111)</f>
        <v>42485.998611111099</v>
      </c>
      <c r="D2105" s="2">
        <f ca="1">IFERROR(__xludf.DUMMYFUNCTION("""COMPUTED_VALUE"""),66.705)</f>
        <v>66.704999999999998</v>
      </c>
      <c r="E2105" s="2">
        <f ca="1">IFERROR(__xludf.DUMMYFUNCTION("""COMPUTED_VALUE"""),71.8878)</f>
        <v>71.887799999999999</v>
      </c>
      <c r="F2105" s="2">
        <f ca="1">IFERROR(__xludf.DUMMYFUNCTION("""COMPUTED_VALUE"""),96.123)</f>
        <v>96.123000000000005</v>
      </c>
      <c r="G2105" s="2">
        <f ca="1">IFERROR(__xludf.DUMMYFUNCTION("""COMPUTED_VALUE"""),0.59674)</f>
        <v>0.59674000000000005</v>
      </c>
      <c r="H2105" s="2">
        <f ca="1">IFERROR(__xludf.DUMMYFUNCTION("""COMPUTED_VALUE"""),51.033)</f>
        <v>51.033000000000001</v>
      </c>
      <c r="I2105" s="2">
        <f ca="1">IFERROR(__xludf.DUMMYFUNCTION("""COMPUTED_VALUE"""),49.966)</f>
        <v>49.966000000000001</v>
      </c>
      <c r="J2105" s="2">
        <f ca="1">IFERROR(__xludf.DUMMYFUNCTION("""COMPUTED_VALUE"""),47.884)</f>
        <v>47.884</v>
      </c>
      <c r="K2105" s="2">
        <f ca="1">IFERROR(__xludf.DUMMYFUNCTION("""COMPUTED_VALUE"""),68.643)</f>
        <v>68.643000000000001</v>
      </c>
      <c r="M2105" s="2">
        <f ca="1">IFERROR(__xludf.DUMMYFUNCTION("""COMPUTED_VALUE"""),18.405)</f>
        <v>18.405000000000001</v>
      </c>
      <c r="U2105" s="3" t="e">
        <f ca="1"/>
        <v>#NAME?</v>
      </c>
    </row>
    <row r="2106" spans="3:21" ht="12.5" x14ac:dyDescent="0.25">
      <c r="C2106" s="4">
        <f ca="1">IFERROR(__xludf.DUMMYFUNCTION("""COMPUTED_VALUE"""),42486.9986111111)</f>
        <v>42486.998611111099</v>
      </c>
      <c r="D2106" s="2">
        <f ca="1">IFERROR(__xludf.DUMMYFUNCTION("""COMPUTED_VALUE"""),66.457)</f>
        <v>66.456999999999994</v>
      </c>
      <c r="E2106" s="2">
        <f ca="1">IFERROR(__xludf.DUMMYFUNCTION("""COMPUTED_VALUE"""),73.07)</f>
        <v>73.069999999999993</v>
      </c>
      <c r="F2106" s="2">
        <f ca="1">IFERROR(__xludf.DUMMYFUNCTION("""COMPUTED_VALUE"""),95.603)</f>
        <v>95.602999999999994</v>
      </c>
      <c r="G2106" s="2">
        <f ca="1">IFERROR(__xludf.DUMMYFUNCTION("""COMPUTED_VALUE"""),0.59321)</f>
        <v>0.59321000000000002</v>
      </c>
      <c r="H2106" s="2">
        <f ca="1">IFERROR(__xludf.DUMMYFUNCTION("""COMPUTED_VALUE"""),51.091)</f>
        <v>51.091000000000001</v>
      </c>
      <c r="I2106" s="2">
        <f ca="1">IFERROR(__xludf.DUMMYFUNCTION("""COMPUTED_VALUE"""),49.946)</f>
        <v>49.945999999999998</v>
      </c>
      <c r="J2106" s="2">
        <f ca="1">IFERROR(__xludf.DUMMYFUNCTION("""COMPUTED_VALUE"""),48.057)</f>
        <v>48.057000000000002</v>
      </c>
      <c r="K2106" s="2">
        <f ca="1">IFERROR(__xludf.DUMMYFUNCTION("""COMPUTED_VALUE"""),69.447)</f>
        <v>69.447000000000003</v>
      </c>
      <c r="M2106" s="2">
        <f ca="1">IFERROR(__xludf.DUMMYFUNCTION("""COMPUTED_VALUE"""),18.31)</f>
        <v>18.309999999999999</v>
      </c>
      <c r="U2106" s="3" t="e">
        <f ca="1"/>
        <v>#NAME?</v>
      </c>
    </row>
    <row r="2107" spans="3:21" ht="12.5" x14ac:dyDescent="0.25">
      <c r="C2107" s="4">
        <f ca="1">IFERROR(__xludf.DUMMYFUNCTION("""COMPUTED_VALUE"""),42487.9986111111)</f>
        <v>42487.998611111099</v>
      </c>
      <c r="D2107" s="2">
        <f ca="1">IFERROR(__xludf.DUMMYFUNCTION("""COMPUTED_VALUE"""),66.355)</f>
        <v>66.355000000000004</v>
      </c>
      <c r="E2107" s="2">
        <f ca="1">IFERROR(__xludf.DUMMYFUNCTION("""COMPUTED_VALUE"""),73.641)</f>
        <v>73.641000000000005</v>
      </c>
      <c r="F2107" s="2">
        <f ca="1">IFERROR(__xludf.DUMMYFUNCTION("""COMPUTED_VALUE"""),94.95)</f>
        <v>94.95</v>
      </c>
      <c r="G2107" s="2">
        <f ca="1">IFERROR(__xludf.DUMMYFUNCTION("""COMPUTED_VALUE"""),0.59238)</f>
        <v>0.59238000000000002</v>
      </c>
      <c r="H2107" s="2">
        <f ca="1">IFERROR(__xludf.DUMMYFUNCTION("""COMPUTED_VALUE"""),50.721)</f>
        <v>50.720999999999997</v>
      </c>
      <c r="I2107" s="2">
        <f ca="1">IFERROR(__xludf.DUMMYFUNCTION("""COMPUTED_VALUE"""),49.923)</f>
        <v>49.923000000000002</v>
      </c>
      <c r="J2107" s="2">
        <f ca="1">IFERROR(__xludf.DUMMYFUNCTION("""COMPUTED_VALUE"""),48.027)</f>
        <v>48.027000000000001</v>
      </c>
      <c r="K2107" s="2">
        <f ca="1">IFERROR(__xludf.DUMMYFUNCTION("""COMPUTED_VALUE"""),69.531)</f>
        <v>69.531000000000006</v>
      </c>
      <c r="M2107" s="2">
        <f ca="1">IFERROR(__xludf.DUMMYFUNCTION("""COMPUTED_VALUE"""),18.215)</f>
        <v>18.215</v>
      </c>
      <c r="U2107" s="3" t="e">
        <f ca="1"/>
        <v>#NAME?</v>
      </c>
    </row>
    <row r="2108" spans="3:21" ht="12.5" x14ac:dyDescent="0.25">
      <c r="C2108" s="4">
        <f ca="1">IFERROR(__xludf.DUMMYFUNCTION("""COMPUTED_VALUE"""),42488.9986111111)</f>
        <v>42488.998611111099</v>
      </c>
      <c r="D2108" s="2">
        <f ca="1">IFERROR(__xludf.DUMMYFUNCTION("""COMPUTED_VALUE"""),66.438)</f>
        <v>66.438000000000002</v>
      </c>
      <c r="E2108" s="2">
        <f ca="1">IFERROR(__xludf.DUMMYFUNCTION("""COMPUTED_VALUE"""),74.011)</f>
        <v>74.010999999999996</v>
      </c>
      <c r="F2108" s="2">
        <f ca="1">IFERROR(__xludf.DUMMYFUNCTION("""COMPUTED_VALUE"""),94.425)</f>
        <v>94.424999999999997</v>
      </c>
      <c r="G2108" s="2">
        <f ca="1">IFERROR(__xludf.DUMMYFUNCTION("""COMPUTED_VALUE"""),0.59021)</f>
        <v>0.59021000000000001</v>
      </c>
      <c r="H2108" s="2">
        <f ca="1">IFERROR(__xludf.DUMMYFUNCTION("""COMPUTED_VALUE"""),50.664)</f>
        <v>50.664000000000001</v>
      </c>
      <c r="I2108" s="2">
        <f ca="1">IFERROR(__xludf.DUMMYFUNCTION("""COMPUTED_VALUE"""),49.793)</f>
        <v>49.792999999999999</v>
      </c>
      <c r="J2108" s="2">
        <f ca="1">IFERROR(__xludf.DUMMYFUNCTION("""COMPUTED_VALUE"""),47.921)</f>
        <v>47.920999999999999</v>
      </c>
      <c r="K2108" s="2">
        <f ca="1">IFERROR(__xludf.DUMMYFUNCTION("""COMPUTED_VALUE"""),69.929)</f>
        <v>69.929000000000002</v>
      </c>
      <c r="M2108" s="2">
        <f ca="1">IFERROR(__xludf.DUMMYFUNCTION("""COMPUTED_VALUE"""),18.251)</f>
        <v>18.251000000000001</v>
      </c>
      <c r="U2108" s="3" t="e">
        <f ca="1"/>
        <v>#NAME?</v>
      </c>
    </row>
    <row r="2109" spans="3:21" ht="12.5" x14ac:dyDescent="0.25">
      <c r="C2109" s="4">
        <f ca="1">IFERROR(__xludf.DUMMYFUNCTION("""COMPUTED_VALUE"""),42489.9986111111)</f>
        <v>42489.998611111099</v>
      </c>
      <c r="D2109" s="2">
        <f ca="1">IFERROR(__xludf.DUMMYFUNCTION("""COMPUTED_VALUE"""),66.418)</f>
        <v>66.418000000000006</v>
      </c>
      <c r="E2109" s="2">
        <f ca="1">IFERROR(__xludf.DUMMYFUNCTION("""COMPUTED_VALUE"""),73.951)</f>
        <v>73.950999999999993</v>
      </c>
      <c r="F2109" s="2">
        <f ca="1">IFERROR(__xludf.DUMMYFUNCTION("""COMPUTED_VALUE"""),94.665)</f>
        <v>94.665000000000006</v>
      </c>
      <c r="G2109" s="2">
        <f ca="1">IFERROR(__xludf.DUMMYFUNCTION("""COMPUTED_VALUE"""),0.58451)</f>
        <v>0.58450999999999997</v>
      </c>
      <c r="H2109" s="2">
        <f ca="1">IFERROR(__xludf.DUMMYFUNCTION("""COMPUTED_VALUE"""),50.659)</f>
        <v>50.658999999999999</v>
      </c>
      <c r="I2109" s="2">
        <f ca="1">IFERROR(__xludf.DUMMYFUNCTION("""COMPUTED_VALUE"""),49.637)</f>
        <v>49.637</v>
      </c>
      <c r="J2109" s="2">
        <f ca="1">IFERROR(__xludf.DUMMYFUNCTION("""COMPUTED_VALUE"""),47.889)</f>
        <v>47.889000000000003</v>
      </c>
      <c r="K2109" s="2">
        <f ca="1">IFERROR(__xludf.DUMMYFUNCTION("""COMPUTED_VALUE"""),69.884)</f>
        <v>69.884</v>
      </c>
      <c r="M2109" s="2">
        <f ca="1">IFERROR(__xludf.DUMMYFUNCTION("""COMPUTED_VALUE"""),18.244)</f>
        <v>18.244</v>
      </c>
      <c r="U2109" s="3" t="e">
        <f ca="1"/>
        <v>#NAME?</v>
      </c>
    </row>
    <row r="2110" spans="3:21" ht="12.5" x14ac:dyDescent="0.25">
      <c r="C2110" s="4">
        <f ca="1">IFERROR(__xludf.DUMMYFUNCTION("""COMPUTED_VALUE"""),42490.9986111111)</f>
        <v>42490.998611111099</v>
      </c>
      <c r="D2110" s="2">
        <f ca="1">IFERROR(__xludf.DUMMYFUNCTION("""COMPUTED_VALUE"""),66.418)</f>
        <v>66.418000000000006</v>
      </c>
      <c r="E2110" s="2">
        <f ca="1">IFERROR(__xludf.DUMMYFUNCTION("""COMPUTED_VALUE"""),73.0964)</f>
        <v>73.096400000000003</v>
      </c>
      <c r="F2110" s="2">
        <f ca="1">IFERROR(__xludf.DUMMYFUNCTION("""COMPUTED_VALUE"""),94.574)</f>
        <v>94.573999999999998</v>
      </c>
      <c r="G2110" s="2">
        <f ca="1">IFERROR(__xludf.DUMMYFUNCTION("""COMPUTED_VALUE"""),0.57795)</f>
        <v>0.57794999999999996</v>
      </c>
      <c r="H2110" s="2">
        <f ca="1">IFERROR(__xludf.DUMMYFUNCTION("""COMPUTED_VALUE"""),50.942)</f>
        <v>50.942</v>
      </c>
      <c r="I2110" s="2">
        <f ca="1">IFERROR(__xludf.DUMMYFUNCTION("""COMPUTED_VALUE"""),49.743)</f>
        <v>49.743000000000002</v>
      </c>
      <c r="J2110" s="2">
        <f ca="1">IFERROR(__xludf.DUMMYFUNCTION("""COMPUTED_VALUE"""),47.858)</f>
        <v>47.857999999999997</v>
      </c>
      <c r="K2110" s="2">
        <f ca="1">IFERROR(__xludf.DUMMYFUNCTION("""COMPUTED_VALUE"""),69.747)</f>
        <v>69.747</v>
      </c>
      <c r="M2110" s="2">
        <f ca="1">IFERROR(__xludf.DUMMYFUNCTION("""COMPUTED_VALUE"""),18.281)</f>
        <v>18.280999999999999</v>
      </c>
      <c r="U2110" s="3" t="e">
        <f ca="1"/>
        <v>#NAME?</v>
      </c>
    </row>
    <row r="2111" spans="3:21" ht="12.5" x14ac:dyDescent="0.25">
      <c r="C2111" s="4">
        <f ca="1">IFERROR(__xludf.DUMMYFUNCTION("""COMPUTED_VALUE"""),42492.9986111111)</f>
        <v>42492.998611111099</v>
      </c>
      <c r="D2111" s="2">
        <f ca="1">IFERROR(__xludf.DUMMYFUNCTION("""COMPUTED_VALUE"""),66.371)</f>
        <v>66.370999999999995</v>
      </c>
      <c r="E2111" s="2">
        <f ca="1">IFERROR(__xludf.DUMMYFUNCTION("""COMPUTED_VALUE"""),73.67)</f>
        <v>73.67</v>
      </c>
      <c r="F2111" s="2">
        <f ca="1">IFERROR(__xludf.DUMMYFUNCTION("""COMPUTED_VALUE"""),95.396)</f>
        <v>95.396000000000001</v>
      </c>
      <c r="G2111" s="2">
        <f ca="1">IFERROR(__xludf.DUMMYFUNCTION("""COMPUTED_VALUE"""),0.58497)</f>
        <v>0.58496999999999999</v>
      </c>
      <c r="H2111" s="2">
        <f ca="1">IFERROR(__xludf.DUMMYFUNCTION("""COMPUTED_VALUE"""),51.048)</f>
        <v>51.048000000000002</v>
      </c>
      <c r="I2111" s="2">
        <f ca="1">IFERROR(__xludf.DUMMYFUNCTION("""COMPUTED_VALUE"""),49.802)</f>
        <v>49.802</v>
      </c>
      <c r="J2111" s="2">
        <f ca="1">IFERROR(__xludf.DUMMYFUNCTION("""COMPUTED_VALUE"""),47.953)</f>
        <v>47.953000000000003</v>
      </c>
      <c r="K2111" s="2">
        <f ca="1">IFERROR(__xludf.DUMMYFUNCTION("""COMPUTED_VALUE"""),69.606)</f>
        <v>69.605999999999995</v>
      </c>
      <c r="M2111" s="2">
        <f ca="1">IFERROR(__xludf.DUMMYFUNCTION("""COMPUTED_VALUE"""),18.293)</f>
        <v>18.292999999999999</v>
      </c>
      <c r="U2111" s="3" t="e">
        <f ca="1"/>
        <v>#NAME?</v>
      </c>
    </row>
    <row r="2112" spans="3:21" ht="12.5" x14ac:dyDescent="0.25">
      <c r="C2112" s="4">
        <f ca="1">IFERROR(__xludf.DUMMYFUNCTION("""COMPUTED_VALUE"""),42493.9986111111)</f>
        <v>42493.998611111099</v>
      </c>
      <c r="D2112" s="2">
        <f ca="1">IFERROR(__xludf.DUMMYFUNCTION("""COMPUTED_VALUE"""),66.592)</f>
        <v>66.591999999999999</v>
      </c>
      <c r="E2112" s="2">
        <f ca="1">IFERROR(__xludf.DUMMYFUNCTION("""COMPUTED_VALUE"""),72.896)</f>
        <v>72.896000000000001</v>
      </c>
      <c r="F2112" s="2">
        <f ca="1">IFERROR(__xludf.DUMMYFUNCTION("""COMPUTED_VALUE"""),95.488)</f>
        <v>95.488</v>
      </c>
      <c r="G2112" s="2">
        <f ca="1">IFERROR(__xludf.DUMMYFUNCTION("""COMPUTED_VALUE"""),0.58565)</f>
        <v>0.58565</v>
      </c>
      <c r="H2112" s="2">
        <f ca="1">IFERROR(__xludf.DUMMYFUNCTION("""COMPUTED_VALUE"""),51.2)</f>
        <v>51.2</v>
      </c>
      <c r="I2112" s="2">
        <f ca="1">IFERROR(__xludf.DUMMYFUNCTION("""COMPUTED_VALUE"""),49.749)</f>
        <v>49.749000000000002</v>
      </c>
      <c r="J2112" s="2">
        <f ca="1">IFERROR(__xludf.DUMMYFUNCTION("""COMPUTED_VALUE"""),48.181)</f>
        <v>48.180999999999997</v>
      </c>
      <c r="K2112" s="2">
        <f ca="1">IFERROR(__xludf.DUMMYFUNCTION("""COMPUTED_VALUE"""),69.357)</f>
        <v>69.356999999999999</v>
      </c>
      <c r="M2112" s="2">
        <f ca="1">IFERROR(__xludf.DUMMYFUNCTION("""COMPUTED_VALUE"""),18.354)</f>
        <v>18.353999999999999</v>
      </c>
      <c r="U2112" s="3" t="e">
        <f ca="1"/>
        <v>#NAME?</v>
      </c>
    </row>
    <row r="2113" spans="3:21" ht="12.5" x14ac:dyDescent="0.25">
      <c r="C2113" s="4">
        <f ca="1">IFERROR(__xludf.DUMMYFUNCTION("""COMPUTED_VALUE"""),42494.9986111111)</f>
        <v>42494.998611111099</v>
      </c>
      <c r="D2113" s="2">
        <f ca="1">IFERROR(__xludf.DUMMYFUNCTION("""COMPUTED_VALUE"""),66.62)</f>
        <v>66.62</v>
      </c>
      <c r="E2113" s="2">
        <f ca="1">IFERROR(__xludf.DUMMYFUNCTION("""COMPUTED_VALUE"""),72.551)</f>
        <v>72.551000000000002</v>
      </c>
      <c r="F2113" s="2">
        <f ca="1">IFERROR(__xludf.DUMMYFUNCTION("""COMPUTED_VALUE"""),95.418)</f>
        <v>95.418000000000006</v>
      </c>
      <c r="G2113" s="2">
        <f ca="1">IFERROR(__xludf.DUMMYFUNCTION("""COMPUTED_VALUE"""),0.5841)</f>
        <v>0.58409999999999995</v>
      </c>
      <c r="H2113" s="2">
        <f ca="1">IFERROR(__xludf.DUMMYFUNCTION("""COMPUTED_VALUE"""),51.232)</f>
        <v>51.231999999999999</v>
      </c>
      <c r="I2113" s="2">
        <f ca="1">IFERROR(__xludf.DUMMYFUNCTION("""COMPUTED_VALUE"""),49.792)</f>
        <v>49.792000000000002</v>
      </c>
      <c r="J2113" s="2">
        <f ca="1">IFERROR(__xludf.DUMMYFUNCTION("""COMPUTED_VALUE"""),48.13)</f>
        <v>48.13</v>
      </c>
      <c r="K2113" s="2">
        <f ca="1">IFERROR(__xludf.DUMMYFUNCTION("""COMPUTED_VALUE"""),69.234)</f>
        <v>69.233999999999995</v>
      </c>
      <c r="M2113" s="2">
        <f ca="1">IFERROR(__xludf.DUMMYFUNCTION("""COMPUTED_VALUE"""),18.307)</f>
        <v>18.306999999999999</v>
      </c>
      <c r="U2113" s="3" t="e">
        <f ca="1"/>
        <v>#NAME?</v>
      </c>
    </row>
    <row r="2114" spans="3:21" ht="12.5" x14ac:dyDescent="0.25">
      <c r="C2114" s="4">
        <f ca="1">IFERROR(__xludf.DUMMYFUNCTION("""COMPUTED_VALUE"""),42495.9986111111)</f>
        <v>42495.998611111099</v>
      </c>
      <c r="D2114" s="2">
        <f ca="1">IFERROR(__xludf.DUMMYFUNCTION("""COMPUTED_VALUE"""),66.602)</f>
        <v>66.602000000000004</v>
      </c>
      <c r="E2114" s="2">
        <f ca="1">IFERROR(__xludf.DUMMYFUNCTION("""COMPUTED_VALUE"""),72.73)</f>
        <v>72.73</v>
      </c>
      <c r="F2114" s="2">
        <f ca="1">IFERROR(__xludf.DUMMYFUNCTION("""COMPUTED_VALUE"""),95.177)</f>
        <v>95.177000000000007</v>
      </c>
      <c r="G2114" s="2">
        <f ca="1">IFERROR(__xludf.DUMMYFUNCTION("""COMPUTED_VALUE"""),0.57508)</f>
        <v>0.57508000000000004</v>
      </c>
      <c r="H2114" s="2">
        <f ca="1">IFERROR(__xludf.DUMMYFUNCTION("""COMPUTED_VALUE"""),51.451)</f>
        <v>51.451000000000001</v>
      </c>
      <c r="I2114" s="2">
        <f ca="1">IFERROR(__xludf.DUMMYFUNCTION("""COMPUTED_VALUE"""),49.86)</f>
        <v>49.86</v>
      </c>
      <c r="J2114" s="2">
        <f ca="1">IFERROR(__xludf.DUMMYFUNCTION("""COMPUTED_VALUE"""),48.292)</f>
        <v>48.292000000000002</v>
      </c>
      <c r="K2114" s="2">
        <f ca="1">IFERROR(__xludf.DUMMYFUNCTION("""COMPUTED_VALUE"""),68.57)</f>
        <v>68.569999999999993</v>
      </c>
      <c r="M2114" s="2">
        <f ca="1">IFERROR(__xludf.DUMMYFUNCTION("""COMPUTED_VALUE"""),18.176)</f>
        <v>18.175999999999998</v>
      </c>
      <c r="U2114" s="3" t="e">
        <f ca="1"/>
        <v>#NAME?</v>
      </c>
    </row>
    <row r="2115" spans="3:21" ht="12.5" x14ac:dyDescent="0.25">
      <c r="C2115" s="4">
        <f ca="1">IFERROR(__xludf.DUMMYFUNCTION("""COMPUTED_VALUE"""),42496.9986111111)</f>
        <v>42496.998611111099</v>
      </c>
      <c r="D2115" s="2">
        <f ca="1">IFERROR(__xludf.DUMMYFUNCTION("""COMPUTED_VALUE"""),66.594)</f>
        <v>66.593999999999994</v>
      </c>
      <c r="E2115" s="2">
        <f ca="1">IFERROR(__xludf.DUMMYFUNCTION("""COMPUTED_VALUE"""),73.269)</f>
        <v>73.269000000000005</v>
      </c>
      <c r="F2115" s="2">
        <f ca="1">IFERROR(__xludf.DUMMYFUNCTION("""COMPUTED_VALUE"""),94.421)</f>
        <v>94.421000000000006</v>
      </c>
      <c r="G2115" s="2">
        <f ca="1">IFERROR(__xludf.DUMMYFUNCTION("""COMPUTED_VALUE"""),0.57321)</f>
        <v>0.57321</v>
      </c>
      <c r="H2115" s="2">
        <f ca="1">IFERROR(__xludf.DUMMYFUNCTION("""COMPUTED_VALUE"""),51.237)</f>
        <v>51.237000000000002</v>
      </c>
      <c r="I2115" s="2">
        <f ca="1">IFERROR(__xludf.DUMMYFUNCTION("""COMPUTED_VALUE"""),49.763)</f>
        <v>49.762999999999998</v>
      </c>
      <c r="J2115" s="2">
        <f ca="1">IFERROR(__xludf.DUMMYFUNCTION("""COMPUTED_VALUE"""),47.978)</f>
        <v>47.978000000000002</v>
      </c>
      <c r="K2115" s="2">
        <f ca="1">IFERROR(__xludf.DUMMYFUNCTION("""COMPUTED_VALUE"""),68.569)</f>
        <v>68.569000000000003</v>
      </c>
      <c r="M2115" s="2">
        <f ca="1">IFERROR(__xludf.DUMMYFUNCTION("""COMPUTED_VALUE"""),18.173)</f>
        <v>18.172999999999998</v>
      </c>
      <c r="U2115" s="3" t="e">
        <f ca="1"/>
        <v>#NAME?</v>
      </c>
    </row>
    <row r="2116" spans="3:21" ht="12.5" x14ac:dyDescent="0.25">
      <c r="C2116" s="4">
        <f ca="1">IFERROR(__xludf.DUMMYFUNCTION("""COMPUTED_VALUE"""),42499.9986111111)</f>
        <v>42499.998611111099</v>
      </c>
      <c r="D2116" s="2">
        <f ca="1">IFERROR(__xludf.DUMMYFUNCTION("""COMPUTED_VALUE"""),66.721)</f>
        <v>66.721000000000004</v>
      </c>
      <c r="E2116" s="2">
        <f ca="1">IFERROR(__xludf.DUMMYFUNCTION("""COMPUTED_VALUE"""),73.269)</f>
        <v>73.269000000000005</v>
      </c>
      <c r="F2116" s="2">
        <f ca="1">IFERROR(__xludf.DUMMYFUNCTION("""COMPUTED_VALUE"""),94.421)</f>
        <v>94.421000000000006</v>
      </c>
      <c r="G2116" s="2">
        <f ca="1">IFERROR(__xludf.DUMMYFUNCTION("""COMPUTED_VALUE"""),0.57476)</f>
        <v>0.57476000000000005</v>
      </c>
      <c r="H2116" s="2">
        <f ca="1">IFERROR(__xludf.DUMMYFUNCTION("""COMPUTED_VALUE"""),50.818)</f>
        <v>50.817999999999998</v>
      </c>
      <c r="I2116" s="2">
        <f ca="1">IFERROR(__xludf.DUMMYFUNCTION("""COMPUTED_VALUE"""),49.535)</f>
        <v>49.534999999999997</v>
      </c>
      <c r="J2116" s="2">
        <f ca="1">IFERROR(__xludf.DUMMYFUNCTION("""COMPUTED_VALUE"""),47.687)</f>
        <v>47.686999999999998</v>
      </c>
      <c r="K2116" s="2">
        <f ca="1">IFERROR(__xludf.DUMMYFUNCTION("""COMPUTED_VALUE"""),68.211)</f>
        <v>68.210999999999999</v>
      </c>
      <c r="M2116" s="2">
        <f ca="1">IFERROR(__xludf.DUMMYFUNCTION("""COMPUTED_VALUE"""),18.174)</f>
        <v>18.173999999999999</v>
      </c>
      <c r="U2116" s="3" t="e">
        <f ca="1"/>
        <v>#NAME?</v>
      </c>
    </row>
    <row r="2117" spans="3:21" ht="12.5" x14ac:dyDescent="0.25">
      <c r="C2117" s="4">
        <f ca="1">IFERROR(__xludf.DUMMYFUNCTION("""COMPUTED_VALUE"""),42500.9986111111)</f>
        <v>42500.998611111099</v>
      </c>
      <c r="D2117" s="2">
        <f ca="1">IFERROR(__xludf.DUMMYFUNCTION("""COMPUTED_VALUE"""),66.666)</f>
        <v>66.665999999999997</v>
      </c>
      <c r="E2117" s="2">
        <f ca="1">IFERROR(__xludf.DUMMYFUNCTION("""COMPUTED_VALUE"""),73.269)</f>
        <v>73.269000000000005</v>
      </c>
      <c r="F2117" s="2">
        <f ca="1">IFERROR(__xludf.DUMMYFUNCTION("""COMPUTED_VALUE"""),94.404)</f>
        <v>94.403999999999996</v>
      </c>
      <c r="G2117" s="2">
        <f ca="1">IFERROR(__xludf.DUMMYFUNCTION("""COMPUTED_VALUE"""),0.56624)</f>
        <v>0.56623999999999997</v>
      </c>
      <c r="H2117" s="2">
        <f ca="1">IFERROR(__xludf.DUMMYFUNCTION("""COMPUTED_VALUE"""),50.848)</f>
        <v>50.847999999999999</v>
      </c>
      <c r="I2117" s="2">
        <f ca="1">IFERROR(__xludf.DUMMYFUNCTION("""COMPUTED_VALUE"""),49.584)</f>
        <v>49.584000000000003</v>
      </c>
      <c r="J2117" s="2">
        <f ca="1">IFERROR(__xludf.DUMMYFUNCTION("""COMPUTED_VALUE"""),47.493)</f>
        <v>47.493000000000002</v>
      </c>
      <c r="K2117" s="2">
        <f ca="1">IFERROR(__xludf.DUMMYFUNCTION("""COMPUTED_VALUE"""),68.55)</f>
        <v>68.55</v>
      </c>
      <c r="M2117" s="2">
        <f ca="1">IFERROR(__xludf.DUMMYFUNCTION("""COMPUTED_VALUE"""),18.094)</f>
        <v>18.094000000000001</v>
      </c>
      <c r="U2117" s="3" t="e">
        <f ca="1"/>
        <v>#NAME?</v>
      </c>
    </row>
    <row r="2118" spans="3:21" ht="12.5" x14ac:dyDescent="0.25">
      <c r="C2118" s="4">
        <f ca="1">IFERROR(__xludf.DUMMYFUNCTION("""COMPUTED_VALUE"""),42501.9986111111)</f>
        <v>42501.998611111099</v>
      </c>
      <c r="D2118" s="2">
        <f ca="1">IFERROR(__xludf.DUMMYFUNCTION("""COMPUTED_VALUE"""),66.591)</f>
        <v>66.590999999999994</v>
      </c>
      <c r="E2118" s="2">
        <f ca="1">IFERROR(__xludf.DUMMYFUNCTION("""COMPUTED_VALUE"""),72.773)</f>
        <v>72.772999999999996</v>
      </c>
      <c r="F2118" s="2">
        <f ca="1">IFERROR(__xludf.DUMMYFUNCTION("""COMPUTED_VALUE"""),94.322)</f>
        <v>94.322000000000003</v>
      </c>
      <c r="G2118" s="2">
        <f ca="1">IFERROR(__xludf.DUMMYFUNCTION("""COMPUTED_VALUE"""),0.57902)</f>
        <v>0.57901999999999998</v>
      </c>
      <c r="H2118" s="2">
        <f ca="1">IFERROR(__xludf.DUMMYFUNCTION("""COMPUTED_VALUE"""),50.947)</f>
        <v>50.947000000000003</v>
      </c>
      <c r="I2118" s="2">
        <f ca="1">IFERROR(__xludf.DUMMYFUNCTION("""COMPUTED_VALUE"""),49.843)</f>
        <v>49.843000000000004</v>
      </c>
      <c r="J2118" s="2">
        <f ca="1">IFERROR(__xludf.DUMMYFUNCTION("""COMPUTED_VALUE"""),47.336)</f>
        <v>47.335999999999999</v>
      </c>
      <c r="K2118" s="2">
        <f ca="1">IFERROR(__xludf.DUMMYFUNCTION("""COMPUTED_VALUE"""),68.212)</f>
        <v>68.212000000000003</v>
      </c>
      <c r="M2118" s="2">
        <f ca="1">IFERROR(__xludf.DUMMYFUNCTION("""COMPUTED_VALUE"""),18.168)</f>
        <v>18.167999999999999</v>
      </c>
      <c r="U2118" s="3" t="e">
        <f ca="1"/>
        <v>#NAME?</v>
      </c>
    </row>
    <row r="2119" spans="3:21" ht="12.5" x14ac:dyDescent="0.25">
      <c r="C2119" s="4">
        <f ca="1">IFERROR(__xludf.DUMMYFUNCTION("""COMPUTED_VALUE"""),42502.9986111111)</f>
        <v>42502.998611111099</v>
      </c>
      <c r="D2119" s="2">
        <f ca="1">IFERROR(__xludf.DUMMYFUNCTION("""COMPUTED_VALUE"""),66.751)</f>
        <v>66.751000000000005</v>
      </c>
      <c r="E2119" s="2">
        <f ca="1">IFERROR(__xludf.DUMMYFUNCTION("""COMPUTED_VALUE"""),72.588)</f>
        <v>72.587999999999994</v>
      </c>
      <c r="F2119" s="2">
        <f ca="1">IFERROR(__xludf.DUMMYFUNCTION("""COMPUTED_VALUE"""),94.119)</f>
        <v>94.119</v>
      </c>
      <c r="G2119" s="2">
        <f ca="1">IFERROR(__xludf.DUMMYFUNCTION("""COMPUTED_VALUE"""),0.5752)</f>
        <v>0.57520000000000004</v>
      </c>
      <c r="H2119" s="2">
        <f ca="1">IFERROR(__xludf.DUMMYFUNCTION("""COMPUTED_VALUE"""),50.973)</f>
        <v>50.972999999999999</v>
      </c>
      <c r="I2119" s="2">
        <f ca="1">IFERROR(__xludf.DUMMYFUNCTION("""COMPUTED_VALUE"""),49.802)</f>
        <v>49.802</v>
      </c>
      <c r="J2119" s="2">
        <f ca="1">IFERROR(__xludf.DUMMYFUNCTION("""COMPUTED_VALUE"""),47.807)</f>
        <v>47.807000000000002</v>
      </c>
      <c r="K2119" s="2">
        <f ca="1">IFERROR(__xludf.DUMMYFUNCTION("""COMPUTED_VALUE"""),68.027)</f>
        <v>68.027000000000001</v>
      </c>
      <c r="M2119" s="2">
        <f ca="1">IFERROR(__xludf.DUMMYFUNCTION("""COMPUTED_VALUE"""),18.228)</f>
        <v>18.228000000000002</v>
      </c>
      <c r="U2119" s="3" t="e">
        <f ca="1"/>
        <v>#NAME?</v>
      </c>
    </row>
    <row r="2120" spans="3:21" ht="12.5" x14ac:dyDescent="0.25">
      <c r="C2120" s="4">
        <f ca="1">IFERROR(__xludf.DUMMYFUNCTION("""COMPUTED_VALUE"""),42503.9986111111)</f>
        <v>42503.998611111099</v>
      </c>
      <c r="D2120" s="2">
        <f ca="1">IFERROR(__xludf.DUMMYFUNCTION("""COMPUTED_VALUE"""),66.9)</f>
        <v>66.900000000000006</v>
      </c>
      <c r="E2120" s="2">
        <f ca="1">IFERROR(__xludf.DUMMYFUNCTION("""COMPUTED_VALUE"""),72.722)</f>
        <v>72.721999999999994</v>
      </c>
      <c r="F2120" s="2">
        <f ca="1">IFERROR(__xludf.DUMMYFUNCTION("""COMPUTED_VALUE"""),94.033)</f>
        <v>94.033000000000001</v>
      </c>
      <c r="G2120" s="2">
        <f ca="1">IFERROR(__xludf.DUMMYFUNCTION("""COMPUTED_VALUE"""),0.57618)</f>
        <v>0.57618000000000003</v>
      </c>
      <c r="H2120" s="2">
        <f ca="1">IFERROR(__xludf.DUMMYFUNCTION("""COMPUTED_VALUE"""),50.973)</f>
        <v>50.972999999999999</v>
      </c>
      <c r="I2120" s="2">
        <f ca="1">IFERROR(__xludf.DUMMYFUNCTION("""COMPUTED_VALUE"""),49.802)</f>
        <v>49.802</v>
      </c>
      <c r="J2120" s="2">
        <f ca="1">IFERROR(__xludf.DUMMYFUNCTION("""COMPUTED_VALUE"""),47.777)</f>
        <v>47.777000000000001</v>
      </c>
      <c r="K2120" s="2">
        <f ca="1">IFERROR(__xludf.DUMMYFUNCTION("""COMPUTED_VALUE"""),68.092)</f>
        <v>68.091999999999999</v>
      </c>
      <c r="M2120" s="2">
        <f ca="1">IFERROR(__xludf.DUMMYFUNCTION("""COMPUTED_VALUE"""),18.282)</f>
        <v>18.282</v>
      </c>
      <c r="U2120" s="3" t="e">
        <f ca="1"/>
        <v>#NAME?</v>
      </c>
    </row>
    <row r="2121" spans="3:21" ht="12.5" x14ac:dyDescent="0.25">
      <c r="C2121" s="4">
        <f ca="1">IFERROR(__xludf.DUMMYFUNCTION("""COMPUTED_VALUE"""),42506.9986111111)</f>
        <v>42506.998611111099</v>
      </c>
      <c r="D2121" s="2">
        <f ca="1">IFERROR(__xludf.DUMMYFUNCTION("""COMPUTED_VALUE"""),66.875)</f>
        <v>66.875</v>
      </c>
      <c r="E2121" s="2">
        <f ca="1">IFERROR(__xludf.DUMMYFUNCTION("""COMPUTED_VALUE"""),72.13)</f>
        <v>72.13</v>
      </c>
      <c r="F2121" s="2">
        <f ca="1">IFERROR(__xludf.DUMMYFUNCTION("""COMPUTED_VALUE"""),93.865)</f>
        <v>93.864999999999995</v>
      </c>
      <c r="G2121" s="2">
        <f ca="1">IFERROR(__xludf.DUMMYFUNCTION("""COMPUTED_VALUE"""),0.57662)</f>
        <v>0.57662000000000002</v>
      </c>
      <c r="H2121" s="2">
        <f ca="1">IFERROR(__xludf.DUMMYFUNCTION("""COMPUTED_VALUE"""),51.245)</f>
        <v>51.244999999999997</v>
      </c>
      <c r="I2121" s="2">
        <f ca="1">IFERROR(__xludf.DUMMYFUNCTION("""COMPUTED_VALUE"""),50.013)</f>
        <v>50.012999999999998</v>
      </c>
      <c r="J2121" s="2">
        <f ca="1">IFERROR(__xludf.DUMMYFUNCTION("""COMPUTED_VALUE"""),47.777)</f>
        <v>47.777000000000001</v>
      </c>
      <c r="K2121" s="2">
        <f ca="1">IFERROR(__xludf.DUMMYFUNCTION("""COMPUTED_VALUE"""),68.069)</f>
        <v>68.069000000000003</v>
      </c>
      <c r="M2121" s="2">
        <f ca="1">IFERROR(__xludf.DUMMYFUNCTION("""COMPUTED_VALUE"""),18.316)</f>
        <v>18.315999999999999</v>
      </c>
      <c r="U2121" s="3" t="e">
        <f ca="1"/>
        <v>#NAME?</v>
      </c>
    </row>
    <row r="2122" spans="3:21" ht="12.5" x14ac:dyDescent="0.25">
      <c r="C2122" s="4">
        <f ca="1">IFERROR(__xludf.DUMMYFUNCTION("""COMPUTED_VALUE"""),42507.9986111111)</f>
        <v>42507.998611111099</v>
      </c>
      <c r="D2122" s="2">
        <f ca="1">IFERROR(__xludf.DUMMYFUNCTION("""COMPUTED_VALUE"""),66.868)</f>
        <v>66.867999999999995</v>
      </c>
      <c r="E2122" s="2">
        <f ca="1">IFERROR(__xludf.DUMMYFUNCTION("""COMPUTED_VALUE"""),72.12)</f>
        <v>72.12</v>
      </c>
      <c r="F2122" s="2">
        <f ca="1">IFERROR(__xludf.DUMMYFUNCTION("""COMPUTED_VALUE"""),93.996)</f>
        <v>93.995999999999995</v>
      </c>
      <c r="G2122" s="2">
        <f ca="1">IFERROR(__xludf.DUMMYFUNCTION("""COMPUTED_VALUE"""),0.57808)</f>
        <v>0.57808000000000004</v>
      </c>
      <c r="H2122" s="2">
        <f ca="1">IFERROR(__xludf.DUMMYFUNCTION("""COMPUTED_VALUE"""),51.118)</f>
        <v>51.118000000000002</v>
      </c>
      <c r="I2122" s="2">
        <f ca="1">IFERROR(__xludf.DUMMYFUNCTION("""COMPUTED_VALUE"""),50.304)</f>
        <v>50.304000000000002</v>
      </c>
      <c r="J2122" s="2">
        <f ca="1">IFERROR(__xludf.DUMMYFUNCTION("""COMPUTED_VALUE"""),47.883)</f>
        <v>47.883000000000003</v>
      </c>
      <c r="K2122" s="2">
        <f ca="1">IFERROR(__xludf.DUMMYFUNCTION("""COMPUTED_VALUE"""),67.734)</f>
        <v>67.733999999999995</v>
      </c>
      <c r="M2122" s="2">
        <f ca="1">IFERROR(__xludf.DUMMYFUNCTION("""COMPUTED_VALUE"""),18.258)</f>
        <v>18.257999999999999</v>
      </c>
      <c r="U2122" s="3" t="e">
        <f ca="1"/>
        <v>#NAME?</v>
      </c>
    </row>
    <row r="2123" spans="3:21" ht="12.5" x14ac:dyDescent="0.25">
      <c r="C2123" s="4">
        <f ca="1">IFERROR(__xludf.DUMMYFUNCTION("""COMPUTED_VALUE"""),42508.9986111111)</f>
        <v>42508.998611111099</v>
      </c>
      <c r="D2123" s="2">
        <f ca="1">IFERROR(__xludf.DUMMYFUNCTION("""COMPUTED_VALUE"""),67.16)</f>
        <v>67.16</v>
      </c>
      <c r="E2123" s="2">
        <f ca="1">IFERROR(__xludf.DUMMYFUNCTION("""COMPUTED_VALUE"""),71.4256)</f>
        <v>71.425600000000003</v>
      </c>
      <c r="F2123" s="2">
        <f ca="1">IFERROR(__xludf.DUMMYFUNCTION("""COMPUTED_VALUE"""),93.996)</f>
        <v>93.995999999999995</v>
      </c>
      <c r="G2123" s="2">
        <f ca="1">IFERROR(__xludf.DUMMYFUNCTION("""COMPUTED_VALUE"""),0.57078)</f>
        <v>0.57077999999999995</v>
      </c>
      <c r="H2123" s="2">
        <f ca="1">IFERROR(__xludf.DUMMYFUNCTION("""COMPUTED_VALUE"""),50.9)</f>
        <v>50.9</v>
      </c>
      <c r="I2123" s="2">
        <f ca="1">IFERROR(__xludf.DUMMYFUNCTION("""COMPUTED_VALUE"""),50.588)</f>
        <v>50.588000000000001</v>
      </c>
      <c r="J2123" s="2">
        <f ca="1">IFERROR(__xludf.DUMMYFUNCTION("""COMPUTED_VALUE"""),47.853)</f>
        <v>47.853000000000002</v>
      </c>
      <c r="K2123" s="2">
        <f ca="1">IFERROR(__xludf.DUMMYFUNCTION("""COMPUTED_VALUE"""),68.249)</f>
        <v>68.248999999999995</v>
      </c>
      <c r="M2123" s="2">
        <f ca="1">IFERROR(__xludf.DUMMYFUNCTION("""COMPUTED_VALUE"""),18.322)</f>
        <v>18.321999999999999</v>
      </c>
      <c r="U2123" s="3" t="e">
        <f ca="1"/>
        <v>#NAME?</v>
      </c>
    </row>
    <row r="2124" spans="3:21" ht="12.5" x14ac:dyDescent="0.25">
      <c r="C2124" s="4">
        <f ca="1">IFERROR(__xludf.DUMMYFUNCTION("""COMPUTED_VALUE"""),42509.9986111111)</f>
        <v>42509.998611111099</v>
      </c>
      <c r="D2124" s="2">
        <f ca="1">IFERROR(__xludf.DUMMYFUNCTION("""COMPUTED_VALUE"""),67.477)</f>
        <v>67.477000000000004</v>
      </c>
      <c r="E2124" s="2">
        <f ca="1">IFERROR(__xludf.DUMMYFUNCTION("""COMPUTED_VALUE"""),72.495)</f>
        <v>72.495000000000005</v>
      </c>
      <c r="F2124" s="2">
        <f ca="1">IFERROR(__xludf.DUMMYFUNCTION("""COMPUTED_VALUE"""),94.004)</f>
        <v>94.004000000000005</v>
      </c>
      <c r="G2124" s="2">
        <f ca="1">IFERROR(__xludf.DUMMYFUNCTION("""COMPUTED_VALUE"""),0.57777)</f>
        <v>0.57777000000000001</v>
      </c>
      <c r="H2124" s="2">
        <f ca="1">IFERROR(__xludf.DUMMYFUNCTION("""COMPUTED_VALUE"""),50.236)</f>
        <v>50.235999999999997</v>
      </c>
      <c r="I2124" s="2">
        <f ca="1">IFERROR(__xludf.DUMMYFUNCTION("""COMPUTED_VALUE"""),50.171)</f>
        <v>50.170999999999999</v>
      </c>
      <c r="J2124" s="2">
        <f ca="1">IFERROR(__xludf.DUMMYFUNCTION("""COMPUTED_VALUE"""),48.036)</f>
        <v>48.036000000000001</v>
      </c>
      <c r="K2124" s="2">
        <f ca="1">IFERROR(__xludf.DUMMYFUNCTION("""COMPUTED_VALUE"""),68.482)</f>
        <v>68.481999999999999</v>
      </c>
      <c r="M2124" s="2">
        <f ca="1">IFERROR(__xludf.DUMMYFUNCTION("""COMPUTED_VALUE"""),18.256)</f>
        <v>18.256</v>
      </c>
      <c r="U2124" s="3" t="e">
        <f ca="1"/>
        <v>#NAME?</v>
      </c>
    </row>
    <row r="2125" spans="3:21" ht="12.5" x14ac:dyDescent="0.25">
      <c r="C2125" s="4">
        <f ca="1">IFERROR(__xludf.DUMMYFUNCTION("""COMPUTED_VALUE"""),42510.9986111111)</f>
        <v>42510.998611111099</v>
      </c>
      <c r="D2125" s="2">
        <f ca="1">IFERROR(__xludf.DUMMYFUNCTION("""COMPUTED_VALUE"""),67.423)</f>
        <v>67.423000000000002</v>
      </c>
      <c r="E2125" s="2">
        <f ca="1">IFERROR(__xludf.DUMMYFUNCTION("""COMPUTED_VALUE"""),72.642)</f>
        <v>72.641999999999996</v>
      </c>
      <c r="F2125" s="2">
        <f ca="1">IFERROR(__xludf.DUMMYFUNCTION("""COMPUTED_VALUE"""),94.334)</f>
        <v>94.334000000000003</v>
      </c>
      <c r="G2125" s="2">
        <f ca="1">IFERROR(__xludf.DUMMYFUNCTION("""COMPUTED_VALUE"""),0.5819)</f>
        <v>0.58189999999999997</v>
      </c>
      <c r="H2125" s="2">
        <f ca="1">IFERROR(__xludf.DUMMYFUNCTION("""COMPUTED_VALUE"""),49.955)</f>
        <v>49.954999999999998</v>
      </c>
      <c r="I2125" s="2">
        <f ca="1">IFERROR(__xludf.DUMMYFUNCTION("""COMPUTED_VALUE"""),50.377)</f>
        <v>50.377000000000002</v>
      </c>
      <c r="J2125" s="2">
        <f ca="1">IFERROR(__xludf.DUMMYFUNCTION("""COMPUTED_VALUE"""),47.713)</f>
        <v>47.713000000000001</v>
      </c>
      <c r="K2125" s="2">
        <f ca="1">IFERROR(__xludf.DUMMYFUNCTION("""COMPUTED_VALUE"""),68.301)</f>
        <v>68.301000000000002</v>
      </c>
      <c r="M2125" s="2">
        <f ca="1">IFERROR(__xludf.DUMMYFUNCTION("""COMPUTED_VALUE"""),18.256)</f>
        <v>18.256</v>
      </c>
      <c r="U2125" s="3" t="e">
        <f ca="1"/>
        <v>#NAME?</v>
      </c>
    </row>
    <row r="2126" spans="3:21" ht="12.5" x14ac:dyDescent="0.25">
      <c r="C2126" s="4">
        <f ca="1">IFERROR(__xludf.DUMMYFUNCTION("""COMPUTED_VALUE"""),42512.9986111111)</f>
        <v>42512.998611111099</v>
      </c>
      <c r="D2126" s="2">
        <f ca="1">IFERROR(__xludf.DUMMYFUNCTION("""COMPUTED_VALUE"""),67.423)</f>
        <v>67.423000000000002</v>
      </c>
      <c r="E2126" s="2">
        <f ca="1">IFERROR(__xludf.DUMMYFUNCTION("""COMPUTED_VALUE"""),72.458)</f>
        <v>72.457999999999998</v>
      </c>
      <c r="F2126" s="2">
        <f ca="1">IFERROR(__xludf.DUMMYFUNCTION("""COMPUTED_VALUE"""),94.566)</f>
        <v>94.566000000000003</v>
      </c>
      <c r="G2126" s="2">
        <f ca="1">IFERROR(__xludf.DUMMYFUNCTION("""COMPUTED_VALUE"""),0.58364)</f>
        <v>0.58364000000000005</v>
      </c>
      <c r="H2126" s="2">
        <f ca="1">IFERROR(__xludf.DUMMYFUNCTION("""COMPUTED_VALUE"""),50.005)</f>
        <v>50.005000000000003</v>
      </c>
      <c r="I2126" s="2">
        <f ca="1">IFERROR(__xludf.DUMMYFUNCTION("""COMPUTED_VALUE"""),50.377)</f>
        <v>50.377000000000002</v>
      </c>
      <c r="J2126" s="2">
        <f ca="1">IFERROR(__xludf.DUMMYFUNCTION("""COMPUTED_VALUE"""),47.755)</f>
        <v>47.755000000000003</v>
      </c>
      <c r="K2126" s="2">
        <f ca="1">IFERROR(__xludf.DUMMYFUNCTION("""COMPUTED_VALUE"""),68.306)</f>
        <v>68.305999999999997</v>
      </c>
      <c r="M2126" s="2">
        <f ca="1">IFERROR(__xludf.DUMMYFUNCTION("""COMPUTED_VALUE"""),18.36)</f>
        <v>18.36</v>
      </c>
      <c r="U2126" s="3" t="e">
        <f ca="1"/>
        <v>#NAME?</v>
      </c>
    </row>
    <row r="2127" spans="3:21" ht="12.5" x14ac:dyDescent="0.25">
      <c r="C2127" s="4">
        <f ca="1">IFERROR(__xludf.DUMMYFUNCTION("""COMPUTED_VALUE"""),42513.9986111111)</f>
        <v>42513.998611111099</v>
      </c>
      <c r="D2127" s="2">
        <f ca="1">IFERROR(__xludf.DUMMYFUNCTION("""COMPUTED_VALUE"""),67.448)</f>
        <v>67.447999999999993</v>
      </c>
      <c r="E2127" s="2">
        <f ca="1">IFERROR(__xludf.DUMMYFUNCTION("""COMPUTED_VALUE"""),72.522)</f>
        <v>72.522000000000006</v>
      </c>
      <c r="F2127" s="2">
        <f ca="1">IFERROR(__xludf.DUMMYFUNCTION("""COMPUTED_VALUE"""),94.415)</f>
        <v>94.415000000000006</v>
      </c>
      <c r="G2127" s="2">
        <f ca="1">IFERROR(__xludf.DUMMYFUNCTION("""COMPUTED_VALUE"""),0.5797)</f>
        <v>0.57969999999999999</v>
      </c>
      <c r="H2127" s="2">
        <f ca="1">IFERROR(__xludf.DUMMYFUNCTION("""COMPUTED_VALUE"""),50.274)</f>
        <v>50.274000000000001</v>
      </c>
      <c r="I2127" s="2">
        <f ca="1">IFERROR(__xludf.DUMMYFUNCTION("""COMPUTED_VALUE"""),50.82)</f>
        <v>50.82</v>
      </c>
      <c r="J2127" s="2">
        <f ca="1">IFERROR(__xludf.DUMMYFUNCTION("""COMPUTED_VALUE"""),47.77)</f>
        <v>47.77</v>
      </c>
      <c r="K2127" s="2">
        <f ca="1">IFERROR(__xludf.DUMMYFUNCTION("""COMPUTED_VALUE"""),68.281)</f>
        <v>68.281000000000006</v>
      </c>
      <c r="M2127" s="2">
        <f ca="1">IFERROR(__xludf.DUMMYFUNCTION("""COMPUTED_VALUE"""),18.406)</f>
        <v>18.405999999999999</v>
      </c>
      <c r="U2127" s="3" t="e">
        <f ca="1"/>
        <v>#NAME?</v>
      </c>
    </row>
    <row r="2128" spans="3:21" ht="12.5" x14ac:dyDescent="0.25">
      <c r="C2128" s="4">
        <f ca="1">IFERROR(__xludf.DUMMYFUNCTION("""COMPUTED_VALUE"""),42514.9986111111)</f>
        <v>42514.998611111099</v>
      </c>
      <c r="D2128" s="2">
        <f ca="1">IFERROR(__xludf.DUMMYFUNCTION("""COMPUTED_VALUE"""),67.651)</f>
        <v>67.650999999999996</v>
      </c>
      <c r="E2128" s="2">
        <f ca="1">IFERROR(__xludf.DUMMYFUNCTION("""COMPUTED_VALUE"""),72.515)</f>
        <v>72.515000000000001</v>
      </c>
      <c r="F2128" s="2">
        <f ca="1">IFERROR(__xludf.DUMMYFUNCTION("""COMPUTED_VALUE"""),94.247)</f>
        <v>94.247</v>
      </c>
      <c r="G2128" s="2">
        <f ca="1">IFERROR(__xludf.DUMMYFUNCTION("""COMPUTED_VALUE"""),0.57925)</f>
        <v>0.57925000000000004</v>
      </c>
      <c r="H2128" s="2">
        <f ca="1">IFERROR(__xludf.DUMMYFUNCTION("""COMPUTED_VALUE"""),50.618)</f>
        <v>50.618000000000002</v>
      </c>
      <c r="I2128" s="2">
        <f ca="1">IFERROR(__xludf.DUMMYFUNCTION("""COMPUTED_VALUE"""),50.863)</f>
        <v>50.863</v>
      </c>
      <c r="J2128" s="2">
        <f ca="1">IFERROR(__xludf.DUMMYFUNCTION("""COMPUTED_VALUE"""),47.915)</f>
        <v>47.914999999999999</v>
      </c>
      <c r="K2128" s="2">
        <f ca="1">IFERROR(__xludf.DUMMYFUNCTION("""COMPUTED_VALUE"""),68.614)</f>
        <v>68.614000000000004</v>
      </c>
      <c r="M2128" s="2">
        <f ca="1">IFERROR(__xludf.DUMMYFUNCTION("""COMPUTED_VALUE"""),18.353)</f>
        <v>18.353000000000002</v>
      </c>
      <c r="U2128" s="3" t="e">
        <f ca="1"/>
        <v>#NAME?</v>
      </c>
    </row>
    <row r="2129" spans="3:21" ht="12.5" x14ac:dyDescent="0.25">
      <c r="C2129" s="4">
        <f ca="1">IFERROR(__xludf.DUMMYFUNCTION("""COMPUTED_VALUE"""),42515.9986111111)</f>
        <v>42515.998611111099</v>
      </c>
      <c r="D2129" s="2">
        <f ca="1">IFERROR(__xludf.DUMMYFUNCTION("""COMPUTED_VALUE"""),67.304)</f>
        <v>67.304000000000002</v>
      </c>
      <c r="E2129" s="2">
        <f ca="1">IFERROR(__xludf.DUMMYFUNCTION("""COMPUTED_VALUE"""),72.515)</f>
        <v>72.515000000000001</v>
      </c>
      <c r="F2129" s="2">
        <f ca="1">IFERROR(__xludf.DUMMYFUNCTION("""COMPUTED_VALUE"""),94.661)</f>
        <v>94.661000000000001</v>
      </c>
      <c r="G2129" s="2">
        <f ca="1">IFERROR(__xludf.DUMMYFUNCTION("""COMPUTED_VALUE"""),0.5798)</f>
        <v>0.57979999999999998</v>
      </c>
      <c r="H2129" s="2">
        <f ca="1">IFERROR(__xludf.DUMMYFUNCTION("""COMPUTED_VALUE"""),50.681)</f>
        <v>50.680999999999997</v>
      </c>
      <c r="I2129" s="2">
        <f ca="1">IFERROR(__xludf.DUMMYFUNCTION("""COMPUTED_VALUE"""),50.901)</f>
        <v>50.901000000000003</v>
      </c>
      <c r="J2129" s="2">
        <f ca="1">IFERROR(__xludf.DUMMYFUNCTION("""COMPUTED_VALUE"""),47.99)</f>
        <v>47.99</v>
      </c>
      <c r="K2129" s="2">
        <f ca="1">IFERROR(__xludf.DUMMYFUNCTION("""COMPUTED_VALUE"""),68.563)</f>
        <v>68.563000000000002</v>
      </c>
      <c r="M2129" s="2">
        <f ca="1">IFERROR(__xludf.DUMMYFUNCTION("""COMPUTED_VALUE"""),18.312)</f>
        <v>18.312000000000001</v>
      </c>
      <c r="U2129" s="3" t="e">
        <f ca="1"/>
        <v>#NAME?</v>
      </c>
    </row>
    <row r="2130" spans="3:21" ht="12.5" x14ac:dyDescent="0.25">
      <c r="C2130" s="4">
        <f ca="1">IFERROR(__xludf.DUMMYFUNCTION("""COMPUTED_VALUE"""),42516.9986111111)</f>
        <v>42516.998611111099</v>
      </c>
      <c r="D2130" s="2">
        <f ca="1">IFERROR(__xludf.DUMMYFUNCTION("""COMPUTED_VALUE"""),66.954)</f>
        <v>66.953999999999994</v>
      </c>
      <c r="E2130" s="2">
        <f ca="1">IFERROR(__xludf.DUMMYFUNCTION("""COMPUTED_VALUE"""),72.733)</f>
        <v>72.733000000000004</v>
      </c>
      <c r="F2130" s="2">
        <f ca="1">IFERROR(__xludf.DUMMYFUNCTION("""COMPUTED_VALUE"""),94.809)</f>
        <v>94.808999999999997</v>
      </c>
      <c r="G2130" s="2">
        <f ca="1">IFERROR(__xludf.DUMMYFUNCTION("""COMPUTED_VALUE"""),0.57911)</f>
        <v>0.57911000000000001</v>
      </c>
      <c r="H2130" s="2">
        <f ca="1">IFERROR(__xludf.DUMMYFUNCTION("""COMPUTED_VALUE"""),50.935)</f>
        <v>50.935000000000002</v>
      </c>
      <c r="I2130" s="2">
        <f ca="1">IFERROR(__xludf.DUMMYFUNCTION("""COMPUTED_VALUE"""),50.902)</f>
        <v>50.902000000000001</v>
      </c>
      <c r="J2130" s="2">
        <f ca="1">IFERROR(__xludf.DUMMYFUNCTION("""COMPUTED_VALUE"""),47.976)</f>
        <v>47.975999999999999</v>
      </c>
      <c r="K2130" s="2">
        <f ca="1">IFERROR(__xludf.DUMMYFUNCTION("""COMPUTED_VALUE"""),68.511)</f>
        <v>68.510999999999996</v>
      </c>
      <c r="M2130" s="2">
        <f ca="1">IFERROR(__xludf.DUMMYFUNCTION("""COMPUTED_VALUE"""),18.476)</f>
        <v>18.475999999999999</v>
      </c>
      <c r="U2130" s="3" t="e">
        <f ca="1"/>
        <v>#NAME?</v>
      </c>
    </row>
    <row r="2131" spans="3:21" ht="12.5" x14ac:dyDescent="0.25">
      <c r="C2131" s="4">
        <f ca="1">IFERROR(__xludf.DUMMYFUNCTION("""COMPUTED_VALUE"""),42517.9986111111)</f>
        <v>42517.998611111099</v>
      </c>
      <c r="D2131" s="2">
        <f ca="1">IFERROR(__xludf.DUMMYFUNCTION("""COMPUTED_VALUE"""),67.024)</f>
        <v>67.024000000000001</v>
      </c>
      <c r="E2131" s="2">
        <f ca="1">IFERROR(__xludf.DUMMYFUNCTION("""COMPUTED_VALUE"""),72.972)</f>
        <v>72.971999999999994</v>
      </c>
      <c r="F2131" s="2">
        <f ca="1">IFERROR(__xludf.DUMMYFUNCTION("""COMPUTED_VALUE"""),95.283)</f>
        <v>95.283000000000001</v>
      </c>
      <c r="G2131" s="2">
        <f ca="1">IFERROR(__xludf.DUMMYFUNCTION("""COMPUTED_VALUE"""),0.58701)</f>
        <v>0.58701000000000003</v>
      </c>
      <c r="H2131" s="2">
        <f ca="1">IFERROR(__xludf.DUMMYFUNCTION("""COMPUTED_VALUE"""),50.923)</f>
        <v>50.923000000000002</v>
      </c>
      <c r="I2131" s="2">
        <f ca="1">IFERROR(__xludf.DUMMYFUNCTION("""COMPUTED_VALUE"""),50.537)</f>
        <v>50.536999999999999</v>
      </c>
      <c r="J2131" s="2">
        <f ca="1">IFERROR(__xludf.DUMMYFUNCTION("""COMPUTED_VALUE"""),47.964)</f>
        <v>47.963999999999999</v>
      </c>
      <c r="K2131" s="2">
        <f ca="1">IFERROR(__xludf.DUMMYFUNCTION("""COMPUTED_VALUE"""),68.742)</f>
        <v>68.742000000000004</v>
      </c>
      <c r="M2131" s="2">
        <f ca="1">IFERROR(__xludf.DUMMYFUNCTION("""COMPUTED_VALUE"""),18.489)</f>
        <v>18.489000000000001</v>
      </c>
      <c r="U2131" s="3" t="e">
        <f ca="1"/>
        <v>#NAME?</v>
      </c>
    </row>
    <row r="2132" spans="3:21" ht="12.5" x14ac:dyDescent="0.25">
      <c r="C2132" s="4">
        <f ca="1">IFERROR(__xludf.DUMMYFUNCTION("""COMPUTED_VALUE"""),42519.9986111111)</f>
        <v>42519.998611111099</v>
      </c>
      <c r="D2132" s="2">
        <f ca="1">IFERROR(__xludf.DUMMYFUNCTION("""COMPUTED_VALUE"""),67.024)</f>
        <v>67.024000000000001</v>
      </c>
      <c r="E2132" s="2">
        <f ca="1">IFERROR(__xludf.DUMMYFUNCTION("""COMPUTED_VALUE"""),72.573)</f>
        <v>72.572999999999993</v>
      </c>
      <c r="F2132" s="2">
        <f ca="1">IFERROR(__xludf.DUMMYFUNCTION("""COMPUTED_VALUE"""),94.924)</f>
        <v>94.924000000000007</v>
      </c>
      <c r="G2132" s="2">
        <f ca="1">IFERROR(__xludf.DUMMYFUNCTION("""COMPUTED_VALUE"""),0.5817)</f>
        <v>0.58169999999999999</v>
      </c>
      <c r="H2132" s="2">
        <f ca="1">IFERROR(__xludf.DUMMYFUNCTION("""COMPUTED_VALUE"""),50.963)</f>
        <v>50.963000000000001</v>
      </c>
      <c r="I2132" s="2">
        <f ca="1">IFERROR(__xludf.DUMMYFUNCTION("""COMPUTED_VALUE"""),50.537)</f>
        <v>50.536999999999999</v>
      </c>
      <c r="J2132" s="2">
        <f ca="1">IFERROR(__xludf.DUMMYFUNCTION("""COMPUTED_VALUE"""),47.982)</f>
        <v>47.981999999999999</v>
      </c>
      <c r="K2132" s="2">
        <f ca="1">IFERROR(__xludf.DUMMYFUNCTION("""COMPUTED_VALUE"""),68.339)</f>
        <v>68.338999999999999</v>
      </c>
      <c r="M2132" s="2">
        <f ca="1">IFERROR(__xludf.DUMMYFUNCTION("""COMPUTED_VALUE"""),18.441)</f>
        <v>18.440999999999999</v>
      </c>
      <c r="U2132" s="3" t="e">
        <f ca="1"/>
        <v>#NAME?</v>
      </c>
    </row>
    <row r="2133" spans="3:21" ht="12.5" x14ac:dyDescent="0.25">
      <c r="C2133" s="4">
        <f ca="1">IFERROR(__xludf.DUMMYFUNCTION("""COMPUTED_VALUE"""),42520.9986111111)</f>
        <v>42520.998611111099</v>
      </c>
      <c r="D2133" s="2">
        <f ca="1">IFERROR(__xludf.DUMMYFUNCTION("""COMPUTED_VALUE"""),67.133)</f>
        <v>67.132999999999996</v>
      </c>
      <c r="E2133" s="2">
        <f ca="1">IFERROR(__xludf.DUMMYFUNCTION("""COMPUTED_VALUE"""),72.66)</f>
        <v>72.66</v>
      </c>
      <c r="F2133" s="2">
        <f ca="1">IFERROR(__xludf.DUMMYFUNCTION("""COMPUTED_VALUE"""),95.276)</f>
        <v>95.275999999999996</v>
      </c>
      <c r="G2133" s="2">
        <f ca="1">IFERROR(__xludf.DUMMYFUNCTION("""COMPUTED_VALUE"""),0.5866)</f>
        <v>0.58660000000000001</v>
      </c>
      <c r="H2133" s="2">
        <f ca="1">IFERROR(__xludf.DUMMYFUNCTION("""COMPUTED_VALUE"""),51.321)</f>
        <v>51.320999999999998</v>
      </c>
      <c r="I2133" s="2">
        <f ca="1">IFERROR(__xludf.DUMMYFUNCTION("""COMPUTED_VALUE"""),51.094)</f>
        <v>51.094000000000001</v>
      </c>
      <c r="J2133" s="2">
        <f ca="1">IFERROR(__xludf.DUMMYFUNCTION("""COMPUTED_VALUE"""),47.926)</f>
        <v>47.926000000000002</v>
      </c>
      <c r="K2133" s="2">
        <f ca="1">IFERROR(__xludf.DUMMYFUNCTION("""COMPUTED_VALUE"""),68.339)</f>
        <v>68.338999999999999</v>
      </c>
      <c r="M2133" s="2">
        <f ca="1">IFERROR(__xludf.DUMMYFUNCTION("""COMPUTED_VALUE"""),18.352)</f>
        <v>18.352</v>
      </c>
      <c r="U2133" s="3" t="e">
        <f ca="1"/>
        <v>#NAME?</v>
      </c>
    </row>
    <row r="2134" spans="3:21" ht="12.5" x14ac:dyDescent="0.25">
      <c r="C2134" s="4">
        <f ca="1">IFERROR(__xludf.DUMMYFUNCTION("""COMPUTED_VALUE"""),42521.9986111111)</f>
        <v>42521.998611111099</v>
      </c>
      <c r="D2134" s="2">
        <f ca="1">IFERROR(__xludf.DUMMYFUNCTION("""COMPUTED_VALUE"""),67.231)</f>
        <v>67.230999999999995</v>
      </c>
      <c r="E2134" s="2">
        <f ca="1">IFERROR(__xludf.DUMMYFUNCTION("""COMPUTED_VALUE"""),72.481)</f>
        <v>72.480999999999995</v>
      </c>
      <c r="F2134" s="2">
        <f ca="1">IFERROR(__xludf.DUMMYFUNCTION("""COMPUTED_VALUE"""),96.02)</f>
        <v>96.02</v>
      </c>
      <c r="G2134" s="2">
        <f ca="1">IFERROR(__xludf.DUMMYFUNCTION("""COMPUTED_VALUE"""),0.58906)</f>
        <v>0.58906000000000003</v>
      </c>
      <c r="H2134" s="2">
        <f ca="1">IFERROR(__xludf.DUMMYFUNCTION("""COMPUTED_VALUE"""),51.291)</f>
        <v>51.290999999999997</v>
      </c>
      <c r="I2134" s="2">
        <f ca="1">IFERROR(__xludf.DUMMYFUNCTION("""COMPUTED_VALUE"""),51.026)</f>
        <v>51.026000000000003</v>
      </c>
      <c r="J2134" s="2">
        <f ca="1">IFERROR(__xludf.DUMMYFUNCTION("""COMPUTED_VALUE"""),48.131)</f>
        <v>48.131</v>
      </c>
      <c r="K2134" s="2">
        <f ca="1">IFERROR(__xludf.DUMMYFUNCTION("""COMPUTED_VALUE"""),68.244)</f>
        <v>68.244</v>
      </c>
      <c r="M2134" s="2">
        <f ca="1">IFERROR(__xludf.DUMMYFUNCTION("""COMPUTED_VALUE"""),18.375)</f>
        <v>18.375</v>
      </c>
      <c r="U2134" s="3" t="e">
        <f ca="1"/>
        <v>#NAME?</v>
      </c>
    </row>
    <row r="2135" spans="3:21" ht="12.5" x14ac:dyDescent="0.25">
      <c r="C2135" s="4">
        <f ca="1">IFERROR(__xludf.DUMMYFUNCTION("""COMPUTED_VALUE"""),42522.9986111111)</f>
        <v>42522.998611111099</v>
      </c>
      <c r="D2135" s="2">
        <f ca="1">IFERROR(__xludf.DUMMYFUNCTION("""COMPUTED_VALUE"""),67.426)</f>
        <v>67.426000000000002</v>
      </c>
      <c r="E2135" s="2">
        <f ca="1">IFERROR(__xludf.DUMMYFUNCTION("""COMPUTED_VALUE"""),73.081)</f>
        <v>73.081000000000003</v>
      </c>
      <c r="F2135" s="2">
        <f ca="1">IFERROR(__xludf.DUMMYFUNCTION("""COMPUTED_VALUE"""),96.66)</f>
        <v>96.66</v>
      </c>
      <c r="G2135" s="2">
        <f ca="1">IFERROR(__xludf.DUMMYFUNCTION("""COMPUTED_VALUE"""),0.59277)</f>
        <v>0.59277000000000002</v>
      </c>
      <c r="H2135" s="2">
        <f ca="1">IFERROR(__xludf.DUMMYFUNCTION("""COMPUTED_VALUE"""),50.621)</f>
        <v>50.621000000000002</v>
      </c>
      <c r="I2135" s="2">
        <f ca="1">IFERROR(__xludf.DUMMYFUNCTION("""COMPUTED_VALUE"""),51.023)</f>
        <v>51.023000000000003</v>
      </c>
      <c r="J2135" s="2">
        <f ca="1">IFERROR(__xludf.DUMMYFUNCTION("""COMPUTED_VALUE"""),48.103)</f>
        <v>48.103000000000002</v>
      </c>
      <c r="K2135" s="2">
        <f ca="1">IFERROR(__xludf.DUMMYFUNCTION("""COMPUTED_VALUE"""),68.333)</f>
        <v>68.332999999999998</v>
      </c>
      <c r="M2135" s="2">
        <f ca="1">IFERROR(__xludf.DUMMYFUNCTION("""COMPUTED_VALUE"""),18.288)</f>
        <v>18.288</v>
      </c>
      <c r="U2135" s="3" t="e">
        <f ca="1"/>
        <v>#NAME?</v>
      </c>
    </row>
    <row r="2136" spans="3:21" ht="12.5" x14ac:dyDescent="0.25">
      <c r="C2136" s="4">
        <f ca="1">IFERROR(__xludf.DUMMYFUNCTION("""COMPUTED_VALUE"""),42523.9986111111)</f>
        <v>42523.998611111099</v>
      </c>
      <c r="D2136" s="2">
        <f ca="1">IFERROR(__xludf.DUMMYFUNCTION("""COMPUTED_VALUE"""),67.292)</f>
        <v>67.292000000000002</v>
      </c>
      <c r="E2136" s="2">
        <f ca="1">IFERROR(__xludf.DUMMYFUNCTION("""COMPUTED_VALUE"""),72.516)</f>
        <v>72.516000000000005</v>
      </c>
      <c r="F2136" s="2">
        <f ca="1">IFERROR(__xludf.DUMMYFUNCTION("""COMPUTED_VALUE"""),96.861)</f>
        <v>96.861000000000004</v>
      </c>
      <c r="G2136" s="2">
        <f ca="1">IFERROR(__xludf.DUMMYFUNCTION("""COMPUTED_VALUE"""),0.59355)</f>
        <v>0.59355000000000002</v>
      </c>
      <c r="H2136" s="2">
        <f ca="1">IFERROR(__xludf.DUMMYFUNCTION("""COMPUTED_VALUE"""),50.577)</f>
        <v>50.576999999999998</v>
      </c>
      <c r="I2136" s="2">
        <f ca="1">IFERROR(__xludf.DUMMYFUNCTION("""COMPUTED_VALUE"""),51.21)</f>
        <v>51.21</v>
      </c>
      <c r="J2136" s="2">
        <f ca="1">IFERROR(__xludf.DUMMYFUNCTION("""COMPUTED_VALUE"""),47.767)</f>
        <v>47.767000000000003</v>
      </c>
      <c r="K2136" s="2">
        <f ca="1">IFERROR(__xludf.DUMMYFUNCTION("""COMPUTED_VALUE"""),68.537)</f>
        <v>68.537000000000006</v>
      </c>
      <c r="M2136" s="2">
        <f ca="1">IFERROR(__xludf.DUMMYFUNCTION("""COMPUTED_VALUE"""),18.288)</f>
        <v>18.288</v>
      </c>
      <c r="U2136" s="3" t="e">
        <f ca="1"/>
        <v>#NAME?</v>
      </c>
    </row>
    <row r="2137" spans="3:21" ht="12.5" x14ac:dyDescent="0.25">
      <c r="C2137" s="4">
        <f ca="1">IFERROR(__xludf.DUMMYFUNCTION("""COMPUTED_VALUE"""),42524.9986111111)</f>
        <v>42524.998611111099</v>
      </c>
      <c r="D2137" s="2">
        <f ca="1">IFERROR(__xludf.DUMMYFUNCTION("""COMPUTED_VALUE"""),66.992)</f>
        <v>66.992000000000004</v>
      </c>
      <c r="E2137" s="2">
        <f ca="1">IFERROR(__xludf.DUMMYFUNCTION("""COMPUTED_VALUE"""),72.484)</f>
        <v>72.483999999999995</v>
      </c>
      <c r="F2137" s="2">
        <f ca="1">IFERROR(__xludf.DUMMYFUNCTION("""COMPUTED_VALUE"""),96.467)</f>
        <v>96.466999999999999</v>
      </c>
      <c r="G2137" s="2">
        <f ca="1">IFERROR(__xludf.DUMMYFUNCTION("""COMPUTED_VALUE"""),0.59502)</f>
        <v>0.59501999999999999</v>
      </c>
      <c r="H2137" s="2">
        <f ca="1">IFERROR(__xludf.DUMMYFUNCTION("""COMPUTED_VALUE"""),50.675)</f>
        <v>50.674999999999997</v>
      </c>
      <c r="I2137" s="2">
        <f ca="1">IFERROR(__xludf.DUMMYFUNCTION("""COMPUTED_VALUE"""),51.093)</f>
        <v>51.093000000000004</v>
      </c>
      <c r="J2137" s="2">
        <f ca="1">IFERROR(__xludf.DUMMYFUNCTION("""COMPUTED_VALUE"""),47.812)</f>
        <v>47.811999999999998</v>
      </c>
      <c r="K2137" s="2">
        <f ca="1">IFERROR(__xludf.DUMMYFUNCTION("""COMPUTED_VALUE"""),68.68)</f>
        <v>68.680000000000007</v>
      </c>
      <c r="M2137" s="2">
        <f ca="1">IFERROR(__xludf.DUMMYFUNCTION("""COMPUTED_VALUE"""),18.303)</f>
        <v>18.303000000000001</v>
      </c>
      <c r="U2137" s="3" t="e">
        <f ca="1"/>
        <v>#NAME?</v>
      </c>
    </row>
    <row r="2138" spans="3:21" ht="12.5" x14ac:dyDescent="0.25">
      <c r="C2138" s="4">
        <f ca="1">IFERROR(__xludf.DUMMYFUNCTION("""COMPUTED_VALUE"""),42527.9986111111)</f>
        <v>42527.998611111099</v>
      </c>
      <c r="D2138" s="2">
        <f ca="1">IFERROR(__xludf.DUMMYFUNCTION("""COMPUTED_VALUE"""),66.801)</f>
        <v>66.801000000000002</v>
      </c>
      <c r="E2138" s="2">
        <f ca="1">IFERROR(__xludf.DUMMYFUNCTION("""COMPUTED_VALUE"""),71.51)</f>
        <v>71.510000000000005</v>
      </c>
      <c r="F2138" s="2">
        <f ca="1">IFERROR(__xludf.DUMMYFUNCTION("""COMPUTED_VALUE"""),97.054)</f>
        <v>97.054000000000002</v>
      </c>
      <c r="G2138" s="2">
        <f ca="1">IFERROR(__xludf.DUMMYFUNCTION("""COMPUTED_VALUE"""),0.59593)</f>
        <v>0.59592999999999996</v>
      </c>
      <c r="H2138" s="2">
        <f ca="1">IFERROR(__xludf.DUMMYFUNCTION("""COMPUTED_VALUE"""),50.771)</f>
        <v>50.771000000000001</v>
      </c>
      <c r="I2138" s="2">
        <f ca="1">IFERROR(__xludf.DUMMYFUNCTION("""COMPUTED_VALUE"""),51.188)</f>
        <v>51.188000000000002</v>
      </c>
      <c r="J2138" s="2">
        <f ca="1">IFERROR(__xludf.DUMMYFUNCTION("""COMPUTED_VALUE"""),47.899)</f>
        <v>47.899000000000001</v>
      </c>
      <c r="K2138" s="2">
        <f ca="1">IFERROR(__xludf.DUMMYFUNCTION("""COMPUTED_VALUE"""),68.669)</f>
        <v>68.668999999999997</v>
      </c>
      <c r="M2138" s="2">
        <f ca="1">IFERROR(__xludf.DUMMYFUNCTION("""COMPUTED_VALUE"""),18.353)</f>
        <v>18.353000000000002</v>
      </c>
      <c r="U2138" s="3" t="e">
        <f ca="1"/>
        <v>#NAME?</v>
      </c>
    </row>
    <row r="2139" spans="3:21" ht="12.5" x14ac:dyDescent="0.25">
      <c r="C2139" s="4">
        <f ca="1">IFERROR(__xludf.DUMMYFUNCTION("""COMPUTED_VALUE"""),42528.9986111111)</f>
        <v>42528.998611111099</v>
      </c>
      <c r="D2139" s="2">
        <f ca="1">IFERROR(__xludf.DUMMYFUNCTION("""COMPUTED_VALUE"""),66.763)</f>
        <v>66.763000000000005</v>
      </c>
      <c r="E2139" s="2">
        <f ca="1">IFERROR(__xludf.DUMMYFUNCTION("""COMPUTED_VALUE"""),71.182)</f>
        <v>71.182000000000002</v>
      </c>
      <c r="F2139" s="2">
        <f ca="1">IFERROR(__xludf.DUMMYFUNCTION("""COMPUTED_VALUE"""),97.031)</f>
        <v>97.031000000000006</v>
      </c>
      <c r="G2139" s="2">
        <f ca="1">IFERROR(__xludf.DUMMYFUNCTION("""COMPUTED_VALUE"""),0.60095)</f>
        <v>0.60094999999999998</v>
      </c>
      <c r="H2139" s="2">
        <f ca="1">IFERROR(__xludf.DUMMYFUNCTION("""COMPUTED_VALUE"""),50.546)</f>
        <v>50.545999999999999</v>
      </c>
      <c r="I2139" s="2">
        <f ca="1">IFERROR(__xludf.DUMMYFUNCTION("""COMPUTED_VALUE"""),50.955)</f>
        <v>50.954999999999998</v>
      </c>
      <c r="J2139" s="2">
        <f ca="1">IFERROR(__xludf.DUMMYFUNCTION("""COMPUTED_VALUE"""),47.88)</f>
        <v>47.88</v>
      </c>
      <c r="K2139" s="2">
        <f ca="1">IFERROR(__xludf.DUMMYFUNCTION("""COMPUTED_VALUE"""),68.669)</f>
        <v>68.668999999999997</v>
      </c>
      <c r="M2139" s="2">
        <f ca="1">IFERROR(__xludf.DUMMYFUNCTION("""COMPUTED_VALUE"""),18.346)</f>
        <v>18.346</v>
      </c>
      <c r="U2139" s="3" t="e">
        <f ca="1"/>
        <v>#NAME?</v>
      </c>
    </row>
    <row r="2140" spans="3:21" ht="12.5" x14ac:dyDescent="0.25">
      <c r="C2140" s="4">
        <f ca="1">IFERROR(__xludf.DUMMYFUNCTION("""COMPUTED_VALUE"""),42529.9986111111)</f>
        <v>42529.998611111099</v>
      </c>
      <c r="D2140" s="2">
        <f ca="1">IFERROR(__xludf.DUMMYFUNCTION("""COMPUTED_VALUE"""),66.51)</f>
        <v>66.510000000000005</v>
      </c>
      <c r="E2140" s="2">
        <f ca="1">IFERROR(__xludf.DUMMYFUNCTION("""COMPUTED_VALUE"""),70.4201)</f>
        <v>70.420100000000005</v>
      </c>
      <c r="F2140" s="2">
        <f ca="1">IFERROR(__xludf.DUMMYFUNCTION("""COMPUTED_VALUE"""),97.073)</f>
        <v>97.072999999999993</v>
      </c>
      <c r="G2140" s="2">
        <f ca="1">IFERROR(__xludf.DUMMYFUNCTION("""COMPUTED_VALUE"""),0.59374)</f>
        <v>0.59374000000000005</v>
      </c>
      <c r="H2140" s="2">
        <f ca="1">IFERROR(__xludf.DUMMYFUNCTION("""COMPUTED_VALUE"""),50.433)</f>
        <v>50.433</v>
      </c>
      <c r="I2140" s="2">
        <f ca="1">IFERROR(__xludf.DUMMYFUNCTION("""COMPUTED_VALUE"""),50.935)</f>
        <v>50.935000000000002</v>
      </c>
      <c r="J2140" s="2">
        <f ca="1">IFERROR(__xludf.DUMMYFUNCTION("""COMPUTED_VALUE"""),47.631)</f>
        <v>47.631</v>
      </c>
      <c r="K2140" s="2">
        <f ca="1">IFERROR(__xludf.DUMMYFUNCTION("""COMPUTED_VALUE"""),68.659)</f>
        <v>68.659000000000006</v>
      </c>
      <c r="M2140" s="2">
        <f ca="1">IFERROR(__xludf.DUMMYFUNCTION("""COMPUTED_VALUE"""),18.373)</f>
        <v>18.373000000000001</v>
      </c>
      <c r="U2140" s="3" t="e">
        <f ca="1"/>
        <v>#NAME?</v>
      </c>
    </row>
    <row r="2141" spans="3:21" ht="12.5" x14ac:dyDescent="0.25">
      <c r="C2141" s="4">
        <f ca="1">IFERROR(__xludf.DUMMYFUNCTION("""COMPUTED_VALUE"""),42530.9986111111)</f>
        <v>42530.998611111099</v>
      </c>
      <c r="D2141" s="2">
        <f ca="1">IFERROR(__xludf.DUMMYFUNCTION("""COMPUTED_VALUE"""),66.741)</f>
        <v>66.741</v>
      </c>
      <c r="E2141" s="2">
        <f ca="1">IFERROR(__xludf.DUMMYFUNCTION("""COMPUTED_VALUE"""),71.182)</f>
        <v>71.182000000000002</v>
      </c>
      <c r="F2141" s="2">
        <f ca="1">IFERROR(__xludf.DUMMYFUNCTION("""COMPUTED_VALUE"""),97.329)</f>
        <v>97.328999999999994</v>
      </c>
      <c r="G2141" s="2">
        <f ca="1">IFERROR(__xludf.DUMMYFUNCTION("""COMPUTED_VALUE"""),0.59168)</f>
        <v>0.59167999999999998</v>
      </c>
      <c r="H2141" s="2">
        <f ca="1">IFERROR(__xludf.DUMMYFUNCTION("""COMPUTED_VALUE"""),50.221)</f>
        <v>50.220999999999997</v>
      </c>
      <c r="I2141" s="2">
        <f ca="1">IFERROR(__xludf.DUMMYFUNCTION("""COMPUTED_VALUE"""),51.022)</f>
        <v>51.021999999999998</v>
      </c>
      <c r="J2141" s="2">
        <f ca="1">IFERROR(__xludf.DUMMYFUNCTION("""COMPUTED_VALUE"""),47.551)</f>
        <v>47.551000000000002</v>
      </c>
      <c r="K2141" s="2">
        <f ca="1">IFERROR(__xludf.DUMMYFUNCTION("""COMPUTED_VALUE"""),68.363)</f>
        <v>68.363</v>
      </c>
      <c r="M2141" s="2">
        <f ca="1">IFERROR(__xludf.DUMMYFUNCTION("""COMPUTED_VALUE"""),18.275)</f>
        <v>18.274999999999999</v>
      </c>
      <c r="U2141" s="3" t="e">
        <f ca="1"/>
        <v>#NAME?</v>
      </c>
    </row>
    <row r="2142" spans="3:21" ht="12.5" x14ac:dyDescent="0.25">
      <c r="C2142" s="4">
        <f ca="1">IFERROR(__xludf.DUMMYFUNCTION("""COMPUTED_VALUE"""),42531.9986111111)</f>
        <v>42531.998611111099</v>
      </c>
      <c r="D2142" s="2">
        <f ca="1">IFERROR(__xludf.DUMMYFUNCTION("""COMPUTED_VALUE"""),66.945)</f>
        <v>66.944999999999993</v>
      </c>
      <c r="E2142" s="2">
        <f ca="1">IFERROR(__xludf.DUMMYFUNCTION("""COMPUTED_VALUE"""),71.657)</f>
        <v>71.656999999999996</v>
      </c>
      <c r="F2142" s="2">
        <f ca="1">IFERROR(__xludf.DUMMYFUNCTION("""COMPUTED_VALUE"""),96.857)</f>
        <v>96.856999999999999</v>
      </c>
      <c r="G2142" s="2">
        <f ca="1">IFERROR(__xludf.DUMMYFUNCTION("""COMPUTED_VALUE"""),0.59338)</f>
        <v>0.59338000000000002</v>
      </c>
      <c r="H2142" s="2">
        <f ca="1">IFERROR(__xludf.DUMMYFUNCTION("""COMPUTED_VALUE"""),50.213)</f>
        <v>50.213000000000001</v>
      </c>
      <c r="I2142" s="2">
        <f ca="1">IFERROR(__xludf.DUMMYFUNCTION("""COMPUTED_VALUE"""),51.111)</f>
        <v>51.110999999999997</v>
      </c>
      <c r="J2142" s="2">
        <f ca="1">IFERROR(__xludf.DUMMYFUNCTION("""COMPUTED_VALUE"""),47.311)</f>
        <v>47.311</v>
      </c>
      <c r="K2142" s="2">
        <f ca="1">IFERROR(__xludf.DUMMYFUNCTION("""COMPUTED_VALUE"""),68.267)</f>
        <v>68.266999999999996</v>
      </c>
      <c r="M2142" s="2">
        <f ca="1">IFERROR(__xludf.DUMMYFUNCTION("""COMPUTED_VALUE"""),18.275)</f>
        <v>18.274999999999999</v>
      </c>
      <c r="U2142" s="3" t="e">
        <f ca="1"/>
        <v>#NAME?</v>
      </c>
    </row>
    <row r="2143" spans="3:21" ht="12.5" x14ac:dyDescent="0.25">
      <c r="C2143" s="4">
        <f ca="1">IFERROR(__xludf.DUMMYFUNCTION("""COMPUTED_VALUE"""),42534.9986111111)</f>
        <v>42534.998611111099</v>
      </c>
      <c r="D2143" s="2">
        <f ca="1">IFERROR(__xludf.DUMMYFUNCTION("""COMPUTED_VALUE"""),67.154)</f>
        <v>67.153999999999996</v>
      </c>
      <c r="E2143" s="2">
        <f ca="1">IFERROR(__xludf.DUMMYFUNCTION("""COMPUTED_VALUE"""),71.539)</f>
        <v>71.539000000000001</v>
      </c>
      <c r="F2143" s="2">
        <f ca="1">IFERROR(__xludf.DUMMYFUNCTION("""COMPUTED_VALUE"""),96.606)</f>
        <v>96.605999999999995</v>
      </c>
      <c r="G2143" s="2">
        <f ca="1">IFERROR(__xludf.DUMMYFUNCTION("""COMPUTED_VALUE"""),0.58329)</f>
        <v>0.58328999999999998</v>
      </c>
      <c r="H2143" s="2">
        <f ca="1">IFERROR(__xludf.DUMMYFUNCTION("""COMPUTED_VALUE"""),49.641)</f>
        <v>49.640999999999998</v>
      </c>
      <c r="I2143" s="2">
        <f ca="1">IFERROR(__xludf.DUMMYFUNCTION("""COMPUTED_VALUE"""),50.564)</f>
        <v>50.564</v>
      </c>
      <c r="J2143" s="2">
        <f ca="1">IFERROR(__xludf.DUMMYFUNCTION("""COMPUTED_VALUE"""),47.108)</f>
        <v>47.107999999999997</v>
      </c>
      <c r="K2143" s="2">
        <f ca="1">IFERROR(__xludf.DUMMYFUNCTION("""COMPUTED_VALUE"""),69.097)</f>
        <v>69.096999999999994</v>
      </c>
      <c r="M2143" s="2">
        <f ca="1">IFERROR(__xludf.DUMMYFUNCTION("""COMPUTED_VALUE"""),18.277)</f>
        <v>18.277000000000001</v>
      </c>
      <c r="U2143" s="3" t="e">
        <f ca="1"/>
        <v>#NAME?</v>
      </c>
    </row>
    <row r="2144" spans="3:21" ht="12.5" x14ac:dyDescent="0.25">
      <c r="C2144" s="4">
        <f ca="1">IFERROR(__xludf.DUMMYFUNCTION("""COMPUTED_VALUE"""),42535.9986111111)</f>
        <v>42535.998611111099</v>
      </c>
      <c r="D2144" s="2">
        <f ca="1">IFERROR(__xludf.DUMMYFUNCTION("""COMPUTED_VALUE"""),67.298)</f>
        <v>67.298000000000002</v>
      </c>
      <c r="E2144" s="2">
        <f ca="1">IFERROR(__xludf.DUMMYFUNCTION("""COMPUTED_VALUE"""),70.853)</f>
        <v>70.852999999999994</v>
      </c>
      <c r="F2144" s="2">
        <f ca="1">IFERROR(__xludf.DUMMYFUNCTION("""COMPUTED_VALUE"""),96.527)</f>
        <v>96.527000000000001</v>
      </c>
      <c r="G2144" s="2">
        <f ca="1">IFERROR(__xludf.DUMMYFUNCTION("""COMPUTED_VALUE"""),0.60276)</f>
        <v>0.60275999999999996</v>
      </c>
      <c r="H2144" s="2">
        <f ca="1">IFERROR(__xludf.DUMMYFUNCTION("""COMPUTED_VALUE"""),50.178)</f>
        <v>50.177999999999997</v>
      </c>
      <c r="I2144" s="2">
        <f ca="1">IFERROR(__xludf.DUMMYFUNCTION("""COMPUTED_VALUE"""),51.111)</f>
        <v>51.110999999999997</v>
      </c>
      <c r="J2144" s="2">
        <f ca="1">IFERROR(__xludf.DUMMYFUNCTION("""COMPUTED_VALUE"""),46.603)</f>
        <v>46.603000000000002</v>
      </c>
      <c r="K2144" s="2">
        <f ca="1">IFERROR(__xludf.DUMMYFUNCTION("""COMPUTED_VALUE"""),68.445)</f>
        <v>68.444999999999993</v>
      </c>
      <c r="M2144" s="2">
        <f ca="1">IFERROR(__xludf.DUMMYFUNCTION("""COMPUTED_VALUE"""),18.229)</f>
        <v>18.228999999999999</v>
      </c>
      <c r="U2144" s="3" t="e">
        <f ca="1"/>
        <v>#NAME?</v>
      </c>
    </row>
    <row r="2145" spans="3:21" ht="12.5" x14ac:dyDescent="0.25">
      <c r="C2145" s="4">
        <f ca="1">IFERROR(__xludf.DUMMYFUNCTION("""COMPUTED_VALUE"""),42536.9986111111)</f>
        <v>42536.998611111099</v>
      </c>
      <c r="D2145" s="2">
        <f ca="1">IFERROR(__xludf.DUMMYFUNCTION("""COMPUTED_VALUE"""),67.073)</f>
        <v>67.072999999999993</v>
      </c>
      <c r="E2145" s="2">
        <f ca="1">IFERROR(__xludf.DUMMYFUNCTION("""COMPUTED_VALUE"""),70.605)</f>
        <v>70.605000000000004</v>
      </c>
      <c r="F2145" s="2">
        <f ca="1">IFERROR(__xludf.DUMMYFUNCTION("""COMPUTED_VALUE"""),96.095)</f>
        <v>96.094999999999999</v>
      </c>
      <c r="G2145" s="2">
        <f ca="1">IFERROR(__xludf.DUMMYFUNCTION("""COMPUTED_VALUE"""),0.59816)</f>
        <v>0.59816000000000003</v>
      </c>
      <c r="H2145" s="2">
        <f ca="1">IFERROR(__xludf.DUMMYFUNCTION("""COMPUTED_VALUE"""),50.489)</f>
        <v>50.488999999999997</v>
      </c>
      <c r="I2145" s="2">
        <f ca="1">IFERROR(__xludf.DUMMYFUNCTION("""COMPUTED_VALUE"""),51.302)</f>
        <v>51.302</v>
      </c>
      <c r="J2145" s="2">
        <f ca="1">IFERROR(__xludf.DUMMYFUNCTION("""COMPUTED_VALUE"""),47.119)</f>
        <v>47.119</v>
      </c>
      <c r="K2145" s="2">
        <f ca="1">IFERROR(__xludf.DUMMYFUNCTION("""COMPUTED_VALUE"""),68.25)</f>
        <v>68.25</v>
      </c>
      <c r="M2145" s="2">
        <f ca="1">IFERROR(__xludf.DUMMYFUNCTION("""COMPUTED_VALUE"""),18.239)</f>
        <v>18.239000000000001</v>
      </c>
      <c r="U2145" s="3" t="e">
        <f ca="1"/>
        <v>#NAME?</v>
      </c>
    </row>
    <row r="2146" spans="3:21" ht="12.5" x14ac:dyDescent="0.25">
      <c r="C2146" s="4">
        <f ca="1">IFERROR(__xludf.DUMMYFUNCTION("""COMPUTED_VALUE"""),42537.9986111111)</f>
        <v>42537.998611111099</v>
      </c>
      <c r="D2146" s="2">
        <f ca="1">IFERROR(__xludf.DUMMYFUNCTION("""COMPUTED_VALUE"""),67.307)</f>
        <v>67.307000000000002</v>
      </c>
      <c r="E2146" s="2">
        <f ca="1">IFERROR(__xludf.DUMMYFUNCTION("""COMPUTED_VALUE"""),70.839)</f>
        <v>70.838999999999999</v>
      </c>
      <c r="F2146" s="2">
        <f ca="1">IFERROR(__xludf.DUMMYFUNCTION("""COMPUTED_VALUE"""),96.185)</f>
        <v>96.185000000000002</v>
      </c>
      <c r="G2146" s="2">
        <f ca="1">IFERROR(__xludf.DUMMYFUNCTION("""COMPUTED_VALUE"""),0.59936)</f>
        <v>0.59936</v>
      </c>
      <c r="H2146" s="2">
        <f ca="1">IFERROR(__xludf.DUMMYFUNCTION("""COMPUTED_VALUE"""),50.447)</f>
        <v>50.447000000000003</v>
      </c>
      <c r="I2146" s="2">
        <f ca="1">IFERROR(__xludf.DUMMYFUNCTION("""COMPUTED_VALUE"""),51.251)</f>
        <v>51.250999999999998</v>
      </c>
      <c r="J2146" s="2">
        <f ca="1">IFERROR(__xludf.DUMMYFUNCTION("""COMPUTED_VALUE"""),47.291)</f>
        <v>47.290999999999997</v>
      </c>
      <c r="K2146" s="2">
        <f ca="1">IFERROR(__xludf.DUMMYFUNCTION("""COMPUTED_VALUE"""),67.974)</f>
        <v>67.974000000000004</v>
      </c>
      <c r="M2146" s="2">
        <f ca="1">IFERROR(__xludf.DUMMYFUNCTION("""COMPUTED_VALUE"""),18.194)</f>
        <v>18.193999999999999</v>
      </c>
      <c r="U2146" s="3" t="e">
        <f ca="1"/>
        <v>#NAME?</v>
      </c>
    </row>
    <row r="2147" spans="3:21" ht="12.5" x14ac:dyDescent="0.25">
      <c r="C2147" s="4">
        <f ca="1">IFERROR(__xludf.DUMMYFUNCTION("""COMPUTED_VALUE"""),42538.9986111111)</f>
        <v>42538.998611111099</v>
      </c>
      <c r="D2147" s="2">
        <f ca="1">IFERROR(__xludf.DUMMYFUNCTION("""COMPUTED_VALUE"""),67.066)</f>
        <v>67.066000000000003</v>
      </c>
      <c r="E2147" s="2">
        <f ca="1">IFERROR(__xludf.DUMMYFUNCTION("""COMPUTED_VALUE"""),69.8062)</f>
        <v>69.806200000000004</v>
      </c>
      <c r="F2147" s="2">
        <f ca="1">IFERROR(__xludf.DUMMYFUNCTION("""COMPUTED_VALUE"""),96.332)</f>
        <v>96.331999999999994</v>
      </c>
      <c r="G2147" s="2">
        <f ca="1">IFERROR(__xludf.DUMMYFUNCTION("""COMPUTED_VALUE"""),0.59483)</f>
        <v>0.59482999999999997</v>
      </c>
      <c r="H2147" s="2">
        <f ca="1">IFERROR(__xludf.DUMMYFUNCTION("""COMPUTED_VALUE"""),49.943)</f>
        <v>49.942999999999998</v>
      </c>
      <c r="I2147" s="2">
        <f ca="1">IFERROR(__xludf.DUMMYFUNCTION("""COMPUTED_VALUE"""),50.731)</f>
        <v>50.731000000000002</v>
      </c>
      <c r="J2147" s="2">
        <f ca="1">IFERROR(__xludf.DUMMYFUNCTION("""COMPUTED_VALUE"""),47.252)</f>
        <v>47.252000000000002</v>
      </c>
      <c r="K2147" s="2">
        <f ca="1">IFERROR(__xludf.DUMMYFUNCTION("""COMPUTED_VALUE"""),68.271)</f>
        <v>68.271000000000001</v>
      </c>
      <c r="M2147" s="2">
        <f ca="1">IFERROR(__xludf.DUMMYFUNCTION("""COMPUTED_VALUE"""),18.275)</f>
        <v>18.274999999999999</v>
      </c>
      <c r="U2147" s="3" t="e">
        <f ca="1"/>
        <v>#NAME?</v>
      </c>
    </row>
    <row r="2148" spans="3:21" ht="12.5" x14ac:dyDescent="0.25">
      <c r="C2148" s="4">
        <f ca="1">IFERROR(__xludf.DUMMYFUNCTION("""COMPUTED_VALUE"""),42540.9986111111)</f>
        <v>42540.998611111099</v>
      </c>
      <c r="D2148" s="2">
        <f ca="1">IFERROR(__xludf.DUMMYFUNCTION("""COMPUTED_VALUE"""),67.066)</f>
        <v>67.066000000000003</v>
      </c>
      <c r="E2148" s="2">
        <f ca="1">IFERROR(__xludf.DUMMYFUNCTION("""COMPUTED_VALUE"""),70.511)</f>
        <v>70.510999999999996</v>
      </c>
      <c r="F2148" s="2">
        <f ca="1">IFERROR(__xludf.DUMMYFUNCTION("""COMPUTED_VALUE"""),96.146)</f>
        <v>96.146000000000001</v>
      </c>
      <c r="G2148" s="2">
        <f ca="1">IFERROR(__xludf.DUMMYFUNCTION("""COMPUTED_VALUE"""),0.59118)</f>
        <v>0.59118000000000004</v>
      </c>
      <c r="H2148" s="2">
        <f ca="1">IFERROR(__xludf.DUMMYFUNCTION("""COMPUTED_VALUE"""),49.929)</f>
        <v>49.929000000000002</v>
      </c>
      <c r="I2148" s="2">
        <f ca="1">IFERROR(__xludf.DUMMYFUNCTION("""COMPUTED_VALUE"""),50.828)</f>
        <v>50.828000000000003</v>
      </c>
      <c r="J2148" s="2">
        <f ca="1">IFERROR(__xludf.DUMMYFUNCTION("""COMPUTED_VALUE"""),46.859)</f>
        <v>46.859000000000002</v>
      </c>
      <c r="K2148" s="2">
        <f ca="1">IFERROR(__xludf.DUMMYFUNCTION("""COMPUTED_VALUE"""),67.936)</f>
        <v>67.936000000000007</v>
      </c>
      <c r="M2148" s="2">
        <f ca="1">IFERROR(__xludf.DUMMYFUNCTION("""COMPUTED_VALUE"""),18.275)</f>
        <v>18.274999999999999</v>
      </c>
      <c r="U2148" s="3" t="e">
        <f ca="1"/>
        <v>#NAME?</v>
      </c>
    </row>
    <row r="2149" spans="3:21" ht="12.5" x14ac:dyDescent="0.25">
      <c r="C2149" s="4">
        <f ca="1">IFERROR(__xludf.DUMMYFUNCTION("""COMPUTED_VALUE"""),42541.9986111111)</f>
        <v>42541.998611111099</v>
      </c>
      <c r="D2149" s="2">
        <f ca="1">IFERROR(__xludf.DUMMYFUNCTION("""COMPUTED_VALUE"""),67.13)</f>
        <v>67.13</v>
      </c>
      <c r="E2149" s="2">
        <f ca="1">IFERROR(__xludf.DUMMYFUNCTION("""COMPUTED_VALUE"""),70.473)</f>
        <v>70.472999999999999</v>
      </c>
      <c r="F2149" s="2">
        <f ca="1">IFERROR(__xludf.DUMMYFUNCTION("""COMPUTED_VALUE"""),96.415)</f>
        <v>96.415000000000006</v>
      </c>
      <c r="G2149" s="2">
        <f ca="1">IFERROR(__xludf.DUMMYFUNCTION("""COMPUTED_VALUE"""),0.58286)</f>
        <v>0.58286000000000004</v>
      </c>
      <c r="H2149" s="2">
        <f ca="1">IFERROR(__xludf.DUMMYFUNCTION("""COMPUTED_VALUE"""),49.503)</f>
        <v>49.503</v>
      </c>
      <c r="I2149" s="2">
        <f ca="1">IFERROR(__xludf.DUMMYFUNCTION("""COMPUTED_VALUE"""),50.817)</f>
        <v>50.817</v>
      </c>
      <c r="J2149" s="2">
        <f ca="1">IFERROR(__xludf.DUMMYFUNCTION("""COMPUTED_VALUE"""),46.964)</f>
        <v>46.963999999999999</v>
      </c>
      <c r="K2149" s="2">
        <f ca="1">IFERROR(__xludf.DUMMYFUNCTION("""COMPUTED_VALUE"""),68.059)</f>
        <v>68.058999999999997</v>
      </c>
      <c r="M2149" s="2">
        <f ca="1">IFERROR(__xludf.DUMMYFUNCTION("""COMPUTED_VALUE"""),18.275)</f>
        <v>18.274999999999999</v>
      </c>
      <c r="U2149" s="3" t="e">
        <f ca="1"/>
        <v>#NAME?</v>
      </c>
    </row>
    <row r="2150" spans="3:21" ht="12.5" x14ac:dyDescent="0.25">
      <c r="C2150" s="4">
        <f ca="1">IFERROR(__xludf.DUMMYFUNCTION("""COMPUTED_VALUE"""),42542.9986111111)</f>
        <v>42542.998611111099</v>
      </c>
      <c r="D2150" s="2">
        <f ca="1">IFERROR(__xludf.DUMMYFUNCTION("""COMPUTED_VALUE"""),67.606)</f>
        <v>67.605999999999995</v>
      </c>
      <c r="E2150" s="2">
        <f ca="1">IFERROR(__xludf.DUMMYFUNCTION("""COMPUTED_VALUE"""),70.656)</f>
        <v>70.656000000000006</v>
      </c>
      <c r="F2150" s="2">
        <f ca="1">IFERROR(__xludf.DUMMYFUNCTION("""COMPUTED_VALUE"""),96.063)</f>
        <v>96.063000000000002</v>
      </c>
      <c r="G2150" s="2">
        <f ca="1">IFERROR(__xludf.DUMMYFUNCTION("""COMPUTED_VALUE"""),0.58274)</f>
        <v>0.58274000000000004</v>
      </c>
      <c r="H2150" s="2">
        <f ca="1">IFERROR(__xludf.DUMMYFUNCTION("""COMPUTED_VALUE"""),48.787)</f>
        <v>48.786999999999999</v>
      </c>
      <c r="I2150" s="2">
        <f ca="1">IFERROR(__xludf.DUMMYFUNCTION("""COMPUTED_VALUE"""),50.047)</f>
        <v>50.046999999999997</v>
      </c>
      <c r="J2150" s="2">
        <f ca="1">IFERROR(__xludf.DUMMYFUNCTION("""COMPUTED_VALUE"""),46.913)</f>
        <v>46.912999999999997</v>
      </c>
      <c r="K2150" s="2">
        <f ca="1">IFERROR(__xludf.DUMMYFUNCTION("""COMPUTED_VALUE"""),67.624)</f>
        <v>67.623999999999995</v>
      </c>
      <c r="M2150" s="2">
        <f ca="1">IFERROR(__xludf.DUMMYFUNCTION("""COMPUTED_VALUE"""),18.293)</f>
        <v>18.292999999999999</v>
      </c>
      <c r="U2150" s="3" t="e">
        <f ca="1"/>
        <v>#NAME?</v>
      </c>
    </row>
    <row r="2151" spans="3:21" ht="12.5" x14ac:dyDescent="0.25">
      <c r="C2151" s="4">
        <f ca="1">IFERROR(__xludf.DUMMYFUNCTION("""COMPUTED_VALUE"""),42543.9986111111)</f>
        <v>42543.998611111099</v>
      </c>
      <c r="D2151" s="2">
        <f ca="1">IFERROR(__xludf.DUMMYFUNCTION("""COMPUTED_VALUE"""),67.422)</f>
        <v>67.421999999999997</v>
      </c>
      <c r="E2151" s="2">
        <f ca="1">IFERROR(__xludf.DUMMYFUNCTION("""COMPUTED_VALUE"""),70.737)</f>
        <v>70.736999999999995</v>
      </c>
      <c r="F2151" s="2">
        <f ca="1">IFERROR(__xludf.DUMMYFUNCTION("""COMPUTED_VALUE"""),96.419)</f>
        <v>96.418999999999997</v>
      </c>
      <c r="G2151" s="2">
        <f ca="1">IFERROR(__xludf.DUMMYFUNCTION("""COMPUTED_VALUE"""),0.59605)</f>
        <v>0.59604999999999997</v>
      </c>
      <c r="H2151" s="2">
        <f ca="1">IFERROR(__xludf.DUMMYFUNCTION("""COMPUTED_VALUE"""),49.137)</f>
        <v>49.137</v>
      </c>
      <c r="I2151" s="2">
        <f ca="1">IFERROR(__xludf.DUMMYFUNCTION("""COMPUTED_VALUE"""),50.56)</f>
        <v>50.56</v>
      </c>
      <c r="J2151" s="2">
        <f ca="1">IFERROR(__xludf.DUMMYFUNCTION("""COMPUTED_VALUE"""),46.208)</f>
        <v>46.207999999999998</v>
      </c>
      <c r="K2151" s="2">
        <f ca="1">IFERROR(__xludf.DUMMYFUNCTION("""COMPUTED_VALUE"""),67.549)</f>
        <v>67.549000000000007</v>
      </c>
      <c r="M2151" s="2">
        <f ca="1">IFERROR(__xludf.DUMMYFUNCTION("""COMPUTED_VALUE"""),18.283)</f>
        <v>18.283000000000001</v>
      </c>
      <c r="U2151" s="3" t="e">
        <f ca="1"/>
        <v>#NAME?</v>
      </c>
    </row>
    <row r="2152" spans="3:21" ht="12.5" x14ac:dyDescent="0.25">
      <c r="C2152" s="4">
        <f ca="1">IFERROR(__xludf.DUMMYFUNCTION("""COMPUTED_VALUE"""),42544.9986111111)</f>
        <v>42544.998611111099</v>
      </c>
      <c r="D2152" s="2">
        <f ca="1">IFERROR(__xludf.DUMMYFUNCTION("""COMPUTED_VALUE"""),67.242)</f>
        <v>67.242000000000004</v>
      </c>
      <c r="E2152" s="2">
        <f ca="1">IFERROR(__xludf.DUMMYFUNCTION("""COMPUTED_VALUE"""),70.847)</f>
        <v>70.846999999999994</v>
      </c>
      <c r="F2152" s="2">
        <f ca="1">IFERROR(__xludf.DUMMYFUNCTION("""COMPUTED_VALUE"""),96.643)</f>
        <v>96.643000000000001</v>
      </c>
      <c r="G2152" s="2">
        <f ca="1">IFERROR(__xludf.DUMMYFUNCTION("""COMPUTED_VALUE"""),0.59845)</f>
        <v>0.59845000000000004</v>
      </c>
      <c r="H2152" s="2">
        <f ca="1">IFERROR(__xludf.DUMMYFUNCTION("""COMPUTED_VALUE"""),49.296)</f>
        <v>49.295999999999999</v>
      </c>
      <c r="I2152" s="2">
        <f ca="1">IFERROR(__xludf.DUMMYFUNCTION("""COMPUTED_VALUE"""),50.726)</f>
        <v>50.725999999999999</v>
      </c>
      <c r="J2152" s="2">
        <f ca="1">IFERROR(__xludf.DUMMYFUNCTION("""COMPUTED_VALUE"""),46.801)</f>
        <v>46.801000000000002</v>
      </c>
      <c r="K2152" s="2">
        <f ca="1">IFERROR(__xludf.DUMMYFUNCTION("""COMPUTED_VALUE"""),67.408)</f>
        <v>67.408000000000001</v>
      </c>
      <c r="M2152" s="2">
        <f ca="1">IFERROR(__xludf.DUMMYFUNCTION("""COMPUTED_VALUE"""),18.28)</f>
        <v>18.28</v>
      </c>
      <c r="U2152" s="3" t="e">
        <f ca="1"/>
        <v>#NAME?</v>
      </c>
    </row>
    <row r="2153" spans="3:21" ht="12.5" x14ac:dyDescent="0.25">
      <c r="C2153" s="4">
        <f ca="1">IFERROR(__xludf.DUMMYFUNCTION("""COMPUTED_VALUE"""),42545.9986111111)</f>
        <v>42545.998611111099</v>
      </c>
      <c r="D2153" s="2">
        <f ca="1">IFERROR(__xludf.DUMMYFUNCTION("""COMPUTED_VALUE"""),67.877)</f>
        <v>67.876999999999995</v>
      </c>
      <c r="E2153" s="2">
        <f ca="1">IFERROR(__xludf.DUMMYFUNCTION("""COMPUTED_VALUE"""),69.8867)</f>
        <v>69.886700000000005</v>
      </c>
      <c r="F2153" s="2">
        <f ca="1">IFERROR(__xludf.DUMMYFUNCTION("""COMPUTED_VALUE"""),98.014)</f>
        <v>98.013999999999996</v>
      </c>
      <c r="G2153" s="2">
        <f ca="1">IFERROR(__xludf.DUMMYFUNCTION("""COMPUTED_VALUE"""),0.59408)</f>
        <v>0.59408000000000005</v>
      </c>
      <c r="H2153" s="2">
        <f ca="1">IFERROR(__xludf.DUMMYFUNCTION("""COMPUTED_VALUE"""),49.024)</f>
        <v>49.024000000000001</v>
      </c>
      <c r="I2153" s="2">
        <f ca="1">IFERROR(__xludf.DUMMYFUNCTION("""COMPUTED_VALUE"""),50.45)</f>
        <v>50.45</v>
      </c>
      <c r="J2153" s="2">
        <f ca="1">IFERROR(__xludf.DUMMYFUNCTION("""COMPUTED_VALUE"""),46.948)</f>
        <v>46.948</v>
      </c>
      <c r="K2153" s="2">
        <f ca="1">IFERROR(__xludf.DUMMYFUNCTION("""COMPUTED_VALUE"""),67.622)</f>
        <v>67.622</v>
      </c>
      <c r="M2153" s="2">
        <f ca="1">IFERROR(__xludf.DUMMYFUNCTION("""COMPUTED_VALUE"""),18.269)</f>
        <v>18.268999999999998</v>
      </c>
      <c r="U2153" s="3" t="e">
        <f ca="1"/>
        <v>#NAME?</v>
      </c>
    </row>
    <row r="2154" spans="3:21" ht="12.5" x14ac:dyDescent="0.25">
      <c r="C2154" s="4">
        <f ca="1">IFERROR(__xludf.DUMMYFUNCTION("""COMPUTED_VALUE"""),42548.9986111111)</f>
        <v>42548.998611111099</v>
      </c>
      <c r="D2154" s="2">
        <f ca="1">IFERROR(__xludf.DUMMYFUNCTION("""COMPUTED_VALUE"""),67.921)</f>
        <v>67.921000000000006</v>
      </c>
      <c r="E2154" s="2">
        <f ca="1">IFERROR(__xludf.DUMMYFUNCTION("""COMPUTED_VALUE"""),71.012)</f>
        <v>71.012</v>
      </c>
      <c r="F2154" s="2">
        <f ca="1">IFERROR(__xludf.DUMMYFUNCTION("""COMPUTED_VALUE"""),98.523)</f>
        <v>98.522999999999996</v>
      </c>
      <c r="G2154" s="2">
        <f ca="1">IFERROR(__xludf.DUMMYFUNCTION("""COMPUTED_VALUE"""),0.59513)</f>
        <v>0.59513000000000005</v>
      </c>
      <c r="H2154" s="2">
        <f ca="1">IFERROR(__xludf.DUMMYFUNCTION("""COMPUTED_VALUE"""),48.937)</f>
        <v>48.936999999999998</v>
      </c>
      <c r="I2154" s="2">
        <f ca="1">IFERROR(__xludf.DUMMYFUNCTION("""COMPUTED_VALUE"""),50.268)</f>
        <v>50.268000000000001</v>
      </c>
      <c r="J2154" s="2">
        <f ca="1">IFERROR(__xludf.DUMMYFUNCTION("""COMPUTED_VALUE"""),46.891)</f>
        <v>46.890999999999998</v>
      </c>
      <c r="K2154" s="2">
        <f ca="1">IFERROR(__xludf.DUMMYFUNCTION("""COMPUTED_VALUE"""),67.286)</f>
        <v>67.286000000000001</v>
      </c>
      <c r="M2154" s="2">
        <f ca="1">IFERROR(__xludf.DUMMYFUNCTION("""COMPUTED_VALUE"""),18.35)</f>
        <v>18.350000000000001</v>
      </c>
      <c r="U2154" s="3" t="e">
        <f ca="1"/>
        <v>#NAME?</v>
      </c>
    </row>
    <row r="2155" spans="3:21" ht="12.5" x14ac:dyDescent="0.25">
      <c r="C2155" s="4">
        <f ca="1">IFERROR(__xludf.DUMMYFUNCTION("""COMPUTED_VALUE"""),42549.9986111111)</f>
        <v>42549.998611111099</v>
      </c>
      <c r="D2155" s="2">
        <f ca="1">IFERROR(__xludf.DUMMYFUNCTION("""COMPUTED_VALUE"""),67.705)</f>
        <v>67.704999999999998</v>
      </c>
      <c r="E2155" s="2">
        <f ca="1">IFERROR(__xludf.DUMMYFUNCTION("""COMPUTED_VALUE"""),70.973)</f>
        <v>70.972999999999999</v>
      </c>
      <c r="F2155" s="2">
        <f ca="1">IFERROR(__xludf.DUMMYFUNCTION("""COMPUTED_VALUE"""),97.766)</f>
        <v>97.766000000000005</v>
      </c>
      <c r="G2155" s="2">
        <f ca="1">IFERROR(__xludf.DUMMYFUNCTION("""COMPUTED_VALUE"""),0.59597)</f>
        <v>0.59597</v>
      </c>
      <c r="H2155" s="2">
        <f ca="1">IFERROR(__xludf.DUMMYFUNCTION("""COMPUTED_VALUE"""),48.606)</f>
        <v>48.606000000000002</v>
      </c>
      <c r="I2155" s="2">
        <f ca="1">IFERROR(__xludf.DUMMYFUNCTION("""COMPUTED_VALUE"""),50.031)</f>
        <v>50.030999999999999</v>
      </c>
      <c r="J2155" s="2">
        <f ca="1">IFERROR(__xludf.DUMMYFUNCTION("""COMPUTED_VALUE"""),46.747)</f>
        <v>46.747</v>
      </c>
      <c r="K2155" s="2">
        <f ca="1">IFERROR(__xludf.DUMMYFUNCTION("""COMPUTED_VALUE"""),67.286)</f>
        <v>67.286000000000001</v>
      </c>
      <c r="M2155" s="2">
        <f ca="1">IFERROR(__xludf.DUMMYFUNCTION("""COMPUTED_VALUE"""),18.32)</f>
        <v>18.32</v>
      </c>
      <c r="U2155" s="3" t="e">
        <f ca="1"/>
        <v>#NAME?</v>
      </c>
    </row>
    <row r="2156" spans="3:21" ht="12.5" x14ac:dyDescent="0.25">
      <c r="C2156" s="4">
        <f ca="1">IFERROR(__xludf.DUMMYFUNCTION("""COMPUTED_VALUE"""),42550.9986111111)</f>
        <v>42550.998611111099</v>
      </c>
      <c r="D2156" s="2">
        <f ca="1">IFERROR(__xludf.DUMMYFUNCTION("""COMPUTED_VALUE"""),67.416)</f>
        <v>67.415999999999997</v>
      </c>
      <c r="E2156" s="2">
        <f ca="1">IFERROR(__xludf.DUMMYFUNCTION("""COMPUTED_VALUE"""),71.767)</f>
        <v>71.766999999999996</v>
      </c>
      <c r="F2156" s="2">
        <f ca="1">IFERROR(__xludf.DUMMYFUNCTION("""COMPUTED_VALUE"""),98.198)</f>
        <v>98.197999999999993</v>
      </c>
      <c r="G2156" s="2">
        <f ca="1">IFERROR(__xludf.DUMMYFUNCTION("""COMPUTED_VALUE"""),0.58633)</f>
        <v>0.58633000000000002</v>
      </c>
      <c r="H2156" s="2">
        <f ca="1">IFERROR(__xludf.DUMMYFUNCTION("""COMPUTED_VALUE"""),48.037)</f>
        <v>48.036999999999999</v>
      </c>
      <c r="I2156" s="2">
        <f ca="1">IFERROR(__xludf.DUMMYFUNCTION("""COMPUTED_VALUE"""),49.446)</f>
        <v>49.445999999999998</v>
      </c>
      <c r="J2156" s="2">
        <f ca="1">IFERROR(__xludf.DUMMYFUNCTION("""COMPUTED_VALUE"""),46.861)</f>
        <v>46.860999999999997</v>
      </c>
      <c r="K2156" s="2">
        <f ca="1">IFERROR(__xludf.DUMMYFUNCTION("""COMPUTED_VALUE"""),67.522)</f>
        <v>67.522000000000006</v>
      </c>
      <c r="M2156" s="2">
        <f ca="1">IFERROR(__xludf.DUMMYFUNCTION("""COMPUTED_VALUE"""),18.26)</f>
        <v>18.260000000000002</v>
      </c>
      <c r="U2156" s="3" t="e">
        <f ca="1"/>
        <v>#NAME?</v>
      </c>
    </row>
    <row r="2157" spans="3:21" ht="12.5" x14ac:dyDescent="0.25">
      <c r="C2157" s="4">
        <f ca="1">IFERROR(__xludf.DUMMYFUNCTION("""COMPUTED_VALUE"""),42551.9986111111)</f>
        <v>42551.998611111099</v>
      </c>
      <c r="D2157" s="2">
        <f ca="1">IFERROR(__xludf.DUMMYFUNCTION("""COMPUTED_VALUE"""),67.501)</f>
        <v>67.501000000000005</v>
      </c>
      <c r="E2157" s="2">
        <f ca="1">IFERROR(__xludf.DUMMYFUNCTION("""COMPUTED_VALUE"""),71.381)</f>
        <v>71.381</v>
      </c>
      <c r="F2157" s="2">
        <f ca="1">IFERROR(__xludf.DUMMYFUNCTION("""COMPUTED_VALUE"""),97.662)</f>
        <v>97.662000000000006</v>
      </c>
      <c r="G2157" s="2">
        <f ca="1">IFERROR(__xludf.DUMMYFUNCTION("""COMPUTED_VALUE"""),0.60031)</f>
        <v>0.60031000000000001</v>
      </c>
      <c r="H2157" s="2">
        <f ca="1">IFERROR(__xludf.DUMMYFUNCTION("""COMPUTED_VALUE"""),48.809)</f>
        <v>48.808999999999997</v>
      </c>
      <c r="I2157" s="2">
        <f ca="1">IFERROR(__xludf.DUMMYFUNCTION("""COMPUTED_VALUE"""),49.998)</f>
        <v>49.997999999999998</v>
      </c>
      <c r="J2157" s="2">
        <f ca="1">IFERROR(__xludf.DUMMYFUNCTION("""COMPUTED_VALUE"""),46.173)</f>
        <v>46.173000000000002</v>
      </c>
      <c r="K2157" s="2">
        <f ca="1">IFERROR(__xludf.DUMMYFUNCTION("""COMPUTED_VALUE"""),67.334)</f>
        <v>67.334000000000003</v>
      </c>
      <c r="M2157" s="2">
        <f ca="1">IFERROR(__xludf.DUMMYFUNCTION("""COMPUTED_VALUE"""),18.24)</f>
        <v>18.239999999999998</v>
      </c>
      <c r="U2157" s="3" t="e">
        <f ca="1"/>
        <v>#NAME?</v>
      </c>
    </row>
    <row r="2158" spans="3:21" ht="12.5" x14ac:dyDescent="0.25">
      <c r="C2158" s="4">
        <f ca="1">IFERROR(__xludf.DUMMYFUNCTION("""COMPUTED_VALUE"""),42552.9986111111)</f>
        <v>42552.998611111099</v>
      </c>
      <c r="D2158" s="2">
        <f ca="1">IFERROR(__xludf.DUMMYFUNCTION("""COMPUTED_VALUE"""),67.182)</f>
        <v>67.182000000000002</v>
      </c>
      <c r="E2158" s="2">
        <f ca="1">IFERROR(__xludf.DUMMYFUNCTION("""COMPUTED_VALUE"""),71.185)</f>
        <v>71.185000000000002</v>
      </c>
      <c r="F2158" s="2">
        <f ca="1">IFERROR(__xludf.DUMMYFUNCTION("""COMPUTED_VALUE"""),98.841)</f>
        <v>98.840999999999994</v>
      </c>
      <c r="G2158" s="2">
        <f ca="1">IFERROR(__xludf.DUMMYFUNCTION("""COMPUTED_VALUE"""),0.5985)</f>
        <v>0.59850000000000003</v>
      </c>
      <c r="H2158" s="2">
        <f ca="1">IFERROR(__xludf.DUMMYFUNCTION("""COMPUTED_VALUE"""),48.943)</f>
        <v>48.942999999999998</v>
      </c>
      <c r="I2158" s="2">
        <f ca="1">IFERROR(__xludf.DUMMYFUNCTION("""COMPUTED_VALUE"""),50.279)</f>
        <v>50.279000000000003</v>
      </c>
      <c r="J2158" s="2">
        <f ca="1">IFERROR(__xludf.DUMMYFUNCTION("""COMPUTED_VALUE"""),46.823)</f>
        <v>46.823</v>
      </c>
      <c r="K2158" s="2">
        <f ca="1">IFERROR(__xludf.DUMMYFUNCTION("""COMPUTED_VALUE"""),67.304)</f>
        <v>67.304000000000002</v>
      </c>
      <c r="M2158" s="2">
        <f ca="1">IFERROR(__xludf.DUMMYFUNCTION("""COMPUTED_VALUE"""),18.155)</f>
        <v>18.155000000000001</v>
      </c>
      <c r="U2158" s="3" t="e">
        <f ca="1"/>
        <v>#NAME?</v>
      </c>
    </row>
    <row r="2159" spans="3:21" ht="12.5" x14ac:dyDescent="0.25">
      <c r="C2159" s="4">
        <f ca="1">IFERROR(__xludf.DUMMYFUNCTION("""COMPUTED_VALUE"""),42553.9986111111)</f>
        <v>42553.998611111099</v>
      </c>
      <c r="D2159" s="2">
        <f ca="1">IFERROR(__xludf.DUMMYFUNCTION("""COMPUTED_VALUE"""),67.182)</f>
        <v>67.182000000000002</v>
      </c>
      <c r="E2159" s="2">
        <f ca="1">IFERROR(__xludf.DUMMYFUNCTION("""COMPUTED_VALUE"""),71.054)</f>
        <v>71.054000000000002</v>
      </c>
      <c r="F2159" s="2">
        <f ca="1">IFERROR(__xludf.DUMMYFUNCTION("""COMPUTED_VALUE"""),98.919)</f>
        <v>98.918999999999997</v>
      </c>
      <c r="G2159" s="2">
        <f ca="1">IFERROR(__xludf.DUMMYFUNCTION("""COMPUTED_VALUE"""),0.59821)</f>
        <v>0.59821000000000002</v>
      </c>
      <c r="H2159" s="2">
        <f ca="1">IFERROR(__xludf.DUMMYFUNCTION("""COMPUTED_VALUE"""),49.1)</f>
        <v>49.1</v>
      </c>
      <c r="I2159" s="2">
        <f ca="1">IFERROR(__xludf.DUMMYFUNCTION("""COMPUTED_VALUE"""),50.353)</f>
        <v>50.353000000000002</v>
      </c>
      <c r="J2159" s="2">
        <f ca="1">IFERROR(__xludf.DUMMYFUNCTION("""COMPUTED_VALUE"""),46.98)</f>
        <v>46.98</v>
      </c>
      <c r="K2159" s="2">
        <f ca="1">IFERROR(__xludf.DUMMYFUNCTION("""COMPUTED_VALUE"""),67.277)</f>
        <v>67.277000000000001</v>
      </c>
      <c r="M2159" s="2">
        <f ca="1">IFERROR(__xludf.DUMMYFUNCTION("""COMPUTED_VALUE"""),18.143)</f>
        <v>18.143000000000001</v>
      </c>
      <c r="U2159" s="3" t="e">
        <f ca="1"/>
        <v>#NAME?</v>
      </c>
    </row>
    <row r="2160" spans="3:21" ht="12.5" x14ac:dyDescent="0.25">
      <c r="C2160" s="4">
        <f ca="1">IFERROR(__xludf.DUMMYFUNCTION("""COMPUTED_VALUE"""),42555.9986111111)</f>
        <v>42555.998611111099</v>
      </c>
      <c r="D2160" s="2">
        <f ca="1">IFERROR(__xludf.DUMMYFUNCTION("""COMPUTED_VALUE"""),67.237)</f>
        <v>67.236999999999995</v>
      </c>
      <c r="E2160" s="2">
        <f ca="1">IFERROR(__xludf.DUMMYFUNCTION("""COMPUTED_VALUE"""),71.204)</f>
        <v>71.203999999999994</v>
      </c>
      <c r="F2160" s="2">
        <f ca="1">IFERROR(__xludf.DUMMYFUNCTION("""COMPUTED_VALUE"""),98.191)</f>
        <v>98.191000000000003</v>
      </c>
      <c r="G2160" s="2">
        <f ca="1">IFERROR(__xludf.DUMMYFUNCTION("""COMPUTED_VALUE"""),0.58806)</f>
        <v>0.58806000000000003</v>
      </c>
      <c r="H2160" s="2">
        <f ca="1">IFERROR(__xludf.DUMMYFUNCTION("""COMPUTED_VALUE"""),48.87)</f>
        <v>48.87</v>
      </c>
      <c r="I2160" s="2">
        <f ca="1">IFERROR(__xludf.DUMMYFUNCTION("""COMPUTED_VALUE"""),50.489)</f>
        <v>50.488999999999997</v>
      </c>
      <c r="J2160" s="2">
        <f ca="1">IFERROR(__xludf.DUMMYFUNCTION("""COMPUTED_VALUE"""),46.915)</f>
        <v>46.914999999999999</v>
      </c>
      <c r="K2160" s="2">
        <f ca="1">IFERROR(__xludf.DUMMYFUNCTION("""COMPUTED_VALUE"""),67.273)</f>
        <v>67.272999999999996</v>
      </c>
      <c r="M2160" s="2">
        <f ca="1">IFERROR(__xludf.DUMMYFUNCTION("""COMPUTED_VALUE"""),18.172)</f>
        <v>18.172000000000001</v>
      </c>
      <c r="U2160" s="3" t="e">
        <f ca="1"/>
        <v>#NAME?</v>
      </c>
    </row>
    <row r="2161" spans="3:21" ht="12.5" x14ac:dyDescent="0.25">
      <c r="C2161" s="4">
        <f ca="1">IFERROR(__xludf.DUMMYFUNCTION("""COMPUTED_VALUE"""),42556.9986111111)</f>
        <v>42556.998611111099</v>
      </c>
      <c r="D2161" s="2">
        <f ca="1">IFERROR(__xludf.DUMMYFUNCTION("""COMPUTED_VALUE"""),67.426)</f>
        <v>67.426000000000002</v>
      </c>
      <c r="E2161" s="2">
        <f ca="1">IFERROR(__xludf.DUMMYFUNCTION("""COMPUTED_VALUE"""),71.762)</f>
        <v>71.762</v>
      </c>
      <c r="F2161" s="2">
        <f ca="1">IFERROR(__xludf.DUMMYFUNCTION("""COMPUTED_VALUE"""),97.983)</f>
        <v>97.983000000000004</v>
      </c>
      <c r="G2161" s="2">
        <f ca="1">IFERROR(__xludf.DUMMYFUNCTION("""COMPUTED_VALUE"""),0.59007)</f>
        <v>0.59006999999999998</v>
      </c>
      <c r="H2161" s="2">
        <f ca="1">IFERROR(__xludf.DUMMYFUNCTION("""COMPUTED_VALUE"""),48.97)</f>
        <v>48.97</v>
      </c>
      <c r="I2161" s="2">
        <f ca="1">IFERROR(__xludf.DUMMYFUNCTION("""COMPUTED_VALUE"""),50.633)</f>
        <v>50.633000000000003</v>
      </c>
      <c r="J2161" s="2">
        <f ca="1">IFERROR(__xludf.DUMMYFUNCTION("""COMPUTED_VALUE"""),46.915)</f>
        <v>46.914999999999999</v>
      </c>
      <c r="K2161" s="2">
        <f ca="1">IFERROR(__xludf.DUMMYFUNCTION("""COMPUTED_VALUE"""),67.272)</f>
        <v>67.272000000000006</v>
      </c>
      <c r="M2161" s="2">
        <f ca="1">IFERROR(__xludf.DUMMYFUNCTION("""COMPUTED_VALUE"""),18.15)</f>
        <v>18.149999999999999</v>
      </c>
      <c r="U2161" s="3" t="e">
        <f ca="1"/>
        <v>#NAME?</v>
      </c>
    </row>
    <row r="2162" spans="3:21" ht="12.5" x14ac:dyDescent="0.25">
      <c r="C2162" s="4">
        <f ca="1">IFERROR(__xludf.DUMMYFUNCTION("""COMPUTED_VALUE"""),42557.9986111111)</f>
        <v>42557.998611111099</v>
      </c>
      <c r="D2162" s="2">
        <f ca="1">IFERROR(__xludf.DUMMYFUNCTION("""COMPUTED_VALUE"""),67.401)</f>
        <v>67.400999999999996</v>
      </c>
      <c r="E2162" s="2">
        <f ca="1">IFERROR(__xludf.DUMMYFUNCTION("""COMPUTED_VALUE"""),71.666)</f>
        <v>71.665999999999997</v>
      </c>
      <c r="F2162" s="2">
        <f ca="1">IFERROR(__xludf.DUMMYFUNCTION("""COMPUTED_VALUE"""),97.983)</f>
        <v>97.983000000000004</v>
      </c>
      <c r="G2162" s="2">
        <f ca="1">IFERROR(__xludf.DUMMYFUNCTION("""COMPUTED_VALUE"""),0.58253)</f>
        <v>0.58252999999999999</v>
      </c>
      <c r="H2162" s="2">
        <f ca="1">IFERROR(__xludf.DUMMYFUNCTION("""COMPUTED_VALUE"""),49.323)</f>
        <v>49.323</v>
      </c>
      <c r="I2162" s="2">
        <f ca="1">IFERROR(__xludf.DUMMYFUNCTION("""COMPUTED_VALUE"""),50.811)</f>
        <v>50.811</v>
      </c>
      <c r="J2162" s="2">
        <f ca="1">IFERROR(__xludf.DUMMYFUNCTION("""COMPUTED_VALUE"""),46.892)</f>
        <v>46.892000000000003</v>
      </c>
      <c r="K2162" s="2">
        <f ca="1">IFERROR(__xludf.DUMMYFUNCTION("""COMPUTED_VALUE"""),67.171)</f>
        <v>67.171000000000006</v>
      </c>
      <c r="M2162" s="2">
        <f ca="1">IFERROR(__xludf.DUMMYFUNCTION("""COMPUTED_VALUE"""),18.172)</f>
        <v>18.172000000000001</v>
      </c>
      <c r="U2162" s="3" t="e">
        <f ca="1"/>
        <v>#NAME?</v>
      </c>
    </row>
    <row r="2163" spans="3:21" ht="12.5" x14ac:dyDescent="0.25">
      <c r="C2163" s="4">
        <f ca="1">IFERROR(__xludf.DUMMYFUNCTION("""COMPUTED_VALUE"""),42558.9986111111)</f>
        <v>42558.998611111099</v>
      </c>
      <c r="D2163" s="2">
        <f ca="1">IFERROR(__xludf.DUMMYFUNCTION("""COMPUTED_VALUE"""),67.497)</f>
        <v>67.497</v>
      </c>
      <c r="E2163" s="2">
        <f ca="1">IFERROR(__xludf.DUMMYFUNCTION("""COMPUTED_VALUE"""),72.026)</f>
        <v>72.025999999999996</v>
      </c>
      <c r="F2163" s="2">
        <f ca="1">IFERROR(__xludf.DUMMYFUNCTION("""COMPUTED_VALUE"""),98.212)</f>
        <v>98.212000000000003</v>
      </c>
      <c r="G2163" s="2">
        <f ca="1">IFERROR(__xludf.DUMMYFUNCTION("""COMPUTED_VALUE"""),0.58794)</f>
        <v>0.58794000000000002</v>
      </c>
      <c r="H2163" s="2">
        <f ca="1">IFERROR(__xludf.DUMMYFUNCTION("""COMPUTED_VALUE"""),49.409)</f>
        <v>49.408999999999999</v>
      </c>
      <c r="I2163" s="2">
        <f ca="1">IFERROR(__xludf.DUMMYFUNCTION("""COMPUTED_VALUE"""),50.994)</f>
        <v>50.994</v>
      </c>
      <c r="J2163" s="2">
        <f ca="1">IFERROR(__xludf.DUMMYFUNCTION("""COMPUTED_VALUE"""),47.074)</f>
        <v>47.073999999999998</v>
      </c>
      <c r="K2163" s="2">
        <f ca="1">IFERROR(__xludf.DUMMYFUNCTION("""COMPUTED_VALUE"""),67.064)</f>
        <v>67.063999999999993</v>
      </c>
      <c r="M2163" s="2">
        <f ca="1">IFERROR(__xludf.DUMMYFUNCTION("""COMPUTED_VALUE"""),18.192)</f>
        <v>18.192</v>
      </c>
      <c r="U2163" s="3" t="e">
        <f ca="1"/>
        <v>#NAME?</v>
      </c>
    </row>
    <row r="2164" spans="3:21" ht="12.5" x14ac:dyDescent="0.25">
      <c r="C2164" s="4">
        <f ca="1">IFERROR(__xludf.DUMMYFUNCTION("""COMPUTED_VALUE"""),42559.9986111111)</f>
        <v>42559.998611111099</v>
      </c>
      <c r="D2164" s="2">
        <f ca="1">IFERROR(__xludf.DUMMYFUNCTION("""COMPUTED_VALUE"""),67.132)</f>
        <v>67.132000000000005</v>
      </c>
      <c r="E2164" s="2">
        <f ca="1">IFERROR(__xludf.DUMMYFUNCTION("""COMPUTED_VALUE"""),72.024)</f>
        <v>72.024000000000001</v>
      </c>
      <c r="F2164" s="2">
        <f ca="1">IFERROR(__xludf.DUMMYFUNCTION("""COMPUTED_VALUE"""),97.426)</f>
        <v>97.426000000000002</v>
      </c>
      <c r="G2164" s="2">
        <f ca="1">IFERROR(__xludf.DUMMYFUNCTION("""COMPUTED_VALUE"""),0.58405)</f>
        <v>0.58404999999999996</v>
      </c>
      <c r="H2164" s="2">
        <f ca="1">IFERROR(__xludf.DUMMYFUNCTION("""COMPUTED_VALUE"""),49.65)</f>
        <v>49.65</v>
      </c>
      <c r="I2164" s="2">
        <f ca="1">IFERROR(__xludf.DUMMYFUNCTION("""COMPUTED_VALUE"""),51.14)</f>
        <v>51.14</v>
      </c>
      <c r="J2164" s="2">
        <f ca="1">IFERROR(__xludf.DUMMYFUNCTION("""COMPUTED_VALUE"""),47.141)</f>
        <v>47.140999999999998</v>
      </c>
      <c r="K2164" s="2">
        <f ca="1">IFERROR(__xludf.DUMMYFUNCTION("""COMPUTED_VALUE"""),67.236)</f>
        <v>67.236000000000004</v>
      </c>
      <c r="M2164" s="2">
        <f ca="1">IFERROR(__xludf.DUMMYFUNCTION("""COMPUTED_VALUE"""),18.192)</f>
        <v>18.192</v>
      </c>
      <c r="U2164" s="3" t="e">
        <f ca="1"/>
        <v>#NAME?</v>
      </c>
    </row>
    <row r="2165" spans="3:21" ht="12.5" x14ac:dyDescent="0.25">
      <c r="C2165" s="4">
        <f ca="1">IFERROR(__xludf.DUMMYFUNCTION("""COMPUTED_VALUE"""),42560.9986111111)</f>
        <v>42560.998611111099</v>
      </c>
      <c r="D2165" s="2">
        <f ca="1">IFERROR(__xludf.DUMMYFUNCTION("""COMPUTED_VALUE"""),67.132)</f>
        <v>67.132000000000005</v>
      </c>
      <c r="E2165" s="2">
        <f ca="1">IFERROR(__xludf.DUMMYFUNCTION("""COMPUTED_VALUE"""),72.296)</f>
        <v>72.296000000000006</v>
      </c>
      <c r="F2165" s="2">
        <f ca="1">IFERROR(__xludf.DUMMYFUNCTION("""COMPUTED_VALUE"""),97.191)</f>
        <v>97.191000000000003</v>
      </c>
      <c r="G2165" s="2">
        <f ca="1">IFERROR(__xludf.DUMMYFUNCTION("""COMPUTED_VALUE"""),0.58531)</f>
        <v>0.58531</v>
      </c>
      <c r="H2165" s="2">
        <f ca="1">IFERROR(__xludf.DUMMYFUNCTION("""COMPUTED_VALUE"""),49.659)</f>
        <v>49.658999999999999</v>
      </c>
      <c r="I2165" s="2">
        <f ca="1">IFERROR(__xludf.DUMMYFUNCTION("""COMPUTED_VALUE"""),51.366)</f>
        <v>51.366</v>
      </c>
      <c r="J2165" s="2">
        <f ca="1">IFERROR(__xludf.DUMMYFUNCTION("""COMPUTED_VALUE"""),47.369)</f>
        <v>47.369</v>
      </c>
      <c r="K2165" s="2">
        <f ca="1">IFERROR(__xludf.DUMMYFUNCTION("""COMPUTED_VALUE"""),67.247)</f>
        <v>67.247</v>
      </c>
      <c r="M2165" s="2">
        <f ca="1">IFERROR(__xludf.DUMMYFUNCTION("""COMPUTED_VALUE"""),18.181)</f>
        <v>18.181000000000001</v>
      </c>
      <c r="U2165" s="3" t="e">
        <f ca="1"/>
        <v>#NAME?</v>
      </c>
    </row>
    <row r="2166" spans="3:21" ht="12.5" x14ac:dyDescent="0.25">
      <c r="C2166" s="4">
        <f ca="1">IFERROR(__xludf.DUMMYFUNCTION("""COMPUTED_VALUE"""),42562.9986111111)</f>
        <v>42562.998611111099</v>
      </c>
      <c r="D2166" s="2">
        <f ca="1">IFERROR(__xludf.DUMMYFUNCTION("""COMPUTED_VALUE"""),67.145)</f>
        <v>67.144999999999996</v>
      </c>
      <c r="E2166" s="2">
        <f ca="1">IFERROR(__xludf.DUMMYFUNCTION("""COMPUTED_VALUE"""),72.247)</f>
        <v>72.247</v>
      </c>
      <c r="F2166" s="2">
        <f ca="1">IFERROR(__xludf.DUMMYFUNCTION("""COMPUTED_VALUE"""),96.923)</f>
        <v>96.923000000000002</v>
      </c>
      <c r="G2166" s="2">
        <f ca="1">IFERROR(__xludf.DUMMYFUNCTION("""COMPUTED_VALUE"""),0.59133)</f>
        <v>0.59133000000000002</v>
      </c>
      <c r="H2166" s="2">
        <f ca="1">IFERROR(__xludf.DUMMYFUNCTION("""COMPUTED_VALUE"""),50.048)</f>
        <v>50.048000000000002</v>
      </c>
      <c r="I2166" s="2">
        <f ca="1">IFERROR(__xludf.DUMMYFUNCTION("""COMPUTED_VALUE"""),51.48)</f>
        <v>51.48</v>
      </c>
      <c r="J2166" s="2">
        <f ca="1">IFERROR(__xludf.DUMMYFUNCTION("""COMPUTED_VALUE"""),47.259)</f>
        <v>47.259</v>
      </c>
      <c r="K2166" s="2">
        <f ca="1">IFERROR(__xludf.DUMMYFUNCTION("""COMPUTED_VALUE"""),67.527)</f>
        <v>67.527000000000001</v>
      </c>
      <c r="M2166" s="2">
        <f ca="1">IFERROR(__xludf.DUMMYFUNCTION("""COMPUTED_VALUE"""),18.18)</f>
        <v>18.18</v>
      </c>
      <c r="U2166" s="3" t="e">
        <f ca="1"/>
        <v>#NAME?</v>
      </c>
    </row>
    <row r="2167" spans="3:21" ht="12.5" x14ac:dyDescent="0.25">
      <c r="C2167" s="4">
        <f ca="1">IFERROR(__xludf.DUMMYFUNCTION("""COMPUTED_VALUE"""),42563.9986111111)</f>
        <v>42563.998611111099</v>
      </c>
      <c r="D2167" s="2">
        <f ca="1">IFERROR(__xludf.DUMMYFUNCTION("""COMPUTED_VALUE"""),66.87)</f>
        <v>66.87</v>
      </c>
      <c r="E2167" s="2">
        <f ca="1">IFERROR(__xludf.DUMMYFUNCTION("""COMPUTED_VALUE"""),72.491)</f>
        <v>72.491</v>
      </c>
      <c r="F2167" s="2">
        <f ca="1">IFERROR(__xludf.DUMMYFUNCTION("""COMPUTED_VALUE"""),97.303)</f>
        <v>97.302999999999997</v>
      </c>
      <c r="G2167" s="2">
        <f ca="1">IFERROR(__xludf.DUMMYFUNCTION("""COMPUTED_VALUE"""),0.59372)</f>
        <v>0.59372000000000003</v>
      </c>
      <c r="H2167" s="2">
        <f ca="1">IFERROR(__xludf.DUMMYFUNCTION("""COMPUTED_VALUE"""),50.242)</f>
        <v>50.241999999999997</v>
      </c>
      <c r="I2167" s="2">
        <f ca="1">IFERROR(__xludf.DUMMYFUNCTION("""COMPUTED_VALUE"""),51.536)</f>
        <v>51.536000000000001</v>
      </c>
      <c r="J2167" s="2">
        <f ca="1">IFERROR(__xludf.DUMMYFUNCTION("""COMPUTED_VALUE"""),47.414)</f>
        <v>47.414000000000001</v>
      </c>
      <c r="K2167" s="2">
        <f ca="1">IFERROR(__xludf.DUMMYFUNCTION("""COMPUTED_VALUE"""),67.333)</f>
        <v>67.332999999999998</v>
      </c>
      <c r="M2167" s="2">
        <f ca="1">IFERROR(__xludf.DUMMYFUNCTION("""COMPUTED_VALUE"""),18.175)</f>
        <v>18.175000000000001</v>
      </c>
      <c r="U2167" s="3" t="e">
        <f ca="1"/>
        <v>#NAME?</v>
      </c>
    </row>
    <row r="2168" spans="3:21" ht="12.5" x14ac:dyDescent="0.25">
      <c r="C2168" s="4">
        <f ca="1">IFERROR(__xludf.DUMMYFUNCTION("""COMPUTED_VALUE"""),42564.9986111111)</f>
        <v>42564.998611111099</v>
      </c>
      <c r="D2168" s="2">
        <f ca="1">IFERROR(__xludf.DUMMYFUNCTION("""COMPUTED_VALUE"""),67.006)</f>
        <v>67.006</v>
      </c>
      <c r="E2168" s="2">
        <f ca="1">IFERROR(__xludf.DUMMYFUNCTION("""COMPUTED_VALUE"""),72.128)</f>
        <v>72.128</v>
      </c>
      <c r="F2168" s="2">
        <f ca="1">IFERROR(__xludf.DUMMYFUNCTION("""COMPUTED_VALUE"""),96.609)</f>
        <v>96.608999999999995</v>
      </c>
      <c r="G2168" s="2">
        <f ca="1">IFERROR(__xludf.DUMMYFUNCTION("""COMPUTED_VALUE"""),0.59372)</f>
        <v>0.59372000000000003</v>
      </c>
      <c r="H2168" s="2">
        <f ca="1">IFERROR(__xludf.DUMMYFUNCTION("""COMPUTED_VALUE"""),50.806)</f>
        <v>50.805999999999997</v>
      </c>
      <c r="I2168" s="2">
        <f ca="1">IFERROR(__xludf.DUMMYFUNCTION("""COMPUTED_VALUE"""),51.836)</f>
        <v>51.835999999999999</v>
      </c>
      <c r="J2168" s="2">
        <f ca="1">IFERROR(__xludf.DUMMYFUNCTION("""COMPUTED_VALUE"""),47.494)</f>
        <v>47.494</v>
      </c>
      <c r="K2168" s="2">
        <f ca="1">IFERROR(__xludf.DUMMYFUNCTION("""COMPUTED_VALUE"""),68.302)</f>
        <v>68.302000000000007</v>
      </c>
      <c r="M2168" s="2">
        <f ca="1">IFERROR(__xludf.DUMMYFUNCTION("""COMPUTED_VALUE"""),18.167)</f>
        <v>18.167000000000002</v>
      </c>
      <c r="U2168" s="3" t="e">
        <f ca="1"/>
        <v>#NAME?</v>
      </c>
    </row>
    <row r="2169" spans="3:21" ht="12.5" x14ac:dyDescent="0.25">
      <c r="C2169" s="4">
        <f ca="1">IFERROR(__xludf.DUMMYFUNCTION("""COMPUTED_VALUE"""),42565.9986111111)</f>
        <v>42565.998611111099</v>
      </c>
      <c r="D2169" s="2">
        <f ca="1">IFERROR(__xludf.DUMMYFUNCTION("""COMPUTED_VALUE"""),66.838)</f>
        <v>66.837999999999994</v>
      </c>
      <c r="E2169" s="2">
        <f ca="1">IFERROR(__xludf.DUMMYFUNCTION("""COMPUTED_VALUE"""),72.563)</f>
        <v>72.563000000000002</v>
      </c>
      <c r="F2169" s="2">
        <f ca="1">IFERROR(__xludf.DUMMYFUNCTION("""COMPUTED_VALUE"""),97.082)</f>
        <v>97.081999999999994</v>
      </c>
      <c r="G2169" s="2">
        <f ca="1">IFERROR(__xludf.DUMMYFUNCTION("""COMPUTED_VALUE"""),0.5899)</f>
        <v>0.58989999999999998</v>
      </c>
      <c r="H2169" s="2">
        <f ca="1">IFERROR(__xludf.DUMMYFUNCTION("""COMPUTED_VALUE"""),50.964)</f>
        <v>50.963999999999999</v>
      </c>
      <c r="I2169" s="2">
        <f ca="1">IFERROR(__xludf.DUMMYFUNCTION("""COMPUTED_VALUE"""),51.753)</f>
        <v>51.753</v>
      </c>
      <c r="J2169" s="2">
        <f ca="1">IFERROR(__xludf.DUMMYFUNCTION("""COMPUTED_VALUE"""),47.853)</f>
        <v>47.853000000000002</v>
      </c>
      <c r="K2169" s="2">
        <f ca="1">IFERROR(__xludf.DUMMYFUNCTION("""COMPUTED_VALUE"""),68.549)</f>
        <v>68.549000000000007</v>
      </c>
      <c r="M2169" s="2">
        <f ca="1">IFERROR(__xludf.DUMMYFUNCTION("""COMPUTED_VALUE"""),18.216)</f>
        <v>18.216000000000001</v>
      </c>
      <c r="U2169" s="3" t="e">
        <f ca="1"/>
        <v>#NAME?</v>
      </c>
    </row>
    <row r="2170" spans="3:21" ht="12.5" x14ac:dyDescent="0.25">
      <c r="C2170" s="4">
        <f ca="1">IFERROR(__xludf.DUMMYFUNCTION("""COMPUTED_VALUE"""),42566.9986111111)</f>
        <v>42566.998611111099</v>
      </c>
      <c r="D2170" s="2">
        <f ca="1">IFERROR(__xludf.DUMMYFUNCTION("""COMPUTED_VALUE"""),67.133)</f>
        <v>67.132999999999996</v>
      </c>
      <c r="E2170" s="2">
        <f ca="1">IFERROR(__xludf.DUMMYFUNCTION("""COMPUTED_VALUE"""),72.402)</f>
        <v>72.402000000000001</v>
      </c>
      <c r="F2170" s="2">
        <f ca="1">IFERROR(__xludf.DUMMYFUNCTION("""COMPUTED_VALUE"""),96.549)</f>
        <v>96.549000000000007</v>
      </c>
      <c r="G2170" s="2">
        <f ca="1">IFERROR(__xludf.DUMMYFUNCTION("""COMPUTED_VALUE"""),0.58852)</f>
        <v>0.58852000000000004</v>
      </c>
      <c r="H2170" s="2">
        <f ca="1">IFERROR(__xludf.DUMMYFUNCTION("""COMPUTED_VALUE"""),51.078)</f>
        <v>51.078000000000003</v>
      </c>
      <c r="I2170" s="2">
        <f ca="1">IFERROR(__xludf.DUMMYFUNCTION("""COMPUTED_VALUE"""),51.937)</f>
        <v>51.936999999999998</v>
      </c>
      <c r="J2170" s="2">
        <f ca="1">IFERROR(__xludf.DUMMYFUNCTION("""COMPUTED_VALUE"""),47.745)</f>
        <v>47.744999999999997</v>
      </c>
      <c r="K2170" s="2">
        <f ca="1">IFERROR(__xludf.DUMMYFUNCTION("""COMPUTED_VALUE"""),68.371)</f>
        <v>68.370999999999995</v>
      </c>
      <c r="M2170" s="2">
        <f ca="1">IFERROR(__xludf.DUMMYFUNCTION("""COMPUTED_VALUE"""),18.202)</f>
        <v>18.202000000000002</v>
      </c>
      <c r="U2170" s="3" t="e">
        <f ca="1"/>
        <v>#NAME?</v>
      </c>
    </row>
    <row r="2171" spans="3:21" ht="12.5" x14ac:dyDescent="0.25">
      <c r="C2171" s="4">
        <f ca="1">IFERROR(__xludf.DUMMYFUNCTION("""COMPUTED_VALUE"""),42567.9986111111)</f>
        <v>42567.998611111099</v>
      </c>
      <c r="D2171" s="2">
        <f ca="1">IFERROR(__xludf.DUMMYFUNCTION("""COMPUTED_VALUE"""),67.133)</f>
        <v>67.132999999999996</v>
      </c>
      <c r="E2171" s="2">
        <f ca="1">IFERROR(__xludf.DUMMYFUNCTION("""COMPUTED_VALUE"""),72.508)</f>
        <v>72.507999999999996</v>
      </c>
      <c r="F2171" s="2">
        <f ca="1">IFERROR(__xludf.DUMMYFUNCTION("""COMPUTED_VALUE"""),96.5)</f>
        <v>96.5</v>
      </c>
      <c r="G2171" s="2">
        <f ca="1">IFERROR(__xludf.DUMMYFUNCTION("""COMPUTED_VALUE"""),0.58941)</f>
        <v>0.58940999999999999</v>
      </c>
      <c r="H2171" s="2">
        <f ca="1">IFERROR(__xludf.DUMMYFUNCTION("""COMPUTED_VALUE"""),50.833)</f>
        <v>50.832999999999998</v>
      </c>
      <c r="I2171" s="2">
        <f ca="1">IFERROR(__xludf.DUMMYFUNCTION("""COMPUTED_VALUE"""),51.631)</f>
        <v>51.631</v>
      </c>
      <c r="J2171" s="2">
        <f ca="1">IFERROR(__xludf.DUMMYFUNCTION("""COMPUTED_VALUE"""),47.737)</f>
        <v>47.737000000000002</v>
      </c>
      <c r="K2171" s="2">
        <f ca="1">IFERROR(__xludf.DUMMYFUNCTION("""COMPUTED_VALUE"""),68.954)</f>
        <v>68.953999999999994</v>
      </c>
      <c r="M2171" s="2">
        <f ca="1">IFERROR(__xludf.DUMMYFUNCTION("""COMPUTED_VALUE"""),18.2)</f>
        <v>18.2</v>
      </c>
      <c r="U2171" s="3" t="e">
        <f ca="1"/>
        <v>#NAME?</v>
      </c>
    </row>
    <row r="2172" spans="3:21" ht="12.5" x14ac:dyDescent="0.25">
      <c r="C2172" s="4">
        <f ca="1">IFERROR(__xludf.DUMMYFUNCTION("""COMPUTED_VALUE"""),42569.9986111111)</f>
        <v>42569.998611111099</v>
      </c>
      <c r="D2172" s="2">
        <f ca="1">IFERROR(__xludf.DUMMYFUNCTION("""COMPUTED_VALUE"""),67.139)</f>
        <v>67.138999999999996</v>
      </c>
      <c r="E2172" s="2">
        <f ca="1">IFERROR(__xludf.DUMMYFUNCTION("""COMPUTED_VALUE"""),72.781)</f>
        <v>72.781000000000006</v>
      </c>
      <c r="F2172" s="2">
        <f ca="1">IFERROR(__xludf.DUMMYFUNCTION("""COMPUTED_VALUE"""),95.477)</f>
        <v>95.477000000000004</v>
      </c>
      <c r="G2172" s="2">
        <f ca="1">IFERROR(__xludf.DUMMYFUNCTION("""COMPUTED_VALUE"""),0.5911)</f>
        <v>0.59109999999999996</v>
      </c>
      <c r="H2172" s="2">
        <f ca="1">IFERROR(__xludf.DUMMYFUNCTION("""COMPUTED_VALUE"""),51.225)</f>
        <v>51.225000000000001</v>
      </c>
      <c r="I2172" s="2">
        <f ca="1">IFERROR(__xludf.DUMMYFUNCTION("""COMPUTED_VALUE"""),51.933)</f>
        <v>51.933</v>
      </c>
      <c r="J2172" s="2">
        <f ca="1">IFERROR(__xludf.DUMMYFUNCTION("""COMPUTED_VALUE"""),47.576)</f>
        <v>47.576000000000001</v>
      </c>
      <c r="K2172" s="2">
        <f ca="1">IFERROR(__xludf.DUMMYFUNCTION("""COMPUTED_VALUE"""),68.442)</f>
        <v>68.441999999999993</v>
      </c>
      <c r="M2172" s="2">
        <f ca="1">IFERROR(__xludf.DUMMYFUNCTION("""COMPUTED_VALUE"""),18.213)</f>
        <v>18.213000000000001</v>
      </c>
      <c r="U2172" s="3" t="e">
        <f ca="1"/>
        <v>#NAME?</v>
      </c>
    </row>
    <row r="2173" spans="3:21" ht="12.5" x14ac:dyDescent="0.25">
      <c r="C2173" s="4">
        <f ca="1">IFERROR(__xludf.DUMMYFUNCTION("""COMPUTED_VALUE"""),42570.9986111111)</f>
        <v>42570.998611111099</v>
      </c>
      <c r="D2173" s="2">
        <f ca="1">IFERROR(__xludf.DUMMYFUNCTION("""COMPUTED_VALUE"""),67.206)</f>
        <v>67.206000000000003</v>
      </c>
      <c r="E2173" s="2">
        <f ca="1">IFERROR(__xludf.DUMMYFUNCTION("""COMPUTED_VALUE"""),72.781)</f>
        <v>72.781000000000006</v>
      </c>
      <c r="F2173" s="2">
        <f ca="1">IFERROR(__xludf.DUMMYFUNCTION("""COMPUTED_VALUE"""),95.389)</f>
        <v>95.388999999999996</v>
      </c>
      <c r="G2173" s="2">
        <f ca="1">IFERROR(__xludf.DUMMYFUNCTION("""COMPUTED_VALUE"""),0.59379)</f>
        <v>0.59379000000000004</v>
      </c>
      <c r="H2173" s="2">
        <f ca="1">IFERROR(__xludf.DUMMYFUNCTION("""COMPUTED_VALUE"""),51.152)</f>
        <v>51.152000000000001</v>
      </c>
      <c r="I2173" s="2">
        <f ca="1">IFERROR(__xludf.DUMMYFUNCTION("""COMPUTED_VALUE"""),51.357)</f>
        <v>51.356999999999999</v>
      </c>
      <c r="J2173" s="2">
        <f ca="1">IFERROR(__xludf.DUMMYFUNCTION("""COMPUTED_VALUE"""),47.829)</f>
        <v>47.829000000000001</v>
      </c>
      <c r="K2173" s="2">
        <f ca="1">IFERROR(__xludf.DUMMYFUNCTION("""COMPUTED_VALUE"""),67.547)</f>
        <v>67.546999999999997</v>
      </c>
      <c r="M2173" s="2">
        <f ca="1">IFERROR(__xludf.DUMMYFUNCTION("""COMPUTED_VALUE"""),18.19)</f>
        <v>18.190000000000001</v>
      </c>
      <c r="U2173" s="3" t="e">
        <f ca="1"/>
        <v>#NAME?</v>
      </c>
    </row>
    <row r="2174" spans="3:21" ht="12.5" x14ac:dyDescent="0.25">
      <c r="C2174" s="4">
        <f ca="1">IFERROR(__xludf.DUMMYFUNCTION("""COMPUTED_VALUE"""),42571.9986111111)</f>
        <v>42571.998611111099</v>
      </c>
      <c r="D2174" s="2">
        <f ca="1">IFERROR(__xludf.DUMMYFUNCTION("""COMPUTED_VALUE"""),67.164)</f>
        <v>67.164000000000001</v>
      </c>
      <c r="E2174" s="2">
        <f ca="1">IFERROR(__xludf.DUMMYFUNCTION("""COMPUTED_VALUE"""),73.14)</f>
        <v>73.14</v>
      </c>
      <c r="F2174" s="2">
        <f ca="1">IFERROR(__xludf.DUMMYFUNCTION("""COMPUTED_VALUE"""),94.959)</f>
        <v>94.959000000000003</v>
      </c>
      <c r="G2174" s="2">
        <f ca="1">IFERROR(__xludf.DUMMYFUNCTION("""COMPUTED_VALUE"""),0.59357)</f>
        <v>0.59357000000000004</v>
      </c>
      <c r="H2174" s="2">
        <f ca="1">IFERROR(__xludf.DUMMYFUNCTION("""COMPUTED_VALUE"""),51.457)</f>
        <v>51.457000000000001</v>
      </c>
      <c r="I2174" s="2">
        <f ca="1">IFERROR(__xludf.DUMMYFUNCTION("""COMPUTED_VALUE"""),51.056)</f>
        <v>51.055999999999997</v>
      </c>
      <c r="J2174" s="2">
        <f ca="1">IFERROR(__xludf.DUMMYFUNCTION("""COMPUTED_VALUE"""),47.664)</f>
        <v>47.664000000000001</v>
      </c>
      <c r="K2174" s="2">
        <f ca="1">IFERROR(__xludf.DUMMYFUNCTION("""COMPUTED_VALUE"""),67.475)</f>
        <v>67.474999999999994</v>
      </c>
      <c r="M2174" s="2">
        <f ca="1">IFERROR(__xludf.DUMMYFUNCTION("""COMPUTED_VALUE"""),18.278)</f>
        <v>18.277999999999999</v>
      </c>
      <c r="U2174" s="3" t="e">
        <f ca="1"/>
        <v>#NAME?</v>
      </c>
    </row>
    <row r="2175" spans="3:21" ht="12.5" x14ac:dyDescent="0.25">
      <c r="C2175" s="4">
        <f ca="1">IFERROR(__xludf.DUMMYFUNCTION("""COMPUTED_VALUE"""),42572.9986111111)</f>
        <v>42572.998611111099</v>
      </c>
      <c r="D2175" s="2">
        <f ca="1">IFERROR(__xludf.DUMMYFUNCTION("""COMPUTED_VALUE"""),67.154)</f>
        <v>67.153999999999996</v>
      </c>
      <c r="E2175" s="2">
        <f ca="1">IFERROR(__xludf.DUMMYFUNCTION("""COMPUTED_VALUE"""),73.071)</f>
        <v>73.070999999999998</v>
      </c>
      <c r="F2175" s="2">
        <f ca="1">IFERROR(__xludf.DUMMYFUNCTION("""COMPUTED_VALUE"""),95.237)</f>
        <v>95.236999999999995</v>
      </c>
      <c r="G2175" s="2">
        <f ca="1">IFERROR(__xludf.DUMMYFUNCTION("""COMPUTED_VALUE"""),0.59097)</f>
        <v>0.59097</v>
      </c>
      <c r="H2175" s="2">
        <f ca="1">IFERROR(__xludf.DUMMYFUNCTION("""COMPUTED_VALUE"""),51.402)</f>
        <v>51.402000000000001</v>
      </c>
      <c r="I2175" s="2">
        <f ca="1">IFERROR(__xludf.DUMMYFUNCTION("""COMPUTED_VALUE"""),51.021)</f>
        <v>51.021000000000001</v>
      </c>
      <c r="J2175" s="2">
        <f ca="1">IFERROR(__xludf.DUMMYFUNCTION("""COMPUTED_VALUE"""),47.715)</f>
        <v>47.715000000000003</v>
      </c>
      <c r="K2175" s="2">
        <f ca="1">IFERROR(__xludf.DUMMYFUNCTION("""COMPUTED_VALUE"""),67.651)</f>
        <v>67.650999999999996</v>
      </c>
      <c r="M2175" s="2">
        <f ca="1">IFERROR(__xludf.DUMMYFUNCTION("""COMPUTED_VALUE"""),18.289)</f>
        <v>18.289000000000001</v>
      </c>
      <c r="U2175" s="3" t="e">
        <f ca="1"/>
        <v>#NAME?</v>
      </c>
    </row>
    <row r="2176" spans="3:21" ht="12.5" x14ac:dyDescent="0.25">
      <c r="C2176" s="4">
        <f ca="1">IFERROR(__xludf.DUMMYFUNCTION("""COMPUTED_VALUE"""),42573.9986111111)</f>
        <v>42573.998611111099</v>
      </c>
      <c r="D2176" s="2">
        <f ca="1">IFERROR(__xludf.DUMMYFUNCTION("""COMPUTED_VALUE"""),67.146)</f>
        <v>67.146000000000001</v>
      </c>
      <c r="E2176" s="2">
        <f ca="1">IFERROR(__xludf.DUMMYFUNCTION("""COMPUTED_VALUE"""),73.009)</f>
        <v>73.009</v>
      </c>
      <c r="F2176" s="2">
        <f ca="1">IFERROR(__xludf.DUMMYFUNCTION("""COMPUTED_VALUE"""),95.663)</f>
        <v>95.662999999999997</v>
      </c>
      <c r="G2176" s="2">
        <f ca="1">IFERROR(__xludf.DUMMYFUNCTION("""COMPUTED_VALUE"""),0.58938)</f>
        <v>0.58938000000000001</v>
      </c>
      <c r="H2176" s="2">
        <f ca="1">IFERROR(__xludf.DUMMYFUNCTION("""COMPUTED_VALUE"""),50.503)</f>
        <v>50.503</v>
      </c>
      <c r="I2176" s="2">
        <f ca="1">IFERROR(__xludf.DUMMYFUNCTION("""COMPUTED_VALUE"""),50.153)</f>
        <v>50.152999999999999</v>
      </c>
      <c r="J2176" s="2">
        <f ca="1">IFERROR(__xludf.DUMMYFUNCTION("""COMPUTED_VALUE"""),47.705)</f>
        <v>47.704999999999998</v>
      </c>
      <c r="K2176" s="2">
        <f ca="1">IFERROR(__xludf.DUMMYFUNCTION("""COMPUTED_VALUE"""),68.292)</f>
        <v>68.292000000000002</v>
      </c>
      <c r="M2176" s="2">
        <f ca="1">IFERROR(__xludf.DUMMYFUNCTION("""COMPUTED_VALUE"""),18.273)</f>
        <v>18.273</v>
      </c>
      <c r="U2176" s="3" t="e">
        <f ca="1"/>
        <v>#NAME?</v>
      </c>
    </row>
    <row r="2177" spans="3:21" ht="12.5" x14ac:dyDescent="0.25">
      <c r="C2177" s="4">
        <f ca="1">IFERROR(__xludf.DUMMYFUNCTION("""COMPUTED_VALUE"""),42576.9986111111)</f>
        <v>42576.998611111099</v>
      </c>
      <c r="D2177" s="2">
        <f ca="1">IFERROR(__xludf.DUMMYFUNCTION("""COMPUTED_VALUE"""),67.405)</f>
        <v>67.405000000000001</v>
      </c>
      <c r="E2177" s="2">
        <f ca="1">IFERROR(__xludf.DUMMYFUNCTION("""COMPUTED_VALUE"""),72.735)</f>
        <v>72.734999999999999</v>
      </c>
      <c r="F2177" s="2">
        <f ca="1">IFERROR(__xludf.DUMMYFUNCTION("""COMPUTED_VALUE"""),96.293)</f>
        <v>96.293000000000006</v>
      </c>
      <c r="G2177" s="2">
        <f ca="1">IFERROR(__xludf.DUMMYFUNCTION("""COMPUTED_VALUE"""),0.58531)</f>
        <v>0.58531</v>
      </c>
      <c r="H2177" s="2">
        <f ca="1">IFERROR(__xludf.DUMMYFUNCTION("""COMPUTED_VALUE"""),51.543)</f>
        <v>51.542999999999999</v>
      </c>
      <c r="I2177" s="2">
        <f ca="1">IFERROR(__xludf.DUMMYFUNCTION("""COMPUTED_VALUE"""),51.349)</f>
        <v>51.348999999999997</v>
      </c>
      <c r="J2177" s="2">
        <f ca="1">IFERROR(__xludf.DUMMYFUNCTION("""COMPUTED_VALUE"""),46.894)</f>
        <v>46.893999999999998</v>
      </c>
      <c r="K2177" s="2">
        <f ca="1">IFERROR(__xludf.DUMMYFUNCTION("""COMPUTED_VALUE"""),68.358)</f>
        <v>68.358000000000004</v>
      </c>
      <c r="M2177" s="2">
        <f ca="1">IFERROR(__xludf.DUMMYFUNCTION("""COMPUTED_VALUE"""),18.395)</f>
        <v>18.395</v>
      </c>
      <c r="U2177" s="3" t="e">
        <f ca="1"/>
        <v>#NAME?</v>
      </c>
    </row>
    <row r="2178" spans="3:21" ht="12.5" x14ac:dyDescent="0.25">
      <c r="C2178" s="4">
        <f ca="1">IFERROR(__xludf.DUMMYFUNCTION("""COMPUTED_VALUE"""),42577.9986111111)</f>
        <v>42577.998611111099</v>
      </c>
      <c r="D2178" s="2">
        <f ca="1">IFERROR(__xludf.DUMMYFUNCTION("""COMPUTED_VALUE"""),67.284)</f>
        <v>67.284000000000006</v>
      </c>
      <c r="E2178" s="2">
        <f ca="1">IFERROR(__xludf.DUMMYFUNCTION("""COMPUTED_VALUE"""),72.786)</f>
        <v>72.786000000000001</v>
      </c>
      <c r="F2178" s="2">
        <f ca="1">IFERROR(__xludf.DUMMYFUNCTION("""COMPUTED_VALUE"""),97.541)</f>
        <v>97.540999999999997</v>
      </c>
      <c r="G2178" s="2">
        <f ca="1">IFERROR(__xludf.DUMMYFUNCTION("""COMPUTED_VALUE"""),0.58334)</f>
        <v>0.58333999999999997</v>
      </c>
      <c r="H2178" s="2">
        <f ca="1">IFERROR(__xludf.DUMMYFUNCTION("""COMPUTED_VALUE"""),51.691)</f>
        <v>51.691000000000003</v>
      </c>
      <c r="I2178" s="2">
        <f ca="1">IFERROR(__xludf.DUMMYFUNCTION("""COMPUTED_VALUE"""),51.772)</f>
        <v>51.771999999999998</v>
      </c>
      <c r="J2178" s="2">
        <f ca="1">IFERROR(__xludf.DUMMYFUNCTION("""COMPUTED_VALUE"""),47.941)</f>
        <v>47.941000000000003</v>
      </c>
      <c r="K2178" s="2">
        <f ca="1">IFERROR(__xludf.DUMMYFUNCTION("""COMPUTED_VALUE"""),68.358)</f>
        <v>68.358000000000004</v>
      </c>
      <c r="M2178" s="2">
        <f ca="1">IFERROR(__xludf.DUMMYFUNCTION("""COMPUTED_VALUE"""),18.25)</f>
        <v>18.25</v>
      </c>
      <c r="U2178" s="3" t="e">
        <f ca="1"/>
        <v>#NAME?</v>
      </c>
    </row>
    <row r="2179" spans="3:21" ht="12.5" x14ac:dyDescent="0.25">
      <c r="C2179" s="4">
        <f ca="1">IFERROR(__xludf.DUMMYFUNCTION("""COMPUTED_VALUE"""),42578.9986111111)</f>
        <v>42578.998611111099</v>
      </c>
      <c r="D2179" s="2">
        <f ca="1">IFERROR(__xludf.DUMMYFUNCTION("""COMPUTED_VALUE"""),67.063)</f>
        <v>67.063000000000002</v>
      </c>
      <c r="E2179" s="2">
        <f ca="1">IFERROR(__xludf.DUMMYFUNCTION("""COMPUTED_VALUE"""),71.7498)</f>
        <v>71.749799999999993</v>
      </c>
      <c r="F2179" s="2">
        <f ca="1">IFERROR(__xludf.DUMMYFUNCTION("""COMPUTED_VALUE"""),98.632)</f>
        <v>98.632000000000005</v>
      </c>
      <c r="G2179" s="2">
        <f ca="1">IFERROR(__xludf.DUMMYFUNCTION("""COMPUTED_VALUE"""),0.58485)</f>
        <v>0.58484999999999998</v>
      </c>
      <c r="H2179" s="2">
        <f ca="1">IFERROR(__xludf.DUMMYFUNCTION("""COMPUTED_VALUE"""),51.433)</f>
        <v>51.433</v>
      </c>
      <c r="I2179" s="2">
        <f ca="1">IFERROR(__xludf.DUMMYFUNCTION("""COMPUTED_VALUE"""),51.956)</f>
        <v>51.956000000000003</v>
      </c>
      <c r="J2179" s="2">
        <f ca="1">IFERROR(__xludf.DUMMYFUNCTION("""COMPUTED_VALUE"""),47.923)</f>
        <v>47.923000000000002</v>
      </c>
      <c r="K2179" s="2">
        <f ca="1">IFERROR(__xludf.DUMMYFUNCTION("""COMPUTED_VALUE"""),67.895)</f>
        <v>67.894999999999996</v>
      </c>
      <c r="M2179" s="2">
        <f ca="1">IFERROR(__xludf.DUMMYFUNCTION("""COMPUTED_VALUE"""),18.274)</f>
        <v>18.274000000000001</v>
      </c>
      <c r="U2179" s="3" t="e">
        <f ca="1"/>
        <v>#NAME?</v>
      </c>
    </row>
    <row r="2180" spans="3:21" ht="12.5" x14ac:dyDescent="0.25">
      <c r="C2180" s="4">
        <f ca="1">IFERROR(__xludf.DUMMYFUNCTION("""COMPUTED_VALUE"""),42579.9986111111)</f>
        <v>42579.998611111099</v>
      </c>
      <c r="D2180" s="2">
        <f ca="1">IFERROR(__xludf.DUMMYFUNCTION("""COMPUTED_VALUE"""),67.007)</f>
        <v>67.007000000000005</v>
      </c>
      <c r="E2180" s="2">
        <f ca="1">IFERROR(__xludf.DUMMYFUNCTION("""COMPUTED_VALUE"""),71.7498)</f>
        <v>71.749799999999993</v>
      </c>
      <c r="F2180" s="2">
        <f ca="1">IFERROR(__xludf.DUMMYFUNCTION("""COMPUTED_VALUE"""),99.153)</f>
        <v>99.153000000000006</v>
      </c>
      <c r="G2180" s="2">
        <f ca="1">IFERROR(__xludf.DUMMYFUNCTION("""COMPUTED_VALUE"""),0.58504)</f>
        <v>0.58504</v>
      </c>
      <c r="H2180" s="2">
        <f ca="1">IFERROR(__xludf.DUMMYFUNCTION("""COMPUTED_VALUE"""),51.285)</f>
        <v>51.284999999999997</v>
      </c>
      <c r="I2180" s="2">
        <f ca="1">IFERROR(__xludf.DUMMYFUNCTION("""COMPUTED_VALUE"""),52.017)</f>
        <v>52.017000000000003</v>
      </c>
      <c r="J2180" s="2">
        <f ca="1">IFERROR(__xludf.DUMMYFUNCTION("""COMPUTED_VALUE"""),48.053)</f>
        <v>48.052999999999997</v>
      </c>
      <c r="K2180" s="2">
        <f ca="1">IFERROR(__xludf.DUMMYFUNCTION("""COMPUTED_VALUE"""),67.596)</f>
        <v>67.596000000000004</v>
      </c>
      <c r="M2180" s="2">
        <f ca="1">IFERROR(__xludf.DUMMYFUNCTION("""COMPUTED_VALUE"""),18.273)</f>
        <v>18.273</v>
      </c>
      <c r="U2180" s="3" t="e">
        <f ca="1"/>
        <v>#NAME?</v>
      </c>
    </row>
    <row r="2181" spans="3:21" ht="12.5" x14ac:dyDescent="0.25">
      <c r="C2181" s="4">
        <f ca="1">IFERROR(__xludf.DUMMYFUNCTION("""COMPUTED_VALUE"""),42580.9986111111)</f>
        <v>42580.998611111099</v>
      </c>
      <c r="D2181" s="2">
        <f ca="1">IFERROR(__xludf.DUMMYFUNCTION("""COMPUTED_VALUE"""),66.648)</f>
        <v>66.647999999999996</v>
      </c>
      <c r="E2181" s="2">
        <f ca="1">IFERROR(__xludf.DUMMYFUNCTION("""COMPUTED_VALUE"""),72.553)</f>
        <v>72.552999999999997</v>
      </c>
      <c r="F2181" s="2">
        <f ca="1">IFERROR(__xludf.DUMMYFUNCTION("""COMPUTED_VALUE"""),99.822)</f>
        <v>99.822000000000003</v>
      </c>
      <c r="G2181" s="2">
        <f ca="1">IFERROR(__xludf.DUMMYFUNCTION("""COMPUTED_VALUE"""),0.57319)</f>
        <v>0.57318999999999998</v>
      </c>
      <c r="H2181" s="2">
        <f ca="1">IFERROR(__xludf.DUMMYFUNCTION("""COMPUTED_VALUE"""),51.349)</f>
        <v>51.348999999999997</v>
      </c>
      <c r="I2181" s="2">
        <f ca="1">IFERROR(__xludf.DUMMYFUNCTION("""COMPUTED_VALUE"""),51.709)</f>
        <v>51.709000000000003</v>
      </c>
      <c r="J2181" s="2">
        <f ca="1">IFERROR(__xludf.DUMMYFUNCTION("""COMPUTED_VALUE"""),47.727)</f>
        <v>47.726999999999997</v>
      </c>
      <c r="K2181" s="2">
        <f ca="1">IFERROR(__xludf.DUMMYFUNCTION("""COMPUTED_VALUE"""),67.852)</f>
        <v>67.852000000000004</v>
      </c>
      <c r="M2181" s="2">
        <f ca="1">IFERROR(__xludf.DUMMYFUNCTION("""COMPUTED_VALUE"""),18.273)</f>
        <v>18.273</v>
      </c>
      <c r="U2181" s="3" t="e">
        <f ca="1"/>
        <v>#NAME?</v>
      </c>
    </row>
    <row r="2182" spans="3:21" ht="12.5" x14ac:dyDescent="0.25">
      <c r="C2182" s="4">
        <f ca="1">IFERROR(__xludf.DUMMYFUNCTION("""COMPUTED_VALUE"""),42581.9986111111)</f>
        <v>42581.998611111099</v>
      </c>
      <c r="D2182" s="2">
        <f ca="1">IFERROR(__xludf.DUMMYFUNCTION("""COMPUTED_VALUE"""),66.648)</f>
        <v>66.647999999999996</v>
      </c>
      <c r="E2182" s="2">
        <f ca="1">IFERROR(__xludf.DUMMYFUNCTION("""COMPUTED_VALUE"""),72.857)</f>
        <v>72.856999999999999</v>
      </c>
      <c r="F2182" s="2">
        <f ca="1">IFERROR(__xludf.DUMMYFUNCTION("""COMPUTED_VALUE"""),100.51)</f>
        <v>100.51</v>
      </c>
      <c r="G2182" s="2">
        <f ca="1">IFERROR(__xludf.DUMMYFUNCTION("""COMPUTED_VALUE"""),0.58457)</f>
        <v>0.58457000000000003</v>
      </c>
      <c r="H2182" s="2">
        <f ca="1">IFERROR(__xludf.DUMMYFUNCTION("""COMPUTED_VALUE"""),50.61)</f>
        <v>50.61</v>
      </c>
      <c r="I2182" s="2">
        <f ca="1">IFERROR(__xludf.DUMMYFUNCTION("""COMPUTED_VALUE"""),50.959)</f>
        <v>50.959000000000003</v>
      </c>
      <c r="J2182" s="2">
        <f ca="1">IFERROR(__xludf.DUMMYFUNCTION("""COMPUTED_VALUE"""),47.518)</f>
        <v>47.518000000000001</v>
      </c>
      <c r="K2182" s="2">
        <f ca="1">IFERROR(__xludf.DUMMYFUNCTION("""COMPUTED_VALUE"""),67.419)</f>
        <v>67.418999999999997</v>
      </c>
      <c r="M2182" s="2">
        <f ca="1">IFERROR(__xludf.DUMMYFUNCTION("""COMPUTED_VALUE"""),18.262)</f>
        <v>18.262</v>
      </c>
      <c r="U2182" s="3" t="e">
        <f ca="1"/>
        <v>#NAME?</v>
      </c>
    </row>
    <row r="2183" spans="3:21" ht="12.5" x14ac:dyDescent="0.25">
      <c r="C2183" s="4">
        <f ca="1">IFERROR(__xludf.DUMMYFUNCTION("""COMPUTED_VALUE"""),42583.9986111111)</f>
        <v>42583.998611111099</v>
      </c>
      <c r="D2183" s="2">
        <f ca="1">IFERROR(__xludf.DUMMYFUNCTION("""COMPUTED_VALUE"""),66.751)</f>
        <v>66.751000000000005</v>
      </c>
      <c r="E2183" s="2">
        <f ca="1">IFERROR(__xludf.DUMMYFUNCTION("""COMPUTED_VALUE"""),72.485)</f>
        <v>72.484999999999999</v>
      </c>
      <c r="F2183" s="2">
        <f ca="1">IFERROR(__xludf.DUMMYFUNCTION("""COMPUTED_VALUE"""),92.836)</f>
        <v>92.835999999999999</v>
      </c>
      <c r="G2183" s="2">
        <f ca="1">IFERROR(__xludf.DUMMYFUNCTION("""COMPUTED_VALUE"""),0.58411)</f>
        <v>0.58411000000000002</v>
      </c>
      <c r="H2183" s="2">
        <f ca="1">IFERROR(__xludf.DUMMYFUNCTION("""COMPUTED_VALUE"""),50.61)</f>
        <v>50.61</v>
      </c>
      <c r="I2183" s="2">
        <f ca="1">IFERROR(__xludf.DUMMYFUNCTION("""COMPUTED_VALUE"""),50.959)</f>
        <v>50.959000000000003</v>
      </c>
      <c r="J2183" s="2">
        <f ca="1">IFERROR(__xludf.DUMMYFUNCTION("""COMPUTED_VALUE"""),46.842)</f>
        <v>46.841999999999999</v>
      </c>
      <c r="K2183" s="2">
        <f ca="1">IFERROR(__xludf.DUMMYFUNCTION("""COMPUTED_VALUE"""),67.399)</f>
        <v>67.399000000000001</v>
      </c>
      <c r="M2183" s="2">
        <f ca="1">IFERROR(__xludf.DUMMYFUNCTION("""COMPUTED_VALUE"""),18.273)</f>
        <v>18.273</v>
      </c>
      <c r="U2183" s="3" t="e">
        <f ca="1"/>
        <v>#NAME?</v>
      </c>
    </row>
    <row r="2184" spans="3:21" ht="12.5" x14ac:dyDescent="0.25">
      <c r="C2184" s="4">
        <f ca="1">IFERROR(__xludf.DUMMYFUNCTION("""COMPUTED_VALUE"""),42584.9986111111)</f>
        <v>42584.998611111099</v>
      </c>
      <c r="D2184" s="2">
        <f ca="1">IFERROR(__xludf.DUMMYFUNCTION("""COMPUTED_VALUE"""),66.676)</f>
        <v>66.676000000000002</v>
      </c>
      <c r="E2184" s="2">
        <f ca="1">IFERROR(__xludf.DUMMYFUNCTION("""COMPUTED_VALUE"""),72.211)</f>
        <v>72.210999999999999</v>
      </c>
      <c r="F2184" s="2">
        <f ca="1">IFERROR(__xludf.DUMMYFUNCTION("""COMPUTED_VALUE"""),89.866)</f>
        <v>89.866</v>
      </c>
      <c r="G2184" s="2">
        <f ca="1">IFERROR(__xludf.DUMMYFUNCTION("""COMPUTED_VALUE"""),0.58288)</f>
        <v>0.58287999999999995</v>
      </c>
      <c r="H2184" s="2">
        <f ca="1">IFERROR(__xludf.DUMMYFUNCTION("""COMPUTED_VALUE"""),51.257)</f>
        <v>51.256999999999998</v>
      </c>
      <c r="I2184" s="2">
        <f ca="1">IFERROR(__xludf.DUMMYFUNCTION("""COMPUTED_VALUE"""),51.71)</f>
        <v>51.71</v>
      </c>
      <c r="J2184" s="2">
        <f ca="1">IFERROR(__xludf.DUMMYFUNCTION("""COMPUTED_VALUE"""),46.842)</f>
        <v>46.841999999999999</v>
      </c>
      <c r="K2184" s="2">
        <f ca="1">IFERROR(__xludf.DUMMYFUNCTION("""COMPUTED_VALUE"""),67.399)</f>
        <v>67.399000000000001</v>
      </c>
      <c r="M2184" s="2">
        <f ca="1">IFERROR(__xludf.DUMMYFUNCTION("""COMPUTED_VALUE"""),18.231)</f>
        <v>18.231000000000002</v>
      </c>
      <c r="U2184" s="3" t="e">
        <f ca="1"/>
        <v>#NAME?</v>
      </c>
    </row>
    <row r="2185" spans="3:21" ht="12.5" x14ac:dyDescent="0.25">
      <c r="C2185" s="4">
        <f ca="1">IFERROR(__xludf.DUMMYFUNCTION("""COMPUTED_VALUE"""),42585.9986111111)</f>
        <v>42585.998611111099</v>
      </c>
      <c r="D2185" s="2">
        <f ca="1">IFERROR(__xludf.DUMMYFUNCTION("""COMPUTED_VALUE"""),66.76)</f>
        <v>66.760000000000005</v>
      </c>
      <c r="E2185" s="2">
        <f ca="1">IFERROR(__xludf.DUMMYFUNCTION("""COMPUTED_VALUE"""),72.371)</f>
        <v>72.370999999999995</v>
      </c>
      <c r="F2185" s="2">
        <f ca="1">IFERROR(__xludf.DUMMYFUNCTION("""COMPUTED_VALUE"""),90.366)</f>
        <v>90.366</v>
      </c>
      <c r="G2185" s="2">
        <f ca="1">IFERROR(__xludf.DUMMYFUNCTION("""COMPUTED_VALUE"""),0.57846)</f>
        <v>0.57845999999999997</v>
      </c>
      <c r="H2185" s="2">
        <f ca="1">IFERROR(__xludf.DUMMYFUNCTION("""COMPUTED_VALUE"""),51.11)</f>
        <v>51.11</v>
      </c>
      <c r="I2185" s="2">
        <f ca="1">IFERROR(__xludf.DUMMYFUNCTION("""COMPUTED_VALUE"""),51.729)</f>
        <v>51.728999999999999</v>
      </c>
      <c r="J2185" s="2">
        <f ca="1">IFERROR(__xludf.DUMMYFUNCTION("""COMPUTED_VALUE"""),47.702)</f>
        <v>47.701999999999998</v>
      </c>
      <c r="K2185" s="2">
        <f ca="1">IFERROR(__xludf.DUMMYFUNCTION("""COMPUTED_VALUE"""),67.621)</f>
        <v>67.620999999999995</v>
      </c>
      <c r="M2185" s="2">
        <f ca="1">IFERROR(__xludf.DUMMYFUNCTION("""COMPUTED_VALUE"""),18.181)</f>
        <v>18.181000000000001</v>
      </c>
      <c r="U2185" s="3" t="e">
        <f ca="1"/>
        <v>#NAME?</v>
      </c>
    </row>
    <row r="2186" spans="3:21" ht="12.5" x14ac:dyDescent="0.25">
      <c r="C2186" s="4">
        <f ca="1">IFERROR(__xludf.DUMMYFUNCTION("""COMPUTED_VALUE"""),42586.9986111111)</f>
        <v>42586.998611111099</v>
      </c>
      <c r="D2186" s="2">
        <f ca="1">IFERROR(__xludf.DUMMYFUNCTION("""COMPUTED_VALUE"""),66.841)</f>
        <v>66.840999999999994</v>
      </c>
      <c r="E2186" s="2">
        <f ca="1">IFERROR(__xludf.DUMMYFUNCTION("""COMPUTED_VALUE"""),71.2478)</f>
        <v>71.247799999999998</v>
      </c>
      <c r="F2186" s="2">
        <f ca="1">IFERROR(__xludf.DUMMYFUNCTION("""COMPUTED_VALUE"""),90.724)</f>
        <v>90.724000000000004</v>
      </c>
      <c r="G2186" s="2">
        <f ca="1">IFERROR(__xludf.DUMMYFUNCTION("""COMPUTED_VALUE"""),0.57916)</f>
        <v>0.57916000000000001</v>
      </c>
      <c r="H2186" s="2">
        <f ca="1">IFERROR(__xludf.DUMMYFUNCTION("""COMPUTED_VALUE"""),51.044)</f>
        <v>51.043999999999997</v>
      </c>
      <c r="I2186" s="2">
        <f ca="1">IFERROR(__xludf.DUMMYFUNCTION("""COMPUTED_VALUE"""),51.588)</f>
        <v>51.588000000000001</v>
      </c>
      <c r="J2186" s="2">
        <f ca="1">IFERROR(__xludf.DUMMYFUNCTION("""COMPUTED_VALUE"""),47.85)</f>
        <v>47.85</v>
      </c>
      <c r="K2186" s="2">
        <f ca="1">IFERROR(__xludf.DUMMYFUNCTION("""COMPUTED_VALUE"""),67.582)</f>
        <v>67.581999999999994</v>
      </c>
      <c r="M2186" s="2">
        <f ca="1">IFERROR(__xludf.DUMMYFUNCTION("""COMPUTED_VALUE"""),18.121)</f>
        <v>18.120999999999999</v>
      </c>
      <c r="U2186" s="3" t="e">
        <f ca="1"/>
        <v>#NAME?</v>
      </c>
    </row>
    <row r="2187" spans="3:21" ht="12.5" x14ac:dyDescent="0.25">
      <c r="C2187" s="4">
        <f ca="1">IFERROR(__xludf.DUMMYFUNCTION("""COMPUTED_VALUE"""),42587.9986111111)</f>
        <v>42587.998611111099</v>
      </c>
      <c r="D2187" s="2">
        <f ca="1">IFERROR(__xludf.DUMMYFUNCTION("""COMPUTED_VALUE"""),66.835)</f>
        <v>66.834999999999994</v>
      </c>
      <c r="E2187" s="2">
        <f ca="1">IFERROR(__xludf.DUMMYFUNCTION("""COMPUTED_VALUE"""),72.118)</f>
        <v>72.117999999999995</v>
      </c>
      <c r="F2187" s="2">
        <f ca="1">IFERROR(__xludf.DUMMYFUNCTION("""COMPUTED_VALUE"""),89.743)</f>
        <v>89.742999999999995</v>
      </c>
      <c r="G2187" s="2">
        <f ca="1">IFERROR(__xludf.DUMMYFUNCTION("""COMPUTED_VALUE"""),0.57522)</f>
        <v>0.57521999999999995</v>
      </c>
      <c r="H2187" s="2">
        <f ca="1">IFERROR(__xludf.DUMMYFUNCTION("""COMPUTED_VALUE"""),51.414)</f>
        <v>51.414000000000001</v>
      </c>
      <c r="I2187" s="2">
        <f ca="1">IFERROR(__xludf.DUMMYFUNCTION("""COMPUTED_VALUE"""),51.531)</f>
        <v>51.530999999999999</v>
      </c>
      <c r="J2187" s="2">
        <f ca="1">IFERROR(__xludf.DUMMYFUNCTION("""COMPUTED_VALUE"""),47.633)</f>
        <v>47.633000000000003</v>
      </c>
      <c r="K2187" s="2">
        <f ca="1">IFERROR(__xludf.DUMMYFUNCTION("""COMPUTED_VALUE"""),67.547)</f>
        <v>67.546999999999997</v>
      </c>
      <c r="M2187" s="2">
        <f ca="1">IFERROR(__xludf.DUMMYFUNCTION("""COMPUTED_VALUE"""),18.091)</f>
        <v>18.091000000000001</v>
      </c>
      <c r="U2187" s="3" t="e">
        <f ca="1"/>
        <v>#NAME?</v>
      </c>
    </row>
    <row r="2188" spans="3:21" ht="12.5" x14ac:dyDescent="0.25">
      <c r="C2188" s="4">
        <f ca="1">IFERROR(__xludf.DUMMYFUNCTION("""COMPUTED_VALUE"""),42590.9986111111)</f>
        <v>42590.998611111099</v>
      </c>
      <c r="D2188" s="2">
        <f ca="1">IFERROR(__xludf.DUMMYFUNCTION("""COMPUTED_VALUE"""),66.794)</f>
        <v>66.793999999999997</v>
      </c>
      <c r="E2188" s="2">
        <f ca="1">IFERROR(__xludf.DUMMYFUNCTION("""COMPUTED_VALUE"""),71.823)</f>
        <v>71.822999999999993</v>
      </c>
      <c r="F2188" s="2">
        <f ca="1">IFERROR(__xludf.DUMMYFUNCTION("""COMPUTED_VALUE"""),89.178)</f>
        <v>89.177999999999997</v>
      </c>
      <c r="G2188" s="2">
        <f ca="1">IFERROR(__xludf.DUMMYFUNCTION("""COMPUTED_VALUE"""),0.57308)</f>
        <v>0.57308000000000003</v>
      </c>
      <c r="H2188" s="2">
        <f ca="1">IFERROR(__xludf.DUMMYFUNCTION("""COMPUTED_VALUE"""),51.554)</f>
        <v>51.554000000000002</v>
      </c>
      <c r="I2188" s="2">
        <f ca="1">IFERROR(__xludf.DUMMYFUNCTION("""COMPUTED_VALUE"""),51.512)</f>
        <v>51.512</v>
      </c>
      <c r="J2188" s="2">
        <f ca="1">IFERROR(__xludf.DUMMYFUNCTION("""COMPUTED_VALUE"""),47.559)</f>
        <v>47.558999999999997</v>
      </c>
      <c r="K2188" s="2">
        <f ca="1">IFERROR(__xludf.DUMMYFUNCTION("""COMPUTED_VALUE"""),67.552)</f>
        <v>67.552000000000007</v>
      </c>
      <c r="M2188" s="2">
        <f ca="1">IFERROR(__xludf.DUMMYFUNCTION("""COMPUTED_VALUE"""),18.036)</f>
        <v>18.036000000000001</v>
      </c>
      <c r="U2188" s="3" t="e">
        <f ca="1"/>
        <v>#NAME?</v>
      </c>
    </row>
    <row r="2189" spans="3:21" ht="12.5" x14ac:dyDescent="0.25">
      <c r="C2189" s="4">
        <f ca="1">IFERROR(__xludf.DUMMYFUNCTION("""COMPUTED_VALUE"""),42591.9986111111)</f>
        <v>42591.998611111099</v>
      </c>
      <c r="D2189" s="2">
        <f ca="1">IFERROR(__xludf.DUMMYFUNCTION("""COMPUTED_VALUE"""),66.783)</f>
        <v>66.783000000000001</v>
      </c>
      <c r="E2189" s="2">
        <f ca="1">IFERROR(__xludf.DUMMYFUNCTION("""COMPUTED_VALUE"""),71.607)</f>
        <v>71.606999999999999</v>
      </c>
      <c r="F2189" s="2">
        <f ca="1">IFERROR(__xludf.DUMMYFUNCTION("""COMPUTED_VALUE"""),89.107)</f>
        <v>89.106999999999999</v>
      </c>
      <c r="G2189" s="2">
        <f ca="1">IFERROR(__xludf.DUMMYFUNCTION("""COMPUTED_VALUE"""),0.57811)</f>
        <v>0.57811000000000001</v>
      </c>
      <c r="H2189" s="2">
        <f ca="1">IFERROR(__xludf.DUMMYFUNCTION("""COMPUTED_VALUE"""),50.746)</f>
        <v>50.746000000000002</v>
      </c>
      <c r="I2189" s="2">
        <f ca="1">IFERROR(__xludf.DUMMYFUNCTION("""COMPUTED_VALUE"""),50.692)</f>
        <v>50.692</v>
      </c>
      <c r="J2189" s="2">
        <f ca="1">IFERROR(__xludf.DUMMYFUNCTION("""COMPUTED_VALUE"""),47.671)</f>
        <v>47.670999999999999</v>
      </c>
      <c r="K2189" s="2">
        <f ca="1">IFERROR(__xludf.DUMMYFUNCTION("""COMPUTED_VALUE"""),67.484)</f>
        <v>67.483999999999995</v>
      </c>
      <c r="M2189" s="2">
        <f ca="1">IFERROR(__xludf.DUMMYFUNCTION("""COMPUTED_VALUE"""),18.097)</f>
        <v>18.097000000000001</v>
      </c>
      <c r="U2189" s="3" t="e">
        <f ca="1"/>
        <v>#NAME?</v>
      </c>
    </row>
    <row r="2190" spans="3:21" ht="12.5" x14ac:dyDescent="0.25">
      <c r="C2190" s="4">
        <f ca="1">IFERROR(__xludf.DUMMYFUNCTION("""COMPUTED_VALUE"""),42592.9986111111)</f>
        <v>42592.998611111099</v>
      </c>
      <c r="D2190" s="2">
        <f ca="1">IFERROR(__xludf.DUMMYFUNCTION("""COMPUTED_VALUE"""),66.758)</f>
        <v>66.757999999999996</v>
      </c>
      <c r="E2190" s="2">
        <f ca="1">IFERROR(__xludf.DUMMYFUNCTION("""COMPUTED_VALUE"""),71.078)</f>
        <v>71.078000000000003</v>
      </c>
      <c r="F2190" s="2">
        <f ca="1">IFERROR(__xludf.DUMMYFUNCTION("""COMPUTED_VALUE"""),89.291)</f>
        <v>89.290999999999997</v>
      </c>
      <c r="G2190" s="2">
        <f ca="1">IFERROR(__xludf.DUMMYFUNCTION("""COMPUTED_VALUE"""),0.57634)</f>
        <v>0.57633999999999996</v>
      </c>
      <c r="H2190" s="2">
        <f ca="1">IFERROR(__xludf.DUMMYFUNCTION("""COMPUTED_VALUE"""),51.325)</f>
        <v>51.325000000000003</v>
      </c>
      <c r="I2190" s="2">
        <f ca="1">IFERROR(__xludf.DUMMYFUNCTION("""COMPUTED_VALUE"""),51.303)</f>
        <v>51.302999999999997</v>
      </c>
      <c r="J2190" s="2">
        <f ca="1">IFERROR(__xludf.DUMMYFUNCTION("""COMPUTED_VALUE"""),46.931)</f>
        <v>46.930999999999997</v>
      </c>
      <c r="K2190" s="2">
        <f ca="1">IFERROR(__xludf.DUMMYFUNCTION("""COMPUTED_VALUE"""),67.484)</f>
        <v>67.483999999999995</v>
      </c>
      <c r="M2190" s="2">
        <f ca="1">IFERROR(__xludf.DUMMYFUNCTION("""COMPUTED_VALUE"""),18.138)</f>
        <v>18.138000000000002</v>
      </c>
      <c r="U2190" s="3" t="e">
        <f ca="1"/>
        <v>#NAME?</v>
      </c>
    </row>
    <row r="2191" spans="3:21" ht="12.5" x14ac:dyDescent="0.25">
      <c r="C2191" s="4">
        <f ca="1">IFERROR(__xludf.DUMMYFUNCTION("""COMPUTED_VALUE"""),42593.9986111111)</f>
        <v>42593.998611111099</v>
      </c>
      <c r="D2191" s="2">
        <f ca="1">IFERROR(__xludf.DUMMYFUNCTION("""COMPUTED_VALUE"""),66.74)</f>
        <v>66.739999999999995</v>
      </c>
      <c r="E2191" s="2">
        <f ca="1">IFERROR(__xludf.DUMMYFUNCTION("""COMPUTED_VALUE"""),71.059)</f>
        <v>71.058999999999997</v>
      </c>
      <c r="F2191" s="2">
        <f ca="1">IFERROR(__xludf.DUMMYFUNCTION("""COMPUTED_VALUE"""),87.331)</f>
        <v>87.331000000000003</v>
      </c>
      <c r="G2191" s="2">
        <f ca="1">IFERROR(__xludf.DUMMYFUNCTION("""COMPUTED_VALUE"""),0.58064)</f>
        <v>0.58064000000000004</v>
      </c>
      <c r="H2191" s="2">
        <f ca="1">IFERROR(__xludf.DUMMYFUNCTION("""COMPUTED_VALUE"""),51.259)</f>
        <v>51.259</v>
      </c>
      <c r="I2191" s="2">
        <f ca="1">IFERROR(__xludf.DUMMYFUNCTION("""COMPUTED_VALUE"""),50.987)</f>
        <v>50.987000000000002</v>
      </c>
      <c r="J2191" s="2">
        <f ca="1">IFERROR(__xludf.DUMMYFUNCTION("""COMPUTED_VALUE"""),47.602)</f>
        <v>47.601999999999997</v>
      </c>
      <c r="K2191" s="2">
        <f ca="1">IFERROR(__xludf.DUMMYFUNCTION("""COMPUTED_VALUE"""),67.654)</f>
        <v>67.653999999999996</v>
      </c>
      <c r="M2191" s="2">
        <f ca="1">IFERROR(__xludf.DUMMYFUNCTION("""COMPUTED_VALUE"""),18.21)</f>
        <v>18.21</v>
      </c>
      <c r="U2191" s="3" t="e">
        <f ca="1"/>
        <v>#NAME?</v>
      </c>
    </row>
    <row r="2192" spans="3:21" ht="12.5" x14ac:dyDescent="0.25">
      <c r="C2192" s="4">
        <f ca="1">IFERROR(__xludf.DUMMYFUNCTION("""COMPUTED_VALUE"""),42594.9986111111)</f>
        <v>42594.998611111099</v>
      </c>
      <c r="D2192" s="2">
        <f ca="1">IFERROR(__xludf.DUMMYFUNCTION("""COMPUTED_VALUE"""),66.901)</f>
        <v>66.900999999999996</v>
      </c>
      <c r="E2192" s="2">
        <f ca="1">IFERROR(__xludf.DUMMYFUNCTION("""COMPUTED_VALUE"""),70.1517)</f>
        <v>70.151700000000005</v>
      </c>
      <c r="F2192" s="2">
        <f ca="1">IFERROR(__xludf.DUMMYFUNCTION("""COMPUTED_VALUE"""),87.139)</f>
        <v>87.138999999999996</v>
      </c>
      <c r="G2192" s="2">
        <f ca="1">IFERROR(__xludf.DUMMYFUNCTION("""COMPUTED_VALUE"""),0.57987)</f>
        <v>0.57987</v>
      </c>
      <c r="H2192" s="2">
        <f ca="1">IFERROR(__xludf.DUMMYFUNCTION("""COMPUTED_VALUE"""),51.108)</f>
        <v>51.107999999999997</v>
      </c>
      <c r="I2192" s="2">
        <f ca="1">IFERROR(__xludf.DUMMYFUNCTION("""COMPUTED_VALUE"""),50.945)</f>
        <v>50.945</v>
      </c>
      <c r="J2192" s="2">
        <f ca="1">IFERROR(__xludf.DUMMYFUNCTION("""COMPUTED_VALUE"""),47.417)</f>
        <v>47.417000000000002</v>
      </c>
      <c r="K2192" s="2">
        <f ca="1">IFERROR(__xludf.DUMMYFUNCTION("""COMPUTED_VALUE"""),67.744)</f>
        <v>67.744</v>
      </c>
      <c r="M2192" s="2">
        <f ca="1">IFERROR(__xludf.DUMMYFUNCTION("""COMPUTED_VALUE"""),18.211)</f>
        <v>18.210999999999999</v>
      </c>
      <c r="U2192" s="3" t="e">
        <f ca="1"/>
        <v>#NAME?</v>
      </c>
    </row>
    <row r="2193" spans="3:21" ht="12.5" x14ac:dyDescent="0.25">
      <c r="C2193" s="4">
        <f ca="1">IFERROR(__xludf.DUMMYFUNCTION("""COMPUTED_VALUE"""),42596.9986111111)</f>
        <v>42596.998611111099</v>
      </c>
      <c r="D2193" s="2">
        <f ca="1">IFERROR(__xludf.DUMMYFUNCTION("""COMPUTED_VALUE"""),66.8996)</f>
        <v>66.899600000000007</v>
      </c>
      <c r="E2193" s="2">
        <f ca="1">IFERROR(__xludf.DUMMYFUNCTION("""COMPUTED_VALUE"""),70.85)</f>
        <v>70.849999999999994</v>
      </c>
      <c r="F2193" s="2">
        <f ca="1">IFERROR(__xludf.DUMMYFUNCTION("""COMPUTED_VALUE"""),86.959)</f>
        <v>86.959000000000003</v>
      </c>
      <c r="G2193" s="2">
        <f ca="1">IFERROR(__xludf.DUMMYFUNCTION("""COMPUTED_VALUE"""),0.58527)</f>
        <v>0.58526999999999996</v>
      </c>
      <c r="H2193" s="2">
        <f ca="1">IFERROR(__xludf.DUMMYFUNCTION("""COMPUTED_VALUE"""),50.857)</f>
        <v>50.856999999999999</v>
      </c>
      <c r="I2193" s="2">
        <f ca="1">IFERROR(__xludf.DUMMYFUNCTION("""COMPUTED_VALUE"""),50.761)</f>
        <v>50.761000000000003</v>
      </c>
      <c r="J2193" s="2">
        <f ca="1">IFERROR(__xludf.DUMMYFUNCTION("""COMPUTED_VALUE"""),47.28)</f>
        <v>47.28</v>
      </c>
      <c r="K2193" s="2">
        <f ca="1">IFERROR(__xludf.DUMMYFUNCTION("""COMPUTED_VALUE"""),67.372)</f>
        <v>67.372</v>
      </c>
      <c r="M2193" s="2">
        <f ca="1">IFERROR(__xludf.DUMMYFUNCTION("""COMPUTED_VALUE"""),18.163)</f>
        <v>18.163</v>
      </c>
      <c r="U2193" s="3" t="e">
        <f ca="1"/>
        <v>#NAME?</v>
      </c>
    </row>
    <row r="2194" spans="3:21" ht="12.5" x14ac:dyDescent="0.25">
      <c r="C2194" s="4">
        <f ca="1">IFERROR(__xludf.DUMMYFUNCTION("""COMPUTED_VALUE"""),42597.9986111111)</f>
        <v>42597.998611111099</v>
      </c>
      <c r="D2194" s="2">
        <f ca="1">IFERROR(__xludf.DUMMYFUNCTION("""COMPUTED_VALUE"""),66.8649)</f>
        <v>66.864900000000006</v>
      </c>
      <c r="E2194" s="2">
        <f ca="1">IFERROR(__xludf.DUMMYFUNCTION("""COMPUTED_VALUE"""),70.621)</f>
        <v>70.620999999999995</v>
      </c>
      <c r="F2194" s="2">
        <f ca="1">IFERROR(__xludf.DUMMYFUNCTION("""COMPUTED_VALUE"""),86.943)</f>
        <v>86.942999999999998</v>
      </c>
      <c r="G2194" s="2">
        <f ca="1">IFERROR(__xludf.DUMMYFUNCTION("""COMPUTED_VALUE"""),0.58699)</f>
        <v>0.58699000000000001</v>
      </c>
      <c r="H2194" s="2">
        <f ca="1">IFERROR(__xludf.DUMMYFUNCTION("""COMPUTED_VALUE"""),51.253)</f>
        <v>51.253</v>
      </c>
      <c r="I2194" s="2">
        <f ca="1">IFERROR(__xludf.DUMMYFUNCTION("""COMPUTED_VALUE"""),51.027)</f>
        <v>51.027000000000001</v>
      </c>
      <c r="J2194" s="2">
        <f ca="1">IFERROR(__xludf.DUMMYFUNCTION("""COMPUTED_VALUE"""),46.908)</f>
        <v>46.908000000000001</v>
      </c>
      <c r="K2194" s="2">
        <f ca="1">IFERROR(__xludf.DUMMYFUNCTION("""COMPUTED_VALUE"""),67.431)</f>
        <v>67.430999999999997</v>
      </c>
      <c r="M2194" s="2">
        <f ca="1">IFERROR(__xludf.DUMMYFUNCTION("""COMPUTED_VALUE"""),18.277)</f>
        <v>18.277000000000001</v>
      </c>
      <c r="U2194" s="3" t="e">
        <f ca="1"/>
        <v>#NAME?</v>
      </c>
    </row>
    <row r="2195" spans="3:21" ht="12.5" x14ac:dyDescent="0.25">
      <c r="C2195" s="4">
        <f ca="1">IFERROR(__xludf.DUMMYFUNCTION("""COMPUTED_VALUE"""),42598.9986111111)</f>
        <v>42598.998611111099</v>
      </c>
      <c r="D2195" s="2">
        <f ca="1">IFERROR(__xludf.DUMMYFUNCTION("""COMPUTED_VALUE"""),66.8577)</f>
        <v>66.857699999999994</v>
      </c>
      <c r="E2195" s="2">
        <f ca="1">IFERROR(__xludf.DUMMYFUNCTION("""COMPUTED_VALUE"""),70.841)</f>
        <v>70.840999999999994</v>
      </c>
      <c r="F2195" s="2">
        <f ca="1">IFERROR(__xludf.DUMMYFUNCTION("""COMPUTED_VALUE"""),86.919)</f>
        <v>86.918999999999997</v>
      </c>
      <c r="G2195" s="2">
        <f ca="1">IFERROR(__xludf.DUMMYFUNCTION("""COMPUTED_VALUE"""),0.58885)</f>
        <v>0.58884999999999998</v>
      </c>
      <c r="H2195" s="2">
        <f ca="1">IFERROR(__xludf.DUMMYFUNCTION("""COMPUTED_VALUE"""),50.593)</f>
        <v>50.593000000000004</v>
      </c>
      <c r="I2195" s="2">
        <f ca="1">IFERROR(__xludf.DUMMYFUNCTION("""COMPUTED_VALUE"""),50.385)</f>
        <v>50.384999999999998</v>
      </c>
      <c r="J2195" s="2">
        <f ca="1">IFERROR(__xludf.DUMMYFUNCTION("""COMPUTED_VALUE"""),46.958)</f>
        <v>46.957999999999998</v>
      </c>
      <c r="K2195" s="2">
        <f ca="1">IFERROR(__xludf.DUMMYFUNCTION("""COMPUTED_VALUE"""),67.221)</f>
        <v>67.221000000000004</v>
      </c>
      <c r="M2195" s="2">
        <f ca="1">IFERROR(__xludf.DUMMYFUNCTION("""COMPUTED_VALUE"""),18.179)</f>
        <v>18.178999999999998</v>
      </c>
      <c r="U2195" s="3" t="e">
        <f ca="1"/>
        <v>#NAME?</v>
      </c>
    </row>
    <row r="2196" spans="3:21" ht="12.5" x14ac:dyDescent="0.25">
      <c r="C2196" s="4">
        <f ca="1">IFERROR(__xludf.DUMMYFUNCTION("""COMPUTED_VALUE"""),42599.9986111111)</f>
        <v>42599.998611111099</v>
      </c>
      <c r="D2196" s="2">
        <f ca="1">IFERROR(__xludf.DUMMYFUNCTION("""COMPUTED_VALUE"""),66.9055)</f>
        <v>66.905500000000004</v>
      </c>
      <c r="E2196" s="2">
        <f ca="1">IFERROR(__xludf.DUMMYFUNCTION("""COMPUTED_VALUE"""),71.508)</f>
        <v>71.507999999999996</v>
      </c>
      <c r="F2196" s="2">
        <f ca="1">IFERROR(__xludf.DUMMYFUNCTION("""COMPUTED_VALUE"""),87.257)</f>
        <v>87.257000000000005</v>
      </c>
      <c r="G2196" s="2">
        <f ca="1">IFERROR(__xludf.DUMMYFUNCTION("""COMPUTED_VALUE"""),0.58716)</f>
        <v>0.58716000000000002</v>
      </c>
      <c r="H2196" s="2">
        <f ca="1">IFERROR(__xludf.DUMMYFUNCTION("""COMPUTED_VALUE"""),51.089)</f>
        <v>51.088999999999999</v>
      </c>
      <c r="I2196" s="2">
        <f ca="1">IFERROR(__xludf.DUMMYFUNCTION("""COMPUTED_VALUE"""),51.143)</f>
        <v>51.143000000000001</v>
      </c>
      <c r="J2196" s="2">
        <f ca="1">IFERROR(__xludf.DUMMYFUNCTION("""COMPUTED_VALUE"""),46.358)</f>
        <v>46.357999999999997</v>
      </c>
      <c r="K2196" s="2">
        <f ca="1">IFERROR(__xludf.DUMMYFUNCTION("""COMPUTED_VALUE"""),67.463)</f>
        <v>67.462999999999994</v>
      </c>
      <c r="M2196" s="2">
        <f ca="1">IFERROR(__xludf.DUMMYFUNCTION("""COMPUTED_VALUE"""),18.198)</f>
        <v>18.198</v>
      </c>
      <c r="U2196" s="3" t="e">
        <f ca="1"/>
        <v>#NAME?</v>
      </c>
    </row>
    <row r="2197" spans="3:21" ht="12.5" x14ac:dyDescent="0.25">
      <c r="C2197" s="4">
        <f ca="1">IFERROR(__xludf.DUMMYFUNCTION("""COMPUTED_VALUE"""),42600.9986111111)</f>
        <v>42600.998611111099</v>
      </c>
      <c r="D2197" s="2">
        <f ca="1">IFERROR(__xludf.DUMMYFUNCTION("""COMPUTED_VALUE"""),66.82)</f>
        <v>66.819999999999993</v>
      </c>
      <c r="E2197" s="2">
        <f ca="1">IFERROR(__xludf.DUMMYFUNCTION("""COMPUTED_VALUE"""),71.119)</f>
        <v>71.119</v>
      </c>
      <c r="F2197" s="2">
        <f ca="1">IFERROR(__xludf.DUMMYFUNCTION("""COMPUTED_VALUE"""),88.61)</f>
        <v>88.61</v>
      </c>
      <c r="G2197" s="2">
        <f ca="1">IFERROR(__xludf.DUMMYFUNCTION("""COMPUTED_VALUE"""),0.58599)</f>
        <v>0.58599000000000001</v>
      </c>
      <c r="H2197" s="2">
        <f ca="1">IFERROR(__xludf.DUMMYFUNCTION("""COMPUTED_VALUE"""),51.205)</f>
        <v>51.204999999999998</v>
      </c>
      <c r="I2197" s="2">
        <f ca="1">IFERROR(__xludf.DUMMYFUNCTION("""COMPUTED_VALUE"""),51.032)</f>
        <v>51.031999999999996</v>
      </c>
      <c r="J2197" s="2">
        <f ca="1">IFERROR(__xludf.DUMMYFUNCTION("""COMPUTED_VALUE"""),46.977)</f>
        <v>46.976999999999997</v>
      </c>
      <c r="K2197" s="2">
        <f ca="1">IFERROR(__xludf.DUMMYFUNCTION("""COMPUTED_VALUE"""),66.978)</f>
        <v>66.977999999999994</v>
      </c>
      <c r="M2197" s="2">
        <f ca="1">IFERROR(__xludf.DUMMYFUNCTION("""COMPUTED_VALUE"""),18.255)</f>
        <v>18.254999999999999</v>
      </c>
      <c r="U2197" s="3" t="e">
        <f ca="1"/>
        <v>#NAME?</v>
      </c>
    </row>
    <row r="2198" spans="3:21" ht="12.5" x14ac:dyDescent="0.25">
      <c r="C2198" s="4">
        <f ca="1">IFERROR(__xludf.DUMMYFUNCTION("""COMPUTED_VALUE"""),42601.9986111111)</f>
        <v>42601.998611111099</v>
      </c>
      <c r="D2198" s="2">
        <f ca="1">IFERROR(__xludf.DUMMYFUNCTION("""COMPUTED_VALUE"""),67.11)</f>
        <v>67.11</v>
      </c>
      <c r="E2198" s="2">
        <f ca="1">IFERROR(__xludf.DUMMYFUNCTION("""COMPUTED_VALUE"""),71.119)</f>
        <v>71.119</v>
      </c>
      <c r="F2198" s="2">
        <f ca="1">IFERROR(__xludf.DUMMYFUNCTION("""COMPUTED_VALUE"""),88.014)</f>
        <v>88.013999999999996</v>
      </c>
      <c r="G2198" s="2">
        <f ca="1">IFERROR(__xludf.DUMMYFUNCTION("""COMPUTED_VALUE"""),0.58405)</f>
        <v>0.58404999999999996</v>
      </c>
      <c r="H2198" s="2">
        <f ca="1">IFERROR(__xludf.DUMMYFUNCTION("""COMPUTED_VALUE"""),51.575)</f>
        <v>51.575000000000003</v>
      </c>
      <c r="I2198" s="2">
        <f ca="1">IFERROR(__xludf.DUMMYFUNCTION("""COMPUTED_VALUE"""),51.114)</f>
        <v>51.113999999999997</v>
      </c>
      <c r="J2198" s="2">
        <f ca="1">IFERROR(__xludf.DUMMYFUNCTION("""COMPUTED_VALUE"""),47.014)</f>
        <v>47.014000000000003</v>
      </c>
      <c r="K2198" s="2">
        <f ca="1">IFERROR(__xludf.DUMMYFUNCTION("""COMPUTED_VALUE"""),66.909)</f>
        <v>66.909000000000006</v>
      </c>
      <c r="M2198" s="2">
        <f ca="1">IFERROR(__xludf.DUMMYFUNCTION("""COMPUTED_VALUE"""),18.256)</f>
        <v>18.256</v>
      </c>
      <c r="U2198" s="3" t="e">
        <f ca="1"/>
        <v>#NAME?</v>
      </c>
    </row>
    <row r="2199" spans="3:21" ht="12.5" x14ac:dyDescent="0.25">
      <c r="C2199" s="4">
        <f ca="1">IFERROR(__xludf.DUMMYFUNCTION("""COMPUTED_VALUE"""),42603.9986111111)</f>
        <v>42603.998611111099</v>
      </c>
      <c r="D2199" s="2">
        <f ca="1">IFERROR(__xludf.DUMMYFUNCTION("""COMPUTED_VALUE"""),67.1275)</f>
        <v>67.127499999999998</v>
      </c>
      <c r="E2199" s="2">
        <f ca="1">IFERROR(__xludf.DUMMYFUNCTION("""COMPUTED_VALUE"""),70.896)</f>
        <v>70.896000000000001</v>
      </c>
      <c r="F2199" s="2">
        <f ca="1">IFERROR(__xludf.DUMMYFUNCTION("""COMPUTED_VALUE"""),89.214)</f>
        <v>89.213999999999999</v>
      </c>
      <c r="G2199" s="2">
        <f ca="1">IFERROR(__xludf.DUMMYFUNCTION("""COMPUTED_VALUE"""),0.58307)</f>
        <v>0.58306999999999998</v>
      </c>
      <c r="H2199" s="2">
        <f ca="1">IFERROR(__xludf.DUMMYFUNCTION("""COMPUTED_VALUE"""),51.586)</f>
        <v>51.585999999999999</v>
      </c>
      <c r="I2199" s="2">
        <f ca="1">IFERROR(__xludf.DUMMYFUNCTION("""COMPUTED_VALUE"""),51.246)</f>
        <v>51.246000000000002</v>
      </c>
      <c r="J2199" s="2">
        <f ca="1">IFERROR(__xludf.DUMMYFUNCTION("""COMPUTED_VALUE"""),47.097)</f>
        <v>47.097000000000001</v>
      </c>
      <c r="K2199" s="2">
        <f ca="1">IFERROR(__xludf.DUMMYFUNCTION("""COMPUTED_VALUE"""),66.282)</f>
        <v>66.281999999999996</v>
      </c>
      <c r="M2199" s="2">
        <f ca="1">IFERROR(__xludf.DUMMYFUNCTION("""COMPUTED_VALUE"""),18.226)</f>
        <v>18.225999999999999</v>
      </c>
      <c r="U2199" s="3" t="e">
        <f ca="1"/>
        <v>#NAME?</v>
      </c>
    </row>
    <row r="2200" spans="3:21" ht="12.5" x14ac:dyDescent="0.25">
      <c r="C2200" s="4">
        <f ca="1">IFERROR(__xludf.DUMMYFUNCTION("""COMPUTED_VALUE"""),42604.9986111111)</f>
        <v>42604.998611111099</v>
      </c>
      <c r="D2200" s="2">
        <f ca="1">IFERROR(__xludf.DUMMYFUNCTION("""COMPUTED_VALUE"""),67.1874)</f>
        <v>67.187399999999997</v>
      </c>
      <c r="E2200" s="2">
        <f ca="1">IFERROR(__xludf.DUMMYFUNCTION("""COMPUTED_VALUE"""),70.525)</f>
        <v>70.525000000000006</v>
      </c>
      <c r="F2200" s="2">
        <f ca="1">IFERROR(__xludf.DUMMYFUNCTION("""COMPUTED_VALUE"""),88.535)</f>
        <v>88.534999999999997</v>
      </c>
      <c r="G2200" s="2">
        <f ca="1">IFERROR(__xludf.DUMMYFUNCTION("""COMPUTED_VALUE"""),0.57965)</f>
        <v>0.57965</v>
      </c>
      <c r="H2200" s="2">
        <f ca="1">IFERROR(__xludf.DUMMYFUNCTION("""COMPUTED_VALUE"""),51.357)</f>
        <v>51.356999999999999</v>
      </c>
      <c r="I2200" s="2">
        <f ca="1">IFERROR(__xludf.DUMMYFUNCTION("""COMPUTED_VALUE"""),51.117)</f>
        <v>51.116999999999997</v>
      </c>
      <c r="J2200" s="2">
        <f ca="1">IFERROR(__xludf.DUMMYFUNCTION("""COMPUTED_VALUE"""),47.293)</f>
        <v>47.292999999999999</v>
      </c>
      <c r="K2200" s="2">
        <f ca="1">IFERROR(__xludf.DUMMYFUNCTION("""COMPUTED_VALUE"""),66.281)</f>
        <v>66.281000000000006</v>
      </c>
      <c r="M2200" s="2">
        <f ca="1">IFERROR(__xludf.DUMMYFUNCTION("""COMPUTED_VALUE"""),18.237)</f>
        <v>18.236999999999998</v>
      </c>
      <c r="U2200" s="3" t="e">
        <f ca="1"/>
        <v>#NAME?</v>
      </c>
    </row>
    <row r="2201" spans="3:21" ht="12.5" x14ac:dyDescent="0.25">
      <c r="C2201" s="4">
        <f ca="1">IFERROR(__xludf.DUMMYFUNCTION("""COMPUTED_VALUE"""),42605.9986111111)</f>
        <v>42605.998611111099</v>
      </c>
      <c r="D2201" s="2">
        <f ca="1">IFERROR(__xludf.DUMMYFUNCTION("""COMPUTED_VALUE"""),67.13)</f>
        <v>67.13</v>
      </c>
      <c r="E2201" s="2">
        <f ca="1">IFERROR(__xludf.DUMMYFUNCTION("""COMPUTED_VALUE"""),70.533)</f>
        <v>70.533000000000001</v>
      </c>
      <c r="F2201" s="2">
        <f ca="1">IFERROR(__xludf.DUMMYFUNCTION("""COMPUTED_VALUE"""),88.565)</f>
        <v>88.564999999999998</v>
      </c>
      <c r="G2201" s="2">
        <f ca="1">IFERROR(__xludf.DUMMYFUNCTION("""COMPUTED_VALUE"""),0.5817)</f>
        <v>0.58169999999999999</v>
      </c>
      <c r="H2201" s="2">
        <f ca="1">IFERROR(__xludf.DUMMYFUNCTION("""COMPUTED_VALUE"""),51.357)</f>
        <v>51.356999999999999</v>
      </c>
      <c r="I2201" s="2">
        <f ca="1">IFERROR(__xludf.DUMMYFUNCTION("""COMPUTED_VALUE"""),51.117)</f>
        <v>51.116999999999997</v>
      </c>
      <c r="J2201" s="2">
        <f ca="1">IFERROR(__xludf.DUMMYFUNCTION("""COMPUTED_VALUE"""),47.236)</f>
        <v>47.235999999999997</v>
      </c>
      <c r="K2201" s="2">
        <f ca="1">IFERROR(__xludf.DUMMYFUNCTION("""COMPUTED_VALUE"""),65.571)</f>
        <v>65.570999999999998</v>
      </c>
      <c r="M2201" s="2">
        <f ca="1">IFERROR(__xludf.DUMMYFUNCTION("""COMPUTED_VALUE"""),18.178)</f>
        <v>18.178000000000001</v>
      </c>
      <c r="U2201" s="3" t="e">
        <f ca="1"/>
        <v>#NAME?</v>
      </c>
    </row>
    <row r="2202" spans="3:21" ht="12.5" x14ac:dyDescent="0.25">
      <c r="C2202" s="4">
        <f ca="1">IFERROR(__xludf.DUMMYFUNCTION("""COMPUTED_VALUE"""),42606.9986111111)</f>
        <v>42606.998611111099</v>
      </c>
      <c r="D2202" s="2">
        <f ca="1">IFERROR(__xludf.DUMMYFUNCTION("""COMPUTED_VALUE"""),67.16)</f>
        <v>67.16</v>
      </c>
      <c r="E2202" s="2">
        <f ca="1">IFERROR(__xludf.DUMMYFUNCTION("""COMPUTED_VALUE"""),70.501)</f>
        <v>70.501000000000005</v>
      </c>
      <c r="F2202" s="2">
        <f ca="1">IFERROR(__xludf.DUMMYFUNCTION("""COMPUTED_VALUE"""),89.064)</f>
        <v>89.063999999999993</v>
      </c>
      <c r="G2202" s="2">
        <f ca="1">IFERROR(__xludf.DUMMYFUNCTION("""COMPUTED_VALUE"""),0.58609)</f>
        <v>0.58609</v>
      </c>
      <c r="H2202" s="2">
        <f ca="1">IFERROR(__xludf.DUMMYFUNCTION("""COMPUTED_VALUE"""),51.373)</f>
        <v>51.372999999999998</v>
      </c>
      <c r="I2202" s="2">
        <f ca="1">IFERROR(__xludf.DUMMYFUNCTION("""COMPUTED_VALUE"""),50.991)</f>
        <v>50.991</v>
      </c>
      <c r="J2202" s="2">
        <f ca="1">IFERROR(__xludf.DUMMYFUNCTION("""COMPUTED_VALUE"""),47.222)</f>
        <v>47.222000000000001</v>
      </c>
      <c r="K2202" s="2">
        <f ca="1">IFERROR(__xludf.DUMMYFUNCTION("""COMPUTED_VALUE"""),66.281)</f>
        <v>66.281000000000006</v>
      </c>
      <c r="M2202" s="2">
        <f ca="1">IFERROR(__xludf.DUMMYFUNCTION("""COMPUTED_VALUE"""),18.139)</f>
        <v>18.138999999999999</v>
      </c>
      <c r="U2202" s="3" t="e">
        <f ca="1"/>
        <v>#NAME?</v>
      </c>
    </row>
    <row r="2203" spans="3:21" ht="12.5" x14ac:dyDescent="0.25">
      <c r="C2203" s="4">
        <f ca="1">IFERROR(__xludf.DUMMYFUNCTION("""COMPUTED_VALUE"""),42607.9986111111)</f>
        <v>42607.998611111099</v>
      </c>
      <c r="D2203" s="2">
        <f ca="1">IFERROR(__xludf.DUMMYFUNCTION("""COMPUTED_VALUE"""),67.0056)</f>
        <v>67.005600000000001</v>
      </c>
      <c r="E2203" s="2">
        <f ca="1">IFERROR(__xludf.DUMMYFUNCTION("""COMPUTED_VALUE"""),70.311)</f>
        <v>70.311000000000007</v>
      </c>
      <c r="F2203" s="2">
        <f ca="1">IFERROR(__xludf.DUMMYFUNCTION("""COMPUTED_VALUE"""),88.103)</f>
        <v>88.102999999999994</v>
      </c>
      <c r="G2203" s="2">
        <f ca="1">IFERROR(__xludf.DUMMYFUNCTION("""COMPUTED_VALUE"""),0.58638)</f>
        <v>0.58638000000000001</v>
      </c>
      <c r="H2203" s="2">
        <f ca="1">IFERROR(__xludf.DUMMYFUNCTION("""COMPUTED_VALUE"""),51.355)</f>
        <v>51.354999999999997</v>
      </c>
      <c r="I2203" s="2">
        <f ca="1">IFERROR(__xludf.DUMMYFUNCTION("""COMPUTED_VALUE"""),50.89)</f>
        <v>50.89</v>
      </c>
      <c r="J2203" s="2">
        <f ca="1">IFERROR(__xludf.DUMMYFUNCTION("""COMPUTED_VALUE"""),47.102)</f>
        <v>47.101999999999997</v>
      </c>
      <c r="K2203" s="2">
        <f ca="1">IFERROR(__xludf.DUMMYFUNCTION("""COMPUTED_VALUE"""),66.462)</f>
        <v>66.462000000000003</v>
      </c>
      <c r="M2203" s="2">
        <f ca="1">IFERROR(__xludf.DUMMYFUNCTION("""COMPUTED_VALUE"""),18.167)</f>
        <v>18.167000000000002</v>
      </c>
      <c r="U2203" s="3" t="e">
        <f ca="1"/>
        <v>#NAME?</v>
      </c>
    </row>
    <row r="2204" spans="3:21" ht="12.5" x14ac:dyDescent="0.25">
      <c r="C2204" s="4">
        <f ca="1">IFERROR(__xludf.DUMMYFUNCTION("""COMPUTED_VALUE"""),42608.9986111111)</f>
        <v>42608.998611111099</v>
      </c>
      <c r="D2204" s="2">
        <f ca="1">IFERROR(__xludf.DUMMYFUNCTION("""COMPUTED_VALUE"""),67.129)</f>
        <v>67.129000000000005</v>
      </c>
      <c r="E2204" s="2">
        <f ca="1">IFERROR(__xludf.DUMMYFUNCTION("""COMPUTED_VALUE"""),70.311)</f>
        <v>70.311000000000007</v>
      </c>
      <c r="F2204" s="2">
        <f ca="1">IFERROR(__xludf.DUMMYFUNCTION("""COMPUTED_VALUE"""),88.85)</f>
        <v>88.85</v>
      </c>
      <c r="G2204" s="2">
        <f ca="1">IFERROR(__xludf.DUMMYFUNCTION("""COMPUTED_VALUE"""),0.58705)</f>
        <v>0.58704999999999996</v>
      </c>
      <c r="H2204" s="2">
        <f ca="1">IFERROR(__xludf.DUMMYFUNCTION("""COMPUTED_VALUE"""),51.448)</f>
        <v>51.448</v>
      </c>
      <c r="I2204" s="2">
        <f ca="1">IFERROR(__xludf.DUMMYFUNCTION("""COMPUTED_VALUE"""),50.78)</f>
        <v>50.78</v>
      </c>
      <c r="J2204" s="2">
        <f ca="1">IFERROR(__xludf.DUMMYFUNCTION("""COMPUTED_VALUE"""),47.101)</f>
        <v>47.100999999999999</v>
      </c>
      <c r="K2204" s="2">
        <f ca="1">IFERROR(__xludf.DUMMYFUNCTION("""COMPUTED_VALUE"""),66.527)</f>
        <v>66.527000000000001</v>
      </c>
      <c r="M2204" s="2">
        <f ca="1">IFERROR(__xludf.DUMMYFUNCTION("""COMPUTED_VALUE"""),18.157)</f>
        <v>18.157</v>
      </c>
      <c r="U2204" s="3" t="e">
        <f ca="1"/>
        <v>#NAME?</v>
      </c>
    </row>
    <row r="2205" spans="3:21" ht="12.5" x14ac:dyDescent="0.25">
      <c r="C2205" s="4">
        <f ca="1">IFERROR(__xludf.DUMMYFUNCTION("""COMPUTED_VALUE"""),42609.9986111111)</f>
        <v>42609.998611111099</v>
      </c>
      <c r="D2205" s="2">
        <f ca="1">IFERROR(__xludf.DUMMYFUNCTION("""COMPUTED_VALUE"""),67.129)</f>
        <v>67.129000000000005</v>
      </c>
      <c r="E2205" s="2">
        <f ca="1">IFERROR(__xludf.DUMMYFUNCTION("""COMPUTED_VALUE"""),70.515)</f>
        <v>70.515000000000001</v>
      </c>
      <c r="F2205" s="2">
        <f ca="1">IFERROR(__xludf.DUMMYFUNCTION("""COMPUTED_VALUE"""),88.759)</f>
        <v>88.759</v>
      </c>
      <c r="G2205" s="2">
        <f ca="1">IFERROR(__xludf.DUMMYFUNCTION("""COMPUTED_VALUE"""),0.58184)</f>
        <v>0.58184000000000002</v>
      </c>
      <c r="H2205" s="2">
        <f ca="1">IFERROR(__xludf.DUMMYFUNCTION("""COMPUTED_VALUE"""),51.376)</f>
        <v>51.375999999999998</v>
      </c>
      <c r="I2205" s="2">
        <f ca="1">IFERROR(__xludf.DUMMYFUNCTION("""COMPUTED_VALUE"""),50.841)</f>
        <v>50.841000000000001</v>
      </c>
      <c r="J2205" s="2">
        <f ca="1">IFERROR(__xludf.DUMMYFUNCTION("""COMPUTED_VALUE"""),47.263)</f>
        <v>47.262999999999998</v>
      </c>
      <c r="K2205" s="2">
        <f ca="1">IFERROR(__xludf.DUMMYFUNCTION("""COMPUTED_VALUE"""),65.939)</f>
        <v>65.938999999999993</v>
      </c>
      <c r="M2205" s="2">
        <f ca="1">IFERROR(__xludf.DUMMYFUNCTION("""COMPUTED_VALUE"""),18.132)</f>
        <v>18.132000000000001</v>
      </c>
      <c r="U2205" s="3" t="e">
        <f ca="1"/>
        <v>#NAME?</v>
      </c>
    </row>
    <row r="2206" spans="3:21" ht="12.5" x14ac:dyDescent="0.25">
      <c r="C2206" s="4">
        <f ca="1">IFERROR(__xludf.DUMMYFUNCTION("""COMPUTED_VALUE"""),42610.9986111111)</f>
        <v>42610.998611111099</v>
      </c>
      <c r="D2206" s="2">
        <f ca="1">IFERROR(__xludf.DUMMYFUNCTION("""COMPUTED_VALUE"""),67.129)</f>
        <v>67.129000000000005</v>
      </c>
      <c r="E2206" s="2">
        <f ca="1">IFERROR(__xludf.DUMMYFUNCTION("""COMPUTED_VALUE"""),70.428)</f>
        <v>70.427999999999997</v>
      </c>
      <c r="F2206" s="2">
        <f ca="1">IFERROR(__xludf.DUMMYFUNCTION("""COMPUTED_VALUE"""),88.051)</f>
        <v>88.051000000000002</v>
      </c>
      <c r="G2206" s="2">
        <f ca="1">IFERROR(__xludf.DUMMYFUNCTION("""COMPUTED_VALUE"""),0.57806)</f>
        <v>0.57806000000000002</v>
      </c>
      <c r="H2206" s="2">
        <f ca="1">IFERROR(__xludf.DUMMYFUNCTION("""COMPUTED_VALUE"""),51.08)</f>
        <v>51.08</v>
      </c>
      <c r="I2206" s="2">
        <f ca="1">IFERROR(__xludf.DUMMYFUNCTION("""COMPUTED_VALUE"""),50.829)</f>
        <v>50.829000000000001</v>
      </c>
      <c r="J2206" s="2">
        <f ca="1">IFERROR(__xludf.DUMMYFUNCTION("""COMPUTED_VALUE"""),47.303)</f>
        <v>47.302999999999997</v>
      </c>
      <c r="K2206" s="2">
        <f ca="1">IFERROR(__xludf.DUMMYFUNCTION("""COMPUTED_VALUE"""),65.808)</f>
        <v>65.808000000000007</v>
      </c>
      <c r="M2206" s="2">
        <f ca="1">IFERROR(__xludf.DUMMYFUNCTION("""COMPUTED_VALUE"""),18.083)</f>
        <v>18.082999999999998</v>
      </c>
      <c r="U2206" s="3" t="e">
        <f ca="1"/>
        <v>#NAME?</v>
      </c>
    </row>
    <row r="2207" spans="3:21" ht="12.5" x14ac:dyDescent="0.25">
      <c r="C2207" s="4">
        <f ca="1">IFERROR(__xludf.DUMMYFUNCTION("""COMPUTED_VALUE"""),42611.9986111111)</f>
        <v>42611.998611111099</v>
      </c>
      <c r="D2207" s="2">
        <f ca="1">IFERROR(__xludf.DUMMYFUNCTION("""COMPUTED_VALUE"""),67.09)</f>
        <v>67.09</v>
      </c>
      <c r="E2207" s="2">
        <f ca="1">IFERROR(__xludf.DUMMYFUNCTION("""COMPUTED_VALUE"""),70.369)</f>
        <v>70.369</v>
      </c>
      <c r="F2207" s="2">
        <f ca="1">IFERROR(__xludf.DUMMYFUNCTION("""COMPUTED_VALUE"""),88.331)</f>
        <v>88.331000000000003</v>
      </c>
      <c r="G2207" s="2">
        <f ca="1">IFERROR(__xludf.DUMMYFUNCTION("""COMPUTED_VALUE"""),0.57799)</f>
        <v>0.57799</v>
      </c>
      <c r="H2207" s="2">
        <f ca="1">IFERROR(__xludf.DUMMYFUNCTION("""COMPUTED_VALUE"""),51.061)</f>
        <v>51.061</v>
      </c>
      <c r="I2207" s="2">
        <f ca="1">IFERROR(__xludf.DUMMYFUNCTION("""COMPUTED_VALUE"""),50.829)</f>
        <v>50.829000000000001</v>
      </c>
      <c r="J2207" s="2">
        <f ca="1">IFERROR(__xludf.DUMMYFUNCTION("""COMPUTED_VALUE"""),47.379)</f>
        <v>47.378999999999998</v>
      </c>
      <c r="K2207" s="2">
        <f ca="1">IFERROR(__xludf.DUMMYFUNCTION("""COMPUTED_VALUE"""),66.02)</f>
        <v>66.02</v>
      </c>
      <c r="M2207" s="2">
        <f ca="1">IFERROR(__xludf.DUMMYFUNCTION("""COMPUTED_VALUE"""),18.057)</f>
        <v>18.056999999999999</v>
      </c>
      <c r="U2207" s="3" t="e">
        <f ca="1"/>
        <v>#NAME?</v>
      </c>
    </row>
    <row r="2208" spans="3:21" ht="12.5" x14ac:dyDescent="0.25">
      <c r="C2208" s="4">
        <f ca="1">IFERROR(__xludf.DUMMYFUNCTION("""COMPUTED_VALUE"""),42612.9986111111)</f>
        <v>42612.998611111099</v>
      </c>
      <c r="D2208" s="2">
        <f ca="1">IFERROR(__xludf.DUMMYFUNCTION("""COMPUTED_VALUE"""),67.1266)</f>
        <v>67.126599999999996</v>
      </c>
      <c r="E2208" s="2">
        <f ca="1">IFERROR(__xludf.DUMMYFUNCTION("""COMPUTED_VALUE"""),70.091)</f>
        <v>70.090999999999994</v>
      </c>
      <c r="F2208" s="2">
        <f ca="1">IFERROR(__xludf.DUMMYFUNCTION("""COMPUTED_VALUE"""),88.332)</f>
        <v>88.331999999999994</v>
      </c>
      <c r="G2208" s="2">
        <f ca="1">IFERROR(__xludf.DUMMYFUNCTION("""COMPUTED_VALUE"""),0.58273)</f>
        <v>0.58272999999999997</v>
      </c>
      <c r="H2208" s="2">
        <f ca="1">IFERROR(__xludf.DUMMYFUNCTION("""COMPUTED_VALUE"""),51.139)</f>
        <v>51.139000000000003</v>
      </c>
      <c r="I2208" s="2">
        <f ca="1">IFERROR(__xludf.DUMMYFUNCTION("""COMPUTED_VALUE"""),50.523)</f>
        <v>50.523000000000003</v>
      </c>
      <c r="J2208" s="2">
        <f ca="1">IFERROR(__xludf.DUMMYFUNCTION("""COMPUTED_VALUE"""),47.379)</f>
        <v>47.378999999999998</v>
      </c>
      <c r="K2208" s="2">
        <f ca="1">IFERROR(__xludf.DUMMYFUNCTION("""COMPUTED_VALUE"""),65.057)</f>
        <v>65.057000000000002</v>
      </c>
      <c r="M2208" s="2">
        <f ca="1">IFERROR(__xludf.DUMMYFUNCTION("""COMPUTED_VALUE"""),18.187)</f>
        <v>18.187000000000001</v>
      </c>
      <c r="U2208" s="3" t="e">
        <f ca="1"/>
        <v>#NAME?</v>
      </c>
    </row>
    <row r="2209" spans="3:21" ht="12.5" x14ac:dyDescent="0.25">
      <c r="C2209" s="4">
        <f ca="1">IFERROR(__xludf.DUMMYFUNCTION("""COMPUTED_VALUE"""),42613.9986111111)</f>
        <v>42613.998611111099</v>
      </c>
      <c r="D2209" s="2">
        <f ca="1">IFERROR(__xludf.DUMMYFUNCTION("""COMPUTED_VALUE"""),66.9747)</f>
        <v>66.974699999999999</v>
      </c>
      <c r="E2209" s="2">
        <f ca="1">IFERROR(__xludf.DUMMYFUNCTION("""COMPUTED_VALUE"""),70.854)</f>
        <v>70.853999999999999</v>
      </c>
      <c r="F2209" s="2">
        <f ca="1">IFERROR(__xludf.DUMMYFUNCTION("""COMPUTED_VALUE"""),88.605)</f>
        <v>88.605000000000004</v>
      </c>
      <c r="G2209" s="2">
        <f ca="1">IFERROR(__xludf.DUMMYFUNCTION("""COMPUTED_VALUE"""),0.58828)</f>
        <v>0.58828000000000003</v>
      </c>
      <c r="H2209" s="2">
        <f ca="1">IFERROR(__xludf.DUMMYFUNCTION("""COMPUTED_VALUE"""),50.925)</f>
        <v>50.924999999999997</v>
      </c>
      <c r="I2209" s="2">
        <f ca="1">IFERROR(__xludf.DUMMYFUNCTION("""COMPUTED_VALUE"""),50.059)</f>
        <v>50.058999999999997</v>
      </c>
      <c r="J2209" s="2">
        <f ca="1">IFERROR(__xludf.DUMMYFUNCTION("""COMPUTED_VALUE"""),47.407)</f>
        <v>47.406999999999996</v>
      </c>
      <c r="K2209" s="2">
        <f ca="1">IFERROR(__xludf.DUMMYFUNCTION("""COMPUTED_VALUE"""),65.971)</f>
        <v>65.971000000000004</v>
      </c>
      <c r="M2209" s="2">
        <f ca="1">IFERROR(__xludf.DUMMYFUNCTION("""COMPUTED_VALUE"""),18.115)</f>
        <v>18.114999999999998</v>
      </c>
      <c r="U2209" s="3" t="e">
        <f ca="1"/>
        <v>#NAME?</v>
      </c>
    </row>
    <row r="2210" spans="3:21" ht="12.5" x14ac:dyDescent="0.25">
      <c r="C2210" s="4">
        <f ca="1">IFERROR(__xludf.DUMMYFUNCTION("""COMPUTED_VALUE"""),42614.9986111111)</f>
        <v>42614.998611111099</v>
      </c>
      <c r="D2210" s="2">
        <f ca="1">IFERROR(__xludf.DUMMYFUNCTION("""COMPUTED_VALUE"""),66.793)</f>
        <v>66.793000000000006</v>
      </c>
      <c r="E2210" s="2">
        <f ca="1">IFERROR(__xludf.DUMMYFUNCTION("""COMPUTED_VALUE"""),70.854)</f>
        <v>70.853999999999999</v>
      </c>
      <c r="F2210" s="2">
        <f ca="1">IFERROR(__xludf.DUMMYFUNCTION("""COMPUTED_VALUE"""),88.188)</f>
        <v>88.188000000000002</v>
      </c>
      <c r="G2210" s="2">
        <f ca="1">IFERROR(__xludf.DUMMYFUNCTION("""COMPUTED_VALUE"""),0.59336)</f>
        <v>0.59336</v>
      </c>
      <c r="H2210" s="2">
        <f ca="1">IFERROR(__xludf.DUMMYFUNCTION("""COMPUTED_VALUE"""),51.151)</f>
        <v>51.151000000000003</v>
      </c>
      <c r="I2210" s="2">
        <f ca="1">IFERROR(__xludf.DUMMYFUNCTION("""COMPUTED_VALUE"""),50.026)</f>
        <v>50.026000000000003</v>
      </c>
      <c r="J2210" s="2">
        <f ca="1">IFERROR(__xludf.DUMMYFUNCTION("""COMPUTED_VALUE"""),47.379)</f>
        <v>47.378999999999998</v>
      </c>
      <c r="K2210" s="2">
        <f ca="1">IFERROR(__xludf.DUMMYFUNCTION("""COMPUTED_VALUE"""),65.915)</f>
        <v>65.915000000000006</v>
      </c>
      <c r="M2210" s="2">
        <f ca="1">IFERROR(__xludf.DUMMYFUNCTION("""COMPUTED_VALUE"""),18.12)</f>
        <v>18.12</v>
      </c>
      <c r="U2210" s="3" t="e">
        <f ca="1"/>
        <v>#NAME?</v>
      </c>
    </row>
    <row r="2211" spans="3:21" ht="12.5" x14ac:dyDescent="0.25">
      <c r="C2211" s="4">
        <f ca="1">IFERROR(__xludf.DUMMYFUNCTION("""COMPUTED_VALUE"""),42615.9986111111)</f>
        <v>42615.998611111099</v>
      </c>
      <c r="D2211" s="2">
        <f ca="1">IFERROR(__xludf.DUMMYFUNCTION("""COMPUTED_VALUE"""),66.788)</f>
        <v>66.787999999999997</v>
      </c>
      <c r="E2211" s="2">
        <f ca="1">IFERROR(__xludf.DUMMYFUNCTION("""COMPUTED_VALUE"""),70.854)</f>
        <v>70.853999999999999</v>
      </c>
      <c r="F2211" s="2">
        <f ca="1">IFERROR(__xludf.DUMMYFUNCTION("""COMPUTED_VALUE"""),88.142)</f>
        <v>88.141999999999996</v>
      </c>
      <c r="G2211" s="2">
        <f ca="1">IFERROR(__xludf.DUMMYFUNCTION("""COMPUTED_VALUE"""),0.58878)</f>
        <v>0.58877999999999997</v>
      </c>
      <c r="H2211" s="2">
        <f ca="1">IFERROR(__xludf.DUMMYFUNCTION("""COMPUTED_VALUE"""),50.508)</f>
        <v>50.508000000000003</v>
      </c>
      <c r="I2211" s="2">
        <f ca="1">IFERROR(__xludf.DUMMYFUNCTION("""COMPUTED_VALUE"""),49.817)</f>
        <v>49.817</v>
      </c>
      <c r="J2211" s="2">
        <f ca="1">IFERROR(__xludf.DUMMYFUNCTION("""COMPUTED_VALUE"""),47.297)</f>
        <v>47.296999999999997</v>
      </c>
      <c r="K2211" s="2">
        <f ca="1">IFERROR(__xludf.DUMMYFUNCTION("""COMPUTED_VALUE"""),66.002)</f>
        <v>66.001999999999995</v>
      </c>
      <c r="M2211" s="2">
        <f ca="1">IFERROR(__xludf.DUMMYFUNCTION("""COMPUTED_VALUE"""),18.07)</f>
        <v>18.07</v>
      </c>
      <c r="U2211" s="3" t="e">
        <f ca="1"/>
        <v>#NAME?</v>
      </c>
    </row>
    <row r="2212" spans="3:21" ht="12.5" x14ac:dyDescent="0.25">
      <c r="C2212" s="4">
        <f ca="1">IFERROR(__xludf.DUMMYFUNCTION("""COMPUTED_VALUE"""),42616.9986111111)</f>
        <v>42616.998611111099</v>
      </c>
      <c r="D2212" s="2">
        <f ca="1">IFERROR(__xludf.DUMMYFUNCTION("""COMPUTED_VALUE"""),66.5728)</f>
        <v>66.572800000000001</v>
      </c>
      <c r="E2212" s="2">
        <f ca="1">IFERROR(__xludf.DUMMYFUNCTION("""COMPUTED_VALUE"""),70.452)</f>
        <v>70.451999999999998</v>
      </c>
      <c r="F2212" s="2">
        <f ca="1">IFERROR(__xludf.DUMMYFUNCTION("""COMPUTED_VALUE"""),88.142)</f>
        <v>88.141999999999996</v>
      </c>
      <c r="G2212" s="2">
        <f ca="1">IFERROR(__xludf.DUMMYFUNCTION("""COMPUTED_VALUE"""),0.59274)</f>
        <v>0.59274000000000004</v>
      </c>
      <c r="H2212" s="2">
        <f ca="1">IFERROR(__xludf.DUMMYFUNCTION("""COMPUTED_VALUE"""),50.665)</f>
        <v>50.664999999999999</v>
      </c>
      <c r="I2212" s="2">
        <f ca="1">IFERROR(__xludf.DUMMYFUNCTION("""COMPUTED_VALUE"""),49.859)</f>
        <v>49.859000000000002</v>
      </c>
      <c r="J2212" s="2">
        <f ca="1">IFERROR(__xludf.DUMMYFUNCTION("""COMPUTED_VALUE"""),47.234)</f>
        <v>47.234000000000002</v>
      </c>
      <c r="K2212" s="2">
        <f ca="1">IFERROR(__xludf.DUMMYFUNCTION("""COMPUTED_VALUE"""),66.074)</f>
        <v>66.073999999999998</v>
      </c>
      <c r="M2212" s="2">
        <f ca="1">IFERROR(__xludf.DUMMYFUNCTION("""COMPUTED_VALUE"""),18.124)</f>
        <v>18.123999999999999</v>
      </c>
      <c r="U2212" s="3" t="e">
        <f ca="1"/>
        <v>#NAME?</v>
      </c>
    </row>
    <row r="2213" spans="3:21" ht="12.5" x14ac:dyDescent="0.25">
      <c r="C2213" s="4">
        <f ca="1">IFERROR(__xludf.DUMMYFUNCTION("""COMPUTED_VALUE"""),42617.9986111111)</f>
        <v>42617.998611111099</v>
      </c>
      <c r="D2213" s="2">
        <f ca="1">IFERROR(__xludf.DUMMYFUNCTION("""COMPUTED_VALUE"""),66.5728)</f>
        <v>66.572800000000001</v>
      </c>
      <c r="E2213" s="2">
        <f ca="1">IFERROR(__xludf.DUMMYFUNCTION("""COMPUTED_VALUE"""),70.339)</f>
        <v>70.338999999999999</v>
      </c>
      <c r="F2213" s="2">
        <f ca="1">IFERROR(__xludf.DUMMYFUNCTION("""COMPUTED_VALUE"""),88.035)</f>
        <v>88.034999999999997</v>
      </c>
      <c r="G2213" s="2">
        <f ca="1">IFERROR(__xludf.DUMMYFUNCTION("""COMPUTED_VALUE"""),0.5887)</f>
        <v>0.5887</v>
      </c>
      <c r="H2213" s="2">
        <f ca="1">IFERROR(__xludf.DUMMYFUNCTION("""COMPUTED_VALUE"""),50.67)</f>
        <v>50.67</v>
      </c>
      <c r="I2213" s="2">
        <f ca="1">IFERROR(__xludf.DUMMYFUNCTION("""COMPUTED_VALUE"""),49.873)</f>
        <v>49.872999999999998</v>
      </c>
      <c r="J2213" s="2">
        <f ca="1">IFERROR(__xludf.DUMMYFUNCTION("""COMPUTED_VALUE"""),47.312)</f>
        <v>47.311999999999998</v>
      </c>
      <c r="K2213" s="2">
        <f ca="1">IFERROR(__xludf.DUMMYFUNCTION("""COMPUTED_VALUE"""),65.964)</f>
        <v>65.963999999999999</v>
      </c>
      <c r="M2213" s="2">
        <f ca="1">IFERROR(__xludf.DUMMYFUNCTION("""COMPUTED_VALUE"""),18.126)</f>
        <v>18.126000000000001</v>
      </c>
      <c r="U2213" s="3" t="e">
        <f ca="1"/>
        <v>#NAME?</v>
      </c>
    </row>
    <row r="2214" spans="3:21" ht="12.5" x14ac:dyDescent="0.25">
      <c r="C2214" s="4">
        <f ca="1">IFERROR(__xludf.DUMMYFUNCTION("""COMPUTED_VALUE"""),42618.9986111111)</f>
        <v>42618.998611111099</v>
      </c>
      <c r="D2214" s="2">
        <f ca="1">IFERROR(__xludf.DUMMYFUNCTION("""COMPUTED_VALUE"""),66.46)</f>
        <v>66.459999999999994</v>
      </c>
      <c r="E2214" s="2">
        <f ca="1">IFERROR(__xludf.DUMMYFUNCTION("""COMPUTED_VALUE"""),70.324)</f>
        <v>70.323999999999998</v>
      </c>
      <c r="F2214" s="2">
        <f ca="1">IFERROR(__xludf.DUMMYFUNCTION("""COMPUTED_VALUE"""),88.953)</f>
        <v>88.953000000000003</v>
      </c>
      <c r="G2214" s="2">
        <f ca="1">IFERROR(__xludf.DUMMYFUNCTION("""COMPUTED_VALUE"""),0.59424)</f>
        <v>0.59423999999999999</v>
      </c>
      <c r="H2214" s="2">
        <f ca="1">IFERROR(__xludf.DUMMYFUNCTION("""COMPUTED_VALUE"""),49.645)</f>
        <v>49.645000000000003</v>
      </c>
      <c r="I2214" s="2">
        <f ca="1">IFERROR(__xludf.DUMMYFUNCTION("""COMPUTED_VALUE"""),48.852)</f>
        <v>48.851999999999997</v>
      </c>
      <c r="J2214" s="2">
        <f ca="1">IFERROR(__xludf.DUMMYFUNCTION("""COMPUTED_VALUE"""),47.274)</f>
        <v>47.274000000000001</v>
      </c>
      <c r="K2214" s="2">
        <f ca="1">IFERROR(__xludf.DUMMYFUNCTION("""COMPUTED_VALUE"""),65.102)</f>
        <v>65.102000000000004</v>
      </c>
      <c r="M2214" s="2">
        <f ca="1">IFERROR(__xludf.DUMMYFUNCTION("""COMPUTED_VALUE"""),18.153)</f>
        <v>18.152999999999999</v>
      </c>
      <c r="U2214" s="3" t="e">
        <f ca="1"/>
        <v>#NAME?</v>
      </c>
    </row>
    <row r="2215" spans="3:21" ht="12.5" x14ac:dyDescent="0.25">
      <c r="C2215" s="4">
        <f ca="1">IFERROR(__xludf.DUMMYFUNCTION("""COMPUTED_VALUE"""),42619.9986111111)</f>
        <v>42619.998611111099</v>
      </c>
      <c r="D2215" s="2">
        <f ca="1">IFERROR(__xludf.DUMMYFUNCTION("""COMPUTED_VALUE"""),66.2552)</f>
        <v>66.255200000000002</v>
      </c>
      <c r="E2215" s="2">
        <f ca="1">IFERROR(__xludf.DUMMYFUNCTION("""COMPUTED_VALUE"""),70.465)</f>
        <v>70.465000000000003</v>
      </c>
      <c r="F2215" s="2">
        <f ca="1">IFERROR(__xludf.DUMMYFUNCTION("""COMPUTED_VALUE"""),88.923)</f>
        <v>88.923000000000002</v>
      </c>
      <c r="G2215" s="2">
        <f ca="1">IFERROR(__xludf.DUMMYFUNCTION("""COMPUTED_VALUE"""),0.59332)</f>
        <v>0.59331999999999996</v>
      </c>
      <c r="H2215" s="2">
        <f ca="1">IFERROR(__xludf.DUMMYFUNCTION("""COMPUTED_VALUE"""),50.541)</f>
        <v>50.540999999999997</v>
      </c>
      <c r="I2215" s="2">
        <f ca="1">IFERROR(__xludf.DUMMYFUNCTION("""COMPUTED_VALUE"""),49.693)</f>
        <v>49.692999999999998</v>
      </c>
      <c r="J2215" s="2">
        <f ca="1">IFERROR(__xludf.DUMMYFUNCTION("""COMPUTED_VALUE"""),46.35)</f>
        <v>46.35</v>
      </c>
      <c r="K2215" s="2">
        <f ca="1">IFERROR(__xludf.DUMMYFUNCTION("""COMPUTED_VALUE"""),66.05)</f>
        <v>66.05</v>
      </c>
      <c r="M2215" s="2">
        <f ca="1">IFERROR(__xludf.DUMMYFUNCTION("""COMPUTED_VALUE"""),18.119)</f>
        <v>18.119</v>
      </c>
      <c r="U2215" s="3" t="e">
        <f ca="1"/>
        <v>#NAME?</v>
      </c>
    </row>
    <row r="2216" spans="3:21" ht="12.5" x14ac:dyDescent="0.25">
      <c r="C2216" s="4">
        <f ca="1">IFERROR(__xludf.DUMMYFUNCTION("""COMPUTED_VALUE"""),42620.9986111111)</f>
        <v>42620.998611111099</v>
      </c>
      <c r="D2216" s="2">
        <f ca="1">IFERROR(__xludf.DUMMYFUNCTION("""COMPUTED_VALUE"""),66.4716)</f>
        <v>66.471599999999995</v>
      </c>
      <c r="E2216" s="2">
        <f ca="1">IFERROR(__xludf.DUMMYFUNCTION("""COMPUTED_VALUE"""),69.691)</f>
        <v>69.691000000000003</v>
      </c>
      <c r="F2216" s="2">
        <f ca="1">IFERROR(__xludf.DUMMYFUNCTION("""COMPUTED_VALUE"""),87.667)</f>
        <v>87.667000000000002</v>
      </c>
      <c r="G2216" s="2">
        <f ca="1">IFERROR(__xludf.DUMMYFUNCTION("""COMPUTED_VALUE"""),0.59009)</f>
        <v>0.59009</v>
      </c>
      <c r="H2216" s="2">
        <f ca="1">IFERROR(__xludf.DUMMYFUNCTION("""COMPUTED_VALUE"""),50.52)</f>
        <v>50.52</v>
      </c>
      <c r="I2216" s="2">
        <f ca="1">IFERROR(__xludf.DUMMYFUNCTION("""COMPUTED_VALUE"""),49.618)</f>
        <v>49.618000000000002</v>
      </c>
      <c r="J2216" s="2">
        <f ca="1">IFERROR(__xludf.DUMMYFUNCTION("""COMPUTED_VALUE"""),47.148)</f>
        <v>47.148000000000003</v>
      </c>
      <c r="K2216" s="2">
        <f ca="1">IFERROR(__xludf.DUMMYFUNCTION("""COMPUTED_VALUE"""),66.258)</f>
        <v>66.257999999999996</v>
      </c>
      <c r="M2216" s="2">
        <f ca="1">IFERROR(__xludf.DUMMYFUNCTION("""COMPUTED_VALUE"""),18.098)</f>
        <v>18.097999999999999</v>
      </c>
      <c r="U2216" s="3" t="e">
        <f ca="1"/>
        <v>#NAME?</v>
      </c>
    </row>
    <row r="2217" spans="3:21" ht="12.5" x14ac:dyDescent="0.25">
      <c r="C2217" s="4">
        <f ca="1">IFERROR(__xludf.DUMMYFUNCTION("""COMPUTED_VALUE"""),42621.9986111111)</f>
        <v>42621.998611111099</v>
      </c>
      <c r="D2217" s="2">
        <f ca="1">IFERROR(__xludf.DUMMYFUNCTION("""COMPUTED_VALUE"""),66.45)</f>
        <v>66.45</v>
      </c>
      <c r="E2217" s="2">
        <f ca="1">IFERROR(__xludf.DUMMYFUNCTION("""COMPUTED_VALUE"""),70.405)</f>
        <v>70.405000000000001</v>
      </c>
      <c r="F2217" s="2">
        <f ca="1">IFERROR(__xludf.DUMMYFUNCTION("""COMPUTED_VALUE"""),87.36)</f>
        <v>87.36</v>
      </c>
      <c r="G2217" s="2">
        <f ca="1">IFERROR(__xludf.DUMMYFUNCTION("""COMPUTED_VALUE"""),0.59198)</f>
        <v>0.59197999999999995</v>
      </c>
      <c r="H2217" s="2">
        <f ca="1">IFERROR(__xludf.DUMMYFUNCTION("""COMPUTED_VALUE"""),50.196)</f>
        <v>50.195999999999998</v>
      </c>
      <c r="I2217" s="2">
        <f ca="1">IFERROR(__xludf.DUMMYFUNCTION("""COMPUTED_VALUE"""),49.444)</f>
        <v>49.444000000000003</v>
      </c>
      <c r="J2217" s="2">
        <f ca="1">IFERROR(__xludf.DUMMYFUNCTION("""COMPUTED_VALUE"""),47.167)</f>
        <v>47.167000000000002</v>
      </c>
      <c r="K2217" s="2">
        <f ca="1">IFERROR(__xludf.DUMMYFUNCTION("""COMPUTED_VALUE"""),66.744)</f>
        <v>66.744</v>
      </c>
      <c r="M2217" s="2">
        <f ca="1">IFERROR(__xludf.DUMMYFUNCTION("""COMPUTED_VALUE"""),18.184)</f>
        <v>18.184000000000001</v>
      </c>
      <c r="U2217" s="3" t="e">
        <f ca="1"/>
        <v>#NAME?</v>
      </c>
    </row>
    <row r="2218" spans="3:21" ht="12.5" x14ac:dyDescent="0.25">
      <c r="C2218" s="4">
        <f ca="1">IFERROR(__xludf.DUMMYFUNCTION("""COMPUTED_VALUE"""),42622.9986111111)</f>
        <v>42622.998611111099</v>
      </c>
      <c r="D2218" s="2">
        <f ca="1">IFERROR(__xludf.DUMMYFUNCTION("""COMPUTED_VALUE"""),66.778)</f>
        <v>66.778000000000006</v>
      </c>
      <c r="E2218" s="2">
        <f ca="1">IFERROR(__xludf.DUMMYFUNCTION("""COMPUTED_VALUE"""),69.731)</f>
        <v>69.730999999999995</v>
      </c>
      <c r="F2218" s="2">
        <f ca="1">IFERROR(__xludf.DUMMYFUNCTION("""COMPUTED_VALUE"""),87.101)</f>
        <v>87.100999999999999</v>
      </c>
      <c r="G2218" s="2">
        <f ca="1">IFERROR(__xludf.DUMMYFUNCTION("""COMPUTED_VALUE"""),0.58751)</f>
        <v>0.58750999999999998</v>
      </c>
      <c r="H2218" s="2">
        <f ca="1">IFERROR(__xludf.DUMMYFUNCTION("""COMPUTED_VALUE"""),50.007)</f>
        <v>50.006999999999998</v>
      </c>
      <c r="I2218" s="2">
        <f ca="1">IFERROR(__xludf.DUMMYFUNCTION("""COMPUTED_VALUE"""),49.318)</f>
        <v>49.317999999999998</v>
      </c>
      <c r="J2218" s="2">
        <f ca="1">IFERROR(__xludf.DUMMYFUNCTION("""COMPUTED_VALUE"""),47.049)</f>
        <v>47.048999999999999</v>
      </c>
      <c r="K2218" s="2">
        <f ca="1">IFERROR(__xludf.DUMMYFUNCTION("""COMPUTED_VALUE"""),66.636)</f>
        <v>66.635999999999996</v>
      </c>
      <c r="M2218" s="2">
        <f ca="1">IFERROR(__xludf.DUMMYFUNCTION("""COMPUTED_VALUE"""),18.19)</f>
        <v>18.190000000000001</v>
      </c>
      <c r="U2218" s="3" t="e">
        <f ca="1"/>
        <v>#NAME?</v>
      </c>
    </row>
    <row r="2219" spans="3:21" ht="12.5" x14ac:dyDescent="0.25">
      <c r="C2219" s="4">
        <f ca="1">IFERROR(__xludf.DUMMYFUNCTION("""COMPUTED_VALUE"""),42623.9986111111)</f>
        <v>42623.998611111099</v>
      </c>
      <c r="D2219" s="2">
        <f ca="1">IFERROR(__xludf.DUMMYFUNCTION("""COMPUTED_VALUE"""),66.8988)</f>
        <v>66.898799999999994</v>
      </c>
      <c r="E2219" s="2">
        <f ca="1">IFERROR(__xludf.DUMMYFUNCTION("""COMPUTED_VALUE"""),70.39)</f>
        <v>70.39</v>
      </c>
      <c r="F2219" s="2">
        <f ca="1">IFERROR(__xludf.DUMMYFUNCTION("""COMPUTED_VALUE"""),86.859)</f>
        <v>86.858999999999995</v>
      </c>
      <c r="G2219" s="2">
        <f ca="1">IFERROR(__xludf.DUMMYFUNCTION("""COMPUTED_VALUE"""),0.57864)</f>
        <v>0.57864000000000004</v>
      </c>
      <c r="H2219" s="2">
        <f ca="1">IFERROR(__xludf.DUMMYFUNCTION("""COMPUTED_VALUE"""),50.112)</f>
        <v>50.112000000000002</v>
      </c>
      <c r="I2219" s="2">
        <f ca="1">IFERROR(__xludf.DUMMYFUNCTION("""COMPUTED_VALUE"""),49.314)</f>
        <v>49.314</v>
      </c>
      <c r="J2219" s="2">
        <f ca="1">IFERROR(__xludf.DUMMYFUNCTION("""COMPUTED_VALUE"""),46.873)</f>
        <v>46.872999999999998</v>
      </c>
      <c r="K2219" s="2">
        <f ca="1">IFERROR(__xludf.DUMMYFUNCTION("""COMPUTED_VALUE"""),66.457)</f>
        <v>66.456999999999994</v>
      </c>
      <c r="M2219" s="2">
        <f ca="1">IFERROR(__xludf.DUMMYFUNCTION("""COMPUTED_VALUE"""),18.18)</f>
        <v>18.18</v>
      </c>
      <c r="U2219" s="3" t="e">
        <f ca="1"/>
        <v>#NAME?</v>
      </c>
    </row>
    <row r="2220" spans="3:21" ht="12.5" x14ac:dyDescent="0.25">
      <c r="C2220" s="4">
        <f ca="1">IFERROR(__xludf.DUMMYFUNCTION("""COMPUTED_VALUE"""),42624.9986111111)</f>
        <v>42624.998611111099</v>
      </c>
      <c r="D2220" s="2">
        <f ca="1">IFERROR(__xludf.DUMMYFUNCTION("""COMPUTED_VALUE"""),66.778)</f>
        <v>66.778000000000006</v>
      </c>
      <c r="E2220" s="2">
        <f ca="1">IFERROR(__xludf.DUMMYFUNCTION("""COMPUTED_VALUE"""),70.353)</f>
        <v>70.352999999999994</v>
      </c>
      <c r="F2220" s="2">
        <f ca="1">IFERROR(__xludf.DUMMYFUNCTION("""COMPUTED_VALUE"""),86.912)</f>
        <v>86.912000000000006</v>
      </c>
      <c r="G2220" s="2">
        <f ca="1">IFERROR(__xludf.DUMMYFUNCTION("""COMPUTED_VALUE"""),0.57607)</f>
        <v>0.57606999999999997</v>
      </c>
      <c r="H2220" s="2">
        <f ca="1">IFERROR(__xludf.DUMMYFUNCTION("""COMPUTED_VALUE"""),50.012)</f>
        <v>50.012</v>
      </c>
      <c r="I2220" s="2">
        <f ca="1">IFERROR(__xludf.DUMMYFUNCTION("""COMPUTED_VALUE"""),49.137)</f>
        <v>49.137</v>
      </c>
      <c r="J2220" s="2">
        <f ca="1">IFERROR(__xludf.DUMMYFUNCTION("""COMPUTED_VALUE"""),47.065)</f>
        <v>47.064999999999998</v>
      </c>
      <c r="K2220" s="2">
        <f ca="1">IFERROR(__xludf.DUMMYFUNCTION("""COMPUTED_VALUE"""),66.452)</f>
        <v>66.451999999999998</v>
      </c>
      <c r="M2220" s="2">
        <f ca="1">IFERROR(__xludf.DUMMYFUNCTION("""COMPUTED_VALUE"""),18.157)</f>
        <v>18.157</v>
      </c>
      <c r="U2220" s="3" t="e">
        <f ca="1"/>
        <v>#NAME?</v>
      </c>
    </row>
    <row r="2221" spans="3:21" ht="12.5" x14ac:dyDescent="0.25">
      <c r="C2221" s="4">
        <f ca="1">IFERROR(__xludf.DUMMYFUNCTION("""COMPUTED_VALUE"""),42625.9986111111)</f>
        <v>42625.998611111099</v>
      </c>
      <c r="D2221" s="2">
        <f ca="1">IFERROR(__xludf.DUMMYFUNCTION("""COMPUTED_VALUE"""),66.723)</f>
        <v>66.722999999999999</v>
      </c>
      <c r="E2221" s="2">
        <f ca="1">IFERROR(__xludf.DUMMYFUNCTION("""COMPUTED_VALUE"""),70.266)</f>
        <v>70.266000000000005</v>
      </c>
      <c r="F2221" s="2">
        <f ca="1">IFERROR(__xludf.DUMMYFUNCTION("""COMPUTED_VALUE"""),86.444)</f>
        <v>86.444000000000003</v>
      </c>
      <c r="G2221" s="2">
        <f ca="1">IFERROR(__xludf.DUMMYFUNCTION("""COMPUTED_VALUE"""),0.57586)</f>
        <v>0.57586000000000004</v>
      </c>
      <c r="H2221" s="2">
        <f ca="1">IFERROR(__xludf.DUMMYFUNCTION("""COMPUTED_VALUE"""),49.71)</f>
        <v>49.71</v>
      </c>
      <c r="I2221" s="2">
        <f ca="1">IFERROR(__xludf.DUMMYFUNCTION("""COMPUTED_VALUE"""),48.779)</f>
        <v>48.779000000000003</v>
      </c>
      <c r="J2221" s="2">
        <f ca="1">IFERROR(__xludf.DUMMYFUNCTION("""COMPUTED_VALUE"""),46.699)</f>
        <v>46.698999999999998</v>
      </c>
      <c r="K2221" s="2">
        <f ca="1">IFERROR(__xludf.DUMMYFUNCTION("""COMPUTED_VALUE"""),66.489)</f>
        <v>66.489000000000004</v>
      </c>
      <c r="M2221" s="2">
        <f ca="1">IFERROR(__xludf.DUMMYFUNCTION("""COMPUTED_VALUE"""),18.159)</f>
        <v>18.158999999999999</v>
      </c>
      <c r="U2221" s="3" t="e">
        <f ca="1"/>
        <v>#NAME?</v>
      </c>
    </row>
    <row r="2222" spans="3:21" ht="12.5" x14ac:dyDescent="0.25">
      <c r="C2222" s="4">
        <f ca="1">IFERROR(__xludf.DUMMYFUNCTION("""COMPUTED_VALUE"""),42626.9986111111)</f>
        <v>42626.998611111099</v>
      </c>
      <c r="D2222" s="2">
        <f ca="1">IFERROR(__xludf.DUMMYFUNCTION("""COMPUTED_VALUE"""),66.995)</f>
        <v>66.995000000000005</v>
      </c>
      <c r="E2222" s="2">
        <f ca="1">IFERROR(__xludf.DUMMYFUNCTION("""COMPUTED_VALUE"""),69.2586)</f>
        <v>69.258600000000001</v>
      </c>
      <c r="F2222" s="2">
        <f ca="1">IFERROR(__xludf.DUMMYFUNCTION("""COMPUTED_VALUE"""),86.428)</f>
        <v>86.427999999999997</v>
      </c>
      <c r="G2222" s="2">
        <f ca="1">IFERROR(__xludf.DUMMYFUNCTION("""COMPUTED_VALUE"""),0.57587)</f>
        <v>0.57586999999999999</v>
      </c>
      <c r="H2222" s="2">
        <f ca="1">IFERROR(__xludf.DUMMYFUNCTION("""COMPUTED_VALUE"""),50.513)</f>
        <v>50.512999999999998</v>
      </c>
      <c r="I2222" s="2">
        <f ca="1">IFERROR(__xludf.DUMMYFUNCTION("""COMPUTED_VALUE"""),49.303)</f>
        <v>49.302999999999997</v>
      </c>
      <c r="J2222" s="2">
        <f ca="1">IFERROR(__xludf.DUMMYFUNCTION("""COMPUTED_VALUE"""),46.427)</f>
        <v>46.427</v>
      </c>
      <c r="K2222" s="2">
        <f ca="1">IFERROR(__xludf.DUMMYFUNCTION("""COMPUTED_VALUE"""),67.007)</f>
        <v>67.007000000000005</v>
      </c>
      <c r="M2222" s="2">
        <f ca="1">IFERROR(__xludf.DUMMYFUNCTION("""COMPUTED_VALUE"""),18.181)</f>
        <v>18.181000000000001</v>
      </c>
      <c r="U2222" s="3" t="e">
        <f ca="1"/>
        <v>#NAME?</v>
      </c>
    </row>
    <row r="2223" spans="3:21" ht="12.5" x14ac:dyDescent="0.25">
      <c r="C2223" s="4">
        <f ca="1">IFERROR(__xludf.DUMMYFUNCTION("""COMPUTED_VALUE"""),42627.9986111111)</f>
        <v>42627.998611111099</v>
      </c>
      <c r="D2223" s="2">
        <f ca="1">IFERROR(__xludf.DUMMYFUNCTION("""COMPUTED_VALUE"""),66.7581)</f>
        <v>66.758099999999999</v>
      </c>
      <c r="E2223" s="2">
        <f ca="1">IFERROR(__xludf.DUMMYFUNCTION("""COMPUTED_VALUE"""),70.078)</f>
        <v>70.078000000000003</v>
      </c>
      <c r="F2223" s="2">
        <f ca="1">IFERROR(__xludf.DUMMYFUNCTION("""COMPUTED_VALUE"""),86.311)</f>
        <v>86.311000000000007</v>
      </c>
      <c r="G2223" s="2">
        <f ca="1">IFERROR(__xludf.DUMMYFUNCTION("""COMPUTED_VALUE"""),0.57587)</f>
        <v>0.57586999999999999</v>
      </c>
      <c r="H2223" s="2">
        <f ca="1">IFERROR(__xludf.DUMMYFUNCTION("""COMPUTED_VALUE"""),50.088)</f>
        <v>50.088000000000001</v>
      </c>
      <c r="I2223" s="2">
        <f ca="1">IFERROR(__xludf.DUMMYFUNCTION("""COMPUTED_VALUE"""),49.019)</f>
        <v>49.018999999999998</v>
      </c>
      <c r="J2223" s="2">
        <f ca="1">IFERROR(__xludf.DUMMYFUNCTION("""COMPUTED_VALUE"""),46.765)</f>
        <v>46.765000000000001</v>
      </c>
      <c r="K2223" s="2">
        <f ca="1">IFERROR(__xludf.DUMMYFUNCTION("""COMPUTED_VALUE"""),66.846)</f>
        <v>66.846000000000004</v>
      </c>
      <c r="M2223" s="2">
        <f ca="1">IFERROR(__xludf.DUMMYFUNCTION("""COMPUTED_VALUE"""),18.167)</f>
        <v>18.167000000000002</v>
      </c>
      <c r="U2223" s="3" t="e">
        <f ca="1"/>
        <v>#NAME?</v>
      </c>
    </row>
    <row r="2224" spans="3:21" ht="12.5" x14ac:dyDescent="0.25">
      <c r="C2224" s="4">
        <f ca="1">IFERROR(__xludf.DUMMYFUNCTION("""COMPUTED_VALUE"""),42628.9986111111)</f>
        <v>42628.998611111099</v>
      </c>
      <c r="D2224" s="2">
        <f ca="1">IFERROR(__xludf.DUMMYFUNCTION("""COMPUTED_VALUE"""),66.8503)</f>
        <v>66.850300000000004</v>
      </c>
      <c r="E2224" s="2">
        <f ca="1">IFERROR(__xludf.DUMMYFUNCTION("""COMPUTED_VALUE"""),70.571)</f>
        <v>70.570999999999998</v>
      </c>
      <c r="F2224" s="2">
        <f ca="1">IFERROR(__xludf.DUMMYFUNCTION("""COMPUTED_VALUE"""),86.175)</f>
        <v>86.174999999999997</v>
      </c>
      <c r="G2224" s="2">
        <f ca="1">IFERROR(__xludf.DUMMYFUNCTION("""COMPUTED_VALUE"""),0.57394)</f>
        <v>0.57394000000000001</v>
      </c>
      <c r="H2224" s="2">
        <f ca="1">IFERROR(__xludf.DUMMYFUNCTION("""COMPUTED_VALUE"""),50.399)</f>
        <v>50.399000000000001</v>
      </c>
      <c r="I2224" s="2">
        <f ca="1">IFERROR(__xludf.DUMMYFUNCTION("""COMPUTED_VALUE"""),49.01)</f>
        <v>49.01</v>
      </c>
      <c r="J2224" s="2">
        <f ca="1">IFERROR(__xludf.DUMMYFUNCTION("""COMPUTED_VALUE"""),46.601)</f>
        <v>46.600999999999999</v>
      </c>
      <c r="K2224" s="2">
        <f ca="1">IFERROR(__xludf.DUMMYFUNCTION("""COMPUTED_VALUE"""),67.083)</f>
        <v>67.082999999999998</v>
      </c>
      <c r="M2224" s="2">
        <f ca="1">IFERROR(__xludf.DUMMYFUNCTION("""COMPUTED_VALUE"""),18.14)</f>
        <v>18.14</v>
      </c>
      <c r="U2224" s="3" t="e">
        <f ca="1"/>
        <v>#NAME?</v>
      </c>
    </row>
    <row r="2225" spans="3:21" ht="12.5" x14ac:dyDescent="0.25">
      <c r="C2225" s="4">
        <f ca="1">IFERROR(__xludf.DUMMYFUNCTION("""COMPUTED_VALUE"""),42629.9986111111)</f>
        <v>42629.998611111099</v>
      </c>
      <c r="D2225" s="2">
        <f ca="1">IFERROR(__xludf.DUMMYFUNCTION("""COMPUTED_VALUE"""),67.068)</f>
        <v>67.067999999999998</v>
      </c>
      <c r="E2225" s="2">
        <f ca="1">IFERROR(__xludf.DUMMYFUNCTION("""COMPUTED_VALUE"""),70.553)</f>
        <v>70.552999999999997</v>
      </c>
      <c r="F2225" s="2">
        <f ca="1">IFERROR(__xludf.DUMMYFUNCTION("""COMPUTED_VALUE"""),87.225)</f>
        <v>87.224999999999994</v>
      </c>
      <c r="G2225" s="2">
        <f ca="1">IFERROR(__xludf.DUMMYFUNCTION("""COMPUTED_VALUE"""),0.57236)</f>
        <v>0.57235999999999998</v>
      </c>
      <c r="H2225" s="2">
        <f ca="1">IFERROR(__xludf.DUMMYFUNCTION("""COMPUTED_VALUE"""),50.448)</f>
        <v>50.448</v>
      </c>
      <c r="I2225" s="2">
        <f ca="1">IFERROR(__xludf.DUMMYFUNCTION("""COMPUTED_VALUE"""),48.932)</f>
        <v>48.932000000000002</v>
      </c>
      <c r="J2225" s="2">
        <f ca="1">IFERROR(__xludf.DUMMYFUNCTION("""COMPUTED_VALUE"""),46.631)</f>
        <v>46.631</v>
      </c>
      <c r="K2225" s="2">
        <f ca="1">IFERROR(__xludf.DUMMYFUNCTION("""COMPUTED_VALUE"""),67.12)</f>
        <v>67.12</v>
      </c>
      <c r="M2225" s="2">
        <f ca="1">IFERROR(__xludf.DUMMYFUNCTION("""COMPUTED_VALUE"""),18.195)</f>
        <v>18.195</v>
      </c>
      <c r="U2225" s="3" t="e">
        <f ca="1"/>
        <v>#NAME?</v>
      </c>
    </row>
    <row r="2226" spans="3:21" ht="12.5" x14ac:dyDescent="0.25">
      <c r="C2226" s="4">
        <f ca="1">IFERROR(__xludf.DUMMYFUNCTION("""COMPUTED_VALUE"""),42630.9986111111)</f>
        <v>42630.998611111099</v>
      </c>
      <c r="D2226" s="2">
        <f ca="1">IFERROR(__xludf.DUMMYFUNCTION("""COMPUTED_VALUE"""),67.068)</f>
        <v>67.067999999999998</v>
      </c>
      <c r="E2226" s="2">
        <f ca="1">IFERROR(__xludf.DUMMYFUNCTION("""COMPUTED_VALUE"""),70.503)</f>
        <v>70.503</v>
      </c>
      <c r="F2226" s="2">
        <f ca="1">IFERROR(__xludf.DUMMYFUNCTION("""COMPUTED_VALUE"""),87.276)</f>
        <v>87.275999999999996</v>
      </c>
      <c r="G2226" s="2">
        <f ca="1">IFERROR(__xludf.DUMMYFUNCTION("""COMPUTED_VALUE"""),0.56824)</f>
        <v>0.56823999999999997</v>
      </c>
      <c r="H2226" s="2">
        <f ca="1">IFERROR(__xludf.DUMMYFUNCTION("""COMPUTED_VALUE"""),50.1)</f>
        <v>50.1</v>
      </c>
      <c r="I2226" s="2">
        <f ca="1">IFERROR(__xludf.DUMMYFUNCTION("""COMPUTED_VALUE"""),48.856)</f>
        <v>48.856000000000002</v>
      </c>
      <c r="J2226" s="2">
        <f ca="1">IFERROR(__xludf.DUMMYFUNCTION("""COMPUTED_VALUE"""),46.714)</f>
        <v>46.713999999999999</v>
      </c>
      <c r="K2226" s="2">
        <f ca="1">IFERROR(__xludf.DUMMYFUNCTION("""COMPUTED_VALUE"""),67.351)</f>
        <v>67.350999999999999</v>
      </c>
      <c r="M2226" s="2">
        <f ca="1">IFERROR(__xludf.DUMMYFUNCTION("""COMPUTED_VALUE"""),18.215)</f>
        <v>18.215</v>
      </c>
      <c r="U2226" s="3" t="e">
        <f ca="1"/>
        <v>#NAME?</v>
      </c>
    </row>
    <row r="2227" spans="3:21" ht="12.5" x14ac:dyDescent="0.25">
      <c r="C2227" s="4">
        <f ca="1">IFERROR(__xludf.DUMMYFUNCTION("""COMPUTED_VALUE"""),42631.9986111111)</f>
        <v>42631.998611111099</v>
      </c>
      <c r="D2227" s="2">
        <f ca="1">IFERROR(__xludf.DUMMYFUNCTION("""COMPUTED_VALUE"""),67.0653)</f>
        <v>67.065299999999993</v>
      </c>
      <c r="E2227" s="2">
        <f ca="1">IFERROR(__xludf.DUMMYFUNCTION("""COMPUTED_VALUE"""),70.579)</f>
        <v>70.578999999999994</v>
      </c>
      <c r="F2227" s="2">
        <f ca="1">IFERROR(__xludf.DUMMYFUNCTION("""COMPUTED_VALUE"""),87.956)</f>
        <v>87.956000000000003</v>
      </c>
      <c r="G2227" s="2">
        <f ca="1">IFERROR(__xludf.DUMMYFUNCTION("""COMPUTED_VALUE"""),0.57003)</f>
        <v>0.57003000000000004</v>
      </c>
      <c r="H2227" s="2">
        <f ca="1">IFERROR(__xludf.DUMMYFUNCTION("""COMPUTED_VALUE"""),50.139)</f>
        <v>50.139000000000003</v>
      </c>
      <c r="I2227" s="2">
        <f ca="1">IFERROR(__xludf.DUMMYFUNCTION("""COMPUTED_VALUE"""),49.04)</f>
        <v>49.04</v>
      </c>
      <c r="J2227" s="2">
        <f ca="1">IFERROR(__xludf.DUMMYFUNCTION("""COMPUTED_VALUE"""),46.61)</f>
        <v>46.61</v>
      </c>
      <c r="K2227" s="2">
        <f ca="1">IFERROR(__xludf.DUMMYFUNCTION("""COMPUTED_VALUE"""),67.356)</f>
        <v>67.355999999999995</v>
      </c>
      <c r="M2227" s="2">
        <f ca="1">IFERROR(__xludf.DUMMYFUNCTION("""COMPUTED_VALUE"""),18.215)</f>
        <v>18.215</v>
      </c>
      <c r="U2227" s="3" t="e">
        <f ca="1"/>
        <v>#NAME?</v>
      </c>
    </row>
    <row r="2228" spans="3:21" ht="12.5" x14ac:dyDescent="0.25">
      <c r="C2228" s="4">
        <f ca="1">IFERROR(__xludf.DUMMYFUNCTION("""COMPUTED_VALUE"""),42632.9986111111)</f>
        <v>42632.998611111099</v>
      </c>
      <c r="D2228" s="2">
        <f ca="1">IFERROR(__xludf.DUMMYFUNCTION("""COMPUTED_VALUE"""),66.9552)</f>
        <v>66.955200000000005</v>
      </c>
      <c r="E2228" s="2">
        <f ca="1">IFERROR(__xludf.DUMMYFUNCTION("""COMPUTED_VALUE"""),70.508)</f>
        <v>70.507999999999996</v>
      </c>
      <c r="F2228" s="2">
        <f ca="1">IFERROR(__xludf.DUMMYFUNCTION("""COMPUTED_VALUE"""),87.758)</f>
        <v>87.757999999999996</v>
      </c>
      <c r="G2228" s="2">
        <f ca="1">IFERROR(__xludf.DUMMYFUNCTION("""COMPUTED_VALUE"""),0.56996)</f>
        <v>0.56996000000000002</v>
      </c>
      <c r="H2228" s="2">
        <f ca="1">IFERROR(__xludf.DUMMYFUNCTION("""COMPUTED_VALUE"""),49.911)</f>
        <v>49.911000000000001</v>
      </c>
      <c r="I2228" s="2">
        <f ca="1">IFERROR(__xludf.DUMMYFUNCTION("""COMPUTED_VALUE"""),48.976)</f>
        <v>48.975999999999999</v>
      </c>
      <c r="J2228" s="2">
        <f ca="1">IFERROR(__xludf.DUMMYFUNCTION("""COMPUTED_VALUE"""),46.717)</f>
        <v>46.716999999999999</v>
      </c>
      <c r="K2228" s="2">
        <f ca="1">IFERROR(__xludf.DUMMYFUNCTION("""COMPUTED_VALUE"""),67.515)</f>
        <v>67.515000000000001</v>
      </c>
      <c r="M2228" s="2">
        <f ca="1">IFERROR(__xludf.DUMMYFUNCTION("""COMPUTED_VALUE"""),18.193)</f>
        <v>18.193000000000001</v>
      </c>
      <c r="U2228" s="3" t="e">
        <f ca="1"/>
        <v>#NAME?</v>
      </c>
    </row>
    <row r="2229" spans="3:21" ht="12.5" x14ac:dyDescent="0.25">
      <c r="C2229" s="4">
        <f ca="1">IFERROR(__xludf.DUMMYFUNCTION("""COMPUTED_VALUE"""),42633.9986111111)</f>
        <v>42633.998611111099</v>
      </c>
      <c r="D2229" s="2">
        <f ca="1">IFERROR(__xludf.DUMMYFUNCTION("""COMPUTED_VALUE"""),66.975)</f>
        <v>66.974999999999994</v>
      </c>
      <c r="E2229" s="2">
        <f ca="1">IFERROR(__xludf.DUMMYFUNCTION("""COMPUTED_VALUE"""),70.279)</f>
        <v>70.278999999999996</v>
      </c>
      <c r="F2229" s="2">
        <f ca="1">IFERROR(__xludf.DUMMYFUNCTION("""COMPUTED_VALUE"""),87.736)</f>
        <v>87.736000000000004</v>
      </c>
      <c r="G2229" s="2">
        <f ca="1">IFERROR(__xludf.DUMMYFUNCTION("""COMPUTED_VALUE"""),0.56771)</f>
        <v>0.56771000000000005</v>
      </c>
      <c r="H2229" s="2">
        <f ca="1">IFERROR(__xludf.DUMMYFUNCTION("""COMPUTED_VALUE"""),49.816)</f>
        <v>49.816000000000003</v>
      </c>
      <c r="I2229" s="2">
        <f ca="1">IFERROR(__xludf.DUMMYFUNCTION("""COMPUTED_VALUE"""),48.833)</f>
        <v>48.832999999999998</v>
      </c>
      <c r="J2229" s="2">
        <f ca="1">IFERROR(__xludf.DUMMYFUNCTION("""COMPUTED_VALUE"""),46.711)</f>
        <v>46.710999999999999</v>
      </c>
      <c r="K2229" s="2">
        <f ca="1">IFERROR(__xludf.DUMMYFUNCTION("""COMPUTED_VALUE"""),67.268)</f>
        <v>67.268000000000001</v>
      </c>
      <c r="M2229" s="2">
        <f ca="1">IFERROR(__xludf.DUMMYFUNCTION("""COMPUTED_VALUE"""),18.181)</f>
        <v>18.181000000000001</v>
      </c>
      <c r="U2229" s="3" t="e">
        <f ca="1"/>
        <v>#NAME?</v>
      </c>
    </row>
    <row r="2230" spans="3:21" ht="12.5" x14ac:dyDescent="0.25">
      <c r="C2230" s="4">
        <f ca="1">IFERROR(__xludf.DUMMYFUNCTION("""COMPUTED_VALUE"""),42634.9986111111)</f>
        <v>42634.998611111099</v>
      </c>
      <c r="D2230" s="2">
        <f ca="1">IFERROR(__xludf.DUMMYFUNCTION("""COMPUTED_VALUE"""),66.7612)</f>
        <v>66.761200000000002</v>
      </c>
      <c r="E2230" s="2">
        <f ca="1">IFERROR(__xludf.DUMMYFUNCTION("""COMPUTED_VALUE"""),69.712)</f>
        <v>69.712000000000003</v>
      </c>
      <c r="F2230" s="2">
        <f ca="1">IFERROR(__xludf.DUMMYFUNCTION("""COMPUTED_VALUE"""),88.284)</f>
        <v>88.284000000000006</v>
      </c>
      <c r="G2230" s="2">
        <f ca="1">IFERROR(__xludf.DUMMYFUNCTION("""COMPUTED_VALUE"""),0.56821)</f>
        <v>0.56820999999999999</v>
      </c>
      <c r="H2230" s="2">
        <f ca="1">IFERROR(__xludf.DUMMYFUNCTION("""COMPUTED_VALUE"""),49.533)</f>
        <v>49.533000000000001</v>
      </c>
      <c r="I2230" s="2">
        <f ca="1">IFERROR(__xludf.DUMMYFUNCTION("""COMPUTED_VALUE"""),48.502)</f>
        <v>48.502000000000002</v>
      </c>
      <c r="J2230" s="2">
        <f ca="1">IFERROR(__xludf.DUMMYFUNCTION("""COMPUTED_VALUE"""),46.702)</f>
        <v>46.701999999999998</v>
      </c>
      <c r="K2230" s="2">
        <f ca="1">IFERROR(__xludf.DUMMYFUNCTION("""COMPUTED_VALUE"""),67.623)</f>
        <v>67.623000000000005</v>
      </c>
      <c r="M2230" s="2">
        <f ca="1">IFERROR(__xludf.DUMMYFUNCTION("""COMPUTED_VALUE"""),18.202)</f>
        <v>18.202000000000002</v>
      </c>
      <c r="U2230" s="3" t="e">
        <f ca="1"/>
        <v>#NAME?</v>
      </c>
    </row>
    <row r="2231" spans="3:21" ht="12.5" x14ac:dyDescent="0.25">
      <c r="C2231" s="4">
        <f ca="1">IFERROR(__xludf.DUMMYFUNCTION("""COMPUTED_VALUE"""),42635.9986111111)</f>
        <v>42635.998611111099</v>
      </c>
      <c r="D2231" s="2">
        <f ca="1">IFERROR(__xludf.DUMMYFUNCTION("""COMPUTED_VALUE"""),66.6226)</f>
        <v>66.622600000000006</v>
      </c>
      <c r="E2231" s="2">
        <f ca="1">IFERROR(__xludf.DUMMYFUNCTION("""COMPUTED_VALUE"""),69.236)</f>
        <v>69.236000000000004</v>
      </c>
      <c r="F2231" s="2">
        <f ca="1">IFERROR(__xludf.DUMMYFUNCTION("""COMPUTED_VALUE"""),88.562)</f>
        <v>88.561999999999998</v>
      </c>
      <c r="G2231" s="2">
        <f ca="1">IFERROR(__xludf.DUMMYFUNCTION("""COMPUTED_VALUE"""),0.56383)</f>
        <v>0.56383000000000005</v>
      </c>
      <c r="H2231" s="2">
        <f ca="1">IFERROR(__xludf.DUMMYFUNCTION("""COMPUTED_VALUE"""),49.715)</f>
        <v>49.715000000000003</v>
      </c>
      <c r="I2231" s="2">
        <f ca="1">IFERROR(__xludf.DUMMYFUNCTION("""COMPUTED_VALUE"""),48.566)</f>
        <v>48.566000000000003</v>
      </c>
      <c r="J2231" s="2">
        <f ca="1">IFERROR(__xludf.DUMMYFUNCTION("""COMPUTED_VALUE"""),46.563)</f>
        <v>46.563000000000002</v>
      </c>
      <c r="K2231" s="2">
        <f ca="1">IFERROR(__xludf.DUMMYFUNCTION("""COMPUTED_VALUE"""),67.584)</f>
        <v>67.584000000000003</v>
      </c>
      <c r="M2231" s="2">
        <f ca="1">IFERROR(__xludf.DUMMYFUNCTION("""COMPUTED_VALUE"""),18.213)</f>
        <v>18.213000000000001</v>
      </c>
      <c r="U2231" s="3" t="e">
        <f ca="1"/>
        <v>#NAME?</v>
      </c>
    </row>
    <row r="2232" spans="3:21" ht="12.5" x14ac:dyDescent="0.25">
      <c r="C2232" s="4">
        <f ca="1">IFERROR(__xludf.DUMMYFUNCTION("""COMPUTED_VALUE"""),42636.9986111111)</f>
        <v>42636.998611111099</v>
      </c>
      <c r="D2232" s="2">
        <f ca="1">IFERROR(__xludf.DUMMYFUNCTION("""COMPUTED_VALUE"""),66.7)</f>
        <v>66.7</v>
      </c>
      <c r="E2232" s="2">
        <f ca="1">IFERROR(__xludf.DUMMYFUNCTION("""COMPUTED_VALUE"""),69.022)</f>
        <v>69.022000000000006</v>
      </c>
      <c r="F2232" s="2">
        <f ca="1">IFERROR(__xludf.DUMMYFUNCTION("""COMPUTED_VALUE"""),88.883)</f>
        <v>88.882999999999996</v>
      </c>
      <c r="G2232" s="2">
        <f ca="1">IFERROR(__xludf.DUMMYFUNCTION("""COMPUTED_VALUE"""),0.5652)</f>
        <v>0.56520000000000004</v>
      </c>
      <c r="H2232" s="2">
        <f ca="1">IFERROR(__xludf.DUMMYFUNCTION("""COMPUTED_VALUE"""),49.694)</f>
        <v>49.694000000000003</v>
      </c>
      <c r="I2232" s="2">
        <f ca="1">IFERROR(__xludf.DUMMYFUNCTION("""COMPUTED_VALUE"""),48.598)</f>
        <v>48.597999999999999</v>
      </c>
      <c r="J2232" s="2">
        <f ca="1">IFERROR(__xludf.DUMMYFUNCTION("""COMPUTED_VALUE"""),46.491)</f>
        <v>46.491</v>
      </c>
      <c r="K2232" s="2">
        <f ca="1">IFERROR(__xludf.DUMMYFUNCTION("""COMPUTED_VALUE"""),67.591)</f>
        <v>67.590999999999994</v>
      </c>
      <c r="M2232" s="2">
        <f ca="1">IFERROR(__xludf.DUMMYFUNCTION("""COMPUTED_VALUE"""),18.193)</f>
        <v>18.193000000000001</v>
      </c>
      <c r="U2232" s="3" t="e">
        <f ca="1"/>
        <v>#NAME?</v>
      </c>
    </row>
    <row r="2233" spans="3:21" ht="12.5" x14ac:dyDescent="0.25">
      <c r="C2233" s="4">
        <f ca="1">IFERROR(__xludf.DUMMYFUNCTION("""COMPUTED_VALUE"""),42637.9986111111)</f>
        <v>42637.998611111099</v>
      </c>
      <c r="D2233" s="2">
        <f ca="1">IFERROR(__xludf.DUMMYFUNCTION("""COMPUTED_VALUE"""),66.6965)</f>
        <v>66.6965</v>
      </c>
      <c r="E2233" s="2">
        <f ca="1">IFERROR(__xludf.DUMMYFUNCTION("""COMPUTED_VALUE"""),69.256)</f>
        <v>69.256</v>
      </c>
      <c r="F2233" s="2">
        <f ca="1">IFERROR(__xludf.DUMMYFUNCTION("""COMPUTED_VALUE"""),88.386)</f>
        <v>88.385999999999996</v>
      </c>
      <c r="G2233" s="2">
        <f ca="1">IFERROR(__xludf.DUMMYFUNCTION("""COMPUTED_VALUE"""),0.56616)</f>
        <v>0.56616</v>
      </c>
      <c r="H2233" s="2">
        <f ca="1">IFERROR(__xludf.DUMMYFUNCTION("""COMPUTED_VALUE"""),49.578)</f>
        <v>49.578000000000003</v>
      </c>
      <c r="I2233" s="2">
        <f ca="1">IFERROR(__xludf.DUMMYFUNCTION("""COMPUTED_VALUE"""),48.592)</f>
        <v>48.591999999999999</v>
      </c>
      <c r="J2233" s="2">
        <f ca="1">IFERROR(__xludf.DUMMYFUNCTION("""COMPUTED_VALUE"""),46.457)</f>
        <v>46.457000000000001</v>
      </c>
      <c r="K2233" s="2">
        <f ca="1">IFERROR(__xludf.DUMMYFUNCTION("""COMPUTED_VALUE"""),67.884)</f>
        <v>67.884</v>
      </c>
      <c r="M2233" s="2">
        <f ca="1">IFERROR(__xludf.DUMMYFUNCTION("""COMPUTED_VALUE"""),18.148)</f>
        <v>18.148</v>
      </c>
      <c r="U2233" s="3" t="e">
        <f ca="1"/>
        <v>#NAME?</v>
      </c>
    </row>
    <row r="2234" spans="3:21" ht="12.5" x14ac:dyDescent="0.25">
      <c r="C2234" s="4">
        <f ca="1">IFERROR(__xludf.DUMMYFUNCTION("""COMPUTED_VALUE"""),42638.9986111111)</f>
        <v>42638.998611111099</v>
      </c>
      <c r="D2234" s="2">
        <f ca="1">IFERROR(__xludf.DUMMYFUNCTION("""COMPUTED_VALUE"""),66.6965)</f>
        <v>66.6965</v>
      </c>
      <c r="E2234" s="2">
        <f ca="1">IFERROR(__xludf.DUMMYFUNCTION("""COMPUTED_VALUE"""),69.425)</f>
        <v>69.424999999999997</v>
      </c>
      <c r="F2234" s="2">
        <f ca="1">IFERROR(__xludf.DUMMYFUNCTION("""COMPUTED_VALUE"""),88.161)</f>
        <v>88.161000000000001</v>
      </c>
      <c r="G2234" s="2">
        <f ca="1">IFERROR(__xludf.DUMMYFUNCTION("""COMPUTED_VALUE"""),0.56313)</f>
        <v>0.56313000000000002</v>
      </c>
      <c r="H2234" s="2">
        <f ca="1">IFERROR(__xludf.DUMMYFUNCTION("""COMPUTED_VALUE"""),49.414)</f>
        <v>49.414000000000001</v>
      </c>
      <c r="I2234" s="2">
        <f ca="1">IFERROR(__xludf.DUMMYFUNCTION("""COMPUTED_VALUE"""),48.655)</f>
        <v>48.655000000000001</v>
      </c>
      <c r="J2234" s="2">
        <f ca="1">IFERROR(__xludf.DUMMYFUNCTION("""COMPUTED_VALUE"""),46.358)</f>
        <v>46.357999999999997</v>
      </c>
      <c r="K2234" s="2">
        <f ca="1">IFERROR(__xludf.DUMMYFUNCTION("""COMPUTED_VALUE"""),66.729)</f>
        <v>66.728999999999999</v>
      </c>
      <c r="M2234" s="2">
        <f ca="1">IFERROR(__xludf.DUMMYFUNCTION("""COMPUTED_VALUE"""),18.151)</f>
        <v>18.151</v>
      </c>
      <c r="U2234" s="3" t="e">
        <f ca="1"/>
        <v>#NAME?</v>
      </c>
    </row>
    <row r="2235" spans="3:21" ht="12.5" x14ac:dyDescent="0.25">
      <c r="C2235" s="4">
        <f ca="1">IFERROR(__xludf.DUMMYFUNCTION("""COMPUTED_VALUE"""),42639.9986111111)</f>
        <v>42639.998611111099</v>
      </c>
      <c r="D2235" s="2">
        <f ca="1">IFERROR(__xludf.DUMMYFUNCTION("""COMPUTED_VALUE"""),66.6065)</f>
        <v>66.606499999999997</v>
      </c>
      <c r="E2235" s="2">
        <f ca="1">IFERROR(__xludf.DUMMYFUNCTION("""COMPUTED_VALUE"""),69.155)</f>
        <v>69.155000000000001</v>
      </c>
      <c r="F2235" s="2">
        <f ca="1">IFERROR(__xludf.DUMMYFUNCTION("""COMPUTED_VALUE"""),88.161)</f>
        <v>88.161000000000001</v>
      </c>
      <c r="G2235" s="2">
        <f ca="1">IFERROR(__xludf.DUMMYFUNCTION("""COMPUTED_VALUE"""),0.56779)</f>
        <v>0.56779000000000002</v>
      </c>
      <c r="H2235" s="2">
        <f ca="1">IFERROR(__xludf.DUMMYFUNCTION("""COMPUTED_VALUE"""),49.366)</f>
        <v>49.366</v>
      </c>
      <c r="I2235" s="2">
        <f ca="1">IFERROR(__xludf.DUMMYFUNCTION("""COMPUTED_VALUE"""),48.499)</f>
        <v>48.499000000000002</v>
      </c>
      <c r="J2235" s="2">
        <f ca="1">IFERROR(__xludf.DUMMYFUNCTION("""COMPUTED_VALUE"""),46.369)</f>
        <v>46.369</v>
      </c>
      <c r="K2235" s="2">
        <f ca="1">IFERROR(__xludf.DUMMYFUNCTION("""COMPUTED_VALUE"""),68.156)</f>
        <v>68.156000000000006</v>
      </c>
      <c r="M2235" s="2">
        <f ca="1">IFERROR(__xludf.DUMMYFUNCTION("""COMPUTED_VALUE"""),18.178)</f>
        <v>18.178000000000001</v>
      </c>
      <c r="U2235" s="3" t="e">
        <f ca="1"/>
        <v>#NAME?</v>
      </c>
    </row>
    <row r="2236" spans="3:21" ht="12.5" x14ac:dyDescent="0.25">
      <c r="C2236" s="4">
        <f ca="1">IFERROR(__xludf.DUMMYFUNCTION("""COMPUTED_VALUE"""),42640.9986111111)</f>
        <v>42640.998611111099</v>
      </c>
      <c r="D2236" s="2">
        <f ca="1">IFERROR(__xludf.DUMMYFUNCTION("""COMPUTED_VALUE"""),66.4413)</f>
        <v>66.441299999999998</v>
      </c>
      <c r="E2236" s="2">
        <f ca="1">IFERROR(__xludf.DUMMYFUNCTION("""COMPUTED_VALUE"""),68.683)</f>
        <v>68.683000000000007</v>
      </c>
      <c r="F2236" s="2">
        <f ca="1">IFERROR(__xludf.DUMMYFUNCTION("""COMPUTED_VALUE"""),88.197)</f>
        <v>88.197000000000003</v>
      </c>
      <c r="G2236" s="2">
        <f ca="1">IFERROR(__xludf.DUMMYFUNCTION("""COMPUTED_VALUE"""),0.57635)</f>
        <v>0.57635000000000003</v>
      </c>
      <c r="H2236" s="2">
        <f ca="1">IFERROR(__xludf.DUMMYFUNCTION("""COMPUTED_VALUE"""),49.202)</f>
        <v>49.201999999999998</v>
      </c>
      <c r="I2236" s="2">
        <f ca="1">IFERROR(__xludf.DUMMYFUNCTION("""COMPUTED_VALUE"""),48.522)</f>
        <v>48.521999999999998</v>
      </c>
      <c r="J2236" s="2">
        <f ca="1">IFERROR(__xludf.DUMMYFUNCTION("""COMPUTED_VALUE"""),46.491)</f>
        <v>46.491</v>
      </c>
      <c r="K2236" s="2">
        <f ca="1">IFERROR(__xludf.DUMMYFUNCTION("""COMPUTED_VALUE"""),68.029)</f>
        <v>68.028999999999996</v>
      </c>
      <c r="M2236" s="2">
        <f ca="1">IFERROR(__xludf.DUMMYFUNCTION("""COMPUTED_VALUE"""),18.153)</f>
        <v>18.152999999999999</v>
      </c>
      <c r="U2236" s="3" t="e">
        <f ca="1"/>
        <v>#NAME?</v>
      </c>
    </row>
    <row r="2237" spans="3:21" ht="12.5" x14ac:dyDescent="0.25">
      <c r="C2237" s="4">
        <f ca="1">IFERROR(__xludf.DUMMYFUNCTION("""COMPUTED_VALUE"""),42641.9986111111)</f>
        <v>42641.998611111099</v>
      </c>
      <c r="D2237" s="2">
        <f ca="1">IFERROR(__xludf.DUMMYFUNCTION("""COMPUTED_VALUE"""),66.3328)</f>
        <v>66.332800000000006</v>
      </c>
      <c r="E2237" s="2">
        <f ca="1">IFERROR(__xludf.DUMMYFUNCTION("""COMPUTED_VALUE"""),67.992)</f>
        <v>67.992000000000004</v>
      </c>
      <c r="F2237" s="2">
        <f ca="1">IFERROR(__xludf.DUMMYFUNCTION("""COMPUTED_VALUE"""),87.929)</f>
        <v>87.929000000000002</v>
      </c>
      <c r="G2237" s="2">
        <f ca="1">IFERROR(__xludf.DUMMYFUNCTION("""COMPUTED_VALUE"""),0.58196)</f>
        <v>0.58196000000000003</v>
      </c>
      <c r="H2237" s="2">
        <f ca="1">IFERROR(__xludf.DUMMYFUNCTION("""COMPUTED_VALUE"""),49.036)</f>
        <v>49.036000000000001</v>
      </c>
      <c r="I2237" s="2">
        <f ca="1">IFERROR(__xludf.DUMMYFUNCTION("""COMPUTED_VALUE"""),48.233)</f>
        <v>48.232999999999997</v>
      </c>
      <c r="J2237" s="2">
        <f ca="1">IFERROR(__xludf.DUMMYFUNCTION("""COMPUTED_VALUE"""),46.489)</f>
        <v>46.488999999999997</v>
      </c>
      <c r="K2237" s="2">
        <f ca="1">IFERROR(__xludf.DUMMYFUNCTION("""COMPUTED_VALUE"""),67.964)</f>
        <v>67.963999999999999</v>
      </c>
      <c r="M2237" s="2">
        <f ca="1">IFERROR(__xludf.DUMMYFUNCTION("""COMPUTED_VALUE"""),18.181)</f>
        <v>18.181000000000001</v>
      </c>
      <c r="U2237" s="3" t="e">
        <f ca="1"/>
        <v>#NAME?</v>
      </c>
    </row>
    <row r="2238" spans="3:21" ht="12.5" x14ac:dyDescent="0.25">
      <c r="C2238" s="4">
        <f ca="1">IFERROR(__xludf.DUMMYFUNCTION("""COMPUTED_VALUE"""),42642.9986111111)</f>
        <v>42642.998611111099</v>
      </c>
      <c r="D2238" s="2">
        <f ca="1">IFERROR(__xludf.DUMMYFUNCTION("""COMPUTED_VALUE"""),66.8163)</f>
        <v>66.816299999999998</v>
      </c>
      <c r="E2238" s="2">
        <f ca="1">IFERROR(__xludf.DUMMYFUNCTION("""COMPUTED_VALUE"""),67.992)</f>
        <v>67.992000000000004</v>
      </c>
      <c r="F2238" s="2">
        <f ca="1">IFERROR(__xludf.DUMMYFUNCTION("""COMPUTED_VALUE"""),87.816)</f>
        <v>87.816000000000003</v>
      </c>
      <c r="G2238" s="2">
        <f ca="1">IFERROR(__xludf.DUMMYFUNCTION("""COMPUTED_VALUE"""),0.57972)</f>
        <v>0.57972000000000001</v>
      </c>
      <c r="H2238" s="2">
        <f ca="1">IFERROR(__xludf.DUMMYFUNCTION("""COMPUTED_VALUE"""),48.657)</f>
        <v>48.656999999999996</v>
      </c>
      <c r="I2238" s="2">
        <f ca="1">IFERROR(__xludf.DUMMYFUNCTION("""COMPUTED_VALUE"""),48.087)</f>
        <v>48.087000000000003</v>
      </c>
      <c r="J2238" s="2">
        <f ca="1">IFERROR(__xludf.DUMMYFUNCTION("""COMPUTED_VALUE"""),46.27)</f>
        <v>46.27</v>
      </c>
      <c r="K2238" s="2">
        <f ca="1">IFERROR(__xludf.DUMMYFUNCTION("""COMPUTED_VALUE"""),68.089)</f>
        <v>68.088999999999999</v>
      </c>
      <c r="M2238" s="2">
        <f ca="1">IFERROR(__xludf.DUMMYFUNCTION("""COMPUTED_VALUE"""),18.171)</f>
        <v>18.170999999999999</v>
      </c>
      <c r="U2238" s="3" t="e">
        <f ca="1"/>
        <v>#NAME?</v>
      </c>
    </row>
    <row r="2239" spans="3:21" ht="12.5" x14ac:dyDescent="0.25">
      <c r="C2239" s="4">
        <f ca="1">IFERROR(__xludf.DUMMYFUNCTION("""COMPUTED_VALUE"""),42643.9986111111)</f>
        <v>42643.998611111099</v>
      </c>
      <c r="D2239" s="2">
        <f ca="1">IFERROR(__xludf.DUMMYFUNCTION("""COMPUTED_VALUE"""),66.548)</f>
        <v>66.548000000000002</v>
      </c>
      <c r="E2239" s="2">
        <f ca="1">IFERROR(__xludf.DUMMYFUNCTION("""COMPUTED_VALUE"""),68.368)</f>
        <v>68.367999999999995</v>
      </c>
      <c r="F2239" s="2">
        <f ca="1">IFERROR(__xludf.DUMMYFUNCTION("""COMPUTED_VALUE"""),88.032)</f>
        <v>88.031999999999996</v>
      </c>
      <c r="G2239" s="2">
        <f ca="1">IFERROR(__xludf.DUMMYFUNCTION("""COMPUTED_VALUE"""),0.57951)</f>
        <v>0.57950999999999997</v>
      </c>
      <c r="H2239" s="2">
        <f ca="1">IFERROR(__xludf.DUMMYFUNCTION("""COMPUTED_VALUE"""),48.16)</f>
        <v>48.16</v>
      </c>
      <c r="I2239" s="2">
        <f ca="1">IFERROR(__xludf.DUMMYFUNCTION("""COMPUTED_VALUE"""),47.899)</f>
        <v>47.899000000000001</v>
      </c>
      <c r="J2239" s="2">
        <f ca="1">IFERROR(__xludf.DUMMYFUNCTION("""COMPUTED_VALUE"""),46.019)</f>
        <v>46.018999999999998</v>
      </c>
      <c r="K2239" s="2">
        <f ca="1">IFERROR(__xludf.DUMMYFUNCTION("""COMPUTED_VALUE"""),68.082)</f>
        <v>68.081999999999994</v>
      </c>
      <c r="M2239" s="2">
        <f ca="1">IFERROR(__xludf.DUMMYFUNCTION("""COMPUTED_VALUE"""),18.023)</f>
        <v>18.023</v>
      </c>
      <c r="U2239" s="3" t="e">
        <f ca="1"/>
        <v>#NAME?</v>
      </c>
    </row>
    <row r="2240" spans="3:21" ht="12.5" x14ac:dyDescent="0.25">
      <c r="C2240" s="4">
        <f ca="1">IFERROR(__xludf.DUMMYFUNCTION("""COMPUTED_VALUE"""),42644.9986111111)</f>
        <v>42644.998611111099</v>
      </c>
      <c r="D2240" s="2">
        <f ca="1">IFERROR(__xludf.DUMMYFUNCTION("""COMPUTED_VALUE"""),66.5465)</f>
        <v>66.546499999999995</v>
      </c>
      <c r="E2240" s="2">
        <f ca="1">IFERROR(__xludf.DUMMYFUNCTION("""COMPUTED_VALUE"""),68.419)</f>
        <v>68.418999999999997</v>
      </c>
      <c r="F2240" s="2">
        <f ca="1">IFERROR(__xludf.DUMMYFUNCTION("""COMPUTED_VALUE"""),88.667)</f>
        <v>88.667000000000002</v>
      </c>
      <c r="G2240" s="2">
        <f ca="1">IFERROR(__xludf.DUMMYFUNCTION("""COMPUTED_VALUE"""),0.58094)</f>
        <v>0.58094000000000001</v>
      </c>
      <c r="H2240" s="2">
        <f ca="1">IFERROR(__xludf.DUMMYFUNCTION("""COMPUTED_VALUE"""),48.17)</f>
        <v>48.17</v>
      </c>
      <c r="I2240" s="2">
        <f ca="1">IFERROR(__xludf.DUMMYFUNCTION("""COMPUTED_VALUE"""),47.926)</f>
        <v>47.926000000000002</v>
      </c>
      <c r="J2240" s="2">
        <f ca="1">IFERROR(__xludf.DUMMYFUNCTION("""COMPUTED_VALUE"""),45.69)</f>
        <v>45.69</v>
      </c>
      <c r="K2240" s="2">
        <f ca="1">IFERROR(__xludf.DUMMYFUNCTION("""COMPUTED_VALUE"""),67.141)</f>
        <v>67.141000000000005</v>
      </c>
      <c r="M2240" s="2">
        <f ca="1">IFERROR(__xludf.DUMMYFUNCTION("""COMPUTED_VALUE"""),18.115)</f>
        <v>18.114999999999998</v>
      </c>
      <c r="U2240" s="3" t="e">
        <f ca="1"/>
        <v>#NAME?</v>
      </c>
    </row>
    <row r="2241" spans="3:21" ht="12.5" x14ac:dyDescent="0.25">
      <c r="C2241" s="4">
        <f ca="1">IFERROR(__xludf.DUMMYFUNCTION("""COMPUTED_VALUE"""),42645.9986111111)</f>
        <v>42645.998611111099</v>
      </c>
      <c r="D2241" s="2">
        <f ca="1">IFERROR(__xludf.DUMMYFUNCTION("""COMPUTED_VALUE"""),66.5465)</f>
        <v>66.546499999999995</v>
      </c>
      <c r="E2241" s="2">
        <f ca="1">IFERROR(__xludf.DUMMYFUNCTION("""COMPUTED_VALUE"""),68.948)</f>
        <v>68.947999999999993</v>
      </c>
      <c r="F2241" s="2">
        <f ca="1">IFERROR(__xludf.DUMMYFUNCTION("""COMPUTED_VALUE"""),88.788)</f>
        <v>88.787999999999997</v>
      </c>
      <c r="G2241" s="2">
        <f ca="1">IFERROR(__xludf.DUMMYFUNCTION("""COMPUTED_VALUE"""),0.57901)</f>
        <v>0.57901000000000002</v>
      </c>
      <c r="H2241" s="2">
        <f ca="1">IFERROR(__xludf.DUMMYFUNCTION("""COMPUTED_VALUE"""),48.431)</f>
        <v>48.430999999999997</v>
      </c>
      <c r="I2241" s="2">
        <f ca="1">IFERROR(__xludf.DUMMYFUNCTION("""COMPUTED_VALUE"""),48.425)</f>
        <v>48.424999999999997</v>
      </c>
      <c r="J2241" s="2">
        <f ca="1">IFERROR(__xludf.DUMMYFUNCTION("""COMPUTED_VALUE"""),45.704)</f>
        <v>45.704000000000001</v>
      </c>
      <c r="K2241" s="2">
        <f ca="1">IFERROR(__xludf.DUMMYFUNCTION("""COMPUTED_VALUE"""),67.141)</f>
        <v>67.141000000000005</v>
      </c>
      <c r="M2241" s="2">
        <f ca="1">IFERROR(__xludf.DUMMYFUNCTION("""COMPUTED_VALUE"""),18.295)</f>
        <v>18.295000000000002</v>
      </c>
      <c r="U2241" s="3" t="e">
        <f ca="1"/>
        <v>#NAME?</v>
      </c>
    </row>
    <row r="2242" spans="3:21" ht="12.5" x14ac:dyDescent="0.25">
      <c r="C2242" s="4">
        <f ca="1">IFERROR(__xludf.DUMMYFUNCTION("""COMPUTED_VALUE"""),42646.9986111111)</f>
        <v>42646.998611111099</v>
      </c>
      <c r="D2242" s="2">
        <f ca="1">IFERROR(__xludf.DUMMYFUNCTION("""COMPUTED_VALUE"""),66.3803)</f>
        <v>66.380300000000005</v>
      </c>
      <c r="E2242" s="2">
        <f ca="1">IFERROR(__xludf.DUMMYFUNCTION("""COMPUTED_VALUE"""),68.325)</f>
        <v>68.325000000000003</v>
      </c>
      <c r="F2242" s="2">
        <f ca="1">IFERROR(__xludf.DUMMYFUNCTION("""COMPUTED_VALUE"""),88.502)</f>
        <v>88.501999999999995</v>
      </c>
      <c r="G2242" s="2">
        <f ca="1">IFERROR(__xludf.DUMMYFUNCTION("""COMPUTED_VALUE"""),0.58017)</f>
        <v>0.58016999999999996</v>
      </c>
      <c r="H2242" s="2">
        <f ca="1">IFERROR(__xludf.DUMMYFUNCTION("""COMPUTED_VALUE"""),48.384)</f>
        <v>48.384</v>
      </c>
      <c r="I2242" s="2">
        <f ca="1">IFERROR(__xludf.DUMMYFUNCTION("""COMPUTED_VALUE"""),48.386)</f>
        <v>48.386000000000003</v>
      </c>
      <c r="J2242" s="2">
        <f ca="1">IFERROR(__xludf.DUMMYFUNCTION("""COMPUTED_VALUE"""),45.928)</f>
        <v>45.927999999999997</v>
      </c>
      <c r="K2242" s="2">
        <f ca="1">IFERROR(__xludf.DUMMYFUNCTION("""COMPUTED_VALUE"""),68.15)</f>
        <v>68.150000000000006</v>
      </c>
      <c r="M2242" s="2">
        <f ca="1">IFERROR(__xludf.DUMMYFUNCTION("""COMPUTED_VALUE"""),18.412)</f>
        <v>18.411999999999999</v>
      </c>
      <c r="U2242" s="3" t="e">
        <f ca="1"/>
        <v>#NAME?</v>
      </c>
    </row>
    <row r="2243" spans="3:21" ht="12.5" x14ac:dyDescent="0.25">
      <c r="C2243" s="4">
        <f ca="1">IFERROR(__xludf.DUMMYFUNCTION("""COMPUTED_VALUE"""),42647.9986111111)</f>
        <v>42647.998611111099</v>
      </c>
      <c r="D2243" s="2">
        <f ca="1">IFERROR(__xludf.DUMMYFUNCTION("""COMPUTED_VALUE"""),66.578)</f>
        <v>66.578000000000003</v>
      </c>
      <c r="E2243" s="2">
        <f ca="1">IFERROR(__xludf.DUMMYFUNCTION("""COMPUTED_VALUE"""),68.325)</f>
        <v>68.325000000000003</v>
      </c>
      <c r="F2243" s="2">
        <f ca="1">IFERROR(__xludf.DUMMYFUNCTION("""COMPUTED_VALUE"""),88.502)</f>
        <v>88.501999999999995</v>
      </c>
      <c r="G2243" s="2">
        <f ca="1">IFERROR(__xludf.DUMMYFUNCTION("""COMPUTED_VALUE"""),0.5771)</f>
        <v>0.57709999999999995</v>
      </c>
      <c r="H2243" s="2">
        <f ca="1">IFERROR(__xludf.DUMMYFUNCTION("""COMPUTED_VALUE"""),48.722)</f>
        <v>48.722000000000001</v>
      </c>
      <c r="I2243" s="2">
        <f ca="1">IFERROR(__xludf.DUMMYFUNCTION("""COMPUTED_VALUE"""),48.792)</f>
        <v>48.792000000000002</v>
      </c>
      <c r="J2243" s="2">
        <f ca="1">IFERROR(__xludf.DUMMYFUNCTION("""COMPUTED_VALUE"""),45.951)</f>
        <v>45.951000000000001</v>
      </c>
      <c r="K2243" s="2">
        <f ca="1">IFERROR(__xludf.DUMMYFUNCTION("""COMPUTED_VALUE"""),68.186)</f>
        <v>68.186000000000007</v>
      </c>
      <c r="M2243" s="2">
        <f ca="1">IFERROR(__xludf.DUMMYFUNCTION("""COMPUTED_VALUE"""),18.39)</f>
        <v>18.39</v>
      </c>
      <c r="U2243" s="3" t="e">
        <f ca="1"/>
        <v>#NAME?</v>
      </c>
    </row>
    <row r="2244" spans="3:21" ht="12.5" x14ac:dyDescent="0.25">
      <c r="C2244" s="4">
        <f ca="1">IFERROR(__xludf.DUMMYFUNCTION("""COMPUTED_VALUE"""),42648.9986111111)</f>
        <v>42648.998611111099</v>
      </c>
      <c r="D2244" s="2">
        <f ca="1">IFERROR(__xludf.DUMMYFUNCTION("""COMPUTED_VALUE"""),66.5632)</f>
        <v>66.563199999999995</v>
      </c>
      <c r="E2244" s="2">
        <f ca="1">IFERROR(__xludf.DUMMYFUNCTION("""COMPUTED_VALUE"""),68.325)</f>
        <v>68.325000000000003</v>
      </c>
      <c r="F2244" s="2">
        <f ca="1">IFERROR(__xludf.DUMMYFUNCTION("""COMPUTED_VALUE"""),88.401)</f>
        <v>88.400999999999996</v>
      </c>
      <c r="G2244" s="2">
        <f ca="1">IFERROR(__xludf.DUMMYFUNCTION("""COMPUTED_VALUE"""),0.57874)</f>
        <v>0.57874000000000003</v>
      </c>
      <c r="H2244" s="2">
        <f ca="1">IFERROR(__xludf.DUMMYFUNCTION("""COMPUTED_VALUE"""),48.71)</f>
        <v>48.71</v>
      </c>
      <c r="I2244" s="2">
        <f ca="1">IFERROR(__xludf.DUMMYFUNCTION("""COMPUTED_VALUE"""),48.302)</f>
        <v>48.302</v>
      </c>
      <c r="J2244" s="2">
        <f ca="1">IFERROR(__xludf.DUMMYFUNCTION("""COMPUTED_VALUE"""),46.327)</f>
        <v>46.326999999999998</v>
      </c>
      <c r="K2244" s="2">
        <f ca="1">IFERROR(__xludf.DUMMYFUNCTION("""COMPUTED_VALUE"""),67.784)</f>
        <v>67.784000000000006</v>
      </c>
      <c r="M2244" s="2">
        <f ca="1">IFERROR(__xludf.DUMMYFUNCTION("""COMPUTED_VALUE"""),18.39)</f>
        <v>18.39</v>
      </c>
      <c r="U2244" s="3" t="e">
        <f ca="1"/>
        <v>#NAME?</v>
      </c>
    </row>
    <row r="2245" spans="3:21" ht="12.5" x14ac:dyDescent="0.25">
      <c r="C2245" s="4">
        <f ca="1">IFERROR(__xludf.DUMMYFUNCTION("""COMPUTED_VALUE"""),42649.9986111111)</f>
        <v>42649.998611111099</v>
      </c>
      <c r="D2245" s="2">
        <f ca="1">IFERROR(__xludf.DUMMYFUNCTION("""COMPUTED_VALUE"""),66.6871)</f>
        <v>66.687100000000001</v>
      </c>
      <c r="E2245" s="2">
        <f ca="1">IFERROR(__xludf.DUMMYFUNCTION("""COMPUTED_VALUE"""),69.196)</f>
        <v>69.195999999999998</v>
      </c>
      <c r="F2245" s="2">
        <f ca="1">IFERROR(__xludf.DUMMYFUNCTION("""COMPUTED_VALUE"""),88.945)</f>
        <v>88.944999999999993</v>
      </c>
      <c r="G2245" s="2">
        <f ca="1">IFERROR(__xludf.DUMMYFUNCTION("""COMPUTED_VALUE"""),0.57981)</f>
        <v>0.57981000000000005</v>
      </c>
      <c r="H2245" s="2">
        <f ca="1">IFERROR(__xludf.DUMMYFUNCTION("""COMPUTED_VALUE"""),48.71)</f>
        <v>48.71</v>
      </c>
      <c r="I2245" s="2">
        <f ca="1">IFERROR(__xludf.DUMMYFUNCTION("""COMPUTED_VALUE"""),48.31)</f>
        <v>48.31</v>
      </c>
      <c r="J2245" s="2">
        <f ca="1">IFERROR(__xludf.DUMMYFUNCTION("""COMPUTED_VALUE"""),46.038)</f>
        <v>46.037999999999997</v>
      </c>
      <c r="K2245" s="2">
        <f ca="1">IFERROR(__xludf.DUMMYFUNCTION("""COMPUTED_VALUE"""),67.621)</f>
        <v>67.620999999999995</v>
      </c>
      <c r="M2245" s="2">
        <f ca="1">IFERROR(__xludf.DUMMYFUNCTION("""COMPUTED_VALUE"""),18.45)</f>
        <v>18.45</v>
      </c>
      <c r="U2245" s="3" t="e">
        <f ca="1"/>
        <v>#NAME?</v>
      </c>
    </row>
    <row r="2246" spans="3:21" ht="12.5" x14ac:dyDescent="0.25">
      <c r="C2246" s="4">
        <f ca="1">IFERROR(__xludf.DUMMYFUNCTION("""COMPUTED_VALUE"""),42650.9986111111)</f>
        <v>42650.998611111099</v>
      </c>
      <c r="D2246" s="2">
        <f ca="1">IFERROR(__xludf.DUMMYFUNCTION("""COMPUTED_VALUE"""),66.594)</f>
        <v>66.593999999999994</v>
      </c>
      <c r="E2246" s="2">
        <f ca="1">IFERROR(__xludf.DUMMYFUNCTION("""COMPUTED_VALUE"""),69.189)</f>
        <v>69.188999999999993</v>
      </c>
      <c r="F2246" s="2">
        <f ca="1">IFERROR(__xludf.DUMMYFUNCTION("""COMPUTED_VALUE"""),88.664)</f>
        <v>88.664000000000001</v>
      </c>
      <c r="G2246" s="2">
        <f ca="1">IFERROR(__xludf.DUMMYFUNCTION("""COMPUTED_VALUE"""),0.58233)</f>
        <v>0.58233000000000001</v>
      </c>
      <c r="H2246" s="2">
        <f ca="1">IFERROR(__xludf.DUMMYFUNCTION("""COMPUTED_VALUE"""),48.71)</f>
        <v>48.71</v>
      </c>
      <c r="I2246" s="2">
        <f ca="1">IFERROR(__xludf.DUMMYFUNCTION("""COMPUTED_VALUE"""),48.184)</f>
        <v>48.183999999999997</v>
      </c>
      <c r="J2246" s="2">
        <f ca="1">IFERROR(__xludf.DUMMYFUNCTION("""COMPUTED_VALUE"""),46.043)</f>
        <v>46.042999999999999</v>
      </c>
      <c r="K2246" s="2">
        <f ca="1">IFERROR(__xludf.DUMMYFUNCTION("""COMPUTED_VALUE"""),67.618)</f>
        <v>67.617999999999995</v>
      </c>
      <c r="M2246" s="2">
        <f ca="1">IFERROR(__xludf.DUMMYFUNCTION("""COMPUTED_VALUE"""),18.441)</f>
        <v>18.440999999999999</v>
      </c>
      <c r="U2246" s="3" t="e">
        <f ca="1"/>
        <v>#NAME?</v>
      </c>
    </row>
    <row r="2247" spans="3:21" ht="12.5" x14ac:dyDescent="0.25">
      <c r="C2247" s="4">
        <f ca="1">IFERROR(__xludf.DUMMYFUNCTION("""COMPUTED_VALUE"""),42652.9986111111)</f>
        <v>42652.998611111099</v>
      </c>
      <c r="D2247" s="2">
        <f ca="1">IFERROR(__xludf.DUMMYFUNCTION("""COMPUTED_VALUE"""),66.5912)</f>
        <v>66.591200000000001</v>
      </c>
      <c r="E2247" s="2">
        <f ca="1">IFERROR(__xludf.DUMMYFUNCTION("""COMPUTED_VALUE"""),69.157)</f>
        <v>69.156999999999996</v>
      </c>
      <c r="F2247" s="2">
        <f ca="1">IFERROR(__xludf.DUMMYFUNCTION("""COMPUTED_VALUE"""),88.4)</f>
        <v>88.4</v>
      </c>
      <c r="G2247" s="2">
        <f ca="1">IFERROR(__xludf.DUMMYFUNCTION("""COMPUTED_VALUE"""),0.58158)</f>
        <v>0.58157999999999999</v>
      </c>
      <c r="H2247" s="2">
        <f ca="1">IFERROR(__xludf.DUMMYFUNCTION("""COMPUTED_VALUE"""),48.754)</f>
        <v>48.753999999999998</v>
      </c>
      <c r="I2247" s="2">
        <f ca="1">IFERROR(__xludf.DUMMYFUNCTION("""COMPUTED_VALUE"""),48.199)</f>
        <v>48.198999999999998</v>
      </c>
      <c r="J2247" s="2">
        <f ca="1">IFERROR(__xludf.DUMMYFUNCTION("""COMPUTED_VALUE"""),46.043)</f>
        <v>46.042999999999999</v>
      </c>
      <c r="K2247" s="2">
        <f ca="1">IFERROR(__xludf.DUMMYFUNCTION("""COMPUTED_VALUE"""),66.584)</f>
        <v>66.584000000000003</v>
      </c>
      <c r="M2247" s="2">
        <f ca="1">IFERROR(__xludf.DUMMYFUNCTION("""COMPUTED_VALUE"""),18.506)</f>
        <v>18.506</v>
      </c>
      <c r="U2247" s="3" t="e">
        <f ca="1"/>
        <v>#NAME?</v>
      </c>
    </row>
    <row r="2248" spans="3:21" ht="12.5" x14ac:dyDescent="0.25">
      <c r="C2248" s="4">
        <f ca="1">IFERROR(__xludf.DUMMYFUNCTION("""COMPUTED_VALUE"""),42653.9986111111)</f>
        <v>42653.998611111099</v>
      </c>
      <c r="D2248" s="2">
        <f ca="1">IFERROR(__xludf.DUMMYFUNCTION("""COMPUTED_VALUE"""),66.4851)</f>
        <v>66.485100000000003</v>
      </c>
      <c r="E2248" s="2">
        <f ca="1">IFERROR(__xludf.DUMMYFUNCTION("""COMPUTED_VALUE"""),69.277)</f>
        <v>69.277000000000001</v>
      </c>
      <c r="F2248" s="2">
        <f ca="1">IFERROR(__xludf.DUMMYFUNCTION("""COMPUTED_VALUE"""),88.594)</f>
        <v>88.593999999999994</v>
      </c>
      <c r="G2248" s="2">
        <f ca="1">IFERROR(__xludf.DUMMYFUNCTION("""COMPUTED_VALUE"""),0.578)</f>
        <v>0.57799999999999996</v>
      </c>
      <c r="H2248" s="2">
        <f ca="1">IFERROR(__xludf.DUMMYFUNCTION("""COMPUTED_VALUE"""),48.414)</f>
        <v>48.414000000000001</v>
      </c>
      <c r="I2248" s="2">
        <f ca="1">IFERROR(__xludf.DUMMYFUNCTION("""COMPUTED_VALUE"""),47.902)</f>
        <v>47.902000000000001</v>
      </c>
      <c r="J2248" s="2">
        <f ca="1">IFERROR(__xludf.DUMMYFUNCTION("""COMPUTED_VALUE"""),46.215)</f>
        <v>46.215000000000003</v>
      </c>
      <c r="K2248" s="2">
        <f ca="1">IFERROR(__xludf.DUMMYFUNCTION("""COMPUTED_VALUE"""),67.712)</f>
        <v>67.712000000000003</v>
      </c>
      <c r="M2248" s="2">
        <f ca="1">IFERROR(__xludf.DUMMYFUNCTION("""COMPUTED_VALUE"""),18.504)</f>
        <v>18.504000000000001</v>
      </c>
      <c r="U2248" s="3" t="e">
        <f ca="1"/>
        <v>#NAME?</v>
      </c>
    </row>
    <row r="2249" spans="3:21" ht="12.5" x14ac:dyDescent="0.25">
      <c r="C2249" s="4">
        <f ca="1">IFERROR(__xludf.DUMMYFUNCTION("""COMPUTED_VALUE"""),42654.9986111111)</f>
        <v>42654.998611111099</v>
      </c>
      <c r="D2249" s="2">
        <f ca="1">IFERROR(__xludf.DUMMYFUNCTION("""COMPUTED_VALUE"""),66.7985)</f>
        <v>66.798500000000004</v>
      </c>
      <c r="E2249" s="2">
        <f ca="1">IFERROR(__xludf.DUMMYFUNCTION("""COMPUTED_VALUE"""),69.985)</f>
        <v>69.984999999999999</v>
      </c>
      <c r="F2249" s="2">
        <f ca="1">IFERROR(__xludf.DUMMYFUNCTION("""COMPUTED_VALUE"""),88.775)</f>
        <v>88.775000000000006</v>
      </c>
      <c r="G2249" s="2">
        <f ca="1">IFERROR(__xludf.DUMMYFUNCTION("""COMPUTED_VALUE"""),0.58268)</f>
        <v>0.58267999999999998</v>
      </c>
      <c r="H2249" s="2">
        <f ca="1">IFERROR(__xludf.DUMMYFUNCTION("""COMPUTED_VALUE"""),48.53)</f>
        <v>48.53</v>
      </c>
      <c r="I2249" s="2">
        <f ca="1">IFERROR(__xludf.DUMMYFUNCTION("""COMPUTED_VALUE"""),47.899)</f>
        <v>47.899000000000001</v>
      </c>
      <c r="J2249" s="2">
        <f ca="1">IFERROR(__xludf.DUMMYFUNCTION("""COMPUTED_VALUE"""),46.187)</f>
        <v>46.186999999999998</v>
      </c>
      <c r="K2249" s="2">
        <f ca="1">IFERROR(__xludf.DUMMYFUNCTION("""COMPUTED_VALUE"""),67.41)</f>
        <v>67.41</v>
      </c>
      <c r="M2249" s="2">
        <f ca="1">IFERROR(__xludf.DUMMYFUNCTION("""COMPUTED_VALUE"""),18.552)</f>
        <v>18.552</v>
      </c>
      <c r="U2249" s="3" t="e">
        <f ca="1"/>
        <v>#NAME?</v>
      </c>
    </row>
    <row r="2250" spans="3:21" ht="12.5" x14ac:dyDescent="0.25">
      <c r="C2250" s="4">
        <f ca="1">IFERROR(__xludf.DUMMYFUNCTION("""COMPUTED_VALUE"""),42655.9986111111)</f>
        <v>42655.998611111099</v>
      </c>
      <c r="D2250" s="2">
        <f ca="1">IFERROR(__xludf.DUMMYFUNCTION("""COMPUTED_VALUE"""),66.8181)</f>
        <v>66.818100000000001</v>
      </c>
      <c r="E2250" s="2">
        <f ca="1">IFERROR(__xludf.DUMMYFUNCTION("""COMPUTED_VALUE"""),70.217)</f>
        <v>70.216999999999999</v>
      </c>
      <c r="F2250" s="2">
        <f ca="1">IFERROR(__xludf.DUMMYFUNCTION("""COMPUTED_VALUE"""),88.577)</f>
        <v>88.576999999999998</v>
      </c>
      <c r="G2250" s="2">
        <f ca="1">IFERROR(__xludf.DUMMYFUNCTION("""COMPUTED_VALUE"""),0.57232)</f>
        <v>0.57232000000000005</v>
      </c>
      <c r="H2250" s="2">
        <f ca="1">IFERROR(__xludf.DUMMYFUNCTION("""COMPUTED_VALUE"""),48.721)</f>
        <v>48.720999999999997</v>
      </c>
      <c r="I2250" s="2">
        <f ca="1">IFERROR(__xludf.DUMMYFUNCTION("""COMPUTED_VALUE"""),47.833)</f>
        <v>47.832999999999998</v>
      </c>
      <c r="J2250" s="2">
        <f ca="1">IFERROR(__xludf.DUMMYFUNCTION("""COMPUTED_VALUE"""),46.151)</f>
        <v>46.151000000000003</v>
      </c>
      <c r="K2250" s="2">
        <f ca="1">IFERROR(__xludf.DUMMYFUNCTION("""COMPUTED_VALUE"""),67.289)</f>
        <v>67.289000000000001</v>
      </c>
      <c r="M2250" s="2">
        <f ca="1">IFERROR(__xludf.DUMMYFUNCTION("""COMPUTED_VALUE"""),18.56)</f>
        <v>18.559999999999999</v>
      </c>
      <c r="U2250" s="3" t="e">
        <f ca="1"/>
        <v>#NAME?</v>
      </c>
    </row>
    <row r="2251" spans="3:21" ht="12.5" x14ac:dyDescent="0.25">
      <c r="C2251" s="4">
        <f ca="1">IFERROR(__xludf.DUMMYFUNCTION("""COMPUTED_VALUE"""),42656.9986111111)</f>
        <v>42656.998611111099</v>
      </c>
      <c r="D2251" s="2">
        <f ca="1">IFERROR(__xludf.DUMMYFUNCTION("""COMPUTED_VALUE"""),66.784)</f>
        <v>66.784000000000006</v>
      </c>
      <c r="E2251" s="2">
        <f ca="1">IFERROR(__xludf.DUMMYFUNCTION("""COMPUTED_VALUE"""),69.879)</f>
        <v>69.879000000000005</v>
      </c>
      <c r="F2251" s="2">
        <f ca="1">IFERROR(__xludf.DUMMYFUNCTION("""COMPUTED_VALUE"""),89)</f>
        <v>89</v>
      </c>
      <c r="G2251" s="2">
        <f ca="1">IFERROR(__xludf.DUMMYFUNCTION("""COMPUTED_VALUE"""),0.58238)</f>
        <v>0.58238000000000001</v>
      </c>
      <c r="H2251" s="2">
        <f ca="1">IFERROR(__xludf.DUMMYFUNCTION("""COMPUTED_VALUE"""),48.689)</f>
        <v>48.689</v>
      </c>
      <c r="I2251" s="2">
        <f ca="1">IFERROR(__xludf.DUMMYFUNCTION("""COMPUTED_VALUE"""),47.536)</f>
        <v>47.536000000000001</v>
      </c>
      <c r="J2251" s="2">
        <f ca="1">IFERROR(__xludf.DUMMYFUNCTION("""COMPUTED_VALUE"""),46.229)</f>
        <v>46.228999999999999</v>
      </c>
      <c r="K2251" s="2">
        <f ca="1">IFERROR(__xludf.DUMMYFUNCTION("""COMPUTED_VALUE"""),66.591)</f>
        <v>66.590999999999994</v>
      </c>
      <c r="M2251" s="2">
        <f ca="1">IFERROR(__xludf.DUMMYFUNCTION("""COMPUTED_VALUE"""),18.57)</f>
        <v>18.57</v>
      </c>
      <c r="U2251" s="3" t="e">
        <f ca="1"/>
        <v>#NAME?</v>
      </c>
    </row>
    <row r="2252" spans="3:21" ht="12.5" x14ac:dyDescent="0.25">
      <c r="C2252" s="4">
        <f ca="1">IFERROR(__xludf.DUMMYFUNCTION("""COMPUTED_VALUE"""),42657.9986111111)</f>
        <v>42657.998611111099</v>
      </c>
      <c r="D2252" s="2">
        <f ca="1">IFERROR(__xludf.DUMMYFUNCTION("""COMPUTED_VALUE"""),66.71)</f>
        <v>66.709999999999994</v>
      </c>
      <c r="E2252" s="2">
        <f ca="1">IFERROR(__xludf.DUMMYFUNCTION("""COMPUTED_VALUE"""),69.575)</f>
        <v>69.575000000000003</v>
      </c>
      <c r="F2252" s="2">
        <f ca="1">IFERROR(__xludf.DUMMYFUNCTION("""COMPUTED_VALUE"""),88.384)</f>
        <v>88.384</v>
      </c>
      <c r="G2252" s="2">
        <f ca="1">IFERROR(__xludf.DUMMYFUNCTION("""COMPUTED_VALUE"""),0.58788)</f>
        <v>0.58787999999999996</v>
      </c>
      <c r="H2252" s="2">
        <f ca="1">IFERROR(__xludf.DUMMYFUNCTION("""COMPUTED_VALUE"""),48.43)</f>
        <v>48.43</v>
      </c>
      <c r="I2252" s="2">
        <f ca="1">IFERROR(__xludf.DUMMYFUNCTION("""COMPUTED_VALUE"""),47.336)</f>
        <v>47.335999999999999</v>
      </c>
      <c r="J2252" s="2">
        <f ca="1">IFERROR(__xludf.DUMMYFUNCTION("""COMPUTED_VALUE"""),46.233)</f>
        <v>46.232999999999997</v>
      </c>
      <c r="K2252" s="2">
        <f ca="1">IFERROR(__xludf.DUMMYFUNCTION("""COMPUTED_VALUE"""),66.606)</f>
        <v>66.605999999999995</v>
      </c>
      <c r="M2252" s="2">
        <f ca="1">IFERROR(__xludf.DUMMYFUNCTION("""COMPUTED_VALUE"""),18.616)</f>
        <v>18.616</v>
      </c>
      <c r="U2252" s="3" t="e">
        <f ca="1"/>
        <v>#NAME?</v>
      </c>
    </row>
    <row r="2253" spans="3:21" ht="12.5" x14ac:dyDescent="0.25">
      <c r="C2253" s="4">
        <f ca="1">IFERROR(__xludf.DUMMYFUNCTION("""COMPUTED_VALUE"""),42658.9986111111)</f>
        <v>42658.998611111099</v>
      </c>
      <c r="D2253" s="2">
        <f ca="1">IFERROR(__xludf.DUMMYFUNCTION("""COMPUTED_VALUE"""),66.7053)</f>
        <v>66.705299999999994</v>
      </c>
      <c r="E2253" s="2">
        <f ca="1">IFERROR(__xludf.DUMMYFUNCTION("""COMPUTED_VALUE"""),69.977)</f>
        <v>69.977000000000004</v>
      </c>
      <c r="F2253" s="2">
        <f ca="1">IFERROR(__xludf.DUMMYFUNCTION("""COMPUTED_VALUE"""),88.539)</f>
        <v>88.539000000000001</v>
      </c>
      <c r="G2253" s="2">
        <f ca="1">IFERROR(__xludf.DUMMYFUNCTION("""COMPUTED_VALUE"""),0.58564)</f>
        <v>0.58564000000000005</v>
      </c>
      <c r="H2253" s="2">
        <f ca="1">IFERROR(__xludf.DUMMYFUNCTION("""COMPUTED_VALUE"""),47.915)</f>
        <v>47.914999999999999</v>
      </c>
      <c r="I2253" s="2">
        <f ca="1">IFERROR(__xludf.DUMMYFUNCTION("""COMPUTED_VALUE"""),47.036)</f>
        <v>47.036000000000001</v>
      </c>
      <c r="J2253" s="2">
        <f ca="1">IFERROR(__xludf.DUMMYFUNCTION("""COMPUTED_VALUE"""),46.089)</f>
        <v>46.088999999999999</v>
      </c>
      <c r="K2253" s="2">
        <f ca="1">IFERROR(__xludf.DUMMYFUNCTION("""COMPUTED_VALUE"""),65.756)</f>
        <v>65.756</v>
      </c>
      <c r="M2253" s="2">
        <f ca="1">IFERROR(__xludf.DUMMYFUNCTION("""COMPUTED_VALUE"""),18.728)</f>
        <v>18.728000000000002</v>
      </c>
      <c r="U2253" s="3" t="e">
        <f ca="1"/>
        <v>#NAME?</v>
      </c>
    </row>
    <row r="2254" spans="3:21" ht="12.5" x14ac:dyDescent="0.25">
      <c r="C2254" s="4">
        <f ca="1">IFERROR(__xludf.DUMMYFUNCTION("""COMPUTED_VALUE"""),42659.9986111111)</f>
        <v>42659.998611111099</v>
      </c>
      <c r="D2254" s="2">
        <f ca="1">IFERROR(__xludf.DUMMYFUNCTION("""COMPUTED_VALUE"""),66.7053)</f>
        <v>66.705299999999994</v>
      </c>
      <c r="E2254" s="2">
        <f ca="1">IFERROR(__xludf.DUMMYFUNCTION("""COMPUTED_VALUE"""),69.3539)</f>
        <v>69.353899999999996</v>
      </c>
      <c r="F2254" s="2">
        <f ca="1">IFERROR(__xludf.DUMMYFUNCTION("""COMPUTED_VALUE"""),88.543)</f>
        <v>88.543000000000006</v>
      </c>
      <c r="G2254" s="2">
        <f ca="1">IFERROR(__xludf.DUMMYFUNCTION("""COMPUTED_VALUE"""),0.58418)</f>
        <v>0.58418000000000003</v>
      </c>
      <c r="H2254" s="2">
        <f ca="1">IFERROR(__xludf.DUMMYFUNCTION("""COMPUTED_VALUE"""),47.815)</f>
        <v>47.814999999999998</v>
      </c>
      <c r="I2254" s="2">
        <f ca="1">IFERROR(__xludf.DUMMYFUNCTION("""COMPUTED_VALUE"""),46.992)</f>
        <v>46.991999999999997</v>
      </c>
      <c r="J2254" s="2">
        <f ca="1">IFERROR(__xludf.DUMMYFUNCTION("""COMPUTED_VALUE"""),45.901)</f>
        <v>45.901000000000003</v>
      </c>
      <c r="K2254" s="2">
        <f ca="1">IFERROR(__xludf.DUMMYFUNCTION("""COMPUTED_VALUE"""),66.479)</f>
        <v>66.478999999999999</v>
      </c>
      <c r="M2254" s="2">
        <f ca="1">IFERROR(__xludf.DUMMYFUNCTION("""COMPUTED_VALUE"""),18.714)</f>
        <v>18.713999999999999</v>
      </c>
      <c r="U2254" s="3" t="e">
        <f ca="1"/>
        <v>#NAME?</v>
      </c>
    </row>
    <row r="2255" spans="3:21" ht="12.5" x14ac:dyDescent="0.25">
      <c r="C2255" s="4">
        <f ca="1">IFERROR(__xludf.DUMMYFUNCTION("""COMPUTED_VALUE"""),42660.9986111111)</f>
        <v>42660.998611111099</v>
      </c>
      <c r="D2255" s="2">
        <f ca="1">IFERROR(__xludf.DUMMYFUNCTION("""COMPUTED_VALUE"""),66.7836)</f>
        <v>66.783600000000007</v>
      </c>
      <c r="E2255" s="2">
        <f ca="1">IFERROR(__xludf.DUMMYFUNCTION("""COMPUTED_VALUE"""),70.009)</f>
        <v>70.009</v>
      </c>
      <c r="F2255" s="2">
        <f ca="1">IFERROR(__xludf.DUMMYFUNCTION("""COMPUTED_VALUE"""),87.188)</f>
        <v>87.188000000000002</v>
      </c>
      <c r="G2255" s="2">
        <f ca="1">IFERROR(__xludf.DUMMYFUNCTION("""COMPUTED_VALUE"""),0.58168)</f>
        <v>0.58167999999999997</v>
      </c>
      <c r="H2255" s="2">
        <f ca="1">IFERROR(__xludf.DUMMYFUNCTION("""COMPUTED_VALUE"""),48.097)</f>
        <v>48.097000000000001</v>
      </c>
      <c r="I2255" s="2">
        <f ca="1">IFERROR(__xludf.DUMMYFUNCTION("""COMPUTED_VALUE"""),47.037)</f>
        <v>47.036999999999999</v>
      </c>
      <c r="J2255" s="2">
        <f ca="1">IFERROR(__xludf.DUMMYFUNCTION("""COMPUTED_VALUE"""),45.837)</f>
        <v>45.837000000000003</v>
      </c>
      <c r="K2255" s="2">
        <f ca="1">IFERROR(__xludf.DUMMYFUNCTION("""COMPUTED_VALUE"""),66.346)</f>
        <v>66.346000000000004</v>
      </c>
      <c r="M2255" s="2">
        <f ca="1">IFERROR(__xludf.DUMMYFUNCTION("""COMPUTED_VALUE"""),18.654)</f>
        <v>18.654</v>
      </c>
      <c r="U2255" s="3" t="e">
        <f ca="1"/>
        <v>#NAME?</v>
      </c>
    </row>
    <row r="2256" spans="3:21" ht="12.5" x14ac:dyDescent="0.25">
      <c r="C2256" s="4">
        <f ca="1">IFERROR(__xludf.DUMMYFUNCTION("""COMPUTED_VALUE"""),42661.9986111111)</f>
        <v>42661.998611111099</v>
      </c>
      <c r="D2256" s="2">
        <f ca="1">IFERROR(__xludf.DUMMYFUNCTION("""COMPUTED_VALUE"""),66.738)</f>
        <v>66.738</v>
      </c>
      <c r="E2256" s="2">
        <f ca="1">IFERROR(__xludf.DUMMYFUNCTION("""COMPUTED_VALUE"""),70.088)</f>
        <v>70.087999999999994</v>
      </c>
      <c r="F2256" s="2">
        <f ca="1">IFERROR(__xludf.DUMMYFUNCTION("""COMPUTED_VALUE"""),87.188)</f>
        <v>87.188000000000002</v>
      </c>
      <c r="G2256" s="2">
        <f ca="1">IFERROR(__xludf.DUMMYFUNCTION("""COMPUTED_VALUE"""),0.58593)</f>
        <v>0.58592999999999995</v>
      </c>
      <c r="H2256" s="2">
        <f ca="1">IFERROR(__xludf.DUMMYFUNCTION("""COMPUTED_VALUE"""),48.097)</f>
        <v>48.097000000000001</v>
      </c>
      <c r="I2256" s="2">
        <f ca="1">IFERROR(__xludf.DUMMYFUNCTION("""COMPUTED_VALUE"""),47.037)</f>
        <v>47.036999999999999</v>
      </c>
      <c r="J2256" s="2">
        <f ca="1">IFERROR(__xludf.DUMMYFUNCTION("""COMPUTED_VALUE"""),45.966)</f>
        <v>45.966000000000001</v>
      </c>
      <c r="K2256" s="2">
        <f ca="1">IFERROR(__xludf.DUMMYFUNCTION("""COMPUTED_VALUE"""),66.479)</f>
        <v>66.478999999999999</v>
      </c>
      <c r="M2256" s="2">
        <f ca="1">IFERROR(__xludf.DUMMYFUNCTION("""COMPUTED_VALUE"""),18.649)</f>
        <v>18.649000000000001</v>
      </c>
      <c r="U2256" s="3" t="e">
        <f ca="1"/>
        <v>#NAME?</v>
      </c>
    </row>
    <row r="2257" spans="3:21" ht="12.5" x14ac:dyDescent="0.25">
      <c r="C2257" s="4">
        <f ca="1">IFERROR(__xludf.DUMMYFUNCTION("""COMPUTED_VALUE"""),42662.9986111111)</f>
        <v>42662.998611111099</v>
      </c>
      <c r="D2257" s="2">
        <f ca="1">IFERROR(__xludf.DUMMYFUNCTION("""COMPUTED_VALUE"""),66.6364)</f>
        <v>66.636399999999995</v>
      </c>
      <c r="E2257" s="2">
        <f ca="1">IFERROR(__xludf.DUMMYFUNCTION("""COMPUTED_VALUE"""),69.786)</f>
        <v>69.786000000000001</v>
      </c>
      <c r="F2257" s="2">
        <f ca="1">IFERROR(__xludf.DUMMYFUNCTION("""COMPUTED_VALUE"""),87.245)</f>
        <v>87.245000000000005</v>
      </c>
      <c r="G2257" s="2">
        <f ca="1">IFERROR(__xludf.DUMMYFUNCTION("""COMPUTED_VALUE"""),0.58389)</f>
        <v>0.58389000000000002</v>
      </c>
      <c r="H2257" s="2">
        <f ca="1">IFERROR(__xludf.DUMMYFUNCTION("""COMPUTED_VALUE"""),48.338)</f>
        <v>48.338000000000001</v>
      </c>
      <c r="I2257" s="2">
        <f ca="1">IFERROR(__xludf.DUMMYFUNCTION("""COMPUTED_VALUE"""),46.933)</f>
        <v>46.933</v>
      </c>
      <c r="J2257" s="2">
        <f ca="1">IFERROR(__xludf.DUMMYFUNCTION("""COMPUTED_VALUE"""),45.966)</f>
        <v>45.966000000000001</v>
      </c>
      <c r="K2257" s="2">
        <f ca="1">IFERROR(__xludf.DUMMYFUNCTION("""COMPUTED_VALUE"""),67.185)</f>
        <v>67.185000000000002</v>
      </c>
      <c r="M2257" s="2">
        <f ca="1">IFERROR(__xludf.DUMMYFUNCTION("""COMPUTED_VALUE"""),18.662)</f>
        <v>18.661999999999999</v>
      </c>
      <c r="U2257" s="3" t="e">
        <f ca="1"/>
        <v>#NAME?</v>
      </c>
    </row>
    <row r="2258" spans="3:21" ht="12.5" x14ac:dyDescent="0.25">
      <c r="C2258" s="4">
        <f ca="1">IFERROR(__xludf.DUMMYFUNCTION("""COMPUTED_VALUE"""),42663.9986111111)</f>
        <v>42663.998611111099</v>
      </c>
      <c r="D2258" s="2">
        <f ca="1">IFERROR(__xludf.DUMMYFUNCTION("""COMPUTED_VALUE"""),66.8413)</f>
        <v>66.841300000000004</v>
      </c>
      <c r="E2258" s="2">
        <f ca="1">IFERROR(__xludf.DUMMYFUNCTION("""COMPUTED_VALUE"""),70.435)</f>
        <v>70.435000000000002</v>
      </c>
      <c r="F2258" s="2">
        <f ca="1">IFERROR(__xludf.DUMMYFUNCTION("""COMPUTED_VALUE"""),87.329)</f>
        <v>87.328999999999994</v>
      </c>
      <c r="G2258" s="2">
        <f ca="1">IFERROR(__xludf.DUMMYFUNCTION("""COMPUTED_VALUE"""),0.5862)</f>
        <v>0.58620000000000005</v>
      </c>
      <c r="H2258" s="2">
        <f ca="1">IFERROR(__xludf.DUMMYFUNCTION("""COMPUTED_VALUE"""),48.35)</f>
        <v>48.35</v>
      </c>
      <c r="I2258" s="2">
        <f ca="1">IFERROR(__xludf.DUMMYFUNCTION("""COMPUTED_VALUE"""),46.765)</f>
        <v>46.765000000000001</v>
      </c>
      <c r="J2258" s="2">
        <f ca="1">IFERROR(__xludf.DUMMYFUNCTION("""COMPUTED_VALUE"""),45.959)</f>
        <v>45.959000000000003</v>
      </c>
      <c r="K2258" s="2">
        <f ca="1">IFERROR(__xludf.DUMMYFUNCTION("""COMPUTED_VALUE"""),66.844)</f>
        <v>66.843999999999994</v>
      </c>
      <c r="M2258" s="2">
        <f ca="1">IFERROR(__xludf.DUMMYFUNCTION("""COMPUTED_VALUE"""),18.676)</f>
        <v>18.675999999999998</v>
      </c>
      <c r="U2258" s="3" t="e">
        <f ca="1"/>
        <v>#NAME?</v>
      </c>
    </row>
    <row r="2259" spans="3:21" ht="12.5" x14ac:dyDescent="0.25">
      <c r="C2259" s="4">
        <f ca="1">IFERROR(__xludf.DUMMYFUNCTION("""COMPUTED_VALUE"""),42664.9986111111)</f>
        <v>42664.998611111099</v>
      </c>
      <c r="D2259" s="2">
        <f ca="1">IFERROR(__xludf.DUMMYFUNCTION("""COMPUTED_VALUE"""),66.918)</f>
        <v>66.918000000000006</v>
      </c>
      <c r="E2259" s="2">
        <f ca="1">IFERROR(__xludf.DUMMYFUNCTION("""COMPUTED_VALUE"""),70.644)</f>
        <v>70.644000000000005</v>
      </c>
      <c r="F2259" s="2">
        <f ca="1">IFERROR(__xludf.DUMMYFUNCTION("""COMPUTED_VALUE"""),86.949)</f>
        <v>86.948999999999998</v>
      </c>
      <c r="G2259" s="2">
        <f ca="1">IFERROR(__xludf.DUMMYFUNCTION("""COMPUTED_VALUE"""),0.58127)</f>
        <v>0.58126999999999995</v>
      </c>
      <c r="H2259" s="2">
        <f ca="1">IFERROR(__xludf.DUMMYFUNCTION("""COMPUTED_VALUE"""),47.606)</f>
        <v>47.606000000000002</v>
      </c>
      <c r="I2259" s="2">
        <f ca="1">IFERROR(__xludf.DUMMYFUNCTION("""COMPUTED_VALUE"""),46.689)</f>
        <v>46.689</v>
      </c>
      <c r="J2259" s="2">
        <f ca="1">IFERROR(__xludf.DUMMYFUNCTION("""COMPUTED_VALUE"""),46.005)</f>
        <v>46.005000000000003</v>
      </c>
      <c r="K2259" s="2">
        <f ca="1">IFERROR(__xludf.DUMMYFUNCTION("""COMPUTED_VALUE"""),66.844)</f>
        <v>66.843999999999994</v>
      </c>
      <c r="M2259" s="2">
        <f ca="1">IFERROR(__xludf.DUMMYFUNCTION("""COMPUTED_VALUE"""),18.671)</f>
        <v>18.670999999999999</v>
      </c>
      <c r="U2259" s="3" t="e">
        <f ca="1"/>
        <v>#NAME?</v>
      </c>
    </row>
    <row r="2260" spans="3:21" ht="12.5" x14ac:dyDescent="0.25">
      <c r="C2260" s="4">
        <f ca="1">IFERROR(__xludf.DUMMYFUNCTION("""COMPUTED_VALUE"""),42665.9986111111)</f>
        <v>42665.998611111099</v>
      </c>
      <c r="D2260" s="2">
        <f ca="1">IFERROR(__xludf.DUMMYFUNCTION("""COMPUTED_VALUE"""),66.9112)</f>
        <v>66.911199999999994</v>
      </c>
      <c r="E2260" s="2">
        <f ca="1">IFERROR(__xludf.DUMMYFUNCTION("""COMPUTED_VALUE"""),70.24)</f>
        <v>70.239999999999995</v>
      </c>
      <c r="F2260" s="2">
        <f ca="1">IFERROR(__xludf.DUMMYFUNCTION("""COMPUTED_VALUE"""),87.019)</f>
        <v>87.019000000000005</v>
      </c>
      <c r="G2260" s="2">
        <f ca="1">IFERROR(__xludf.DUMMYFUNCTION("""COMPUTED_VALUE"""),0.58081)</f>
        <v>0.58081000000000005</v>
      </c>
      <c r="H2260" s="2">
        <f ca="1">IFERROR(__xludf.DUMMYFUNCTION("""COMPUTED_VALUE"""),47.546)</f>
        <v>47.545999999999999</v>
      </c>
      <c r="I2260" s="2">
        <f ca="1">IFERROR(__xludf.DUMMYFUNCTION("""COMPUTED_VALUE"""),46.645)</f>
        <v>46.645000000000003</v>
      </c>
      <c r="J2260" s="2">
        <f ca="1">IFERROR(__xludf.DUMMYFUNCTION("""COMPUTED_VALUE"""),45.868)</f>
        <v>45.868000000000002</v>
      </c>
      <c r="K2260" s="2">
        <f ca="1">IFERROR(__xludf.DUMMYFUNCTION("""COMPUTED_VALUE"""),66.607)</f>
        <v>66.606999999999999</v>
      </c>
      <c r="M2260" s="2">
        <f ca="1">IFERROR(__xludf.DUMMYFUNCTION("""COMPUTED_VALUE"""),18.57)</f>
        <v>18.57</v>
      </c>
      <c r="U2260" s="3" t="e">
        <f ca="1"/>
        <v>#NAME?</v>
      </c>
    </row>
    <row r="2261" spans="3:21" ht="12.5" x14ac:dyDescent="0.25">
      <c r="C2261" s="4">
        <f ca="1">IFERROR(__xludf.DUMMYFUNCTION("""COMPUTED_VALUE"""),42666.9986111111)</f>
        <v>42666.998611111099</v>
      </c>
      <c r="D2261" s="2">
        <f ca="1">IFERROR(__xludf.DUMMYFUNCTION("""COMPUTED_VALUE"""),66.9112)</f>
        <v>66.911199999999994</v>
      </c>
      <c r="E2261" s="2">
        <f ca="1">IFERROR(__xludf.DUMMYFUNCTION("""COMPUTED_VALUE"""),70.328)</f>
        <v>70.328000000000003</v>
      </c>
      <c r="F2261" s="2">
        <f ca="1">IFERROR(__xludf.DUMMYFUNCTION("""COMPUTED_VALUE"""),87.168)</f>
        <v>87.168000000000006</v>
      </c>
      <c r="G2261" s="2">
        <f ca="1">IFERROR(__xludf.DUMMYFUNCTION("""COMPUTED_VALUE"""),0.57658)</f>
        <v>0.57657999999999998</v>
      </c>
      <c r="H2261" s="2">
        <f ca="1">IFERROR(__xludf.DUMMYFUNCTION("""COMPUTED_VALUE"""),47.665)</f>
        <v>47.664999999999999</v>
      </c>
      <c r="I2261" s="2">
        <f ca="1">IFERROR(__xludf.DUMMYFUNCTION("""COMPUTED_VALUE"""),47.055)</f>
        <v>47.055</v>
      </c>
      <c r="J2261" s="2">
        <f ca="1">IFERROR(__xludf.DUMMYFUNCTION("""COMPUTED_VALUE"""),45.805)</f>
        <v>45.805</v>
      </c>
      <c r="K2261" s="2">
        <f ca="1">IFERROR(__xludf.DUMMYFUNCTION("""COMPUTED_VALUE"""),66.289)</f>
        <v>66.289000000000001</v>
      </c>
      <c r="M2261" s="2">
        <f ca="1">IFERROR(__xludf.DUMMYFUNCTION("""COMPUTED_VALUE"""),18.513)</f>
        <v>18.513000000000002</v>
      </c>
      <c r="U2261" s="3" t="e">
        <f ca="1"/>
        <v>#NAME?</v>
      </c>
    </row>
    <row r="2262" spans="3:21" ht="12.5" x14ac:dyDescent="0.25">
      <c r="C2262" s="4">
        <f ca="1">IFERROR(__xludf.DUMMYFUNCTION("""COMPUTED_VALUE"""),42667.9986111111)</f>
        <v>42667.998611111099</v>
      </c>
      <c r="D2262" s="2">
        <f ca="1">IFERROR(__xludf.DUMMYFUNCTION("""COMPUTED_VALUE"""),66.834)</f>
        <v>66.834000000000003</v>
      </c>
      <c r="E2262" s="2">
        <f ca="1">IFERROR(__xludf.DUMMYFUNCTION("""COMPUTED_VALUE"""),70.056)</f>
        <v>70.055999999999997</v>
      </c>
      <c r="F2262" s="2">
        <f ca="1">IFERROR(__xludf.DUMMYFUNCTION("""COMPUTED_VALUE"""),86.47)</f>
        <v>86.47</v>
      </c>
      <c r="G2262" s="2">
        <f ca="1">IFERROR(__xludf.DUMMYFUNCTION("""COMPUTED_VALUE"""),0.57899)</f>
        <v>0.57899</v>
      </c>
      <c r="H2262" s="2">
        <f ca="1">IFERROR(__xludf.DUMMYFUNCTION("""COMPUTED_VALUE"""),47.503)</f>
        <v>47.503</v>
      </c>
      <c r="I2262" s="2">
        <f ca="1">IFERROR(__xludf.DUMMYFUNCTION("""COMPUTED_VALUE"""),46.948)</f>
        <v>46.948</v>
      </c>
      <c r="J2262" s="2">
        <f ca="1">IFERROR(__xludf.DUMMYFUNCTION("""COMPUTED_VALUE"""),45.72)</f>
        <v>45.72</v>
      </c>
      <c r="K2262" s="2">
        <f ca="1">IFERROR(__xludf.DUMMYFUNCTION("""COMPUTED_VALUE"""),66.12)</f>
        <v>66.12</v>
      </c>
      <c r="M2262" s="2">
        <f ca="1">IFERROR(__xludf.DUMMYFUNCTION("""COMPUTED_VALUE"""),18.514)</f>
        <v>18.513999999999999</v>
      </c>
      <c r="U2262" s="3" t="e">
        <f ca="1"/>
        <v>#NAME?</v>
      </c>
    </row>
    <row r="2263" spans="3:21" ht="12.5" x14ac:dyDescent="0.25">
      <c r="C2263" s="4">
        <f ca="1">IFERROR(__xludf.DUMMYFUNCTION("""COMPUTED_VALUE"""),42668.9986111111)</f>
        <v>42668.998611111099</v>
      </c>
      <c r="D2263" s="2">
        <f ca="1">IFERROR(__xludf.DUMMYFUNCTION("""COMPUTED_VALUE"""),66.7813)</f>
        <v>66.781300000000002</v>
      </c>
      <c r="E2263" s="2">
        <f ca="1">IFERROR(__xludf.DUMMYFUNCTION("""COMPUTED_VALUE"""),69.893)</f>
        <v>69.893000000000001</v>
      </c>
      <c r="F2263" s="2">
        <f ca="1">IFERROR(__xludf.DUMMYFUNCTION("""COMPUTED_VALUE"""),86.499)</f>
        <v>86.498999999999995</v>
      </c>
      <c r="G2263" s="2">
        <f ca="1">IFERROR(__xludf.DUMMYFUNCTION("""COMPUTED_VALUE"""),0.57922)</f>
        <v>0.57921999999999996</v>
      </c>
      <c r="H2263" s="2">
        <f ca="1">IFERROR(__xludf.DUMMYFUNCTION("""COMPUTED_VALUE"""),47.435)</f>
        <v>47.435000000000002</v>
      </c>
      <c r="I2263" s="2">
        <f ca="1">IFERROR(__xludf.DUMMYFUNCTION("""COMPUTED_VALUE"""),47.124)</f>
        <v>47.124000000000002</v>
      </c>
      <c r="J2263" s="2">
        <f ca="1">IFERROR(__xludf.DUMMYFUNCTION("""COMPUTED_VALUE"""),45.735)</f>
        <v>45.734999999999999</v>
      </c>
      <c r="K2263" s="2">
        <f ca="1">IFERROR(__xludf.DUMMYFUNCTION("""COMPUTED_VALUE"""),66.203)</f>
        <v>66.203000000000003</v>
      </c>
      <c r="M2263" s="2">
        <f ca="1">IFERROR(__xludf.DUMMYFUNCTION("""COMPUTED_VALUE"""),18.442)</f>
        <v>18.442</v>
      </c>
      <c r="U2263" s="3" t="e">
        <f ca="1"/>
        <v>#NAME?</v>
      </c>
    </row>
    <row r="2264" spans="3:21" ht="12.5" x14ac:dyDescent="0.25">
      <c r="C2264" s="4">
        <f ca="1">IFERROR(__xludf.DUMMYFUNCTION("""COMPUTED_VALUE"""),42669.9986111111)</f>
        <v>42669.998611111099</v>
      </c>
      <c r="D2264" s="2">
        <f ca="1">IFERROR(__xludf.DUMMYFUNCTION("""COMPUTED_VALUE"""),66.864)</f>
        <v>66.864000000000004</v>
      </c>
      <c r="E2264" s="2">
        <f ca="1">IFERROR(__xludf.DUMMYFUNCTION("""COMPUTED_VALUE"""),70.144)</f>
        <v>70.144000000000005</v>
      </c>
      <c r="F2264" s="2">
        <f ca="1">IFERROR(__xludf.DUMMYFUNCTION("""COMPUTED_VALUE"""),86.499)</f>
        <v>86.498999999999995</v>
      </c>
      <c r="G2264" s="2">
        <f ca="1">IFERROR(__xludf.DUMMYFUNCTION("""COMPUTED_VALUE"""),0.57994)</f>
        <v>0.57994000000000001</v>
      </c>
      <c r="H2264" s="2">
        <f ca="1">IFERROR(__xludf.DUMMYFUNCTION("""COMPUTED_VALUE"""),47.432)</f>
        <v>47.432000000000002</v>
      </c>
      <c r="I2264" s="2">
        <f ca="1">IFERROR(__xludf.DUMMYFUNCTION("""COMPUTED_VALUE"""),47.015)</f>
        <v>47.015000000000001</v>
      </c>
      <c r="J2264" s="2">
        <f ca="1">IFERROR(__xludf.DUMMYFUNCTION("""COMPUTED_VALUE"""),45.812)</f>
        <v>45.811999999999998</v>
      </c>
      <c r="K2264" s="2">
        <f ca="1">IFERROR(__xludf.DUMMYFUNCTION("""COMPUTED_VALUE"""),66.066)</f>
        <v>66.066000000000003</v>
      </c>
      <c r="M2264" s="2">
        <f ca="1">IFERROR(__xludf.DUMMYFUNCTION("""COMPUTED_VALUE"""),18.356)</f>
        <v>18.356000000000002</v>
      </c>
      <c r="U2264" s="3" t="e">
        <f ca="1"/>
        <v>#NAME?</v>
      </c>
    </row>
    <row r="2265" spans="3:21" ht="12.5" x14ac:dyDescent="0.25">
      <c r="C2265" s="4">
        <f ca="1">IFERROR(__xludf.DUMMYFUNCTION("""COMPUTED_VALUE"""),42670.9986111111)</f>
        <v>42670.998611111099</v>
      </c>
      <c r="D2265" s="2">
        <f ca="1">IFERROR(__xludf.DUMMYFUNCTION("""COMPUTED_VALUE"""),66.903)</f>
        <v>66.903000000000006</v>
      </c>
      <c r="E2265" s="2">
        <f ca="1">IFERROR(__xludf.DUMMYFUNCTION("""COMPUTED_VALUE"""),70.267)</f>
        <v>70.266999999999996</v>
      </c>
      <c r="F2265" s="2">
        <f ca="1">IFERROR(__xludf.DUMMYFUNCTION("""COMPUTED_VALUE"""),86.379)</f>
        <v>86.379000000000005</v>
      </c>
      <c r="G2265" s="2">
        <f ca="1">IFERROR(__xludf.DUMMYFUNCTION("""COMPUTED_VALUE"""),0.57919)</f>
        <v>0.57918999999999998</v>
      </c>
      <c r="H2265" s="2">
        <f ca="1">IFERROR(__xludf.DUMMYFUNCTION("""COMPUTED_VALUE"""),47.465)</f>
        <v>47.465000000000003</v>
      </c>
      <c r="I2265" s="2">
        <f ca="1">IFERROR(__xludf.DUMMYFUNCTION("""COMPUTED_VALUE"""),46.941)</f>
        <v>46.941000000000003</v>
      </c>
      <c r="J2265" s="2">
        <f ca="1">IFERROR(__xludf.DUMMYFUNCTION("""COMPUTED_VALUE"""),45.658)</f>
        <v>45.658000000000001</v>
      </c>
      <c r="K2265" s="2">
        <f ca="1">IFERROR(__xludf.DUMMYFUNCTION("""COMPUTED_VALUE"""),66.067)</f>
        <v>66.066999999999993</v>
      </c>
      <c r="M2265" s="2">
        <f ca="1">IFERROR(__xludf.DUMMYFUNCTION("""COMPUTED_VALUE"""),18.348)</f>
        <v>18.347999999999999</v>
      </c>
      <c r="U2265" s="3" t="e">
        <f ca="1"/>
        <v>#NAME?</v>
      </c>
    </row>
    <row r="2266" spans="3:21" ht="12.5" x14ac:dyDescent="0.25">
      <c r="C2266" s="4">
        <f ca="1">IFERROR(__xludf.DUMMYFUNCTION("""COMPUTED_VALUE"""),42671.9986111111)</f>
        <v>42671.998611111099</v>
      </c>
      <c r="D2266" s="2">
        <f ca="1">IFERROR(__xludf.DUMMYFUNCTION("""COMPUTED_VALUE"""),66.771)</f>
        <v>66.771000000000001</v>
      </c>
      <c r="E2266" s="2">
        <f ca="1">IFERROR(__xludf.DUMMYFUNCTION("""COMPUTED_VALUE"""),70.968)</f>
        <v>70.968000000000004</v>
      </c>
      <c r="F2266" s="2">
        <f ca="1">IFERROR(__xludf.DUMMYFUNCTION("""COMPUTED_VALUE"""),86.467)</f>
        <v>86.466999999999999</v>
      </c>
      <c r="G2266" s="2">
        <f ca="1">IFERROR(__xludf.DUMMYFUNCTION("""COMPUTED_VALUE"""),0.57919)</f>
        <v>0.57918999999999998</v>
      </c>
      <c r="H2266" s="2">
        <f ca="1">IFERROR(__xludf.DUMMYFUNCTION("""COMPUTED_VALUE"""),47.398)</f>
        <v>47.398000000000003</v>
      </c>
      <c r="I2266" s="2">
        <f ca="1">IFERROR(__xludf.DUMMYFUNCTION("""COMPUTED_VALUE"""),46.791)</f>
        <v>46.790999999999997</v>
      </c>
      <c r="J2266" s="2">
        <f ca="1">IFERROR(__xludf.DUMMYFUNCTION("""COMPUTED_VALUE"""),45.693)</f>
        <v>45.692999999999998</v>
      </c>
      <c r="K2266" s="2">
        <f ca="1">IFERROR(__xludf.DUMMYFUNCTION("""COMPUTED_VALUE"""),65.997)</f>
        <v>65.997</v>
      </c>
      <c r="M2266" s="2">
        <f ca="1">IFERROR(__xludf.DUMMYFUNCTION("""COMPUTED_VALUE"""),18.368)</f>
        <v>18.367999999999999</v>
      </c>
      <c r="U2266" s="3" t="e">
        <f ca="1"/>
        <v>#NAME?</v>
      </c>
    </row>
    <row r="2267" spans="3:21" ht="12.5" x14ac:dyDescent="0.25">
      <c r="C2267" s="4">
        <f ca="1">IFERROR(__xludf.DUMMYFUNCTION("""COMPUTED_VALUE"""),42672.9986111111)</f>
        <v>42672.998611111099</v>
      </c>
      <c r="D2267" s="2">
        <f ca="1">IFERROR(__xludf.DUMMYFUNCTION("""COMPUTED_VALUE"""),66.7814)</f>
        <v>66.781400000000005</v>
      </c>
      <c r="E2267" s="2">
        <f ca="1">IFERROR(__xludf.DUMMYFUNCTION("""COMPUTED_VALUE"""),71.467)</f>
        <v>71.466999999999999</v>
      </c>
      <c r="F2267" s="2">
        <f ca="1">IFERROR(__xludf.DUMMYFUNCTION("""COMPUTED_VALUE"""),86.495)</f>
        <v>86.495000000000005</v>
      </c>
      <c r="G2267" s="2">
        <f ca="1">IFERROR(__xludf.DUMMYFUNCTION("""COMPUTED_VALUE"""),0.57919)</f>
        <v>0.57918999999999998</v>
      </c>
      <c r="H2267" s="2">
        <f ca="1">IFERROR(__xludf.DUMMYFUNCTION("""COMPUTED_VALUE"""),47.485)</f>
        <v>47.484999999999999</v>
      </c>
      <c r="I2267" s="2">
        <f ca="1">IFERROR(__xludf.DUMMYFUNCTION("""COMPUTED_VALUE"""),46.945)</f>
        <v>46.945</v>
      </c>
      <c r="J2267" s="2">
        <f ca="1">IFERROR(__xludf.DUMMYFUNCTION("""COMPUTED_VALUE"""),45.713)</f>
        <v>45.713000000000001</v>
      </c>
      <c r="K2267" s="2">
        <f ca="1">IFERROR(__xludf.DUMMYFUNCTION("""COMPUTED_VALUE"""),66.195)</f>
        <v>66.194999999999993</v>
      </c>
      <c r="M2267" s="2">
        <f ca="1">IFERROR(__xludf.DUMMYFUNCTION("""COMPUTED_VALUE"""),18.364)</f>
        <v>18.364000000000001</v>
      </c>
      <c r="U2267" s="3" t="e">
        <f ca="1"/>
        <v>#NAME?</v>
      </c>
    </row>
    <row r="2268" spans="3:21" ht="12.5" x14ac:dyDescent="0.25">
      <c r="C2268" s="4">
        <f ca="1">IFERROR(__xludf.DUMMYFUNCTION("""COMPUTED_VALUE"""),42673.9986111111)</f>
        <v>42673.998611111099</v>
      </c>
      <c r="D2268" s="2">
        <f ca="1">IFERROR(__xludf.DUMMYFUNCTION("""COMPUTED_VALUE"""),66.7814)</f>
        <v>66.781400000000005</v>
      </c>
      <c r="E2268" s="2">
        <f ca="1">IFERROR(__xludf.DUMMYFUNCTION("""COMPUTED_VALUE"""),72.008)</f>
        <v>72.007999999999996</v>
      </c>
      <c r="F2268" s="2">
        <f ca="1">IFERROR(__xludf.DUMMYFUNCTION("""COMPUTED_VALUE"""),86.628)</f>
        <v>86.628</v>
      </c>
      <c r="G2268" s="2">
        <f ca="1">IFERROR(__xludf.DUMMYFUNCTION("""COMPUTED_VALUE"""),0.57536)</f>
        <v>0.57535999999999998</v>
      </c>
      <c r="H2268" s="2">
        <f ca="1">IFERROR(__xludf.DUMMYFUNCTION("""COMPUTED_VALUE"""),47.473)</f>
        <v>47.472999999999999</v>
      </c>
      <c r="I2268" s="2">
        <f ca="1">IFERROR(__xludf.DUMMYFUNCTION("""COMPUTED_VALUE"""),46.991)</f>
        <v>46.991</v>
      </c>
      <c r="J2268" s="2">
        <f ca="1">IFERROR(__xludf.DUMMYFUNCTION("""COMPUTED_VALUE"""),45.791)</f>
        <v>45.790999999999997</v>
      </c>
      <c r="K2268" s="2">
        <f ca="1">IFERROR(__xludf.DUMMYFUNCTION("""COMPUTED_VALUE"""),66.112)</f>
        <v>66.111999999999995</v>
      </c>
      <c r="M2268" s="2">
        <f ca="1">IFERROR(__xludf.DUMMYFUNCTION("""COMPUTED_VALUE"""),18.366)</f>
        <v>18.366</v>
      </c>
      <c r="U2268" s="3" t="e">
        <f ca="1"/>
        <v>#NAME?</v>
      </c>
    </row>
    <row r="2269" spans="3:21" ht="12.5" x14ac:dyDescent="0.25">
      <c r="C2269" s="4">
        <f ca="1">IFERROR(__xludf.DUMMYFUNCTION("""COMPUTED_VALUE"""),42674.9986111111)</f>
        <v>42674.998611111099</v>
      </c>
      <c r="D2269" s="2">
        <f ca="1">IFERROR(__xludf.DUMMYFUNCTION("""COMPUTED_VALUE"""),66.6655)</f>
        <v>66.665499999999994</v>
      </c>
      <c r="E2269" s="2">
        <f ca="1">IFERROR(__xludf.DUMMYFUNCTION("""COMPUTED_VALUE"""),72.265)</f>
        <v>72.265000000000001</v>
      </c>
      <c r="F2269" s="2">
        <f ca="1">IFERROR(__xludf.DUMMYFUNCTION("""COMPUTED_VALUE"""),86.373)</f>
        <v>86.373000000000005</v>
      </c>
      <c r="G2269" s="2">
        <f ca="1">IFERROR(__xludf.DUMMYFUNCTION("""COMPUTED_VALUE"""),0.574)</f>
        <v>0.57399999999999995</v>
      </c>
      <c r="H2269" s="2">
        <f ca="1">IFERROR(__xludf.DUMMYFUNCTION("""COMPUTED_VALUE"""),47.606)</f>
        <v>47.606000000000002</v>
      </c>
      <c r="I2269" s="2">
        <f ca="1">IFERROR(__xludf.DUMMYFUNCTION("""COMPUTED_VALUE"""),47.103)</f>
        <v>47.103000000000002</v>
      </c>
      <c r="J2269" s="2">
        <f ca="1">IFERROR(__xludf.DUMMYFUNCTION("""COMPUTED_VALUE"""),45.862)</f>
        <v>45.862000000000002</v>
      </c>
      <c r="K2269" s="2">
        <f ca="1">IFERROR(__xludf.DUMMYFUNCTION("""COMPUTED_VALUE"""),65.834)</f>
        <v>65.834000000000003</v>
      </c>
      <c r="M2269" s="2">
        <f ca="1">IFERROR(__xludf.DUMMYFUNCTION("""COMPUTED_VALUE"""),18.352)</f>
        <v>18.352</v>
      </c>
      <c r="U2269" s="3" t="e">
        <f ca="1"/>
        <v>#NAME?</v>
      </c>
    </row>
    <row r="2270" spans="3:21" ht="12.5" x14ac:dyDescent="0.25">
      <c r="C2270" s="4">
        <f ca="1">IFERROR(__xludf.DUMMYFUNCTION("""COMPUTED_VALUE"""),42675.9986111111)</f>
        <v>42675.998611111099</v>
      </c>
      <c r="D2270" s="2">
        <f ca="1">IFERROR(__xludf.DUMMYFUNCTION("""COMPUTED_VALUE"""),66.6785)</f>
        <v>66.6785</v>
      </c>
      <c r="E2270" s="2">
        <f ca="1">IFERROR(__xludf.DUMMYFUNCTION("""COMPUTED_VALUE"""),72.265)</f>
        <v>72.265000000000001</v>
      </c>
      <c r="F2270" s="2">
        <f ca="1">IFERROR(__xludf.DUMMYFUNCTION("""COMPUTED_VALUE"""),86.264)</f>
        <v>86.263999999999996</v>
      </c>
      <c r="G2270" s="2">
        <f ca="1">IFERROR(__xludf.DUMMYFUNCTION("""COMPUTED_VALUE"""),0.57365)</f>
        <v>0.57364999999999999</v>
      </c>
      <c r="H2270" s="2">
        <f ca="1">IFERROR(__xludf.DUMMYFUNCTION("""COMPUTED_VALUE"""),48.093)</f>
        <v>48.093000000000004</v>
      </c>
      <c r="I2270" s="2">
        <f ca="1">IFERROR(__xludf.DUMMYFUNCTION("""COMPUTED_VALUE"""),47.64)</f>
        <v>47.64</v>
      </c>
      <c r="J2270" s="2">
        <f ca="1">IFERROR(__xludf.DUMMYFUNCTION("""COMPUTED_VALUE"""),46.043)</f>
        <v>46.042999999999999</v>
      </c>
      <c r="K2270" s="2">
        <f ca="1">IFERROR(__xludf.DUMMYFUNCTION("""COMPUTED_VALUE"""),66.191)</f>
        <v>66.191000000000003</v>
      </c>
      <c r="M2270" s="2">
        <f ca="1">IFERROR(__xludf.DUMMYFUNCTION("""COMPUTED_VALUE"""),18.344)</f>
        <v>18.344000000000001</v>
      </c>
      <c r="U2270" s="3" t="e">
        <f ca="1"/>
        <v>#NAME?</v>
      </c>
    </row>
    <row r="2271" spans="3:21" ht="12.5" x14ac:dyDescent="0.25">
      <c r="C2271" s="4">
        <f ca="1">IFERROR(__xludf.DUMMYFUNCTION("""COMPUTED_VALUE"""),42676.9986111111)</f>
        <v>42676.998611111099</v>
      </c>
      <c r="D2271" s="2">
        <f ca="1">IFERROR(__xludf.DUMMYFUNCTION("""COMPUTED_VALUE"""),66.7775)</f>
        <v>66.777500000000003</v>
      </c>
      <c r="E2271" s="2">
        <f ca="1">IFERROR(__xludf.DUMMYFUNCTION("""COMPUTED_VALUE"""),72.42)</f>
        <v>72.42</v>
      </c>
      <c r="F2271" s="2">
        <f ca="1">IFERROR(__xludf.DUMMYFUNCTION("""COMPUTED_VALUE"""),86.129)</f>
        <v>86.129000000000005</v>
      </c>
      <c r="G2271" s="2">
        <f ca="1">IFERROR(__xludf.DUMMYFUNCTION("""COMPUTED_VALUE"""),0.57664)</f>
        <v>0.57664000000000004</v>
      </c>
      <c r="H2271" s="2">
        <f ca="1">IFERROR(__xludf.DUMMYFUNCTION("""COMPUTED_VALUE"""),48.09)</f>
        <v>48.09</v>
      </c>
      <c r="I2271" s="2">
        <f ca="1">IFERROR(__xludf.DUMMYFUNCTION("""COMPUTED_VALUE"""),47.719)</f>
        <v>47.719000000000001</v>
      </c>
      <c r="J2271" s="2">
        <f ca="1">IFERROR(__xludf.DUMMYFUNCTION("""COMPUTED_VALUE"""),46.537)</f>
        <v>46.536999999999999</v>
      </c>
      <c r="K2271" s="2">
        <f ca="1">IFERROR(__xludf.DUMMYFUNCTION("""COMPUTED_VALUE"""),66.2)</f>
        <v>66.2</v>
      </c>
      <c r="M2271" s="2">
        <f ca="1">IFERROR(__xludf.DUMMYFUNCTION("""COMPUTED_VALUE"""),18.462)</f>
        <v>18.462</v>
      </c>
      <c r="U2271" s="3" t="e">
        <f ca="1"/>
        <v>#NAME?</v>
      </c>
    </row>
    <row r="2272" spans="3:21" ht="12.5" x14ac:dyDescent="0.25">
      <c r="C2272" s="4">
        <f ca="1">IFERROR(__xludf.DUMMYFUNCTION("""COMPUTED_VALUE"""),42677.9986111111)</f>
        <v>42677.998611111099</v>
      </c>
      <c r="D2272" s="2">
        <f ca="1">IFERROR(__xludf.DUMMYFUNCTION("""COMPUTED_VALUE"""),66.6845)</f>
        <v>66.6845</v>
      </c>
      <c r="E2272" s="2">
        <f ca="1">IFERROR(__xludf.DUMMYFUNCTION("""COMPUTED_VALUE"""),72.466)</f>
        <v>72.465999999999994</v>
      </c>
      <c r="F2272" s="2">
        <f ca="1">IFERROR(__xludf.DUMMYFUNCTION("""COMPUTED_VALUE"""),85.289)</f>
        <v>85.289000000000001</v>
      </c>
      <c r="G2272" s="2">
        <f ca="1">IFERROR(__xludf.DUMMYFUNCTION("""COMPUTED_VALUE"""),0.57444)</f>
        <v>0.57443999999999995</v>
      </c>
      <c r="H2272" s="2">
        <f ca="1">IFERROR(__xludf.DUMMYFUNCTION("""COMPUTED_VALUE"""),48.089)</f>
        <v>48.088999999999999</v>
      </c>
      <c r="I2272" s="2">
        <f ca="1">IFERROR(__xludf.DUMMYFUNCTION("""COMPUTED_VALUE"""),47.719)</f>
        <v>47.719000000000001</v>
      </c>
      <c r="J2272" s="2">
        <f ca="1">IFERROR(__xludf.DUMMYFUNCTION("""COMPUTED_VALUE"""),46.552)</f>
        <v>46.552</v>
      </c>
      <c r="K2272" s="2">
        <f ca="1">IFERROR(__xludf.DUMMYFUNCTION("""COMPUTED_VALUE"""),64.828)</f>
        <v>64.828000000000003</v>
      </c>
      <c r="M2272" s="2">
        <f ca="1">IFERROR(__xludf.DUMMYFUNCTION("""COMPUTED_VALUE"""),18.469)</f>
        <v>18.469000000000001</v>
      </c>
      <c r="U2272" s="3" t="e">
        <f ca="1"/>
        <v>#NAME?</v>
      </c>
    </row>
    <row r="2273" spans="3:21" ht="12.5" x14ac:dyDescent="0.25">
      <c r="C2273" s="4">
        <f ca="1">IFERROR(__xludf.DUMMYFUNCTION("""COMPUTED_VALUE"""),42678.9986111111)</f>
        <v>42678.998611111099</v>
      </c>
      <c r="D2273" s="2">
        <f ca="1">IFERROR(__xludf.DUMMYFUNCTION("""COMPUTED_VALUE"""),66.788)</f>
        <v>66.787999999999997</v>
      </c>
      <c r="E2273" s="2">
        <f ca="1">IFERROR(__xludf.DUMMYFUNCTION("""COMPUTED_VALUE"""),72.66)</f>
        <v>72.66</v>
      </c>
      <c r="F2273" s="2">
        <f ca="1">IFERROR(__xludf.DUMMYFUNCTION("""COMPUTED_VALUE"""),84.737)</f>
        <v>84.736999999999995</v>
      </c>
      <c r="G2273" s="2">
        <f ca="1">IFERROR(__xludf.DUMMYFUNCTION("""COMPUTED_VALUE"""),0.57121)</f>
        <v>0.57121</v>
      </c>
      <c r="H2273" s="2">
        <f ca="1">IFERROR(__xludf.DUMMYFUNCTION("""COMPUTED_VALUE"""),48.138)</f>
        <v>48.137999999999998</v>
      </c>
      <c r="I2273" s="2">
        <f ca="1">IFERROR(__xludf.DUMMYFUNCTION("""COMPUTED_VALUE"""),47.758)</f>
        <v>47.758000000000003</v>
      </c>
      <c r="J2273" s="2">
        <f ca="1">IFERROR(__xludf.DUMMYFUNCTION("""COMPUTED_VALUE"""),46.552)</f>
        <v>46.552</v>
      </c>
      <c r="K2273" s="2">
        <f ca="1">IFERROR(__xludf.DUMMYFUNCTION("""COMPUTED_VALUE"""),65.799)</f>
        <v>65.799000000000007</v>
      </c>
      <c r="M2273" s="2">
        <f ca="1">IFERROR(__xludf.DUMMYFUNCTION("""COMPUTED_VALUE"""),18.466)</f>
        <v>18.466000000000001</v>
      </c>
      <c r="U2273" s="3" t="e">
        <f ca="1"/>
        <v>#NAME?</v>
      </c>
    </row>
    <row r="2274" spans="3:21" ht="12.5" x14ac:dyDescent="0.25">
      <c r="C2274" s="4">
        <f ca="1">IFERROR(__xludf.DUMMYFUNCTION("""COMPUTED_VALUE"""),42679.9986111111)</f>
        <v>42679.998611111099</v>
      </c>
      <c r="D2274" s="2">
        <f ca="1">IFERROR(__xludf.DUMMYFUNCTION("""COMPUTED_VALUE"""),66.7853)</f>
        <v>66.785300000000007</v>
      </c>
      <c r="E2274" s="2">
        <f ca="1">IFERROR(__xludf.DUMMYFUNCTION("""COMPUTED_VALUE"""),72.289)</f>
        <v>72.289000000000001</v>
      </c>
      <c r="F2274" s="2">
        <f ca="1">IFERROR(__xludf.DUMMYFUNCTION("""COMPUTED_VALUE"""),84.902)</f>
        <v>84.902000000000001</v>
      </c>
      <c r="G2274" s="2">
        <f ca="1">IFERROR(__xludf.DUMMYFUNCTION("""COMPUTED_VALUE"""),0.57292)</f>
        <v>0.57291999999999998</v>
      </c>
      <c r="H2274" s="2">
        <f ca="1">IFERROR(__xludf.DUMMYFUNCTION("""COMPUTED_VALUE"""),48.439)</f>
        <v>48.439</v>
      </c>
      <c r="I2274" s="2">
        <f ca="1">IFERROR(__xludf.DUMMYFUNCTION("""COMPUTED_VALUE"""),47.942)</f>
        <v>47.942</v>
      </c>
      <c r="J2274" s="2">
        <f ca="1">IFERROR(__xludf.DUMMYFUNCTION("""COMPUTED_VALUE"""),46.477)</f>
        <v>46.476999999999997</v>
      </c>
      <c r="K2274" s="2">
        <f ca="1">IFERROR(__xludf.DUMMYFUNCTION("""COMPUTED_VALUE"""),65.685)</f>
        <v>65.685000000000002</v>
      </c>
      <c r="M2274" s="2">
        <f ca="1">IFERROR(__xludf.DUMMYFUNCTION("""COMPUTED_VALUE"""),18.466)</f>
        <v>18.466000000000001</v>
      </c>
      <c r="U2274" s="3" t="e">
        <f ca="1"/>
        <v>#NAME?</v>
      </c>
    </row>
    <row r="2275" spans="3:21" ht="12.5" x14ac:dyDescent="0.25">
      <c r="C2275" s="4">
        <f ca="1">IFERROR(__xludf.DUMMYFUNCTION("""COMPUTED_VALUE"""),42680.9986111111)</f>
        <v>42680.998611111099</v>
      </c>
      <c r="D2275" s="2">
        <f ca="1">IFERROR(__xludf.DUMMYFUNCTION("""COMPUTED_VALUE"""),66.7853)</f>
        <v>66.785300000000007</v>
      </c>
      <c r="E2275" s="2">
        <f ca="1">IFERROR(__xludf.DUMMYFUNCTION("""COMPUTED_VALUE"""),72.062)</f>
        <v>72.061999999999998</v>
      </c>
      <c r="F2275" s="2">
        <f ca="1">IFERROR(__xludf.DUMMYFUNCTION("""COMPUTED_VALUE"""),82.677)</f>
        <v>82.677000000000007</v>
      </c>
      <c r="G2275" s="2">
        <f ca="1">IFERROR(__xludf.DUMMYFUNCTION("""COMPUTED_VALUE"""),0.57185)</f>
        <v>0.57184999999999997</v>
      </c>
      <c r="H2275" s="2">
        <f ca="1">IFERROR(__xludf.DUMMYFUNCTION("""COMPUTED_VALUE"""),48.525)</f>
        <v>48.524999999999999</v>
      </c>
      <c r="I2275" s="2">
        <f ca="1">IFERROR(__xludf.DUMMYFUNCTION("""COMPUTED_VALUE"""),48.235)</f>
        <v>48.234999999999999</v>
      </c>
      <c r="J2275" s="2">
        <f ca="1">IFERROR(__xludf.DUMMYFUNCTION("""COMPUTED_VALUE"""),46.603)</f>
        <v>46.603000000000002</v>
      </c>
      <c r="K2275" s="2">
        <f ca="1">IFERROR(__xludf.DUMMYFUNCTION("""COMPUTED_VALUE"""),65.745)</f>
        <v>65.745000000000005</v>
      </c>
      <c r="M2275" s="2">
        <f ca="1">IFERROR(__xludf.DUMMYFUNCTION("""COMPUTED_VALUE"""),18.468)</f>
        <v>18.468</v>
      </c>
      <c r="U2275" s="3" t="e">
        <f ca="1"/>
        <v>#NAME?</v>
      </c>
    </row>
    <row r="2276" spans="3:21" ht="12.5" x14ac:dyDescent="0.25">
      <c r="C2276" s="4">
        <f ca="1">IFERROR(__xludf.DUMMYFUNCTION("""COMPUTED_VALUE"""),42681.9986111111)</f>
        <v>42681.998611111099</v>
      </c>
      <c r="D2276" s="2">
        <f ca="1">IFERROR(__xludf.DUMMYFUNCTION("""COMPUTED_VALUE"""),66.735)</f>
        <v>66.734999999999999</v>
      </c>
      <c r="E2276" s="2">
        <f ca="1">IFERROR(__xludf.DUMMYFUNCTION("""COMPUTED_VALUE"""),71.74)</f>
        <v>71.739999999999995</v>
      </c>
      <c r="F2276" s="2">
        <f ca="1">IFERROR(__xludf.DUMMYFUNCTION("""COMPUTED_VALUE"""),82.823)</f>
        <v>82.822999999999993</v>
      </c>
      <c r="G2276" s="2">
        <f ca="1">IFERROR(__xludf.DUMMYFUNCTION("""COMPUTED_VALUE"""),0.57145)</f>
        <v>0.57145000000000001</v>
      </c>
      <c r="H2276" s="2">
        <f ca="1">IFERROR(__xludf.DUMMYFUNCTION("""COMPUTED_VALUE"""),48.076)</f>
        <v>48.076000000000001</v>
      </c>
      <c r="I2276" s="2">
        <f ca="1">IFERROR(__xludf.DUMMYFUNCTION("""COMPUTED_VALUE"""),47.821)</f>
        <v>47.820999999999998</v>
      </c>
      <c r="J2276" s="2">
        <f ca="1">IFERROR(__xludf.DUMMYFUNCTION("""COMPUTED_VALUE"""),46.746)</f>
        <v>46.746000000000002</v>
      </c>
      <c r="K2276" s="2">
        <f ca="1">IFERROR(__xludf.DUMMYFUNCTION("""COMPUTED_VALUE"""),65.803)</f>
        <v>65.802999999999997</v>
      </c>
      <c r="M2276" s="2">
        <f ca="1">IFERROR(__xludf.DUMMYFUNCTION("""COMPUTED_VALUE"""),18.483)</f>
        <v>18.483000000000001</v>
      </c>
      <c r="U2276" s="3" t="e">
        <f ca="1"/>
        <v>#NAME?</v>
      </c>
    </row>
    <row r="2277" spans="3:21" ht="12.5" x14ac:dyDescent="0.25">
      <c r="C2277" s="4">
        <f ca="1">IFERROR(__xludf.DUMMYFUNCTION("""COMPUTED_VALUE"""),42682.9986111111)</f>
        <v>42682.998611111099</v>
      </c>
      <c r="D2277" s="2">
        <f ca="1">IFERROR(__xludf.DUMMYFUNCTION("""COMPUTED_VALUE"""),66.2295)</f>
        <v>66.229500000000002</v>
      </c>
      <c r="E2277" s="2">
        <f ca="1">IFERROR(__xludf.DUMMYFUNCTION("""COMPUTED_VALUE"""),72.109)</f>
        <v>72.108999999999995</v>
      </c>
      <c r="F2277" s="2">
        <f ca="1">IFERROR(__xludf.DUMMYFUNCTION("""COMPUTED_VALUE"""),82.806)</f>
        <v>82.805999999999997</v>
      </c>
      <c r="G2277" s="2">
        <f ca="1">IFERROR(__xludf.DUMMYFUNCTION("""COMPUTED_VALUE"""),0.56674)</f>
        <v>0.56674000000000002</v>
      </c>
      <c r="H2277" s="2">
        <f ca="1">IFERROR(__xludf.DUMMYFUNCTION("""COMPUTED_VALUE"""),47.981)</f>
        <v>47.981000000000002</v>
      </c>
      <c r="I2277" s="2">
        <f ca="1">IFERROR(__xludf.DUMMYFUNCTION("""COMPUTED_VALUE"""),47.91)</f>
        <v>47.91</v>
      </c>
      <c r="J2277" s="2">
        <f ca="1">IFERROR(__xludf.DUMMYFUNCTION("""COMPUTED_VALUE"""),46.511)</f>
        <v>46.511000000000003</v>
      </c>
      <c r="K2277" s="2">
        <f ca="1">IFERROR(__xludf.DUMMYFUNCTION("""COMPUTED_VALUE"""),65.736)</f>
        <v>65.736000000000004</v>
      </c>
      <c r="M2277" s="2">
        <f ca="1">IFERROR(__xludf.DUMMYFUNCTION("""COMPUTED_VALUE"""),18.464)</f>
        <v>18.463999999999999</v>
      </c>
      <c r="U2277" s="3" t="e">
        <f ca="1"/>
        <v>#NAME?</v>
      </c>
    </row>
    <row r="2278" spans="3:21" ht="12.5" x14ac:dyDescent="0.25">
      <c r="C2278" s="4">
        <f ca="1">IFERROR(__xludf.DUMMYFUNCTION("""COMPUTED_VALUE"""),42683.9986111111)</f>
        <v>42683.998611111099</v>
      </c>
      <c r="D2278" s="2">
        <f ca="1">IFERROR(__xludf.DUMMYFUNCTION("""COMPUTED_VALUE"""),66.5075)</f>
        <v>66.507499999999993</v>
      </c>
      <c r="E2278" s="2">
        <f ca="1">IFERROR(__xludf.DUMMYFUNCTION("""COMPUTED_VALUE"""),72.426)</f>
        <v>72.426000000000002</v>
      </c>
      <c r="F2278" s="2">
        <f ca="1">IFERROR(__xludf.DUMMYFUNCTION("""COMPUTED_VALUE"""),82.038)</f>
        <v>82.037999999999997</v>
      </c>
      <c r="G2278" s="2">
        <f ca="1">IFERROR(__xludf.DUMMYFUNCTION("""COMPUTED_VALUE"""),0.5668)</f>
        <v>0.56679999999999997</v>
      </c>
      <c r="H2278" s="2">
        <f ca="1">IFERROR(__xludf.DUMMYFUNCTION("""COMPUTED_VALUE"""),47.959)</f>
        <v>47.959000000000003</v>
      </c>
      <c r="I2278" s="2">
        <f ca="1">IFERROR(__xludf.DUMMYFUNCTION("""COMPUTED_VALUE"""),47.847)</f>
        <v>47.847000000000001</v>
      </c>
      <c r="J2278" s="2">
        <f ca="1">IFERROR(__xludf.DUMMYFUNCTION("""COMPUTED_VALUE"""),46.648)</f>
        <v>46.648000000000003</v>
      </c>
      <c r="K2278" s="2">
        <f ca="1">IFERROR(__xludf.DUMMYFUNCTION("""COMPUTED_VALUE"""),65.606)</f>
        <v>65.605999999999995</v>
      </c>
      <c r="M2278" s="2">
        <f ca="1">IFERROR(__xludf.DUMMYFUNCTION("""COMPUTED_VALUE"""),18.466)</f>
        <v>18.466000000000001</v>
      </c>
      <c r="U2278" s="3" t="e">
        <f ca="1"/>
        <v>#NAME?</v>
      </c>
    </row>
    <row r="2279" spans="3:21" ht="12.5" x14ac:dyDescent="0.25">
      <c r="C2279" s="4">
        <f ca="1">IFERROR(__xludf.DUMMYFUNCTION("""COMPUTED_VALUE"""),42684.9986111111)</f>
        <v>42684.998611111099</v>
      </c>
      <c r="D2279" s="2">
        <f ca="1">IFERROR(__xludf.DUMMYFUNCTION("""COMPUTED_VALUE"""),67.2145)</f>
        <v>67.214500000000001</v>
      </c>
      <c r="E2279" s="2">
        <f ca="1">IFERROR(__xludf.DUMMYFUNCTION("""COMPUTED_VALUE"""),72.229)</f>
        <v>72.228999999999999</v>
      </c>
      <c r="F2279" s="2">
        <f ca="1">IFERROR(__xludf.DUMMYFUNCTION("""COMPUTED_VALUE"""),82.042)</f>
        <v>82.042000000000002</v>
      </c>
      <c r="G2279" s="2">
        <f ca="1">IFERROR(__xludf.DUMMYFUNCTION("""COMPUTED_VALUE"""),0.5646)</f>
        <v>0.56459999999999999</v>
      </c>
      <c r="H2279" s="2">
        <f ca="1">IFERROR(__xludf.DUMMYFUNCTION("""COMPUTED_VALUE"""),48.145)</f>
        <v>48.145000000000003</v>
      </c>
      <c r="I2279" s="2">
        <f ca="1">IFERROR(__xludf.DUMMYFUNCTION("""COMPUTED_VALUE"""),47.917)</f>
        <v>47.917000000000002</v>
      </c>
      <c r="J2279" s="2">
        <f ca="1">IFERROR(__xludf.DUMMYFUNCTION("""COMPUTED_VALUE"""),46.47)</f>
        <v>46.47</v>
      </c>
      <c r="K2279" s="2">
        <f ca="1">IFERROR(__xludf.DUMMYFUNCTION("""COMPUTED_VALUE"""),65.093)</f>
        <v>65.093000000000004</v>
      </c>
      <c r="M2279" s="2">
        <f ca="1">IFERROR(__xludf.DUMMYFUNCTION("""COMPUTED_VALUE"""),18.468)</f>
        <v>18.468</v>
      </c>
      <c r="U2279" s="3" t="e">
        <f ca="1"/>
        <v>#NAME?</v>
      </c>
    </row>
    <row r="2280" spans="3:21" ht="12.5" x14ac:dyDescent="0.25">
      <c r="C2280" s="4">
        <f ca="1">IFERROR(__xludf.DUMMYFUNCTION("""COMPUTED_VALUE"""),42685.9986111111)</f>
        <v>42685.998611111099</v>
      </c>
      <c r="D2280" s="2">
        <f ca="1">IFERROR(__xludf.DUMMYFUNCTION("""COMPUTED_VALUE"""),67.558)</f>
        <v>67.558000000000007</v>
      </c>
      <c r="E2280" s="2">
        <f ca="1">IFERROR(__xludf.DUMMYFUNCTION("""COMPUTED_VALUE"""),71.3028)</f>
        <v>71.302800000000005</v>
      </c>
      <c r="F2280" s="2">
        <f ca="1">IFERROR(__xludf.DUMMYFUNCTION("""COMPUTED_VALUE"""),81.416)</f>
        <v>81.415999999999997</v>
      </c>
      <c r="G2280" s="2">
        <f ca="1">IFERROR(__xludf.DUMMYFUNCTION("""COMPUTED_VALUE"""),0.56696)</f>
        <v>0.56696000000000002</v>
      </c>
      <c r="H2280" s="2">
        <f ca="1">IFERROR(__xludf.DUMMYFUNCTION("""COMPUTED_VALUE"""),47.855)</f>
        <v>47.854999999999997</v>
      </c>
      <c r="I2280" s="2">
        <f ca="1">IFERROR(__xludf.DUMMYFUNCTION("""COMPUTED_VALUE"""),47.762)</f>
        <v>47.762</v>
      </c>
      <c r="J2280" s="2">
        <f ca="1">IFERROR(__xludf.DUMMYFUNCTION("""COMPUTED_VALUE"""),46.565)</f>
        <v>46.564999999999998</v>
      </c>
      <c r="K2280" s="2">
        <f ca="1">IFERROR(__xludf.DUMMYFUNCTION("""COMPUTED_VALUE"""),65.549)</f>
        <v>65.549000000000007</v>
      </c>
      <c r="M2280" s="2">
        <f ca="1">IFERROR(__xludf.DUMMYFUNCTION("""COMPUTED_VALUE"""),18.47)</f>
        <v>18.47</v>
      </c>
      <c r="U2280" s="3" t="e">
        <f ca="1"/>
        <v>#NAME?</v>
      </c>
    </row>
    <row r="2281" spans="3:21" ht="12.5" x14ac:dyDescent="0.25">
      <c r="C2281" s="4">
        <f ca="1">IFERROR(__xludf.DUMMYFUNCTION("""COMPUTED_VALUE"""),42686.9986111111)</f>
        <v>42686.998611111099</v>
      </c>
      <c r="D2281" s="2">
        <f ca="1">IFERROR(__xludf.DUMMYFUNCTION("""COMPUTED_VALUE"""),67.558)</f>
        <v>67.558000000000007</v>
      </c>
      <c r="E2281" s="2">
        <f ca="1">IFERROR(__xludf.DUMMYFUNCTION("""COMPUTED_VALUE"""),72.593)</f>
        <v>72.593000000000004</v>
      </c>
      <c r="F2281" s="2">
        <f ca="1">IFERROR(__xludf.DUMMYFUNCTION("""COMPUTED_VALUE"""),81.643)</f>
        <v>81.643000000000001</v>
      </c>
      <c r="G2281" s="2">
        <f ca="1">IFERROR(__xludf.DUMMYFUNCTION("""COMPUTED_VALUE"""),0.56821)</f>
        <v>0.56820999999999999</v>
      </c>
      <c r="H2281" s="2">
        <f ca="1">IFERROR(__xludf.DUMMYFUNCTION("""COMPUTED_VALUE"""),47.527)</f>
        <v>47.527000000000001</v>
      </c>
      <c r="I2281" s="2">
        <f ca="1">IFERROR(__xludf.DUMMYFUNCTION("""COMPUTED_VALUE"""),47.655)</f>
        <v>47.655000000000001</v>
      </c>
      <c r="J2281" s="2">
        <f ca="1">IFERROR(__xludf.DUMMYFUNCTION("""COMPUTED_VALUE"""),46.566)</f>
        <v>46.566000000000003</v>
      </c>
      <c r="K2281" s="2">
        <f ca="1">IFERROR(__xludf.DUMMYFUNCTION("""COMPUTED_VALUE"""),65.562)</f>
        <v>65.561999999999998</v>
      </c>
      <c r="M2281" s="2">
        <f ca="1">IFERROR(__xludf.DUMMYFUNCTION("""COMPUTED_VALUE"""),18.451)</f>
        <v>18.451000000000001</v>
      </c>
      <c r="U2281" s="3" t="e">
        <f ca="1"/>
        <v>#NAME?</v>
      </c>
    </row>
    <row r="2282" spans="3:21" ht="12.5" x14ac:dyDescent="0.25">
      <c r="C2282" s="4">
        <f ca="1">IFERROR(__xludf.DUMMYFUNCTION("""COMPUTED_VALUE"""),42687.9986111111)</f>
        <v>42687.998611111099</v>
      </c>
      <c r="D2282" s="2">
        <f ca="1">IFERROR(__xludf.DUMMYFUNCTION("""COMPUTED_VALUE"""),67.5468)</f>
        <v>67.546800000000005</v>
      </c>
      <c r="E2282" s="2">
        <f ca="1">IFERROR(__xludf.DUMMYFUNCTION("""COMPUTED_VALUE"""),72.361)</f>
        <v>72.361000000000004</v>
      </c>
      <c r="F2282" s="2">
        <f ca="1">IFERROR(__xludf.DUMMYFUNCTION("""COMPUTED_VALUE"""),81.296)</f>
        <v>81.296000000000006</v>
      </c>
      <c r="G2282" s="2">
        <f ca="1">IFERROR(__xludf.DUMMYFUNCTION("""COMPUTED_VALUE"""),0.56765)</f>
        <v>0.56764999999999999</v>
      </c>
      <c r="H2282" s="2">
        <f ca="1">IFERROR(__xludf.DUMMYFUNCTION("""COMPUTED_VALUE"""),47.888)</f>
        <v>47.887999999999998</v>
      </c>
      <c r="I2282" s="2">
        <f ca="1">IFERROR(__xludf.DUMMYFUNCTION("""COMPUTED_VALUE"""),47.721)</f>
        <v>47.720999999999997</v>
      </c>
      <c r="J2282" s="2">
        <f ca="1">IFERROR(__xludf.DUMMYFUNCTION("""COMPUTED_VALUE"""),46.454)</f>
        <v>46.454000000000001</v>
      </c>
      <c r="K2282" s="2">
        <f ca="1">IFERROR(__xludf.DUMMYFUNCTION("""COMPUTED_VALUE"""),65.534)</f>
        <v>65.534000000000006</v>
      </c>
      <c r="M2282" s="2">
        <f ca="1">IFERROR(__xludf.DUMMYFUNCTION("""COMPUTED_VALUE"""),18.502)</f>
        <v>18.501999999999999</v>
      </c>
      <c r="U2282" s="3" t="e">
        <f ca="1"/>
        <v>#NAME?</v>
      </c>
    </row>
    <row r="2283" spans="3:21" ht="12.5" x14ac:dyDescent="0.25">
      <c r="C2283" s="4">
        <f ca="1">IFERROR(__xludf.DUMMYFUNCTION("""COMPUTED_VALUE"""),42688.9986111111)</f>
        <v>42688.998611111099</v>
      </c>
      <c r="D2283" s="2">
        <f ca="1">IFERROR(__xludf.DUMMYFUNCTION("""COMPUTED_VALUE"""),67.7755)</f>
        <v>67.775499999999994</v>
      </c>
      <c r="E2283" s="2">
        <f ca="1">IFERROR(__xludf.DUMMYFUNCTION("""COMPUTED_VALUE"""),72.539)</f>
        <v>72.539000000000001</v>
      </c>
      <c r="F2283" s="2">
        <f ca="1">IFERROR(__xludf.DUMMYFUNCTION("""COMPUTED_VALUE"""),81.314)</f>
        <v>81.313999999999993</v>
      </c>
      <c r="G2283" s="2">
        <f ca="1">IFERROR(__xludf.DUMMYFUNCTION("""COMPUTED_VALUE"""),0.57193)</f>
        <v>0.57193000000000005</v>
      </c>
      <c r="H2283" s="2">
        <f ca="1">IFERROR(__xludf.DUMMYFUNCTION("""COMPUTED_VALUE"""),47.037)</f>
        <v>47.036999999999999</v>
      </c>
      <c r="I2283" s="2">
        <f ca="1">IFERROR(__xludf.DUMMYFUNCTION("""COMPUTED_VALUE"""),46.873)</f>
        <v>46.872999999999998</v>
      </c>
      <c r="J2283" s="2">
        <f ca="1">IFERROR(__xludf.DUMMYFUNCTION("""COMPUTED_VALUE"""),46.573)</f>
        <v>46.573</v>
      </c>
      <c r="K2283" s="2">
        <f ca="1">IFERROR(__xludf.DUMMYFUNCTION("""COMPUTED_VALUE"""),65.332)</f>
        <v>65.331999999999994</v>
      </c>
      <c r="M2283" s="2">
        <f ca="1">IFERROR(__xludf.DUMMYFUNCTION("""COMPUTED_VALUE"""),18.567)</f>
        <v>18.567</v>
      </c>
      <c r="U2283" s="3" t="e">
        <f ca="1"/>
        <v>#NAME?</v>
      </c>
    </row>
    <row r="2284" spans="3:21" ht="12.5" x14ac:dyDescent="0.25">
      <c r="C2284" s="4">
        <f ca="1">IFERROR(__xludf.DUMMYFUNCTION("""COMPUTED_VALUE"""),42689.9986111111)</f>
        <v>42689.998611111099</v>
      </c>
      <c r="D2284" s="2">
        <f ca="1">IFERROR(__xludf.DUMMYFUNCTION("""COMPUTED_VALUE"""),67.748)</f>
        <v>67.748000000000005</v>
      </c>
      <c r="E2284" s="2">
        <f ca="1">IFERROR(__xludf.DUMMYFUNCTION("""COMPUTED_VALUE"""),72.438)</f>
        <v>72.438000000000002</v>
      </c>
      <c r="F2284" s="2">
        <f ca="1">IFERROR(__xludf.DUMMYFUNCTION("""COMPUTED_VALUE"""),81.19)</f>
        <v>81.19</v>
      </c>
      <c r="G2284" s="2">
        <f ca="1">IFERROR(__xludf.DUMMYFUNCTION("""COMPUTED_VALUE"""),0.57081)</f>
        <v>0.57081000000000004</v>
      </c>
      <c r="H2284" s="2">
        <f ca="1">IFERROR(__xludf.DUMMYFUNCTION("""COMPUTED_VALUE"""),48.131)</f>
        <v>48.131</v>
      </c>
      <c r="I2284" s="2">
        <f ca="1">IFERROR(__xludf.DUMMYFUNCTION("""COMPUTED_VALUE"""),47.701)</f>
        <v>47.701000000000001</v>
      </c>
      <c r="J2284" s="2">
        <f ca="1">IFERROR(__xludf.DUMMYFUNCTION("""COMPUTED_VALUE"""),45.773)</f>
        <v>45.773000000000003</v>
      </c>
      <c r="K2284" s="2">
        <f ca="1">IFERROR(__xludf.DUMMYFUNCTION("""COMPUTED_VALUE"""),65.702)</f>
        <v>65.701999999999998</v>
      </c>
      <c r="M2284" s="2">
        <f ca="1">IFERROR(__xludf.DUMMYFUNCTION("""COMPUTED_VALUE"""),18.493)</f>
        <v>18.492999999999999</v>
      </c>
      <c r="U2284" s="3" t="e">
        <f ca="1"/>
        <v>#NAME?</v>
      </c>
    </row>
    <row r="2285" spans="3:21" ht="12.5" x14ac:dyDescent="0.25">
      <c r="C2285" s="4">
        <f ca="1">IFERROR(__xludf.DUMMYFUNCTION("""COMPUTED_VALUE"""),42690.9986111111)</f>
        <v>42690.998611111099</v>
      </c>
      <c r="D2285" s="2">
        <f ca="1">IFERROR(__xludf.DUMMYFUNCTION("""COMPUTED_VALUE"""),67.9815)</f>
        <v>67.981499999999997</v>
      </c>
      <c r="E2285" s="2">
        <f ca="1">IFERROR(__xludf.DUMMYFUNCTION("""COMPUTED_VALUE"""),71.771)</f>
        <v>71.771000000000001</v>
      </c>
      <c r="F2285" s="2">
        <f ca="1">IFERROR(__xludf.DUMMYFUNCTION("""COMPUTED_VALUE"""),81.548)</f>
        <v>81.548000000000002</v>
      </c>
      <c r="G2285" s="2">
        <f ca="1">IFERROR(__xludf.DUMMYFUNCTION("""COMPUTED_VALUE"""),0.57367)</f>
        <v>0.57367000000000001</v>
      </c>
      <c r="H2285" s="2">
        <f ca="1">IFERROR(__xludf.DUMMYFUNCTION("""COMPUTED_VALUE"""),48.344)</f>
        <v>48.344000000000001</v>
      </c>
      <c r="I2285" s="2">
        <f ca="1">IFERROR(__xludf.DUMMYFUNCTION("""COMPUTED_VALUE"""),47.851)</f>
        <v>47.850999999999999</v>
      </c>
      <c r="J2285" s="2">
        <f ca="1">IFERROR(__xludf.DUMMYFUNCTION("""COMPUTED_VALUE"""),46.53)</f>
        <v>46.53</v>
      </c>
      <c r="K2285" s="2">
        <f ca="1">IFERROR(__xludf.DUMMYFUNCTION("""COMPUTED_VALUE"""),65.899)</f>
        <v>65.899000000000001</v>
      </c>
      <c r="M2285" s="2">
        <f ca="1">IFERROR(__xludf.DUMMYFUNCTION("""COMPUTED_VALUE"""),18.497)</f>
        <v>18.497</v>
      </c>
      <c r="U2285" s="3" t="e">
        <f ca="1"/>
        <v>#NAME?</v>
      </c>
    </row>
    <row r="2286" spans="3:21" ht="12.5" x14ac:dyDescent="0.25">
      <c r="C2286" s="4">
        <f ca="1">IFERROR(__xludf.DUMMYFUNCTION("""COMPUTED_VALUE"""),42691.9986111111)</f>
        <v>42691.998611111099</v>
      </c>
      <c r="D2286" s="2">
        <f ca="1">IFERROR(__xludf.DUMMYFUNCTION("""COMPUTED_VALUE"""),67.9748)</f>
        <v>67.974800000000002</v>
      </c>
      <c r="E2286" s="2">
        <f ca="1">IFERROR(__xludf.DUMMYFUNCTION("""COMPUTED_VALUE"""),71.846)</f>
        <v>71.846000000000004</v>
      </c>
      <c r="F2286" s="2">
        <f ca="1">IFERROR(__xludf.DUMMYFUNCTION("""COMPUTED_VALUE"""),82.109)</f>
        <v>82.108999999999995</v>
      </c>
      <c r="G2286" s="2">
        <f ca="1">IFERROR(__xludf.DUMMYFUNCTION("""COMPUTED_VALUE"""),0.57385)</f>
        <v>0.57384999999999997</v>
      </c>
      <c r="H2286" s="2">
        <f ca="1">IFERROR(__xludf.DUMMYFUNCTION("""COMPUTED_VALUE"""),48.533)</f>
        <v>48.533000000000001</v>
      </c>
      <c r="I2286" s="2">
        <f ca="1">IFERROR(__xludf.DUMMYFUNCTION("""COMPUTED_VALUE"""),47.639)</f>
        <v>47.639000000000003</v>
      </c>
      <c r="J2286" s="2">
        <f ca="1">IFERROR(__xludf.DUMMYFUNCTION("""COMPUTED_VALUE"""),46.656)</f>
        <v>46.655999999999999</v>
      </c>
      <c r="K2286" s="2">
        <f ca="1">IFERROR(__xludf.DUMMYFUNCTION("""COMPUTED_VALUE"""),65.822)</f>
        <v>65.822000000000003</v>
      </c>
      <c r="M2286" s="2">
        <f ca="1">IFERROR(__xludf.DUMMYFUNCTION("""COMPUTED_VALUE"""),18.548)</f>
        <v>18.547999999999998</v>
      </c>
      <c r="U2286" s="3" t="e">
        <f ca="1"/>
        <v>#NAME?</v>
      </c>
    </row>
    <row r="2287" spans="3:21" ht="12.5" x14ac:dyDescent="0.25">
      <c r="C2287" s="4">
        <f ca="1">IFERROR(__xludf.DUMMYFUNCTION("""COMPUTED_VALUE"""),42692.9986111111)</f>
        <v>42692.998611111099</v>
      </c>
      <c r="D2287" s="2">
        <f ca="1">IFERROR(__xludf.DUMMYFUNCTION("""COMPUTED_VALUE"""),68.183)</f>
        <v>68.183000000000007</v>
      </c>
      <c r="E2287" s="2">
        <f ca="1">IFERROR(__xludf.DUMMYFUNCTION("""COMPUTED_VALUE"""),72.109)</f>
        <v>72.108999999999995</v>
      </c>
      <c r="F2287" s="2">
        <f ca="1">IFERROR(__xludf.DUMMYFUNCTION("""COMPUTED_VALUE"""),81.903)</f>
        <v>81.903000000000006</v>
      </c>
      <c r="G2287" s="2">
        <f ca="1">IFERROR(__xludf.DUMMYFUNCTION("""COMPUTED_VALUE"""),0.57468)</f>
        <v>0.57467999999999997</v>
      </c>
      <c r="H2287" s="2">
        <f ca="1">IFERROR(__xludf.DUMMYFUNCTION("""COMPUTED_VALUE"""),48.307)</f>
        <v>48.307000000000002</v>
      </c>
      <c r="I2287" s="2">
        <f ca="1">IFERROR(__xludf.DUMMYFUNCTION("""COMPUTED_VALUE"""),47.454)</f>
        <v>47.454000000000001</v>
      </c>
      <c r="J2287" s="2">
        <f ca="1">IFERROR(__xludf.DUMMYFUNCTION("""COMPUTED_VALUE"""),46.552)</f>
        <v>46.552</v>
      </c>
      <c r="K2287" s="2">
        <f ca="1">IFERROR(__xludf.DUMMYFUNCTION("""COMPUTED_VALUE"""),65.924)</f>
        <v>65.924000000000007</v>
      </c>
      <c r="M2287" s="2">
        <f ca="1">IFERROR(__xludf.DUMMYFUNCTION("""COMPUTED_VALUE"""),18.585)</f>
        <v>18.585000000000001</v>
      </c>
      <c r="U2287" s="3" t="e">
        <f ca="1"/>
        <v>#NAME?</v>
      </c>
    </row>
    <row r="2288" spans="3:21" ht="12.5" x14ac:dyDescent="0.25">
      <c r="C2288" s="4">
        <f ca="1">IFERROR(__xludf.DUMMYFUNCTION("""COMPUTED_VALUE"""),42693.9986111111)</f>
        <v>42693.998611111099</v>
      </c>
      <c r="D2288" s="2">
        <f ca="1">IFERROR(__xludf.DUMMYFUNCTION("""COMPUTED_VALUE"""),68.183)</f>
        <v>68.183000000000007</v>
      </c>
      <c r="E2288" s="2">
        <f ca="1">IFERROR(__xludf.DUMMYFUNCTION("""COMPUTED_VALUE"""),72.047)</f>
        <v>72.046999999999997</v>
      </c>
      <c r="F2288" s="2">
        <f ca="1">IFERROR(__xludf.DUMMYFUNCTION("""COMPUTED_VALUE"""),81.933)</f>
        <v>81.933000000000007</v>
      </c>
      <c r="G2288" s="2">
        <f ca="1">IFERROR(__xludf.DUMMYFUNCTION("""COMPUTED_VALUE"""),0.57855)</f>
        <v>0.57855000000000001</v>
      </c>
      <c r="H2288" s="2">
        <f ca="1">IFERROR(__xludf.DUMMYFUNCTION("""COMPUTED_VALUE"""),48.313)</f>
        <v>48.313000000000002</v>
      </c>
      <c r="I2288" s="2">
        <f ca="1">IFERROR(__xludf.DUMMYFUNCTION("""COMPUTED_VALUE"""),47.653)</f>
        <v>47.652999999999999</v>
      </c>
      <c r="J2288" s="2">
        <f ca="1">IFERROR(__xludf.DUMMYFUNCTION("""COMPUTED_VALUE"""),46.396)</f>
        <v>46.396000000000001</v>
      </c>
      <c r="K2288" s="2">
        <f ca="1">IFERROR(__xludf.DUMMYFUNCTION("""COMPUTED_VALUE"""),65.843)</f>
        <v>65.843000000000004</v>
      </c>
      <c r="M2288" s="2">
        <f ca="1">IFERROR(__xludf.DUMMYFUNCTION("""COMPUTED_VALUE"""),18.48)</f>
        <v>18.48</v>
      </c>
      <c r="U2288" s="3" t="e">
        <f ca="1"/>
        <v>#NAME?</v>
      </c>
    </row>
    <row r="2289" spans="3:21" ht="12.5" x14ac:dyDescent="0.25">
      <c r="C2289" s="4">
        <f ca="1">IFERROR(__xludf.DUMMYFUNCTION("""COMPUTED_VALUE"""),42694.9986111111)</f>
        <v>42694.998611111099</v>
      </c>
      <c r="D2289" s="2">
        <f ca="1">IFERROR(__xludf.DUMMYFUNCTION("""COMPUTED_VALUE"""),68.17)</f>
        <v>68.17</v>
      </c>
      <c r="E2289" s="2">
        <f ca="1">IFERROR(__xludf.DUMMYFUNCTION("""COMPUTED_VALUE"""),71.94)</f>
        <v>71.94</v>
      </c>
      <c r="F2289" s="2">
        <f ca="1">IFERROR(__xludf.DUMMYFUNCTION("""COMPUTED_VALUE"""),81.841)</f>
        <v>81.840999999999994</v>
      </c>
      <c r="G2289" s="2">
        <f ca="1">IFERROR(__xludf.DUMMYFUNCTION("""COMPUTED_VALUE"""),0.57811)</f>
        <v>0.57811000000000001</v>
      </c>
      <c r="H2289" s="2">
        <f ca="1">IFERROR(__xludf.DUMMYFUNCTION("""COMPUTED_VALUE"""),48.613)</f>
        <v>48.613</v>
      </c>
      <c r="I2289" s="2">
        <f ca="1">IFERROR(__xludf.DUMMYFUNCTION("""COMPUTED_VALUE"""),48.384)</f>
        <v>48.384</v>
      </c>
      <c r="J2289" s="2">
        <f ca="1">IFERROR(__xludf.DUMMYFUNCTION("""COMPUTED_VALUE"""),46.355)</f>
        <v>46.354999999999997</v>
      </c>
      <c r="K2289" s="2">
        <f ca="1">IFERROR(__xludf.DUMMYFUNCTION("""COMPUTED_VALUE"""),65.489)</f>
        <v>65.489000000000004</v>
      </c>
      <c r="M2289" s="2">
        <f ca="1">IFERROR(__xludf.DUMMYFUNCTION("""COMPUTED_VALUE"""),18.438)</f>
        <v>18.437999999999999</v>
      </c>
      <c r="U2289" s="3" t="e">
        <f ca="1"/>
        <v>#NAME?</v>
      </c>
    </row>
    <row r="2290" spans="3:21" ht="12.5" x14ac:dyDescent="0.25">
      <c r="C2290" s="4">
        <f ca="1">IFERROR(__xludf.DUMMYFUNCTION("""COMPUTED_VALUE"""),42695.9986111111)</f>
        <v>42695.998611111099</v>
      </c>
      <c r="D2290" s="2">
        <f ca="1">IFERROR(__xludf.DUMMYFUNCTION("""COMPUTED_VALUE"""),68.2155)</f>
        <v>68.215500000000006</v>
      </c>
      <c r="E2290" s="2">
        <f ca="1">IFERROR(__xludf.DUMMYFUNCTION("""COMPUTED_VALUE"""),71.887)</f>
        <v>71.887</v>
      </c>
      <c r="F2290" s="2">
        <f ca="1">IFERROR(__xludf.DUMMYFUNCTION("""COMPUTED_VALUE"""),81.939)</f>
        <v>81.938999999999993</v>
      </c>
      <c r="G2290" s="2">
        <f ca="1">IFERROR(__xludf.DUMMYFUNCTION("""COMPUTED_VALUE"""),0.57431)</f>
        <v>0.57430999999999999</v>
      </c>
      <c r="H2290" s="2">
        <f ca="1">IFERROR(__xludf.DUMMYFUNCTION("""COMPUTED_VALUE"""),48.436)</f>
        <v>48.436</v>
      </c>
      <c r="I2290" s="2">
        <f ca="1">IFERROR(__xludf.DUMMYFUNCTION("""COMPUTED_VALUE"""),48.555)</f>
        <v>48.555</v>
      </c>
      <c r="J2290" s="2">
        <f ca="1">IFERROR(__xludf.DUMMYFUNCTION("""COMPUTED_VALUE"""),46.518)</f>
        <v>46.518000000000001</v>
      </c>
      <c r="K2290" s="2">
        <f ca="1">IFERROR(__xludf.DUMMYFUNCTION("""COMPUTED_VALUE"""),65.01)</f>
        <v>65.010000000000005</v>
      </c>
      <c r="M2290" s="2">
        <f ca="1">IFERROR(__xludf.DUMMYFUNCTION("""COMPUTED_VALUE"""),18.553)</f>
        <v>18.553000000000001</v>
      </c>
      <c r="U2290" s="3" t="e">
        <f ca="1"/>
        <v>#NAME?</v>
      </c>
    </row>
    <row r="2291" spans="3:21" ht="12.5" x14ac:dyDescent="0.25">
      <c r="C2291" s="4">
        <f ca="1">IFERROR(__xludf.DUMMYFUNCTION("""COMPUTED_VALUE"""),42696.9986111111)</f>
        <v>42696.998611111099</v>
      </c>
      <c r="D2291" s="2">
        <f ca="1">IFERROR(__xludf.DUMMYFUNCTION("""COMPUTED_VALUE"""),68.3855)</f>
        <v>68.385499999999993</v>
      </c>
      <c r="E2291" s="2">
        <f ca="1">IFERROR(__xludf.DUMMYFUNCTION("""COMPUTED_VALUE"""),72.102)</f>
        <v>72.102000000000004</v>
      </c>
      <c r="F2291" s="2">
        <f ca="1">IFERROR(__xludf.DUMMYFUNCTION("""COMPUTED_VALUE"""),81.799)</f>
        <v>81.799000000000007</v>
      </c>
      <c r="G2291" s="2">
        <f ca="1">IFERROR(__xludf.DUMMYFUNCTION("""COMPUTED_VALUE"""),0.57828)</f>
        <v>0.57828000000000002</v>
      </c>
      <c r="H2291" s="2">
        <f ca="1">IFERROR(__xludf.DUMMYFUNCTION("""COMPUTED_VALUE"""),48.691)</f>
        <v>48.691000000000003</v>
      </c>
      <c r="I2291" s="2">
        <f ca="1">IFERROR(__xludf.DUMMYFUNCTION("""COMPUTED_VALUE"""),48.462)</f>
        <v>48.462000000000003</v>
      </c>
      <c r="J2291" s="2">
        <f ca="1">IFERROR(__xludf.DUMMYFUNCTION("""COMPUTED_VALUE"""),46.514)</f>
        <v>46.514000000000003</v>
      </c>
      <c r="K2291" s="2">
        <f ca="1">IFERROR(__xludf.DUMMYFUNCTION("""COMPUTED_VALUE"""),64.758)</f>
        <v>64.757999999999996</v>
      </c>
      <c r="M2291" s="2">
        <f ca="1">IFERROR(__xludf.DUMMYFUNCTION("""COMPUTED_VALUE"""),18.536)</f>
        <v>18.536000000000001</v>
      </c>
      <c r="U2291" s="3" t="e">
        <f ca="1"/>
        <v>#NAME?</v>
      </c>
    </row>
    <row r="2292" spans="3:21" ht="12.5" x14ac:dyDescent="0.25">
      <c r="C2292" s="4">
        <f ca="1">IFERROR(__xludf.DUMMYFUNCTION("""COMPUTED_VALUE"""),42697.9986111111)</f>
        <v>42697.998611111099</v>
      </c>
      <c r="D2292" s="2">
        <f ca="1">IFERROR(__xludf.DUMMYFUNCTION("""COMPUTED_VALUE"""),68.7985)</f>
        <v>68.798500000000004</v>
      </c>
      <c r="E2292" s="2">
        <f ca="1">IFERROR(__xludf.DUMMYFUNCTION("""COMPUTED_VALUE"""),71.793)</f>
        <v>71.793000000000006</v>
      </c>
      <c r="F2292" s="2">
        <f ca="1">IFERROR(__xludf.DUMMYFUNCTION("""COMPUTED_VALUE"""),81.694)</f>
        <v>81.694000000000003</v>
      </c>
      <c r="G2292" s="2">
        <f ca="1">IFERROR(__xludf.DUMMYFUNCTION("""COMPUTED_VALUE"""),0.57656)</f>
        <v>0.57655999999999996</v>
      </c>
      <c r="H2292" s="2">
        <f ca="1">IFERROR(__xludf.DUMMYFUNCTION("""COMPUTED_VALUE"""),48.906)</f>
        <v>48.905999999999999</v>
      </c>
      <c r="I2292" s="2">
        <f ca="1">IFERROR(__xludf.DUMMYFUNCTION("""COMPUTED_VALUE"""),48.648)</f>
        <v>48.648000000000003</v>
      </c>
      <c r="J2292" s="2">
        <f ca="1">IFERROR(__xludf.DUMMYFUNCTION("""COMPUTED_VALUE"""),46.639)</f>
        <v>46.639000000000003</v>
      </c>
      <c r="K2292" s="2">
        <f ca="1">IFERROR(__xludf.DUMMYFUNCTION("""COMPUTED_VALUE"""),64.595)</f>
        <v>64.594999999999999</v>
      </c>
      <c r="M2292" s="2">
        <f ca="1">IFERROR(__xludf.DUMMYFUNCTION("""COMPUTED_VALUE"""),18.597)</f>
        <v>18.597000000000001</v>
      </c>
      <c r="U2292" s="3" t="e">
        <f ca="1"/>
        <v>#NAME?</v>
      </c>
    </row>
    <row r="2293" spans="3:21" ht="12.5" x14ac:dyDescent="0.25">
      <c r="C2293" s="4">
        <f ca="1">IFERROR(__xludf.DUMMYFUNCTION("""COMPUTED_VALUE"""),42698.9986111111)</f>
        <v>42698.998611111099</v>
      </c>
      <c r="D2293" s="2">
        <f ca="1">IFERROR(__xludf.DUMMYFUNCTION("""COMPUTED_VALUE"""),68.7455)</f>
        <v>68.745500000000007</v>
      </c>
      <c r="E2293" s="2">
        <f ca="1">IFERROR(__xludf.DUMMYFUNCTION("""COMPUTED_VALUE"""),71.795)</f>
        <v>71.795000000000002</v>
      </c>
      <c r="F2293" s="2">
        <f ca="1">IFERROR(__xludf.DUMMYFUNCTION("""COMPUTED_VALUE"""),81.302)</f>
        <v>81.302000000000007</v>
      </c>
      <c r="G2293" s="2">
        <f ca="1">IFERROR(__xludf.DUMMYFUNCTION("""COMPUTED_VALUE"""),0.57883)</f>
        <v>0.57882999999999996</v>
      </c>
      <c r="H2293" s="2">
        <f ca="1">IFERROR(__xludf.DUMMYFUNCTION("""COMPUTED_VALUE"""),49.058)</f>
        <v>49.058</v>
      </c>
      <c r="I2293" s="2">
        <f ca="1">IFERROR(__xludf.DUMMYFUNCTION("""COMPUTED_VALUE"""),48.74)</f>
        <v>48.74</v>
      </c>
      <c r="J2293" s="2">
        <f ca="1">IFERROR(__xludf.DUMMYFUNCTION("""COMPUTED_VALUE"""),46.611)</f>
        <v>46.610999999999997</v>
      </c>
      <c r="K2293" s="2">
        <f ca="1">IFERROR(__xludf.DUMMYFUNCTION("""COMPUTED_VALUE"""),64.595)</f>
        <v>64.594999999999999</v>
      </c>
      <c r="M2293" s="2">
        <f ca="1">IFERROR(__xludf.DUMMYFUNCTION("""COMPUTED_VALUE"""),18.593)</f>
        <v>18.593</v>
      </c>
      <c r="U2293" s="3" t="e">
        <f ca="1"/>
        <v>#NAME?</v>
      </c>
    </row>
    <row r="2294" spans="3:21" ht="12.5" x14ac:dyDescent="0.25">
      <c r="C2294" s="4">
        <f ca="1">IFERROR(__xludf.DUMMYFUNCTION("""COMPUTED_VALUE"""),42699.9986111111)</f>
        <v>42699.998611111099</v>
      </c>
      <c r="D2294" s="2">
        <f ca="1">IFERROR(__xludf.DUMMYFUNCTION("""COMPUTED_VALUE"""),68.511)</f>
        <v>68.510999999999996</v>
      </c>
      <c r="E2294" s="2">
        <f ca="1">IFERROR(__xludf.DUMMYFUNCTION("""COMPUTED_VALUE"""),72.003)</f>
        <v>72.003</v>
      </c>
      <c r="F2294" s="2">
        <f ca="1">IFERROR(__xludf.DUMMYFUNCTION("""COMPUTED_VALUE"""),81.821)</f>
        <v>81.820999999999998</v>
      </c>
      <c r="G2294" s="2">
        <f ca="1">IFERROR(__xludf.DUMMYFUNCTION("""COMPUTED_VALUE"""),0.58109)</f>
        <v>0.58109</v>
      </c>
      <c r="H2294" s="2">
        <f ca="1">IFERROR(__xludf.DUMMYFUNCTION("""COMPUTED_VALUE"""),48.912)</f>
        <v>48.911999999999999</v>
      </c>
      <c r="I2294" s="2">
        <f ca="1">IFERROR(__xludf.DUMMYFUNCTION("""COMPUTED_VALUE"""),48.709)</f>
        <v>48.709000000000003</v>
      </c>
      <c r="J2294" s="2">
        <f ca="1">IFERROR(__xludf.DUMMYFUNCTION("""COMPUTED_VALUE"""),46.567)</f>
        <v>46.567</v>
      </c>
      <c r="K2294" s="2">
        <f ca="1">IFERROR(__xludf.DUMMYFUNCTION("""COMPUTED_VALUE"""),64.807)</f>
        <v>64.807000000000002</v>
      </c>
      <c r="M2294" s="2">
        <f ca="1">IFERROR(__xludf.DUMMYFUNCTION("""COMPUTED_VALUE"""),18.546)</f>
        <v>18.545999999999999</v>
      </c>
      <c r="U2294" s="3" t="e">
        <f ca="1"/>
        <v>#NAME?</v>
      </c>
    </row>
    <row r="2295" spans="3:21" ht="12.5" x14ac:dyDescent="0.25">
      <c r="C2295" s="4">
        <f ca="1">IFERROR(__xludf.DUMMYFUNCTION("""COMPUTED_VALUE"""),42700.9986111111)</f>
        <v>42700.998611111099</v>
      </c>
      <c r="D2295" s="2">
        <f ca="1">IFERROR(__xludf.DUMMYFUNCTION("""COMPUTED_VALUE"""),68.511)</f>
        <v>68.510999999999996</v>
      </c>
      <c r="E2295" s="2">
        <f ca="1">IFERROR(__xludf.DUMMYFUNCTION("""COMPUTED_VALUE"""),71.955)</f>
        <v>71.954999999999998</v>
      </c>
      <c r="F2295" s="2">
        <f ca="1">IFERROR(__xludf.DUMMYFUNCTION("""COMPUTED_VALUE"""),81.42)</f>
        <v>81.42</v>
      </c>
      <c r="G2295" s="2">
        <f ca="1">IFERROR(__xludf.DUMMYFUNCTION("""COMPUTED_VALUE"""),0.57979)</f>
        <v>0.57979000000000003</v>
      </c>
      <c r="H2295" s="2">
        <f ca="1">IFERROR(__xludf.DUMMYFUNCTION("""COMPUTED_VALUE"""),48.85)</f>
        <v>48.85</v>
      </c>
      <c r="I2295" s="2">
        <f ca="1">IFERROR(__xludf.DUMMYFUNCTION("""COMPUTED_VALUE"""),48.582)</f>
        <v>48.582000000000001</v>
      </c>
      <c r="J2295" s="2">
        <f ca="1">IFERROR(__xludf.DUMMYFUNCTION("""COMPUTED_VALUE"""),46.421)</f>
        <v>46.420999999999999</v>
      </c>
      <c r="K2295" s="2">
        <f ca="1">IFERROR(__xludf.DUMMYFUNCTION("""COMPUTED_VALUE"""),64.892)</f>
        <v>64.891999999999996</v>
      </c>
      <c r="M2295" s="2">
        <f ca="1">IFERROR(__xludf.DUMMYFUNCTION("""COMPUTED_VALUE"""),18.551)</f>
        <v>18.550999999999998</v>
      </c>
      <c r="U2295" s="3" t="e">
        <f ca="1"/>
        <v>#NAME?</v>
      </c>
    </row>
    <row r="2296" spans="3:21" ht="12.5" x14ac:dyDescent="0.25">
      <c r="C2296" s="4">
        <f ca="1">IFERROR(__xludf.DUMMYFUNCTION("""COMPUTED_VALUE"""),42701.9986111111)</f>
        <v>42701.998611111099</v>
      </c>
      <c r="D2296" s="2">
        <f ca="1">IFERROR(__xludf.DUMMYFUNCTION("""COMPUTED_VALUE"""),68.5085)</f>
        <v>68.508499999999998</v>
      </c>
      <c r="E2296" s="2">
        <f ca="1">IFERROR(__xludf.DUMMYFUNCTION("""COMPUTED_VALUE"""),72.13)</f>
        <v>72.13</v>
      </c>
      <c r="F2296" s="2">
        <f ca="1">IFERROR(__xludf.DUMMYFUNCTION("""COMPUTED_VALUE"""),81.4)</f>
        <v>81.400000000000006</v>
      </c>
      <c r="G2296" s="2">
        <f ca="1">IFERROR(__xludf.DUMMYFUNCTION("""COMPUTED_VALUE"""),0.57405)</f>
        <v>0.57404999999999995</v>
      </c>
      <c r="H2296" s="2">
        <f ca="1">IFERROR(__xludf.DUMMYFUNCTION("""COMPUTED_VALUE"""),48.683)</f>
        <v>48.683</v>
      </c>
      <c r="I2296" s="2">
        <f ca="1">IFERROR(__xludf.DUMMYFUNCTION("""COMPUTED_VALUE"""),48.383)</f>
        <v>48.383000000000003</v>
      </c>
      <c r="J2296" s="2">
        <f ca="1">IFERROR(__xludf.DUMMYFUNCTION("""COMPUTED_VALUE"""),46.421)</f>
        <v>46.420999999999999</v>
      </c>
      <c r="K2296" s="2">
        <f ca="1">IFERROR(__xludf.DUMMYFUNCTION("""COMPUTED_VALUE"""),64.556)</f>
        <v>64.555999999999997</v>
      </c>
      <c r="M2296" s="2">
        <f ca="1">IFERROR(__xludf.DUMMYFUNCTION("""COMPUTED_VALUE"""),18.554)</f>
        <v>18.553999999999998</v>
      </c>
      <c r="U2296" s="3" t="e">
        <f ca="1"/>
        <v>#NAME?</v>
      </c>
    </row>
    <row r="2297" spans="3:21" ht="12.5" x14ac:dyDescent="0.25">
      <c r="C2297" s="4">
        <f ca="1">IFERROR(__xludf.DUMMYFUNCTION("""COMPUTED_VALUE"""),42702.9986111111)</f>
        <v>42702.998611111099</v>
      </c>
      <c r="D2297" s="2">
        <f ca="1">IFERROR(__xludf.DUMMYFUNCTION("""COMPUTED_VALUE"""),68.5555)</f>
        <v>68.555499999999995</v>
      </c>
      <c r="E2297" s="2">
        <f ca="1">IFERROR(__xludf.DUMMYFUNCTION("""COMPUTED_VALUE"""),72.13)</f>
        <v>72.13</v>
      </c>
      <c r="F2297" s="2">
        <f ca="1">IFERROR(__xludf.DUMMYFUNCTION("""COMPUTED_VALUE"""),81.413)</f>
        <v>81.412999999999997</v>
      </c>
      <c r="G2297" s="2">
        <f ca="1">IFERROR(__xludf.DUMMYFUNCTION("""COMPUTED_VALUE"""),0.57907)</f>
        <v>0.57906999999999997</v>
      </c>
      <c r="H2297" s="2">
        <f ca="1">IFERROR(__xludf.DUMMYFUNCTION("""COMPUTED_VALUE"""),48.667)</f>
        <v>48.667000000000002</v>
      </c>
      <c r="I2297" s="2">
        <f ca="1">IFERROR(__xludf.DUMMYFUNCTION("""COMPUTED_VALUE"""),48.771)</f>
        <v>48.771000000000001</v>
      </c>
      <c r="J2297" s="2">
        <f ca="1">IFERROR(__xludf.DUMMYFUNCTION("""COMPUTED_VALUE"""),46.421)</f>
        <v>46.420999999999999</v>
      </c>
      <c r="K2297" s="2">
        <f ca="1">IFERROR(__xludf.DUMMYFUNCTION("""COMPUTED_VALUE"""),64.182)</f>
        <v>64.182000000000002</v>
      </c>
      <c r="M2297" s="2">
        <f ca="1">IFERROR(__xludf.DUMMYFUNCTION("""COMPUTED_VALUE"""),18.536)</f>
        <v>18.536000000000001</v>
      </c>
      <c r="U2297" s="3" t="e">
        <f ca="1"/>
        <v>#NAME?</v>
      </c>
    </row>
    <row r="2298" spans="3:21" ht="12.5" x14ac:dyDescent="0.25">
      <c r="C2298" s="4">
        <f ca="1">IFERROR(__xludf.DUMMYFUNCTION("""COMPUTED_VALUE"""),42703.9986111111)</f>
        <v>42703.998611111099</v>
      </c>
      <c r="D2298" s="2">
        <f ca="1">IFERROR(__xludf.DUMMYFUNCTION("""COMPUTED_VALUE"""),68.608)</f>
        <v>68.608000000000004</v>
      </c>
      <c r="E2298" s="2">
        <f ca="1">IFERROR(__xludf.DUMMYFUNCTION("""COMPUTED_VALUE"""),72.13)</f>
        <v>72.13</v>
      </c>
      <c r="F2298" s="2">
        <f ca="1">IFERROR(__xludf.DUMMYFUNCTION("""COMPUTED_VALUE"""),81.42)</f>
        <v>81.42</v>
      </c>
      <c r="G2298" s="2">
        <f ca="1">IFERROR(__xludf.DUMMYFUNCTION("""COMPUTED_VALUE"""),0.57456)</f>
        <v>0.57455999999999996</v>
      </c>
      <c r="H2298" s="2">
        <f ca="1">IFERROR(__xludf.DUMMYFUNCTION("""COMPUTED_VALUE"""),48.74)</f>
        <v>48.74</v>
      </c>
      <c r="I2298" s="2">
        <f ca="1">IFERROR(__xludf.DUMMYFUNCTION("""COMPUTED_VALUE"""),48.563)</f>
        <v>48.563000000000002</v>
      </c>
      <c r="J2298" s="2">
        <f ca="1">IFERROR(__xludf.DUMMYFUNCTION("""COMPUTED_VALUE"""),46.43)</f>
        <v>46.43</v>
      </c>
      <c r="K2298" s="2">
        <f ca="1">IFERROR(__xludf.DUMMYFUNCTION("""COMPUTED_VALUE"""),63.618)</f>
        <v>63.618000000000002</v>
      </c>
      <c r="M2298" s="2">
        <f ca="1">IFERROR(__xludf.DUMMYFUNCTION("""COMPUTED_VALUE"""),18.481)</f>
        <v>18.481000000000002</v>
      </c>
      <c r="U2298" s="3" t="e">
        <f ca="1"/>
        <v>#NAME?</v>
      </c>
    </row>
    <row r="2299" spans="3:21" ht="12.5" x14ac:dyDescent="0.25">
      <c r="C2299" s="4">
        <f ca="1">IFERROR(__xludf.DUMMYFUNCTION("""COMPUTED_VALUE"""),42704.9986111111)</f>
        <v>42704.998611111099</v>
      </c>
      <c r="D2299" s="2">
        <f ca="1">IFERROR(__xludf.DUMMYFUNCTION("""COMPUTED_VALUE"""),68.588)</f>
        <v>68.587999999999994</v>
      </c>
      <c r="E2299" s="2">
        <f ca="1">IFERROR(__xludf.DUMMYFUNCTION("""COMPUTED_VALUE"""),71.978)</f>
        <v>71.977999999999994</v>
      </c>
      <c r="F2299" s="2">
        <f ca="1">IFERROR(__xludf.DUMMYFUNCTION("""COMPUTED_VALUE"""),81.568)</f>
        <v>81.567999999999998</v>
      </c>
      <c r="G2299" s="2">
        <f ca="1">IFERROR(__xludf.DUMMYFUNCTION("""COMPUTED_VALUE"""),0.57577)</f>
        <v>0.57577</v>
      </c>
      <c r="H2299" s="2">
        <f ca="1">IFERROR(__xludf.DUMMYFUNCTION("""COMPUTED_VALUE"""),48.74)</f>
        <v>48.74</v>
      </c>
      <c r="I2299" s="2">
        <f ca="1">IFERROR(__xludf.DUMMYFUNCTION("""COMPUTED_VALUE"""),48.563)</f>
        <v>48.563000000000002</v>
      </c>
      <c r="J2299" s="2">
        <f ca="1">IFERROR(__xludf.DUMMYFUNCTION("""COMPUTED_VALUE"""),46.444)</f>
        <v>46.444000000000003</v>
      </c>
      <c r="K2299" s="2">
        <f ca="1">IFERROR(__xludf.DUMMYFUNCTION("""COMPUTED_VALUE"""),63.624)</f>
        <v>63.624000000000002</v>
      </c>
      <c r="M2299" s="2">
        <f ca="1">IFERROR(__xludf.DUMMYFUNCTION("""COMPUTED_VALUE"""),18.564)</f>
        <v>18.564</v>
      </c>
      <c r="U2299" s="3" t="e">
        <f ca="1"/>
        <v>#NAME?</v>
      </c>
    </row>
    <row r="2300" spans="3:21" ht="12.5" x14ac:dyDescent="0.25">
      <c r="C2300" s="4">
        <f ca="1">IFERROR(__xludf.DUMMYFUNCTION("""COMPUTED_VALUE"""),42705.9986111111)</f>
        <v>42705.998611111099</v>
      </c>
      <c r="D2300" s="2">
        <f ca="1">IFERROR(__xludf.DUMMYFUNCTION("""COMPUTED_VALUE"""),68.2165)</f>
        <v>68.216499999999996</v>
      </c>
      <c r="E2300" s="2">
        <f ca="1">IFERROR(__xludf.DUMMYFUNCTION("""COMPUTED_VALUE"""),73.019)</f>
        <v>73.019000000000005</v>
      </c>
      <c r="F2300" s="2">
        <f ca="1">IFERROR(__xludf.DUMMYFUNCTION("""COMPUTED_VALUE"""),81.604)</f>
        <v>81.603999999999999</v>
      </c>
      <c r="G2300" s="2">
        <f ca="1">IFERROR(__xludf.DUMMYFUNCTION("""COMPUTED_VALUE"""),0.57777)</f>
        <v>0.57777000000000001</v>
      </c>
      <c r="H2300" s="2">
        <f ca="1">IFERROR(__xludf.DUMMYFUNCTION("""COMPUTED_VALUE"""),48.74)</f>
        <v>48.74</v>
      </c>
      <c r="I2300" s="2">
        <f ca="1">IFERROR(__xludf.DUMMYFUNCTION("""COMPUTED_VALUE"""),48.569)</f>
        <v>48.569000000000003</v>
      </c>
      <c r="J2300" s="2">
        <f ca="1">IFERROR(__xludf.DUMMYFUNCTION("""COMPUTED_VALUE"""),46.444)</f>
        <v>46.444000000000003</v>
      </c>
      <c r="K2300" s="2">
        <f ca="1">IFERROR(__xludf.DUMMYFUNCTION("""COMPUTED_VALUE"""),63.988)</f>
        <v>63.988</v>
      </c>
      <c r="M2300" s="2">
        <f ca="1">IFERROR(__xludf.DUMMYFUNCTION("""COMPUTED_VALUE"""),18.535)</f>
        <v>18.535</v>
      </c>
      <c r="U2300" s="3" t="e">
        <f ca="1"/>
        <v>#NAME?</v>
      </c>
    </row>
    <row r="2301" spans="3:21" ht="12.5" x14ac:dyDescent="0.25">
      <c r="C2301" s="4">
        <f ca="1">IFERROR(__xludf.DUMMYFUNCTION("""COMPUTED_VALUE"""),42706.9986111111)</f>
        <v>42706.998611111099</v>
      </c>
      <c r="D2301" s="2">
        <f ca="1">IFERROR(__xludf.DUMMYFUNCTION("""COMPUTED_VALUE"""),68.023)</f>
        <v>68.022999999999996</v>
      </c>
      <c r="E2301" s="2">
        <f ca="1">IFERROR(__xludf.DUMMYFUNCTION("""COMPUTED_VALUE"""),73.362)</f>
        <v>73.361999999999995</v>
      </c>
      <c r="F2301" s="2">
        <f ca="1">IFERROR(__xludf.DUMMYFUNCTION("""COMPUTED_VALUE"""),82.167)</f>
        <v>82.167000000000002</v>
      </c>
      <c r="G2301" s="2">
        <f ca="1">IFERROR(__xludf.DUMMYFUNCTION("""COMPUTED_VALUE"""),0.57958)</f>
        <v>0.57957999999999998</v>
      </c>
      <c r="H2301" s="2">
        <f ca="1">IFERROR(__xludf.DUMMYFUNCTION("""COMPUTED_VALUE"""),48.818)</f>
        <v>48.817999999999998</v>
      </c>
      <c r="I2301" s="2">
        <f ca="1">IFERROR(__xludf.DUMMYFUNCTION("""COMPUTED_VALUE"""),48.547)</f>
        <v>48.546999999999997</v>
      </c>
      <c r="J2301" s="2">
        <f ca="1">IFERROR(__xludf.DUMMYFUNCTION("""COMPUTED_VALUE"""),46.456)</f>
        <v>46.456000000000003</v>
      </c>
      <c r="K2301" s="2">
        <f ca="1">IFERROR(__xludf.DUMMYFUNCTION("""COMPUTED_VALUE"""),64.03)</f>
        <v>64.03</v>
      </c>
      <c r="M2301" s="2">
        <f ca="1">IFERROR(__xludf.DUMMYFUNCTION("""COMPUTED_VALUE"""),18.529)</f>
        <v>18.529</v>
      </c>
      <c r="U2301" s="3" t="e">
        <f ca="1"/>
        <v>#NAME?</v>
      </c>
    </row>
    <row r="2302" spans="3:21" ht="12.5" x14ac:dyDescent="0.25">
      <c r="C2302" s="4">
        <f ca="1">IFERROR(__xludf.DUMMYFUNCTION("""COMPUTED_VALUE"""),42707.9986111111)</f>
        <v>42707.998611111099</v>
      </c>
      <c r="D2302" s="2">
        <f ca="1">IFERROR(__xludf.DUMMYFUNCTION("""COMPUTED_VALUE"""),68.01)</f>
        <v>68.010000000000005</v>
      </c>
      <c r="E2302" s="2">
        <f ca="1">IFERROR(__xludf.DUMMYFUNCTION("""COMPUTED_VALUE"""),73.891)</f>
        <v>73.891000000000005</v>
      </c>
      <c r="F2302" s="2">
        <f ca="1">IFERROR(__xludf.DUMMYFUNCTION("""COMPUTED_VALUE"""),83.127)</f>
        <v>83.126999999999995</v>
      </c>
      <c r="G2302" s="2">
        <f ca="1">IFERROR(__xludf.DUMMYFUNCTION("""COMPUTED_VALUE"""),0.58682)</f>
        <v>0.58682000000000001</v>
      </c>
      <c r="H2302" s="2">
        <f ca="1">IFERROR(__xludf.DUMMYFUNCTION("""COMPUTED_VALUE"""),48.861)</f>
        <v>48.860999999999997</v>
      </c>
      <c r="I2302" s="2">
        <f ca="1">IFERROR(__xludf.DUMMYFUNCTION("""COMPUTED_VALUE"""),48.861)</f>
        <v>48.860999999999997</v>
      </c>
      <c r="J2302" s="2">
        <f ca="1">IFERROR(__xludf.DUMMYFUNCTION("""COMPUTED_VALUE"""),46.363)</f>
        <v>46.363</v>
      </c>
      <c r="K2302" s="2">
        <f ca="1">IFERROR(__xludf.DUMMYFUNCTION("""COMPUTED_VALUE"""),64.479)</f>
        <v>64.478999999999999</v>
      </c>
      <c r="M2302" s="2">
        <f ca="1">IFERROR(__xludf.DUMMYFUNCTION("""COMPUTED_VALUE"""),18.532)</f>
        <v>18.532</v>
      </c>
      <c r="U2302" s="3" t="e">
        <f ca="1"/>
        <v>#NAME?</v>
      </c>
    </row>
    <row r="2303" spans="3:21" ht="12.5" x14ac:dyDescent="0.25">
      <c r="C2303" s="4">
        <f ca="1">IFERROR(__xludf.DUMMYFUNCTION("""COMPUTED_VALUE"""),42708.9986111111)</f>
        <v>42708.998611111099</v>
      </c>
      <c r="D2303" s="2">
        <f ca="1">IFERROR(__xludf.DUMMYFUNCTION("""COMPUTED_VALUE"""),68.0115)</f>
        <v>68.011499999999998</v>
      </c>
      <c r="E2303" s="2">
        <f ca="1">IFERROR(__xludf.DUMMYFUNCTION("""COMPUTED_VALUE"""),73.758)</f>
        <v>73.757999999999996</v>
      </c>
      <c r="F2303" s="2">
        <f ca="1">IFERROR(__xludf.DUMMYFUNCTION("""COMPUTED_VALUE"""),83.607)</f>
        <v>83.606999999999999</v>
      </c>
      <c r="G2303" s="2">
        <f ca="1">IFERROR(__xludf.DUMMYFUNCTION("""COMPUTED_VALUE"""),0.58681)</f>
        <v>0.58681000000000005</v>
      </c>
      <c r="H2303" s="2">
        <f ca="1">IFERROR(__xludf.DUMMYFUNCTION("""COMPUTED_VALUE"""),49.213)</f>
        <v>49.213000000000001</v>
      </c>
      <c r="I2303" s="2">
        <f ca="1">IFERROR(__xludf.DUMMYFUNCTION("""COMPUTED_VALUE"""),49.432)</f>
        <v>49.432000000000002</v>
      </c>
      <c r="J2303" s="2">
        <f ca="1">IFERROR(__xludf.DUMMYFUNCTION("""COMPUTED_VALUE"""),46.429)</f>
        <v>46.429000000000002</v>
      </c>
      <c r="K2303" s="2">
        <f ca="1">IFERROR(__xludf.DUMMYFUNCTION("""COMPUTED_VALUE"""),63.996)</f>
        <v>63.996000000000002</v>
      </c>
      <c r="M2303" s="2">
        <f ca="1">IFERROR(__xludf.DUMMYFUNCTION("""COMPUTED_VALUE"""),18.525)</f>
        <v>18.524999999999999</v>
      </c>
      <c r="U2303" s="3" t="e">
        <f ca="1"/>
        <v>#NAME?</v>
      </c>
    </row>
    <row r="2304" spans="3:21" ht="12.5" x14ac:dyDescent="0.25">
      <c r="C2304" s="4">
        <f ca="1">IFERROR(__xludf.DUMMYFUNCTION("""COMPUTED_VALUE"""),42709.9986111111)</f>
        <v>42709.998611111099</v>
      </c>
      <c r="D2304" s="2">
        <f ca="1">IFERROR(__xludf.DUMMYFUNCTION("""COMPUTED_VALUE"""),68.0125)</f>
        <v>68.012500000000003</v>
      </c>
      <c r="E2304" s="2">
        <f ca="1">IFERROR(__xludf.DUMMYFUNCTION("""COMPUTED_VALUE"""),73.652)</f>
        <v>73.652000000000001</v>
      </c>
      <c r="F2304" s="2">
        <f ca="1">IFERROR(__xludf.DUMMYFUNCTION("""COMPUTED_VALUE"""),83.602)</f>
        <v>83.602000000000004</v>
      </c>
      <c r="G2304" s="2">
        <f ca="1">IFERROR(__xludf.DUMMYFUNCTION("""COMPUTED_VALUE"""),0.58235)</f>
        <v>0.58235000000000003</v>
      </c>
      <c r="H2304" s="2">
        <f ca="1">IFERROR(__xludf.DUMMYFUNCTION("""COMPUTED_VALUE"""),49.641)</f>
        <v>49.640999999999998</v>
      </c>
      <c r="I2304" s="2">
        <f ca="1">IFERROR(__xludf.DUMMYFUNCTION("""COMPUTED_VALUE"""),49.717)</f>
        <v>49.716999999999999</v>
      </c>
      <c r="J2304" s="2">
        <f ca="1">IFERROR(__xludf.DUMMYFUNCTION("""COMPUTED_VALUE"""),46.634)</f>
        <v>46.634</v>
      </c>
      <c r="K2304" s="2">
        <f ca="1">IFERROR(__xludf.DUMMYFUNCTION("""COMPUTED_VALUE"""),64.041)</f>
        <v>64.040999999999997</v>
      </c>
      <c r="M2304" s="2">
        <f ca="1">IFERROR(__xludf.DUMMYFUNCTION("""COMPUTED_VALUE"""),18.556)</f>
        <v>18.556000000000001</v>
      </c>
      <c r="U2304" s="3" t="e">
        <f ca="1"/>
        <v>#NAME?</v>
      </c>
    </row>
    <row r="2305" spans="3:21" ht="12.5" x14ac:dyDescent="0.25">
      <c r="C2305" s="4">
        <f ca="1">IFERROR(__xludf.DUMMYFUNCTION("""COMPUTED_VALUE"""),42710.9986111111)</f>
        <v>42710.998611111099</v>
      </c>
      <c r="D2305" s="2">
        <f ca="1">IFERROR(__xludf.DUMMYFUNCTION("""COMPUTED_VALUE"""),67.722)</f>
        <v>67.721999999999994</v>
      </c>
      <c r="E2305" s="2">
        <f ca="1">IFERROR(__xludf.DUMMYFUNCTION("""COMPUTED_VALUE"""),73.518)</f>
        <v>73.518000000000001</v>
      </c>
      <c r="F2305" s="2">
        <f ca="1">IFERROR(__xludf.DUMMYFUNCTION("""COMPUTED_VALUE"""),83.159)</f>
        <v>83.159000000000006</v>
      </c>
      <c r="G2305" s="2">
        <f ca="1">IFERROR(__xludf.DUMMYFUNCTION("""COMPUTED_VALUE"""),0.57915)</f>
        <v>0.57915000000000005</v>
      </c>
      <c r="H2305" s="2">
        <f ca="1">IFERROR(__xludf.DUMMYFUNCTION("""COMPUTED_VALUE"""),49.635)</f>
        <v>49.634999999999998</v>
      </c>
      <c r="I2305" s="2">
        <f ca="1">IFERROR(__xludf.DUMMYFUNCTION("""COMPUTED_VALUE"""),49.799)</f>
        <v>49.798999999999999</v>
      </c>
      <c r="J2305" s="2">
        <f ca="1">IFERROR(__xludf.DUMMYFUNCTION("""COMPUTED_VALUE"""),46.841)</f>
        <v>46.841000000000001</v>
      </c>
      <c r="K2305" s="2">
        <f ca="1">IFERROR(__xludf.DUMMYFUNCTION("""COMPUTED_VALUE"""),63.925)</f>
        <v>63.924999999999997</v>
      </c>
      <c r="M2305" s="2">
        <f ca="1">IFERROR(__xludf.DUMMYFUNCTION("""COMPUTED_VALUE"""),18.503)</f>
        <v>18.503</v>
      </c>
      <c r="U2305" s="3" t="e">
        <f ca="1"/>
        <v>#NAME?</v>
      </c>
    </row>
    <row r="2306" spans="3:21" ht="12.5" x14ac:dyDescent="0.25">
      <c r="C2306" s="4">
        <f ca="1">IFERROR(__xludf.DUMMYFUNCTION("""COMPUTED_VALUE"""),42711.9986111111)</f>
        <v>42711.998611111099</v>
      </c>
      <c r="D2306" s="2">
        <f ca="1">IFERROR(__xludf.DUMMYFUNCTION("""COMPUTED_VALUE"""),67.4315)</f>
        <v>67.4315</v>
      </c>
      <c r="E2306" s="2">
        <f ca="1">IFERROR(__xludf.DUMMYFUNCTION("""COMPUTED_VALUE"""),73.449)</f>
        <v>73.448999999999998</v>
      </c>
      <c r="F2306" s="2">
        <f ca="1">IFERROR(__xludf.DUMMYFUNCTION("""COMPUTED_VALUE"""),82.685)</f>
        <v>82.685000000000002</v>
      </c>
      <c r="G2306" s="2">
        <f ca="1">IFERROR(__xludf.DUMMYFUNCTION("""COMPUTED_VALUE"""),0.58262)</f>
        <v>0.58262000000000003</v>
      </c>
      <c r="H2306" s="2">
        <f ca="1">IFERROR(__xludf.DUMMYFUNCTION("""COMPUTED_VALUE"""),49.653)</f>
        <v>49.652999999999999</v>
      </c>
      <c r="I2306" s="2">
        <f ca="1">IFERROR(__xludf.DUMMYFUNCTION("""COMPUTED_VALUE"""),49.859)</f>
        <v>49.859000000000002</v>
      </c>
      <c r="J2306" s="2">
        <f ca="1">IFERROR(__xludf.DUMMYFUNCTION("""COMPUTED_VALUE"""),46.893)</f>
        <v>46.893000000000001</v>
      </c>
      <c r="K2306" s="2">
        <f ca="1">IFERROR(__xludf.DUMMYFUNCTION("""COMPUTED_VALUE"""),64.734)</f>
        <v>64.733999999999995</v>
      </c>
      <c r="M2306" s="2">
        <f ca="1">IFERROR(__xludf.DUMMYFUNCTION("""COMPUTED_VALUE"""),18.555)</f>
        <v>18.555</v>
      </c>
      <c r="U2306" s="3" t="e">
        <f ca="1"/>
        <v>#NAME?</v>
      </c>
    </row>
    <row r="2307" spans="3:21" ht="12.5" x14ac:dyDescent="0.25">
      <c r="C2307" s="4">
        <f ca="1">IFERROR(__xludf.DUMMYFUNCTION("""COMPUTED_VALUE"""),42712.9986111111)</f>
        <v>42712.998611111099</v>
      </c>
      <c r="D2307" s="2">
        <f ca="1">IFERROR(__xludf.DUMMYFUNCTION("""COMPUTED_VALUE"""),67.406)</f>
        <v>67.406000000000006</v>
      </c>
      <c r="E2307" s="2">
        <f ca="1">IFERROR(__xludf.DUMMYFUNCTION("""COMPUTED_VALUE"""),73.868)</f>
        <v>73.867999999999995</v>
      </c>
      <c r="F2307" s="2">
        <f ca="1">IFERROR(__xludf.DUMMYFUNCTION("""COMPUTED_VALUE"""),82.028)</f>
        <v>82.028000000000006</v>
      </c>
      <c r="G2307" s="2">
        <f ca="1">IFERROR(__xludf.DUMMYFUNCTION("""COMPUTED_VALUE"""),0.58627)</f>
        <v>0.58626999999999996</v>
      </c>
      <c r="H2307" s="2">
        <f ca="1">IFERROR(__xludf.DUMMYFUNCTION("""COMPUTED_VALUE"""),49.259)</f>
        <v>49.259</v>
      </c>
      <c r="I2307" s="2">
        <f ca="1">IFERROR(__xludf.DUMMYFUNCTION("""COMPUTED_VALUE"""),50.047)</f>
        <v>50.046999999999997</v>
      </c>
      <c r="J2307" s="2">
        <f ca="1">IFERROR(__xludf.DUMMYFUNCTION("""COMPUTED_VALUE"""),46.87)</f>
        <v>46.87</v>
      </c>
      <c r="K2307" s="2">
        <f ca="1">IFERROR(__xludf.DUMMYFUNCTION("""COMPUTED_VALUE"""),64.711)</f>
        <v>64.710999999999999</v>
      </c>
      <c r="M2307" s="2">
        <f ca="1">IFERROR(__xludf.DUMMYFUNCTION("""COMPUTED_VALUE"""),18.537)</f>
        <v>18.536999999999999</v>
      </c>
      <c r="U2307" s="3" t="e">
        <f ca="1"/>
        <v>#NAME?</v>
      </c>
    </row>
    <row r="2308" spans="3:21" ht="12.5" x14ac:dyDescent="0.25">
      <c r="C2308" s="4">
        <f ca="1">IFERROR(__xludf.DUMMYFUNCTION("""COMPUTED_VALUE"""),42713.9986111111)</f>
        <v>42713.998611111099</v>
      </c>
      <c r="D2308" s="2">
        <f ca="1">IFERROR(__xludf.DUMMYFUNCTION("""COMPUTED_VALUE"""),67.463)</f>
        <v>67.462999999999994</v>
      </c>
      <c r="E2308" s="2">
        <f ca="1">IFERROR(__xludf.DUMMYFUNCTION("""COMPUTED_VALUE"""),73.602)</f>
        <v>73.602000000000004</v>
      </c>
      <c r="F2308" s="2">
        <f ca="1">IFERROR(__xludf.DUMMYFUNCTION("""COMPUTED_VALUE"""),82.577)</f>
        <v>82.576999999999998</v>
      </c>
      <c r="G2308" s="2">
        <f ca="1">IFERROR(__xludf.DUMMYFUNCTION("""COMPUTED_VALUE"""),0.58635)</f>
        <v>0.58635000000000004</v>
      </c>
      <c r="H2308" s="2">
        <f ca="1">IFERROR(__xludf.DUMMYFUNCTION("""COMPUTED_VALUE"""),49.197)</f>
        <v>49.197000000000003</v>
      </c>
      <c r="I2308" s="2">
        <f ca="1">IFERROR(__xludf.DUMMYFUNCTION("""COMPUTED_VALUE"""),49.944)</f>
        <v>49.944000000000003</v>
      </c>
      <c r="J2308" s="2">
        <f ca="1">IFERROR(__xludf.DUMMYFUNCTION("""COMPUTED_VALUE"""),46.836)</f>
        <v>46.835999999999999</v>
      </c>
      <c r="K2308" s="2">
        <f ca="1">IFERROR(__xludf.DUMMYFUNCTION("""COMPUTED_VALUE"""),64.609)</f>
        <v>64.608999999999995</v>
      </c>
      <c r="M2308" s="2">
        <f ca="1">IFERROR(__xludf.DUMMYFUNCTION("""COMPUTED_VALUE"""),18.537)</f>
        <v>18.536999999999999</v>
      </c>
      <c r="U2308" s="3" t="e">
        <f ca="1"/>
        <v>#NAME?</v>
      </c>
    </row>
    <row r="2309" spans="3:21" ht="12.5" x14ac:dyDescent="0.25">
      <c r="C2309" s="4">
        <f ca="1">IFERROR(__xludf.DUMMYFUNCTION("""COMPUTED_VALUE"""),42714.9986111111)</f>
        <v>42714.998611111099</v>
      </c>
      <c r="D2309" s="2">
        <f ca="1">IFERROR(__xludf.DUMMYFUNCTION("""COMPUTED_VALUE"""),67.463)</f>
        <v>67.462999999999994</v>
      </c>
      <c r="E2309" s="2">
        <f ca="1">IFERROR(__xludf.DUMMYFUNCTION("""COMPUTED_VALUE"""),73.602)</f>
        <v>73.602000000000004</v>
      </c>
      <c r="F2309" s="2">
        <f ca="1">IFERROR(__xludf.DUMMYFUNCTION("""COMPUTED_VALUE"""),84.324)</f>
        <v>84.323999999999998</v>
      </c>
      <c r="G2309" s="2">
        <f ca="1">IFERROR(__xludf.DUMMYFUNCTION("""COMPUTED_VALUE"""),0.58772)</f>
        <v>0.58772000000000002</v>
      </c>
      <c r="H2309" s="2">
        <f ca="1">IFERROR(__xludf.DUMMYFUNCTION("""COMPUTED_VALUE"""),49.007)</f>
        <v>49.006999999999998</v>
      </c>
      <c r="I2309" s="2">
        <f ca="1">IFERROR(__xludf.DUMMYFUNCTION("""COMPUTED_VALUE"""),49.817)</f>
        <v>49.817</v>
      </c>
      <c r="J2309" s="2">
        <f ca="1">IFERROR(__xludf.DUMMYFUNCTION("""COMPUTED_VALUE"""),46.865)</f>
        <v>46.865000000000002</v>
      </c>
      <c r="K2309" s="2">
        <f ca="1">IFERROR(__xludf.DUMMYFUNCTION("""COMPUTED_VALUE"""),64.842)</f>
        <v>64.841999999999999</v>
      </c>
      <c r="M2309" s="2">
        <f ca="1">IFERROR(__xludf.DUMMYFUNCTION("""COMPUTED_VALUE"""),18.54)</f>
        <v>18.54</v>
      </c>
      <c r="U2309" s="3" t="e">
        <f ca="1"/>
        <v>#NAME?</v>
      </c>
    </row>
    <row r="2310" spans="3:21" ht="12.5" x14ac:dyDescent="0.25">
      <c r="C2310" s="4">
        <f ca="1">IFERROR(__xludf.DUMMYFUNCTION("""COMPUTED_VALUE"""),42715.9986111111)</f>
        <v>42715.998611111099</v>
      </c>
      <c r="D2310" s="2">
        <f ca="1">IFERROR(__xludf.DUMMYFUNCTION("""COMPUTED_VALUE"""),67.4605)</f>
        <v>67.460499999999996</v>
      </c>
      <c r="E2310" s="2">
        <f ca="1">IFERROR(__xludf.DUMMYFUNCTION("""COMPUTED_VALUE"""),73.399)</f>
        <v>73.399000000000001</v>
      </c>
      <c r="F2310" s="2">
        <f ca="1">IFERROR(__xludf.DUMMYFUNCTION("""COMPUTED_VALUE"""),85.137)</f>
        <v>85.137</v>
      </c>
      <c r="G2310" s="2">
        <f ca="1">IFERROR(__xludf.DUMMYFUNCTION("""COMPUTED_VALUE"""),0.58324)</f>
        <v>0.58323999999999998</v>
      </c>
      <c r="H2310" s="2">
        <f ca="1">IFERROR(__xludf.DUMMYFUNCTION("""COMPUTED_VALUE"""),49.093)</f>
        <v>49.093000000000004</v>
      </c>
      <c r="I2310" s="2">
        <f ca="1">IFERROR(__xludf.DUMMYFUNCTION("""COMPUTED_VALUE"""),50.137)</f>
        <v>50.137</v>
      </c>
      <c r="J2310" s="2">
        <f ca="1">IFERROR(__xludf.DUMMYFUNCTION("""COMPUTED_VALUE"""),46.765)</f>
        <v>46.765000000000001</v>
      </c>
      <c r="K2310" s="2">
        <f ca="1">IFERROR(__xludf.DUMMYFUNCTION("""COMPUTED_VALUE"""),64.677)</f>
        <v>64.677000000000007</v>
      </c>
      <c r="M2310" s="2">
        <f ca="1">IFERROR(__xludf.DUMMYFUNCTION("""COMPUTED_VALUE"""),18.463)</f>
        <v>18.463000000000001</v>
      </c>
      <c r="U2310" s="3" t="e">
        <f ca="1"/>
        <v>#NAME?</v>
      </c>
    </row>
    <row r="2311" spans="3:21" ht="12.5" x14ac:dyDescent="0.25">
      <c r="C2311" s="4">
        <f ca="1">IFERROR(__xludf.DUMMYFUNCTION("""COMPUTED_VALUE"""),42716.9986111111)</f>
        <v>42716.998611111099</v>
      </c>
      <c r="D2311" s="2">
        <f ca="1">IFERROR(__xludf.DUMMYFUNCTION("""COMPUTED_VALUE"""),67.418)</f>
        <v>67.418000000000006</v>
      </c>
      <c r="E2311" s="2">
        <f ca="1">IFERROR(__xludf.DUMMYFUNCTION("""COMPUTED_VALUE"""),73.999)</f>
        <v>73.998999999999995</v>
      </c>
      <c r="F2311" s="2">
        <f ca="1">IFERROR(__xludf.DUMMYFUNCTION("""COMPUTED_VALUE"""),85.133)</f>
        <v>85.132999999999996</v>
      </c>
      <c r="G2311" s="2">
        <f ca="1">IFERROR(__xludf.DUMMYFUNCTION("""COMPUTED_VALUE"""),0.58739)</f>
        <v>0.58738999999999997</v>
      </c>
      <c r="H2311" s="2">
        <f ca="1">IFERROR(__xludf.DUMMYFUNCTION("""COMPUTED_VALUE"""),49.088)</f>
        <v>49.088000000000001</v>
      </c>
      <c r="I2311" s="2">
        <f ca="1">IFERROR(__xludf.DUMMYFUNCTION("""COMPUTED_VALUE"""),50.134)</f>
        <v>50.134</v>
      </c>
      <c r="J2311" s="2">
        <f ca="1">IFERROR(__xludf.DUMMYFUNCTION("""COMPUTED_VALUE"""),46.697)</f>
        <v>46.697000000000003</v>
      </c>
      <c r="K2311" s="2">
        <f ca="1">IFERROR(__xludf.DUMMYFUNCTION("""COMPUTED_VALUE"""),64.675)</f>
        <v>64.674999999999997</v>
      </c>
      <c r="M2311" s="2">
        <f ca="1">IFERROR(__xludf.DUMMYFUNCTION("""COMPUTED_VALUE"""),18.378)</f>
        <v>18.378</v>
      </c>
      <c r="U2311" s="3" t="e">
        <f ca="1"/>
        <v>#NAME?</v>
      </c>
    </row>
    <row r="2312" spans="3:21" ht="12.5" x14ac:dyDescent="0.25">
      <c r="C2312" s="4">
        <f ca="1">IFERROR(__xludf.DUMMYFUNCTION("""COMPUTED_VALUE"""),42717.9986111111)</f>
        <v>42717.998611111099</v>
      </c>
      <c r="D2312" s="2">
        <f ca="1">IFERROR(__xludf.DUMMYFUNCTION("""COMPUTED_VALUE"""),67.3865)</f>
        <v>67.386499999999998</v>
      </c>
      <c r="E2312" s="2">
        <f ca="1">IFERROR(__xludf.DUMMYFUNCTION("""COMPUTED_VALUE"""),73.544)</f>
        <v>73.543999999999997</v>
      </c>
      <c r="F2312" s="2">
        <f ca="1">IFERROR(__xludf.DUMMYFUNCTION("""COMPUTED_VALUE"""),84.943)</f>
        <v>84.942999999999998</v>
      </c>
      <c r="G2312" s="2">
        <f ca="1">IFERROR(__xludf.DUMMYFUNCTION("""COMPUTED_VALUE"""),0.58421)</f>
        <v>0.58421000000000001</v>
      </c>
      <c r="H2312" s="2">
        <f ca="1">IFERROR(__xludf.DUMMYFUNCTION("""COMPUTED_VALUE"""),48.992)</f>
        <v>48.991999999999997</v>
      </c>
      <c r="I2312" s="2">
        <f ca="1">IFERROR(__xludf.DUMMYFUNCTION("""COMPUTED_VALUE"""),49.957)</f>
        <v>49.957000000000001</v>
      </c>
      <c r="J2312" s="2">
        <f ca="1">IFERROR(__xludf.DUMMYFUNCTION("""COMPUTED_VALUE"""),46.702)</f>
        <v>46.701999999999998</v>
      </c>
      <c r="K2312" s="2">
        <f ca="1">IFERROR(__xludf.DUMMYFUNCTION("""COMPUTED_VALUE"""),64.494)</f>
        <v>64.494</v>
      </c>
      <c r="M2312" s="2">
        <f ca="1">IFERROR(__xludf.DUMMYFUNCTION("""COMPUTED_VALUE"""),18.348)</f>
        <v>18.347999999999999</v>
      </c>
      <c r="U2312" s="3" t="e">
        <f ca="1"/>
        <v>#NAME?</v>
      </c>
    </row>
    <row r="2313" spans="3:21" ht="12.5" x14ac:dyDescent="0.25">
      <c r="C2313" s="4">
        <f ca="1">IFERROR(__xludf.DUMMYFUNCTION("""COMPUTED_VALUE"""),42718.9986111111)</f>
        <v>42718.998611111099</v>
      </c>
      <c r="D2313" s="2">
        <f ca="1">IFERROR(__xludf.DUMMYFUNCTION("""COMPUTED_VALUE"""),67.82)</f>
        <v>67.819999999999993</v>
      </c>
      <c r="E2313" s="2">
        <f ca="1">IFERROR(__xludf.DUMMYFUNCTION("""COMPUTED_VALUE"""),73.433)</f>
        <v>73.433000000000007</v>
      </c>
      <c r="F2313" s="2">
        <f ca="1">IFERROR(__xludf.DUMMYFUNCTION("""COMPUTED_VALUE"""),84.73)</f>
        <v>84.73</v>
      </c>
      <c r="G2313" s="2">
        <f ca="1">IFERROR(__xludf.DUMMYFUNCTION("""COMPUTED_VALUE"""),0.58468)</f>
        <v>0.58467999999999998</v>
      </c>
      <c r="H2313" s="2">
        <f ca="1">IFERROR(__xludf.DUMMYFUNCTION("""COMPUTED_VALUE"""),49.264)</f>
        <v>49.264000000000003</v>
      </c>
      <c r="I2313" s="2">
        <f ca="1">IFERROR(__xludf.DUMMYFUNCTION("""COMPUTED_VALUE"""),49.952)</f>
        <v>49.951999999999998</v>
      </c>
      <c r="J2313" s="2">
        <f ca="1">IFERROR(__xludf.DUMMYFUNCTION("""COMPUTED_VALUE"""),46.502)</f>
        <v>46.502000000000002</v>
      </c>
      <c r="K2313" s="2">
        <f ca="1">IFERROR(__xludf.DUMMYFUNCTION("""COMPUTED_VALUE"""),64.4)</f>
        <v>64.400000000000006</v>
      </c>
      <c r="M2313" s="2">
        <f ca="1">IFERROR(__xludf.DUMMYFUNCTION("""COMPUTED_VALUE"""),18.318)</f>
        <v>18.318000000000001</v>
      </c>
      <c r="U2313" s="3" t="e">
        <f ca="1"/>
        <v>#NAME?</v>
      </c>
    </row>
    <row r="2314" spans="3:21" ht="12.5" x14ac:dyDescent="0.25">
      <c r="C2314" s="4">
        <f ca="1">IFERROR(__xludf.DUMMYFUNCTION("""COMPUTED_VALUE"""),42719.9986111111)</f>
        <v>42719.998611111099</v>
      </c>
      <c r="D2314" s="2">
        <f ca="1">IFERROR(__xludf.DUMMYFUNCTION("""COMPUTED_VALUE"""),67.845)</f>
        <v>67.844999999999999</v>
      </c>
      <c r="E2314" s="2">
        <f ca="1">IFERROR(__xludf.DUMMYFUNCTION("""COMPUTED_VALUE"""),73.811)</f>
        <v>73.811000000000007</v>
      </c>
      <c r="F2314" s="2">
        <f ca="1">IFERROR(__xludf.DUMMYFUNCTION("""COMPUTED_VALUE"""),84.348)</f>
        <v>84.347999999999999</v>
      </c>
      <c r="G2314" s="2">
        <f ca="1">IFERROR(__xludf.DUMMYFUNCTION("""COMPUTED_VALUE"""),0.58713)</f>
        <v>0.58713000000000004</v>
      </c>
      <c r="H2314" s="2">
        <f ca="1">IFERROR(__xludf.DUMMYFUNCTION("""COMPUTED_VALUE"""),49.453)</f>
        <v>49.453000000000003</v>
      </c>
      <c r="I2314" s="2">
        <f ca="1">IFERROR(__xludf.DUMMYFUNCTION("""COMPUTED_VALUE"""),50.51)</f>
        <v>50.51</v>
      </c>
      <c r="J2314" s="2">
        <f ca="1">IFERROR(__xludf.DUMMYFUNCTION("""COMPUTED_VALUE"""),46.691)</f>
        <v>46.691000000000003</v>
      </c>
      <c r="K2314" s="2">
        <f ca="1">IFERROR(__xludf.DUMMYFUNCTION("""COMPUTED_VALUE"""),64.543)</f>
        <v>64.543000000000006</v>
      </c>
      <c r="M2314" s="2">
        <f ca="1">IFERROR(__xludf.DUMMYFUNCTION("""COMPUTED_VALUE"""),18.286)</f>
        <v>18.286000000000001</v>
      </c>
      <c r="U2314" s="3" t="e">
        <f ca="1"/>
        <v>#NAME?</v>
      </c>
    </row>
    <row r="2315" spans="3:21" ht="12.5" x14ac:dyDescent="0.25">
      <c r="C2315" s="4">
        <f ca="1">IFERROR(__xludf.DUMMYFUNCTION("""COMPUTED_VALUE"""),42720.9986111111)</f>
        <v>42720.998611111099</v>
      </c>
      <c r="D2315" s="2">
        <f ca="1">IFERROR(__xludf.DUMMYFUNCTION("""COMPUTED_VALUE"""),67.84)</f>
        <v>67.84</v>
      </c>
      <c r="E2315" s="2">
        <f ca="1">IFERROR(__xludf.DUMMYFUNCTION("""COMPUTED_VALUE"""),73.741)</f>
        <v>73.741</v>
      </c>
      <c r="F2315" s="2">
        <f ca="1">IFERROR(__xludf.DUMMYFUNCTION("""COMPUTED_VALUE"""),84.575)</f>
        <v>84.575000000000003</v>
      </c>
      <c r="G2315" s="2">
        <f ca="1">IFERROR(__xludf.DUMMYFUNCTION("""COMPUTED_VALUE"""),0.5825)</f>
        <v>0.58250000000000002</v>
      </c>
      <c r="H2315" s="2">
        <f ca="1">IFERROR(__xludf.DUMMYFUNCTION("""COMPUTED_VALUE"""),49.837)</f>
        <v>49.837000000000003</v>
      </c>
      <c r="I2315" s="2">
        <f ca="1">IFERROR(__xludf.DUMMYFUNCTION("""COMPUTED_VALUE"""),50.592)</f>
        <v>50.591999999999999</v>
      </c>
      <c r="J2315" s="2">
        <f ca="1">IFERROR(__xludf.DUMMYFUNCTION("""COMPUTED_VALUE"""),46.748)</f>
        <v>46.747999999999998</v>
      </c>
      <c r="K2315" s="2">
        <f ca="1">IFERROR(__xludf.DUMMYFUNCTION("""COMPUTED_VALUE"""),64.543)</f>
        <v>64.543000000000006</v>
      </c>
      <c r="M2315" s="2">
        <f ca="1">IFERROR(__xludf.DUMMYFUNCTION("""COMPUTED_VALUE"""),18.286)</f>
        <v>18.286000000000001</v>
      </c>
      <c r="U2315" s="3" t="e">
        <f ca="1"/>
        <v>#NAME?</v>
      </c>
    </row>
    <row r="2316" spans="3:21" ht="12.5" x14ac:dyDescent="0.25">
      <c r="C2316" s="4">
        <f ca="1">IFERROR(__xludf.DUMMYFUNCTION("""COMPUTED_VALUE"""),42721.9986111111)</f>
        <v>42721.998611111099</v>
      </c>
      <c r="D2316" s="2">
        <f ca="1">IFERROR(__xludf.DUMMYFUNCTION("""COMPUTED_VALUE"""),67.835)</f>
        <v>67.834999999999994</v>
      </c>
      <c r="E2316" s="2">
        <f ca="1">IFERROR(__xludf.DUMMYFUNCTION("""COMPUTED_VALUE"""),74.199)</f>
        <v>74.198999999999998</v>
      </c>
      <c r="F2316" s="2">
        <f ca="1">IFERROR(__xludf.DUMMYFUNCTION("""COMPUTED_VALUE"""),84.367)</f>
        <v>84.367000000000004</v>
      </c>
      <c r="G2316" s="2">
        <f ca="1">IFERROR(__xludf.DUMMYFUNCTION("""COMPUTED_VALUE"""),0.57857)</f>
        <v>0.57857000000000003</v>
      </c>
      <c r="H2316" s="2">
        <f ca="1">IFERROR(__xludf.DUMMYFUNCTION("""COMPUTED_VALUE"""),50.727)</f>
        <v>50.726999999999997</v>
      </c>
      <c r="I2316" s="2">
        <f ca="1">IFERROR(__xludf.DUMMYFUNCTION("""COMPUTED_VALUE"""),50.887)</f>
        <v>50.887</v>
      </c>
      <c r="J2316" s="2">
        <f ca="1">IFERROR(__xludf.DUMMYFUNCTION("""COMPUTED_VALUE"""),46.875)</f>
        <v>46.875</v>
      </c>
      <c r="K2316" s="2">
        <f ca="1">IFERROR(__xludf.DUMMYFUNCTION("""COMPUTED_VALUE"""),64.456)</f>
        <v>64.456000000000003</v>
      </c>
      <c r="M2316" s="2">
        <f ca="1">IFERROR(__xludf.DUMMYFUNCTION("""COMPUTED_VALUE"""),18.285)</f>
        <v>18.285</v>
      </c>
      <c r="U2316" s="3" t="e">
        <f ca="1"/>
        <v>#NAME?</v>
      </c>
    </row>
    <row r="2317" spans="3:21" ht="12.5" x14ac:dyDescent="0.25">
      <c r="C2317" s="4">
        <f ca="1">IFERROR(__xludf.DUMMYFUNCTION("""COMPUTED_VALUE"""),42722.9986111111)</f>
        <v>42722.998611111099</v>
      </c>
      <c r="D2317" s="2">
        <f ca="1">IFERROR(__xludf.DUMMYFUNCTION("""COMPUTED_VALUE"""),67.835)</f>
        <v>67.834999999999994</v>
      </c>
      <c r="E2317" s="2">
        <f ca="1">IFERROR(__xludf.DUMMYFUNCTION("""COMPUTED_VALUE"""),74.014)</f>
        <v>74.013999999999996</v>
      </c>
      <c r="F2317" s="2">
        <f ca="1">IFERROR(__xludf.DUMMYFUNCTION("""COMPUTED_VALUE"""),84.168)</f>
        <v>84.168000000000006</v>
      </c>
      <c r="G2317" s="2">
        <f ca="1">IFERROR(__xludf.DUMMYFUNCTION("""COMPUTED_VALUE"""),0.57993)</f>
        <v>0.57992999999999995</v>
      </c>
      <c r="H2317" s="2">
        <f ca="1">IFERROR(__xludf.DUMMYFUNCTION("""COMPUTED_VALUE"""),50.07)</f>
        <v>50.07</v>
      </c>
      <c r="I2317" s="2">
        <f ca="1">IFERROR(__xludf.DUMMYFUNCTION("""COMPUTED_VALUE"""),50.615)</f>
        <v>50.615000000000002</v>
      </c>
      <c r="J2317" s="2">
        <f ca="1">IFERROR(__xludf.DUMMYFUNCTION("""COMPUTED_VALUE"""),46.942)</f>
        <v>46.942</v>
      </c>
      <c r="K2317" s="2">
        <f ca="1">IFERROR(__xludf.DUMMYFUNCTION("""COMPUTED_VALUE"""),64.672)</f>
        <v>64.671999999999997</v>
      </c>
      <c r="M2317" s="2">
        <f ca="1">IFERROR(__xludf.DUMMYFUNCTION("""COMPUTED_VALUE"""),18.292)</f>
        <v>18.292000000000002</v>
      </c>
      <c r="U2317" s="3" t="e">
        <f ca="1"/>
        <v>#NAME?</v>
      </c>
    </row>
    <row r="2318" spans="3:21" ht="12.5" x14ac:dyDescent="0.25">
      <c r="C2318" s="4">
        <f ca="1">IFERROR(__xludf.DUMMYFUNCTION("""COMPUTED_VALUE"""),42723.9986111111)</f>
        <v>42723.998611111099</v>
      </c>
      <c r="D2318" s="2">
        <f ca="1">IFERROR(__xludf.DUMMYFUNCTION("""COMPUTED_VALUE"""),67.8402)</f>
        <v>67.840199999999996</v>
      </c>
      <c r="E2318" s="2">
        <f ca="1">IFERROR(__xludf.DUMMYFUNCTION("""COMPUTED_VALUE"""),74.775)</f>
        <v>74.775000000000006</v>
      </c>
      <c r="F2318" s="2">
        <f ca="1">IFERROR(__xludf.DUMMYFUNCTION("""COMPUTED_VALUE"""),84.168)</f>
        <v>84.168000000000006</v>
      </c>
      <c r="G2318" s="2">
        <f ca="1">IFERROR(__xludf.DUMMYFUNCTION("""COMPUTED_VALUE"""),0.57992)</f>
        <v>0.57991999999999999</v>
      </c>
      <c r="H2318" s="2">
        <f ca="1">IFERROR(__xludf.DUMMYFUNCTION("""COMPUTED_VALUE"""),50.87)</f>
        <v>50.87</v>
      </c>
      <c r="I2318" s="2">
        <f ca="1">IFERROR(__xludf.DUMMYFUNCTION("""COMPUTED_VALUE"""),50.856)</f>
        <v>50.856000000000002</v>
      </c>
      <c r="J2318" s="2">
        <f ca="1">IFERROR(__xludf.DUMMYFUNCTION("""COMPUTED_VALUE"""),46.899)</f>
        <v>46.899000000000001</v>
      </c>
      <c r="K2318" s="2">
        <f ca="1">IFERROR(__xludf.DUMMYFUNCTION("""COMPUTED_VALUE"""),64.464)</f>
        <v>64.463999999999999</v>
      </c>
      <c r="M2318" s="2">
        <f ca="1">IFERROR(__xludf.DUMMYFUNCTION("""COMPUTED_VALUE"""),18.335)</f>
        <v>18.335000000000001</v>
      </c>
      <c r="U2318" s="3" t="e">
        <f ca="1"/>
        <v>#NAME?</v>
      </c>
    </row>
    <row r="2319" spans="3:21" ht="12.5" x14ac:dyDescent="0.25">
      <c r="C2319" s="4">
        <f ca="1">IFERROR(__xludf.DUMMYFUNCTION("""COMPUTED_VALUE"""),42724.9986111111)</f>
        <v>42724.998611111099</v>
      </c>
      <c r="D2319" s="2">
        <f ca="1">IFERROR(__xludf.DUMMYFUNCTION("""COMPUTED_VALUE"""),67.897)</f>
        <v>67.897000000000006</v>
      </c>
      <c r="E2319" s="2">
        <f ca="1">IFERROR(__xludf.DUMMYFUNCTION("""COMPUTED_VALUE"""),75.012)</f>
        <v>75.012</v>
      </c>
      <c r="F2319" s="2">
        <f ca="1">IFERROR(__xludf.DUMMYFUNCTION("""COMPUTED_VALUE"""),84.192)</f>
        <v>84.191999999999993</v>
      </c>
      <c r="G2319" s="2">
        <f ca="1">IFERROR(__xludf.DUMMYFUNCTION("""COMPUTED_VALUE"""),0.58257)</f>
        <v>0.58257000000000003</v>
      </c>
      <c r="H2319" s="2">
        <f ca="1">IFERROR(__xludf.DUMMYFUNCTION("""COMPUTED_VALUE"""),51.101)</f>
        <v>51.100999999999999</v>
      </c>
      <c r="I2319" s="2">
        <f ca="1">IFERROR(__xludf.DUMMYFUNCTION("""COMPUTED_VALUE"""),50.948)</f>
        <v>50.948</v>
      </c>
      <c r="J2319" s="2">
        <f ca="1">IFERROR(__xludf.DUMMYFUNCTION("""COMPUTED_VALUE"""),47.012)</f>
        <v>47.012</v>
      </c>
      <c r="K2319" s="2">
        <f ca="1">IFERROR(__xludf.DUMMYFUNCTION("""COMPUTED_VALUE"""),65.044)</f>
        <v>65.043999999999997</v>
      </c>
      <c r="M2319" s="2">
        <f ca="1">IFERROR(__xludf.DUMMYFUNCTION("""COMPUTED_VALUE"""),18.227)</f>
        <v>18.227</v>
      </c>
      <c r="U2319" s="3" t="e">
        <f ca="1"/>
        <v>#NAME?</v>
      </c>
    </row>
    <row r="2320" spans="3:21" ht="12.5" x14ac:dyDescent="0.25">
      <c r="C2320" s="4">
        <f ca="1">IFERROR(__xludf.DUMMYFUNCTION("""COMPUTED_VALUE"""),42725.9986111111)</f>
        <v>42725.998611111099</v>
      </c>
      <c r="D2320" s="2">
        <f ca="1">IFERROR(__xludf.DUMMYFUNCTION("""COMPUTED_VALUE"""),67.8255)</f>
        <v>67.825500000000005</v>
      </c>
      <c r="E2320" s="2">
        <f ca="1">IFERROR(__xludf.DUMMYFUNCTION("""COMPUTED_VALUE"""),74.843)</f>
        <v>74.843000000000004</v>
      </c>
      <c r="F2320" s="2">
        <f ca="1">IFERROR(__xludf.DUMMYFUNCTION("""COMPUTED_VALUE"""),85.216)</f>
        <v>85.215999999999994</v>
      </c>
      <c r="G2320" s="2">
        <f ca="1">IFERROR(__xludf.DUMMYFUNCTION("""COMPUTED_VALUE"""),0.58967)</f>
        <v>0.58967000000000003</v>
      </c>
      <c r="H2320" s="2">
        <f ca="1">IFERROR(__xludf.DUMMYFUNCTION("""COMPUTED_VALUE"""),51.108)</f>
        <v>51.107999999999997</v>
      </c>
      <c r="I2320" s="2">
        <f ca="1">IFERROR(__xludf.DUMMYFUNCTION("""COMPUTED_VALUE"""),51.048)</f>
        <v>51.048000000000002</v>
      </c>
      <c r="J2320" s="2">
        <f ca="1">IFERROR(__xludf.DUMMYFUNCTION("""COMPUTED_VALUE"""),46.908)</f>
        <v>46.908000000000001</v>
      </c>
      <c r="K2320" s="2">
        <f ca="1">IFERROR(__xludf.DUMMYFUNCTION("""COMPUTED_VALUE"""),65.065)</f>
        <v>65.064999999999998</v>
      </c>
      <c r="M2320" s="2">
        <f ca="1">IFERROR(__xludf.DUMMYFUNCTION("""COMPUTED_VALUE"""),18.173)</f>
        <v>18.172999999999998</v>
      </c>
      <c r="U2320" s="3" t="e">
        <f ca="1"/>
        <v>#NAME?</v>
      </c>
    </row>
    <row r="2321" spans="3:21" ht="12.5" x14ac:dyDescent="0.25">
      <c r="C2321" s="4">
        <f ca="1">IFERROR(__xludf.DUMMYFUNCTION("""COMPUTED_VALUE"""),42726.9986111111)</f>
        <v>42726.998611111099</v>
      </c>
      <c r="D2321" s="2">
        <f ca="1">IFERROR(__xludf.DUMMYFUNCTION("""COMPUTED_VALUE"""),67.838)</f>
        <v>67.837999999999994</v>
      </c>
      <c r="E2321" s="2">
        <f ca="1">IFERROR(__xludf.DUMMYFUNCTION("""COMPUTED_VALUE"""),74.89)</f>
        <v>74.89</v>
      </c>
      <c r="F2321" s="2">
        <f ca="1">IFERROR(__xludf.DUMMYFUNCTION("""COMPUTED_VALUE"""),84.951)</f>
        <v>84.950999999999993</v>
      </c>
      <c r="G2321" s="2">
        <f ca="1">IFERROR(__xludf.DUMMYFUNCTION("""COMPUTED_VALUE"""),0.58641)</f>
        <v>0.58640999999999999</v>
      </c>
      <c r="H2321" s="2">
        <f ca="1">IFERROR(__xludf.DUMMYFUNCTION("""COMPUTED_VALUE"""),50.897)</f>
        <v>50.896999999999998</v>
      </c>
      <c r="I2321" s="2">
        <f ca="1">IFERROR(__xludf.DUMMYFUNCTION("""COMPUTED_VALUE"""),51.294)</f>
        <v>51.293999999999997</v>
      </c>
      <c r="J2321" s="2">
        <f ca="1">IFERROR(__xludf.DUMMYFUNCTION("""COMPUTED_VALUE"""),47.052)</f>
        <v>47.052</v>
      </c>
      <c r="K2321" s="2">
        <f ca="1">IFERROR(__xludf.DUMMYFUNCTION("""COMPUTED_VALUE"""),64.398)</f>
        <v>64.397999999999996</v>
      </c>
      <c r="M2321" s="2">
        <f ca="1">IFERROR(__xludf.DUMMYFUNCTION("""COMPUTED_VALUE"""),18.195)</f>
        <v>18.195</v>
      </c>
      <c r="U2321" s="3" t="e">
        <f ca="1"/>
        <v>#NAME?</v>
      </c>
    </row>
    <row r="2322" spans="3:21" ht="12.5" x14ac:dyDescent="0.25">
      <c r="C2322" s="4">
        <f ca="1">IFERROR(__xludf.DUMMYFUNCTION("""COMPUTED_VALUE"""),42727.9986111111)</f>
        <v>42727.998611111099</v>
      </c>
      <c r="D2322" s="2">
        <f ca="1">IFERROR(__xludf.DUMMYFUNCTION("""COMPUTED_VALUE"""),67.829)</f>
        <v>67.828999999999994</v>
      </c>
      <c r="E2322" s="2">
        <f ca="1">IFERROR(__xludf.DUMMYFUNCTION("""COMPUTED_VALUE"""),75.395)</f>
        <v>75.394999999999996</v>
      </c>
      <c r="F2322" s="2">
        <f ca="1">IFERROR(__xludf.DUMMYFUNCTION("""COMPUTED_VALUE"""),85.475)</f>
        <v>85.474999999999994</v>
      </c>
      <c r="G2322" s="2">
        <f ca="1">IFERROR(__xludf.DUMMYFUNCTION("""COMPUTED_VALUE"""),0.59056)</f>
        <v>0.59055999999999997</v>
      </c>
      <c r="H2322" s="2">
        <f ca="1">IFERROR(__xludf.DUMMYFUNCTION("""COMPUTED_VALUE"""),50.969)</f>
        <v>50.969000000000001</v>
      </c>
      <c r="I2322" s="2">
        <f ca="1">IFERROR(__xludf.DUMMYFUNCTION("""COMPUTED_VALUE"""),51.411)</f>
        <v>51.411000000000001</v>
      </c>
      <c r="J2322" s="2">
        <f ca="1">IFERROR(__xludf.DUMMYFUNCTION("""COMPUTED_VALUE"""),47.219)</f>
        <v>47.219000000000001</v>
      </c>
      <c r="K2322" s="2">
        <f ca="1">IFERROR(__xludf.DUMMYFUNCTION("""COMPUTED_VALUE"""),64.166)</f>
        <v>64.165999999999997</v>
      </c>
      <c r="M2322" s="2">
        <f ca="1">IFERROR(__xludf.DUMMYFUNCTION("""COMPUTED_VALUE"""),18.196)</f>
        <v>18.196000000000002</v>
      </c>
      <c r="U2322" s="3" t="e">
        <f ca="1"/>
        <v>#NAME?</v>
      </c>
    </row>
    <row r="2323" spans="3:21" ht="12.5" x14ac:dyDescent="0.25">
      <c r="C2323" s="4">
        <f ca="1">IFERROR(__xludf.DUMMYFUNCTION("""COMPUTED_VALUE"""),42728.9986111111)</f>
        <v>42728.998611111099</v>
      </c>
      <c r="D2323" s="2">
        <f ca="1">IFERROR(__xludf.DUMMYFUNCTION("""COMPUTED_VALUE"""),67.8308)</f>
        <v>67.830799999999996</v>
      </c>
      <c r="E2323" s="2">
        <f ca="1">IFERROR(__xludf.DUMMYFUNCTION("""COMPUTED_VALUE"""),74.873)</f>
        <v>74.873000000000005</v>
      </c>
      <c r="F2323" s="2">
        <f ca="1">IFERROR(__xludf.DUMMYFUNCTION("""COMPUTED_VALUE"""),85.6)</f>
        <v>85.6</v>
      </c>
      <c r="G2323" s="2">
        <f ca="1">IFERROR(__xludf.DUMMYFUNCTION("""COMPUTED_VALUE"""),0.59086)</f>
        <v>0.59086000000000005</v>
      </c>
      <c r="H2323" s="2">
        <f ca="1">IFERROR(__xludf.DUMMYFUNCTION("""COMPUTED_VALUE"""),51.022)</f>
        <v>51.021999999999998</v>
      </c>
      <c r="I2323" s="2">
        <f ca="1">IFERROR(__xludf.DUMMYFUNCTION("""COMPUTED_VALUE"""),51.419)</f>
        <v>51.418999999999997</v>
      </c>
      <c r="J2323" s="2">
        <f ca="1">IFERROR(__xludf.DUMMYFUNCTION("""COMPUTED_VALUE"""),47.205)</f>
        <v>47.204999999999998</v>
      </c>
      <c r="K2323" s="2">
        <f ca="1">IFERROR(__xludf.DUMMYFUNCTION("""COMPUTED_VALUE"""),63.888)</f>
        <v>63.887999999999998</v>
      </c>
      <c r="M2323" s="2">
        <f ca="1">IFERROR(__xludf.DUMMYFUNCTION("""COMPUTED_VALUE"""),18.2)</f>
        <v>18.2</v>
      </c>
      <c r="U2323" s="3" t="e">
        <f ca="1"/>
        <v>#NAME?</v>
      </c>
    </row>
    <row r="2324" spans="3:21" ht="12.5" x14ac:dyDescent="0.25">
      <c r="C2324" s="4">
        <f ca="1">IFERROR(__xludf.DUMMYFUNCTION("""COMPUTED_VALUE"""),42729.9986111111)</f>
        <v>42729.998611111099</v>
      </c>
      <c r="D2324" s="2">
        <f ca="1">IFERROR(__xludf.DUMMYFUNCTION("""COMPUTED_VALUE"""),67.8308)</f>
        <v>67.830799999999996</v>
      </c>
      <c r="E2324" s="2">
        <f ca="1">IFERROR(__xludf.DUMMYFUNCTION("""COMPUTED_VALUE"""),74.1115)</f>
        <v>74.111500000000007</v>
      </c>
      <c r="F2324" s="2">
        <f ca="1">IFERROR(__xludf.DUMMYFUNCTION("""COMPUTED_VALUE"""),85.515)</f>
        <v>85.515000000000001</v>
      </c>
      <c r="G2324" s="2">
        <f ca="1">IFERROR(__xludf.DUMMYFUNCTION("""COMPUTED_VALUE"""),0.58385)</f>
        <v>0.58384999999999998</v>
      </c>
      <c r="H2324" s="2">
        <f ca="1">IFERROR(__xludf.DUMMYFUNCTION("""COMPUTED_VALUE"""),51.424)</f>
        <v>51.423999999999999</v>
      </c>
      <c r="I2324" s="2">
        <f ca="1">IFERROR(__xludf.DUMMYFUNCTION("""COMPUTED_VALUE"""),51.624)</f>
        <v>51.624000000000002</v>
      </c>
      <c r="J2324" s="2">
        <f ca="1">IFERROR(__xludf.DUMMYFUNCTION("""COMPUTED_VALUE"""),47.188)</f>
        <v>47.188000000000002</v>
      </c>
      <c r="K2324" s="2">
        <f ca="1">IFERROR(__xludf.DUMMYFUNCTION("""COMPUTED_VALUE"""),63.832)</f>
        <v>63.832000000000001</v>
      </c>
      <c r="M2324" s="2">
        <f ca="1">IFERROR(__xludf.DUMMYFUNCTION("""COMPUTED_VALUE"""),18.216)</f>
        <v>18.216000000000001</v>
      </c>
      <c r="U2324" s="3" t="e">
        <f ca="1"/>
        <v>#NAME?</v>
      </c>
    </row>
    <row r="2325" spans="3:21" ht="12.5" x14ac:dyDescent="0.25">
      <c r="C2325" s="4">
        <f ca="1">IFERROR(__xludf.DUMMYFUNCTION("""COMPUTED_VALUE"""),42730.9986111111)</f>
        <v>42730.998611111099</v>
      </c>
      <c r="D2325" s="2">
        <f ca="1">IFERROR(__xludf.DUMMYFUNCTION("""COMPUTED_VALUE"""),67.772)</f>
        <v>67.772000000000006</v>
      </c>
      <c r="E2325" s="2">
        <f ca="1">IFERROR(__xludf.DUMMYFUNCTION("""COMPUTED_VALUE"""),75.827)</f>
        <v>75.826999999999998</v>
      </c>
      <c r="F2325" s="2">
        <f ca="1">IFERROR(__xludf.DUMMYFUNCTION("""COMPUTED_VALUE"""),85.478)</f>
        <v>85.477999999999994</v>
      </c>
      <c r="G2325" s="2">
        <f ca="1">IFERROR(__xludf.DUMMYFUNCTION("""COMPUTED_VALUE"""),0.5803)</f>
        <v>0.58030000000000004</v>
      </c>
      <c r="H2325" s="2">
        <f ca="1">IFERROR(__xludf.DUMMYFUNCTION("""COMPUTED_VALUE"""),51.074)</f>
        <v>51.073999999999998</v>
      </c>
      <c r="I2325" s="2">
        <f ca="1">IFERROR(__xludf.DUMMYFUNCTION("""COMPUTED_VALUE"""),51.079)</f>
        <v>51.079000000000001</v>
      </c>
      <c r="J2325" s="2">
        <f ca="1">IFERROR(__xludf.DUMMYFUNCTION("""COMPUTED_VALUE"""),47.401)</f>
        <v>47.401000000000003</v>
      </c>
      <c r="K2325" s="2">
        <f ca="1">IFERROR(__xludf.DUMMYFUNCTION("""COMPUTED_VALUE"""),64.104)</f>
        <v>64.103999999999999</v>
      </c>
      <c r="M2325" s="2">
        <f ca="1">IFERROR(__xludf.DUMMYFUNCTION("""COMPUTED_VALUE"""),18.178)</f>
        <v>18.178000000000001</v>
      </c>
      <c r="U2325" s="3" t="e">
        <f ca="1"/>
        <v>#NAME?</v>
      </c>
    </row>
    <row r="2326" spans="3:21" ht="12.5" x14ac:dyDescent="0.25">
      <c r="C2326" s="4">
        <f ca="1">IFERROR(__xludf.DUMMYFUNCTION("""COMPUTED_VALUE"""),42731.9986111111)</f>
        <v>42731.998611111099</v>
      </c>
      <c r="D2326" s="2">
        <f ca="1">IFERROR(__xludf.DUMMYFUNCTION("""COMPUTED_VALUE"""),67.968)</f>
        <v>67.968000000000004</v>
      </c>
      <c r="E2326" s="2">
        <f ca="1">IFERROR(__xludf.DUMMYFUNCTION("""COMPUTED_VALUE"""),75.626)</f>
        <v>75.626000000000005</v>
      </c>
      <c r="F2326" s="2">
        <f ca="1">IFERROR(__xludf.DUMMYFUNCTION("""COMPUTED_VALUE"""),85.411)</f>
        <v>85.411000000000001</v>
      </c>
      <c r="G2326" s="2">
        <f ca="1">IFERROR(__xludf.DUMMYFUNCTION("""COMPUTED_VALUE"""),0.57861)</f>
        <v>0.57860999999999996</v>
      </c>
      <c r="H2326" s="2">
        <f ca="1">IFERROR(__xludf.DUMMYFUNCTION("""COMPUTED_VALUE"""),51.162)</f>
        <v>51.161999999999999</v>
      </c>
      <c r="I2326" s="2">
        <f ca="1">IFERROR(__xludf.DUMMYFUNCTION("""COMPUTED_VALUE"""),51.522)</f>
        <v>51.521999999999998</v>
      </c>
      <c r="J2326" s="2">
        <f ca="1">IFERROR(__xludf.DUMMYFUNCTION("""COMPUTED_VALUE"""),47.159)</f>
        <v>47.158999999999999</v>
      </c>
      <c r="K2326" s="2">
        <f ca="1">IFERROR(__xludf.DUMMYFUNCTION("""COMPUTED_VALUE"""),64.259)</f>
        <v>64.259</v>
      </c>
      <c r="M2326" s="2">
        <f ca="1">IFERROR(__xludf.DUMMYFUNCTION("""COMPUTED_VALUE"""),18.202)</f>
        <v>18.202000000000002</v>
      </c>
      <c r="U2326" s="3" t="e">
        <f ca="1"/>
        <v>#NAME?</v>
      </c>
    </row>
    <row r="2327" spans="3:21" ht="12.5" x14ac:dyDescent="0.25">
      <c r="C2327" s="4">
        <f ca="1">IFERROR(__xludf.DUMMYFUNCTION("""COMPUTED_VALUE"""),42732.9986111111)</f>
        <v>42732.998611111099</v>
      </c>
      <c r="D2327" s="2">
        <f ca="1">IFERROR(__xludf.DUMMYFUNCTION("""COMPUTED_VALUE"""),68.205)</f>
        <v>68.204999999999998</v>
      </c>
      <c r="E2327" s="2">
        <f ca="1">IFERROR(__xludf.DUMMYFUNCTION("""COMPUTED_VALUE"""),75.348)</f>
        <v>75.347999999999999</v>
      </c>
      <c r="F2327" s="2">
        <f ca="1">IFERROR(__xludf.DUMMYFUNCTION("""COMPUTED_VALUE"""),85.099)</f>
        <v>85.099000000000004</v>
      </c>
      <c r="G2327" s="2">
        <f ca="1">IFERROR(__xludf.DUMMYFUNCTION("""COMPUTED_VALUE"""),0.58285)</f>
        <v>0.58284999999999998</v>
      </c>
      <c r="H2327" s="2">
        <f ca="1">IFERROR(__xludf.DUMMYFUNCTION("""COMPUTED_VALUE"""),51.307)</f>
        <v>51.307000000000002</v>
      </c>
      <c r="I2327" s="2">
        <f ca="1">IFERROR(__xludf.DUMMYFUNCTION("""COMPUTED_VALUE"""),51.275)</f>
        <v>51.274999999999999</v>
      </c>
      <c r="J2327" s="2">
        <f ca="1">IFERROR(__xludf.DUMMYFUNCTION("""COMPUTED_VALUE"""),47.213)</f>
        <v>47.213000000000001</v>
      </c>
      <c r="K2327" s="2">
        <f ca="1">IFERROR(__xludf.DUMMYFUNCTION("""COMPUTED_VALUE"""),64.987)</f>
        <v>64.986999999999995</v>
      </c>
      <c r="M2327" s="2">
        <f ca="1">IFERROR(__xludf.DUMMYFUNCTION("""COMPUTED_VALUE"""),18.259)</f>
        <v>18.259</v>
      </c>
      <c r="U2327" s="3" t="e">
        <f ca="1"/>
        <v>#NAME?</v>
      </c>
    </row>
    <row r="2328" spans="3:21" ht="12.5" x14ac:dyDescent="0.25">
      <c r="C2328" s="4">
        <f ca="1">IFERROR(__xludf.DUMMYFUNCTION("""COMPUTED_VALUE"""),42733.9986111111)</f>
        <v>42733.998611111099</v>
      </c>
      <c r="D2328" s="2">
        <f ca="1">IFERROR(__xludf.DUMMYFUNCTION("""COMPUTED_VALUE"""),67.933)</f>
        <v>67.933000000000007</v>
      </c>
      <c r="E2328" s="2">
        <f ca="1">IFERROR(__xludf.DUMMYFUNCTION("""COMPUTED_VALUE"""),75.614)</f>
        <v>75.614000000000004</v>
      </c>
      <c r="F2328" s="2">
        <f ca="1">IFERROR(__xludf.DUMMYFUNCTION("""COMPUTED_VALUE"""),85.696)</f>
        <v>85.695999999999998</v>
      </c>
      <c r="G2328" s="2">
        <f ca="1">IFERROR(__xludf.DUMMYFUNCTION("""COMPUTED_VALUE"""),0.5778)</f>
        <v>0.57779999999999998</v>
      </c>
      <c r="H2328" s="2">
        <f ca="1">IFERROR(__xludf.DUMMYFUNCTION("""COMPUTED_VALUE"""),50.967)</f>
        <v>50.966999999999999</v>
      </c>
      <c r="I2328" s="2">
        <f ca="1">IFERROR(__xludf.DUMMYFUNCTION("""COMPUTED_VALUE"""),51.036)</f>
        <v>51.036000000000001</v>
      </c>
      <c r="J2328" s="2">
        <f ca="1">IFERROR(__xludf.DUMMYFUNCTION("""COMPUTED_VALUE"""),47.291)</f>
        <v>47.290999999999997</v>
      </c>
      <c r="K2328" s="2">
        <f ca="1">IFERROR(__xludf.DUMMYFUNCTION("""COMPUTED_VALUE"""),65.421)</f>
        <v>65.421000000000006</v>
      </c>
      <c r="M2328" s="2">
        <f ca="1">IFERROR(__xludf.DUMMYFUNCTION("""COMPUTED_VALUE"""),18.259)</f>
        <v>18.259</v>
      </c>
      <c r="U2328" s="3" t="e">
        <f ca="1"/>
        <v>#NAME?</v>
      </c>
    </row>
    <row r="2329" spans="3:21" ht="12.5" x14ac:dyDescent="0.25">
      <c r="C2329" s="4">
        <f ca="1">IFERROR(__xludf.DUMMYFUNCTION("""COMPUTED_VALUE"""),42734.9986111111)</f>
        <v>42734.998611111099</v>
      </c>
      <c r="D2329" s="2">
        <f ca="1">IFERROR(__xludf.DUMMYFUNCTION("""COMPUTED_VALUE"""),67.947)</f>
        <v>67.947000000000003</v>
      </c>
      <c r="E2329" s="2">
        <f ca="1">IFERROR(__xludf.DUMMYFUNCTION("""COMPUTED_VALUE"""),74.5288)</f>
        <v>74.528800000000004</v>
      </c>
      <c r="F2329" s="2">
        <f ca="1">IFERROR(__xludf.DUMMYFUNCTION("""COMPUTED_VALUE"""),85.827)</f>
        <v>85.826999999999998</v>
      </c>
      <c r="G2329" s="2">
        <f ca="1">IFERROR(__xludf.DUMMYFUNCTION("""COMPUTED_VALUE"""),0.57479)</f>
        <v>0.57479000000000002</v>
      </c>
      <c r="H2329" s="2">
        <f ca="1">IFERROR(__xludf.DUMMYFUNCTION("""COMPUTED_VALUE"""),50.574)</f>
        <v>50.573999999999998</v>
      </c>
      <c r="I2329" s="2">
        <f ca="1">IFERROR(__xludf.DUMMYFUNCTION("""COMPUTED_VALUE"""),50.567)</f>
        <v>50.567</v>
      </c>
      <c r="J2329" s="2">
        <f ca="1">IFERROR(__xludf.DUMMYFUNCTION("""COMPUTED_VALUE"""),47.109)</f>
        <v>47.109000000000002</v>
      </c>
      <c r="K2329" s="2">
        <f ca="1">IFERROR(__xludf.DUMMYFUNCTION("""COMPUTED_VALUE"""),66.171)</f>
        <v>66.171000000000006</v>
      </c>
      <c r="M2329" s="2">
        <f ca="1">IFERROR(__xludf.DUMMYFUNCTION("""COMPUTED_VALUE"""),18.259)</f>
        <v>18.259</v>
      </c>
      <c r="U2329" s="3" t="e">
        <f ca="1"/>
        <v>#NAME?</v>
      </c>
    </row>
    <row r="2330" spans="3:21" ht="12.5" x14ac:dyDescent="0.25">
      <c r="C2330" s="4">
        <f ca="1">IFERROR(__xludf.DUMMYFUNCTION("""COMPUTED_VALUE"""),42735.9986111111)</f>
        <v>42735.998611111099</v>
      </c>
      <c r="D2330" s="2">
        <f ca="1">IFERROR(__xludf.DUMMYFUNCTION("""COMPUTED_VALUE"""),67.9448)</f>
        <v>67.944800000000001</v>
      </c>
      <c r="E2330" s="2">
        <f ca="1">IFERROR(__xludf.DUMMYFUNCTION("""COMPUTED_VALUE"""),75.254)</f>
        <v>75.254000000000005</v>
      </c>
      <c r="F2330" s="2">
        <f ca="1">IFERROR(__xludf.DUMMYFUNCTION("""COMPUTED_VALUE"""),85.937)</f>
        <v>85.936999999999998</v>
      </c>
      <c r="G2330" s="2">
        <f ca="1">IFERROR(__xludf.DUMMYFUNCTION("""COMPUTED_VALUE"""),0.57569)</f>
        <v>0.57569000000000004</v>
      </c>
      <c r="H2330" s="2">
        <f ca="1">IFERROR(__xludf.DUMMYFUNCTION("""COMPUTED_VALUE"""),50.636)</f>
        <v>50.636000000000003</v>
      </c>
      <c r="I2330" s="2">
        <f ca="1">IFERROR(__xludf.DUMMYFUNCTION("""COMPUTED_VALUE"""),50.629)</f>
        <v>50.628999999999998</v>
      </c>
      <c r="J2330" s="2">
        <f ca="1">IFERROR(__xludf.DUMMYFUNCTION("""COMPUTED_VALUE"""),46.73)</f>
        <v>46.73</v>
      </c>
      <c r="K2330" s="2">
        <f ca="1">IFERROR(__xludf.DUMMYFUNCTION("""COMPUTED_VALUE"""),66.277)</f>
        <v>66.277000000000001</v>
      </c>
      <c r="M2330" s="2">
        <f ca="1">IFERROR(__xludf.DUMMYFUNCTION("""COMPUTED_VALUE"""),18.259)</f>
        <v>18.259</v>
      </c>
      <c r="U2330" s="3" t="e">
        <f ca="1"/>
        <v>#NAME?</v>
      </c>
    </row>
    <row r="2331" spans="3:21" ht="12.5" x14ac:dyDescent="0.25">
      <c r="C2331" s="4">
        <f ca="1">IFERROR(__xludf.DUMMYFUNCTION("""COMPUTED_VALUE"""),42736.9986111111)</f>
        <v>42736.998611111099</v>
      </c>
      <c r="D2331" s="2">
        <f ca="1">IFERROR(__xludf.DUMMYFUNCTION("""COMPUTED_VALUE"""),67.9448)</f>
        <v>67.944800000000001</v>
      </c>
      <c r="E2331" s="2">
        <f ca="1">IFERROR(__xludf.DUMMYFUNCTION("""COMPUTED_VALUE"""),74.787)</f>
        <v>74.787000000000006</v>
      </c>
      <c r="F2331" s="2">
        <f ca="1">IFERROR(__xludf.DUMMYFUNCTION("""COMPUTED_VALUE"""),86.614)</f>
        <v>86.614000000000004</v>
      </c>
      <c r="G2331" s="2">
        <f ca="1">IFERROR(__xludf.DUMMYFUNCTION("""COMPUTED_VALUE"""),0.57064)</f>
        <v>0.57064000000000004</v>
      </c>
      <c r="H2331" s="2">
        <f ca="1">IFERROR(__xludf.DUMMYFUNCTION("""COMPUTED_VALUE"""),50.421)</f>
        <v>50.420999999999999</v>
      </c>
      <c r="I2331" s="2">
        <f ca="1">IFERROR(__xludf.DUMMYFUNCTION("""COMPUTED_VALUE"""),50.272)</f>
        <v>50.271999999999998</v>
      </c>
      <c r="J2331" s="2">
        <f ca="1">IFERROR(__xludf.DUMMYFUNCTION("""COMPUTED_VALUE"""),46.879)</f>
        <v>46.878999999999998</v>
      </c>
      <c r="K2331" s="2">
        <f ca="1">IFERROR(__xludf.DUMMYFUNCTION("""COMPUTED_VALUE"""),66.289)</f>
        <v>66.289000000000001</v>
      </c>
      <c r="M2331" s="2">
        <f ca="1">IFERROR(__xludf.DUMMYFUNCTION("""COMPUTED_VALUE"""),18.211)</f>
        <v>18.210999999999999</v>
      </c>
      <c r="U2331" s="3" t="e">
        <f ca="1"/>
        <v>#NAME?</v>
      </c>
    </row>
    <row r="2332" spans="3:21" ht="12.5" x14ac:dyDescent="0.25">
      <c r="C2332" s="4">
        <f ca="1">IFERROR(__xludf.DUMMYFUNCTION("""COMPUTED_VALUE"""),42737.9986111111)</f>
        <v>42737.998611111099</v>
      </c>
      <c r="D2332" s="2">
        <f ca="1">IFERROR(__xludf.DUMMYFUNCTION("""COMPUTED_VALUE"""),68.1339)</f>
        <v>68.133899999999997</v>
      </c>
      <c r="E2332" s="2">
        <f ca="1">IFERROR(__xludf.DUMMYFUNCTION("""COMPUTED_VALUE"""),75.029)</f>
        <v>75.028999999999996</v>
      </c>
      <c r="F2332" s="2">
        <f ca="1">IFERROR(__xludf.DUMMYFUNCTION("""COMPUTED_VALUE"""),86.588)</f>
        <v>86.587999999999994</v>
      </c>
      <c r="G2332" s="2">
        <f ca="1">IFERROR(__xludf.DUMMYFUNCTION("""COMPUTED_VALUE"""),0.57578)</f>
        <v>0.57577999999999996</v>
      </c>
      <c r="H2332" s="2">
        <f ca="1">IFERROR(__xludf.DUMMYFUNCTION("""COMPUTED_VALUE"""),50.484)</f>
        <v>50.484000000000002</v>
      </c>
      <c r="I2332" s="2">
        <f ca="1">IFERROR(__xludf.DUMMYFUNCTION("""COMPUTED_VALUE"""),50.309)</f>
        <v>50.308999999999997</v>
      </c>
      <c r="J2332" s="2">
        <f ca="1">IFERROR(__xludf.DUMMYFUNCTION("""COMPUTED_VALUE"""),46.742)</f>
        <v>46.741999999999997</v>
      </c>
      <c r="K2332" s="2">
        <f ca="1">IFERROR(__xludf.DUMMYFUNCTION("""COMPUTED_VALUE"""),66.217)</f>
        <v>66.216999999999999</v>
      </c>
      <c r="M2332" s="2">
        <f ca="1">IFERROR(__xludf.DUMMYFUNCTION("""COMPUTED_VALUE"""),18.229)</f>
        <v>18.228999999999999</v>
      </c>
      <c r="U2332" s="3" t="e">
        <f ca="1"/>
        <v>#NAME?</v>
      </c>
    </row>
    <row r="2333" spans="3:21" ht="12.5" x14ac:dyDescent="0.25">
      <c r="C2333" s="4">
        <f ca="1">IFERROR(__xludf.DUMMYFUNCTION("""COMPUTED_VALUE"""),42738.9986111111)</f>
        <v>42738.998611111099</v>
      </c>
      <c r="D2333" s="2">
        <f ca="1">IFERROR(__xludf.DUMMYFUNCTION("""COMPUTED_VALUE"""),68.2698)</f>
        <v>68.269800000000004</v>
      </c>
      <c r="E2333" s="2">
        <f ca="1">IFERROR(__xludf.DUMMYFUNCTION("""COMPUTED_VALUE"""),75.36)</f>
        <v>75.36</v>
      </c>
      <c r="F2333" s="2">
        <f ca="1">IFERROR(__xludf.DUMMYFUNCTION("""COMPUTED_VALUE"""),86.272)</f>
        <v>86.272000000000006</v>
      </c>
      <c r="G2333" s="2">
        <f ca="1">IFERROR(__xludf.DUMMYFUNCTION("""COMPUTED_VALUE"""),0.57795)</f>
        <v>0.57794999999999996</v>
      </c>
      <c r="H2333" s="2">
        <f ca="1">IFERROR(__xludf.DUMMYFUNCTION("""COMPUTED_VALUE"""),50.237)</f>
        <v>50.237000000000002</v>
      </c>
      <c r="I2333" s="2">
        <f ca="1">IFERROR(__xludf.DUMMYFUNCTION("""COMPUTED_VALUE"""),50.211)</f>
        <v>50.210999999999999</v>
      </c>
      <c r="J2333" s="2">
        <f ca="1">IFERROR(__xludf.DUMMYFUNCTION("""COMPUTED_VALUE"""),46.809)</f>
        <v>46.808999999999997</v>
      </c>
      <c r="K2333" s="2">
        <f ca="1">IFERROR(__xludf.DUMMYFUNCTION("""COMPUTED_VALUE"""),66.398)</f>
        <v>66.397999999999996</v>
      </c>
      <c r="M2333" s="2">
        <f ca="1">IFERROR(__xludf.DUMMYFUNCTION("""COMPUTED_VALUE"""),18.217)</f>
        <v>18.216999999999999</v>
      </c>
      <c r="U2333" s="3" t="e">
        <f ca="1"/>
        <v>#NAME?</v>
      </c>
    </row>
    <row r="2334" spans="3:21" ht="12.5" x14ac:dyDescent="0.25">
      <c r="C2334" s="4">
        <f ca="1">IFERROR(__xludf.DUMMYFUNCTION("""COMPUTED_VALUE"""),42739.9986111111)</f>
        <v>42739.998611111099</v>
      </c>
      <c r="D2334" s="2">
        <f ca="1">IFERROR(__xludf.DUMMYFUNCTION("""COMPUTED_VALUE"""),67.8855)</f>
        <v>67.885499999999993</v>
      </c>
      <c r="E2334" s="2">
        <f ca="1">IFERROR(__xludf.DUMMYFUNCTION("""COMPUTED_VALUE"""),74.4026)</f>
        <v>74.402600000000007</v>
      </c>
      <c r="F2334" s="2">
        <f ca="1">IFERROR(__xludf.DUMMYFUNCTION("""COMPUTED_VALUE"""),86.552)</f>
        <v>86.552000000000007</v>
      </c>
      <c r="G2334" s="2">
        <f ca="1">IFERROR(__xludf.DUMMYFUNCTION("""COMPUTED_VALUE"""),0.58215)</f>
        <v>0.58214999999999995</v>
      </c>
      <c r="H2334" s="2">
        <f ca="1">IFERROR(__xludf.DUMMYFUNCTION("""COMPUTED_VALUE"""),50.341)</f>
        <v>50.341000000000001</v>
      </c>
      <c r="I2334" s="2">
        <f ca="1">IFERROR(__xludf.DUMMYFUNCTION("""COMPUTED_VALUE"""),50.248)</f>
        <v>50.247999999999998</v>
      </c>
      <c r="J2334" s="2">
        <f ca="1">IFERROR(__xludf.DUMMYFUNCTION("""COMPUTED_VALUE"""),46.659)</f>
        <v>46.658999999999999</v>
      </c>
      <c r="K2334" s="2">
        <f ca="1">IFERROR(__xludf.DUMMYFUNCTION("""COMPUTED_VALUE"""),66.53)</f>
        <v>66.53</v>
      </c>
      <c r="M2334" s="2">
        <f ca="1">IFERROR(__xludf.DUMMYFUNCTION("""COMPUTED_VALUE"""),18.154)</f>
        <v>18.154</v>
      </c>
      <c r="U2334" s="3" t="e">
        <f ca="1"/>
        <v>#NAME?</v>
      </c>
    </row>
    <row r="2335" spans="3:21" ht="12.5" x14ac:dyDescent="0.25">
      <c r="C2335" s="4">
        <f ca="1">IFERROR(__xludf.DUMMYFUNCTION("""COMPUTED_VALUE"""),42740.9986111111)</f>
        <v>42740.998611111099</v>
      </c>
      <c r="D2335" s="2">
        <f ca="1">IFERROR(__xludf.DUMMYFUNCTION("""COMPUTED_VALUE"""),67.733)</f>
        <v>67.733000000000004</v>
      </c>
      <c r="E2335" s="2">
        <f ca="1">IFERROR(__xludf.DUMMYFUNCTION("""COMPUTED_VALUE"""),75.389)</f>
        <v>75.388999999999996</v>
      </c>
      <c r="F2335" s="2">
        <f ca="1">IFERROR(__xludf.DUMMYFUNCTION("""COMPUTED_VALUE"""),85.8)</f>
        <v>85.8</v>
      </c>
      <c r="G2335" s="2">
        <f ca="1">IFERROR(__xludf.DUMMYFUNCTION("""COMPUTED_VALUE"""),0.58191)</f>
        <v>0.58191000000000004</v>
      </c>
      <c r="H2335" s="2">
        <f ca="1">IFERROR(__xludf.DUMMYFUNCTION("""COMPUTED_VALUE"""),50.366)</f>
        <v>50.366</v>
      </c>
      <c r="I2335" s="2">
        <f ca="1">IFERROR(__xludf.DUMMYFUNCTION("""COMPUTED_VALUE"""),50.257)</f>
        <v>50.256999999999998</v>
      </c>
      <c r="J2335" s="2">
        <f ca="1">IFERROR(__xludf.DUMMYFUNCTION("""COMPUTED_VALUE"""),46.791)</f>
        <v>46.790999999999997</v>
      </c>
      <c r="K2335" s="2">
        <f ca="1">IFERROR(__xludf.DUMMYFUNCTION("""COMPUTED_VALUE"""),66.259)</f>
        <v>66.259</v>
      </c>
      <c r="M2335" s="2">
        <f ca="1">IFERROR(__xludf.DUMMYFUNCTION("""COMPUTED_VALUE"""),18.153)</f>
        <v>18.152999999999999</v>
      </c>
      <c r="U2335" s="3" t="e">
        <f ca="1"/>
        <v>#NAME?</v>
      </c>
    </row>
    <row r="2336" spans="3:21" ht="12.5" x14ac:dyDescent="0.25">
      <c r="C2336" s="4">
        <f ca="1">IFERROR(__xludf.DUMMYFUNCTION("""COMPUTED_VALUE"""),42741.9986111111)</f>
        <v>42741.998611111099</v>
      </c>
      <c r="D2336" s="2">
        <f ca="1">IFERROR(__xludf.DUMMYFUNCTION("""COMPUTED_VALUE"""),68.108)</f>
        <v>68.108000000000004</v>
      </c>
      <c r="E2336" s="2">
        <f ca="1">IFERROR(__xludf.DUMMYFUNCTION("""COMPUTED_VALUE"""),75.2)</f>
        <v>75.2</v>
      </c>
      <c r="F2336" s="2">
        <f ca="1">IFERROR(__xludf.DUMMYFUNCTION("""COMPUTED_VALUE"""),85.157)</f>
        <v>85.156999999999996</v>
      </c>
      <c r="G2336" s="2">
        <f ca="1">IFERROR(__xludf.DUMMYFUNCTION("""COMPUTED_VALUE"""),0.58159)</f>
        <v>0.58159000000000005</v>
      </c>
      <c r="H2336" s="2">
        <f ca="1">IFERROR(__xludf.DUMMYFUNCTION("""COMPUTED_VALUE"""),50.57)</f>
        <v>50.57</v>
      </c>
      <c r="I2336" s="2">
        <f ca="1">IFERROR(__xludf.DUMMYFUNCTION("""COMPUTED_VALUE"""),50.529)</f>
        <v>50.529000000000003</v>
      </c>
      <c r="J2336" s="2">
        <f ca="1">IFERROR(__xludf.DUMMYFUNCTION("""COMPUTED_VALUE"""),46.945)</f>
        <v>46.945</v>
      </c>
      <c r="K2336" s="2">
        <f ca="1">IFERROR(__xludf.DUMMYFUNCTION("""COMPUTED_VALUE"""),66.153)</f>
        <v>66.153000000000006</v>
      </c>
      <c r="M2336" s="2">
        <f ca="1">IFERROR(__xludf.DUMMYFUNCTION("""COMPUTED_VALUE"""),18.16)</f>
        <v>18.16</v>
      </c>
      <c r="U2336" s="3" t="e">
        <f ca="1"/>
        <v>#NAME?</v>
      </c>
    </row>
    <row r="2337" spans="3:21" ht="12.5" x14ac:dyDescent="0.25">
      <c r="C2337" s="4">
        <f ca="1">IFERROR(__xludf.DUMMYFUNCTION("""COMPUTED_VALUE"""),42742.9986111111)</f>
        <v>42742.998611111099</v>
      </c>
      <c r="D2337" s="2">
        <f ca="1">IFERROR(__xludf.DUMMYFUNCTION("""COMPUTED_VALUE"""),68.1303)</f>
        <v>68.130300000000005</v>
      </c>
      <c r="E2337" s="2">
        <f ca="1">IFERROR(__xludf.DUMMYFUNCTION("""COMPUTED_VALUE"""),75.474)</f>
        <v>75.474000000000004</v>
      </c>
      <c r="F2337" s="2">
        <f ca="1">IFERROR(__xludf.DUMMYFUNCTION("""COMPUTED_VALUE"""),84.809)</f>
        <v>84.808999999999997</v>
      </c>
      <c r="G2337" s="2">
        <f ca="1">IFERROR(__xludf.DUMMYFUNCTION("""COMPUTED_VALUE"""),0.5814)</f>
        <v>0.58140000000000003</v>
      </c>
      <c r="H2337" s="2">
        <f ca="1">IFERROR(__xludf.DUMMYFUNCTION("""COMPUTED_VALUE"""),50.283)</f>
        <v>50.283000000000001</v>
      </c>
      <c r="I2337" s="2">
        <f ca="1">IFERROR(__xludf.DUMMYFUNCTION("""COMPUTED_VALUE"""),50.296)</f>
        <v>50.295999999999999</v>
      </c>
      <c r="J2337" s="2">
        <f ca="1">IFERROR(__xludf.DUMMYFUNCTION("""COMPUTED_VALUE"""),47.075)</f>
        <v>47.075000000000003</v>
      </c>
      <c r="K2337" s="2">
        <f ca="1">IFERROR(__xludf.DUMMYFUNCTION("""COMPUTED_VALUE"""),65.831)</f>
        <v>65.831000000000003</v>
      </c>
      <c r="M2337" s="2">
        <f ca="1">IFERROR(__xludf.DUMMYFUNCTION("""COMPUTED_VALUE"""),18.143)</f>
        <v>18.143000000000001</v>
      </c>
      <c r="U2337" s="3" t="e">
        <f ca="1"/>
        <v>#NAME?</v>
      </c>
    </row>
    <row r="2338" spans="3:21" ht="12.5" x14ac:dyDescent="0.25">
      <c r="C2338" s="4">
        <f ca="1">IFERROR(__xludf.DUMMYFUNCTION("""COMPUTED_VALUE"""),42743.9986111111)</f>
        <v>42743.998611111099</v>
      </c>
      <c r="D2338" s="2">
        <f ca="1">IFERROR(__xludf.DUMMYFUNCTION("""COMPUTED_VALUE"""),68.1426)</f>
        <v>68.142600000000002</v>
      </c>
      <c r="E2338" s="2">
        <f ca="1">IFERROR(__xludf.DUMMYFUNCTION("""COMPUTED_VALUE"""),75.092)</f>
        <v>75.091999999999999</v>
      </c>
      <c r="F2338" s="2">
        <f ca="1">IFERROR(__xludf.DUMMYFUNCTION("""COMPUTED_VALUE"""),84.836)</f>
        <v>84.835999999999999</v>
      </c>
      <c r="G2338" s="2">
        <f ca="1">IFERROR(__xludf.DUMMYFUNCTION("""COMPUTED_VALUE"""),0.58131)</f>
        <v>0.58130999999999999</v>
      </c>
      <c r="H2338" s="2">
        <f ca="1">IFERROR(__xludf.DUMMYFUNCTION("""COMPUTED_VALUE"""),50.125)</f>
        <v>50.125</v>
      </c>
      <c r="I2338" s="2">
        <f ca="1">IFERROR(__xludf.DUMMYFUNCTION("""COMPUTED_VALUE"""),50.22)</f>
        <v>50.22</v>
      </c>
      <c r="J2338" s="2">
        <f ca="1">IFERROR(__xludf.DUMMYFUNCTION("""COMPUTED_VALUE"""),46.953)</f>
        <v>46.953000000000003</v>
      </c>
      <c r="K2338" s="2">
        <f ca="1">IFERROR(__xludf.DUMMYFUNCTION("""COMPUTED_VALUE"""),66.143)</f>
        <v>66.143000000000001</v>
      </c>
      <c r="M2338" s="2">
        <f ca="1">IFERROR(__xludf.DUMMYFUNCTION("""COMPUTED_VALUE"""),18.158)</f>
        <v>18.158000000000001</v>
      </c>
      <c r="U2338" s="3" t="e">
        <f ca="1"/>
        <v>#NAME?</v>
      </c>
    </row>
    <row r="2339" spans="3:21" ht="12.5" x14ac:dyDescent="0.25">
      <c r="C2339" s="4">
        <f ca="1">IFERROR(__xludf.DUMMYFUNCTION("""COMPUTED_VALUE"""),42744.9986111111)</f>
        <v>42744.998611111099</v>
      </c>
      <c r="D2339" s="2">
        <f ca="1">IFERROR(__xludf.DUMMYFUNCTION("""COMPUTED_VALUE"""),68.097)</f>
        <v>68.096999999999994</v>
      </c>
      <c r="E2339" s="2">
        <f ca="1">IFERROR(__xludf.DUMMYFUNCTION("""COMPUTED_VALUE"""),75.302)</f>
        <v>75.302000000000007</v>
      </c>
      <c r="F2339" s="2">
        <f ca="1">IFERROR(__xludf.DUMMYFUNCTION("""COMPUTED_VALUE"""),84.836)</f>
        <v>84.835999999999999</v>
      </c>
      <c r="G2339" s="2">
        <f ca="1">IFERROR(__xludf.DUMMYFUNCTION("""COMPUTED_VALUE"""),0.57852)</f>
        <v>0.57852000000000003</v>
      </c>
      <c r="H2339" s="2">
        <f ca="1">IFERROR(__xludf.DUMMYFUNCTION("""COMPUTED_VALUE"""),50.838)</f>
        <v>50.838000000000001</v>
      </c>
      <c r="I2339" s="2">
        <f ca="1">IFERROR(__xludf.DUMMYFUNCTION("""COMPUTED_VALUE"""),50.774)</f>
        <v>50.774000000000001</v>
      </c>
      <c r="J2339" s="2">
        <f ca="1">IFERROR(__xludf.DUMMYFUNCTION("""COMPUTED_VALUE"""),46.862)</f>
        <v>46.862000000000002</v>
      </c>
      <c r="K2339" s="2">
        <f ca="1">IFERROR(__xludf.DUMMYFUNCTION("""COMPUTED_VALUE"""),66.563)</f>
        <v>66.563000000000002</v>
      </c>
      <c r="M2339" s="2">
        <f ca="1">IFERROR(__xludf.DUMMYFUNCTION("""COMPUTED_VALUE"""),18.161)</f>
        <v>18.161000000000001</v>
      </c>
      <c r="U2339" s="3" t="e">
        <f ca="1"/>
        <v>#NAME?</v>
      </c>
    </row>
    <row r="2340" spans="3:21" ht="12.5" x14ac:dyDescent="0.25">
      <c r="C2340" s="4">
        <f ca="1">IFERROR(__xludf.DUMMYFUNCTION("""COMPUTED_VALUE"""),42745.9986111111)</f>
        <v>42745.998611111099</v>
      </c>
      <c r="D2340" s="2">
        <f ca="1">IFERROR(__xludf.DUMMYFUNCTION("""COMPUTED_VALUE"""),68.318)</f>
        <v>68.317999999999998</v>
      </c>
      <c r="E2340" s="2">
        <f ca="1">IFERROR(__xludf.DUMMYFUNCTION("""COMPUTED_VALUE"""),75.65)</f>
        <v>75.650000000000006</v>
      </c>
      <c r="F2340" s="2">
        <f ca="1">IFERROR(__xludf.DUMMYFUNCTION("""COMPUTED_VALUE"""),84.952)</f>
        <v>84.951999999999998</v>
      </c>
      <c r="G2340" s="2">
        <f ca="1">IFERROR(__xludf.DUMMYFUNCTION("""COMPUTED_VALUE"""),0.57967)</f>
        <v>0.57967000000000002</v>
      </c>
      <c r="H2340" s="2">
        <f ca="1">IFERROR(__xludf.DUMMYFUNCTION("""COMPUTED_VALUE"""),50.482)</f>
        <v>50.481999999999999</v>
      </c>
      <c r="I2340" s="2">
        <f ca="1">IFERROR(__xludf.DUMMYFUNCTION("""COMPUTED_VALUE"""),50.531)</f>
        <v>50.530999999999999</v>
      </c>
      <c r="J2340" s="2">
        <f ca="1">IFERROR(__xludf.DUMMYFUNCTION("""COMPUTED_VALUE"""),47.026)</f>
        <v>47.026000000000003</v>
      </c>
      <c r="K2340" s="2">
        <f ca="1">IFERROR(__xludf.DUMMYFUNCTION("""COMPUTED_VALUE"""),66.317)</f>
        <v>66.316999999999993</v>
      </c>
      <c r="M2340" s="2">
        <f ca="1">IFERROR(__xludf.DUMMYFUNCTION("""COMPUTED_VALUE"""),18.202)</f>
        <v>18.202000000000002</v>
      </c>
      <c r="U2340" s="3" t="e">
        <f ca="1"/>
        <v>#NAME?</v>
      </c>
    </row>
    <row r="2341" spans="3:21" ht="12.5" x14ac:dyDescent="0.25">
      <c r="C2341" s="4">
        <f ca="1">IFERROR(__xludf.DUMMYFUNCTION("""COMPUTED_VALUE"""),42746.9986111111)</f>
        <v>42746.998611111099</v>
      </c>
      <c r="D2341" s="2">
        <f ca="1">IFERROR(__xludf.DUMMYFUNCTION("""COMPUTED_VALUE"""),68.14)</f>
        <v>68.14</v>
      </c>
      <c r="E2341" s="2">
        <f ca="1">IFERROR(__xludf.DUMMYFUNCTION("""COMPUTED_VALUE"""),75.279)</f>
        <v>75.278999999999996</v>
      </c>
      <c r="F2341" s="2">
        <f ca="1">IFERROR(__xludf.DUMMYFUNCTION("""COMPUTED_VALUE"""),85.447)</f>
        <v>85.447000000000003</v>
      </c>
      <c r="G2341" s="2">
        <f ca="1">IFERROR(__xludf.DUMMYFUNCTION("""COMPUTED_VALUE"""),0.57579)</f>
        <v>0.57579000000000002</v>
      </c>
      <c r="H2341" s="2">
        <f ca="1">IFERROR(__xludf.DUMMYFUNCTION("""COMPUTED_VALUE"""),50.749)</f>
        <v>50.749000000000002</v>
      </c>
      <c r="I2341" s="2">
        <f ca="1">IFERROR(__xludf.DUMMYFUNCTION("""COMPUTED_VALUE"""),50.88)</f>
        <v>50.88</v>
      </c>
      <c r="J2341" s="2">
        <f ca="1">IFERROR(__xludf.DUMMYFUNCTION("""COMPUTED_VALUE"""),46.891)</f>
        <v>46.890999999999998</v>
      </c>
      <c r="K2341" s="2">
        <f ca="1">IFERROR(__xludf.DUMMYFUNCTION("""COMPUTED_VALUE"""),66.853)</f>
        <v>66.852999999999994</v>
      </c>
      <c r="M2341" s="2">
        <f ca="1">IFERROR(__xludf.DUMMYFUNCTION("""COMPUTED_VALUE"""),18.199)</f>
        <v>18.199000000000002</v>
      </c>
      <c r="U2341" s="3" t="e">
        <f ca="1"/>
        <v>#NAME?</v>
      </c>
    </row>
    <row r="2342" spans="3:21" ht="12.5" x14ac:dyDescent="0.25">
      <c r="C2342" s="4">
        <f ca="1">IFERROR(__xludf.DUMMYFUNCTION("""COMPUTED_VALUE"""),42747.9986111111)</f>
        <v>42747.998611111099</v>
      </c>
      <c r="D2342" s="2">
        <f ca="1">IFERROR(__xludf.DUMMYFUNCTION("""COMPUTED_VALUE"""),68.1295)</f>
        <v>68.129499999999993</v>
      </c>
      <c r="E2342" s="2">
        <f ca="1">IFERROR(__xludf.DUMMYFUNCTION("""COMPUTED_VALUE"""),75.596)</f>
        <v>75.596000000000004</v>
      </c>
      <c r="F2342" s="2">
        <f ca="1">IFERROR(__xludf.DUMMYFUNCTION("""COMPUTED_VALUE"""),85.321)</f>
        <v>85.320999999999998</v>
      </c>
      <c r="G2342" s="2">
        <f ca="1">IFERROR(__xludf.DUMMYFUNCTION("""COMPUTED_VALUE"""),0.57706)</f>
        <v>0.57706000000000002</v>
      </c>
      <c r="H2342" s="2">
        <f ca="1">IFERROR(__xludf.DUMMYFUNCTION("""COMPUTED_VALUE"""),50.832)</f>
        <v>50.832000000000001</v>
      </c>
      <c r="I2342" s="2">
        <f ca="1">IFERROR(__xludf.DUMMYFUNCTION("""COMPUTED_VALUE"""),50.993)</f>
        <v>50.993000000000002</v>
      </c>
      <c r="J2342" s="2">
        <f ca="1">IFERROR(__xludf.DUMMYFUNCTION("""COMPUTED_VALUE"""),46.949)</f>
        <v>46.948999999999998</v>
      </c>
      <c r="K2342" s="2">
        <f ca="1">IFERROR(__xludf.DUMMYFUNCTION("""COMPUTED_VALUE"""),65.665)</f>
        <v>65.665000000000006</v>
      </c>
      <c r="M2342" s="2">
        <f ca="1">IFERROR(__xludf.DUMMYFUNCTION("""COMPUTED_VALUE"""),18.166)</f>
        <v>18.166</v>
      </c>
      <c r="U2342" s="3" t="e">
        <f ca="1"/>
        <v>#NAME?</v>
      </c>
    </row>
    <row r="2343" spans="3:21" ht="12.5" x14ac:dyDescent="0.25">
      <c r="C2343" s="4">
        <f ca="1">IFERROR(__xludf.DUMMYFUNCTION("""COMPUTED_VALUE"""),42748.9986111111)</f>
        <v>42748.998611111099</v>
      </c>
      <c r="D2343" s="2">
        <f ca="1">IFERROR(__xludf.DUMMYFUNCTION("""COMPUTED_VALUE"""),68.173)</f>
        <v>68.173000000000002</v>
      </c>
      <c r="E2343" s="2">
        <f ca="1">IFERROR(__xludf.DUMMYFUNCTION("""COMPUTED_VALUE"""),75.487)</f>
        <v>75.486999999999995</v>
      </c>
      <c r="F2343" s="2">
        <f ca="1">IFERROR(__xludf.DUMMYFUNCTION("""COMPUTED_VALUE"""),85.019)</f>
        <v>85.019000000000005</v>
      </c>
      <c r="G2343" s="2">
        <f ca="1">IFERROR(__xludf.DUMMYFUNCTION("""COMPUTED_VALUE"""),0.58011)</f>
        <v>0.58011000000000001</v>
      </c>
      <c r="H2343" s="2">
        <f ca="1">IFERROR(__xludf.DUMMYFUNCTION("""COMPUTED_VALUE"""),50.643)</f>
        <v>50.643000000000001</v>
      </c>
      <c r="I2343" s="2">
        <f ca="1">IFERROR(__xludf.DUMMYFUNCTION("""COMPUTED_VALUE"""),50.93)</f>
        <v>50.93</v>
      </c>
      <c r="J2343" s="2">
        <f ca="1">IFERROR(__xludf.DUMMYFUNCTION("""COMPUTED_VALUE"""),47.059)</f>
        <v>47.058999999999997</v>
      </c>
      <c r="K2343" s="2">
        <f ca="1">IFERROR(__xludf.DUMMYFUNCTION("""COMPUTED_VALUE"""),66.615)</f>
        <v>66.614999999999995</v>
      </c>
      <c r="M2343" s="2">
        <f ca="1">IFERROR(__xludf.DUMMYFUNCTION("""COMPUTED_VALUE"""),18.162)</f>
        <v>18.161999999999999</v>
      </c>
      <c r="U2343" s="3" t="e">
        <f ca="1"/>
        <v>#NAME?</v>
      </c>
    </row>
    <row r="2344" spans="3:21" ht="12.5" x14ac:dyDescent="0.25">
      <c r="C2344" s="4">
        <f ca="1">IFERROR(__xludf.DUMMYFUNCTION("""COMPUTED_VALUE"""),42749.9986111111)</f>
        <v>42749.998611111099</v>
      </c>
      <c r="D2344" s="2">
        <f ca="1">IFERROR(__xludf.DUMMYFUNCTION("""COMPUTED_VALUE"""),68.1578)</f>
        <v>68.157799999999995</v>
      </c>
      <c r="E2344" s="2">
        <f ca="1">IFERROR(__xludf.DUMMYFUNCTION("""COMPUTED_VALUE"""),74.6748)</f>
        <v>74.674800000000005</v>
      </c>
      <c r="F2344" s="2">
        <f ca="1">IFERROR(__xludf.DUMMYFUNCTION("""COMPUTED_VALUE"""),84.3)</f>
        <v>84.3</v>
      </c>
      <c r="G2344" s="2">
        <f ca="1">IFERROR(__xludf.DUMMYFUNCTION("""COMPUTED_VALUE"""),0.57115)</f>
        <v>0.57115000000000005</v>
      </c>
      <c r="H2344" s="2">
        <f ca="1">IFERROR(__xludf.DUMMYFUNCTION("""COMPUTED_VALUE"""),50.611)</f>
        <v>50.610999999999997</v>
      </c>
      <c r="I2344" s="2">
        <f ca="1">IFERROR(__xludf.DUMMYFUNCTION("""COMPUTED_VALUE"""),51.003)</f>
        <v>51.003</v>
      </c>
      <c r="J2344" s="2">
        <f ca="1">IFERROR(__xludf.DUMMYFUNCTION("""COMPUTED_VALUE"""),46.972)</f>
        <v>46.972000000000001</v>
      </c>
      <c r="K2344" s="2">
        <f ca="1">IFERROR(__xludf.DUMMYFUNCTION("""COMPUTED_VALUE"""),66.861)</f>
        <v>66.861000000000004</v>
      </c>
      <c r="M2344" s="2">
        <f ca="1">IFERROR(__xludf.DUMMYFUNCTION("""COMPUTED_VALUE"""),18.18)</f>
        <v>18.18</v>
      </c>
      <c r="U2344" s="3" t="e">
        <f ca="1"/>
        <v>#NAME?</v>
      </c>
    </row>
    <row r="2345" spans="3:21" ht="12.5" x14ac:dyDescent="0.25">
      <c r="C2345" s="4">
        <f ca="1">IFERROR(__xludf.DUMMYFUNCTION("""COMPUTED_VALUE"""),42750.9986111111)</f>
        <v>42750.998611111099</v>
      </c>
      <c r="D2345" s="2">
        <f ca="1">IFERROR(__xludf.DUMMYFUNCTION("""COMPUTED_VALUE"""),68.1578)</f>
        <v>68.157799999999995</v>
      </c>
      <c r="E2345" s="2">
        <f ca="1">IFERROR(__xludf.DUMMYFUNCTION("""COMPUTED_VALUE"""),76.366)</f>
        <v>76.366</v>
      </c>
      <c r="F2345" s="2">
        <f ca="1">IFERROR(__xludf.DUMMYFUNCTION("""COMPUTED_VALUE"""),84.694)</f>
        <v>84.694000000000003</v>
      </c>
      <c r="G2345" s="2">
        <f ca="1">IFERROR(__xludf.DUMMYFUNCTION("""COMPUTED_VALUE"""),0.57953)</f>
        <v>0.57952999999999999</v>
      </c>
      <c r="H2345" s="2">
        <f ca="1">IFERROR(__xludf.DUMMYFUNCTION("""COMPUTED_VALUE"""),50.54)</f>
        <v>50.54</v>
      </c>
      <c r="I2345" s="2">
        <f ca="1">IFERROR(__xludf.DUMMYFUNCTION("""COMPUTED_VALUE"""),51.131)</f>
        <v>51.131</v>
      </c>
      <c r="J2345" s="2">
        <f ca="1">IFERROR(__xludf.DUMMYFUNCTION("""COMPUTED_VALUE"""),47.034)</f>
        <v>47.033999999999999</v>
      </c>
      <c r="K2345" s="2">
        <f ca="1">IFERROR(__xludf.DUMMYFUNCTION("""COMPUTED_VALUE"""),66.717)</f>
        <v>66.716999999999999</v>
      </c>
      <c r="M2345" s="2">
        <f ca="1">IFERROR(__xludf.DUMMYFUNCTION("""COMPUTED_VALUE"""),18.149)</f>
        <v>18.149000000000001</v>
      </c>
      <c r="U2345" s="3" t="e">
        <f ca="1"/>
        <v>#NAME?</v>
      </c>
    </row>
    <row r="2346" spans="3:21" ht="12.5" x14ac:dyDescent="0.25">
      <c r="C2346" s="4">
        <f ca="1">IFERROR(__xludf.DUMMYFUNCTION("""COMPUTED_VALUE"""),42751.9986111111)</f>
        <v>42751.998611111099</v>
      </c>
      <c r="D2346" s="2">
        <f ca="1">IFERROR(__xludf.DUMMYFUNCTION("""COMPUTED_VALUE"""),68.0946)</f>
        <v>68.0946</v>
      </c>
      <c r="E2346" s="2">
        <f ca="1">IFERROR(__xludf.DUMMYFUNCTION("""COMPUTED_VALUE"""),76.543)</f>
        <v>76.543000000000006</v>
      </c>
      <c r="F2346" s="2">
        <f ca="1">IFERROR(__xludf.DUMMYFUNCTION("""COMPUTED_VALUE"""),84.726)</f>
        <v>84.725999999999999</v>
      </c>
      <c r="G2346" s="2">
        <f ca="1">IFERROR(__xludf.DUMMYFUNCTION("""COMPUTED_VALUE"""),0.58027)</f>
        <v>0.58026999999999995</v>
      </c>
      <c r="H2346" s="2">
        <f ca="1">IFERROR(__xludf.DUMMYFUNCTION("""COMPUTED_VALUE"""),50.729)</f>
        <v>50.728999999999999</v>
      </c>
      <c r="I2346" s="2">
        <f ca="1">IFERROR(__xludf.DUMMYFUNCTION("""COMPUTED_VALUE"""),51.216)</f>
        <v>51.216000000000001</v>
      </c>
      <c r="J2346" s="2">
        <f ca="1">IFERROR(__xludf.DUMMYFUNCTION("""COMPUTED_VALUE"""),46.983)</f>
        <v>46.982999999999997</v>
      </c>
      <c r="K2346" s="2">
        <f ca="1">IFERROR(__xludf.DUMMYFUNCTION("""COMPUTED_VALUE"""),66.207)</f>
        <v>66.206999999999994</v>
      </c>
      <c r="M2346" s="2">
        <f ca="1">IFERROR(__xludf.DUMMYFUNCTION("""COMPUTED_VALUE"""),18.136)</f>
        <v>18.135999999999999</v>
      </c>
      <c r="U2346" s="3" t="e">
        <f ca="1"/>
        <v>#NAME?</v>
      </c>
    </row>
    <row r="2347" spans="3:21" ht="12.5" x14ac:dyDescent="0.25">
      <c r="C2347" s="4">
        <f ca="1">IFERROR(__xludf.DUMMYFUNCTION("""COMPUTED_VALUE"""),42752.9986111111)</f>
        <v>42752.998611111099</v>
      </c>
      <c r="D2347" s="2">
        <f ca="1">IFERROR(__xludf.DUMMYFUNCTION("""COMPUTED_VALUE"""),67.8995)</f>
        <v>67.899500000000003</v>
      </c>
      <c r="E2347" s="2">
        <f ca="1">IFERROR(__xludf.DUMMYFUNCTION("""COMPUTED_VALUE"""),76.001)</f>
        <v>76.001000000000005</v>
      </c>
      <c r="F2347" s="2">
        <f ca="1">IFERROR(__xludf.DUMMYFUNCTION("""COMPUTED_VALUE"""),84.656)</f>
        <v>84.656000000000006</v>
      </c>
      <c r="G2347" s="2">
        <f ca="1">IFERROR(__xludf.DUMMYFUNCTION("""COMPUTED_VALUE"""),0.57891)</f>
        <v>0.57891000000000004</v>
      </c>
      <c r="H2347" s="2">
        <f ca="1">IFERROR(__xludf.DUMMYFUNCTION("""COMPUTED_VALUE"""),50.586)</f>
        <v>50.585999999999999</v>
      </c>
      <c r="I2347" s="2">
        <f ca="1">IFERROR(__xludf.DUMMYFUNCTION("""COMPUTED_VALUE"""),51.008)</f>
        <v>51.008000000000003</v>
      </c>
      <c r="J2347" s="2">
        <f ca="1">IFERROR(__xludf.DUMMYFUNCTION("""COMPUTED_VALUE"""),47.14)</f>
        <v>47.14</v>
      </c>
      <c r="K2347" s="2">
        <f ca="1">IFERROR(__xludf.DUMMYFUNCTION("""COMPUTED_VALUE"""),66.202)</f>
        <v>66.201999999999998</v>
      </c>
      <c r="M2347" s="2">
        <f ca="1">IFERROR(__xludf.DUMMYFUNCTION("""COMPUTED_VALUE"""),18.173)</f>
        <v>18.172999999999998</v>
      </c>
      <c r="U2347" s="3" t="e">
        <f ca="1"/>
        <v>#NAME?</v>
      </c>
    </row>
    <row r="2348" spans="3:21" ht="12.5" x14ac:dyDescent="0.25">
      <c r="C2348" s="4">
        <f ca="1">IFERROR(__xludf.DUMMYFUNCTION("""COMPUTED_VALUE"""),42753.9986111111)</f>
        <v>42753.998611111099</v>
      </c>
      <c r="D2348" s="2">
        <f ca="1">IFERROR(__xludf.DUMMYFUNCTION("""COMPUTED_VALUE"""),68.198)</f>
        <v>68.197999999999993</v>
      </c>
      <c r="E2348" s="2">
        <f ca="1">IFERROR(__xludf.DUMMYFUNCTION("""COMPUTED_VALUE"""),76.07)</f>
        <v>76.069999999999993</v>
      </c>
      <c r="F2348" s="2">
        <f ca="1">IFERROR(__xludf.DUMMYFUNCTION("""COMPUTED_VALUE"""),84.054)</f>
        <v>84.054000000000002</v>
      </c>
      <c r="G2348" s="2">
        <f ca="1">IFERROR(__xludf.DUMMYFUNCTION("""COMPUTED_VALUE"""),0.57911)</f>
        <v>0.57911000000000001</v>
      </c>
      <c r="H2348" s="2">
        <f ca="1">IFERROR(__xludf.DUMMYFUNCTION("""COMPUTED_VALUE"""),50.877)</f>
        <v>50.877000000000002</v>
      </c>
      <c r="I2348" s="2">
        <f ca="1">IFERROR(__xludf.DUMMYFUNCTION("""COMPUTED_VALUE"""),51.095)</f>
        <v>51.094999999999999</v>
      </c>
      <c r="J2348" s="2">
        <f ca="1">IFERROR(__xludf.DUMMYFUNCTION("""COMPUTED_VALUE"""),47.1)</f>
        <v>47.1</v>
      </c>
      <c r="K2348" s="2">
        <f ca="1">IFERROR(__xludf.DUMMYFUNCTION("""COMPUTED_VALUE"""),66.202)</f>
        <v>66.201999999999998</v>
      </c>
      <c r="M2348" s="2">
        <f ca="1">IFERROR(__xludf.DUMMYFUNCTION("""COMPUTED_VALUE"""),18.165)</f>
        <v>18.164999999999999</v>
      </c>
      <c r="U2348" s="3" t="e">
        <f ca="1"/>
        <v>#NAME?</v>
      </c>
    </row>
    <row r="2349" spans="3:21" ht="12.5" x14ac:dyDescent="0.25">
      <c r="C2349" s="4">
        <f ca="1">IFERROR(__xludf.DUMMYFUNCTION("""COMPUTED_VALUE"""),42754.9986111111)</f>
        <v>42754.998611111099</v>
      </c>
      <c r="D2349" s="2">
        <f ca="1">IFERROR(__xludf.DUMMYFUNCTION("""COMPUTED_VALUE"""),68.0903)</f>
        <v>68.090299999999999</v>
      </c>
      <c r="E2349" s="2">
        <f ca="1">IFERROR(__xludf.DUMMYFUNCTION("""COMPUTED_VALUE"""),75.847)</f>
        <v>75.846999999999994</v>
      </c>
      <c r="F2349" s="2">
        <f ca="1">IFERROR(__xludf.DUMMYFUNCTION("""COMPUTED_VALUE"""),84.01)</f>
        <v>84.01</v>
      </c>
      <c r="G2349" s="2">
        <f ca="1">IFERROR(__xludf.DUMMYFUNCTION("""COMPUTED_VALUE"""),0.57799)</f>
        <v>0.57799</v>
      </c>
      <c r="H2349" s="2">
        <f ca="1">IFERROR(__xludf.DUMMYFUNCTION("""COMPUTED_VALUE"""),50.546)</f>
        <v>50.545999999999999</v>
      </c>
      <c r="I2349" s="2">
        <f ca="1">IFERROR(__xludf.DUMMYFUNCTION("""COMPUTED_VALUE"""),50.621)</f>
        <v>50.621000000000002</v>
      </c>
      <c r="J2349" s="2">
        <f ca="1">IFERROR(__xludf.DUMMYFUNCTION("""COMPUTED_VALUE"""),47.178)</f>
        <v>47.177999999999997</v>
      </c>
      <c r="K2349" s="2">
        <f ca="1">IFERROR(__xludf.DUMMYFUNCTION("""COMPUTED_VALUE"""),66.46)</f>
        <v>66.459999999999994</v>
      </c>
      <c r="M2349" s="2">
        <f ca="1">IFERROR(__xludf.DUMMYFUNCTION("""COMPUTED_VALUE"""),18.115)</f>
        <v>18.114999999999998</v>
      </c>
      <c r="U2349" s="3" t="e">
        <f ca="1"/>
        <v>#NAME?</v>
      </c>
    </row>
    <row r="2350" spans="3:21" ht="12.5" x14ac:dyDescent="0.25">
      <c r="C2350" s="4">
        <f ca="1">IFERROR(__xludf.DUMMYFUNCTION("""COMPUTED_VALUE"""),42755.9986111111)</f>
        <v>42755.998611111099</v>
      </c>
      <c r="D2350" s="2">
        <f ca="1">IFERROR(__xludf.DUMMYFUNCTION("""COMPUTED_VALUE"""),68.068)</f>
        <v>68.067999999999998</v>
      </c>
      <c r="E2350" s="2">
        <f ca="1">IFERROR(__xludf.DUMMYFUNCTION("""COMPUTED_VALUE"""),76.089)</f>
        <v>76.088999999999999</v>
      </c>
      <c r="F2350" s="2">
        <f ca="1">IFERROR(__xludf.DUMMYFUNCTION("""COMPUTED_VALUE"""),83.787)</f>
        <v>83.787000000000006</v>
      </c>
      <c r="G2350" s="2">
        <f ca="1">IFERROR(__xludf.DUMMYFUNCTION("""COMPUTED_VALUE"""),0.57608)</f>
        <v>0.57608000000000004</v>
      </c>
      <c r="H2350" s="2">
        <f ca="1">IFERROR(__xludf.DUMMYFUNCTION("""COMPUTED_VALUE"""),50.709)</f>
        <v>50.709000000000003</v>
      </c>
      <c r="I2350" s="2">
        <f ca="1">IFERROR(__xludf.DUMMYFUNCTION("""COMPUTED_VALUE"""),51.198)</f>
        <v>51.198</v>
      </c>
      <c r="J2350" s="2">
        <f ca="1">IFERROR(__xludf.DUMMYFUNCTION("""COMPUTED_VALUE"""),47.068)</f>
        <v>47.067999999999998</v>
      </c>
      <c r="K2350" s="2">
        <f ca="1">IFERROR(__xludf.DUMMYFUNCTION("""COMPUTED_VALUE"""),66.344)</f>
        <v>66.343999999999994</v>
      </c>
      <c r="M2350" s="2">
        <f ca="1">IFERROR(__xludf.DUMMYFUNCTION("""COMPUTED_VALUE"""),18.101)</f>
        <v>18.100999999999999</v>
      </c>
      <c r="U2350" s="3" t="e">
        <f ca="1"/>
        <v>#NAME?</v>
      </c>
    </row>
    <row r="2351" spans="3:21" ht="12.5" x14ac:dyDescent="0.25">
      <c r="C2351" s="4">
        <f ca="1">IFERROR(__xludf.DUMMYFUNCTION("""COMPUTED_VALUE"""),42756.9986111111)</f>
        <v>42756.998611111099</v>
      </c>
      <c r="D2351" s="2">
        <f ca="1">IFERROR(__xludf.DUMMYFUNCTION("""COMPUTED_VALUE"""),68.0728)</f>
        <v>68.072800000000001</v>
      </c>
      <c r="E2351" s="2">
        <f ca="1">IFERROR(__xludf.DUMMYFUNCTION("""COMPUTED_VALUE"""),76.365)</f>
        <v>76.364999999999995</v>
      </c>
      <c r="F2351" s="2">
        <f ca="1">IFERROR(__xludf.DUMMYFUNCTION("""COMPUTED_VALUE"""),83.36)</f>
        <v>83.36</v>
      </c>
      <c r="G2351" s="2">
        <f ca="1">IFERROR(__xludf.DUMMYFUNCTION("""COMPUTED_VALUE"""),0.57894)</f>
        <v>0.57894000000000001</v>
      </c>
      <c r="H2351" s="2">
        <f ca="1">IFERROR(__xludf.DUMMYFUNCTION("""COMPUTED_VALUE"""),50.956)</f>
        <v>50.956000000000003</v>
      </c>
      <c r="I2351" s="2">
        <f ca="1">IFERROR(__xludf.DUMMYFUNCTION("""COMPUTED_VALUE"""),51.577)</f>
        <v>51.576999999999998</v>
      </c>
      <c r="J2351" s="2">
        <f ca="1">IFERROR(__xludf.DUMMYFUNCTION("""COMPUTED_VALUE"""),47.093)</f>
        <v>47.093000000000004</v>
      </c>
      <c r="K2351" s="2">
        <f ca="1">IFERROR(__xludf.DUMMYFUNCTION("""COMPUTED_VALUE"""),66.047)</f>
        <v>66.046999999999997</v>
      </c>
      <c r="M2351" s="2">
        <f ca="1">IFERROR(__xludf.DUMMYFUNCTION("""COMPUTED_VALUE"""),18.013)</f>
        <v>18.013000000000002</v>
      </c>
      <c r="U2351" s="3" t="e">
        <f ca="1"/>
        <v>#NAME?</v>
      </c>
    </row>
    <row r="2352" spans="3:21" ht="12.5" x14ac:dyDescent="0.25">
      <c r="C2352" s="4">
        <f ca="1">IFERROR(__xludf.DUMMYFUNCTION("""COMPUTED_VALUE"""),42757.9986111111)</f>
        <v>42757.998611111099</v>
      </c>
      <c r="D2352" s="2">
        <f ca="1">IFERROR(__xludf.DUMMYFUNCTION("""COMPUTED_VALUE"""),68.0772)</f>
        <v>68.077200000000005</v>
      </c>
      <c r="E2352" s="2">
        <f ca="1">IFERROR(__xludf.DUMMYFUNCTION("""COMPUTED_VALUE"""),76.328)</f>
        <v>76.328000000000003</v>
      </c>
      <c r="F2352" s="2">
        <f ca="1">IFERROR(__xludf.DUMMYFUNCTION("""COMPUTED_VALUE"""),83.279)</f>
        <v>83.278999999999996</v>
      </c>
      <c r="G2352" s="2">
        <f ca="1">IFERROR(__xludf.DUMMYFUNCTION("""COMPUTED_VALUE"""),0.57502)</f>
        <v>0.57501999999999998</v>
      </c>
      <c r="H2352" s="2">
        <f ca="1">IFERROR(__xludf.DUMMYFUNCTION("""COMPUTED_VALUE"""),50.83)</f>
        <v>50.83</v>
      </c>
      <c r="I2352" s="2">
        <f ca="1">IFERROR(__xludf.DUMMYFUNCTION("""COMPUTED_VALUE"""),51.533)</f>
        <v>51.533000000000001</v>
      </c>
      <c r="J2352" s="2">
        <f ca="1">IFERROR(__xludf.DUMMYFUNCTION("""COMPUTED_VALUE"""),47.171)</f>
        <v>47.170999999999999</v>
      </c>
      <c r="K2352" s="2">
        <f ca="1">IFERROR(__xludf.DUMMYFUNCTION("""COMPUTED_VALUE"""),66.128)</f>
        <v>66.128</v>
      </c>
      <c r="M2352" s="2">
        <f ca="1">IFERROR(__xludf.DUMMYFUNCTION("""COMPUTED_VALUE"""),17.906)</f>
        <v>17.905999999999999</v>
      </c>
      <c r="U2352" s="3" t="e">
        <f ca="1"/>
        <v>#NAME?</v>
      </c>
    </row>
    <row r="2353" spans="3:21" ht="12.5" x14ac:dyDescent="0.25">
      <c r="C2353" s="4">
        <f ca="1">IFERROR(__xludf.DUMMYFUNCTION("""COMPUTED_VALUE"""),42758.9986111111)</f>
        <v>42758.998611111099</v>
      </c>
      <c r="D2353" s="2">
        <f ca="1">IFERROR(__xludf.DUMMYFUNCTION("""COMPUTED_VALUE"""),68.0514)</f>
        <v>68.051400000000001</v>
      </c>
      <c r="E2353" s="2">
        <f ca="1">IFERROR(__xludf.DUMMYFUNCTION("""COMPUTED_VALUE"""),76.917)</f>
        <v>76.917000000000002</v>
      </c>
      <c r="F2353" s="2">
        <f ca="1">IFERROR(__xludf.DUMMYFUNCTION("""COMPUTED_VALUE"""),83.283)</f>
        <v>83.283000000000001</v>
      </c>
      <c r="G2353" s="2">
        <f ca="1">IFERROR(__xludf.DUMMYFUNCTION("""COMPUTED_VALUE"""),0.57617)</f>
        <v>0.57616999999999996</v>
      </c>
      <c r="H2353" s="2">
        <f ca="1">IFERROR(__xludf.DUMMYFUNCTION("""COMPUTED_VALUE"""),51.277)</f>
        <v>51.277000000000001</v>
      </c>
      <c r="I2353" s="2">
        <f ca="1">IFERROR(__xludf.DUMMYFUNCTION("""COMPUTED_VALUE"""),51.783)</f>
        <v>51.783000000000001</v>
      </c>
      <c r="J2353" s="2">
        <f ca="1">IFERROR(__xludf.DUMMYFUNCTION("""COMPUTED_VALUE"""),47.142)</f>
        <v>47.142000000000003</v>
      </c>
      <c r="K2353" s="2">
        <f ca="1">IFERROR(__xludf.DUMMYFUNCTION("""COMPUTED_VALUE"""),66.124)</f>
        <v>66.123999999999995</v>
      </c>
      <c r="M2353" s="2">
        <f ca="1">IFERROR(__xludf.DUMMYFUNCTION("""COMPUTED_VALUE"""),17.864)</f>
        <v>17.864000000000001</v>
      </c>
      <c r="U2353" s="3" t="e">
        <f ca="1"/>
        <v>#NAME?</v>
      </c>
    </row>
    <row r="2354" spans="3:21" ht="12.5" x14ac:dyDescent="0.25">
      <c r="C2354" s="4">
        <f ca="1">IFERROR(__xludf.DUMMYFUNCTION("""COMPUTED_VALUE"""),42759.9986111111)</f>
        <v>42759.998611111099</v>
      </c>
      <c r="D2354" s="2">
        <f ca="1">IFERROR(__xludf.DUMMYFUNCTION("""COMPUTED_VALUE"""),68.1645)</f>
        <v>68.164500000000004</v>
      </c>
      <c r="E2354" s="2">
        <f ca="1">IFERROR(__xludf.DUMMYFUNCTION("""COMPUTED_VALUE"""),76.688)</f>
        <v>76.688000000000002</v>
      </c>
      <c r="F2354" s="2">
        <f ca="1">IFERROR(__xludf.DUMMYFUNCTION("""COMPUTED_VALUE"""),83.238)</f>
        <v>83.238</v>
      </c>
      <c r="G2354" s="2">
        <f ca="1">IFERROR(__xludf.DUMMYFUNCTION("""COMPUTED_VALUE"""),0.57257)</f>
        <v>0.57257000000000002</v>
      </c>
      <c r="H2354" s="2">
        <f ca="1">IFERROR(__xludf.DUMMYFUNCTION("""COMPUTED_VALUE"""),51.251)</f>
        <v>51.250999999999998</v>
      </c>
      <c r="I2354" s="2">
        <f ca="1">IFERROR(__xludf.DUMMYFUNCTION("""COMPUTED_VALUE"""),52.314)</f>
        <v>52.314</v>
      </c>
      <c r="J2354" s="2">
        <f ca="1">IFERROR(__xludf.DUMMYFUNCTION("""COMPUTED_VALUE"""),47.338)</f>
        <v>47.338000000000001</v>
      </c>
      <c r="K2354" s="2">
        <f ca="1">IFERROR(__xludf.DUMMYFUNCTION("""COMPUTED_VALUE"""),65.989)</f>
        <v>65.989000000000004</v>
      </c>
      <c r="M2354" s="2">
        <f ca="1">IFERROR(__xludf.DUMMYFUNCTION("""COMPUTED_VALUE"""),17.806)</f>
        <v>17.806000000000001</v>
      </c>
      <c r="U2354" s="3" t="e">
        <f ca="1"/>
        <v>#NAME?</v>
      </c>
    </row>
    <row r="2355" spans="3:21" ht="12.5" x14ac:dyDescent="0.25">
      <c r="C2355" s="4">
        <f ca="1">IFERROR(__xludf.DUMMYFUNCTION("""COMPUTED_VALUE"""),42760.9986111111)</f>
        <v>42760.998611111099</v>
      </c>
      <c r="D2355" s="2">
        <f ca="1">IFERROR(__xludf.DUMMYFUNCTION("""COMPUTED_VALUE"""),67.973)</f>
        <v>67.972999999999999</v>
      </c>
      <c r="E2355" s="2">
        <f ca="1">IFERROR(__xludf.DUMMYFUNCTION("""COMPUTED_VALUE"""),76.38)</f>
        <v>76.38</v>
      </c>
      <c r="F2355" s="2">
        <f ca="1">IFERROR(__xludf.DUMMYFUNCTION("""COMPUTED_VALUE"""),83.197)</f>
        <v>83.197000000000003</v>
      </c>
      <c r="G2355" s="2">
        <f ca="1">IFERROR(__xludf.DUMMYFUNCTION("""COMPUTED_VALUE"""),0.57307)</f>
        <v>0.57306999999999997</v>
      </c>
      <c r="H2355" s="2">
        <f ca="1">IFERROR(__xludf.DUMMYFUNCTION("""COMPUTED_VALUE"""),51.526)</f>
        <v>51.526000000000003</v>
      </c>
      <c r="I2355" s="2">
        <f ca="1">IFERROR(__xludf.DUMMYFUNCTION("""COMPUTED_VALUE"""),52.802)</f>
        <v>52.802</v>
      </c>
      <c r="J2355" s="2">
        <f ca="1">IFERROR(__xludf.DUMMYFUNCTION("""COMPUTED_VALUE"""),47.407)</f>
        <v>47.406999999999996</v>
      </c>
      <c r="K2355" s="2">
        <f ca="1">IFERROR(__xludf.DUMMYFUNCTION("""COMPUTED_VALUE"""),66.141)</f>
        <v>66.141000000000005</v>
      </c>
      <c r="M2355" s="2">
        <f ca="1">IFERROR(__xludf.DUMMYFUNCTION("""COMPUTED_VALUE"""),17.821)</f>
        <v>17.821000000000002</v>
      </c>
      <c r="U2355" s="3" t="e">
        <f ca="1"/>
        <v>#NAME?</v>
      </c>
    </row>
    <row r="2356" spans="3:21" ht="12.5" x14ac:dyDescent="0.25">
      <c r="C2356" s="4">
        <f ca="1">IFERROR(__xludf.DUMMYFUNCTION("""COMPUTED_VALUE"""),42761.9986111111)</f>
        <v>42761.998611111099</v>
      </c>
      <c r="D2356" s="2">
        <f ca="1">IFERROR(__xludf.DUMMYFUNCTION("""COMPUTED_VALUE"""),68.149)</f>
        <v>68.149000000000001</v>
      </c>
      <c r="E2356" s="2">
        <f ca="1">IFERROR(__xludf.DUMMYFUNCTION("""COMPUTED_VALUE"""),76.572)</f>
        <v>76.572000000000003</v>
      </c>
      <c r="F2356" s="2">
        <f ca="1">IFERROR(__xludf.DUMMYFUNCTION("""COMPUTED_VALUE"""),83.407)</f>
        <v>83.406999999999996</v>
      </c>
      <c r="G2356" s="2">
        <f ca="1">IFERROR(__xludf.DUMMYFUNCTION("""COMPUTED_VALUE"""),0.5706)</f>
        <v>0.5706</v>
      </c>
      <c r="H2356" s="2">
        <f ca="1">IFERROR(__xludf.DUMMYFUNCTION("""COMPUTED_VALUE"""),51.322)</f>
        <v>51.322000000000003</v>
      </c>
      <c r="I2356" s="2">
        <f ca="1">IFERROR(__xludf.DUMMYFUNCTION("""COMPUTED_VALUE"""),52.425)</f>
        <v>52.424999999999997</v>
      </c>
      <c r="J2356" s="2">
        <f ca="1">IFERROR(__xludf.DUMMYFUNCTION("""COMPUTED_VALUE"""),47.741)</f>
        <v>47.741</v>
      </c>
      <c r="K2356" s="2">
        <f ca="1">IFERROR(__xludf.DUMMYFUNCTION("""COMPUTED_VALUE"""),66.298)</f>
        <v>66.298000000000002</v>
      </c>
      <c r="M2356" s="2">
        <f ca="1">IFERROR(__xludf.DUMMYFUNCTION("""COMPUTED_VALUE"""),17.821)</f>
        <v>17.821000000000002</v>
      </c>
      <c r="U2356" s="3" t="e">
        <f ca="1"/>
        <v>#NAME?</v>
      </c>
    </row>
    <row r="2357" spans="3:21" ht="12.5" x14ac:dyDescent="0.25">
      <c r="C2357" s="4">
        <f ca="1">IFERROR(__xludf.DUMMYFUNCTION("""COMPUTED_VALUE"""),42762.9986111111)</f>
        <v>42762.998611111099</v>
      </c>
      <c r="D2357" s="2">
        <f ca="1">IFERROR(__xludf.DUMMYFUNCTION("""COMPUTED_VALUE"""),68.097)</f>
        <v>68.096999999999994</v>
      </c>
      <c r="E2357" s="2">
        <f ca="1">IFERROR(__xludf.DUMMYFUNCTION("""COMPUTED_VALUE"""),76.006)</f>
        <v>76.006</v>
      </c>
      <c r="F2357" s="2">
        <f ca="1">IFERROR(__xludf.DUMMYFUNCTION("""COMPUTED_VALUE"""),83.38)</f>
        <v>83.38</v>
      </c>
      <c r="G2357" s="2">
        <f ca="1">IFERROR(__xludf.DUMMYFUNCTION("""COMPUTED_VALUE"""),0.57114)</f>
        <v>0.57113999999999998</v>
      </c>
      <c r="H2357" s="2">
        <f ca="1">IFERROR(__xludf.DUMMYFUNCTION("""COMPUTED_VALUE"""),51.246)</f>
        <v>51.246000000000002</v>
      </c>
      <c r="I2357" s="2">
        <f ca="1">IFERROR(__xludf.DUMMYFUNCTION("""COMPUTED_VALUE"""),52.75)</f>
        <v>52.75</v>
      </c>
      <c r="J2357" s="2">
        <f ca="1">IFERROR(__xludf.DUMMYFUNCTION("""COMPUTED_VALUE"""),47.482)</f>
        <v>47.481999999999999</v>
      </c>
      <c r="K2357" s="2">
        <f ca="1">IFERROR(__xludf.DUMMYFUNCTION("""COMPUTED_VALUE"""),66.406)</f>
        <v>66.406000000000006</v>
      </c>
      <c r="M2357" s="2">
        <f ca="1">IFERROR(__xludf.DUMMYFUNCTION("""COMPUTED_VALUE"""),17.824)</f>
        <v>17.824000000000002</v>
      </c>
      <c r="U2357" s="3" t="e">
        <f ca="1"/>
        <v>#NAME?</v>
      </c>
    </row>
    <row r="2358" spans="3:21" ht="12.5" x14ac:dyDescent="0.25">
      <c r="C2358" s="4">
        <f ca="1">IFERROR(__xludf.DUMMYFUNCTION("""COMPUTED_VALUE"""),42763.9986111111)</f>
        <v>42763.998611111099</v>
      </c>
      <c r="D2358" s="2">
        <f ca="1">IFERROR(__xludf.DUMMYFUNCTION("""COMPUTED_VALUE"""),68.097)</f>
        <v>68.096999999999994</v>
      </c>
      <c r="E2358" s="2">
        <f ca="1">IFERROR(__xludf.DUMMYFUNCTION("""COMPUTED_VALUE"""),76.357)</f>
        <v>76.356999999999999</v>
      </c>
      <c r="F2358" s="2">
        <f ca="1">IFERROR(__xludf.DUMMYFUNCTION("""COMPUTED_VALUE"""),83.265)</f>
        <v>83.265000000000001</v>
      </c>
      <c r="G2358" s="2">
        <f ca="1">IFERROR(__xludf.DUMMYFUNCTION("""COMPUTED_VALUE"""),0.56758)</f>
        <v>0.56757999999999997</v>
      </c>
      <c r="H2358" s="2">
        <f ca="1">IFERROR(__xludf.DUMMYFUNCTION("""COMPUTED_VALUE"""),51.299)</f>
        <v>51.298999999999999</v>
      </c>
      <c r="I2358" s="2">
        <f ca="1">IFERROR(__xludf.DUMMYFUNCTION("""COMPUTED_VALUE"""),52.547)</f>
        <v>52.546999999999997</v>
      </c>
      <c r="J2358" s="2">
        <f ca="1">IFERROR(__xludf.DUMMYFUNCTION("""COMPUTED_VALUE"""),47.437)</f>
        <v>47.436999999999998</v>
      </c>
      <c r="K2358" s="2">
        <f ca="1">IFERROR(__xludf.DUMMYFUNCTION("""COMPUTED_VALUE"""),66.476)</f>
        <v>66.475999999999999</v>
      </c>
      <c r="M2358" s="2">
        <f ca="1">IFERROR(__xludf.DUMMYFUNCTION("""COMPUTED_VALUE"""),17.786)</f>
        <v>17.786000000000001</v>
      </c>
      <c r="U2358" s="3" t="e">
        <f ca="1"/>
        <v>#NAME?</v>
      </c>
    </row>
    <row r="2359" spans="3:21" ht="12.5" x14ac:dyDescent="0.25">
      <c r="C2359" s="4">
        <f ca="1">IFERROR(__xludf.DUMMYFUNCTION("""COMPUTED_VALUE"""),42764.9986111111)</f>
        <v>42764.998611111099</v>
      </c>
      <c r="D2359" s="2">
        <f ca="1">IFERROR(__xludf.DUMMYFUNCTION("""COMPUTED_VALUE"""),68.11)</f>
        <v>68.11</v>
      </c>
      <c r="E2359" s="2">
        <f ca="1">IFERROR(__xludf.DUMMYFUNCTION("""COMPUTED_VALUE"""),75.6104)</f>
        <v>75.610399999999998</v>
      </c>
      <c r="F2359" s="2">
        <f ca="1">IFERROR(__xludf.DUMMYFUNCTION("""COMPUTED_VALUE"""),83.779)</f>
        <v>83.778999999999996</v>
      </c>
      <c r="G2359" s="2">
        <f ca="1">IFERROR(__xludf.DUMMYFUNCTION("""COMPUTED_VALUE"""),0.57168)</f>
        <v>0.57167999999999997</v>
      </c>
      <c r="H2359" s="2">
        <f ca="1">IFERROR(__xludf.DUMMYFUNCTION("""COMPUTED_VALUE"""),51.023)</f>
        <v>51.023000000000003</v>
      </c>
      <c r="I2359" s="2">
        <f ca="1">IFERROR(__xludf.DUMMYFUNCTION("""COMPUTED_VALUE"""),52.544)</f>
        <v>52.543999999999997</v>
      </c>
      <c r="J2359" s="2">
        <f ca="1">IFERROR(__xludf.DUMMYFUNCTION("""COMPUTED_VALUE"""),47.477)</f>
        <v>47.476999999999997</v>
      </c>
      <c r="K2359" s="2">
        <f ca="1">IFERROR(__xludf.DUMMYFUNCTION("""COMPUTED_VALUE"""),66.476)</f>
        <v>66.475999999999999</v>
      </c>
      <c r="M2359" s="2">
        <f ca="1">IFERROR(__xludf.DUMMYFUNCTION("""COMPUTED_VALUE"""),17.829)</f>
        <v>17.829000000000001</v>
      </c>
      <c r="U2359" s="3" t="e">
        <f ca="1"/>
        <v>#NAME?</v>
      </c>
    </row>
    <row r="2360" spans="3:21" ht="12.5" x14ac:dyDescent="0.25">
      <c r="C2360" s="4">
        <f ca="1">IFERROR(__xludf.DUMMYFUNCTION("""COMPUTED_VALUE"""),42765.9986111111)</f>
        <v>42765.998611111099</v>
      </c>
      <c r="D2360" s="2">
        <f ca="1">IFERROR(__xludf.DUMMYFUNCTION("""COMPUTED_VALUE"""),67.821)</f>
        <v>67.820999999999998</v>
      </c>
      <c r="E2360" s="2">
        <f ca="1">IFERROR(__xludf.DUMMYFUNCTION("""COMPUTED_VALUE"""),76.643)</f>
        <v>76.643000000000001</v>
      </c>
      <c r="F2360" s="2">
        <f ca="1">IFERROR(__xludf.DUMMYFUNCTION("""COMPUTED_VALUE"""),83.837)</f>
        <v>83.837000000000003</v>
      </c>
      <c r="G2360" s="2">
        <f ca="1">IFERROR(__xludf.DUMMYFUNCTION("""COMPUTED_VALUE"""),0.5734)</f>
        <v>0.57340000000000002</v>
      </c>
      <c r="H2360" s="2">
        <f ca="1">IFERROR(__xludf.DUMMYFUNCTION("""COMPUTED_VALUE"""),51.249)</f>
        <v>51.249000000000002</v>
      </c>
      <c r="I2360" s="2">
        <f ca="1">IFERROR(__xludf.DUMMYFUNCTION("""COMPUTED_VALUE"""),52.665)</f>
        <v>52.664999999999999</v>
      </c>
      <c r="J2360" s="2">
        <f ca="1">IFERROR(__xludf.DUMMYFUNCTION("""COMPUTED_VALUE"""),47.36)</f>
        <v>47.36</v>
      </c>
      <c r="K2360" s="2">
        <f ca="1">IFERROR(__xludf.DUMMYFUNCTION("""COMPUTED_VALUE"""),66.476)</f>
        <v>66.475999999999999</v>
      </c>
      <c r="M2360" s="2">
        <f ca="1">IFERROR(__xludf.DUMMYFUNCTION("""COMPUTED_VALUE"""),17.795)</f>
        <v>17.795000000000002</v>
      </c>
      <c r="U2360" s="3" t="e">
        <f ca="1"/>
        <v>#NAME?</v>
      </c>
    </row>
    <row r="2361" spans="3:21" ht="12.5" x14ac:dyDescent="0.25">
      <c r="C2361" s="4">
        <f ca="1">IFERROR(__xludf.DUMMYFUNCTION("""COMPUTED_VALUE"""),42766.9986111111)</f>
        <v>42766.998611111099</v>
      </c>
      <c r="D2361" s="2">
        <f ca="1">IFERROR(__xludf.DUMMYFUNCTION("""COMPUTED_VALUE"""),67.5016)</f>
        <v>67.501599999999996</v>
      </c>
      <c r="E2361" s="2">
        <f ca="1">IFERROR(__xludf.DUMMYFUNCTION("""COMPUTED_VALUE"""),77.032)</f>
        <v>77.031999999999996</v>
      </c>
      <c r="F2361" s="2">
        <f ca="1">IFERROR(__xludf.DUMMYFUNCTION("""COMPUTED_VALUE"""),83.82)</f>
        <v>83.82</v>
      </c>
      <c r="G2361" s="2">
        <f ca="1">IFERROR(__xludf.DUMMYFUNCTION("""COMPUTED_VALUE"""),0.5691)</f>
        <v>0.56910000000000005</v>
      </c>
      <c r="H2361" s="2">
        <f ca="1">IFERROR(__xludf.DUMMYFUNCTION("""COMPUTED_VALUE"""),51.262)</f>
        <v>51.262</v>
      </c>
      <c r="I2361" s="2">
        <f ca="1">IFERROR(__xludf.DUMMYFUNCTION("""COMPUTED_VALUE"""),52.493)</f>
        <v>52.493000000000002</v>
      </c>
      <c r="J2361" s="2">
        <f ca="1">IFERROR(__xludf.DUMMYFUNCTION("""COMPUTED_VALUE"""),47.576)</f>
        <v>47.576000000000001</v>
      </c>
      <c r="K2361" s="2">
        <f ca="1">IFERROR(__xludf.DUMMYFUNCTION("""COMPUTED_VALUE"""),66.194)</f>
        <v>66.194000000000003</v>
      </c>
      <c r="M2361" s="2">
        <f ca="1">IFERROR(__xludf.DUMMYFUNCTION("""COMPUTED_VALUE"""),17.816)</f>
        <v>17.815999999999999</v>
      </c>
      <c r="U2361" s="3" t="e">
        <f ca="1"/>
        <v>#NAME?</v>
      </c>
    </row>
    <row r="2362" spans="3:21" ht="12.5" x14ac:dyDescent="0.25">
      <c r="C2362" s="4">
        <f ca="1">IFERROR(__xludf.DUMMYFUNCTION("""COMPUTED_VALUE"""),42767.9986111111)</f>
        <v>42767.998611111099</v>
      </c>
      <c r="D2362" s="2">
        <f ca="1">IFERROR(__xludf.DUMMYFUNCTION("""COMPUTED_VALUE"""),67.3954)</f>
        <v>67.395399999999995</v>
      </c>
      <c r="E2362" s="2">
        <f ca="1">IFERROR(__xludf.DUMMYFUNCTION("""COMPUTED_VALUE"""),76.242)</f>
        <v>76.242000000000004</v>
      </c>
      <c r="F2362" s="2">
        <f ca="1">IFERROR(__xludf.DUMMYFUNCTION("""COMPUTED_VALUE"""),83.672)</f>
        <v>83.671999999999997</v>
      </c>
      <c r="G2362" s="2">
        <f ca="1">IFERROR(__xludf.DUMMYFUNCTION("""COMPUTED_VALUE"""),0.56485)</f>
        <v>0.56484999999999996</v>
      </c>
      <c r="H2362" s="2">
        <f ca="1">IFERROR(__xludf.DUMMYFUNCTION("""COMPUTED_VALUE"""),51.083)</f>
        <v>51.082999999999998</v>
      </c>
      <c r="I2362" s="2">
        <f ca="1">IFERROR(__xludf.DUMMYFUNCTION("""COMPUTED_VALUE"""),52.185)</f>
        <v>52.185000000000002</v>
      </c>
      <c r="J2362" s="2">
        <f ca="1">IFERROR(__xludf.DUMMYFUNCTION("""COMPUTED_VALUE"""),47.611)</f>
        <v>47.610999999999997</v>
      </c>
      <c r="K2362" s="2">
        <f ca="1">IFERROR(__xludf.DUMMYFUNCTION("""COMPUTED_VALUE"""),67.052)</f>
        <v>67.052000000000007</v>
      </c>
      <c r="M2362" s="2">
        <f ca="1">IFERROR(__xludf.DUMMYFUNCTION("""COMPUTED_VALUE"""),17.795)</f>
        <v>17.795000000000002</v>
      </c>
      <c r="U2362" s="3" t="e">
        <f ca="1"/>
        <v>#NAME?</v>
      </c>
    </row>
    <row r="2363" spans="3:21" ht="12.5" x14ac:dyDescent="0.25">
      <c r="C2363" s="4">
        <f ca="1">IFERROR(__xludf.DUMMYFUNCTION("""COMPUTED_VALUE"""),42768.9986111111)</f>
        <v>42768.998611111099</v>
      </c>
      <c r="D2363" s="2">
        <f ca="1">IFERROR(__xludf.DUMMYFUNCTION("""COMPUTED_VALUE"""),67.2656)</f>
        <v>67.265600000000006</v>
      </c>
      <c r="E2363" s="2">
        <f ca="1">IFERROR(__xludf.DUMMYFUNCTION("""COMPUTED_VALUE"""),77.339)</f>
        <v>77.338999999999999</v>
      </c>
      <c r="F2363" s="2">
        <f ca="1">IFERROR(__xludf.DUMMYFUNCTION("""COMPUTED_VALUE"""),83.562)</f>
        <v>83.561999999999998</v>
      </c>
      <c r="G2363" s="2">
        <f ca="1">IFERROR(__xludf.DUMMYFUNCTION("""COMPUTED_VALUE"""),0.56571)</f>
        <v>0.56571000000000005</v>
      </c>
      <c r="H2363" s="2">
        <f ca="1">IFERROR(__xludf.DUMMYFUNCTION("""COMPUTED_VALUE"""),51.429)</f>
        <v>51.429000000000002</v>
      </c>
      <c r="I2363" s="2">
        <f ca="1">IFERROR(__xludf.DUMMYFUNCTION("""COMPUTED_VALUE"""),52.257)</f>
        <v>52.256999999999998</v>
      </c>
      <c r="J2363" s="2">
        <f ca="1">IFERROR(__xludf.DUMMYFUNCTION("""COMPUTED_VALUE"""),47.566)</f>
        <v>47.566000000000003</v>
      </c>
      <c r="K2363" s="2">
        <f ca="1">IFERROR(__xludf.DUMMYFUNCTION("""COMPUTED_VALUE"""),67.178)</f>
        <v>67.177999999999997</v>
      </c>
      <c r="M2363" s="2">
        <f ca="1">IFERROR(__xludf.DUMMYFUNCTION("""COMPUTED_VALUE"""),17.804)</f>
        <v>17.803999999999998</v>
      </c>
      <c r="U2363" s="3" t="e">
        <f ca="1"/>
        <v>#NAME?</v>
      </c>
    </row>
    <row r="2364" spans="3:21" ht="12.5" x14ac:dyDescent="0.25">
      <c r="C2364" s="4">
        <f ca="1">IFERROR(__xludf.DUMMYFUNCTION("""COMPUTED_VALUE"""),42769.9986111111)</f>
        <v>42769.998611111099</v>
      </c>
      <c r="D2364" s="2">
        <f ca="1">IFERROR(__xludf.DUMMYFUNCTION("""COMPUTED_VALUE"""),67.177)</f>
        <v>67.177000000000007</v>
      </c>
      <c r="E2364" s="2">
        <f ca="1">IFERROR(__xludf.DUMMYFUNCTION("""COMPUTED_VALUE"""),77.337)</f>
        <v>77.337000000000003</v>
      </c>
      <c r="F2364" s="2">
        <f ca="1">IFERROR(__xludf.DUMMYFUNCTION("""COMPUTED_VALUE"""),83.634)</f>
        <v>83.634</v>
      </c>
      <c r="G2364" s="2">
        <f ca="1">IFERROR(__xludf.DUMMYFUNCTION("""COMPUTED_VALUE"""),0.56536)</f>
        <v>0.56535999999999997</v>
      </c>
      <c r="H2364" s="2">
        <f ca="1">IFERROR(__xludf.DUMMYFUNCTION("""COMPUTED_VALUE"""),51.487)</f>
        <v>51.487000000000002</v>
      </c>
      <c r="I2364" s="2">
        <f ca="1">IFERROR(__xludf.DUMMYFUNCTION("""COMPUTED_VALUE"""),52.023)</f>
        <v>52.023000000000003</v>
      </c>
      <c r="J2364" s="2">
        <f ca="1">IFERROR(__xludf.DUMMYFUNCTION("""COMPUTED_VALUE"""),47.694)</f>
        <v>47.694000000000003</v>
      </c>
      <c r="K2364" s="2">
        <f ca="1">IFERROR(__xludf.DUMMYFUNCTION("""COMPUTED_VALUE"""),67.597)</f>
        <v>67.596999999999994</v>
      </c>
      <c r="M2364" s="2">
        <f ca="1">IFERROR(__xludf.DUMMYFUNCTION("""COMPUTED_VALUE"""),17.709)</f>
        <v>17.709</v>
      </c>
      <c r="U2364" s="3" t="e">
        <f ca="1"/>
        <v>#NAME?</v>
      </c>
    </row>
    <row r="2365" spans="3:21" ht="12.5" x14ac:dyDescent="0.25">
      <c r="C2365" s="4">
        <f ca="1">IFERROR(__xludf.DUMMYFUNCTION("""COMPUTED_VALUE"""),42770.9986111111)</f>
        <v>42770.998611111099</v>
      </c>
      <c r="D2365" s="2">
        <f ca="1">IFERROR(__xludf.DUMMYFUNCTION("""COMPUTED_VALUE"""),67.177)</f>
        <v>67.177000000000007</v>
      </c>
      <c r="E2365" s="2">
        <f ca="1">IFERROR(__xludf.DUMMYFUNCTION("""COMPUTED_VALUE"""),77.132)</f>
        <v>77.132000000000005</v>
      </c>
      <c r="F2365" s="2">
        <f ca="1">IFERROR(__xludf.DUMMYFUNCTION("""COMPUTED_VALUE"""),84.119)</f>
        <v>84.119</v>
      </c>
      <c r="G2365" s="2">
        <f ca="1">IFERROR(__xludf.DUMMYFUNCTION("""COMPUTED_VALUE"""),0.56743)</f>
        <v>0.56742999999999999</v>
      </c>
      <c r="H2365" s="2">
        <f ca="1">IFERROR(__xludf.DUMMYFUNCTION("""COMPUTED_VALUE"""),51.347)</f>
        <v>51.347000000000001</v>
      </c>
      <c r="I2365" s="2">
        <f ca="1">IFERROR(__xludf.DUMMYFUNCTION("""COMPUTED_VALUE"""),52.529)</f>
        <v>52.529000000000003</v>
      </c>
      <c r="J2365" s="2">
        <f ca="1">IFERROR(__xludf.DUMMYFUNCTION("""COMPUTED_VALUE"""),47.547)</f>
        <v>47.546999999999997</v>
      </c>
      <c r="K2365" s="2">
        <f ca="1">IFERROR(__xludf.DUMMYFUNCTION("""COMPUTED_VALUE"""),67.363)</f>
        <v>67.363</v>
      </c>
      <c r="M2365" s="2">
        <f ca="1">IFERROR(__xludf.DUMMYFUNCTION("""COMPUTED_VALUE"""),17.733)</f>
        <v>17.733000000000001</v>
      </c>
      <c r="U2365" s="3" t="e">
        <f ca="1"/>
        <v>#NAME?</v>
      </c>
    </row>
    <row r="2366" spans="3:21" ht="12.5" x14ac:dyDescent="0.25">
      <c r="C2366" s="4">
        <f ca="1">IFERROR(__xludf.DUMMYFUNCTION("""COMPUTED_VALUE"""),42771.9986111111)</f>
        <v>42771.998611111099</v>
      </c>
      <c r="D2366" s="2">
        <f ca="1">IFERROR(__xludf.DUMMYFUNCTION("""COMPUTED_VALUE"""),67.1573)</f>
        <v>67.157300000000006</v>
      </c>
      <c r="E2366" s="2">
        <f ca="1">IFERROR(__xludf.DUMMYFUNCTION("""COMPUTED_VALUE"""),77.078)</f>
        <v>77.078000000000003</v>
      </c>
      <c r="F2366" s="2">
        <f ca="1">IFERROR(__xludf.DUMMYFUNCTION("""COMPUTED_VALUE"""),83.664)</f>
        <v>83.664000000000001</v>
      </c>
      <c r="G2366" s="2">
        <f ca="1">IFERROR(__xludf.DUMMYFUNCTION("""COMPUTED_VALUE"""),0.57133)</f>
        <v>0.57133</v>
      </c>
      <c r="H2366" s="2">
        <f ca="1">IFERROR(__xludf.DUMMYFUNCTION("""COMPUTED_VALUE"""),51.53)</f>
        <v>51.53</v>
      </c>
      <c r="I2366" s="2">
        <f ca="1">IFERROR(__xludf.DUMMYFUNCTION("""COMPUTED_VALUE"""),52.464)</f>
        <v>52.463999999999999</v>
      </c>
      <c r="J2366" s="2">
        <f ca="1">IFERROR(__xludf.DUMMYFUNCTION("""COMPUTED_VALUE"""),47.965)</f>
        <v>47.965000000000003</v>
      </c>
      <c r="K2366" s="2">
        <f ca="1">IFERROR(__xludf.DUMMYFUNCTION("""COMPUTED_VALUE"""),67.242)</f>
        <v>67.242000000000004</v>
      </c>
      <c r="M2366" s="2">
        <f ca="1">IFERROR(__xludf.DUMMYFUNCTION("""COMPUTED_VALUE"""),17.633)</f>
        <v>17.632999999999999</v>
      </c>
      <c r="U2366" s="3" t="e">
        <f ca="1"/>
        <v>#NAME?</v>
      </c>
    </row>
    <row r="2367" spans="3:21" ht="12.5" x14ac:dyDescent="0.25">
      <c r="C2367" s="4">
        <f ca="1">IFERROR(__xludf.DUMMYFUNCTION("""COMPUTED_VALUE"""),42772.9986111111)</f>
        <v>42772.998611111099</v>
      </c>
      <c r="D2367" s="2">
        <f ca="1">IFERROR(__xludf.DUMMYFUNCTION("""COMPUTED_VALUE"""),67.1953)</f>
        <v>67.195300000000003</v>
      </c>
      <c r="E2367" s="2">
        <f ca="1">IFERROR(__xludf.DUMMYFUNCTION("""COMPUTED_VALUE"""),77.125)</f>
        <v>77.125</v>
      </c>
      <c r="F2367" s="2">
        <f ca="1">IFERROR(__xludf.DUMMYFUNCTION("""COMPUTED_VALUE"""),83.718)</f>
        <v>83.718000000000004</v>
      </c>
      <c r="G2367" s="2">
        <f ca="1">IFERROR(__xludf.DUMMYFUNCTION("""COMPUTED_VALUE"""),0.56922)</f>
        <v>0.56921999999999995</v>
      </c>
      <c r="H2367" s="2">
        <f ca="1">IFERROR(__xludf.DUMMYFUNCTION("""COMPUTED_VALUE"""),51.637)</f>
        <v>51.637</v>
      </c>
      <c r="I2367" s="2">
        <f ca="1">IFERROR(__xludf.DUMMYFUNCTION("""COMPUTED_VALUE"""),52.596)</f>
        <v>52.595999999999997</v>
      </c>
      <c r="J2367" s="2">
        <f ca="1">IFERROR(__xludf.DUMMYFUNCTION("""COMPUTED_VALUE"""),48.083)</f>
        <v>48.082999999999998</v>
      </c>
      <c r="K2367" s="2">
        <f ca="1">IFERROR(__xludf.DUMMYFUNCTION("""COMPUTED_VALUE"""),67.123)</f>
        <v>67.123000000000005</v>
      </c>
      <c r="M2367" s="2">
        <f ca="1">IFERROR(__xludf.DUMMYFUNCTION("""COMPUTED_VALUE"""),17.645)</f>
        <v>17.645</v>
      </c>
      <c r="U2367" s="3" t="e">
        <f ca="1"/>
        <v>#NAME?</v>
      </c>
    </row>
    <row r="2368" spans="3:21" ht="12.5" x14ac:dyDescent="0.25">
      <c r="C2368" s="4">
        <f ca="1">IFERROR(__xludf.DUMMYFUNCTION("""COMPUTED_VALUE"""),42773.9986111111)</f>
        <v>42773.998611111099</v>
      </c>
      <c r="D2368" s="2">
        <f ca="1">IFERROR(__xludf.DUMMYFUNCTION("""COMPUTED_VALUE"""),67.3405)</f>
        <v>67.340500000000006</v>
      </c>
      <c r="E2368" s="2">
        <f ca="1">IFERROR(__xludf.DUMMYFUNCTION("""COMPUTED_VALUE"""),77.047)</f>
        <v>77.046999999999997</v>
      </c>
      <c r="F2368" s="2">
        <f ca="1">IFERROR(__xludf.DUMMYFUNCTION("""COMPUTED_VALUE"""),83.6)</f>
        <v>83.6</v>
      </c>
      <c r="G2368" s="2">
        <f ca="1">IFERROR(__xludf.DUMMYFUNCTION("""COMPUTED_VALUE"""),0.57237)</f>
        <v>0.57237000000000005</v>
      </c>
      <c r="H2368" s="2">
        <f ca="1">IFERROR(__xludf.DUMMYFUNCTION("""COMPUTED_VALUE"""),51.514)</f>
        <v>51.514000000000003</v>
      </c>
      <c r="I2368" s="2">
        <f ca="1">IFERROR(__xludf.DUMMYFUNCTION("""COMPUTED_VALUE"""),52.889)</f>
        <v>52.889000000000003</v>
      </c>
      <c r="J2368" s="2">
        <f ca="1">IFERROR(__xludf.DUMMYFUNCTION("""COMPUTED_VALUE"""),48.156)</f>
        <v>48.155999999999999</v>
      </c>
      <c r="K2368" s="2">
        <f ca="1">IFERROR(__xludf.DUMMYFUNCTION("""COMPUTED_VALUE"""),67.119)</f>
        <v>67.119</v>
      </c>
      <c r="M2368" s="2">
        <f ca="1">IFERROR(__xludf.DUMMYFUNCTION("""COMPUTED_VALUE"""),17.654)</f>
        <v>17.654</v>
      </c>
      <c r="U2368" s="3" t="e">
        <f ca="1"/>
        <v>#NAME?</v>
      </c>
    </row>
    <row r="2369" spans="3:21" ht="12.5" x14ac:dyDescent="0.25">
      <c r="C2369" s="4">
        <f ca="1">IFERROR(__xludf.DUMMYFUNCTION("""COMPUTED_VALUE"""),42774.9986111111)</f>
        <v>42774.998611111099</v>
      </c>
      <c r="D2369" s="2">
        <f ca="1">IFERROR(__xludf.DUMMYFUNCTION("""COMPUTED_VALUE"""),66.9643)</f>
        <v>66.964299999999994</v>
      </c>
      <c r="E2369" s="2">
        <f ca="1">IFERROR(__xludf.DUMMYFUNCTION("""COMPUTED_VALUE"""),77.087)</f>
        <v>77.087000000000003</v>
      </c>
      <c r="F2369" s="2">
        <f ca="1">IFERROR(__xludf.DUMMYFUNCTION("""COMPUTED_VALUE"""),82.853)</f>
        <v>82.852999999999994</v>
      </c>
      <c r="G2369" s="2">
        <f ca="1">IFERROR(__xludf.DUMMYFUNCTION("""COMPUTED_VALUE"""),0.57355)</f>
        <v>0.57355</v>
      </c>
      <c r="H2369" s="2">
        <f ca="1">IFERROR(__xludf.DUMMYFUNCTION("""COMPUTED_VALUE"""),51.535)</f>
        <v>51.534999999999997</v>
      </c>
      <c r="I2369" s="2">
        <f ca="1">IFERROR(__xludf.DUMMYFUNCTION("""COMPUTED_VALUE"""),52.587)</f>
        <v>52.587000000000003</v>
      </c>
      <c r="J2369" s="2">
        <f ca="1">IFERROR(__xludf.DUMMYFUNCTION("""COMPUTED_VALUE"""),48.232)</f>
        <v>48.231999999999999</v>
      </c>
      <c r="K2369" s="2">
        <f ca="1">IFERROR(__xludf.DUMMYFUNCTION("""COMPUTED_VALUE"""),67.336)</f>
        <v>67.335999999999999</v>
      </c>
      <c r="M2369" s="2">
        <f ca="1">IFERROR(__xludf.DUMMYFUNCTION("""COMPUTED_VALUE"""),17.643)</f>
        <v>17.643000000000001</v>
      </c>
      <c r="U2369" s="3" t="e">
        <f ca="1"/>
        <v>#NAME?</v>
      </c>
    </row>
    <row r="2370" spans="3:21" ht="12.5" x14ac:dyDescent="0.25">
      <c r="C2370" s="4">
        <f ca="1">IFERROR(__xludf.DUMMYFUNCTION("""COMPUTED_VALUE"""),42775.9986111111)</f>
        <v>42775.998611111099</v>
      </c>
      <c r="D2370" s="2">
        <f ca="1">IFERROR(__xludf.DUMMYFUNCTION("""COMPUTED_VALUE"""),66.7453)</f>
        <v>66.7453</v>
      </c>
      <c r="E2370" s="2">
        <f ca="1">IFERROR(__xludf.DUMMYFUNCTION("""COMPUTED_VALUE"""),76.555)</f>
        <v>76.555000000000007</v>
      </c>
      <c r="F2370" s="2">
        <f ca="1">IFERROR(__xludf.DUMMYFUNCTION("""COMPUTED_VALUE"""),83.163)</f>
        <v>83.162999999999997</v>
      </c>
      <c r="G2370" s="2">
        <f ca="1">IFERROR(__xludf.DUMMYFUNCTION("""COMPUTED_VALUE"""),0.56511)</f>
        <v>0.56511</v>
      </c>
      <c r="H2370" s="2">
        <f ca="1">IFERROR(__xludf.DUMMYFUNCTION("""COMPUTED_VALUE"""),51.309)</f>
        <v>51.308999999999997</v>
      </c>
      <c r="I2370" s="2">
        <f ca="1">IFERROR(__xludf.DUMMYFUNCTION("""COMPUTED_VALUE"""),52.583)</f>
        <v>52.582999999999998</v>
      </c>
      <c r="J2370" s="2">
        <f ca="1">IFERROR(__xludf.DUMMYFUNCTION("""COMPUTED_VALUE"""),48.286)</f>
        <v>48.286000000000001</v>
      </c>
      <c r="K2370" s="2">
        <f ca="1">IFERROR(__xludf.DUMMYFUNCTION("""COMPUTED_VALUE"""),66.978)</f>
        <v>66.977999999999994</v>
      </c>
      <c r="M2370" s="2">
        <f ca="1">IFERROR(__xludf.DUMMYFUNCTION("""COMPUTED_VALUE"""),17.662)</f>
        <v>17.661999999999999</v>
      </c>
      <c r="U2370" s="3" t="e">
        <f ca="1"/>
        <v>#NAME?</v>
      </c>
    </row>
    <row r="2371" spans="3:21" ht="12.5" x14ac:dyDescent="0.25">
      <c r="C2371" s="4">
        <f ca="1">IFERROR(__xludf.DUMMYFUNCTION("""COMPUTED_VALUE"""),42776.9986111111)</f>
        <v>42776.998611111099</v>
      </c>
      <c r="D2371" s="2">
        <f ca="1">IFERROR(__xludf.DUMMYFUNCTION("""COMPUTED_VALUE"""),66.846)</f>
        <v>66.846000000000004</v>
      </c>
      <c r="E2371" s="2">
        <f ca="1">IFERROR(__xludf.DUMMYFUNCTION("""COMPUTED_VALUE"""),76.845)</f>
        <v>76.844999999999999</v>
      </c>
      <c r="F2371" s="2">
        <f ca="1">IFERROR(__xludf.DUMMYFUNCTION("""COMPUTED_VALUE"""),83.23)</f>
        <v>83.23</v>
      </c>
      <c r="G2371" s="2">
        <f ca="1">IFERROR(__xludf.DUMMYFUNCTION("""COMPUTED_VALUE"""),0.57371)</f>
        <v>0.57371000000000005</v>
      </c>
      <c r="H2371" s="2">
        <f ca="1">IFERROR(__xludf.DUMMYFUNCTION("""COMPUTED_VALUE"""),51.51)</f>
        <v>51.51</v>
      </c>
      <c r="I2371" s="2">
        <f ca="1">IFERROR(__xludf.DUMMYFUNCTION("""COMPUTED_VALUE"""),52.319)</f>
        <v>52.319000000000003</v>
      </c>
      <c r="J2371" s="2">
        <f ca="1">IFERROR(__xludf.DUMMYFUNCTION("""COMPUTED_VALUE"""),48.145)</f>
        <v>48.145000000000003</v>
      </c>
      <c r="K2371" s="2">
        <f ca="1">IFERROR(__xludf.DUMMYFUNCTION("""COMPUTED_VALUE"""),66.968)</f>
        <v>66.968000000000004</v>
      </c>
      <c r="M2371" s="2">
        <f ca="1">IFERROR(__xludf.DUMMYFUNCTION("""COMPUTED_VALUE"""),17.718)</f>
        <v>17.718</v>
      </c>
      <c r="U2371" s="3" t="e">
        <f ca="1"/>
        <v>#NAME?</v>
      </c>
    </row>
    <row r="2372" spans="3:21" ht="12.5" x14ac:dyDescent="0.25">
      <c r="C2372" s="4">
        <f ca="1">IFERROR(__xludf.DUMMYFUNCTION("""COMPUTED_VALUE"""),42777.9986111111)</f>
        <v>42777.998611111099</v>
      </c>
      <c r="D2372" s="2">
        <f ca="1">IFERROR(__xludf.DUMMYFUNCTION("""COMPUTED_VALUE"""),66.846)</f>
        <v>66.846000000000004</v>
      </c>
      <c r="E2372" s="2">
        <f ca="1">IFERROR(__xludf.DUMMYFUNCTION("""COMPUTED_VALUE"""),76.373)</f>
        <v>76.373000000000005</v>
      </c>
      <c r="F2372" s="2">
        <f ca="1">IFERROR(__xludf.DUMMYFUNCTION("""COMPUTED_VALUE"""),82.822)</f>
        <v>82.822000000000003</v>
      </c>
      <c r="G2372" s="2">
        <f ca="1">IFERROR(__xludf.DUMMYFUNCTION("""COMPUTED_VALUE"""),0.57554)</f>
        <v>0.57554000000000005</v>
      </c>
      <c r="H2372" s="2">
        <f ca="1">IFERROR(__xludf.DUMMYFUNCTION("""COMPUTED_VALUE"""),51.066)</f>
        <v>51.066000000000003</v>
      </c>
      <c r="I2372" s="2">
        <f ca="1">IFERROR(__xludf.DUMMYFUNCTION("""COMPUTED_VALUE"""),52.121)</f>
        <v>52.121000000000002</v>
      </c>
      <c r="J2372" s="2">
        <f ca="1">IFERROR(__xludf.DUMMYFUNCTION("""COMPUTED_VALUE"""),48.07)</f>
        <v>48.07</v>
      </c>
      <c r="K2372" s="2">
        <f ca="1">IFERROR(__xludf.DUMMYFUNCTION("""COMPUTED_VALUE"""),66.669)</f>
        <v>66.668999999999997</v>
      </c>
      <c r="M2372" s="2">
        <f ca="1">IFERROR(__xludf.DUMMYFUNCTION("""COMPUTED_VALUE"""),17.705)</f>
        <v>17.704999999999998</v>
      </c>
      <c r="U2372" s="3" t="e">
        <f ca="1"/>
        <v>#NAME?</v>
      </c>
    </row>
    <row r="2373" spans="3:21" ht="12.5" x14ac:dyDescent="0.25">
      <c r="C2373" s="4">
        <f ca="1">IFERROR(__xludf.DUMMYFUNCTION("""COMPUTED_VALUE"""),42778.9986111111)</f>
        <v>42778.998611111099</v>
      </c>
      <c r="D2373" s="2">
        <f ca="1">IFERROR(__xludf.DUMMYFUNCTION("""COMPUTED_VALUE"""),66.8437)</f>
        <v>66.843699999999998</v>
      </c>
      <c r="E2373" s="2">
        <f ca="1">IFERROR(__xludf.DUMMYFUNCTION("""COMPUTED_VALUE"""),76.218)</f>
        <v>76.218000000000004</v>
      </c>
      <c r="F2373" s="2">
        <f ca="1">IFERROR(__xludf.DUMMYFUNCTION("""COMPUTED_VALUE"""),83.15)</f>
        <v>83.15</v>
      </c>
      <c r="G2373" s="2">
        <f ca="1">IFERROR(__xludf.DUMMYFUNCTION("""COMPUTED_VALUE"""),0.57616)</f>
        <v>0.57616000000000001</v>
      </c>
      <c r="H2373" s="2">
        <f ca="1">IFERROR(__xludf.DUMMYFUNCTION("""COMPUTED_VALUE"""),51.257)</f>
        <v>51.256999999999998</v>
      </c>
      <c r="I2373" s="2">
        <f ca="1">IFERROR(__xludf.DUMMYFUNCTION("""COMPUTED_VALUE"""),52.367)</f>
        <v>52.366999999999997</v>
      </c>
      <c r="J2373" s="2">
        <f ca="1">IFERROR(__xludf.DUMMYFUNCTION("""COMPUTED_VALUE"""),47.905)</f>
        <v>47.905000000000001</v>
      </c>
      <c r="K2373" s="2">
        <f ca="1">IFERROR(__xludf.DUMMYFUNCTION("""COMPUTED_VALUE"""),66.953)</f>
        <v>66.953000000000003</v>
      </c>
      <c r="M2373" s="2">
        <f ca="1">IFERROR(__xludf.DUMMYFUNCTION("""COMPUTED_VALUE"""),17.589)</f>
        <v>17.588999999999999</v>
      </c>
      <c r="U2373" s="3" t="e">
        <f ca="1"/>
        <v>#NAME?</v>
      </c>
    </row>
    <row r="2374" spans="3:21" ht="12.5" x14ac:dyDescent="0.25">
      <c r="C2374" s="4">
        <f ca="1">IFERROR(__xludf.DUMMYFUNCTION("""COMPUTED_VALUE"""),42779.9986111111)</f>
        <v>42779.998611111099</v>
      </c>
      <c r="D2374" s="2">
        <f ca="1">IFERROR(__xludf.DUMMYFUNCTION("""COMPUTED_VALUE"""),66.9154)</f>
        <v>66.915400000000005</v>
      </c>
      <c r="E2374" s="2">
        <f ca="1">IFERROR(__xludf.DUMMYFUNCTION("""COMPUTED_VALUE"""),75.4861)</f>
        <v>75.486099999999993</v>
      </c>
      <c r="F2374" s="2">
        <f ca="1">IFERROR(__xludf.DUMMYFUNCTION("""COMPUTED_VALUE"""),82.989)</f>
        <v>82.989000000000004</v>
      </c>
      <c r="G2374" s="2">
        <f ca="1">IFERROR(__xludf.DUMMYFUNCTION("""COMPUTED_VALUE"""),0.57803)</f>
        <v>0.57803000000000004</v>
      </c>
      <c r="H2374" s="2">
        <f ca="1">IFERROR(__xludf.DUMMYFUNCTION("""COMPUTED_VALUE"""),51.058)</f>
        <v>51.058</v>
      </c>
      <c r="I2374" s="2">
        <f ca="1">IFERROR(__xludf.DUMMYFUNCTION("""COMPUTED_VALUE"""),52.044)</f>
        <v>52.043999999999997</v>
      </c>
      <c r="J2374" s="2">
        <f ca="1">IFERROR(__xludf.DUMMYFUNCTION("""COMPUTED_VALUE"""),48.033)</f>
        <v>48.033000000000001</v>
      </c>
      <c r="K2374" s="2">
        <f ca="1">IFERROR(__xludf.DUMMYFUNCTION("""COMPUTED_VALUE"""),66.734)</f>
        <v>66.733999999999995</v>
      </c>
      <c r="M2374" s="2">
        <f ca="1">IFERROR(__xludf.DUMMYFUNCTION("""COMPUTED_VALUE"""),17.51)</f>
        <v>17.510000000000002</v>
      </c>
      <c r="U2374" s="3" t="e">
        <f ca="1"/>
        <v>#NAME?</v>
      </c>
    </row>
    <row r="2375" spans="3:21" ht="12.5" x14ac:dyDescent="0.25">
      <c r="C2375" s="4">
        <f ca="1">IFERROR(__xludf.DUMMYFUNCTION("""COMPUTED_VALUE"""),42780.9986111111)</f>
        <v>42780.998611111099</v>
      </c>
      <c r="D2375" s="2">
        <f ca="1">IFERROR(__xludf.DUMMYFUNCTION("""COMPUTED_VALUE"""),66.7759)</f>
        <v>66.775899999999993</v>
      </c>
      <c r="E2375" s="2">
        <f ca="1">IFERROR(__xludf.DUMMYFUNCTION("""COMPUTED_VALUE"""),76.67)</f>
        <v>76.67</v>
      </c>
      <c r="F2375" s="2">
        <f ca="1">IFERROR(__xludf.DUMMYFUNCTION("""COMPUTED_VALUE"""),81.989)</f>
        <v>81.989000000000004</v>
      </c>
      <c r="G2375" s="2">
        <f ca="1">IFERROR(__xludf.DUMMYFUNCTION("""COMPUTED_VALUE"""),0.5771)</f>
        <v>0.57709999999999995</v>
      </c>
      <c r="H2375" s="2">
        <f ca="1">IFERROR(__xludf.DUMMYFUNCTION("""COMPUTED_VALUE"""),50.703)</f>
        <v>50.703000000000003</v>
      </c>
      <c r="I2375" s="2">
        <f ca="1">IFERROR(__xludf.DUMMYFUNCTION("""COMPUTED_VALUE"""),51.775)</f>
        <v>51.774999999999999</v>
      </c>
      <c r="J2375" s="2">
        <f ca="1">IFERROR(__xludf.DUMMYFUNCTION("""COMPUTED_VALUE"""),47.706)</f>
        <v>47.706000000000003</v>
      </c>
      <c r="K2375" s="2">
        <f ca="1">IFERROR(__xludf.DUMMYFUNCTION("""COMPUTED_VALUE"""),66.585)</f>
        <v>66.584999999999994</v>
      </c>
      <c r="M2375" s="2">
        <f ca="1">IFERROR(__xludf.DUMMYFUNCTION("""COMPUTED_VALUE"""),17.506)</f>
        <v>17.506</v>
      </c>
      <c r="U2375" s="3" t="e">
        <f ca="1"/>
        <v>#NAME?</v>
      </c>
    </row>
    <row r="2376" spans="3:21" ht="12.5" x14ac:dyDescent="0.25">
      <c r="C2376" s="4">
        <f ca="1">IFERROR(__xludf.DUMMYFUNCTION("""COMPUTED_VALUE"""),42781.9986111111)</f>
        <v>42781.998611111099</v>
      </c>
      <c r="D2376" s="2">
        <f ca="1">IFERROR(__xludf.DUMMYFUNCTION("""COMPUTED_VALUE"""),66.8655)</f>
        <v>66.865499999999997</v>
      </c>
      <c r="E2376" s="2">
        <f ca="1">IFERROR(__xludf.DUMMYFUNCTION("""COMPUTED_VALUE"""),76.657)</f>
        <v>76.656999999999996</v>
      </c>
      <c r="F2376" s="2">
        <f ca="1">IFERROR(__xludf.DUMMYFUNCTION("""COMPUTED_VALUE"""),81.933)</f>
        <v>81.933000000000007</v>
      </c>
      <c r="G2376" s="2">
        <f ca="1">IFERROR(__xludf.DUMMYFUNCTION("""COMPUTED_VALUE"""),0.57931)</f>
        <v>0.57930999999999999</v>
      </c>
      <c r="H2376" s="2">
        <f ca="1">IFERROR(__xludf.DUMMYFUNCTION("""COMPUTED_VALUE"""),50.768)</f>
        <v>50.768000000000001</v>
      </c>
      <c r="I2376" s="2">
        <f ca="1">IFERROR(__xludf.DUMMYFUNCTION("""COMPUTED_VALUE"""),52.128)</f>
        <v>52.128</v>
      </c>
      <c r="J2376" s="2">
        <f ca="1">IFERROR(__xludf.DUMMYFUNCTION("""COMPUTED_VALUE"""),47.706)</f>
        <v>47.706000000000003</v>
      </c>
      <c r="K2376" s="2">
        <f ca="1">IFERROR(__xludf.DUMMYFUNCTION("""COMPUTED_VALUE"""),66.8)</f>
        <v>66.8</v>
      </c>
      <c r="M2376" s="2">
        <f ca="1">IFERROR(__xludf.DUMMYFUNCTION("""COMPUTED_VALUE"""),17.497)</f>
        <v>17.497</v>
      </c>
      <c r="U2376" s="3" t="e">
        <f ca="1"/>
        <v>#NAME?</v>
      </c>
    </row>
    <row r="2377" spans="3:21" ht="12.5" x14ac:dyDescent="0.25">
      <c r="C2377" s="4">
        <f ca="1">IFERROR(__xludf.DUMMYFUNCTION("""COMPUTED_VALUE"""),42782.9986111111)</f>
        <v>42782.998611111099</v>
      </c>
      <c r="D2377" s="2">
        <f ca="1">IFERROR(__xludf.DUMMYFUNCTION("""COMPUTED_VALUE"""),67.1648)</f>
        <v>67.1648</v>
      </c>
      <c r="E2377" s="2">
        <f ca="1">IFERROR(__xludf.DUMMYFUNCTION("""COMPUTED_VALUE"""),77.021)</f>
        <v>77.021000000000001</v>
      </c>
      <c r="F2377" s="2">
        <f ca="1">IFERROR(__xludf.DUMMYFUNCTION("""COMPUTED_VALUE"""),84.149)</f>
        <v>84.149000000000001</v>
      </c>
      <c r="G2377" s="2">
        <f ca="1">IFERROR(__xludf.DUMMYFUNCTION("""COMPUTED_VALUE"""),0.57225)</f>
        <v>0.57225000000000004</v>
      </c>
      <c r="H2377" s="2">
        <f ca="1">IFERROR(__xludf.DUMMYFUNCTION("""COMPUTED_VALUE"""),49.984)</f>
        <v>49.984000000000002</v>
      </c>
      <c r="I2377" s="2">
        <f ca="1">IFERROR(__xludf.DUMMYFUNCTION("""COMPUTED_VALUE"""),51.323)</f>
        <v>51.323</v>
      </c>
      <c r="J2377" s="2">
        <f ca="1">IFERROR(__xludf.DUMMYFUNCTION("""COMPUTED_VALUE"""),47.838)</f>
        <v>47.838000000000001</v>
      </c>
      <c r="K2377" s="2">
        <f ca="1">IFERROR(__xludf.DUMMYFUNCTION("""COMPUTED_VALUE"""),66.737)</f>
        <v>66.736999999999995</v>
      </c>
      <c r="M2377" s="2">
        <f ca="1">IFERROR(__xludf.DUMMYFUNCTION("""COMPUTED_VALUE"""),17.576)</f>
        <v>17.576000000000001</v>
      </c>
      <c r="U2377" s="3" t="e">
        <f ca="1"/>
        <v>#NAME?</v>
      </c>
    </row>
    <row r="2378" spans="3:21" ht="12.5" x14ac:dyDescent="0.25">
      <c r="C2378" s="4">
        <f ca="1">IFERROR(__xludf.DUMMYFUNCTION("""COMPUTED_VALUE"""),42783.9986111111)</f>
        <v>42783.998611111099</v>
      </c>
      <c r="D2378" s="2">
        <f ca="1">IFERROR(__xludf.DUMMYFUNCTION("""COMPUTED_VALUE"""),67.073)</f>
        <v>67.072999999999993</v>
      </c>
      <c r="E2378" s="2">
        <f ca="1">IFERROR(__xludf.DUMMYFUNCTION("""COMPUTED_VALUE"""),77.232)</f>
        <v>77.231999999999999</v>
      </c>
      <c r="F2378" s="2">
        <f ca="1">IFERROR(__xludf.DUMMYFUNCTION("""COMPUTED_VALUE"""),83.616)</f>
        <v>83.616</v>
      </c>
      <c r="G2378" s="2">
        <f ca="1">IFERROR(__xludf.DUMMYFUNCTION("""COMPUTED_VALUE"""),0.5778)</f>
        <v>0.57779999999999998</v>
      </c>
      <c r="H2378" s="2">
        <f ca="1">IFERROR(__xludf.DUMMYFUNCTION("""COMPUTED_VALUE"""),50.658)</f>
        <v>50.658000000000001</v>
      </c>
      <c r="I2378" s="2">
        <f ca="1">IFERROR(__xludf.DUMMYFUNCTION("""COMPUTED_VALUE"""),52.012)</f>
        <v>52.012</v>
      </c>
      <c r="J2378" s="2">
        <f ca="1">IFERROR(__xludf.DUMMYFUNCTION("""COMPUTED_VALUE"""),47.088)</f>
        <v>47.088000000000001</v>
      </c>
      <c r="K2378" s="2">
        <f ca="1">IFERROR(__xludf.DUMMYFUNCTION("""COMPUTED_VALUE"""),67.257)</f>
        <v>67.257000000000005</v>
      </c>
      <c r="M2378" s="2">
        <f ca="1">IFERROR(__xludf.DUMMYFUNCTION("""COMPUTED_VALUE"""),17.601)</f>
        <v>17.600999999999999</v>
      </c>
      <c r="U2378" s="3" t="e">
        <f ca="1"/>
        <v>#NAME?</v>
      </c>
    </row>
    <row r="2379" spans="3:21" ht="12.5" x14ac:dyDescent="0.25">
      <c r="C2379" s="4">
        <f ca="1">IFERROR(__xludf.DUMMYFUNCTION("""COMPUTED_VALUE"""),42784.9986111111)</f>
        <v>42784.998611111099</v>
      </c>
      <c r="D2379" s="2">
        <f ca="1">IFERROR(__xludf.DUMMYFUNCTION("""COMPUTED_VALUE"""),67.073)</f>
        <v>67.072999999999993</v>
      </c>
      <c r="E2379" s="2">
        <f ca="1">IFERROR(__xludf.DUMMYFUNCTION("""COMPUTED_VALUE"""),76.893)</f>
        <v>76.893000000000001</v>
      </c>
      <c r="F2379" s="2">
        <f ca="1">IFERROR(__xludf.DUMMYFUNCTION("""COMPUTED_VALUE"""),84.021)</f>
        <v>84.021000000000001</v>
      </c>
      <c r="G2379" s="2">
        <f ca="1">IFERROR(__xludf.DUMMYFUNCTION("""COMPUTED_VALUE"""),0.57693)</f>
        <v>0.57693000000000005</v>
      </c>
      <c r="H2379" s="2">
        <f ca="1">IFERROR(__xludf.DUMMYFUNCTION("""COMPUTED_VALUE"""),50.756)</f>
        <v>50.756</v>
      </c>
      <c r="I2379" s="2">
        <f ca="1">IFERROR(__xludf.DUMMYFUNCTION("""COMPUTED_VALUE"""),52.104)</f>
        <v>52.103999999999999</v>
      </c>
      <c r="J2379" s="2">
        <f ca="1">IFERROR(__xludf.DUMMYFUNCTION("""COMPUTED_VALUE"""),47.895)</f>
        <v>47.895000000000003</v>
      </c>
      <c r="K2379" s="2">
        <f ca="1">IFERROR(__xludf.DUMMYFUNCTION("""COMPUTED_VALUE"""),67.236)</f>
        <v>67.236000000000004</v>
      </c>
      <c r="M2379" s="2">
        <f ca="1">IFERROR(__xludf.DUMMYFUNCTION("""COMPUTED_VALUE"""),17.565)</f>
        <v>17.565000000000001</v>
      </c>
      <c r="U2379" s="3" t="e">
        <f ca="1"/>
        <v>#NAME?</v>
      </c>
    </row>
    <row r="2380" spans="3:21" ht="12.5" x14ac:dyDescent="0.25">
      <c r="C2380" s="4">
        <f ca="1">IFERROR(__xludf.DUMMYFUNCTION("""COMPUTED_VALUE"""),42785.9986111111)</f>
        <v>42785.998611111099</v>
      </c>
      <c r="D2380" s="2">
        <f ca="1">IFERROR(__xludf.DUMMYFUNCTION("""COMPUTED_VALUE"""),67.0652)</f>
        <v>67.065200000000004</v>
      </c>
      <c r="E2380" s="2">
        <f ca="1">IFERROR(__xludf.DUMMYFUNCTION("""COMPUTED_VALUE"""),75.7613)</f>
        <v>75.761300000000006</v>
      </c>
      <c r="F2380" s="2">
        <f ca="1">IFERROR(__xludf.DUMMYFUNCTION("""COMPUTED_VALUE"""),84.165)</f>
        <v>84.165000000000006</v>
      </c>
      <c r="G2380" s="2">
        <f ca="1">IFERROR(__xludf.DUMMYFUNCTION("""COMPUTED_VALUE"""),0.58223)</f>
        <v>0.58223000000000003</v>
      </c>
      <c r="H2380" s="2">
        <f ca="1">IFERROR(__xludf.DUMMYFUNCTION("""COMPUTED_VALUE"""),50.793)</f>
        <v>50.792999999999999</v>
      </c>
      <c r="I2380" s="2">
        <f ca="1">IFERROR(__xludf.DUMMYFUNCTION("""COMPUTED_VALUE"""),52.281)</f>
        <v>52.280999999999999</v>
      </c>
      <c r="J2380" s="2">
        <f ca="1">IFERROR(__xludf.DUMMYFUNCTION("""COMPUTED_VALUE"""),48.084)</f>
        <v>48.084000000000003</v>
      </c>
      <c r="K2380" s="2">
        <f ca="1">IFERROR(__xludf.DUMMYFUNCTION("""COMPUTED_VALUE"""),67.581)</f>
        <v>67.581000000000003</v>
      </c>
      <c r="M2380" s="2">
        <f ca="1">IFERROR(__xludf.DUMMYFUNCTION("""COMPUTED_VALUE"""),17.561)</f>
        <v>17.561</v>
      </c>
      <c r="U2380" s="3" t="e">
        <f ca="1"/>
        <v>#NAME?</v>
      </c>
    </row>
    <row r="2381" spans="3:21" ht="12.5" x14ac:dyDescent="0.25">
      <c r="C2381" s="4">
        <f ca="1">IFERROR(__xludf.DUMMYFUNCTION("""COMPUTED_VALUE"""),42786.9986111111)</f>
        <v>42786.998611111099</v>
      </c>
      <c r="D2381" s="2">
        <f ca="1">IFERROR(__xludf.DUMMYFUNCTION("""COMPUTED_VALUE"""),66.965)</f>
        <v>66.965000000000003</v>
      </c>
      <c r="E2381" s="2">
        <f ca="1">IFERROR(__xludf.DUMMYFUNCTION("""COMPUTED_VALUE"""),76.227)</f>
        <v>76.227000000000004</v>
      </c>
      <c r="F2381" s="2">
        <f ca="1">IFERROR(__xludf.DUMMYFUNCTION("""COMPUTED_VALUE"""),84.172)</f>
        <v>84.171999999999997</v>
      </c>
      <c r="G2381" s="2">
        <f ca="1">IFERROR(__xludf.DUMMYFUNCTION("""COMPUTED_VALUE"""),0.5799)</f>
        <v>0.57989999999999997</v>
      </c>
      <c r="H2381" s="2">
        <f ca="1">IFERROR(__xludf.DUMMYFUNCTION("""COMPUTED_VALUE"""),50.867)</f>
        <v>50.866999999999997</v>
      </c>
      <c r="I2381" s="2">
        <f ca="1">IFERROR(__xludf.DUMMYFUNCTION("""COMPUTED_VALUE"""),52.089)</f>
        <v>52.088999999999999</v>
      </c>
      <c r="J2381" s="2">
        <f ca="1">IFERROR(__xludf.DUMMYFUNCTION("""COMPUTED_VALUE"""),48.093)</f>
        <v>48.093000000000004</v>
      </c>
      <c r="K2381" s="2">
        <f ca="1">IFERROR(__xludf.DUMMYFUNCTION("""COMPUTED_VALUE"""),68.008)</f>
        <v>68.007999999999996</v>
      </c>
      <c r="M2381" s="2">
        <f ca="1">IFERROR(__xludf.DUMMYFUNCTION("""COMPUTED_VALUE"""),17.541)</f>
        <v>17.541</v>
      </c>
      <c r="U2381" s="3" t="e">
        <f ca="1"/>
        <v>#NAME?</v>
      </c>
    </row>
    <row r="2382" spans="3:21" ht="12.5" x14ac:dyDescent="0.25">
      <c r="C2382" s="4">
        <f ca="1">IFERROR(__xludf.DUMMYFUNCTION("""COMPUTED_VALUE"""),42787.9986111111)</f>
        <v>42787.998611111099</v>
      </c>
      <c r="D2382" s="2">
        <f ca="1">IFERROR(__xludf.DUMMYFUNCTION("""COMPUTED_VALUE"""),66.9651)</f>
        <v>66.965100000000007</v>
      </c>
      <c r="E2382" s="2">
        <f ca="1">IFERROR(__xludf.DUMMYFUNCTION("""COMPUTED_VALUE"""),76.467)</f>
        <v>76.466999999999999</v>
      </c>
      <c r="F2382" s="2">
        <f ca="1">IFERROR(__xludf.DUMMYFUNCTION("""COMPUTED_VALUE"""),84.264)</f>
        <v>84.263999999999996</v>
      </c>
      <c r="G2382" s="2">
        <f ca="1">IFERROR(__xludf.DUMMYFUNCTION("""COMPUTED_VALUE"""),0.57862)</f>
        <v>0.57862000000000002</v>
      </c>
      <c r="H2382" s="2">
        <f ca="1">IFERROR(__xludf.DUMMYFUNCTION("""COMPUTED_VALUE"""),50.986)</f>
        <v>50.985999999999997</v>
      </c>
      <c r="I2382" s="2">
        <f ca="1">IFERROR(__xludf.DUMMYFUNCTION("""COMPUTED_VALUE"""),51.837)</f>
        <v>51.837000000000003</v>
      </c>
      <c r="J2382" s="2">
        <f ca="1">IFERROR(__xludf.DUMMYFUNCTION("""COMPUTED_VALUE"""),48.066)</f>
        <v>48.066000000000003</v>
      </c>
      <c r="K2382" s="2">
        <f ca="1">IFERROR(__xludf.DUMMYFUNCTION("""COMPUTED_VALUE"""),67.869)</f>
        <v>67.869</v>
      </c>
      <c r="M2382" s="2">
        <f ca="1">IFERROR(__xludf.DUMMYFUNCTION("""COMPUTED_VALUE"""),17.549)</f>
        <v>17.548999999999999</v>
      </c>
      <c r="U2382" s="3" t="e">
        <f ca="1"/>
        <v>#NAME?</v>
      </c>
    </row>
    <row r="2383" spans="3:21" ht="12.5" x14ac:dyDescent="0.25">
      <c r="C2383" s="4">
        <f ca="1">IFERROR(__xludf.DUMMYFUNCTION("""COMPUTED_VALUE"""),42788.9986111111)</f>
        <v>42788.998611111099</v>
      </c>
      <c r="D2383" s="2">
        <f ca="1">IFERROR(__xludf.DUMMYFUNCTION("""COMPUTED_VALUE"""),66.9143)</f>
        <v>66.914299999999997</v>
      </c>
      <c r="E2383" s="2">
        <f ca="1">IFERROR(__xludf.DUMMYFUNCTION("""COMPUTED_VALUE"""),76.643)</f>
        <v>76.643000000000001</v>
      </c>
      <c r="F2383" s="2">
        <f ca="1">IFERROR(__xludf.DUMMYFUNCTION("""COMPUTED_VALUE"""),85.274)</f>
        <v>85.274000000000001</v>
      </c>
      <c r="G2383" s="2">
        <f ca="1">IFERROR(__xludf.DUMMYFUNCTION("""COMPUTED_VALUE"""),0.57935)</f>
        <v>0.57935000000000003</v>
      </c>
      <c r="H2383" s="2">
        <f ca="1">IFERROR(__xludf.DUMMYFUNCTION("""COMPUTED_VALUE"""),50.697)</f>
        <v>50.697000000000003</v>
      </c>
      <c r="I2383" s="2">
        <f ca="1">IFERROR(__xludf.DUMMYFUNCTION("""COMPUTED_VALUE"""),51.605)</f>
        <v>51.604999999999997</v>
      </c>
      <c r="J2383" s="2">
        <f ca="1">IFERROR(__xludf.DUMMYFUNCTION("""COMPUTED_VALUE"""),47.926)</f>
        <v>47.926000000000002</v>
      </c>
      <c r="K2383" s="2">
        <f ca="1">IFERROR(__xludf.DUMMYFUNCTION("""COMPUTED_VALUE"""),67.506)</f>
        <v>67.506</v>
      </c>
      <c r="M2383" s="2">
        <f ca="1">IFERROR(__xludf.DUMMYFUNCTION("""COMPUTED_VALUE"""),17.541)</f>
        <v>17.541</v>
      </c>
      <c r="U2383" s="3" t="e">
        <f ca="1"/>
        <v>#NAME?</v>
      </c>
    </row>
    <row r="2384" spans="3:21" ht="12.5" x14ac:dyDescent="0.25">
      <c r="C2384" s="4">
        <f ca="1">IFERROR(__xludf.DUMMYFUNCTION("""COMPUTED_VALUE"""),42789.9986111111)</f>
        <v>42789.998611111099</v>
      </c>
      <c r="D2384" s="2">
        <f ca="1">IFERROR(__xludf.DUMMYFUNCTION("""COMPUTED_VALUE"""),66.6828)</f>
        <v>66.6828</v>
      </c>
      <c r="E2384" s="2">
        <f ca="1">IFERROR(__xludf.DUMMYFUNCTION("""COMPUTED_VALUE"""),76.923)</f>
        <v>76.923000000000002</v>
      </c>
      <c r="F2384" s="2">
        <f ca="1">IFERROR(__xludf.DUMMYFUNCTION("""COMPUTED_VALUE"""),85.421)</f>
        <v>85.421000000000006</v>
      </c>
      <c r="G2384" s="2">
        <f ca="1">IFERROR(__xludf.DUMMYFUNCTION("""COMPUTED_VALUE"""),0.57625)</f>
        <v>0.57625000000000004</v>
      </c>
      <c r="H2384" s="2">
        <f ca="1">IFERROR(__xludf.DUMMYFUNCTION("""COMPUTED_VALUE"""),50.986)</f>
        <v>50.985999999999997</v>
      </c>
      <c r="I2384" s="2">
        <f ca="1">IFERROR(__xludf.DUMMYFUNCTION("""COMPUTED_VALUE"""),51.971)</f>
        <v>51.970999999999997</v>
      </c>
      <c r="J2384" s="2">
        <f ca="1">IFERROR(__xludf.DUMMYFUNCTION("""COMPUTED_VALUE"""),47.781)</f>
        <v>47.780999999999999</v>
      </c>
      <c r="K2384" s="2">
        <f ca="1">IFERROR(__xludf.DUMMYFUNCTION("""COMPUTED_VALUE"""),67.568)</f>
        <v>67.567999999999998</v>
      </c>
      <c r="M2384" s="2">
        <f ca="1">IFERROR(__xludf.DUMMYFUNCTION("""COMPUTED_VALUE"""),17.587)</f>
        <v>17.587</v>
      </c>
      <c r="U2384" s="3" t="e">
        <f ca="1"/>
        <v>#NAME?</v>
      </c>
    </row>
    <row r="2385" spans="3:21" ht="12.5" x14ac:dyDescent="0.25">
      <c r="C2385" s="4">
        <f ca="1">IFERROR(__xludf.DUMMYFUNCTION("""COMPUTED_VALUE"""),42790.9986111111)</f>
        <v>42790.998611111099</v>
      </c>
      <c r="D2385" s="2">
        <f ca="1">IFERROR(__xludf.DUMMYFUNCTION("""COMPUTED_VALUE"""),66.71)</f>
        <v>66.709999999999994</v>
      </c>
      <c r="E2385" s="2">
        <f ca="1">IFERROR(__xludf.DUMMYFUNCTION("""COMPUTED_VALUE"""),76.544)</f>
        <v>76.543999999999997</v>
      </c>
      <c r="F2385" s="2">
        <f ca="1">IFERROR(__xludf.DUMMYFUNCTION("""COMPUTED_VALUE"""),85.857)</f>
        <v>85.856999999999999</v>
      </c>
      <c r="G2385" s="2">
        <f ca="1">IFERROR(__xludf.DUMMYFUNCTION("""COMPUTED_VALUE"""),0.57402)</f>
        <v>0.57401999999999997</v>
      </c>
      <c r="H2385" s="2">
        <f ca="1">IFERROR(__xludf.DUMMYFUNCTION("""COMPUTED_VALUE"""),50.962)</f>
        <v>50.962000000000003</v>
      </c>
      <c r="I2385" s="2">
        <f ca="1">IFERROR(__xludf.DUMMYFUNCTION("""COMPUTED_VALUE"""),52.127)</f>
        <v>52.127000000000002</v>
      </c>
      <c r="J2385" s="2">
        <f ca="1">IFERROR(__xludf.DUMMYFUNCTION("""COMPUTED_VALUE"""),47.945)</f>
        <v>47.945</v>
      </c>
      <c r="K2385" s="2">
        <f ca="1">IFERROR(__xludf.DUMMYFUNCTION("""COMPUTED_VALUE"""),66.465)</f>
        <v>66.465000000000003</v>
      </c>
      <c r="M2385" s="2">
        <f ca="1">IFERROR(__xludf.DUMMYFUNCTION("""COMPUTED_VALUE"""),17.598)</f>
        <v>17.597999999999999</v>
      </c>
      <c r="U2385" s="3" t="e">
        <f ca="1"/>
        <v>#NAME?</v>
      </c>
    </row>
    <row r="2386" spans="3:21" ht="12.5" x14ac:dyDescent="0.25">
      <c r="C2386" s="4">
        <f ca="1">IFERROR(__xludf.DUMMYFUNCTION("""COMPUTED_VALUE"""),42791.9986111111)</f>
        <v>42791.998611111099</v>
      </c>
      <c r="D2386" s="2">
        <f ca="1">IFERROR(__xludf.DUMMYFUNCTION("""COMPUTED_VALUE"""),66.635)</f>
        <v>66.635000000000005</v>
      </c>
      <c r="E2386" s="2">
        <f ca="1">IFERROR(__xludf.DUMMYFUNCTION("""COMPUTED_VALUE"""),76.357)</f>
        <v>76.356999999999999</v>
      </c>
      <c r="F2386" s="2">
        <f ca="1">IFERROR(__xludf.DUMMYFUNCTION("""COMPUTED_VALUE"""),85.823)</f>
        <v>85.822999999999993</v>
      </c>
      <c r="G2386" s="2">
        <f ca="1">IFERROR(__xludf.DUMMYFUNCTION("""COMPUTED_VALUE"""),0.57236)</f>
        <v>0.57235999999999998</v>
      </c>
      <c r="H2386" s="2">
        <f ca="1">IFERROR(__xludf.DUMMYFUNCTION("""COMPUTED_VALUE"""),51.132)</f>
        <v>51.131999999999998</v>
      </c>
      <c r="I2386" s="2">
        <f ca="1">IFERROR(__xludf.DUMMYFUNCTION("""COMPUTED_VALUE"""),52.019)</f>
        <v>52.018999999999998</v>
      </c>
      <c r="J2386" s="2">
        <f ca="1">IFERROR(__xludf.DUMMYFUNCTION("""COMPUTED_VALUE"""),47.899)</f>
        <v>47.899000000000001</v>
      </c>
      <c r="K2386" s="2">
        <f ca="1">IFERROR(__xludf.DUMMYFUNCTION("""COMPUTED_VALUE"""),66.125)</f>
        <v>66.125</v>
      </c>
      <c r="M2386" s="2">
        <f ca="1">IFERROR(__xludf.DUMMYFUNCTION("""COMPUTED_VALUE"""),17.608)</f>
        <v>17.608000000000001</v>
      </c>
      <c r="U2386" s="3" t="e">
        <f ca="1"/>
        <v>#NAME?</v>
      </c>
    </row>
    <row r="2387" spans="3:21" ht="12.5" x14ac:dyDescent="0.25">
      <c r="C2387" s="4">
        <f ca="1">IFERROR(__xludf.DUMMYFUNCTION("""COMPUTED_VALUE"""),42792.9986111111)</f>
        <v>42792.998611111099</v>
      </c>
      <c r="D2387" s="2">
        <f ca="1">IFERROR(__xludf.DUMMYFUNCTION("""COMPUTED_VALUE"""),66.635)</f>
        <v>66.635000000000005</v>
      </c>
      <c r="E2387" s="2">
        <f ca="1">IFERROR(__xludf.DUMMYFUNCTION("""COMPUTED_VALUE"""),76.459)</f>
        <v>76.459000000000003</v>
      </c>
      <c r="F2387" s="2">
        <f ca="1">IFERROR(__xludf.DUMMYFUNCTION("""COMPUTED_VALUE"""),85.448)</f>
        <v>85.447999999999993</v>
      </c>
      <c r="G2387" s="2">
        <f ca="1">IFERROR(__xludf.DUMMYFUNCTION("""COMPUTED_VALUE"""),0.57415)</f>
        <v>0.57415000000000005</v>
      </c>
      <c r="H2387" s="2">
        <f ca="1">IFERROR(__xludf.DUMMYFUNCTION("""COMPUTED_VALUE"""),50.792)</f>
        <v>50.792000000000002</v>
      </c>
      <c r="I2387" s="2">
        <f ca="1">IFERROR(__xludf.DUMMYFUNCTION("""COMPUTED_VALUE"""),51.437)</f>
        <v>51.436999999999998</v>
      </c>
      <c r="J2387" s="2">
        <f ca="1">IFERROR(__xludf.DUMMYFUNCTION("""COMPUTED_VALUE"""),47.844)</f>
        <v>47.844000000000001</v>
      </c>
      <c r="K2387" s="2">
        <f ca="1">IFERROR(__xludf.DUMMYFUNCTION("""COMPUTED_VALUE"""),66.303)</f>
        <v>66.302999999999997</v>
      </c>
      <c r="M2387" s="2">
        <f ca="1">IFERROR(__xludf.DUMMYFUNCTION("""COMPUTED_VALUE"""),17.596)</f>
        <v>17.596</v>
      </c>
      <c r="U2387" s="3" t="e">
        <f ca="1"/>
        <v>#NAME?</v>
      </c>
    </row>
    <row r="2388" spans="3:21" ht="12.5" x14ac:dyDescent="0.25">
      <c r="C2388" s="4">
        <f ca="1">IFERROR(__xludf.DUMMYFUNCTION("""COMPUTED_VALUE"""),42793.9986111111)</f>
        <v>42793.998611111099</v>
      </c>
      <c r="D2388" s="2">
        <f ca="1">IFERROR(__xludf.DUMMYFUNCTION("""COMPUTED_VALUE"""),66.6932)</f>
        <v>66.693200000000004</v>
      </c>
      <c r="E2388" s="2">
        <f ca="1">IFERROR(__xludf.DUMMYFUNCTION("""COMPUTED_VALUE"""),76.658)</f>
        <v>76.658000000000001</v>
      </c>
      <c r="F2388" s="2">
        <f ca="1">IFERROR(__xludf.DUMMYFUNCTION("""COMPUTED_VALUE"""),85.448)</f>
        <v>85.447999999999993</v>
      </c>
      <c r="G2388" s="2">
        <f ca="1">IFERROR(__xludf.DUMMYFUNCTION("""COMPUTED_VALUE"""),0.56791)</f>
        <v>0.56791000000000003</v>
      </c>
      <c r="H2388" s="2">
        <f ca="1">IFERROR(__xludf.DUMMYFUNCTION("""COMPUTED_VALUE"""),50.747)</f>
        <v>50.747</v>
      </c>
      <c r="I2388" s="2">
        <f ca="1">IFERROR(__xludf.DUMMYFUNCTION("""COMPUTED_VALUE"""),51.385)</f>
        <v>51.384999999999998</v>
      </c>
      <c r="J2388" s="2">
        <f ca="1">IFERROR(__xludf.DUMMYFUNCTION("""COMPUTED_VALUE"""),47.715)</f>
        <v>47.715000000000003</v>
      </c>
      <c r="K2388" s="2">
        <f ca="1">IFERROR(__xludf.DUMMYFUNCTION("""COMPUTED_VALUE"""),66.319)</f>
        <v>66.319000000000003</v>
      </c>
      <c r="M2388" s="2">
        <f ca="1">IFERROR(__xludf.DUMMYFUNCTION("""COMPUTED_VALUE"""),17.6)</f>
        <v>17.600000000000001</v>
      </c>
      <c r="U2388" s="3" t="e">
        <f ca="1"/>
        <v>#NAME?</v>
      </c>
    </row>
    <row r="2389" spans="3:21" ht="12.5" x14ac:dyDescent="0.25">
      <c r="C2389" s="4">
        <f ca="1">IFERROR(__xludf.DUMMYFUNCTION("""COMPUTED_VALUE"""),42794.9986111111)</f>
        <v>42794.998611111099</v>
      </c>
      <c r="D2389" s="2">
        <f ca="1">IFERROR(__xludf.DUMMYFUNCTION("""COMPUTED_VALUE"""),66.7051)</f>
        <v>66.705100000000002</v>
      </c>
      <c r="E2389" s="2">
        <f ca="1">IFERROR(__xludf.DUMMYFUNCTION("""COMPUTED_VALUE"""),75.378)</f>
        <v>75.378</v>
      </c>
      <c r="F2389" s="2">
        <f ca="1">IFERROR(__xludf.DUMMYFUNCTION("""COMPUTED_VALUE"""),85.244)</f>
        <v>85.244</v>
      </c>
      <c r="G2389" s="2">
        <f ca="1">IFERROR(__xludf.DUMMYFUNCTION("""COMPUTED_VALUE"""),0.57163)</f>
        <v>0.57162999999999997</v>
      </c>
      <c r="H2389" s="2">
        <f ca="1">IFERROR(__xludf.DUMMYFUNCTION("""COMPUTED_VALUE"""),50.553)</f>
        <v>50.552999999999997</v>
      </c>
      <c r="I2389" s="2">
        <f ca="1">IFERROR(__xludf.DUMMYFUNCTION("""COMPUTED_VALUE"""),51.31)</f>
        <v>51.31</v>
      </c>
      <c r="J2389" s="2">
        <f ca="1">IFERROR(__xludf.DUMMYFUNCTION("""COMPUTED_VALUE"""),47.719)</f>
        <v>47.719000000000001</v>
      </c>
      <c r="K2389" s="2">
        <f ca="1">IFERROR(__xludf.DUMMYFUNCTION("""COMPUTED_VALUE"""),65.506)</f>
        <v>65.506</v>
      </c>
      <c r="M2389" s="2">
        <f ca="1">IFERROR(__xludf.DUMMYFUNCTION("""COMPUTED_VALUE"""),17.538)</f>
        <v>17.538</v>
      </c>
      <c r="U2389" s="3" t="e">
        <f ca="1"/>
        <v>#NAME?</v>
      </c>
    </row>
    <row r="2390" spans="3:21" ht="12.5" x14ac:dyDescent="0.25">
      <c r="C2390" s="4">
        <f ca="1">IFERROR(__xludf.DUMMYFUNCTION("""COMPUTED_VALUE"""),42795.9986111111)</f>
        <v>42795.998611111099</v>
      </c>
      <c r="D2390" s="2">
        <f ca="1">IFERROR(__xludf.DUMMYFUNCTION("""COMPUTED_VALUE"""),66.858)</f>
        <v>66.858000000000004</v>
      </c>
      <c r="E2390" s="2">
        <f ca="1">IFERROR(__xludf.DUMMYFUNCTION("""COMPUTED_VALUE"""),75.425)</f>
        <v>75.424999999999997</v>
      </c>
      <c r="F2390" s="2">
        <f ca="1">IFERROR(__xludf.DUMMYFUNCTION("""COMPUTED_VALUE"""),84.749)</f>
        <v>84.748999999999995</v>
      </c>
      <c r="G2390" s="2">
        <f ca="1">IFERROR(__xludf.DUMMYFUNCTION("""COMPUTED_VALUE"""),0.57154)</f>
        <v>0.57154000000000005</v>
      </c>
      <c r="H2390" s="2">
        <f ca="1">IFERROR(__xludf.DUMMYFUNCTION("""COMPUTED_VALUE"""),49.996)</f>
        <v>49.996000000000002</v>
      </c>
      <c r="I2390" s="2">
        <f ca="1">IFERROR(__xludf.DUMMYFUNCTION("""COMPUTED_VALUE"""),50.684)</f>
        <v>50.683999999999997</v>
      </c>
      <c r="J2390" s="2">
        <f ca="1">IFERROR(__xludf.DUMMYFUNCTION("""COMPUTED_VALUE"""),47.702)</f>
        <v>47.701999999999998</v>
      </c>
      <c r="K2390" s="2">
        <f ca="1">IFERROR(__xludf.DUMMYFUNCTION("""COMPUTED_VALUE"""),65.75)</f>
        <v>65.75</v>
      </c>
      <c r="M2390" s="2">
        <f ca="1">IFERROR(__xludf.DUMMYFUNCTION("""COMPUTED_VALUE"""),17.526)</f>
        <v>17.526</v>
      </c>
      <c r="U2390" s="3" t="e">
        <f ca="1"/>
        <v>#NAME?</v>
      </c>
    </row>
    <row r="2391" spans="3:21" ht="12.5" x14ac:dyDescent="0.25">
      <c r="C2391" s="4">
        <f ca="1">IFERROR(__xludf.DUMMYFUNCTION("""COMPUTED_VALUE"""),42796.9986111111)</f>
        <v>42796.998611111099</v>
      </c>
      <c r="D2391" s="2">
        <f ca="1">IFERROR(__xludf.DUMMYFUNCTION("""COMPUTED_VALUE"""),66.8451)</f>
        <v>66.845100000000002</v>
      </c>
      <c r="E2391" s="2">
        <f ca="1">IFERROR(__xludf.DUMMYFUNCTION("""COMPUTED_VALUE"""),75.492)</f>
        <v>75.492000000000004</v>
      </c>
      <c r="F2391" s="2">
        <f ca="1">IFERROR(__xludf.DUMMYFUNCTION("""COMPUTED_VALUE"""),84.993)</f>
        <v>84.992999999999995</v>
      </c>
      <c r="G2391" s="2">
        <f ca="1">IFERROR(__xludf.DUMMYFUNCTION("""COMPUTED_VALUE"""),0.574)</f>
        <v>0.57399999999999995</v>
      </c>
      <c r="H2391" s="2">
        <f ca="1">IFERROR(__xludf.DUMMYFUNCTION("""COMPUTED_VALUE"""),49.612)</f>
        <v>49.612000000000002</v>
      </c>
      <c r="I2391" s="2">
        <f ca="1">IFERROR(__xludf.DUMMYFUNCTION("""COMPUTED_VALUE"""),50.4)</f>
        <v>50.4</v>
      </c>
      <c r="J2391" s="2">
        <f ca="1">IFERROR(__xludf.DUMMYFUNCTION("""COMPUTED_VALUE"""),47.712)</f>
        <v>47.712000000000003</v>
      </c>
      <c r="K2391" s="2">
        <f ca="1">IFERROR(__xludf.DUMMYFUNCTION("""COMPUTED_VALUE"""),65.37)</f>
        <v>65.37</v>
      </c>
      <c r="M2391" s="2">
        <f ca="1">IFERROR(__xludf.DUMMYFUNCTION("""COMPUTED_VALUE"""),17.436)</f>
        <v>17.436</v>
      </c>
      <c r="U2391" s="3" t="e">
        <f ca="1"/>
        <v>#NAME?</v>
      </c>
    </row>
    <row r="2392" spans="3:21" ht="12.5" x14ac:dyDescent="0.25">
      <c r="C2392" s="4">
        <f ca="1">IFERROR(__xludf.DUMMYFUNCTION("""COMPUTED_VALUE"""),42797.9986111111)</f>
        <v>42797.998611111099</v>
      </c>
      <c r="D2392" s="2">
        <f ca="1">IFERROR(__xludf.DUMMYFUNCTION("""COMPUTED_VALUE"""),66.66)</f>
        <v>66.66</v>
      </c>
      <c r="E2392" s="2">
        <f ca="1">IFERROR(__xludf.DUMMYFUNCTION("""COMPUTED_VALUE"""),75.364)</f>
        <v>75.364000000000004</v>
      </c>
      <c r="F2392" s="2">
        <f ca="1">IFERROR(__xludf.DUMMYFUNCTION("""COMPUTED_VALUE"""),85.318)</f>
        <v>85.317999999999998</v>
      </c>
      <c r="G2392" s="2">
        <f ca="1">IFERROR(__xludf.DUMMYFUNCTION("""COMPUTED_VALUE"""),0.57)</f>
        <v>0.56999999999999995</v>
      </c>
      <c r="H2392" s="2">
        <f ca="1">IFERROR(__xludf.DUMMYFUNCTION("""COMPUTED_VALUE"""),49.894)</f>
        <v>49.893999999999998</v>
      </c>
      <c r="I2392" s="2">
        <f ca="1">IFERROR(__xludf.DUMMYFUNCTION("""COMPUTED_VALUE"""),50.73)</f>
        <v>50.73</v>
      </c>
      <c r="J2392" s="2">
        <f ca="1">IFERROR(__xludf.DUMMYFUNCTION("""COMPUTED_VALUE"""),47.345)</f>
        <v>47.344999999999999</v>
      </c>
      <c r="K2392" s="2">
        <f ca="1">IFERROR(__xludf.DUMMYFUNCTION("""COMPUTED_VALUE"""),65.509)</f>
        <v>65.509</v>
      </c>
      <c r="M2392" s="2">
        <f ca="1">IFERROR(__xludf.DUMMYFUNCTION("""COMPUTED_VALUE"""),17.448)</f>
        <v>17.448</v>
      </c>
      <c r="U2392" s="3" t="e">
        <f ca="1"/>
        <v>#NAME?</v>
      </c>
    </row>
    <row r="2393" spans="3:21" ht="12.5" x14ac:dyDescent="0.25">
      <c r="C2393" s="4">
        <f ca="1">IFERROR(__xludf.DUMMYFUNCTION("""COMPUTED_VALUE"""),42798.9986111111)</f>
        <v>42798.998611111099</v>
      </c>
      <c r="D2393" s="2">
        <f ca="1">IFERROR(__xludf.DUMMYFUNCTION("""COMPUTED_VALUE"""),66.773)</f>
        <v>66.772999999999996</v>
      </c>
      <c r="E2393" s="2">
        <f ca="1">IFERROR(__xludf.DUMMYFUNCTION("""COMPUTED_VALUE"""),74.996)</f>
        <v>74.995999999999995</v>
      </c>
      <c r="F2393" s="2">
        <f ca="1">IFERROR(__xludf.DUMMYFUNCTION("""COMPUTED_VALUE"""),84.219)</f>
        <v>84.218999999999994</v>
      </c>
      <c r="G2393" s="2">
        <f ca="1">IFERROR(__xludf.DUMMYFUNCTION("""COMPUTED_VALUE"""),0.56718)</f>
        <v>0.56718000000000002</v>
      </c>
      <c r="H2393" s="2">
        <f ca="1">IFERROR(__xludf.DUMMYFUNCTION("""COMPUTED_VALUE"""),49.872)</f>
        <v>49.872</v>
      </c>
      <c r="I2393" s="2">
        <f ca="1">IFERROR(__xludf.DUMMYFUNCTION("""COMPUTED_VALUE"""),50.514)</f>
        <v>50.514000000000003</v>
      </c>
      <c r="J2393" s="2">
        <f ca="1">IFERROR(__xludf.DUMMYFUNCTION("""COMPUTED_VALUE"""),47.603)</f>
        <v>47.603000000000002</v>
      </c>
      <c r="K2393" s="2">
        <f ca="1">IFERROR(__xludf.DUMMYFUNCTION("""COMPUTED_VALUE"""),65.382)</f>
        <v>65.382000000000005</v>
      </c>
      <c r="M2393" s="2">
        <f ca="1">IFERROR(__xludf.DUMMYFUNCTION("""COMPUTED_VALUE"""),17.486)</f>
        <v>17.486000000000001</v>
      </c>
      <c r="U2393" s="3" t="e">
        <f ca="1"/>
        <v>#NAME?</v>
      </c>
    </row>
    <row r="2394" spans="3:21" ht="12.5" x14ac:dyDescent="0.25">
      <c r="C2394" s="4">
        <f ca="1">IFERROR(__xludf.DUMMYFUNCTION("""COMPUTED_VALUE"""),42799.9986111111)</f>
        <v>42799.998611111099</v>
      </c>
      <c r="D2394" s="2">
        <f ca="1">IFERROR(__xludf.DUMMYFUNCTION("""COMPUTED_VALUE"""),66.773)</f>
        <v>66.772999999999996</v>
      </c>
      <c r="E2394" s="2">
        <f ca="1">IFERROR(__xludf.DUMMYFUNCTION("""COMPUTED_VALUE"""),75.205)</f>
        <v>75.204999999999998</v>
      </c>
      <c r="F2394" s="2">
        <f ca="1">IFERROR(__xludf.DUMMYFUNCTION("""COMPUTED_VALUE"""),83.863)</f>
        <v>83.863</v>
      </c>
      <c r="G2394" s="2">
        <f ca="1">IFERROR(__xludf.DUMMYFUNCTION("""COMPUTED_VALUE"""),0.56718)</f>
        <v>0.56718000000000002</v>
      </c>
      <c r="H2394" s="2">
        <f ca="1">IFERROR(__xludf.DUMMYFUNCTION("""COMPUTED_VALUE"""),49.536)</f>
        <v>49.536000000000001</v>
      </c>
      <c r="I2394" s="2">
        <f ca="1">IFERROR(__xludf.DUMMYFUNCTION("""COMPUTED_VALUE"""),50.176)</f>
        <v>50.176000000000002</v>
      </c>
      <c r="J2394" s="2">
        <f ca="1">IFERROR(__xludf.DUMMYFUNCTION("""COMPUTED_VALUE"""),47.63)</f>
        <v>47.63</v>
      </c>
      <c r="K2394" s="2">
        <f ca="1">IFERROR(__xludf.DUMMYFUNCTION("""COMPUTED_VALUE"""),66.207)</f>
        <v>66.206999999999994</v>
      </c>
      <c r="M2394" s="2">
        <f ca="1">IFERROR(__xludf.DUMMYFUNCTION("""COMPUTED_VALUE"""),17.498)</f>
        <v>17.498000000000001</v>
      </c>
      <c r="U2394" s="3" t="e">
        <f ca="1"/>
        <v>#NAME?</v>
      </c>
    </row>
    <row r="2395" spans="3:21" ht="12.5" x14ac:dyDescent="0.25">
      <c r="C2395" s="4">
        <f ca="1">IFERROR(__xludf.DUMMYFUNCTION("""COMPUTED_VALUE"""),42800.9986111111)</f>
        <v>42800.998611111099</v>
      </c>
      <c r="D2395" s="2">
        <f ca="1">IFERROR(__xludf.DUMMYFUNCTION("""COMPUTED_VALUE"""),66.6647)</f>
        <v>66.664699999999996</v>
      </c>
      <c r="E2395" s="2">
        <f ca="1">IFERROR(__xludf.DUMMYFUNCTION("""COMPUTED_VALUE"""),74.868)</f>
        <v>74.867999999999995</v>
      </c>
      <c r="F2395" s="2">
        <f ca="1">IFERROR(__xludf.DUMMYFUNCTION("""COMPUTED_VALUE"""),83.887)</f>
        <v>83.887</v>
      </c>
      <c r="G2395" s="2">
        <f ca="1">IFERROR(__xludf.DUMMYFUNCTION("""COMPUTED_VALUE"""),0.56619)</f>
        <v>0.56618999999999997</v>
      </c>
      <c r="H2395" s="2">
        <f ca="1">IFERROR(__xludf.DUMMYFUNCTION("""COMPUTED_VALUE"""),49.508)</f>
        <v>49.508000000000003</v>
      </c>
      <c r="I2395" s="2">
        <f ca="1">IFERROR(__xludf.DUMMYFUNCTION("""COMPUTED_VALUE"""),50.098)</f>
        <v>50.097999999999999</v>
      </c>
      <c r="J2395" s="2">
        <f ca="1">IFERROR(__xludf.DUMMYFUNCTION("""COMPUTED_VALUE"""),47.471)</f>
        <v>47.470999999999997</v>
      </c>
      <c r="K2395" s="2">
        <f ca="1">IFERROR(__xludf.DUMMYFUNCTION("""COMPUTED_VALUE"""),66.563)</f>
        <v>66.563000000000002</v>
      </c>
      <c r="M2395" s="2">
        <f ca="1">IFERROR(__xludf.DUMMYFUNCTION("""COMPUTED_VALUE"""),17.496)</f>
        <v>17.495999999999999</v>
      </c>
      <c r="U2395" s="3" t="e">
        <f ca="1"/>
        <v>#NAME?</v>
      </c>
    </row>
    <row r="2396" spans="3:21" ht="12.5" x14ac:dyDescent="0.25">
      <c r="C2396" s="4">
        <f ca="1">IFERROR(__xludf.DUMMYFUNCTION("""COMPUTED_VALUE"""),42801.9986111111)</f>
        <v>42801.998611111099</v>
      </c>
      <c r="D2396" s="2">
        <f ca="1">IFERROR(__xludf.DUMMYFUNCTION("""COMPUTED_VALUE"""),66.6162)</f>
        <v>66.616200000000006</v>
      </c>
      <c r="E2396" s="2">
        <f ca="1">IFERROR(__xludf.DUMMYFUNCTION("""COMPUTED_VALUE"""),74.966)</f>
        <v>74.965999999999994</v>
      </c>
      <c r="F2396" s="2">
        <f ca="1">IFERROR(__xludf.DUMMYFUNCTION("""COMPUTED_VALUE"""),83.859)</f>
        <v>83.858999999999995</v>
      </c>
      <c r="G2396" s="2">
        <f ca="1">IFERROR(__xludf.DUMMYFUNCTION("""COMPUTED_VALUE"""),0.56656)</f>
        <v>0.56655999999999995</v>
      </c>
      <c r="H2396" s="2">
        <f ca="1">IFERROR(__xludf.DUMMYFUNCTION("""COMPUTED_VALUE"""),49.752)</f>
        <v>49.752000000000002</v>
      </c>
      <c r="I2396" s="2">
        <f ca="1">IFERROR(__xludf.DUMMYFUNCTION("""COMPUTED_VALUE"""),50.358)</f>
        <v>50.357999999999997</v>
      </c>
      <c r="J2396" s="2">
        <f ca="1">IFERROR(__xludf.DUMMYFUNCTION("""COMPUTED_VALUE"""),47.399)</f>
        <v>47.399000000000001</v>
      </c>
      <c r="K2396" s="2">
        <f ca="1">IFERROR(__xludf.DUMMYFUNCTION("""COMPUTED_VALUE"""),66.604)</f>
        <v>66.603999999999999</v>
      </c>
      <c r="M2396" s="2">
        <f ca="1">IFERROR(__xludf.DUMMYFUNCTION("""COMPUTED_VALUE"""),17.482)</f>
        <v>17.481999999999999</v>
      </c>
      <c r="U2396" s="3" t="e">
        <f ca="1"/>
        <v>#NAME?</v>
      </c>
    </row>
    <row r="2397" spans="3:21" ht="12.5" x14ac:dyDescent="0.25">
      <c r="C2397" s="4">
        <f ca="1">IFERROR(__xludf.DUMMYFUNCTION("""COMPUTED_VALUE"""),42802.9986111111)</f>
        <v>42802.998611111099</v>
      </c>
      <c r="D2397" s="2">
        <f ca="1">IFERROR(__xludf.DUMMYFUNCTION("""COMPUTED_VALUE"""),66.765)</f>
        <v>66.765000000000001</v>
      </c>
      <c r="E2397" s="2">
        <f ca="1">IFERROR(__xludf.DUMMYFUNCTION("""COMPUTED_VALUE"""),75.396)</f>
        <v>75.396000000000001</v>
      </c>
      <c r="F2397" s="2">
        <f ca="1">IFERROR(__xludf.DUMMYFUNCTION("""COMPUTED_VALUE"""),83.795)</f>
        <v>83.795000000000002</v>
      </c>
      <c r="G2397" s="2">
        <f ca="1">IFERROR(__xludf.DUMMYFUNCTION("""COMPUTED_VALUE"""),0.57092)</f>
        <v>0.57091999999999998</v>
      </c>
      <c r="H2397" s="2">
        <f ca="1">IFERROR(__xludf.DUMMYFUNCTION("""COMPUTED_VALUE"""),49.343)</f>
        <v>49.343000000000004</v>
      </c>
      <c r="I2397" s="2">
        <f ca="1">IFERROR(__xludf.DUMMYFUNCTION("""COMPUTED_VALUE"""),50.532)</f>
        <v>50.531999999999996</v>
      </c>
      <c r="J2397" s="2">
        <f ca="1">IFERROR(__xludf.DUMMYFUNCTION("""COMPUTED_VALUE"""),47.464)</f>
        <v>47.463999999999999</v>
      </c>
      <c r="K2397" s="2">
        <f ca="1">IFERROR(__xludf.DUMMYFUNCTION("""COMPUTED_VALUE"""),65.83)</f>
        <v>65.83</v>
      </c>
      <c r="M2397" s="2">
        <f ca="1">IFERROR(__xludf.DUMMYFUNCTION("""COMPUTED_VALUE"""),17.448)</f>
        <v>17.448</v>
      </c>
      <c r="U2397" s="3" t="e">
        <f ca="1"/>
        <v>#NAME?</v>
      </c>
    </row>
    <row r="2398" spans="3:21" ht="12.5" x14ac:dyDescent="0.25">
      <c r="C2398" s="4">
        <f ca="1">IFERROR(__xludf.DUMMYFUNCTION("""COMPUTED_VALUE"""),42803.9986111111)</f>
        <v>42803.998611111099</v>
      </c>
      <c r="D2398" s="2">
        <f ca="1">IFERROR(__xludf.DUMMYFUNCTION("""COMPUTED_VALUE"""),66.6805)</f>
        <v>66.680499999999995</v>
      </c>
      <c r="E2398" s="2">
        <f ca="1">IFERROR(__xludf.DUMMYFUNCTION("""COMPUTED_VALUE"""),75.188)</f>
        <v>75.188000000000002</v>
      </c>
      <c r="F2398" s="2">
        <f ca="1">IFERROR(__xludf.DUMMYFUNCTION("""COMPUTED_VALUE"""),84.155)</f>
        <v>84.155000000000001</v>
      </c>
      <c r="G2398" s="2">
        <f ca="1">IFERROR(__xludf.DUMMYFUNCTION("""COMPUTED_VALUE"""),0.57195)</f>
        <v>0.57194999999999996</v>
      </c>
      <c r="H2398" s="2">
        <f ca="1">IFERROR(__xludf.DUMMYFUNCTION("""COMPUTED_VALUE"""),49.626)</f>
        <v>49.625999999999998</v>
      </c>
      <c r="I2398" s="2">
        <f ca="1">IFERROR(__xludf.DUMMYFUNCTION("""COMPUTED_VALUE"""),50.775)</f>
        <v>50.774999999999999</v>
      </c>
      <c r="J2398" s="2">
        <f ca="1">IFERROR(__xludf.DUMMYFUNCTION("""COMPUTED_VALUE"""),47.251)</f>
        <v>47.250999999999998</v>
      </c>
      <c r="K2398" s="2">
        <f ca="1">IFERROR(__xludf.DUMMYFUNCTION("""COMPUTED_VALUE"""),65.858)</f>
        <v>65.858000000000004</v>
      </c>
      <c r="M2398" s="2">
        <f ca="1">IFERROR(__xludf.DUMMYFUNCTION("""COMPUTED_VALUE"""),17.49)</f>
        <v>17.489999999999998</v>
      </c>
      <c r="U2398" s="3" t="e">
        <f ca="1"/>
        <v>#NAME?</v>
      </c>
    </row>
    <row r="2399" spans="3:21" ht="12.5" x14ac:dyDescent="0.25">
      <c r="C2399" s="4">
        <f ca="1">IFERROR(__xludf.DUMMYFUNCTION("""COMPUTED_VALUE"""),42804.9986111111)</f>
        <v>42804.998611111099</v>
      </c>
      <c r="D2399" s="2">
        <f ca="1">IFERROR(__xludf.DUMMYFUNCTION("""COMPUTED_VALUE"""),66.548)</f>
        <v>66.548000000000002</v>
      </c>
      <c r="E2399" s="2">
        <f ca="1">IFERROR(__xludf.DUMMYFUNCTION("""COMPUTED_VALUE"""),75.593)</f>
        <v>75.593000000000004</v>
      </c>
      <c r="F2399" s="2">
        <f ca="1">IFERROR(__xludf.DUMMYFUNCTION("""COMPUTED_VALUE"""),83.884)</f>
        <v>83.884</v>
      </c>
      <c r="G2399" s="2">
        <f ca="1">IFERROR(__xludf.DUMMYFUNCTION("""COMPUTED_VALUE"""),0.56856)</f>
        <v>0.56855999999999995</v>
      </c>
      <c r="H2399" s="2">
        <f ca="1">IFERROR(__xludf.DUMMYFUNCTION("""COMPUTED_VALUE"""),49.743)</f>
        <v>49.743000000000002</v>
      </c>
      <c r="I2399" s="2">
        <f ca="1">IFERROR(__xludf.DUMMYFUNCTION("""COMPUTED_VALUE"""),50.922)</f>
        <v>50.921999999999997</v>
      </c>
      <c r="J2399" s="2">
        <f ca="1">IFERROR(__xludf.DUMMYFUNCTION("""COMPUTED_VALUE"""),47.396)</f>
        <v>47.396000000000001</v>
      </c>
      <c r="K2399" s="2">
        <f ca="1">IFERROR(__xludf.DUMMYFUNCTION("""COMPUTED_VALUE"""),66.404)</f>
        <v>66.403999999999996</v>
      </c>
      <c r="M2399" s="2">
        <f ca="1">IFERROR(__xludf.DUMMYFUNCTION("""COMPUTED_VALUE"""),17.479)</f>
        <v>17.478999999999999</v>
      </c>
      <c r="U2399" s="3" t="e">
        <f ca="1"/>
        <v>#NAME?</v>
      </c>
    </row>
    <row r="2400" spans="3:21" ht="12.5" x14ac:dyDescent="0.25">
      <c r="C2400" s="4">
        <f ca="1">IFERROR(__xludf.DUMMYFUNCTION("""COMPUTED_VALUE"""),42806.9986111111)</f>
        <v>42806.998611111099</v>
      </c>
      <c r="D2400" s="2">
        <f ca="1">IFERROR(__xludf.DUMMYFUNCTION("""COMPUTED_VALUE"""),66.485)</f>
        <v>66.484999999999999</v>
      </c>
      <c r="E2400" s="2">
        <f ca="1">IFERROR(__xludf.DUMMYFUNCTION("""COMPUTED_VALUE"""),75.964)</f>
        <v>75.963999999999999</v>
      </c>
      <c r="F2400" s="2">
        <f ca="1">IFERROR(__xludf.DUMMYFUNCTION("""COMPUTED_VALUE"""),83.4)</f>
        <v>83.4</v>
      </c>
      <c r="G2400" s="2">
        <f ca="1">IFERROR(__xludf.DUMMYFUNCTION("""COMPUTED_VALUE"""),0.56987)</f>
        <v>0.56986999999999999</v>
      </c>
      <c r="H2400" s="2">
        <f ca="1">IFERROR(__xludf.DUMMYFUNCTION("""COMPUTED_VALUE"""),49.797)</f>
        <v>49.796999999999997</v>
      </c>
      <c r="I2400" s="2">
        <f ca="1">IFERROR(__xludf.DUMMYFUNCTION("""COMPUTED_VALUE"""),50.951)</f>
        <v>50.951000000000001</v>
      </c>
      <c r="J2400" s="2">
        <f ca="1">IFERROR(__xludf.DUMMYFUNCTION("""COMPUTED_VALUE"""),47.682)</f>
        <v>47.682000000000002</v>
      </c>
      <c r="K2400" s="2">
        <f ca="1">IFERROR(__xludf.DUMMYFUNCTION("""COMPUTED_VALUE"""),66.607)</f>
        <v>66.606999999999999</v>
      </c>
      <c r="M2400" s="2">
        <f ca="1">IFERROR(__xludf.DUMMYFUNCTION("""COMPUTED_VALUE"""),17.507)</f>
        <v>17.507000000000001</v>
      </c>
      <c r="U2400" s="3" t="e">
        <f ca="1"/>
        <v>#NAME?</v>
      </c>
    </row>
    <row r="2401" spans="3:21" ht="12.5" x14ac:dyDescent="0.25">
      <c r="C2401" s="4">
        <f ca="1">IFERROR(__xludf.DUMMYFUNCTION("""COMPUTED_VALUE"""),42807.9986111111)</f>
        <v>42807.998611111099</v>
      </c>
      <c r="D2401" s="2">
        <f ca="1">IFERROR(__xludf.DUMMYFUNCTION("""COMPUTED_VALUE"""),66.1701)</f>
        <v>66.170100000000005</v>
      </c>
      <c r="E2401" s="2">
        <f ca="1">IFERROR(__xludf.DUMMYFUNCTION("""COMPUTED_VALUE"""),74.841)</f>
        <v>74.840999999999994</v>
      </c>
      <c r="F2401" s="2">
        <f ca="1">IFERROR(__xludf.DUMMYFUNCTION("""COMPUTED_VALUE"""),83.477)</f>
        <v>83.477000000000004</v>
      </c>
      <c r="G2401" s="2">
        <f ca="1">IFERROR(__xludf.DUMMYFUNCTION("""COMPUTED_VALUE"""),0.56653)</f>
        <v>0.56652999999999998</v>
      </c>
      <c r="H2401" s="2">
        <f ca="1">IFERROR(__xludf.DUMMYFUNCTION("""COMPUTED_VALUE"""),49.86)</f>
        <v>49.86</v>
      </c>
      <c r="I2401" s="2">
        <f ca="1">IFERROR(__xludf.DUMMYFUNCTION("""COMPUTED_VALUE"""),51.189)</f>
        <v>51.189</v>
      </c>
      <c r="J2401" s="2">
        <f ca="1">IFERROR(__xludf.DUMMYFUNCTION("""COMPUTED_VALUE"""),47.617)</f>
        <v>47.616999999999997</v>
      </c>
      <c r="K2401" s="2">
        <f ca="1">IFERROR(__xludf.DUMMYFUNCTION("""COMPUTED_VALUE"""),66.357)</f>
        <v>66.356999999999999</v>
      </c>
      <c r="M2401" s="2">
        <f ca="1">IFERROR(__xludf.DUMMYFUNCTION("""COMPUTED_VALUE"""),17.509)</f>
        <v>17.509</v>
      </c>
      <c r="U2401" s="3" t="e">
        <f ca="1"/>
        <v>#NAME?</v>
      </c>
    </row>
    <row r="2402" spans="3:21" ht="12.5" x14ac:dyDescent="0.25">
      <c r="C2402" s="4">
        <f ca="1">IFERROR(__xludf.DUMMYFUNCTION("""COMPUTED_VALUE"""),42808.9986111111)</f>
        <v>42808.998611111099</v>
      </c>
      <c r="D2402" s="2">
        <f ca="1">IFERROR(__xludf.DUMMYFUNCTION("""COMPUTED_VALUE"""),65.7751)</f>
        <v>65.775099999999995</v>
      </c>
      <c r="E2402" s="2">
        <f ca="1">IFERROR(__xludf.DUMMYFUNCTION("""COMPUTED_VALUE"""),75.902)</f>
        <v>75.902000000000001</v>
      </c>
      <c r="F2402" s="2">
        <f ca="1">IFERROR(__xludf.DUMMYFUNCTION("""COMPUTED_VALUE"""),83.501)</f>
        <v>83.501000000000005</v>
      </c>
      <c r="G2402" s="2">
        <f ca="1">IFERROR(__xludf.DUMMYFUNCTION("""COMPUTED_VALUE"""),0.56556)</f>
        <v>0.56555999999999995</v>
      </c>
      <c r="H2402" s="2">
        <f ca="1">IFERROR(__xludf.DUMMYFUNCTION("""COMPUTED_VALUE"""),49.894)</f>
        <v>49.893999999999998</v>
      </c>
      <c r="I2402" s="2">
        <f ca="1">IFERROR(__xludf.DUMMYFUNCTION("""COMPUTED_VALUE"""),51.334)</f>
        <v>51.334000000000003</v>
      </c>
      <c r="J2402" s="2">
        <f ca="1">IFERROR(__xludf.DUMMYFUNCTION("""COMPUTED_VALUE"""),47.763)</f>
        <v>47.762999999999998</v>
      </c>
      <c r="K2402" s="2">
        <f ca="1">IFERROR(__xludf.DUMMYFUNCTION("""COMPUTED_VALUE"""),66.549)</f>
        <v>66.549000000000007</v>
      </c>
      <c r="M2402" s="2">
        <f ca="1">IFERROR(__xludf.DUMMYFUNCTION("""COMPUTED_VALUE"""),17.537)</f>
        <v>17.536999999999999</v>
      </c>
      <c r="U2402" s="3" t="e">
        <f ca="1"/>
        <v>#NAME?</v>
      </c>
    </row>
    <row r="2403" spans="3:21" ht="12.5" x14ac:dyDescent="0.25">
      <c r="C2403" s="4">
        <f ca="1">IFERROR(__xludf.DUMMYFUNCTION("""COMPUTED_VALUE"""),42809.9986111111)</f>
        <v>42809.998611111099</v>
      </c>
      <c r="D2403" s="2">
        <f ca="1">IFERROR(__xludf.DUMMYFUNCTION("""COMPUTED_VALUE"""),65.6205)</f>
        <v>65.620500000000007</v>
      </c>
      <c r="E2403" s="2">
        <f ca="1">IFERROR(__xludf.DUMMYFUNCTION("""COMPUTED_VALUE"""),76.259)</f>
        <v>76.259</v>
      </c>
      <c r="F2403" s="2">
        <f ca="1">IFERROR(__xludf.DUMMYFUNCTION("""COMPUTED_VALUE"""),83.471)</f>
        <v>83.471000000000004</v>
      </c>
      <c r="G2403" s="2">
        <f ca="1">IFERROR(__xludf.DUMMYFUNCTION("""COMPUTED_VALUE"""),0.56438)</f>
        <v>0.56437999999999999</v>
      </c>
      <c r="H2403" s="2">
        <f ca="1">IFERROR(__xludf.DUMMYFUNCTION("""COMPUTED_VALUE"""),49.158)</f>
        <v>49.158000000000001</v>
      </c>
      <c r="I2403" s="2">
        <f ca="1">IFERROR(__xludf.DUMMYFUNCTION("""COMPUTED_VALUE"""),50.575)</f>
        <v>50.575000000000003</v>
      </c>
      <c r="J2403" s="2">
        <f ca="1">IFERROR(__xludf.DUMMYFUNCTION("""COMPUTED_VALUE"""),47.859)</f>
        <v>47.859000000000002</v>
      </c>
      <c r="K2403" s="2">
        <f ca="1">IFERROR(__xludf.DUMMYFUNCTION("""COMPUTED_VALUE"""),66.075)</f>
        <v>66.075000000000003</v>
      </c>
      <c r="M2403" s="2">
        <f ca="1">IFERROR(__xludf.DUMMYFUNCTION("""COMPUTED_VALUE"""),17.604)</f>
        <v>17.603999999999999</v>
      </c>
      <c r="U2403" s="3" t="e">
        <f ca="1"/>
        <v>#NAME?</v>
      </c>
    </row>
    <row r="2404" spans="3:21" ht="12.5" x14ac:dyDescent="0.25">
      <c r="C2404" s="4">
        <f ca="1">IFERROR(__xludf.DUMMYFUNCTION("""COMPUTED_VALUE"""),42810.9986111111)</f>
        <v>42810.998611111099</v>
      </c>
      <c r="D2404" s="2">
        <f ca="1">IFERROR(__xludf.DUMMYFUNCTION("""COMPUTED_VALUE"""),65.4045)</f>
        <v>65.404499999999999</v>
      </c>
      <c r="E2404" s="2">
        <f ca="1">IFERROR(__xludf.DUMMYFUNCTION("""COMPUTED_VALUE"""),77.055)</f>
        <v>77.055000000000007</v>
      </c>
      <c r="F2404" s="2">
        <f ca="1">IFERROR(__xludf.DUMMYFUNCTION("""COMPUTED_VALUE"""),83.788)</f>
        <v>83.787999999999997</v>
      </c>
      <c r="G2404" s="2">
        <f ca="1">IFERROR(__xludf.DUMMYFUNCTION("""COMPUTED_VALUE"""),0.56433)</f>
        <v>0.56433</v>
      </c>
      <c r="H2404" s="2">
        <f ca="1">IFERROR(__xludf.DUMMYFUNCTION("""COMPUTED_VALUE"""),49.83)</f>
        <v>49.83</v>
      </c>
      <c r="I2404" s="2">
        <f ca="1">IFERROR(__xludf.DUMMYFUNCTION("""COMPUTED_VALUE"""),51.32)</f>
        <v>51.32</v>
      </c>
      <c r="J2404" s="2">
        <f ca="1">IFERROR(__xludf.DUMMYFUNCTION("""COMPUTED_VALUE"""),47.163)</f>
        <v>47.162999999999997</v>
      </c>
      <c r="K2404" s="2">
        <f ca="1">IFERROR(__xludf.DUMMYFUNCTION("""COMPUTED_VALUE"""),66.295)</f>
        <v>66.295000000000002</v>
      </c>
      <c r="M2404" s="2">
        <f ca="1">IFERROR(__xludf.DUMMYFUNCTION("""COMPUTED_VALUE"""),17.579)</f>
        <v>17.579000000000001</v>
      </c>
      <c r="U2404" s="3" t="e">
        <f ca="1"/>
        <v>#NAME?</v>
      </c>
    </row>
    <row r="2405" spans="3:21" ht="12.5" x14ac:dyDescent="0.25">
      <c r="C2405" s="4">
        <f ca="1">IFERROR(__xludf.DUMMYFUNCTION("""COMPUTED_VALUE"""),42811.9986111111)</f>
        <v>42811.998611111099</v>
      </c>
      <c r="D2405" s="2">
        <f ca="1">IFERROR(__xludf.DUMMYFUNCTION("""COMPUTED_VALUE"""),65.468)</f>
        <v>65.468000000000004</v>
      </c>
      <c r="E2405" s="2">
        <f ca="1">IFERROR(__xludf.DUMMYFUNCTION("""COMPUTED_VALUE"""),76.824)</f>
        <v>76.823999999999998</v>
      </c>
      <c r="F2405" s="2">
        <f ca="1">IFERROR(__xludf.DUMMYFUNCTION("""COMPUTED_VALUE"""),83.264)</f>
        <v>83.263999999999996</v>
      </c>
      <c r="G2405" s="2">
        <f ca="1">IFERROR(__xludf.DUMMYFUNCTION("""COMPUTED_VALUE"""),0.56394)</f>
        <v>0.56394</v>
      </c>
      <c r="H2405" s="2">
        <f ca="1">IFERROR(__xludf.DUMMYFUNCTION("""COMPUTED_VALUE"""),49.782)</f>
        <v>49.781999999999996</v>
      </c>
      <c r="I2405" s="2">
        <f ca="1">IFERROR(__xludf.DUMMYFUNCTION("""COMPUTED_VALUE"""),51.328)</f>
        <v>51.328000000000003</v>
      </c>
      <c r="J2405" s="2">
        <f ca="1">IFERROR(__xludf.DUMMYFUNCTION("""COMPUTED_VALUE"""),47.844)</f>
        <v>47.844000000000001</v>
      </c>
      <c r="K2405" s="2">
        <f ca="1">IFERROR(__xludf.DUMMYFUNCTION("""COMPUTED_VALUE"""),66.283)</f>
        <v>66.283000000000001</v>
      </c>
      <c r="M2405" s="2">
        <f ca="1">IFERROR(__xludf.DUMMYFUNCTION("""COMPUTED_VALUE"""),17.529)</f>
        <v>17.529</v>
      </c>
      <c r="U2405" s="3" t="e">
        <f ca="1"/>
        <v>#NAME?</v>
      </c>
    </row>
    <row r="2406" spans="3:21" ht="12.5" x14ac:dyDescent="0.25">
      <c r="C2406" s="4">
        <f ca="1">IFERROR(__xludf.DUMMYFUNCTION("""COMPUTED_VALUE"""),42812.9986111111)</f>
        <v>42812.998611111099</v>
      </c>
      <c r="D2406" s="2">
        <f ca="1">IFERROR(__xludf.DUMMYFUNCTION("""COMPUTED_VALUE"""),65.4681)</f>
        <v>65.468100000000007</v>
      </c>
      <c r="E2406" s="2">
        <f ca="1">IFERROR(__xludf.DUMMYFUNCTION("""COMPUTED_VALUE"""),76.818)</f>
        <v>76.817999999999998</v>
      </c>
      <c r="F2406" s="2">
        <f ca="1">IFERROR(__xludf.DUMMYFUNCTION("""COMPUTED_VALUE"""),83.353)</f>
        <v>83.352999999999994</v>
      </c>
      <c r="G2406" s="2">
        <f ca="1">IFERROR(__xludf.DUMMYFUNCTION("""COMPUTED_VALUE"""),0.56517)</f>
        <v>0.56516999999999995</v>
      </c>
      <c r="H2406" s="2">
        <f ca="1">IFERROR(__xludf.DUMMYFUNCTION("""COMPUTED_VALUE"""),49.855)</f>
        <v>49.854999999999997</v>
      </c>
      <c r="I2406" s="2">
        <f ca="1">IFERROR(__xludf.DUMMYFUNCTION("""COMPUTED_VALUE"""),51.295)</f>
        <v>51.295000000000002</v>
      </c>
      <c r="J2406" s="2">
        <f ca="1">IFERROR(__xludf.DUMMYFUNCTION("""COMPUTED_VALUE"""),47.996)</f>
        <v>47.996000000000002</v>
      </c>
      <c r="K2406" s="2">
        <f ca="1">IFERROR(__xludf.DUMMYFUNCTION("""COMPUTED_VALUE"""),66.857)</f>
        <v>66.856999999999999</v>
      </c>
      <c r="M2406" s="2">
        <f ca="1">IFERROR(__xludf.DUMMYFUNCTION("""COMPUTED_VALUE"""),17.468)</f>
        <v>17.468</v>
      </c>
      <c r="U2406" s="3" t="e">
        <f ca="1"/>
        <v>#NAME?</v>
      </c>
    </row>
    <row r="2407" spans="3:21" ht="12.5" x14ac:dyDescent="0.25">
      <c r="C2407" s="4">
        <f ca="1">IFERROR(__xludf.DUMMYFUNCTION("""COMPUTED_VALUE"""),42813.9986111111)</f>
        <v>42813.998611111099</v>
      </c>
      <c r="D2407" s="2">
        <f ca="1">IFERROR(__xludf.DUMMYFUNCTION("""COMPUTED_VALUE"""),65.4681)</f>
        <v>65.468100000000007</v>
      </c>
      <c r="E2407" s="2">
        <f ca="1">IFERROR(__xludf.DUMMYFUNCTION("""COMPUTED_VALUE"""),76.605)</f>
        <v>76.605000000000004</v>
      </c>
      <c r="F2407" s="2">
        <f ca="1">IFERROR(__xludf.DUMMYFUNCTION("""COMPUTED_VALUE"""),83.861)</f>
        <v>83.861000000000004</v>
      </c>
      <c r="G2407" s="2">
        <f ca="1">IFERROR(__xludf.DUMMYFUNCTION("""COMPUTED_VALUE"""),0.56564)</f>
        <v>0.56564000000000003</v>
      </c>
      <c r="H2407" s="2">
        <f ca="1">IFERROR(__xludf.DUMMYFUNCTION("""COMPUTED_VALUE"""),49.494)</f>
        <v>49.494</v>
      </c>
      <c r="I2407" s="2">
        <f ca="1">IFERROR(__xludf.DUMMYFUNCTION("""COMPUTED_VALUE"""),51.057)</f>
        <v>51.057000000000002</v>
      </c>
      <c r="J2407" s="2">
        <f ca="1">IFERROR(__xludf.DUMMYFUNCTION("""COMPUTED_VALUE"""),48.078)</f>
        <v>48.078000000000003</v>
      </c>
      <c r="K2407" s="2">
        <f ca="1">IFERROR(__xludf.DUMMYFUNCTION("""COMPUTED_VALUE"""),67.013)</f>
        <v>67.013000000000005</v>
      </c>
      <c r="M2407" s="2">
        <f ca="1">IFERROR(__xludf.DUMMYFUNCTION("""COMPUTED_VALUE"""),17.471)</f>
        <v>17.471</v>
      </c>
      <c r="U2407" s="3" t="e">
        <f ca="1"/>
        <v>#NAME?</v>
      </c>
    </row>
    <row r="2408" spans="3:21" ht="12.5" x14ac:dyDescent="0.25">
      <c r="C2408" s="4">
        <f ca="1">IFERROR(__xludf.DUMMYFUNCTION("""COMPUTED_VALUE"""),42814.9986111111)</f>
        <v>42814.998611111099</v>
      </c>
      <c r="D2408" s="2">
        <f ca="1">IFERROR(__xludf.DUMMYFUNCTION("""COMPUTED_VALUE"""),65.3353)</f>
        <v>65.335300000000004</v>
      </c>
      <c r="E2408" s="2">
        <f ca="1">IFERROR(__xludf.DUMMYFUNCTION("""COMPUTED_VALUE"""),75.6715)</f>
        <v>75.671499999999995</v>
      </c>
      <c r="F2408" s="2">
        <f ca="1">IFERROR(__xludf.DUMMYFUNCTION("""COMPUTED_VALUE"""),83.238)</f>
        <v>83.238</v>
      </c>
      <c r="G2408" s="2">
        <f ca="1">IFERROR(__xludf.DUMMYFUNCTION("""COMPUTED_VALUE"""),0.56701)</f>
        <v>0.56701000000000001</v>
      </c>
      <c r="H2408" s="2">
        <f ca="1">IFERROR(__xludf.DUMMYFUNCTION("""COMPUTED_VALUE"""),49.486)</f>
        <v>49.485999999999997</v>
      </c>
      <c r="I2408" s="2">
        <f ca="1">IFERROR(__xludf.DUMMYFUNCTION("""COMPUTED_VALUE"""),51.124)</f>
        <v>51.124000000000002</v>
      </c>
      <c r="J2408" s="2">
        <f ca="1">IFERROR(__xludf.DUMMYFUNCTION("""COMPUTED_VALUE"""),48.058)</f>
        <v>48.058</v>
      </c>
      <c r="K2408" s="2">
        <f ca="1">IFERROR(__xludf.DUMMYFUNCTION("""COMPUTED_VALUE"""),66.911)</f>
        <v>66.911000000000001</v>
      </c>
      <c r="M2408" s="2">
        <f ca="1">IFERROR(__xludf.DUMMYFUNCTION("""COMPUTED_VALUE"""),17.434)</f>
        <v>17.434000000000001</v>
      </c>
      <c r="U2408" s="3" t="e">
        <f ca="1"/>
        <v>#NAME?</v>
      </c>
    </row>
    <row r="2409" spans="3:21" ht="12.5" x14ac:dyDescent="0.25">
      <c r="C2409" s="4">
        <f ca="1">IFERROR(__xludf.DUMMYFUNCTION("""COMPUTED_VALUE"""),42815.9986111111)</f>
        <v>42815.998611111099</v>
      </c>
      <c r="D2409" s="2">
        <f ca="1">IFERROR(__xludf.DUMMYFUNCTION("""COMPUTED_VALUE"""),65.495)</f>
        <v>65.495000000000005</v>
      </c>
      <c r="E2409" s="2">
        <f ca="1">IFERROR(__xludf.DUMMYFUNCTION("""COMPUTED_VALUE"""),76.331)</f>
        <v>76.331000000000003</v>
      </c>
      <c r="F2409" s="2">
        <f ca="1">IFERROR(__xludf.DUMMYFUNCTION("""COMPUTED_VALUE"""),83.254)</f>
        <v>83.254000000000005</v>
      </c>
      <c r="G2409" s="2">
        <f ca="1">IFERROR(__xludf.DUMMYFUNCTION("""COMPUTED_VALUE"""),0.56588)</f>
        <v>0.56588000000000005</v>
      </c>
      <c r="H2409" s="2">
        <f ca="1">IFERROR(__xludf.DUMMYFUNCTION("""COMPUTED_VALUE"""),49.14)</f>
        <v>49.14</v>
      </c>
      <c r="I2409" s="2">
        <f ca="1">IFERROR(__xludf.DUMMYFUNCTION("""COMPUTED_VALUE"""),50.867)</f>
        <v>50.866999999999997</v>
      </c>
      <c r="J2409" s="2">
        <f ca="1">IFERROR(__xludf.DUMMYFUNCTION("""COMPUTED_VALUE"""),48.103)</f>
        <v>48.103000000000002</v>
      </c>
      <c r="K2409" s="2">
        <f ca="1">IFERROR(__xludf.DUMMYFUNCTION("""COMPUTED_VALUE"""),66.324)</f>
        <v>66.323999999999998</v>
      </c>
      <c r="M2409" s="2">
        <f ca="1">IFERROR(__xludf.DUMMYFUNCTION("""COMPUTED_VALUE"""),17.424)</f>
        <v>17.423999999999999</v>
      </c>
      <c r="U2409" s="3" t="e">
        <f ca="1"/>
        <v>#NAME?</v>
      </c>
    </row>
    <row r="2410" spans="3:21" ht="12.5" x14ac:dyDescent="0.25">
      <c r="C2410" s="4">
        <f ca="1">IFERROR(__xludf.DUMMYFUNCTION("""COMPUTED_VALUE"""),42816.9986111111)</f>
        <v>42816.998611111099</v>
      </c>
      <c r="D2410" s="2">
        <f ca="1">IFERROR(__xludf.DUMMYFUNCTION("""COMPUTED_VALUE"""),65.365)</f>
        <v>65.364999999999995</v>
      </c>
      <c r="E2410" s="2">
        <f ca="1">IFERROR(__xludf.DUMMYFUNCTION("""COMPUTED_VALUE"""),76.07)</f>
        <v>76.069999999999993</v>
      </c>
      <c r="F2410" s="2">
        <f ca="1">IFERROR(__xludf.DUMMYFUNCTION("""COMPUTED_VALUE"""),83.406)</f>
        <v>83.406000000000006</v>
      </c>
      <c r="G2410" s="2">
        <f ca="1">IFERROR(__xludf.DUMMYFUNCTION("""COMPUTED_VALUE"""),0.56588)</f>
        <v>0.56588000000000005</v>
      </c>
      <c r="H2410" s="2">
        <f ca="1">IFERROR(__xludf.DUMMYFUNCTION("""COMPUTED_VALUE"""),48.542)</f>
        <v>48.542000000000002</v>
      </c>
      <c r="I2410" s="2">
        <f ca="1">IFERROR(__xludf.DUMMYFUNCTION("""COMPUTED_VALUE"""),50.247)</f>
        <v>50.247</v>
      </c>
      <c r="J2410" s="2">
        <f ca="1">IFERROR(__xludf.DUMMYFUNCTION("""COMPUTED_VALUE"""),47.904)</f>
        <v>47.904000000000003</v>
      </c>
      <c r="K2410" s="2">
        <f ca="1">IFERROR(__xludf.DUMMYFUNCTION("""COMPUTED_VALUE"""),66.559)</f>
        <v>66.558999999999997</v>
      </c>
      <c r="M2410" s="2">
        <f ca="1">IFERROR(__xludf.DUMMYFUNCTION("""COMPUTED_VALUE"""),17.495)</f>
        <v>17.495000000000001</v>
      </c>
      <c r="U2410" s="3" t="e">
        <f ca="1"/>
        <v>#NAME?</v>
      </c>
    </row>
    <row r="2411" spans="3:21" ht="12.5" x14ac:dyDescent="0.25">
      <c r="C2411" s="4">
        <f ca="1">IFERROR(__xludf.DUMMYFUNCTION("""COMPUTED_VALUE"""),42817.9986111111)</f>
        <v>42817.998611111099</v>
      </c>
      <c r="D2411" s="2">
        <f ca="1">IFERROR(__xludf.DUMMYFUNCTION("""COMPUTED_VALUE"""),65.4444)</f>
        <v>65.444400000000002</v>
      </c>
      <c r="E2411" s="2">
        <f ca="1">IFERROR(__xludf.DUMMYFUNCTION("""COMPUTED_VALUE"""),76.573)</f>
        <v>76.572999999999993</v>
      </c>
      <c r="F2411" s="2">
        <f ca="1">IFERROR(__xludf.DUMMYFUNCTION("""COMPUTED_VALUE"""),83.529)</f>
        <v>83.528999999999996</v>
      </c>
      <c r="G2411" s="2">
        <f ca="1">IFERROR(__xludf.DUMMYFUNCTION("""COMPUTED_VALUE"""),0.5588)</f>
        <v>0.55879999999999996</v>
      </c>
      <c r="H2411" s="2">
        <f ca="1">IFERROR(__xludf.DUMMYFUNCTION("""COMPUTED_VALUE"""),49.121)</f>
        <v>49.121000000000002</v>
      </c>
      <c r="I2411" s="2">
        <f ca="1">IFERROR(__xludf.DUMMYFUNCTION("""COMPUTED_VALUE"""),50.759)</f>
        <v>50.759</v>
      </c>
      <c r="J2411" s="2">
        <f ca="1">IFERROR(__xludf.DUMMYFUNCTION("""COMPUTED_VALUE"""),47.335)</f>
        <v>47.335000000000001</v>
      </c>
      <c r="K2411" s="2">
        <f ca="1">IFERROR(__xludf.DUMMYFUNCTION("""COMPUTED_VALUE"""),66.282)</f>
        <v>66.281999999999996</v>
      </c>
      <c r="M2411" s="2">
        <f ca="1">IFERROR(__xludf.DUMMYFUNCTION("""COMPUTED_VALUE"""),17.66)</f>
        <v>17.66</v>
      </c>
      <c r="U2411" s="3" t="e">
        <f ca="1"/>
        <v>#NAME?</v>
      </c>
    </row>
    <row r="2412" spans="3:21" ht="12.5" x14ac:dyDescent="0.25">
      <c r="C2412" s="4">
        <f ca="1">IFERROR(__xludf.DUMMYFUNCTION("""COMPUTED_VALUE"""),42818.9986111111)</f>
        <v>42818.998611111099</v>
      </c>
      <c r="D2412" s="2">
        <f ca="1">IFERROR(__xludf.DUMMYFUNCTION("""COMPUTED_VALUE"""),65.418)</f>
        <v>65.418000000000006</v>
      </c>
      <c r="E2412" s="2">
        <f ca="1">IFERROR(__xludf.DUMMYFUNCTION("""COMPUTED_VALUE"""),76.442)</f>
        <v>76.441999999999993</v>
      </c>
      <c r="F2412" s="2">
        <f ca="1">IFERROR(__xludf.DUMMYFUNCTION("""COMPUTED_VALUE"""),83.611)</f>
        <v>83.611000000000004</v>
      </c>
      <c r="G2412" s="2">
        <f ca="1">IFERROR(__xludf.DUMMYFUNCTION("""COMPUTED_VALUE"""),0.56472)</f>
        <v>0.56472</v>
      </c>
      <c r="H2412" s="2">
        <f ca="1">IFERROR(__xludf.DUMMYFUNCTION("""COMPUTED_VALUE"""),49.158)</f>
        <v>49.158000000000001</v>
      </c>
      <c r="I2412" s="2">
        <f ca="1">IFERROR(__xludf.DUMMYFUNCTION("""COMPUTED_VALUE"""),50.736)</f>
        <v>50.735999999999997</v>
      </c>
      <c r="J2412" s="2">
        <f ca="1">IFERROR(__xludf.DUMMYFUNCTION("""COMPUTED_VALUE"""),47.923)</f>
        <v>47.923000000000002</v>
      </c>
      <c r="K2412" s="2">
        <f ca="1">IFERROR(__xludf.DUMMYFUNCTION("""COMPUTED_VALUE"""),66.713)</f>
        <v>66.712999999999994</v>
      </c>
      <c r="M2412" s="2">
        <f ca="1">IFERROR(__xludf.DUMMYFUNCTION("""COMPUTED_VALUE"""),17.573)</f>
        <v>17.573</v>
      </c>
      <c r="U2412" s="3" t="e">
        <f ca="1"/>
        <v>#NAME?</v>
      </c>
    </row>
    <row r="2413" spans="3:21" ht="12.5" x14ac:dyDescent="0.25">
      <c r="C2413" s="4">
        <f ca="1">IFERROR(__xludf.DUMMYFUNCTION("""COMPUTED_VALUE"""),42819.9986111111)</f>
        <v>42819.998611111099</v>
      </c>
      <c r="D2413" s="2">
        <f ca="1">IFERROR(__xludf.DUMMYFUNCTION("""COMPUTED_VALUE"""),65.3931)</f>
        <v>65.393100000000004</v>
      </c>
      <c r="E2413" s="2">
        <f ca="1">IFERROR(__xludf.DUMMYFUNCTION("""COMPUTED_VALUE"""),75.6813)</f>
        <v>75.681299999999993</v>
      </c>
      <c r="F2413" s="2">
        <f ca="1">IFERROR(__xludf.DUMMYFUNCTION("""COMPUTED_VALUE"""),83.352)</f>
        <v>83.352000000000004</v>
      </c>
      <c r="G2413" s="2">
        <f ca="1">IFERROR(__xludf.DUMMYFUNCTION("""COMPUTED_VALUE"""),0.56339)</f>
        <v>0.56338999999999995</v>
      </c>
      <c r="H2413" s="2">
        <f ca="1">IFERROR(__xludf.DUMMYFUNCTION("""COMPUTED_VALUE"""),49.342)</f>
        <v>49.341999999999999</v>
      </c>
      <c r="I2413" s="2">
        <f ca="1">IFERROR(__xludf.DUMMYFUNCTION("""COMPUTED_VALUE"""),51.011)</f>
        <v>51.011000000000003</v>
      </c>
      <c r="J2413" s="2">
        <f ca="1">IFERROR(__xludf.DUMMYFUNCTION("""COMPUTED_VALUE"""),47.874)</f>
        <v>47.874000000000002</v>
      </c>
      <c r="K2413" s="2">
        <f ca="1">IFERROR(__xludf.DUMMYFUNCTION("""COMPUTED_VALUE"""),67.152)</f>
        <v>67.152000000000001</v>
      </c>
      <c r="M2413" s="2">
        <f ca="1">IFERROR(__xludf.DUMMYFUNCTION("""COMPUTED_VALUE"""),17.573)</f>
        <v>17.573</v>
      </c>
      <c r="U2413" s="3" t="e">
        <f ca="1"/>
        <v>#NAME?</v>
      </c>
    </row>
    <row r="2414" spans="3:21" ht="12.5" x14ac:dyDescent="0.25">
      <c r="C2414" s="4">
        <f ca="1">IFERROR(__xludf.DUMMYFUNCTION("""COMPUTED_VALUE"""),42820.9986111111)</f>
        <v>42820.998611111099</v>
      </c>
      <c r="D2414" s="2">
        <f ca="1">IFERROR(__xludf.DUMMYFUNCTION("""COMPUTED_VALUE"""),65.3931)</f>
        <v>65.393100000000004</v>
      </c>
      <c r="E2414" s="2">
        <f ca="1">IFERROR(__xludf.DUMMYFUNCTION("""COMPUTED_VALUE"""),76.674)</f>
        <v>76.674000000000007</v>
      </c>
      <c r="F2414" s="2">
        <f ca="1">IFERROR(__xludf.DUMMYFUNCTION("""COMPUTED_VALUE"""),83.726)</f>
        <v>83.725999999999999</v>
      </c>
      <c r="G2414" s="2">
        <f ca="1">IFERROR(__xludf.DUMMYFUNCTION("""COMPUTED_VALUE"""),0.56154)</f>
        <v>0.56154000000000004</v>
      </c>
      <c r="H2414" s="2">
        <f ca="1">IFERROR(__xludf.DUMMYFUNCTION("""COMPUTED_VALUE"""),49.188)</f>
        <v>49.188000000000002</v>
      </c>
      <c r="I2414" s="2">
        <f ca="1">IFERROR(__xludf.DUMMYFUNCTION("""COMPUTED_VALUE"""),50.739)</f>
        <v>50.738999999999997</v>
      </c>
      <c r="J2414" s="2">
        <f ca="1">IFERROR(__xludf.DUMMYFUNCTION("""COMPUTED_VALUE"""),48.094)</f>
        <v>48.094000000000001</v>
      </c>
      <c r="K2414" s="2">
        <f ca="1">IFERROR(__xludf.DUMMYFUNCTION("""COMPUTED_VALUE"""),66.966)</f>
        <v>66.965999999999994</v>
      </c>
      <c r="M2414" s="2">
        <f ca="1">IFERROR(__xludf.DUMMYFUNCTION("""COMPUTED_VALUE"""),17.548)</f>
        <v>17.547999999999998</v>
      </c>
      <c r="U2414" s="3" t="e">
        <f ca="1"/>
        <v>#NAME?</v>
      </c>
    </row>
    <row r="2415" spans="3:21" ht="12.5" x14ac:dyDescent="0.25">
      <c r="C2415" s="4">
        <f ca="1">IFERROR(__xludf.DUMMYFUNCTION("""COMPUTED_VALUE"""),42821.9986111111)</f>
        <v>42821.998611111099</v>
      </c>
      <c r="D2415" s="2">
        <f ca="1">IFERROR(__xludf.DUMMYFUNCTION("""COMPUTED_VALUE"""),65.045)</f>
        <v>65.045000000000002</v>
      </c>
      <c r="E2415" s="2">
        <f ca="1">IFERROR(__xludf.DUMMYFUNCTION("""COMPUTED_VALUE"""),76.233)</f>
        <v>76.233000000000004</v>
      </c>
      <c r="F2415" s="2">
        <f ca="1">IFERROR(__xludf.DUMMYFUNCTION("""COMPUTED_VALUE"""),83.128)</f>
        <v>83.128</v>
      </c>
      <c r="G2415" s="2">
        <f ca="1">IFERROR(__xludf.DUMMYFUNCTION("""COMPUTED_VALUE"""),0.55953)</f>
        <v>0.55952999999999997</v>
      </c>
      <c r="H2415" s="2">
        <f ca="1">IFERROR(__xludf.DUMMYFUNCTION("""COMPUTED_VALUE"""),49.216)</f>
        <v>49.216000000000001</v>
      </c>
      <c r="I2415" s="2">
        <f ca="1">IFERROR(__xludf.DUMMYFUNCTION("""COMPUTED_VALUE"""),50.789)</f>
        <v>50.789000000000001</v>
      </c>
      <c r="J2415" s="2">
        <f ca="1">IFERROR(__xludf.DUMMYFUNCTION("""COMPUTED_VALUE"""),47.944)</f>
        <v>47.944000000000003</v>
      </c>
      <c r="K2415" s="2">
        <f ca="1">IFERROR(__xludf.DUMMYFUNCTION("""COMPUTED_VALUE"""),67.338)</f>
        <v>67.337999999999994</v>
      </c>
      <c r="M2415" s="2">
        <f ca="1">IFERROR(__xludf.DUMMYFUNCTION("""COMPUTED_VALUE"""),17.559)</f>
        <v>17.559000000000001</v>
      </c>
      <c r="U2415" s="3" t="e">
        <f ca="1"/>
        <v>#NAME?</v>
      </c>
    </row>
    <row r="2416" spans="3:21" ht="12.5" x14ac:dyDescent="0.25">
      <c r="C2416" s="4">
        <f ca="1">IFERROR(__xludf.DUMMYFUNCTION("""COMPUTED_VALUE"""),42822.9986111111)</f>
        <v>42822.998611111099</v>
      </c>
      <c r="D2416" s="2">
        <f ca="1">IFERROR(__xludf.DUMMYFUNCTION("""COMPUTED_VALUE"""),65.11)</f>
        <v>65.11</v>
      </c>
      <c r="E2416" s="2">
        <f ca="1">IFERROR(__xludf.DUMMYFUNCTION("""COMPUTED_VALUE"""),76.196)</f>
        <v>76.195999999999998</v>
      </c>
      <c r="F2416" s="2">
        <f ca="1">IFERROR(__xludf.DUMMYFUNCTION("""COMPUTED_VALUE"""),83.08)</f>
        <v>83.08</v>
      </c>
      <c r="G2416" s="2">
        <f ca="1">IFERROR(__xludf.DUMMYFUNCTION("""COMPUTED_VALUE"""),0.56042)</f>
        <v>0.56042000000000003</v>
      </c>
      <c r="H2416" s="2">
        <f ca="1">IFERROR(__xludf.DUMMYFUNCTION("""COMPUTED_VALUE"""),48.988)</f>
        <v>48.988</v>
      </c>
      <c r="I2416" s="2">
        <f ca="1">IFERROR(__xludf.DUMMYFUNCTION("""COMPUTED_VALUE"""),50.481)</f>
        <v>50.481000000000002</v>
      </c>
      <c r="J2416" s="2">
        <f ca="1">IFERROR(__xludf.DUMMYFUNCTION("""COMPUTED_VALUE"""),48.038)</f>
        <v>48.037999999999997</v>
      </c>
      <c r="K2416" s="2">
        <f ca="1">IFERROR(__xludf.DUMMYFUNCTION("""COMPUTED_VALUE"""),67.489)</f>
        <v>67.489000000000004</v>
      </c>
      <c r="M2416" s="2">
        <f ca="1">IFERROR(__xludf.DUMMYFUNCTION("""COMPUTED_VALUE"""),17.663)</f>
        <v>17.663</v>
      </c>
      <c r="U2416" s="3" t="e">
        <f ca="1"/>
        <v>#NAME?</v>
      </c>
    </row>
    <row r="2417" spans="3:21" ht="12.5" x14ac:dyDescent="0.25">
      <c r="C2417" s="4">
        <f ca="1">IFERROR(__xludf.DUMMYFUNCTION("""COMPUTED_VALUE"""),42823.9986111111)</f>
        <v>42823.998611111099</v>
      </c>
      <c r="D2417" s="2">
        <f ca="1">IFERROR(__xludf.DUMMYFUNCTION("""COMPUTED_VALUE"""),64.78)</f>
        <v>64.78</v>
      </c>
      <c r="E2417" s="2">
        <f ca="1">IFERROR(__xludf.DUMMYFUNCTION("""COMPUTED_VALUE"""),76.653)</f>
        <v>76.653000000000006</v>
      </c>
      <c r="F2417" s="2">
        <f ca="1">IFERROR(__xludf.DUMMYFUNCTION("""COMPUTED_VALUE"""),83.08)</f>
        <v>83.08</v>
      </c>
      <c r="G2417" s="2">
        <f ca="1">IFERROR(__xludf.DUMMYFUNCTION("""COMPUTED_VALUE"""),0.56411)</f>
        <v>0.56411</v>
      </c>
      <c r="H2417" s="2">
        <f ca="1">IFERROR(__xludf.DUMMYFUNCTION("""COMPUTED_VALUE"""),48.928)</f>
        <v>48.927999999999997</v>
      </c>
      <c r="I2417" s="2">
        <f ca="1">IFERROR(__xludf.DUMMYFUNCTION("""COMPUTED_VALUE"""),50.208)</f>
        <v>50.207999999999998</v>
      </c>
      <c r="J2417" s="2">
        <f ca="1">IFERROR(__xludf.DUMMYFUNCTION("""COMPUTED_VALUE"""),47.831)</f>
        <v>47.831000000000003</v>
      </c>
      <c r="K2417" s="2">
        <f ca="1">IFERROR(__xludf.DUMMYFUNCTION("""COMPUTED_VALUE"""),66.798)</f>
        <v>66.798000000000002</v>
      </c>
      <c r="M2417" s="2">
        <f ca="1">IFERROR(__xludf.DUMMYFUNCTION("""COMPUTED_VALUE"""),17.629)</f>
        <v>17.629000000000001</v>
      </c>
      <c r="U2417" s="3" t="e">
        <f ca="1"/>
        <v>#NAME?</v>
      </c>
    </row>
    <row r="2418" spans="3:21" ht="12.5" x14ac:dyDescent="0.25">
      <c r="C2418" s="4">
        <f ca="1">IFERROR(__xludf.DUMMYFUNCTION("""COMPUTED_VALUE"""),42824.9986111111)</f>
        <v>42824.998611111099</v>
      </c>
      <c r="D2418" s="2">
        <f ca="1">IFERROR(__xludf.DUMMYFUNCTION("""COMPUTED_VALUE"""),64.79)</f>
        <v>64.790000000000006</v>
      </c>
      <c r="E2418" s="2">
        <f ca="1">IFERROR(__xludf.DUMMYFUNCTION("""COMPUTED_VALUE"""),76.641)</f>
        <v>76.641000000000005</v>
      </c>
      <c r="F2418" s="2">
        <f ca="1">IFERROR(__xludf.DUMMYFUNCTION("""COMPUTED_VALUE"""),82.952)</f>
        <v>82.951999999999998</v>
      </c>
      <c r="G2418" s="2">
        <f ca="1">IFERROR(__xludf.DUMMYFUNCTION("""COMPUTED_VALUE"""),0.57038)</f>
        <v>0.57038</v>
      </c>
      <c r="H2418" s="2">
        <f ca="1">IFERROR(__xludf.DUMMYFUNCTION("""COMPUTED_VALUE"""),48.648)</f>
        <v>48.648000000000003</v>
      </c>
      <c r="I2418" s="2">
        <f ca="1">IFERROR(__xludf.DUMMYFUNCTION("""COMPUTED_VALUE"""),49.98)</f>
        <v>49.98</v>
      </c>
      <c r="J2418" s="2">
        <f ca="1">IFERROR(__xludf.DUMMYFUNCTION("""COMPUTED_VALUE"""),47.809)</f>
        <v>47.808999999999997</v>
      </c>
      <c r="K2418" s="2">
        <f ca="1">IFERROR(__xludf.DUMMYFUNCTION("""COMPUTED_VALUE"""),66.633)</f>
        <v>66.632999999999996</v>
      </c>
      <c r="M2418" s="2">
        <f ca="1">IFERROR(__xludf.DUMMYFUNCTION("""COMPUTED_VALUE"""),17.571)</f>
        <v>17.571000000000002</v>
      </c>
      <c r="U2418" s="3" t="e">
        <f ca="1"/>
        <v>#NAME?</v>
      </c>
    </row>
    <row r="2419" spans="3:21" ht="12.5" x14ac:dyDescent="0.25">
      <c r="C2419" s="4">
        <f ca="1">IFERROR(__xludf.DUMMYFUNCTION("""COMPUTED_VALUE"""),42825.9986111111)</f>
        <v>42825.998611111099</v>
      </c>
      <c r="D2419" s="2">
        <f ca="1">IFERROR(__xludf.DUMMYFUNCTION("""COMPUTED_VALUE"""),64.853)</f>
        <v>64.852999999999994</v>
      </c>
      <c r="E2419" s="2">
        <f ca="1">IFERROR(__xludf.DUMMYFUNCTION("""COMPUTED_VALUE"""),75.751)</f>
        <v>75.751000000000005</v>
      </c>
      <c r="F2419" s="2">
        <f ca="1">IFERROR(__xludf.DUMMYFUNCTION("""COMPUTED_VALUE"""),82.58)</f>
        <v>82.58</v>
      </c>
      <c r="G2419" s="2">
        <f ca="1">IFERROR(__xludf.DUMMYFUNCTION("""COMPUTED_VALUE"""),0.57165)</f>
        <v>0.57164999999999999</v>
      </c>
      <c r="H2419" s="2">
        <f ca="1">IFERROR(__xludf.DUMMYFUNCTION("""COMPUTED_VALUE"""),48.72)</f>
        <v>48.72</v>
      </c>
      <c r="I2419" s="2">
        <f ca="1">IFERROR(__xludf.DUMMYFUNCTION("""COMPUTED_VALUE"""),49.968)</f>
        <v>49.968000000000004</v>
      </c>
      <c r="J2419" s="2">
        <f ca="1">IFERROR(__xludf.DUMMYFUNCTION("""COMPUTED_VALUE"""),47.723)</f>
        <v>47.722999999999999</v>
      </c>
      <c r="K2419" s="2">
        <f ca="1">IFERROR(__xludf.DUMMYFUNCTION("""COMPUTED_VALUE"""),66.348)</f>
        <v>66.347999999999999</v>
      </c>
      <c r="M2419" s="2">
        <f ca="1">IFERROR(__xludf.DUMMYFUNCTION("""COMPUTED_VALUE"""),17.559)</f>
        <v>17.559000000000001</v>
      </c>
      <c r="U2419" s="3" t="e">
        <f ca="1"/>
        <v>#NAME?</v>
      </c>
    </row>
    <row r="2420" spans="3:21" ht="12.5" x14ac:dyDescent="0.25">
      <c r="C2420" s="4">
        <f ca="1">IFERROR(__xludf.DUMMYFUNCTION("""COMPUTED_VALUE"""),42826.9986111111)</f>
        <v>42826.998611111099</v>
      </c>
      <c r="D2420" s="2">
        <f ca="1">IFERROR(__xludf.DUMMYFUNCTION("""COMPUTED_VALUE"""),64.79)</f>
        <v>64.790000000000006</v>
      </c>
      <c r="E2420" s="2">
        <f ca="1">IFERROR(__xludf.DUMMYFUNCTION("""COMPUTED_VALUE"""),76.32)</f>
        <v>76.319999999999993</v>
      </c>
      <c r="F2420" s="2">
        <f ca="1">IFERROR(__xludf.DUMMYFUNCTION("""COMPUTED_VALUE"""),82.233)</f>
        <v>82.233000000000004</v>
      </c>
      <c r="G2420" s="2">
        <f ca="1">IFERROR(__xludf.DUMMYFUNCTION("""COMPUTED_VALUE"""),0.57193)</f>
        <v>0.57193000000000005</v>
      </c>
      <c r="H2420" s="2">
        <f ca="1">IFERROR(__xludf.DUMMYFUNCTION("""COMPUTED_VALUE"""),49.016)</f>
        <v>49.015999999999998</v>
      </c>
      <c r="I2420" s="2">
        <f ca="1">IFERROR(__xludf.DUMMYFUNCTION("""COMPUTED_VALUE"""),50.779)</f>
        <v>50.779000000000003</v>
      </c>
      <c r="J2420" s="2">
        <f ca="1">IFERROR(__xludf.DUMMYFUNCTION("""COMPUTED_VALUE"""),47.764)</f>
        <v>47.764000000000003</v>
      </c>
      <c r="K2420" s="2">
        <f ca="1">IFERROR(__xludf.DUMMYFUNCTION("""COMPUTED_VALUE"""),66.622)</f>
        <v>66.622</v>
      </c>
      <c r="M2420" s="2">
        <f ca="1">IFERROR(__xludf.DUMMYFUNCTION("""COMPUTED_VALUE"""),17.565)</f>
        <v>17.565000000000001</v>
      </c>
      <c r="U2420" s="3" t="e">
        <f ca="1"/>
        <v>#NAME?</v>
      </c>
    </row>
    <row r="2421" spans="3:21" ht="12.5" x14ac:dyDescent="0.25">
      <c r="C2421" s="4">
        <f ca="1">IFERROR(__xludf.DUMMYFUNCTION("""COMPUTED_VALUE"""),42827.9986111111)</f>
        <v>42827.998611111099</v>
      </c>
      <c r="D2421" s="2">
        <f ca="1">IFERROR(__xludf.DUMMYFUNCTION("""COMPUTED_VALUE"""),64.7967)</f>
        <v>64.796700000000001</v>
      </c>
      <c r="E2421" s="2">
        <f ca="1">IFERROR(__xludf.DUMMYFUNCTION("""COMPUTED_VALUE"""),76.061)</f>
        <v>76.061000000000007</v>
      </c>
      <c r="F2421" s="2">
        <f ca="1">IFERROR(__xludf.DUMMYFUNCTION("""COMPUTED_VALUE"""),82.019)</f>
        <v>82.019000000000005</v>
      </c>
      <c r="G2421" s="2">
        <f ca="1">IFERROR(__xludf.DUMMYFUNCTION("""COMPUTED_VALUE"""),0.56214)</f>
        <v>0.56213999999999997</v>
      </c>
      <c r="H2421" s="2">
        <f ca="1">IFERROR(__xludf.DUMMYFUNCTION("""COMPUTED_VALUE"""),48.454)</f>
        <v>48.454000000000001</v>
      </c>
      <c r="I2421" s="2">
        <f ca="1">IFERROR(__xludf.DUMMYFUNCTION("""COMPUTED_VALUE"""),50.189)</f>
        <v>50.189</v>
      </c>
      <c r="J2421" s="2">
        <f ca="1">IFERROR(__xludf.DUMMYFUNCTION("""COMPUTED_VALUE"""),47.852)</f>
        <v>47.851999999999997</v>
      </c>
      <c r="K2421" s="2">
        <f ca="1">IFERROR(__xludf.DUMMYFUNCTION("""COMPUTED_VALUE"""),66.712)</f>
        <v>66.712000000000003</v>
      </c>
      <c r="M2421" s="2">
        <f ca="1">IFERROR(__xludf.DUMMYFUNCTION("""COMPUTED_VALUE"""),17.56)</f>
        <v>17.559999999999999</v>
      </c>
      <c r="U2421" s="3" t="e">
        <f ca="1"/>
        <v>#NAME?</v>
      </c>
    </row>
    <row r="2422" spans="3:21" ht="12.5" x14ac:dyDescent="0.25">
      <c r="C2422" s="4">
        <f ca="1">IFERROR(__xludf.DUMMYFUNCTION("""COMPUTED_VALUE"""),42828.9986111111)</f>
        <v>42828.998611111099</v>
      </c>
      <c r="D2422" s="2">
        <f ca="1">IFERROR(__xludf.DUMMYFUNCTION("""COMPUTED_VALUE"""),64.8775)</f>
        <v>64.877499999999998</v>
      </c>
      <c r="E2422" s="2">
        <f ca="1">IFERROR(__xludf.DUMMYFUNCTION("""COMPUTED_VALUE"""),76.094)</f>
        <v>76.093999999999994</v>
      </c>
      <c r="F2422" s="2">
        <f ca="1">IFERROR(__xludf.DUMMYFUNCTION("""COMPUTED_VALUE"""),82.063)</f>
        <v>82.063000000000002</v>
      </c>
      <c r="G2422" s="2">
        <f ca="1">IFERROR(__xludf.DUMMYFUNCTION("""COMPUTED_VALUE"""),0.57374)</f>
        <v>0.57374000000000003</v>
      </c>
      <c r="H2422" s="2">
        <f ca="1">IFERROR(__xludf.DUMMYFUNCTION("""COMPUTED_VALUE"""),48.9)</f>
        <v>48.9</v>
      </c>
      <c r="I2422" s="2">
        <f ca="1">IFERROR(__xludf.DUMMYFUNCTION("""COMPUTED_VALUE"""),50.731)</f>
        <v>50.731000000000002</v>
      </c>
      <c r="J2422" s="2">
        <f ca="1">IFERROR(__xludf.DUMMYFUNCTION("""COMPUTED_VALUE"""),47.302)</f>
        <v>47.302</v>
      </c>
      <c r="K2422" s="2">
        <f ca="1">IFERROR(__xludf.DUMMYFUNCTION("""COMPUTED_VALUE"""),66.651)</f>
        <v>66.650999999999996</v>
      </c>
      <c r="M2422" s="2">
        <f ca="1">IFERROR(__xludf.DUMMYFUNCTION("""COMPUTED_VALUE"""),17.59)</f>
        <v>17.59</v>
      </c>
      <c r="U2422" s="3" t="e">
        <f ca="1"/>
        <v>#NAME?</v>
      </c>
    </row>
    <row r="2423" spans="3:21" ht="12.5" x14ac:dyDescent="0.25">
      <c r="C2423" s="4">
        <f ca="1">IFERROR(__xludf.DUMMYFUNCTION("""COMPUTED_VALUE"""),42829.9986111111)</f>
        <v>42829.998611111099</v>
      </c>
      <c r="D2423" s="2">
        <f ca="1">IFERROR(__xludf.DUMMYFUNCTION("""COMPUTED_VALUE"""),65.05)</f>
        <v>65.05</v>
      </c>
      <c r="E2423" s="2">
        <f ca="1">IFERROR(__xludf.DUMMYFUNCTION("""COMPUTED_VALUE"""),75.935)</f>
        <v>75.935000000000002</v>
      </c>
      <c r="F2423" s="2">
        <f ca="1">IFERROR(__xludf.DUMMYFUNCTION("""COMPUTED_VALUE"""),82.1)</f>
        <v>82.1</v>
      </c>
      <c r="G2423" s="2">
        <f ca="1">IFERROR(__xludf.DUMMYFUNCTION("""COMPUTED_VALUE"""),0.57943)</f>
        <v>0.57943</v>
      </c>
      <c r="H2423" s="2">
        <f ca="1">IFERROR(__xludf.DUMMYFUNCTION("""COMPUTED_VALUE"""),48.889)</f>
        <v>48.889000000000003</v>
      </c>
      <c r="I2423" s="2">
        <f ca="1">IFERROR(__xludf.DUMMYFUNCTION("""COMPUTED_VALUE"""),50.64)</f>
        <v>50.64</v>
      </c>
      <c r="J2423" s="2">
        <f ca="1">IFERROR(__xludf.DUMMYFUNCTION("""COMPUTED_VALUE"""),47.735)</f>
        <v>47.734999999999999</v>
      </c>
      <c r="K2423" s="2">
        <f ca="1">IFERROR(__xludf.DUMMYFUNCTION("""COMPUTED_VALUE"""),66.738)</f>
        <v>66.738</v>
      </c>
      <c r="M2423" s="2">
        <f ca="1">IFERROR(__xludf.DUMMYFUNCTION("""COMPUTED_VALUE"""),17.559)</f>
        <v>17.559000000000001</v>
      </c>
      <c r="U2423" s="3" t="e">
        <f ca="1"/>
        <v>#NAME?</v>
      </c>
    </row>
    <row r="2424" spans="3:21" ht="12.5" x14ac:dyDescent="0.25">
      <c r="C2424" s="4">
        <f ca="1">IFERROR(__xludf.DUMMYFUNCTION("""COMPUTED_VALUE"""),42830.9986111111)</f>
        <v>42830.998611111099</v>
      </c>
      <c r="D2424" s="2">
        <f ca="1">IFERROR(__xludf.DUMMYFUNCTION("""COMPUTED_VALUE"""),65.04)</f>
        <v>65.040000000000006</v>
      </c>
      <c r="E2424" s="2">
        <f ca="1">IFERROR(__xludf.DUMMYFUNCTION("""COMPUTED_VALUE"""),75.778)</f>
        <v>75.778000000000006</v>
      </c>
      <c r="F2424" s="2">
        <f ca="1">IFERROR(__xludf.DUMMYFUNCTION("""COMPUTED_VALUE"""),82.111)</f>
        <v>82.111000000000004</v>
      </c>
      <c r="G2424" s="2">
        <f ca="1">IFERROR(__xludf.DUMMYFUNCTION("""COMPUTED_VALUE"""),0.57314)</f>
        <v>0.57313999999999998</v>
      </c>
      <c r="H2424" s="2">
        <f ca="1">IFERROR(__xludf.DUMMYFUNCTION("""COMPUTED_VALUE"""),48.772)</f>
        <v>48.771999999999998</v>
      </c>
      <c r="I2424" s="2">
        <f ca="1">IFERROR(__xludf.DUMMYFUNCTION("""COMPUTED_VALUE"""),50.412)</f>
        <v>50.411999999999999</v>
      </c>
      <c r="J2424" s="2">
        <f ca="1">IFERROR(__xludf.DUMMYFUNCTION("""COMPUTED_VALUE"""),47.72)</f>
        <v>47.72</v>
      </c>
      <c r="K2424" s="2">
        <f ca="1">IFERROR(__xludf.DUMMYFUNCTION("""COMPUTED_VALUE"""),66.111)</f>
        <v>66.111000000000004</v>
      </c>
      <c r="M2424" s="2">
        <f ca="1">IFERROR(__xludf.DUMMYFUNCTION("""COMPUTED_VALUE"""),17.524)</f>
        <v>17.524000000000001</v>
      </c>
      <c r="U2424" s="3" t="e">
        <f ca="1"/>
        <v>#NAME?</v>
      </c>
    </row>
    <row r="2425" spans="3:21" ht="12.5" x14ac:dyDescent="0.25">
      <c r="C2425" s="4">
        <f ca="1">IFERROR(__xludf.DUMMYFUNCTION("""COMPUTED_VALUE"""),42831.9986111111)</f>
        <v>42831.998611111099</v>
      </c>
      <c r="D2425" s="2">
        <f ca="1">IFERROR(__xludf.DUMMYFUNCTION("""COMPUTED_VALUE"""),64.58)</f>
        <v>64.58</v>
      </c>
      <c r="E2425" s="2">
        <f ca="1">IFERROR(__xludf.DUMMYFUNCTION("""COMPUTED_VALUE"""),75.778)</f>
        <v>75.778000000000006</v>
      </c>
      <c r="F2425" s="2">
        <f ca="1">IFERROR(__xludf.DUMMYFUNCTION("""COMPUTED_VALUE"""),81.587)</f>
        <v>81.587000000000003</v>
      </c>
      <c r="G2425" s="2">
        <f ca="1">IFERROR(__xludf.DUMMYFUNCTION("""COMPUTED_VALUE"""),0.57468)</f>
        <v>0.57467999999999997</v>
      </c>
      <c r="H2425" s="2">
        <f ca="1">IFERROR(__xludf.DUMMYFUNCTION("""COMPUTED_VALUE"""),48.456)</f>
        <v>48.456000000000003</v>
      </c>
      <c r="I2425" s="2">
        <f ca="1">IFERROR(__xludf.DUMMYFUNCTION("""COMPUTED_VALUE"""),50.165)</f>
        <v>50.164999999999999</v>
      </c>
      <c r="J2425" s="2">
        <f ca="1">IFERROR(__xludf.DUMMYFUNCTION("""COMPUTED_VALUE"""),47.79)</f>
        <v>47.79</v>
      </c>
      <c r="K2425" s="2">
        <f ca="1">IFERROR(__xludf.DUMMYFUNCTION("""COMPUTED_VALUE"""),66.73)</f>
        <v>66.73</v>
      </c>
      <c r="M2425" s="2">
        <f ca="1">IFERROR(__xludf.DUMMYFUNCTION("""COMPUTED_VALUE"""),17.492)</f>
        <v>17.492000000000001</v>
      </c>
      <c r="U2425" s="3" t="e">
        <f ca="1"/>
        <v>#NAME?</v>
      </c>
    </row>
    <row r="2426" spans="3:21" ht="12.5" x14ac:dyDescent="0.25">
      <c r="C2426" s="4">
        <f ca="1">IFERROR(__xludf.DUMMYFUNCTION("""COMPUTED_VALUE"""),42832.9986111111)</f>
        <v>42832.998611111099</v>
      </c>
      <c r="D2426" s="2">
        <f ca="1">IFERROR(__xludf.DUMMYFUNCTION("""COMPUTED_VALUE"""),64.31)</f>
        <v>64.31</v>
      </c>
      <c r="E2426" s="2">
        <f ca="1">IFERROR(__xludf.DUMMYFUNCTION("""COMPUTED_VALUE"""),75.711)</f>
        <v>75.710999999999999</v>
      </c>
      <c r="F2426" s="2">
        <f ca="1">IFERROR(__xludf.DUMMYFUNCTION("""COMPUTED_VALUE"""),81.289)</f>
        <v>81.289000000000001</v>
      </c>
      <c r="G2426" s="2">
        <f ca="1">IFERROR(__xludf.DUMMYFUNCTION("""COMPUTED_VALUE"""),0.57549)</f>
        <v>0.57548999999999995</v>
      </c>
      <c r="H2426" s="2">
        <f ca="1">IFERROR(__xludf.DUMMYFUNCTION("""COMPUTED_VALUE"""),48.343)</f>
        <v>48.343000000000004</v>
      </c>
      <c r="I2426" s="2">
        <f ca="1">IFERROR(__xludf.DUMMYFUNCTION("""COMPUTED_VALUE"""),50.058)</f>
        <v>50.058</v>
      </c>
      <c r="J2426" s="2">
        <f ca="1">IFERROR(__xludf.DUMMYFUNCTION("""COMPUTED_VALUE"""),47.716)</f>
        <v>47.716000000000001</v>
      </c>
      <c r="K2426" s="2">
        <f ca="1">IFERROR(__xludf.DUMMYFUNCTION("""COMPUTED_VALUE"""),66.77)</f>
        <v>66.77</v>
      </c>
      <c r="M2426" s="2">
        <f ca="1">IFERROR(__xludf.DUMMYFUNCTION("""COMPUTED_VALUE"""),17.533)</f>
        <v>17.533000000000001</v>
      </c>
      <c r="U2426" s="3" t="e">
        <f ca="1"/>
        <v>#NAME?</v>
      </c>
    </row>
    <row r="2427" spans="3:21" ht="12.5" x14ac:dyDescent="0.25">
      <c r="C2427" s="4">
        <f ca="1">IFERROR(__xludf.DUMMYFUNCTION("""COMPUTED_VALUE"""),42833.9986111111)</f>
        <v>42833.998611111099</v>
      </c>
      <c r="D2427" s="2">
        <f ca="1">IFERROR(__xludf.DUMMYFUNCTION("""COMPUTED_VALUE"""),64.263)</f>
        <v>64.263000000000005</v>
      </c>
      <c r="E2427" s="2">
        <f ca="1">IFERROR(__xludf.DUMMYFUNCTION("""COMPUTED_VALUE"""),75.553)</f>
        <v>75.552999999999997</v>
      </c>
      <c r="F2427" s="2">
        <f ca="1">IFERROR(__xludf.DUMMYFUNCTION("""COMPUTED_VALUE"""),81.289)</f>
        <v>81.289000000000001</v>
      </c>
      <c r="G2427" s="2">
        <f ca="1">IFERROR(__xludf.DUMMYFUNCTION("""COMPUTED_VALUE"""),0.57549)</f>
        <v>0.57548999999999995</v>
      </c>
      <c r="H2427" s="2">
        <f ca="1">IFERROR(__xludf.DUMMYFUNCTION("""COMPUTED_VALUE"""),48.343)</f>
        <v>48.343000000000004</v>
      </c>
      <c r="I2427" s="2">
        <f ca="1">IFERROR(__xludf.DUMMYFUNCTION("""COMPUTED_VALUE"""),50.058)</f>
        <v>50.058</v>
      </c>
      <c r="J2427" s="2">
        <f ca="1">IFERROR(__xludf.DUMMYFUNCTION("""COMPUTED_VALUE"""),47.561)</f>
        <v>47.561</v>
      </c>
      <c r="K2427" s="2">
        <f ca="1">IFERROR(__xludf.DUMMYFUNCTION("""COMPUTED_VALUE"""),67.326)</f>
        <v>67.325999999999993</v>
      </c>
      <c r="M2427" s="2">
        <f ca="1">IFERROR(__xludf.DUMMYFUNCTION("""COMPUTED_VALUE"""),17.536)</f>
        <v>17.536000000000001</v>
      </c>
      <c r="U2427" s="3" t="e">
        <f ca="1"/>
        <v>#NAME?</v>
      </c>
    </row>
    <row r="2428" spans="3:21" ht="12.5" x14ac:dyDescent="0.25">
      <c r="C2428" s="4">
        <f ca="1">IFERROR(__xludf.DUMMYFUNCTION("""COMPUTED_VALUE"""),42834.9986111111)</f>
        <v>42834.998611111099</v>
      </c>
      <c r="D2428" s="2">
        <f ca="1">IFERROR(__xludf.DUMMYFUNCTION("""COMPUTED_VALUE"""),64.26)</f>
        <v>64.260000000000005</v>
      </c>
      <c r="E2428" s="2">
        <f ca="1">IFERROR(__xludf.DUMMYFUNCTION("""COMPUTED_VALUE"""),76.212)</f>
        <v>76.212000000000003</v>
      </c>
      <c r="F2428" s="2">
        <f ca="1">IFERROR(__xludf.DUMMYFUNCTION("""COMPUTED_VALUE"""),81.041)</f>
        <v>81.040999999999997</v>
      </c>
      <c r="G2428" s="2">
        <f ca="1">IFERROR(__xludf.DUMMYFUNCTION("""COMPUTED_VALUE"""),0.57515)</f>
        <v>0.57515000000000005</v>
      </c>
      <c r="H2428" s="2">
        <f ca="1">IFERROR(__xludf.DUMMYFUNCTION("""COMPUTED_VALUE"""),48.405)</f>
        <v>48.405000000000001</v>
      </c>
      <c r="I2428" s="2">
        <f ca="1">IFERROR(__xludf.DUMMYFUNCTION("""COMPUTED_VALUE"""),50.014)</f>
        <v>50.014000000000003</v>
      </c>
      <c r="J2428" s="2">
        <f ca="1">IFERROR(__xludf.DUMMYFUNCTION("""COMPUTED_VALUE"""),47.634)</f>
        <v>47.634</v>
      </c>
      <c r="K2428" s="2">
        <f ca="1">IFERROR(__xludf.DUMMYFUNCTION("""COMPUTED_VALUE"""),67.463)</f>
        <v>67.462999999999994</v>
      </c>
      <c r="M2428" s="2">
        <f ca="1">IFERROR(__xludf.DUMMYFUNCTION("""COMPUTED_VALUE"""),17.517)</f>
        <v>17.516999999999999</v>
      </c>
      <c r="U2428" s="3" t="e">
        <f ca="1"/>
        <v>#NAME?</v>
      </c>
    </row>
    <row r="2429" spans="3:21" ht="12.5" x14ac:dyDescent="0.25">
      <c r="C2429" s="4">
        <f ca="1">IFERROR(__xludf.DUMMYFUNCTION("""COMPUTED_VALUE"""),42835.9986111111)</f>
        <v>42835.998611111099</v>
      </c>
      <c r="D2429" s="2">
        <f ca="1">IFERROR(__xludf.DUMMYFUNCTION("""COMPUTED_VALUE"""),64.575)</f>
        <v>64.575000000000003</v>
      </c>
      <c r="E2429" s="2">
        <f ca="1">IFERROR(__xludf.DUMMYFUNCTION("""COMPUTED_VALUE"""),75.684)</f>
        <v>75.683999999999997</v>
      </c>
      <c r="F2429" s="2">
        <f ca="1">IFERROR(__xludf.DUMMYFUNCTION("""COMPUTED_VALUE"""),80.956)</f>
        <v>80.956000000000003</v>
      </c>
      <c r="G2429" s="2">
        <f ca="1">IFERROR(__xludf.DUMMYFUNCTION("""COMPUTED_VALUE"""),0.57845)</f>
        <v>0.57845000000000002</v>
      </c>
      <c r="H2429" s="2">
        <f ca="1">IFERROR(__xludf.DUMMYFUNCTION("""COMPUTED_VALUE"""),48.615)</f>
        <v>48.615000000000002</v>
      </c>
      <c r="I2429" s="2">
        <f ca="1">IFERROR(__xludf.DUMMYFUNCTION("""COMPUTED_VALUE"""),49.995)</f>
        <v>49.994999999999997</v>
      </c>
      <c r="J2429" s="2">
        <f ca="1">IFERROR(__xludf.DUMMYFUNCTION("""COMPUTED_VALUE"""),47.572)</f>
        <v>47.572000000000003</v>
      </c>
      <c r="K2429" s="2">
        <f ca="1">IFERROR(__xludf.DUMMYFUNCTION("""COMPUTED_VALUE"""),67.532)</f>
        <v>67.531999999999996</v>
      </c>
      <c r="M2429" s="2">
        <f ca="1">IFERROR(__xludf.DUMMYFUNCTION("""COMPUTED_VALUE"""),17.529)</f>
        <v>17.529</v>
      </c>
      <c r="U2429" s="3" t="e">
        <f ca="1"/>
        <v>#NAME?</v>
      </c>
    </row>
    <row r="2430" spans="3:21" ht="12.5" x14ac:dyDescent="0.25">
      <c r="C2430" s="4">
        <f ca="1">IFERROR(__xludf.DUMMYFUNCTION("""COMPUTED_VALUE"""),42836.9986111111)</f>
        <v>42836.998611111099</v>
      </c>
      <c r="D2430" s="2">
        <f ca="1">IFERROR(__xludf.DUMMYFUNCTION("""COMPUTED_VALUE"""),64.63)</f>
        <v>64.63</v>
      </c>
      <c r="E2430" s="2">
        <f ca="1">IFERROR(__xludf.DUMMYFUNCTION("""COMPUTED_VALUE"""),75.24)</f>
        <v>75.239999999999995</v>
      </c>
      <c r="F2430" s="2">
        <f ca="1">IFERROR(__xludf.DUMMYFUNCTION("""COMPUTED_VALUE"""),80.912)</f>
        <v>80.912000000000006</v>
      </c>
      <c r="G2430" s="2">
        <f ca="1">IFERROR(__xludf.DUMMYFUNCTION("""COMPUTED_VALUE"""),0.58169)</f>
        <v>0.58169000000000004</v>
      </c>
      <c r="H2430" s="2">
        <f ca="1">IFERROR(__xludf.DUMMYFUNCTION("""COMPUTED_VALUE"""),49.148)</f>
        <v>49.148000000000003</v>
      </c>
      <c r="I2430" s="2">
        <f ca="1">IFERROR(__xludf.DUMMYFUNCTION("""COMPUTED_VALUE"""),50.237)</f>
        <v>50.237000000000002</v>
      </c>
      <c r="J2430" s="2">
        <f ca="1">IFERROR(__xludf.DUMMYFUNCTION("""COMPUTED_VALUE"""),47.571)</f>
        <v>47.570999999999998</v>
      </c>
      <c r="K2430" s="2">
        <f ca="1">IFERROR(__xludf.DUMMYFUNCTION("""COMPUTED_VALUE"""),67.373)</f>
        <v>67.373000000000005</v>
      </c>
      <c r="M2430" s="2">
        <f ca="1">IFERROR(__xludf.DUMMYFUNCTION("""COMPUTED_VALUE"""),17.532)</f>
        <v>17.532</v>
      </c>
      <c r="U2430" s="3" t="e">
        <f ca="1"/>
        <v>#NAME?</v>
      </c>
    </row>
    <row r="2431" spans="3:21" ht="12.5" x14ac:dyDescent="0.25">
      <c r="C2431" s="4">
        <f ca="1">IFERROR(__xludf.DUMMYFUNCTION("""COMPUTED_VALUE"""),42837.9986111111)</f>
        <v>42837.998611111099</v>
      </c>
      <c r="D2431" s="2">
        <f ca="1">IFERROR(__xludf.DUMMYFUNCTION("""COMPUTED_VALUE"""),64.5)</f>
        <v>64.5</v>
      </c>
      <c r="E2431" s="2">
        <f ca="1">IFERROR(__xludf.DUMMYFUNCTION("""COMPUTED_VALUE"""),75.582)</f>
        <v>75.581999999999994</v>
      </c>
      <c r="F2431" s="2">
        <f ca="1">IFERROR(__xludf.DUMMYFUNCTION("""COMPUTED_VALUE"""),80.73)</f>
        <v>80.73</v>
      </c>
      <c r="G2431" s="2">
        <f ca="1">IFERROR(__xludf.DUMMYFUNCTION("""COMPUTED_VALUE"""),0.57841)</f>
        <v>0.57840999999999998</v>
      </c>
      <c r="H2431" s="2">
        <f ca="1">IFERROR(__xludf.DUMMYFUNCTION("""COMPUTED_VALUE"""),49.27)</f>
        <v>49.27</v>
      </c>
      <c r="I2431" s="2">
        <f ca="1">IFERROR(__xludf.DUMMYFUNCTION("""COMPUTED_VALUE"""),50.239)</f>
        <v>50.238999999999997</v>
      </c>
      <c r="J2431" s="2">
        <f ca="1">IFERROR(__xludf.DUMMYFUNCTION("""COMPUTED_VALUE"""),47.795)</f>
        <v>47.795000000000002</v>
      </c>
      <c r="K2431" s="2">
        <f ca="1">IFERROR(__xludf.DUMMYFUNCTION("""COMPUTED_VALUE"""),67.361)</f>
        <v>67.361000000000004</v>
      </c>
      <c r="M2431" s="2">
        <f ca="1">IFERROR(__xludf.DUMMYFUNCTION("""COMPUTED_VALUE"""),17.491)</f>
        <v>17.491</v>
      </c>
      <c r="U2431" s="3" t="e">
        <f ca="1"/>
        <v>#NAME?</v>
      </c>
    </row>
    <row r="2432" spans="3:21" ht="12.5" x14ac:dyDescent="0.25">
      <c r="C2432" s="4">
        <f ca="1">IFERROR(__xludf.DUMMYFUNCTION("""COMPUTED_VALUE"""),42838.9986111111)</f>
        <v>42838.998611111099</v>
      </c>
      <c r="D2432" s="2">
        <f ca="1">IFERROR(__xludf.DUMMYFUNCTION("""COMPUTED_VALUE"""),64.45)</f>
        <v>64.45</v>
      </c>
      <c r="E2432" s="2">
        <f ca="1">IFERROR(__xludf.DUMMYFUNCTION("""COMPUTED_VALUE"""),75.754)</f>
        <v>75.754000000000005</v>
      </c>
      <c r="F2432" s="2">
        <f ca="1">IFERROR(__xludf.DUMMYFUNCTION("""COMPUTED_VALUE"""),79.962)</f>
        <v>79.962000000000003</v>
      </c>
      <c r="G2432" s="2">
        <f ca="1">IFERROR(__xludf.DUMMYFUNCTION("""COMPUTED_VALUE"""),0.58432)</f>
        <v>0.58431999999999995</v>
      </c>
      <c r="H2432" s="2">
        <f ca="1">IFERROR(__xludf.DUMMYFUNCTION("""COMPUTED_VALUE"""),48.933)</f>
        <v>48.933</v>
      </c>
      <c r="I2432" s="2">
        <f ca="1">IFERROR(__xludf.DUMMYFUNCTION("""COMPUTED_VALUE"""),49.706)</f>
        <v>49.706000000000003</v>
      </c>
      <c r="J2432" s="2">
        <f ca="1">IFERROR(__xludf.DUMMYFUNCTION("""COMPUTED_VALUE"""),47.745)</f>
        <v>47.744999999999997</v>
      </c>
      <c r="K2432" s="2">
        <f ca="1">IFERROR(__xludf.DUMMYFUNCTION("""COMPUTED_VALUE"""),66.951)</f>
        <v>66.950999999999993</v>
      </c>
      <c r="M2432" s="2">
        <f ca="1">IFERROR(__xludf.DUMMYFUNCTION("""COMPUTED_VALUE"""),17.524)</f>
        <v>17.524000000000001</v>
      </c>
      <c r="U2432" s="3" t="e">
        <f ca="1"/>
        <v>#NAME?</v>
      </c>
    </row>
    <row r="2433" spans="3:21" ht="12.5" x14ac:dyDescent="0.25">
      <c r="C2433" s="4">
        <f ca="1">IFERROR(__xludf.DUMMYFUNCTION("""COMPUTED_VALUE"""),42839.9986111111)</f>
        <v>42839.998611111099</v>
      </c>
      <c r="D2433" s="2">
        <f ca="1">IFERROR(__xludf.DUMMYFUNCTION("""COMPUTED_VALUE"""),64.438)</f>
        <v>64.438000000000002</v>
      </c>
      <c r="E2433" s="2">
        <f ca="1">IFERROR(__xludf.DUMMYFUNCTION("""COMPUTED_VALUE"""),76.073)</f>
        <v>76.072999999999993</v>
      </c>
      <c r="F2433" s="2">
        <f ca="1">IFERROR(__xludf.DUMMYFUNCTION("""COMPUTED_VALUE"""),80.662)</f>
        <v>80.662000000000006</v>
      </c>
      <c r="G2433" s="2">
        <f ca="1">IFERROR(__xludf.DUMMYFUNCTION("""COMPUTED_VALUE"""),0.58328)</f>
        <v>0.58328000000000002</v>
      </c>
      <c r="H2433" s="2">
        <f ca="1">IFERROR(__xludf.DUMMYFUNCTION("""COMPUTED_VALUE"""),49.163)</f>
        <v>49.162999999999997</v>
      </c>
      <c r="I2433" s="2">
        <f ca="1">IFERROR(__xludf.DUMMYFUNCTION("""COMPUTED_VALUE"""),49.85)</f>
        <v>49.85</v>
      </c>
      <c r="J2433" s="2">
        <f ca="1">IFERROR(__xludf.DUMMYFUNCTION("""COMPUTED_VALUE"""),47.483)</f>
        <v>47.482999999999997</v>
      </c>
      <c r="K2433" s="2">
        <f ca="1">IFERROR(__xludf.DUMMYFUNCTION("""COMPUTED_VALUE"""),67.216)</f>
        <v>67.215999999999994</v>
      </c>
      <c r="M2433" s="2">
        <f ca="1">IFERROR(__xludf.DUMMYFUNCTION("""COMPUTED_VALUE"""),17.528)</f>
        <v>17.527999999999999</v>
      </c>
      <c r="U2433" s="3" t="e">
        <f ca="1"/>
        <v>#NAME?</v>
      </c>
    </row>
    <row r="2434" spans="3:21" ht="12.5" x14ac:dyDescent="0.25">
      <c r="C2434" s="4">
        <f ca="1">IFERROR(__xludf.DUMMYFUNCTION("""COMPUTED_VALUE"""),42840.9986111111)</f>
        <v>42840.998611111099</v>
      </c>
      <c r="D2434" s="2">
        <f ca="1">IFERROR(__xludf.DUMMYFUNCTION("""COMPUTED_VALUE"""),64.4537)</f>
        <v>64.453699999999998</v>
      </c>
      <c r="E2434" s="2">
        <f ca="1">IFERROR(__xludf.DUMMYFUNCTION("""COMPUTED_VALUE"""),75.829)</f>
        <v>75.828999999999994</v>
      </c>
      <c r="F2434" s="2">
        <f ca="1">IFERROR(__xludf.DUMMYFUNCTION("""COMPUTED_VALUE"""),80.765)</f>
        <v>80.765000000000001</v>
      </c>
      <c r="G2434" s="2">
        <f ca="1">IFERROR(__xludf.DUMMYFUNCTION("""COMPUTED_VALUE"""),0.58517)</f>
        <v>0.58516999999999997</v>
      </c>
      <c r="H2434" s="2">
        <f ca="1">IFERROR(__xludf.DUMMYFUNCTION("""COMPUTED_VALUE"""),48.978)</f>
        <v>48.978000000000002</v>
      </c>
      <c r="I2434" s="2">
        <f ca="1">IFERROR(__xludf.DUMMYFUNCTION("""COMPUTED_VALUE"""),49.69)</f>
        <v>49.69</v>
      </c>
      <c r="J2434" s="2">
        <f ca="1">IFERROR(__xludf.DUMMYFUNCTION("""COMPUTED_VALUE"""),47.566)</f>
        <v>47.566000000000003</v>
      </c>
      <c r="K2434" s="2">
        <f ca="1">IFERROR(__xludf.DUMMYFUNCTION("""COMPUTED_VALUE"""),66.603)</f>
        <v>66.602999999999994</v>
      </c>
      <c r="M2434" s="2">
        <f ca="1">IFERROR(__xludf.DUMMYFUNCTION("""COMPUTED_VALUE"""),17.548)</f>
        <v>17.547999999999998</v>
      </c>
      <c r="U2434" s="3" t="e">
        <f ca="1"/>
        <v>#NAME?</v>
      </c>
    </row>
    <row r="2435" spans="3:21" ht="12.5" x14ac:dyDescent="0.25">
      <c r="C2435" s="4">
        <f ca="1">IFERROR(__xludf.DUMMYFUNCTION("""COMPUTED_VALUE"""),42841.9986111111)</f>
        <v>42841.998611111099</v>
      </c>
      <c r="D2435" s="2">
        <f ca="1">IFERROR(__xludf.DUMMYFUNCTION("""COMPUTED_VALUE"""),64.4537)</f>
        <v>64.453699999999998</v>
      </c>
      <c r="E2435" s="2">
        <f ca="1">IFERROR(__xludf.DUMMYFUNCTION("""COMPUTED_VALUE"""),75.838)</f>
        <v>75.837999999999994</v>
      </c>
      <c r="F2435" s="2">
        <f ca="1">IFERROR(__xludf.DUMMYFUNCTION("""COMPUTED_VALUE"""),81.147)</f>
        <v>81.147000000000006</v>
      </c>
      <c r="G2435" s="2">
        <f ca="1">IFERROR(__xludf.DUMMYFUNCTION("""COMPUTED_VALUE"""),0.58132)</f>
        <v>0.58131999999999995</v>
      </c>
      <c r="H2435" s="2">
        <f ca="1">IFERROR(__xludf.DUMMYFUNCTION("""COMPUTED_VALUE"""),49.131)</f>
        <v>49.131</v>
      </c>
      <c r="I2435" s="2">
        <f ca="1">IFERROR(__xludf.DUMMYFUNCTION("""COMPUTED_VALUE"""),49.933)</f>
        <v>49.933</v>
      </c>
      <c r="J2435" s="2">
        <f ca="1">IFERROR(__xludf.DUMMYFUNCTION("""COMPUTED_VALUE"""),47.498)</f>
        <v>47.497999999999998</v>
      </c>
      <c r="K2435" s="2">
        <f ca="1">IFERROR(__xludf.DUMMYFUNCTION("""COMPUTED_VALUE"""),66.505)</f>
        <v>66.504999999999995</v>
      </c>
      <c r="M2435" s="2">
        <f ca="1">IFERROR(__xludf.DUMMYFUNCTION("""COMPUTED_VALUE"""),17.518)</f>
        <v>17.518000000000001</v>
      </c>
      <c r="U2435" s="3" t="e">
        <f ca="1"/>
        <v>#NAME?</v>
      </c>
    </row>
    <row r="2436" spans="3:21" ht="12.5" x14ac:dyDescent="0.25">
      <c r="C2436" s="4">
        <f ca="1">IFERROR(__xludf.DUMMYFUNCTION("""COMPUTED_VALUE"""),42842.9986111111)</f>
        <v>42842.998611111099</v>
      </c>
      <c r="D2436" s="2">
        <f ca="1">IFERROR(__xludf.DUMMYFUNCTION("""COMPUTED_VALUE"""),64.4083)</f>
        <v>64.408299999999997</v>
      </c>
      <c r="E2436" s="2">
        <f ca="1">IFERROR(__xludf.DUMMYFUNCTION("""COMPUTED_VALUE"""),75.838)</f>
        <v>75.837999999999994</v>
      </c>
      <c r="F2436" s="2">
        <f ca="1">IFERROR(__xludf.DUMMYFUNCTION("""COMPUTED_VALUE"""),81.174)</f>
        <v>81.174000000000007</v>
      </c>
      <c r="G2436" s="2">
        <f ca="1">IFERROR(__xludf.DUMMYFUNCTION("""COMPUTED_VALUE"""),0.58425)</f>
        <v>0.58425000000000005</v>
      </c>
      <c r="H2436" s="2">
        <f ca="1">IFERROR(__xludf.DUMMYFUNCTION("""COMPUTED_VALUE"""),49.285)</f>
        <v>49.284999999999997</v>
      </c>
      <c r="I2436" s="2">
        <f ca="1">IFERROR(__xludf.DUMMYFUNCTION("""COMPUTED_VALUE"""),50.205)</f>
        <v>50.204999999999998</v>
      </c>
      <c r="J2436" s="2">
        <f ca="1">IFERROR(__xludf.DUMMYFUNCTION("""COMPUTED_VALUE"""),47.665)</f>
        <v>47.664999999999999</v>
      </c>
      <c r="K2436" s="2">
        <f ca="1">IFERROR(__xludf.DUMMYFUNCTION("""COMPUTED_VALUE"""),66.806)</f>
        <v>66.805999999999997</v>
      </c>
      <c r="M2436" s="2">
        <f ca="1">IFERROR(__xludf.DUMMYFUNCTION("""COMPUTED_VALUE"""),17.484)</f>
        <v>17.484000000000002</v>
      </c>
      <c r="U2436" s="3" t="e">
        <f ca="1"/>
        <v>#NAME?</v>
      </c>
    </row>
    <row r="2437" spans="3:21" ht="12.5" x14ac:dyDescent="0.25">
      <c r="C2437" s="4">
        <f ca="1">IFERROR(__xludf.DUMMYFUNCTION("""COMPUTED_VALUE"""),42843.9986111111)</f>
        <v>42843.998611111099</v>
      </c>
      <c r="D2437" s="2">
        <f ca="1">IFERROR(__xludf.DUMMYFUNCTION("""COMPUTED_VALUE"""),64.57)</f>
        <v>64.569999999999993</v>
      </c>
      <c r="E2437" s="2">
        <f ca="1">IFERROR(__xludf.DUMMYFUNCTION("""COMPUTED_VALUE"""),75.867)</f>
        <v>75.867000000000004</v>
      </c>
      <c r="F2437" s="2">
        <f ca="1">IFERROR(__xludf.DUMMYFUNCTION("""COMPUTED_VALUE"""),81.123)</f>
        <v>81.123000000000005</v>
      </c>
      <c r="G2437" s="2">
        <f ca="1">IFERROR(__xludf.DUMMYFUNCTION("""COMPUTED_VALUE"""),0.58177)</f>
        <v>0.58177000000000001</v>
      </c>
      <c r="H2437" s="2">
        <f ca="1">IFERROR(__xludf.DUMMYFUNCTION("""COMPUTED_VALUE"""),49.348)</f>
        <v>49.347999999999999</v>
      </c>
      <c r="I2437" s="2">
        <f ca="1">IFERROR(__xludf.DUMMYFUNCTION("""COMPUTED_VALUE"""),50.26)</f>
        <v>50.26</v>
      </c>
      <c r="J2437" s="2">
        <f ca="1">IFERROR(__xludf.DUMMYFUNCTION("""COMPUTED_VALUE"""),47.563)</f>
        <v>47.563000000000002</v>
      </c>
      <c r="K2437" s="2">
        <f ca="1">IFERROR(__xludf.DUMMYFUNCTION("""COMPUTED_VALUE"""),65.78)</f>
        <v>65.78</v>
      </c>
      <c r="M2437" s="2">
        <f ca="1">IFERROR(__xludf.DUMMYFUNCTION("""COMPUTED_VALUE"""),17.578)</f>
        <v>17.577999999999999</v>
      </c>
      <c r="U2437" s="3" t="e">
        <f ca="1"/>
        <v>#NAME?</v>
      </c>
    </row>
    <row r="2438" spans="3:21" ht="12.5" x14ac:dyDescent="0.25">
      <c r="C2438" s="4">
        <f ca="1">IFERROR(__xludf.DUMMYFUNCTION("""COMPUTED_VALUE"""),42844.9986111111)</f>
        <v>42844.998611111099</v>
      </c>
      <c r="D2438" s="2">
        <f ca="1">IFERROR(__xludf.DUMMYFUNCTION("""COMPUTED_VALUE"""),64.6467)</f>
        <v>64.646699999999996</v>
      </c>
      <c r="E2438" s="2">
        <f ca="1">IFERROR(__xludf.DUMMYFUNCTION("""COMPUTED_VALUE"""),76.229)</f>
        <v>76.228999999999999</v>
      </c>
      <c r="F2438" s="2">
        <f ca="1">IFERROR(__xludf.DUMMYFUNCTION("""COMPUTED_VALUE"""),80.741)</f>
        <v>80.741</v>
      </c>
      <c r="G2438" s="2">
        <f ca="1">IFERROR(__xludf.DUMMYFUNCTION("""COMPUTED_VALUE"""),0.58736)</f>
        <v>0.58735999999999999</v>
      </c>
      <c r="H2438" s="2">
        <f ca="1">IFERROR(__xludf.DUMMYFUNCTION("""COMPUTED_VALUE"""),49.348)</f>
        <v>49.347999999999999</v>
      </c>
      <c r="I2438" s="2">
        <f ca="1">IFERROR(__xludf.DUMMYFUNCTION("""COMPUTED_VALUE"""),50.26)</f>
        <v>50.26</v>
      </c>
      <c r="J2438" s="2">
        <f ca="1">IFERROR(__xludf.DUMMYFUNCTION("""COMPUTED_VALUE"""),47.563)</f>
        <v>47.563000000000002</v>
      </c>
      <c r="K2438" s="2">
        <f ca="1">IFERROR(__xludf.DUMMYFUNCTION("""COMPUTED_VALUE"""),66.641)</f>
        <v>66.641000000000005</v>
      </c>
      <c r="M2438" s="2">
        <f ca="1">IFERROR(__xludf.DUMMYFUNCTION("""COMPUTED_VALUE"""),17.539)</f>
        <v>17.539000000000001</v>
      </c>
      <c r="U2438" s="3" t="e">
        <f ca="1"/>
        <v>#NAME?</v>
      </c>
    </row>
    <row r="2439" spans="3:21" ht="12.5" x14ac:dyDescent="0.25">
      <c r="C2439" s="4">
        <f ca="1">IFERROR(__xludf.DUMMYFUNCTION("""COMPUTED_VALUE"""),42845.9986111111)</f>
        <v>42845.998611111099</v>
      </c>
      <c r="D2439" s="2">
        <f ca="1">IFERROR(__xludf.DUMMYFUNCTION("""COMPUTED_VALUE"""),64.66)</f>
        <v>64.66</v>
      </c>
      <c r="E2439" s="2">
        <f ca="1">IFERROR(__xludf.DUMMYFUNCTION("""COMPUTED_VALUE"""),76.432)</f>
        <v>76.432000000000002</v>
      </c>
      <c r="F2439" s="2">
        <f ca="1">IFERROR(__xludf.DUMMYFUNCTION("""COMPUTED_VALUE"""),81.716)</f>
        <v>81.715999999999994</v>
      </c>
      <c r="G2439" s="2">
        <f ca="1">IFERROR(__xludf.DUMMYFUNCTION("""COMPUTED_VALUE"""),0.58512)</f>
        <v>0.58511999999999997</v>
      </c>
      <c r="H2439" s="2">
        <f ca="1">IFERROR(__xludf.DUMMYFUNCTION("""COMPUTED_VALUE"""),49.46)</f>
        <v>49.46</v>
      </c>
      <c r="I2439" s="2">
        <f ca="1">IFERROR(__xludf.DUMMYFUNCTION("""COMPUTED_VALUE"""),50.43)</f>
        <v>50.43</v>
      </c>
      <c r="J2439" s="2">
        <f ca="1">IFERROR(__xludf.DUMMYFUNCTION("""COMPUTED_VALUE"""),47.526)</f>
        <v>47.526000000000003</v>
      </c>
      <c r="K2439" s="2">
        <f ca="1">IFERROR(__xludf.DUMMYFUNCTION("""COMPUTED_VALUE"""),66.894)</f>
        <v>66.894000000000005</v>
      </c>
      <c r="M2439" s="2">
        <f ca="1">IFERROR(__xludf.DUMMYFUNCTION("""COMPUTED_VALUE"""),17.557)</f>
        <v>17.556999999999999</v>
      </c>
      <c r="U2439" s="3" t="e">
        <f ca="1"/>
        <v>#NAME?</v>
      </c>
    </row>
    <row r="2440" spans="3:21" ht="12.5" x14ac:dyDescent="0.25">
      <c r="C2440" s="4">
        <f ca="1">IFERROR(__xludf.DUMMYFUNCTION("""COMPUTED_VALUE"""),42846.9986111111)</f>
        <v>42846.998611111099</v>
      </c>
      <c r="D2440" s="2">
        <f ca="1">IFERROR(__xludf.DUMMYFUNCTION("""COMPUTED_VALUE"""),64.643)</f>
        <v>64.643000000000001</v>
      </c>
      <c r="E2440" s="2">
        <f ca="1">IFERROR(__xludf.DUMMYFUNCTION("""COMPUTED_VALUE"""),76.515)</f>
        <v>76.515000000000001</v>
      </c>
      <c r="F2440" s="2">
        <f ca="1">IFERROR(__xludf.DUMMYFUNCTION("""COMPUTED_VALUE"""),81.533)</f>
        <v>81.533000000000001</v>
      </c>
      <c r="G2440" s="2">
        <f ca="1">IFERROR(__xludf.DUMMYFUNCTION("""COMPUTED_VALUE"""),0.58808)</f>
        <v>0.58808000000000005</v>
      </c>
      <c r="H2440" s="2">
        <f ca="1">IFERROR(__xludf.DUMMYFUNCTION("""COMPUTED_VALUE"""),49.799)</f>
        <v>49.798999999999999</v>
      </c>
      <c r="I2440" s="2">
        <f ca="1">IFERROR(__xludf.DUMMYFUNCTION("""COMPUTED_VALUE"""),50.635)</f>
        <v>50.634999999999998</v>
      </c>
      <c r="J2440" s="2">
        <f ca="1">IFERROR(__xludf.DUMMYFUNCTION("""COMPUTED_VALUE"""),47.624)</f>
        <v>47.624000000000002</v>
      </c>
      <c r="K2440" s="2">
        <f ca="1">IFERROR(__xludf.DUMMYFUNCTION("""COMPUTED_VALUE"""),66.89)</f>
        <v>66.89</v>
      </c>
      <c r="M2440" s="2">
        <f ca="1">IFERROR(__xludf.DUMMYFUNCTION("""COMPUTED_VALUE"""),17.601)</f>
        <v>17.600999999999999</v>
      </c>
      <c r="U2440" s="3" t="e">
        <f ca="1"/>
        <v>#NAME?</v>
      </c>
    </row>
    <row r="2441" spans="3:21" ht="12.5" x14ac:dyDescent="0.25">
      <c r="C2441" s="4">
        <f ca="1">IFERROR(__xludf.DUMMYFUNCTION("""COMPUTED_VALUE"""),42847.9986111111)</f>
        <v>42847.998611111099</v>
      </c>
      <c r="D2441" s="2">
        <f ca="1">IFERROR(__xludf.DUMMYFUNCTION("""COMPUTED_VALUE"""),64.621)</f>
        <v>64.620999999999995</v>
      </c>
      <c r="E2441" s="2">
        <f ca="1">IFERROR(__xludf.DUMMYFUNCTION("""COMPUTED_VALUE"""),75.5603)</f>
        <v>75.560299999999998</v>
      </c>
      <c r="F2441" s="2">
        <f ca="1">IFERROR(__xludf.DUMMYFUNCTION("""COMPUTED_VALUE"""),81.928)</f>
        <v>81.927999999999997</v>
      </c>
      <c r="G2441" s="2">
        <f ca="1">IFERROR(__xludf.DUMMYFUNCTION("""COMPUTED_VALUE"""),0.59184)</f>
        <v>0.59184000000000003</v>
      </c>
      <c r="H2441" s="2">
        <f ca="1">IFERROR(__xludf.DUMMYFUNCTION("""COMPUTED_VALUE"""),49.894)</f>
        <v>49.893999999999998</v>
      </c>
      <c r="I2441" s="2">
        <f ca="1">IFERROR(__xludf.DUMMYFUNCTION("""COMPUTED_VALUE"""),50.945)</f>
        <v>50.945</v>
      </c>
      <c r="J2441" s="2">
        <f ca="1">IFERROR(__xludf.DUMMYFUNCTION("""COMPUTED_VALUE"""),47.791)</f>
        <v>47.790999999999997</v>
      </c>
      <c r="K2441" s="2">
        <f ca="1">IFERROR(__xludf.DUMMYFUNCTION("""COMPUTED_VALUE"""),66.656)</f>
        <v>66.656000000000006</v>
      </c>
      <c r="M2441" s="2">
        <f ca="1">IFERROR(__xludf.DUMMYFUNCTION("""COMPUTED_VALUE"""),17.57)</f>
        <v>17.57</v>
      </c>
      <c r="U2441" s="3" t="e">
        <f ca="1"/>
        <v>#NAME?</v>
      </c>
    </row>
    <row r="2442" spans="3:21" ht="12.5" x14ac:dyDescent="0.25">
      <c r="C2442" s="4">
        <f ca="1">IFERROR(__xludf.DUMMYFUNCTION("""COMPUTED_VALUE"""),42848.9986111111)</f>
        <v>42848.998611111099</v>
      </c>
      <c r="D2442" s="2">
        <f ca="1">IFERROR(__xludf.DUMMYFUNCTION("""COMPUTED_VALUE"""),64.64)</f>
        <v>64.64</v>
      </c>
      <c r="E2442" s="2">
        <f ca="1">IFERROR(__xludf.DUMMYFUNCTION("""COMPUTED_VALUE"""),75.5603)</f>
        <v>75.560299999999998</v>
      </c>
      <c r="F2442" s="2">
        <f ca="1">IFERROR(__xludf.DUMMYFUNCTION("""COMPUTED_VALUE"""),81.606)</f>
        <v>81.605999999999995</v>
      </c>
      <c r="G2442" s="2">
        <f ca="1">IFERROR(__xludf.DUMMYFUNCTION("""COMPUTED_VALUE"""),0.59101)</f>
        <v>0.59101000000000004</v>
      </c>
      <c r="H2442" s="2">
        <f ca="1">IFERROR(__xludf.DUMMYFUNCTION("""COMPUTED_VALUE"""),49.756)</f>
        <v>49.756</v>
      </c>
      <c r="I2442" s="2">
        <f ca="1">IFERROR(__xludf.DUMMYFUNCTION("""COMPUTED_VALUE"""),50.686)</f>
        <v>50.686</v>
      </c>
      <c r="J2442" s="2">
        <f ca="1">IFERROR(__xludf.DUMMYFUNCTION("""COMPUTED_VALUE"""),47.836)</f>
        <v>47.835999999999999</v>
      </c>
      <c r="K2442" s="2">
        <f ca="1">IFERROR(__xludf.DUMMYFUNCTION("""COMPUTED_VALUE"""),66.327)</f>
        <v>66.326999999999998</v>
      </c>
      <c r="M2442" s="2">
        <f ca="1">IFERROR(__xludf.DUMMYFUNCTION("""COMPUTED_VALUE"""),17.583)</f>
        <v>17.582999999999998</v>
      </c>
      <c r="U2442" s="3" t="e">
        <f ca="1"/>
        <v>#NAME?</v>
      </c>
    </row>
    <row r="2443" spans="3:21" ht="12.5" x14ac:dyDescent="0.25">
      <c r="C2443" s="4">
        <f ca="1">IFERROR(__xludf.DUMMYFUNCTION("""COMPUTED_VALUE"""),42849.9986111111)</f>
        <v>42849.998611111099</v>
      </c>
      <c r="D2443" s="2">
        <f ca="1">IFERROR(__xludf.DUMMYFUNCTION("""COMPUTED_VALUE"""),64.39)</f>
        <v>64.39</v>
      </c>
      <c r="E2443" s="2">
        <f ca="1">IFERROR(__xludf.DUMMYFUNCTION("""COMPUTED_VALUE"""),76.472)</f>
        <v>76.471999999999994</v>
      </c>
      <c r="F2443" s="2">
        <f ca="1">IFERROR(__xludf.DUMMYFUNCTION("""COMPUTED_VALUE"""),81.578)</f>
        <v>81.578000000000003</v>
      </c>
      <c r="G2443" s="2">
        <f ca="1">IFERROR(__xludf.DUMMYFUNCTION("""COMPUTED_VALUE"""),0.5908)</f>
        <v>0.59079999999999999</v>
      </c>
      <c r="H2443" s="2">
        <f ca="1">IFERROR(__xludf.DUMMYFUNCTION("""COMPUTED_VALUE"""),49.756)</f>
        <v>49.756</v>
      </c>
      <c r="I2443" s="2">
        <f ca="1">IFERROR(__xludf.DUMMYFUNCTION("""COMPUTED_VALUE"""),50.686)</f>
        <v>50.686</v>
      </c>
      <c r="J2443" s="2">
        <f ca="1">IFERROR(__xludf.DUMMYFUNCTION("""COMPUTED_VALUE"""),47.659)</f>
        <v>47.658999999999999</v>
      </c>
      <c r="K2443" s="2">
        <f ca="1">IFERROR(__xludf.DUMMYFUNCTION("""COMPUTED_VALUE"""),66.258)</f>
        <v>66.257999999999996</v>
      </c>
      <c r="M2443" s="2">
        <f ca="1">IFERROR(__xludf.DUMMYFUNCTION("""COMPUTED_VALUE"""),17.554)</f>
        <v>17.553999999999998</v>
      </c>
      <c r="U2443" s="3" t="e">
        <f ca="1"/>
        <v>#NAME?</v>
      </c>
    </row>
    <row r="2444" spans="3:21" ht="12.5" x14ac:dyDescent="0.25">
      <c r="C2444" s="4">
        <f ca="1">IFERROR(__xludf.DUMMYFUNCTION("""COMPUTED_VALUE"""),42850.9986111111)</f>
        <v>42850.998611111099</v>
      </c>
      <c r="D2444" s="2">
        <f ca="1">IFERROR(__xludf.DUMMYFUNCTION("""COMPUTED_VALUE"""),64.35)</f>
        <v>64.349999999999994</v>
      </c>
      <c r="E2444" s="2">
        <f ca="1">IFERROR(__xludf.DUMMYFUNCTION("""COMPUTED_VALUE"""),76.19)</f>
        <v>76.19</v>
      </c>
      <c r="F2444" s="2">
        <f ca="1">IFERROR(__xludf.DUMMYFUNCTION("""COMPUTED_VALUE"""),81.707)</f>
        <v>81.706999999999994</v>
      </c>
      <c r="G2444" s="2">
        <f ca="1">IFERROR(__xludf.DUMMYFUNCTION("""COMPUTED_VALUE"""),0.59579)</f>
        <v>0.59579000000000004</v>
      </c>
      <c r="H2444" s="2">
        <f ca="1">IFERROR(__xludf.DUMMYFUNCTION("""COMPUTED_VALUE"""),49.084)</f>
        <v>49.084000000000003</v>
      </c>
      <c r="I2444" s="2">
        <f ca="1">IFERROR(__xludf.DUMMYFUNCTION("""COMPUTED_VALUE"""),50.136)</f>
        <v>50.136000000000003</v>
      </c>
      <c r="J2444" s="2">
        <f ca="1">IFERROR(__xludf.DUMMYFUNCTION("""COMPUTED_VALUE"""),47.68)</f>
        <v>47.68</v>
      </c>
      <c r="K2444" s="2">
        <f ca="1">IFERROR(__xludf.DUMMYFUNCTION("""COMPUTED_VALUE"""),66.425)</f>
        <v>66.424999999999997</v>
      </c>
      <c r="M2444" s="2">
        <f ca="1">IFERROR(__xludf.DUMMYFUNCTION("""COMPUTED_VALUE"""),17.557)</f>
        <v>17.556999999999999</v>
      </c>
      <c r="U2444" s="3" t="e">
        <f ca="1"/>
        <v>#NAME?</v>
      </c>
    </row>
    <row r="2445" spans="3:21" ht="12.5" x14ac:dyDescent="0.25">
      <c r="C2445" s="4">
        <f ca="1">IFERROR(__xludf.DUMMYFUNCTION("""COMPUTED_VALUE"""),42851.9986111111)</f>
        <v>42851.998611111099</v>
      </c>
      <c r="D2445" s="2">
        <f ca="1">IFERROR(__xludf.DUMMYFUNCTION("""COMPUTED_VALUE"""),64.02)</f>
        <v>64.02</v>
      </c>
      <c r="E2445" s="2">
        <f ca="1">IFERROR(__xludf.DUMMYFUNCTION("""COMPUTED_VALUE"""),76.434)</f>
        <v>76.433999999999997</v>
      </c>
      <c r="F2445" s="2">
        <f ca="1">IFERROR(__xludf.DUMMYFUNCTION("""COMPUTED_VALUE"""),81.674)</f>
        <v>81.674000000000007</v>
      </c>
      <c r="G2445" s="2">
        <f ca="1">IFERROR(__xludf.DUMMYFUNCTION("""COMPUTED_VALUE"""),0.60093)</f>
        <v>0.60092999999999996</v>
      </c>
      <c r="H2445" s="2">
        <f ca="1">IFERROR(__xludf.DUMMYFUNCTION("""COMPUTED_VALUE"""),49.653)</f>
        <v>49.652999999999999</v>
      </c>
      <c r="I2445" s="2">
        <f ca="1">IFERROR(__xludf.DUMMYFUNCTION("""COMPUTED_VALUE"""),50.697)</f>
        <v>50.697000000000003</v>
      </c>
      <c r="J2445" s="2">
        <f ca="1">IFERROR(__xludf.DUMMYFUNCTION("""COMPUTED_VALUE"""),47.04)</f>
        <v>47.04</v>
      </c>
      <c r="K2445" s="2">
        <f ca="1">IFERROR(__xludf.DUMMYFUNCTION("""COMPUTED_VALUE"""),66.226)</f>
        <v>66.225999999999999</v>
      </c>
      <c r="M2445" s="2">
        <f ca="1">IFERROR(__xludf.DUMMYFUNCTION("""COMPUTED_VALUE"""),17.557)</f>
        <v>17.556999999999999</v>
      </c>
      <c r="U2445" s="3" t="e">
        <f ca="1"/>
        <v>#NAME?</v>
      </c>
    </row>
    <row r="2446" spans="3:21" ht="12.5" x14ac:dyDescent="0.25">
      <c r="C2446" s="4">
        <f ca="1">IFERROR(__xludf.DUMMYFUNCTION("""COMPUTED_VALUE"""),42852.9986111111)</f>
        <v>42852.998611111099</v>
      </c>
      <c r="D2446" s="2">
        <f ca="1">IFERROR(__xludf.DUMMYFUNCTION("""COMPUTED_VALUE"""),64.06)</f>
        <v>64.06</v>
      </c>
      <c r="E2446" s="2">
        <f ca="1">IFERROR(__xludf.DUMMYFUNCTION("""COMPUTED_VALUE"""),76.115)</f>
        <v>76.114999999999995</v>
      </c>
      <c r="F2446" s="2">
        <f ca="1">IFERROR(__xludf.DUMMYFUNCTION("""COMPUTED_VALUE"""),80.89)</f>
        <v>80.89</v>
      </c>
      <c r="G2446" s="2">
        <f ca="1">IFERROR(__xludf.DUMMYFUNCTION("""COMPUTED_VALUE"""),0.6016)</f>
        <v>0.60160000000000002</v>
      </c>
      <c r="H2446" s="2">
        <f ca="1">IFERROR(__xludf.DUMMYFUNCTION("""COMPUTED_VALUE"""),49.648)</f>
        <v>49.648000000000003</v>
      </c>
      <c r="I2446" s="2">
        <f ca="1">IFERROR(__xludf.DUMMYFUNCTION("""COMPUTED_VALUE"""),50.557)</f>
        <v>50.557000000000002</v>
      </c>
      <c r="J2446" s="2">
        <f ca="1">IFERROR(__xludf.DUMMYFUNCTION("""COMPUTED_VALUE"""),47.7)</f>
        <v>47.7</v>
      </c>
      <c r="K2446" s="2">
        <f ca="1">IFERROR(__xludf.DUMMYFUNCTION("""COMPUTED_VALUE"""),66.499)</f>
        <v>66.498999999999995</v>
      </c>
      <c r="M2446" s="2">
        <f ca="1">IFERROR(__xludf.DUMMYFUNCTION("""COMPUTED_VALUE"""),17.538)</f>
        <v>17.538</v>
      </c>
      <c r="U2446" s="3" t="e">
        <f ca="1"/>
        <v>#NAME?</v>
      </c>
    </row>
    <row r="2447" spans="3:21" ht="12.5" x14ac:dyDescent="0.25">
      <c r="C2447" s="4">
        <f ca="1">IFERROR(__xludf.DUMMYFUNCTION("""COMPUTED_VALUE"""),42853.9986111111)</f>
        <v>42853.998611111099</v>
      </c>
      <c r="D2447" s="2">
        <f ca="1">IFERROR(__xludf.DUMMYFUNCTION("""COMPUTED_VALUE"""),64.283)</f>
        <v>64.283000000000001</v>
      </c>
      <c r="E2447" s="2">
        <f ca="1">IFERROR(__xludf.DUMMYFUNCTION("""COMPUTED_VALUE"""),75.903)</f>
        <v>75.903000000000006</v>
      </c>
      <c r="F2447" s="2">
        <f ca="1">IFERROR(__xludf.DUMMYFUNCTION("""COMPUTED_VALUE"""),80.592)</f>
        <v>80.591999999999999</v>
      </c>
      <c r="G2447" s="2">
        <f ca="1">IFERROR(__xludf.DUMMYFUNCTION("""COMPUTED_VALUE"""),0.60359)</f>
        <v>0.60358999999999996</v>
      </c>
      <c r="H2447" s="2">
        <f ca="1">IFERROR(__xludf.DUMMYFUNCTION("""COMPUTED_VALUE"""),49.801)</f>
        <v>49.801000000000002</v>
      </c>
      <c r="I2447" s="2">
        <f ca="1">IFERROR(__xludf.DUMMYFUNCTION("""COMPUTED_VALUE"""),50.702)</f>
        <v>50.701999999999998</v>
      </c>
      <c r="J2447" s="2">
        <f ca="1">IFERROR(__xludf.DUMMYFUNCTION("""COMPUTED_VALUE"""),47.687)</f>
        <v>47.686999999999998</v>
      </c>
      <c r="K2447" s="2">
        <f ca="1">IFERROR(__xludf.DUMMYFUNCTION("""COMPUTED_VALUE"""),65.995)</f>
        <v>65.995000000000005</v>
      </c>
      <c r="M2447" s="2">
        <f ca="1">IFERROR(__xludf.DUMMYFUNCTION("""COMPUTED_VALUE"""),17.565)</f>
        <v>17.565000000000001</v>
      </c>
      <c r="U2447" s="3" t="e">
        <f ca="1"/>
        <v>#NAME?</v>
      </c>
    </row>
    <row r="2448" spans="3:21" ht="12.5" x14ac:dyDescent="0.25">
      <c r="C2448" s="4">
        <f ca="1">IFERROR(__xludf.DUMMYFUNCTION("""COMPUTED_VALUE"""),42854.9986111111)</f>
        <v>42854.998611111099</v>
      </c>
      <c r="D2448" s="2">
        <f ca="1">IFERROR(__xludf.DUMMYFUNCTION("""COMPUTED_VALUE"""),64.283)</f>
        <v>64.283000000000001</v>
      </c>
      <c r="E2448" s="2">
        <f ca="1">IFERROR(__xludf.DUMMYFUNCTION("""COMPUTED_VALUE"""),75.878)</f>
        <v>75.878</v>
      </c>
      <c r="F2448" s="2">
        <f ca="1">IFERROR(__xludf.DUMMYFUNCTION("""COMPUTED_VALUE"""),80.839)</f>
        <v>80.838999999999999</v>
      </c>
      <c r="G2448" s="2">
        <f ca="1">IFERROR(__xludf.DUMMYFUNCTION("""COMPUTED_VALUE"""),0.60138)</f>
        <v>0.60138000000000003</v>
      </c>
      <c r="H2448" s="2">
        <f ca="1">IFERROR(__xludf.DUMMYFUNCTION("""COMPUTED_VALUE"""),49.755)</f>
        <v>49.755000000000003</v>
      </c>
      <c r="I2448" s="2">
        <f ca="1">IFERROR(__xludf.DUMMYFUNCTION("""COMPUTED_VALUE"""),50.951)</f>
        <v>50.951000000000001</v>
      </c>
      <c r="J2448" s="2">
        <f ca="1">IFERROR(__xludf.DUMMYFUNCTION("""COMPUTED_VALUE"""),47.718)</f>
        <v>47.718000000000004</v>
      </c>
      <c r="K2448" s="2">
        <f ca="1">IFERROR(__xludf.DUMMYFUNCTION("""COMPUTED_VALUE"""),65.968)</f>
        <v>65.968000000000004</v>
      </c>
      <c r="M2448" s="2">
        <f ca="1">IFERROR(__xludf.DUMMYFUNCTION("""COMPUTED_VALUE"""),17.561)</f>
        <v>17.561</v>
      </c>
      <c r="U2448" s="3" t="e">
        <f ca="1"/>
        <v>#NAME?</v>
      </c>
    </row>
    <row r="2449" spans="3:21" ht="12.5" x14ac:dyDescent="0.25">
      <c r="C2449" s="4">
        <f ca="1">IFERROR(__xludf.DUMMYFUNCTION("""COMPUTED_VALUE"""),42855.9986111111)</f>
        <v>42855.998611111099</v>
      </c>
      <c r="D2449" s="2">
        <f ca="1">IFERROR(__xludf.DUMMYFUNCTION("""COMPUTED_VALUE"""),64.2583)</f>
        <v>64.258300000000006</v>
      </c>
      <c r="E2449" s="2">
        <f ca="1">IFERROR(__xludf.DUMMYFUNCTION("""COMPUTED_VALUE"""),75.996)</f>
        <v>75.995999999999995</v>
      </c>
      <c r="F2449" s="2">
        <f ca="1">IFERROR(__xludf.DUMMYFUNCTION("""COMPUTED_VALUE"""),81.391)</f>
        <v>81.391000000000005</v>
      </c>
      <c r="G2449" s="2">
        <f ca="1">IFERROR(__xludf.DUMMYFUNCTION("""COMPUTED_VALUE"""),0.60338)</f>
        <v>0.60338000000000003</v>
      </c>
      <c r="H2449" s="2">
        <f ca="1">IFERROR(__xludf.DUMMYFUNCTION("""COMPUTED_VALUE"""),49.75)</f>
        <v>49.75</v>
      </c>
      <c r="I2449" s="2">
        <f ca="1">IFERROR(__xludf.DUMMYFUNCTION("""COMPUTED_VALUE"""),51.074)</f>
        <v>51.073999999999998</v>
      </c>
      <c r="J2449" s="2">
        <f ca="1">IFERROR(__xludf.DUMMYFUNCTION("""COMPUTED_VALUE"""),47.668)</f>
        <v>47.667999999999999</v>
      </c>
      <c r="K2449" s="2">
        <f ca="1">IFERROR(__xludf.DUMMYFUNCTION("""COMPUTED_VALUE"""),65.63)</f>
        <v>65.63</v>
      </c>
      <c r="M2449" s="2">
        <f ca="1">IFERROR(__xludf.DUMMYFUNCTION("""COMPUTED_VALUE"""),17.6)</f>
        <v>17.600000000000001</v>
      </c>
      <c r="U2449" s="3" t="e">
        <f ca="1"/>
        <v>#NAME?</v>
      </c>
    </row>
    <row r="2450" spans="3:21" ht="12.5" x14ac:dyDescent="0.25">
      <c r="C2450" s="4">
        <f ca="1">IFERROR(__xludf.DUMMYFUNCTION("""COMPUTED_VALUE"""),42856.9986111111)</f>
        <v>42856.998611111099</v>
      </c>
      <c r="D2450" s="2">
        <f ca="1">IFERROR(__xludf.DUMMYFUNCTION("""COMPUTED_VALUE"""),64.18)</f>
        <v>64.180000000000007</v>
      </c>
      <c r="E2450" s="2">
        <f ca="1">IFERROR(__xludf.DUMMYFUNCTION("""COMPUTED_VALUE"""),76.612)</f>
        <v>76.611999999999995</v>
      </c>
      <c r="F2450" s="2">
        <f ca="1">IFERROR(__xludf.DUMMYFUNCTION("""COMPUTED_VALUE"""),81.32)</f>
        <v>81.319999999999993</v>
      </c>
      <c r="G2450" s="2">
        <f ca="1">IFERROR(__xludf.DUMMYFUNCTION("""COMPUTED_VALUE"""),0.60153)</f>
        <v>0.60153000000000001</v>
      </c>
      <c r="H2450" s="2">
        <f ca="1">IFERROR(__xludf.DUMMYFUNCTION("""COMPUTED_VALUE"""),49.681)</f>
        <v>49.680999999999997</v>
      </c>
      <c r="I2450" s="2">
        <f ca="1">IFERROR(__xludf.DUMMYFUNCTION("""COMPUTED_VALUE"""),50.992)</f>
        <v>50.991999999999997</v>
      </c>
      <c r="J2450" s="2">
        <f ca="1">IFERROR(__xludf.DUMMYFUNCTION("""COMPUTED_VALUE"""),47.601)</f>
        <v>47.600999999999999</v>
      </c>
      <c r="K2450" s="2">
        <f ca="1">IFERROR(__xludf.DUMMYFUNCTION("""COMPUTED_VALUE"""),65.587)</f>
        <v>65.587000000000003</v>
      </c>
      <c r="M2450" s="2">
        <f ca="1">IFERROR(__xludf.DUMMYFUNCTION("""COMPUTED_VALUE"""),17.587)</f>
        <v>17.587</v>
      </c>
      <c r="U2450" s="3" t="e">
        <f ca="1"/>
        <v>#NAME?</v>
      </c>
    </row>
    <row r="2451" spans="3:21" ht="12.5" x14ac:dyDescent="0.25">
      <c r="C2451" s="4">
        <f ca="1">IFERROR(__xludf.DUMMYFUNCTION("""COMPUTED_VALUE"""),42857.9986111111)</f>
        <v>42857.998611111099</v>
      </c>
      <c r="D2451" s="2">
        <f ca="1">IFERROR(__xludf.DUMMYFUNCTION("""COMPUTED_VALUE"""),64.07)</f>
        <v>64.069999999999993</v>
      </c>
      <c r="E2451" s="2">
        <f ca="1">IFERROR(__xludf.DUMMYFUNCTION("""COMPUTED_VALUE"""),76.176)</f>
        <v>76.176000000000002</v>
      </c>
      <c r="F2451" s="2">
        <f ca="1">IFERROR(__xludf.DUMMYFUNCTION("""COMPUTED_VALUE"""),81.331)</f>
        <v>81.331000000000003</v>
      </c>
      <c r="G2451" s="2">
        <f ca="1">IFERROR(__xludf.DUMMYFUNCTION("""COMPUTED_VALUE"""),0.60782)</f>
        <v>0.60782000000000003</v>
      </c>
      <c r="H2451" s="2">
        <f ca="1">IFERROR(__xludf.DUMMYFUNCTION("""COMPUTED_VALUE"""),49.876)</f>
        <v>49.875999999999998</v>
      </c>
      <c r="I2451" s="2">
        <f ca="1">IFERROR(__xludf.DUMMYFUNCTION("""COMPUTED_VALUE"""),50.726)</f>
        <v>50.725999999999999</v>
      </c>
      <c r="J2451" s="2">
        <f ca="1">IFERROR(__xludf.DUMMYFUNCTION("""COMPUTED_VALUE"""),47.59)</f>
        <v>47.59</v>
      </c>
      <c r="K2451" s="2">
        <f ca="1">IFERROR(__xludf.DUMMYFUNCTION("""COMPUTED_VALUE"""),64.905)</f>
        <v>64.905000000000001</v>
      </c>
      <c r="M2451" s="2">
        <f ca="1">IFERROR(__xludf.DUMMYFUNCTION("""COMPUTED_VALUE"""),17.59)</f>
        <v>17.59</v>
      </c>
      <c r="U2451" s="3" t="e">
        <f ca="1"/>
        <v>#NAME?</v>
      </c>
    </row>
    <row r="2452" spans="3:21" ht="12.5" x14ac:dyDescent="0.25">
      <c r="C2452" s="4">
        <f ca="1">IFERROR(__xludf.DUMMYFUNCTION("""COMPUTED_VALUE"""),42858.9986111111)</f>
        <v>42858.998611111099</v>
      </c>
      <c r="D2452" s="2">
        <f ca="1">IFERROR(__xludf.DUMMYFUNCTION("""COMPUTED_VALUE"""),64.21)</f>
        <v>64.209999999999994</v>
      </c>
      <c r="E2452" s="2">
        <f ca="1">IFERROR(__xludf.DUMMYFUNCTION("""COMPUTED_VALUE"""),77.442)</f>
        <v>77.441999999999993</v>
      </c>
      <c r="F2452" s="2">
        <f ca="1">IFERROR(__xludf.DUMMYFUNCTION("""COMPUTED_VALUE"""),81.046)</f>
        <v>81.046000000000006</v>
      </c>
      <c r="G2452" s="2">
        <f ca="1">IFERROR(__xludf.DUMMYFUNCTION("""COMPUTED_VALUE"""),0.60482)</f>
        <v>0.60482000000000002</v>
      </c>
      <c r="H2452" s="2">
        <f ca="1">IFERROR(__xludf.DUMMYFUNCTION("""COMPUTED_VALUE"""),50.185)</f>
        <v>50.185000000000002</v>
      </c>
      <c r="I2452" s="2">
        <f ca="1">IFERROR(__xludf.DUMMYFUNCTION("""COMPUTED_VALUE"""),50.812)</f>
        <v>50.811999999999998</v>
      </c>
      <c r="J2452" s="2">
        <f ca="1">IFERROR(__xludf.DUMMYFUNCTION("""COMPUTED_VALUE"""),47.655)</f>
        <v>47.655000000000001</v>
      </c>
      <c r="K2452" s="2">
        <f ca="1">IFERROR(__xludf.DUMMYFUNCTION("""COMPUTED_VALUE"""),65.114)</f>
        <v>65.114000000000004</v>
      </c>
      <c r="M2452" s="2">
        <f ca="1">IFERROR(__xludf.DUMMYFUNCTION("""COMPUTED_VALUE"""),17.652)</f>
        <v>17.652000000000001</v>
      </c>
      <c r="U2452" s="3" t="e">
        <f ca="1"/>
        <v>#NAME?</v>
      </c>
    </row>
    <row r="2453" spans="3:21" ht="12.5" x14ac:dyDescent="0.25">
      <c r="C2453" s="4">
        <f ca="1">IFERROR(__xludf.DUMMYFUNCTION("""COMPUTED_VALUE"""),42859.9986111111)</f>
        <v>42859.998611111099</v>
      </c>
      <c r="D2453" s="2">
        <f ca="1">IFERROR(__xludf.DUMMYFUNCTION("""COMPUTED_VALUE"""),64.17)</f>
        <v>64.17</v>
      </c>
      <c r="E2453" s="2">
        <f ca="1">IFERROR(__xludf.DUMMYFUNCTION("""COMPUTED_VALUE"""),77.84)</f>
        <v>77.84</v>
      </c>
      <c r="F2453" s="2">
        <f ca="1">IFERROR(__xludf.DUMMYFUNCTION("""COMPUTED_VALUE"""),80.92)</f>
        <v>80.92</v>
      </c>
      <c r="G2453" s="2">
        <f ca="1">IFERROR(__xludf.DUMMYFUNCTION("""COMPUTED_VALUE"""),0.59882)</f>
        <v>0.59882000000000002</v>
      </c>
      <c r="H2453" s="2">
        <f ca="1">IFERROR(__xludf.DUMMYFUNCTION("""COMPUTED_VALUE"""),50.277)</f>
        <v>50.277000000000001</v>
      </c>
      <c r="I2453" s="2">
        <f ca="1">IFERROR(__xludf.DUMMYFUNCTION("""COMPUTED_VALUE"""),50.959)</f>
        <v>50.959000000000003</v>
      </c>
      <c r="J2453" s="2">
        <f ca="1">IFERROR(__xludf.DUMMYFUNCTION("""COMPUTED_VALUE"""),47.853)</f>
        <v>47.853000000000002</v>
      </c>
      <c r="K2453" s="2">
        <f ca="1">IFERROR(__xludf.DUMMYFUNCTION("""COMPUTED_VALUE"""),65.131)</f>
        <v>65.131</v>
      </c>
      <c r="M2453" s="2">
        <f ca="1">IFERROR(__xludf.DUMMYFUNCTION("""COMPUTED_VALUE"""),17.632)</f>
        <v>17.632000000000001</v>
      </c>
      <c r="U2453" s="3" t="e">
        <f ca="1"/>
        <v>#NAME?</v>
      </c>
    </row>
    <row r="2454" spans="3:21" ht="12.5" x14ac:dyDescent="0.25">
      <c r="C2454" s="4">
        <f ca="1">IFERROR(__xludf.DUMMYFUNCTION("""COMPUTED_VALUE"""),42860.9986111111)</f>
        <v>42860.998611111099</v>
      </c>
      <c r="D2454" s="2">
        <f ca="1">IFERROR(__xludf.DUMMYFUNCTION("""COMPUTED_VALUE"""),64.308)</f>
        <v>64.308000000000007</v>
      </c>
      <c r="E2454" s="2">
        <f ca="1">IFERROR(__xludf.DUMMYFUNCTION("""COMPUTED_VALUE"""),78.479)</f>
        <v>78.478999999999999</v>
      </c>
      <c r="F2454" s="2">
        <f ca="1">IFERROR(__xludf.DUMMYFUNCTION("""COMPUTED_VALUE"""),81.214)</f>
        <v>81.213999999999999</v>
      </c>
      <c r="G2454" s="2">
        <f ca="1">IFERROR(__xludf.DUMMYFUNCTION("""COMPUTED_VALUE"""),0.60478)</f>
        <v>0.60477999999999998</v>
      </c>
      <c r="H2454" s="2">
        <f ca="1">IFERROR(__xludf.DUMMYFUNCTION("""COMPUTED_VALUE"""),49.396)</f>
        <v>49.396000000000001</v>
      </c>
      <c r="I2454" s="2">
        <f ca="1">IFERROR(__xludf.DUMMYFUNCTION("""COMPUTED_VALUE"""),50.126)</f>
        <v>50.125999999999998</v>
      </c>
      <c r="J2454" s="2">
        <f ca="1">IFERROR(__xludf.DUMMYFUNCTION("""COMPUTED_VALUE"""),47.968)</f>
        <v>47.968000000000004</v>
      </c>
      <c r="K2454" s="2">
        <f ca="1">IFERROR(__xludf.DUMMYFUNCTION("""COMPUTED_VALUE"""),64.838)</f>
        <v>64.837999999999994</v>
      </c>
      <c r="M2454" s="2">
        <f ca="1">IFERROR(__xludf.DUMMYFUNCTION("""COMPUTED_VALUE"""),17.637)</f>
        <v>17.637</v>
      </c>
      <c r="U2454" s="3" t="e">
        <f ca="1"/>
        <v>#NAME?</v>
      </c>
    </row>
    <row r="2455" spans="3:21" ht="12.5" x14ac:dyDescent="0.25">
      <c r="C2455" s="4">
        <f ca="1">IFERROR(__xludf.DUMMYFUNCTION("""COMPUTED_VALUE"""),42861.9986111111)</f>
        <v>42861.998611111099</v>
      </c>
      <c r="D2455" s="2">
        <f ca="1">IFERROR(__xludf.DUMMYFUNCTION("""COMPUTED_VALUE"""),64.318)</f>
        <v>64.317999999999998</v>
      </c>
      <c r="E2455" s="2">
        <f ca="1">IFERROR(__xludf.DUMMYFUNCTION("""COMPUTED_VALUE"""),77.767)</f>
        <v>77.766999999999996</v>
      </c>
      <c r="F2455" s="2">
        <f ca="1">IFERROR(__xludf.DUMMYFUNCTION("""COMPUTED_VALUE"""),80.544)</f>
        <v>80.543999999999997</v>
      </c>
      <c r="G2455" s="2">
        <f ca="1">IFERROR(__xludf.DUMMYFUNCTION("""COMPUTED_VALUE"""),0.60428)</f>
        <v>0.60428000000000004</v>
      </c>
      <c r="H2455" s="2">
        <f ca="1">IFERROR(__xludf.DUMMYFUNCTION("""COMPUTED_VALUE"""),50.519)</f>
        <v>50.518999999999998</v>
      </c>
      <c r="I2455" s="2">
        <f ca="1">IFERROR(__xludf.DUMMYFUNCTION("""COMPUTED_VALUE"""),51.06)</f>
        <v>51.06</v>
      </c>
      <c r="J2455" s="2">
        <f ca="1">IFERROR(__xludf.DUMMYFUNCTION("""COMPUTED_VALUE"""),47.16)</f>
        <v>47.16</v>
      </c>
      <c r="K2455" s="2">
        <f ca="1">IFERROR(__xludf.DUMMYFUNCTION("""COMPUTED_VALUE"""),64.325)</f>
        <v>64.325000000000003</v>
      </c>
      <c r="M2455" s="2">
        <f ca="1">IFERROR(__xludf.DUMMYFUNCTION("""COMPUTED_VALUE"""),17.617)</f>
        <v>17.617000000000001</v>
      </c>
      <c r="U2455" s="3" t="e">
        <f ca="1"/>
        <v>#NAME?</v>
      </c>
    </row>
    <row r="2456" spans="3:21" ht="12.5" x14ac:dyDescent="0.25">
      <c r="C2456" s="4">
        <f ca="1">IFERROR(__xludf.DUMMYFUNCTION("""COMPUTED_VALUE"""),42862.9986111111)</f>
        <v>42862.998611111099</v>
      </c>
      <c r="D2456" s="2">
        <f ca="1">IFERROR(__xludf.DUMMYFUNCTION("""COMPUTED_VALUE"""),64.318)</f>
        <v>64.317999999999998</v>
      </c>
      <c r="E2456" s="2">
        <f ca="1">IFERROR(__xludf.DUMMYFUNCTION("""COMPUTED_VALUE"""),78.075)</f>
        <v>78.075000000000003</v>
      </c>
      <c r="F2456" s="2">
        <f ca="1">IFERROR(__xludf.DUMMYFUNCTION("""COMPUTED_VALUE"""),79.572)</f>
        <v>79.572000000000003</v>
      </c>
      <c r="G2456" s="2">
        <f ca="1">IFERROR(__xludf.DUMMYFUNCTION("""COMPUTED_VALUE"""),0.60371)</f>
        <v>0.60370999999999997</v>
      </c>
      <c r="H2456" s="2">
        <f ca="1">IFERROR(__xludf.DUMMYFUNCTION("""COMPUTED_VALUE"""),50.971)</f>
        <v>50.970999999999997</v>
      </c>
      <c r="I2456" s="2">
        <f ca="1">IFERROR(__xludf.DUMMYFUNCTION("""COMPUTED_VALUE"""),51.47)</f>
        <v>51.47</v>
      </c>
      <c r="J2456" s="2">
        <f ca="1">IFERROR(__xludf.DUMMYFUNCTION("""COMPUTED_VALUE"""),47.977)</f>
        <v>47.976999999999997</v>
      </c>
      <c r="K2456" s="2">
        <f ca="1">IFERROR(__xludf.DUMMYFUNCTION("""COMPUTED_VALUE"""),64.551)</f>
        <v>64.551000000000002</v>
      </c>
      <c r="M2456" s="2">
        <f ca="1">IFERROR(__xludf.DUMMYFUNCTION("""COMPUTED_VALUE"""),17.582)</f>
        <v>17.582000000000001</v>
      </c>
      <c r="U2456" s="3" t="e">
        <f ca="1"/>
        <v>#NAME?</v>
      </c>
    </row>
    <row r="2457" spans="3:21" ht="12.5" x14ac:dyDescent="0.25">
      <c r="C2457" s="4">
        <f ca="1">IFERROR(__xludf.DUMMYFUNCTION("""COMPUTED_VALUE"""),42863.9986111111)</f>
        <v>42863.998611111099</v>
      </c>
      <c r="D2457" s="2">
        <f ca="1">IFERROR(__xludf.DUMMYFUNCTION("""COMPUTED_VALUE"""),64.4118)</f>
        <v>64.411799999999999</v>
      </c>
      <c r="E2457" s="2">
        <f ca="1">IFERROR(__xludf.DUMMYFUNCTION("""COMPUTED_VALUE"""),77.93)</f>
        <v>77.930000000000007</v>
      </c>
      <c r="F2457" s="2">
        <f ca="1">IFERROR(__xludf.DUMMYFUNCTION("""COMPUTED_VALUE"""),79.515)</f>
        <v>79.515000000000001</v>
      </c>
      <c r="G2457" s="2">
        <f ca="1">IFERROR(__xludf.DUMMYFUNCTION("""COMPUTED_VALUE"""),0.6109)</f>
        <v>0.6109</v>
      </c>
      <c r="H2457" s="2">
        <f ca="1">IFERROR(__xludf.DUMMYFUNCTION("""COMPUTED_VALUE"""),50.882)</f>
        <v>50.881999999999998</v>
      </c>
      <c r="I2457" s="2">
        <f ca="1">IFERROR(__xludf.DUMMYFUNCTION("""COMPUTED_VALUE"""),51.314)</f>
        <v>51.314</v>
      </c>
      <c r="J2457" s="2">
        <f ca="1">IFERROR(__xludf.DUMMYFUNCTION("""COMPUTED_VALUE"""),48.444)</f>
        <v>48.444000000000003</v>
      </c>
      <c r="K2457" s="2">
        <f ca="1">IFERROR(__xludf.DUMMYFUNCTION("""COMPUTED_VALUE"""),64.452)</f>
        <v>64.451999999999998</v>
      </c>
      <c r="M2457" s="2">
        <f ca="1">IFERROR(__xludf.DUMMYFUNCTION("""COMPUTED_VALUE"""),17.609)</f>
        <v>17.609000000000002</v>
      </c>
      <c r="U2457" s="3" t="e">
        <f ca="1"/>
        <v>#NAME?</v>
      </c>
    </row>
    <row r="2458" spans="3:21" ht="12.5" x14ac:dyDescent="0.25">
      <c r="C2458" s="4">
        <f ca="1">IFERROR(__xludf.DUMMYFUNCTION("""COMPUTED_VALUE"""),42864.9986111111)</f>
        <v>42864.998611111099</v>
      </c>
      <c r="D2458" s="2">
        <f ca="1">IFERROR(__xludf.DUMMYFUNCTION("""COMPUTED_VALUE"""),64.64)</f>
        <v>64.64</v>
      </c>
      <c r="E2458" s="2">
        <f ca="1">IFERROR(__xludf.DUMMYFUNCTION("""COMPUTED_VALUE"""),77.93)</f>
        <v>77.930000000000007</v>
      </c>
      <c r="F2458" s="2">
        <f ca="1">IFERROR(__xludf.DUMMYFUNCTION("""COMPUTED_VALUE"""),79.469)</f>
        <v>79.468999999999994</v>
      </c>
      <c r="G2458" s="2">
        <f ca="1">IFERROR(__xludf.DUMMYFUNCTION("""COMPUTED_VALUE"""),0.61374)</f>
        <v>0.61373999999999995</v>
      </c>
      <c r="H2458" s="2">
        <f ca="1">IFERROR(__xludf.DUMMYFUNCTION("""COMPUTED_VALUE"""),51.081)</f>
        <v>51.081000000000003</v>
      </c>
      <c r="I2458" s="2">
        <f ca="1">IFERROR(__xludf.DUMMYFUNCTION("""COMPUTED_VALUE"""),51.411)</f>
        <v>51.411000000000001</v>
      </c>
      <c r="J2458" s="2">
        <f ca="1">IFERROR(__xludf.DUMMYFUNCTION("""COMPUTED_VALUE"""),48.147)</f>
        <v>48.146999999999998</v>
      </c>
      <c r="K2458" s="2">
        <f ca="1">IFERROR(__xludf.DUMMYFUNCTION("""COMPUTED_VALUE"""),64.701)</f>
        <v>64.700999999999993</v>
      </c>
      <c r="M2458" s="2">
        <f ca="1">IFERROR(__xludf.DUMMYFUNCTION("""COMPUTED_VALUE"""),17.592)</f>
        <v>17.591999999999999</v>
      </c>
      <c r="U2458" s="3" t="e">
        <f ca="1"/>
        <v>#NAME?</v>
      </c>
    </row>
    <row r="2459" spans="3:21" ht="12.5" x14ac:dyDescent="0.25">
      <c r="C2459" s="4">
        <f ca="1">IFERROR(__xludf.DUMMYFUNCTION("""COMPUTED_VALUE"""),42865.9986111111)</f>
        <v>42865.998611111099</v>
      </c>
      <c r="D2459" s="2">
        <f ca="1">IFERROR(__xludf.DUMMYFUNCTION("""COMPUTED_VALUE"""),64.55)</f>
        <v>64.55</v>
      </c>
      <c r="E2459" s="2">
        <f ca="1">IFERROR(__xludf.DUMMYFUNCTION("""COMPUTED_VALUE"""),78.227)</f>
        <v>78.227000000000004</v>
      </c>
      <c r="F2459" s="2">
        <f ca="1">IFERROR(__xludf.DUMMYFUNCTION("""COMPUTED_VALUE"""),80.237)</f>
        <v>80.236999999999995</v>
      </c>
      <c r="G2459" s="2">
        <f ca="1">IFERROR(__xludf.DUMMYFUNCTION("""COMPUTED_VALUE"""),0.61629)</f>
        <v>0.61629</v>
      </c>
      <c r="H2459" s="2">
        <f ca="1">IFERROR(__xludf.DUMMYFUNCTION("""COMPUTED_VALUE"""),50.933)</f>
        <v>50.933</v>
      </c>
      <c r="I2459" s="2">
        <f ca="1">IFERROR(__xludf.DUMMYFUNCTION("""COMPUTED_VALUE"""),51.018)</f>
        <v>51.018000000000001</v>
      </c>
      <c r="J2459" s="2">
        <f ca="1">IFERROR(__xludf.DUMMYFUNCTION("""COMPUTED_VALUE"""),48.312)</f>
        <v>48.311999999999998</v>
      </c>
      <c r="K2459" s="2">
        <f ca="1">IFERROR(__xludf.DUMMYFUNCTION("""COMPUTED_VALUE"""),65.086)</f>
        <v>65.085999999999999</v>
      </c>
      <c r="M2459" s="2">
        <f ca="1">IFERROR(__xludf.DUMMYFUNCTION("""COMPUTED_VALUE"""),17.548)</f>
        <v>17.547999999999998</v>
      </c>
      <c r="U2459" s="3" t="e">
        <f ca="1"/>
        <v>#NAME?</v>
      </c>
    </row>
    <row r="2460" spans="3:21" ht="12.5" x14ac:dyDescent="0.25">
      <c r="C2460" s="4">
        <f ca="1">IFERROR(__xludf.DUMMYFUNCTION("""COMPUTED_VALUE"""),42866.9986111111)</f>
        <v>42866.998611111099</v>
      </c>
      <c r="D2460" s="2">
        <f ca="1">IFERROR(__xludf.DUMMYFUNCTION("""COMPUTED_VALUE"""),64.36)</f>
        <v>64.36</v>
      </c>
      <c r="E2460" s="2">
        <f ca="1">IFERROR(__xludf.DUMMYFUNCTION("""COMPUTED_VALUE"""),78.415)</f>
        <v>78.415000000000006</v>
      </c>
      <c r="F2460" s="2">
        <f ca="1">IFERROR(__xludf.DUMMYFUNCTION("""COMPUTED_VALUE"""),80.733)</f>
        <v>80.733000000000004</v>
      </c>
      <c r="G2460" s="2">
        <f ca="1">IFERROR(__xludf.DUMMYFUNCTION("""COMPUTED_VALUE"""),0.61144)</f>
        <v>0.61143999999999998</v>
      </c>
      <c r="H2460" s="2">
        <f ca="1">IFERROR(__xludf.DUMMYFUNCTION("""COMPUTED_VALUE"""),50.936)</f>
        <v>50.936</v>
      </c>
      <c r="I2460" s="2">
        <f ca="1">IFERROR(__xludf.DUMMYFUNCTION("""COMPUTED_VALUE"""),51.018)</f>
        <v>51.018000000000001</v>
      </c>
      <c r="J2460" s="2">
        <f ca="1">IFERROR(__xludf.DUMMYFUNCTION("""COMPUTED_VALUE"""),48.273)</f>
        <v>48.273000000000003</v>
      </c>
      <c r="K2460" s="2">
        <f ca="1">IFERROR(__xludf.DUMMYFUNCTION("""COMPUTED_VALUE"""),64.856)</f>
        <v>64.855999999999995</v>
      </c>
      <c r="M2460" s="2">
        <f ca="1">IFERROR(__xludf.DUMMYFUNCTION("""COMPUTED_VALUE"""),17.568)</f>
        <v>17.568000000000001</v>
      </c>
      <c r="U2460" s="3" t="e">
        <f ca="1"/>
        <v>#NAME?</v>
      </c>
    </row>
    <row r="2461" spans="3:21" ht="12.5" x14ac:dyDescent="0.25">
      <c r="C2461" s="4">
        <f ca="1">IFERROR(__xludf.DUMMYFUNCTION("""COMPUTED_VALUE"""),42867.9986111111)</f>
        <v>42867.998611111099</v>
      </c>
      <c r="D2461" s="2">
        <f ca="1">IFERROR(__xludf.DUMMYFUNCTION("""COMPUTED_VALUE"""),64.236)</f>
        <v>64.236000000000004</v>
      </c>
      <c r="E2461" s="2">
        <f ca="1">IFERROR(__xludf.DUMMYFUNCTION("""COMPUTED_VALUE"""),78.798)</f>
        <v>78.798000000000002</v>
      </c>
      <c r="F2461" s="2">
        <f ca="1">IFERROR(__xludf.DUMMYFUNCTION("""COMPUTED_VALUE"""),80.959)</f>
        <v>80.959000000000003</v>
      </c>
      <c r="G2461" s="2">
        <f ca="1">IFERROR(__xludf.DUMMYFUNCTION("""COMPUTED_VALUE"""),0.6143)</f>
        <v>0.61429999999999996</v>
      </c>
      <c r="H2461" s="2">
        <f ca="1">IFERROR(__xludf.DUMMYFUNCTION("""COMPUTED_VALUE"""),51.112)</f>
        <v>51.112000000000002</v>
      </c>
      <c r="I2461" s="2">
        <f ca="1">IFERROR(__xludf.DUMMYFUNCTION("""COMPUTED_VALUE"""),51.253)</f>
        <v>51.253</v>
      </c>
      <c r="J2461" s="2">
        <f ca="1">IFERROR(__xludf.DUMMYFUNCTION("""COMPUTED_VALUE"""),48.273)</f>
        <v>48.273000000000003</v>
      </c>
      <c r="K2461" s="2">
        <f ca="1">IFERROR(__xludf.DUMMYFUNCTION("""COMPUTED_VALUE"""),65.293)</f>
        <v>65.293000000000006</v>
      </c>
      <c r="M2461" s="2">
        <f ca="1">IFERROR(__xludf.DUMMYFUNCTION("""COMPUTED_VALUE"""),17.522)</f>
        <v>17.521999999999998</v>
      </c>
      <c r="U2461" s="3" t="e">
        <f ca="1"/>
        <v>#NAME?</v>
      </c>
    </row>
    <row r="2462" spans="3:21" ht="12.5" x14ac:dyDescent="0.25">
      <c r="C2462" s="4">
        <f ca="1">IFERROR(__xludf.DUMMYFUNCTION("""COMPUTED_VALUE"""),42868.9986111111)</f>
        <v>42868.998611111099</v>
      </c>
      <c r="D2462" s="2">
        <f ca="1">IFERROR(__xludf.DUMMYFUNCTION("""COMPUTED_VALUE"""),64.171)</f>
        <v>64.171000000000006</v>
      </c>
      <c r="E2462" s="2">
        <f ca="1">IFERROR(__xludf.DUMMYFUNCTION("""COMPUTED_VALUE"""),78.631)</f>
        <v>78.631</v>
      </c>
      <c r="F2462" s="2">
        <f ca="1">IFERROR(__xludf.DUMMYFUNCTION("""COMPUTED_VALUE"""),80.593)</f>
        <v>80.593000000000004</v>
      </c>
      <c r="G2462" s="2">
        <f ca="1">IFERROR(__xludf.DUMMYFUNCTION("""COMPUTED_VALUE"""),0.61052)</f>
        <v>0.61051999999999995</v>
      </c>
      <c r="H2462" s="2">
        <f ca="1">IFERROR(__xludf.DUMMYFUNCTION("""COMPUTED_VALUE"""),50.971)</f>
        <v>50.970999999999997</v>
      </c>
      <c r="I2462" s="2">
        <f ca="1">IFERROR(__xludf.DUMMYFUNCTION("""COMPUTED_VALUE"""),51.305)</f>
        <v>51.305</v>
      </c>
      <c r="J2462" s="2">
        <f ca="1">IFERROR(__xludf.DUMMYFUNCTION("""COMPUTED_VALUE"""),48.371)</f>
        <v>48.371000000000002</v>
      </c>
      <c r="K2462" s="2">
        <f ca="1">IFERROR(__xludf.DUMMYFUNCTION("""COMPUTED_VALUE"""),65.383)</f>
        <v>65.382999999999996</v>
      </c>
      <c r="M2462" s="2">
        <f ca="1">IFERROR(__xludf.DUMMYFUNCTION("""COMPUTED_VALUE"""),17.539)</f>
        <v>17.539000000000001</v>
      </c>
      <c r="U2462" s="3" t="e">
        <f ca="1"/>
        <v>#NAME?</v>
      </c>
    </row>
    <row r="2463" spans="3:21" ht="12.5" x14ac:dyDescent="0.25">
      <c r="C2463" s="4">
        <f ca="1">IFERROR(__xludf.DUMMYFUNCTION("""COMPUTED_VALUE"""),42869.9986111111)</f>
        <v>42869.998611111099</v>
      </c>
      <c r="D2463" s="2">
        <f ca="1">IFERROR(__xludf.DUMMYFUNCTION("""COMPUTED_VALUE"""),64.1655)</f>
        <v>64.165499999999994</v>
      </c>
      <c r="E2463" s="2">
        <f ca="1">IFERROR(__xludf.DUMMYFUNCTION("""COMPUTED_VALUE"""),78.905)</f>
        <v>78.905000000000001</v>
      </c>
      <c r="F2463" s="2">
        <f ca="1">IFERROR(__xludf.DUMMYFUNCTION("""COMPUTED_VALUE"""),80.709)</f>
        <v>80.709000000000003</v>
      </c>
      <c r="G2463" s="2">
        <f ca="1">IFERROR(__xludf.DUMMYFUNCTION("""COMPUTED_VALUE"""),0.61117)</f>
        <v>0.61116999999999999</v>
      </c>
      <c r="H2463" s="2">
        <f ca="1">IFERROR(__xludf.DUMMYFUNCTION("""COMPUTED_VALUE"""),51.184)</f>
        <v>51.183999999999997</v>
      </c>
      <c r="I2463" s="2">
        <f ca="1">IFERROR(__xludf.DUMMYFUNCTION("""COMPUTED_VALUE"""),51.482)</f>
        <v>51.481999999999999</v>
      </c>
      <c r="J2463" s="2">
        <f ca="1">IFERROR(__xludf.DUMMYFUNCTION("""COMPUTED_VALUE"""),48.377)</f>
        <v>48.377000000000002</v>
      </c>
      <c r="K2463" s="2">
        <f ca="1">IFERROR(__xludf.DUMMYFUNCTION("""COMPUTED_VALUE"""),64.426)</f>
        <v>64.426000000000002</v>
      </c>
      <c r="M2463" s="2">
        <f ca="1">IFERROR(__xludf.DUMMYFUNCTION("""COMPUTED_VALUE"""),17.495)</f>
        <v>17.495000000000001</v>
      </c>
      <c r="U2463" s="3" t="e">
        <f ca="1"/>
        <v>#NAME?</v>
      </c>
    </row>
    <row r="2464" spans="3:21" ht="12.5" x14ac:dyDescent="0.25">
      <c r="C2464" s="4">
        <f ca="1">IFERROR(__xludf.DUMMYFUNCTION("""COMPUTED_VALUE"""),42870.9986111111)</f>
        <v>42870.998611111099</v>
      </c>
      <c r="D2464" s="2">
        <f ca="1">IFERROR(__xludf.DUMMYFUNCTION("""COMPUTED_VALUE"""),64.0383)</f>
        <v>64.038300000000007</v>
      </c>
      <c r="E2464" s="2">
        <f ca="1">IFERROR(__xludf.DUMMYFUNCTION("""COMPUTED_VALUE"""),78.663)</f>
        <v>78.662999999999997</v>
      </c>
      <c r="F2464" s="2">
        <f ca="1">IFERROR(__xludf.DUMMYFUNCTION("""COMPUTED_VALUE"""),80.709)</f>
        <v>80.709000000000003</v>
      </c>
      <c r="G2464" s="2">
        <f ca="1">IFERROR(__xludf.DUMMYFUNCTION("""COMPUTED_VALUE"""),0.60901)</f>
        <v>0.60901000000000005</v>
      </c>
      <c r="H2464" s="2">
        <f ca="1">IFERROR(__xludf.DUMMYFUNCTION("""COMPUTED_VALUE"""),50.949)</f>
        <v>50.948999999999998</v>
      </c>
      <c r="I2464" s="2">
        <f ca="1">IFERROR(__xludf.DUMMYFUNCTION("""COMPUTED_VALUE"""),51.259)</f>
        <v>51.259</v>
      </c>
      <c r="J2464" s="2">
        <f ca="1">IFERROR(__xludf.DUMMYFUNCTION("""COMPUTED_VALUE"""),48.585)</f>
        <v>48.585000000000001</v>
      </c>
      <c r="K2464" s="2">
        <f ca="1">IFERROR(__xludf.DUMMYFUNCTION("""COMPUTED_VALUE"""),65.365)</f>
        <v>65.364999999999995</v>
      </c>
      <c r="M2464" s="2">
        <f ca="1">IFERROR(__xludf.DUMMYFUNCTION("""COMPUTED_VALUE"""),17.513)</f>
        <v>17.513000000000002</v>
      </c>
      <c r="U2464" s="3" t="e">
        <f ca="1"/>
        <v>#NAME?</v>
      </c>
    </row>
    <row r="2465" spans="3:21" ht="12.5" x14ac:dyDescent="0.25">
      <c r="C2465" s="4">
        <f ca="1">IFERROR(__xludf.DUMMYFUNCTION("""COMPUTED_VALUE"""),42871.9986111111)</f>
        <v>42871.998611111099</v>
      </c>
      <c r="D2465" s="2">
        <f ca="1">IFERROR(__xludf.DUMMYFUNCTION("""COMPUTED_VALUE"""),63.9)</f>
        <v>63.9</v>
      </c>
      <c r="E2465" s="2">
        <f ca="1">IFERROR(__xludf.DUMMYFUNCTION("""COMPUTED_VALUE"""),78.953)</f>
        <v>78.953000000000003</v>
      </c>
      <c r="F2465" s="2">
        <f ca="1">IFERROR(__xludf.DUMMYFUNCTION("""COMPUTED_VALUE"""),80.755)</f>
        <v>80.754999999999995</v>
      </c>
      <c r="G2465" s="2">
        <f ca="1">IFERROR(__xludf.DUMMYFUNCTION("""COMPUTED_VALUE"""),0.61079)</f>
        <v>0.61079000000000006</v>
      </c>
      <c r="H2465" s="2">
        <f ca="1">IFERROR(__xludf.DUMMYFUNCTION("""COMPUTED_VALUE"""),51.538)</f>
        <v>51.537999999999997</v>
      </c>
      <c r="I2465" s="2">
        <f ca="1">IFERROR(__xludf.DUMMYFUNCTION("""COMPUTED_VALUE"""),51.539)</f>
        <v>51.539000000000001</v>
      </c>
      <c r="J2465" s="2">
        <f ca="1">IFERROR(__xludf.DUMMYFUNCTION("""COMPUTED_VALUE"""),48.393)</f>
        <v>48.393000000000001</v>
      </c>
      <c r="K2465" s="2">
        <f ca="1">IFERROR(__xludf.DUMMYFUNCTION("""COMPUTED_VALUE"""),65.604)</f>
        <v>65.603999999999999</v>
      </c>
      <c r="M2465" s="2">
        <f ca="1">IFERROR(__xludf.DUMMYFUNCTION("""COMPUTED_VALUE"""),17.506)</f>
        <v>17.506</v>
      </c>
      <c r="U2465" s="3" t="e">
        <f ca="1"/>
        <v>#NAME?</v>
      </c>
    </row>
    <row r="2466" spans="3:21" ht="12.5" x14ac:dyDescent="0.25">
      <c r="C2466" s="4">
        <f ca="1">IFERROR(__xludf.DUMMYFUNCTION("""COMPUTED_VALUE"""),42872.9986111111)</f>
        <v>42872.998611111099</v>
      </c>
      <c r="D2466" s="2">
        <f ca="1">IFERROR(__xludf.DUMMYFUNCTION("""COMPUTED_VALUE"""),64.23)</f>
        <v>64.23</v>
      </c>
      <c r="E2466" s="2">
        <f ca="1">IFERROR(__xludf.DUMMYFUNCTION("""COMPUTED_VALUE"""),78.833)</f>
        <v>78.832999999999998</v>
      </c>
      <c r="F2466" s="2">
        <f ca="1">IFERROR(__xludf.DUMMYFUNCTION("""COMPUTED_VALUE"""),80.884)</f>
        <v>80.884</v>
      </c>
      <c r="G2466" s="2">
        <f ca="1">IFERROR(__xludf.DUMMYFUNCTION("""COMPUTED_VALUE"""),0.60826)</f>
        <v>0.60826000000000002</v>
      </c>
      <c r="H2466" s="2">
        <f ca="1">IFERROR(__xludf.DUMMYFUNCTION("""COMPUTED_VALUE"""),51.437)</f>
        <v>51.436999999999998</v>
      </c>
      <c r="I2466" s="2">
        <f ca="1">IFERROR(__xludf.DUMMYFUNCTION("""COMPUTED_VALUE"""),51.508)</f>
        <v>51.508000000000003</v>
      </c>
      <c r="J2466" s="2">
        <f ca="1">IFERROR(__xludf.DUMMYFUNCTION("""COMPUTED_VALUE"""),48.582)</f>
        <v>48.582000000000001</v>
      </c>
      <c r="K2466" s="2">
        <f ca="1">IFERROR(__xludf.DUMMYFUNCTION("""COMPUTED_VALUE"""),66.024)</f>
        <v>66.024000000000001</v>
      </c>
      <c r="M2466" s="2">
        <f ca="1">IFERROR(__xludf.DUMMYFUNCTION("""COMPUTED_VALUE"""),17.494)</f>
        <v>17.494</v>
      </c>
      <c r="U2466" s="3" t="e">
        <f ca="1"/>
        <v>#NAME?</v>
      </c>
    </row>
    <row r="2467" spans="3:21" ht="12.5" x14ac:dyDescent="0.25">
      <c r="C2467" s="4">
        <f ca="1">IFERROR(__xludf.DUMMYFUNCTION("""COMPUTED_VALUE"""),42873.9986111111)</f>
        <v>42873.998611111099</v>
      </c>
      <c r="D2467" s="2">
        <f ca="1">IFERROR(__xludf.DUMMYFUNCTION("""COMPUTED_VALUE"""),64.8711)</f>
        <v>64.871099999999998</v>
      </c>
      <c r="E2467" s="2">
        <f ca="1">IFERROR(__xludf.DUMMYFUNCTION("""COMPUTED_VALUE"""),79.962)</f>
        <v>79.962000000000003</v>
      </c>
      <c r="F2467" s="2">
        <f ca="1">IFERROR(__xludf.DUMMYFUNCTION("""COMPUTED_VALUE"""),82.942)</f>
        <v>82.941999999999993</v>
      </c>
      <c r="G2467" s="2">
        <f ca="1">IFERROR(__xludf.DUMMYFUNCTION("""COMPUTED_VALUE"""),0.61024)</f>
        <v>0.61024</v>
      </c>
      <c r="H2467" s="2">
        <f ca="1">IFERROR(__xludf.DUMMYFUNCTION("""COMPUTED_VALUE"""),51.535)</f>
        <v>51.534999999999997</v>
      </c>
      <c r="I2467" s="2">
        <f ca="1">IFERROR(__xludf.DUMMYFUNCTION("""COMPUTED_VALUE"""),51.571)</f>
        <v>51.570999999999998</v>
      </c>
      <c r="J2467" s="2">
        <f ca="1">IFERROR(__xludf.DUMMYFUNCTION("""COMPUTED_VALUE"""),48.495)</f>
        <v>48.494999999999997</v>
      </c>
      <c r="K2467" s="2">
        <f ca="1">IFERROR(__xludf.DUMMYFUNCTION("""COMPUTED_VALUE"""),65.969)</f>
        <v>65.968999999999994</v>
      </c>
      <c r="M2467" s="2">
        <f ca="1">IFERROR(__xludf.DUMMYFUNCTION("""COMPUTED_VALUE"""),17.511)</f>
        <v>17.510999999999999</v>
      </c>
      <c r="U2467" s="3" t="e">
        <f ca="1"/>
        <v>#NAME?</v>
      </c>
    </row>
    <row r="2468" spans="3:21" ht="12.5" x14ac:dyDescent="0.25">
      <c r="C2468" s="4">
        <f ca="1">IFERROR(__xludf.DUMMYFUNCTION("""COMPUTED_VALUE"""),42874.9986111111)</f>
        <v>42874.998611111099</v>
      </c>
      <c r="D2468" s="2">
        <f ca="1">IFERROR(__xludf.DUMMYFUNCTION("""COMPUTED_VALUE"""),64.558)</f>
        <v>64.558000000000007</v>
      </c>
      <c r="E2468" s="2">
        <f ca="1">IFERROR(__xludf.DUMMYFUNCTION("""COMPUTED_VALUE"""),79.836)</f>
        <v>79.835999999999999</v>
      </c>
      <c r="F2468" s="2">
        <f ca="1">IFERROR(__xludf.DUMMYFUNCTION("""COMPUTED_VALUE"""),82.626)</f>
        <v>82.626000000000005</v>
      </c>
      <c r="G2468" s="2">
        <f ca="1">IFERROR(__xludf.DUMMYFUNCTION("""COMPUTED_VALUE"""),0.61069)</f>
        <v>0.61068999999999996</v>
      </c>
      <c r="H2468" s="2">
        <f ca="1">IFERROR(__xludf.DUMMYFUNCTION("""COMPUTED_VALUE"""),51.163)</f>
        <v>51.162999999999997</v>
      </c>
      <c r="I2468" s="2">
        <f ca="1">IFERROR(__xludf.DUMMYFUNCTION("""COMPUTED_VALUE"""),51.599)</f>
        <v>51.598999999999997</v>
      </c>
      <c r="J2468" s="2">
        <f ca="1">IFERROR(__xludf.DUMMYFUNCTION("""COMPUTED_VALUE"""),48.501)</f>
        <v>48.500999999999998</v>
      </c>
      <c r="K2468" s="2">
        <f ca="1">IFERROR(__xludf.DUMMYFUNCTION("""COMPUTED_VALUE"""),65.653)</f>
        <v>65.653000000000006</v>
      </c>
      <c r="M2468" s="2">
        <f ca="1">IFERROR(__xludf.DUMMYFUNCTION("""COMPUTED_VALUE"""),17.552)</f>
        <v>17.552</v>
      </c>
      <c r="U2468" s="3" t="e">
        <f ca="1"/>
        <v>#NAME?</v>
      </c>
    </row>
    <row r="2469" spans="3:21" ht="12.5" x14ac:dyDescent="0.25">
      <c r="C2469" s="4">
        <f ca="1">IFERROR(__xludf.DUMMYFUNCTION("""COMPUTED_VALUE"""),42875.9986111111)</f>
        <v>42875.998611111099</v>
      </c>
      <c r="D2469" s="2">
        <f ca="1">IFERROR(__xludf.DUMMYFUNCTION("""COMPUTED_VALUE"""),64.558)</f>
        <v>64.558000000000007</v>
      </c>
      <c r="E2469" s="2">
        <f ca="1">IFERROR(__xludf.DUMMYFUNCTION("""COMPUTED_VALUE"""),79.245)</f>
        <v>79.245000000000005</v>
      </c>
      <c r="F2469" s="2">
        <f ca="1">IFERROR(__xludf.DUMMYFUNCTION("""COMPUTED_VALUE"""),82.77)</f>
        <v>82.77</v>
      </c>
      <c r="G2469" s="2">
        <f ca="1">IFERROR(__xludf.DUMMYFUNCTION("""COMPUTED_VALUE"""),0.61256)</f>
        <v>0.61255999999999999</v>
      </c>
      <c r="H2469" s="2">
        <f ca="1">IFERROR(__xludf.DUMMYFUNCTION("""COMPUTED_VALUE"""),51.385)</f>
        <v>51.384999999999998</v>
      </c>
      <c r="I2469" s="2">
        <f ca="1">IFERROR(__xludf.DUMMYFUNCTION("""COMPUTED_VALUE"""),52.131)</f>
        <v>52.131</v>
      </c>
      <c r="J2469" s="2">
        <f ca="1">IFERROR(__xludf.DUMMYFUNCTION("""COMPUTED_VALUE"""),48.399)</f>
        <v>48.399000000000001</v>
      </c>
      <c r="K2469" s="2">
        <f ca="1">IFERROR(__xludf.DUMMYFUNCTION("""COMPUTED_VALUE"""),65.696)</f>
        <v>65.695999999999998</v>
      </c>
      <c r="M2469" s="2">
        <f ca="1">IFERROR(__xludf.DUMMYFUNCTION("""COMPUTED_VALUE"""),17.551)</f>
        <v>17.550999999999998</v>
      </c>
      <c r="U2469" s="3" t="e">
        <f ca="1"/>
        <v>#NAME?</v>
      </c>
    </row>
    <row r="2470" spans="3:21" ht="12.5" x14ac:dyDescent="0.25">
      <c r="C2470" s="4">
        <f ca="1">IFERROR(__xludf.DUMMYFUNCTION("""COMPUTED_VALUE"""),42876.9986111111)</f>
        <v>42876.998611111099</v>
      </c>
      <c r="D2470" s="2">
        <f ca="1">IFERROR(__xludf.DUMMYFUNCTION("""COMPUTED_VALUE"""),64.4485)</f>
        <v>64.448499999999996</v>
      </c>
      <c r="E2470" s="2">
        <f ca="1">IFERROR(__xludf.DUMMYFUNCTION("""COMPUTED_VALUE"""),79.422)</f>
        <v>79.421999999999997</v>
      </c>
      <c r="F2470" s="2">
        <f ca="1">IFERROR(__xludf.DUMMYFUNCTION("""COMPUTED_VALUE"""),82.814)</f>
        <v>82.813999999999993</v>
      </c>
      <c r="G2470" s="2">
        <f ca="1">IFERROR(__xludf.DUMMYFUNCTION("""COMPUTED_VALUE"""),0.61463)</f>
        <v>0.61463000000000001</v>
      </c>
      <c r="H2470" s="2">
        <f ca="1">IFERROR(__xludf.DUMMYFUNCTION("""COMPUTED_VALUE"""),50.806)</f>
        <v>50.805999999999997</v>
      </c>
      <c r="I2470" s="2">
        <f ca="1">IFERROR(__xludf.DUMMYFUNCTION("""COMPUTED_VALUE"""),51.59)</f>
        <v>51.59</v>
      </c>
      <c r="J2470" s="2">
        <f ca="1">IFERROR(__xludf.DUMMYFUNCTION("""COMPUTED_VALUE"""),48.85)</f>
        <v>48.85</v>
      </c>
      <c r="K2470" s="2">
        <f ca="1">IFERROR(__xludf.DUMMYFUNCTION("""COMPUTED_VALUE"""),64.896)</f>
        <v>64.896000000000001</v>
      </c>
      <c r="M2470" s="2">
        <f ca="1">IFERROR(__xludf.DUMMYFUNCTION("""COMPUTED_VALUE"""),17.522)</f>
        <v>17.521999999999998</v>
      </c>
      <c r="U2470" s="3" t="e">
        <f ca="1"/>
        <v>#NAME?</v>
      </c>
    </row>
    <row r="2471" spans="3:21" ht="12.5" x14ac:dyDescent="0.25">
      <c r="C2471" s="4">
        <f ca="1">IFERROR(__xludf.DUMMYFUNCTION("""COMPUTED_VALUE"""),42877.9986111111)</f>
        <v>42877.998611111099</v>
      </c>
      <c r="D2471" s="2">
        <f ca="1">IFERROR(__xludf.DUMMYFUNCTION("""COMPUTED_VALUE"""),64.5002)</f>
        <v>64.500200000000007</v>
      </c>
      <c r="E2471" s="2">
        <f ca="1">IFERROR(__xludf.DUMMYFUNCTION("""COMPUTED_VALUE"""),78.782)</f>
        <v>78.781999999999996</v>
      </c>
      <c r="F2471" s="2">
        <f ca="1">IFERROR(__xludf.DUMMYFUNCTION("""COMPUTED_VALUE"""),82.78)</f>
        <v>82.78</v>
      </c>
      <c r="G2471" s="2">
        <f ca="1">IFERROR(__xludf.DUMMYFUNCTION("""COMPUTED_VALUE"""),0.61207)</f>
        <v>0.61207</v>
      </c>
      <c r="H2471" s="2">
        <f ca="1">IFERROR(__xludf.DUMMYFUNCTION("""COMPUTED_VALUE"""),50.49)</f>
        <v>50.49</v>
      </c>
      <c r="I2471" s="2">
        <f ca="1">IFERROR(__xludf.DUMMYFUNCTION("""COMPUTED_VALUE"""),51.126)</f>
        <v>51.125999999999998</v>
      </c>
      <c r="J2471" s="2">
        <f ca="1">IFERROR(__xludf.DUMMYFUNCTION("""COMPUTED_VALUE"""),48.566)</f>
        <v>48.566000000000003</v>
      </c>
      <c r="K2471" s="2">
        <f ca="1">IFERROR(__xludf.DUMMYFUNCTION("""COMPUTED_VALUE"""),65.475)</f>
        <v>65.474999999999994</v>
      </c>
      <c r="M2471" s="2">
        <f ca="1">IFERROR(__xludf.DUMMYFUNCTION("""COMPUTED_VALUE"""),17.547)</f>
        <v>17.547000000000001</v>
      </c>
      <c r="U2471" s="3" t="e">
        <f ca="1"/>
        <v>#NAME?</v>
      </c>
    </row>
    <row r="2472" spans="3:21" ht="12.5" x14ac:dyDescent="0.25">
      <c r="C2472" s="4">
        <f ca="1">IFERROR(__xludf.DUMMYFUNCTION("""COMPUTED_VALUE"""),42878.9986111111)</f>
        <v>42878.998611111099</v>
      </c>
      <c r="D2472" s="2">
        <f ca="1">IFERROR(__xludf.DUMMYFUNCTION("""COMPUTED_VALUE"""),64.8852)</f>
        <v>64.885199999999998</v>
      </c>
      <c r="E2472" s="2">
        <f ca="1">IFERROR(__xludf.DUMMYFUNCTION("""COMPUTED_VALUE"""),78.755)</f>
        <v>78.754999999999995</v>
      </c>
      <c r="F2472" s="2">
        <f ca="1">IFERROR(__xludf.DUMMYFUNCTION("""COMPUTED_VALUE"""),82.893)</f>
        <v>82.893000000000001</v>
      </c>
      <c r="G2472" s="2">
        <f ca="1">IFERROR(__xludf.DUMMYFUNCTION("""COMPUTED_VALUE"""),0.61469)</f>
        <v>0.61468999999999996</v>
      </c>
      <c r="H2472" s="2">
        <f ca="1">IFERROR(__xludf.DUMMYFUNCTION("""COMPUTED_VALUE"""),50.644)</f>
        <v>50.643999999999998</v>
      </c>
      <c r="I2472" s="2">
        <f ca="1">IFERROR(__xludf.DUMMYFUNCTION("""COMPUTED_VALUE"""),51.299)</f>
        <v>51.298999999999999</v>
      </c>
      <c r="J2472" s="2">
        <f ca="1">IFERROR(__xludf.DUMMYFUNCTION("""COMPUTED_VALUE"""),48.455)</f>
        <v>48.454999999999998</v>
      </c>
      <c r="K2472" s="2">
        <f ca="1">IFERROR(__xludf.DUMMYFUNCTION("""COMPUTED_VALUE"""),65.392)</f>
        <v>65.391999999999996</v>
      </c>
      <c r="M2472" s="2">
        <f ca="1">IFERROR(__xludf.DUMMYFUNCTION("""COMPUTED_VALUE"""),17.516)</f>
        <v>17.515999999999998</v>
      </c>
      <c r="U2472" s="3" t="e">
        <f ca="1"/>
        <v>#NAME?</v>
      </c>
    </row>
    <row r="2473" spans="3:21" ht="12.5" x14ac:dyDescent="0.25">
      <c r="C2473" s="4">
        <f ca="1">IFERROR(__xludf.DUMMYFUNCTION("""COMPUTED_VALUE"""),42879.9986111111)</f>
        <v>42879.998611111099</v>
      </c>
      <c r="D2473" s="2">
        <f ca="1">IFERROR(__xludf.DUMMYFUNCTION("""COMPUTED_VALUE"""),64.7601)</f>
        <v>64.760099999999994</v>
      </c>
      <c r="E2473" s="2">
        <f ca="1">IFERROR(__xludf.DUMMYFUNCTION("""COMPUTED_VALUE"""),78.683)</f>
        <v>78.683000000000007</v>
      </c>
      <c r="F2473" s="2">
        <f ca="1">IFERROR(__xludf.DUMMYFUNCTION("""COMPUTED_VALUE"""),82.27)</f>
        <v>82.27</v>
      </c>
      <c r="G2473" s="2">
        <f ca="1">IFERROR(__xludf.DUMMYFUNCTION("""COMPUTED_VALUE"""),0.61964)</f>
        <v>0.61963999999999997</v>
      </c>
      <c r="H2473" s="2">
        <f ca="1">IFERROR(__xludf.DUMMYFUNCTION("""COMPUTED_VALUE"""),50.194)</f>
        <v>50.194000000000003</v>
      </c>
      <c r="I2473" s="2">
        <f ca="1">IFERROR(__xludf.DUMMYFUNCTION("""COMPUTED_VALUE"""),51.097)</f>
        <v>51.097000000000001</v>
      </c>
      <c r="J2473" s="2">
        <f ca="1">IFERROR(__xludf.DUMMYFUNCTION("""COMPUTED_VALUE"""),48.638)</f>
        <v>48.637999999999998</v>
      </c>
      <c r="K2473" s="2">
        <f ca="1">IFERROR(__xludf.DUMMYFUNCTION("""COMPUTED_VALUE"""),65.98)</f>
        <v>65.98</v>
      </c>
      <c r="M2473" s="2">
        <f ca="1">IFERROR(__xludf.DUMMYFUNCTION("""COMPUTED_VALUE"""),17.473)</f>
        <v>17.472999999999999</v>
      </c>
      <c r="U2473" s="3" t="e">
        <f ca="1"/>
        <v>#NAME?</v>
      </c>
    </row>
    <row r="2474" spans="3:21" ht="12.5" x14ac:dyDescent="0.25">
      <c r="C2474" s="4">
        <f ca="1">IFERROR(__xludf.DUMMYFUNCTION("""COMPUTED_VALUE"""),42880.9986111111)</f>
        <v>42880.998611111099</v>
      </c>
      <c r="D2474" s="2">
        <f ca="1">IFERROR(__xludf.DUMMYFUNCTION("""COMPUTED_VALUE"""),64.5454)</f>
        <v>64.545400000000001</v>
      </c>
      <c r="E2474" s="2">
        <f ca="1">IFERROR(__xludf.DUMMYFUNCTION("""COMPUTED_VALUE"""),79.007)</f>
        <v>79.007000000000005</v>
      </c>
      <c r="F2474" s="2">
        <f ca="1">IFERROR(__xludf.DUMMYFUNCTION("""COMPUTED_VALUE"""),82.568)</f>
        <v>82.567999999999998</v>
      </c>
      <c r="G2474" s="2">
        <f ca="1">IFERROR(__xludf.DUMMYFUNCTION("""COMPUTED_VALUE"""),0.61999)</f>
        <v>0.61999000000000004</v>
      </c>
      <c r="H2474" s="2">
        <f ca="1">IFERROR(__xludf.DUMMYFUNCTION("""COMPUTED_VALUE"""),50.023)</f>
        <v>50.023000000000003</v>
      </c>
      <c r="I2474" s="2">
        <f ca="1">IFERROR(__xludf.DUMMYFUNCTION("""COMPUTED_VALUE"""),51.021)</f>
        <v>51.021000000000001</v>
      </c>
      <c r="J2474" s="2">
        <f ca="1">IFERROR(__xludf.DUMMYFUNCTION("""COMPUTED_VALUE"""),48.457)</f>
        <v>48.457000000000001</v>
      </c>
      <c r="K2474" s="2">
        <f ca="1">IFERROR(__xludf.DUMMYFUNCTION("""COMPUTED_VALUE"""),65.71)</f>
        <v>65.709999999999994</v>
      </c>
      <c r="M2474" s="2">
        <f ca="1">IFERROR(__xludf.DUMMYFUNCTION("""COMPUTED_VALUE"""),17.451)</f>
        <v>17.451000000000001</v>
      </c>
      <c r="U2474" s="3" t="e">
        <f ca="1"/>
        <v>#NAME?</v>
      </c>
    </row>
    <row r="2475" spans="3:21" ht="12.5" x14ac:dyDescent="0.25">
      <c r="C2475" s="4">
        <f ca="1">IFERROR(__xludf.DUMMYFUNCTION("""COMPUTED_VALUE"""),42881.9986111111)</f>
        <v>42881.998611111099</v>
      </c>
      <c r="D2475" s="2">
        <f ca="1">IFERROR(__xludf.DUMMYFUNCTION("""COMPUTED_VALUE"""),64.503)</f>
        <v>64.503</v>
      </c>
      <c r="E2475" s="2">
        <f ca="1">IFERROR(__xludf.DUMMYFUNCTION("""COMPUTED_VALUE"""),79.307)</f>
        <v>79.307000000000002</v>
      </c>
      <c r="F2475" s="2">
        <f ca="1">IFERROR(__xludf.DUMMYFUNCTION("""COMPUTED_VALUE"""),82.245)</f>
        <v>82.245000000000005</v>
      </c>
      <c r="G2475" s="2">
        <f ca="1">IFERROR(__xludf.DUMMYFUNCTION("""COMPUTED_VALUE"""),0.61961)</f>
        <v>0.61960999999999999</v>
      </c>
      <c r="H2475" s="2">
        <f ca="1">IFERROR(__xludf.DUMMYFUNCTION("""COMPUTED_VALUE"""),50.163)</f>
        <v>50.162999999999997</v>
      </c>
      <c r="I2475" s="2">
        <f ca="1">IFERROR(__xludf.DUMMYFUNCTION("""COMPUTED_VALUE"""),51.061)</f>
        <v>51.061</v>
      </c>
      <c r="J2475" s="2">
        <f ca="1">IFERROR(__xludf.DUMMYFUNCTION("""COMPUTED_VALUE"""),48.246)</f>
        <v>48.246000000000002</v>
      </c>
      <c r="K2475" s="2">
        <f ca="1">IFERROR(__xludf.DUMMYFUNCTION("""COMPUTED_VALUE"""),65.96)</f>
        <v>65.959999999999994</v>
      </c>
      <c r="M2475" s="2">
        <f ca="1">IFERROR(__xludf.DUMMYFUNCTION("""COMPUTED_VALUE"""),17.459)</f>
        <v>17.459</v>
      </c>
      <c r="U2475" s="3" t="e">
        <f ca="1"/>
        <v>#NAME?</v>
      </c>
    </row>
    <row r="2476" spans="3:21" ht="12.5" x14ac:dyDescent="0.25">
      <c r="C2476" s="4">
        <f ca="1">IFERROR(__xludf.DUMMYFUNCTION("""COMPUTED_VALUE"""),42882.9986111111)</f>
        <v>42882.998611111099</v>
      </c>
      <c r="D2476" s="2">
        <f ca="1">IFERROR(__xludf.DUMMYFUNCTION("""COMPUTED_VALUE"""),64.5132)</f>
        <v>64.513199999999998</v>
      </c>
      <c r="E2476" s="2">
        <f ca="1">IFERROR(__xludf.DUMMYFUNCTION("""COMPUTED_VALUE"""),79.837)</f>
        <v>79.837000000000003</v>
      </c>
      <c r="F2476" s="2">
        <f ca="1">IFERROR(__xludf.DUMMYFUNCTION("""COMPUTED_VALUE"""),82.58)</f>
        <v>82.58</v>
      </c>
      <c r="G2476" s="2">
        <f ca="1">IFERROR(__xludf.DUMMYFUNCTION("""COMPUTED_VALUE"""),0.61386)</f>
        <v>0.61385999999999996</v>
      </c>
      <c r="H2476" s="2">
        <f ca="1">IFERROR(__xludf.DUMMYFUNCTION("""COMPUTED_VALUE"""),50.468)</f>
        <v>50.468000000000004</v>
      </c>
      <c r="I2476" s="2">
        <f ca="1">IFERROR(__xludf.DUMMYFUNCTION("""COMPUTED_VALUE"""),51.044)</f>
        <v>51.043999999999997</v>
      </c>
      <c r="J2476" s="2">
        <f ca="1">IFERROR(__xludf.DUMMYFUNCTION("""COMPUTED_VALUE"""),48.362)</f>
        <v>48.362000000000002</v>
      </c>
      <c r="K2476" s="2">
        <f ca="1">IFERROR(__xludf.DUMMYFUNCTION("""COMPUTED_VALUE"""),65.631)</f>
        <v>65.631</v>
      </c>
      <c r="M2476" s="2">
        <f ca="1">IFERROR(__xludf.DUMMYFUNCTION("""COMPUTED_VALUE"""),17.474)</f>
        <v>17.474</v>
      </c>
      <c r="U2476" s="3" t="e">
        <f ca="1"/>
        <v>#NAME?</v>
      </c>
    </row>
    <row r="2477" spans="3:21" ht="12.5" x14ac:dyDescent="0.25">
      <c r="C2477" s="4">
        <f ca="1">IFERROR(__xludf.DUMMYFUNCTION("""COMPUTED_VALUE"""),42883.9986111111)</f>
        <v>42883.998611111099</v>
      </c>
      <c r="D2477" s="2">
        <f ca="1">IFERROR(__xludf.DUMMYFUNCTION("""COMPUTED_VALUE"""),64.5132)</f>
        <v>64.513199999999998</v>
      </c>
      <c r="E2477" s="2">
        <f ca="1">IFERROR(__xludf.DUMMYFUNCTION("""COMPUTED_VALUE"""),79.817)</f>
        <v>79.816999999999993</v>
      </c>
      <c r="F2477" s="2">
        <f ca="1">IFERROR(__xludf.DUMMYFUNCTION("""COMPUTED_VALUE"""),83.234)</f>
        <v>83.233999999999995</v>
      </c>
      <c r="G2477" s="2">
        <f ca="1">IFERROR(__xludf.DUMMYFUNCTION("""COMPUTED_VALUE"""),0.61523)</f>
        <v>0.61523000000000005</v>
      </c>
      <c r="H2477" s="2">
        <f ca="1">IFERROR(__xludf.DUMMYFUNCTION("""COMPUTED_VALUE"""),50.467)</f>
        <v>50.466999999999999</v>
      </c>
      <c r="I2477" s="2">
        <f ca="1">IFERROR(__xludf.DUMMYFUNCTION("""COMPUTED_VALUE"""),50.993)</f>
        <v>50.993000000000002</v>
      </c>
      <c r="J2477" s="2">
        <f ca="1">IFERROR(__xludf.DUMMYFUNCTION("""COMPUTED_VALUE"""),48.54)</f>
        <v>48.54</v>
      </c>
      <c r="K2477" s="2">
        <f ca="1">IFERROR(__xludf.DUMMYFUNCTION("""COMPUTED_VALUE"""),65.373)</f>
        <v>65.373000000000005</v>
      </c>
      <c r="M2477" s="2">
        <f ca="1">IFERROR(__xludf.DUMMYFUNCTION("""COMPUTED_VALUE"""),17.437)</f>
        <v>17.437000000000001</v>
      </c>
      <c r="U2477" s="3" t="e">
        <f ca="1"/>
        <v>#NAME?</v>
      </c>
    </row>
    <row r="2478" spans="3:21" ht="12.5" x14ac:dyDescent="0.25">
      <c r="C2478" s="4">
        <f ca="1">IFERROR(__xludf.DUMMYFUNCTION("""COMPUTED_VALUE"""),42884.9986111111)</f>
        <v>42884.998611111099</v>
      </c>
      <c r="D2478" s="2">
        <f ca="1">IFERROR(__xludf.DUMMYFUNCTION("""COMPUTED_VALUE"""),64.5086)</f>
        <v>64.508600000000001</v>
      </c>
      <c r="E2478" s="2">
        <f ca="1">IFERROR(__xludf.DUMMYFUNCTION("""COMPUTED_VALUE"""),79.585)</f>
        <v>79.584999999999994</v>
      </c>
      <c r="F2478" s="2">
        <f ca="1">IFERROR(__xludf.DUMMYFUNCTION("""COMPUTED_VALUE"""),83.234)</f>
        <v>83.233999999999995</v>
      </c>
      <c r="G2478" s="2">
        <f ca="1">IFERROR(__xludf.DUMMYFUNCTION("""COMPUTED_VALUE"""),0.60956)</f>
        <v>0.60955999999999999</v>
      </c>
      <c r="H2478" s="2">
        <f ca="1">IFERROR(__xludf.DUMMYFUNCTION("""COMPUTED_VALUE"""),50.773)</f>
        <v>50.773000000000003</v>
      </c>
      <c r="I2478" s="2">
        <f ca="1">IFERROR(__xludf.DUMMYFUNCTION("""COMPUTED_VALUE"""),51.298)</f>
        <v>51.298000000000002</v>
      </c>
      <c r="J2478" s="2">
        <f ca="1">IFERROR(__xludf.DUMMYFUNCTION("""COMPUTED_VALUE"""),48.529)</f>
        <v>48.529000000000003</v>
      </c>
      <c r="K2478" s="2">
        <f ca="1">IFERROR(__xludf.DUMMYFUNCTION("""COMPUTED_VALUE"""),65.306)</f>
        <v>65.305999999999997</v>
      </c>
      <c r="M2478" s="2">
        <f ca="1">IFERROR(__xludf.DUMMYFUNCTION("""COMPUTED_VALUE"""),17.326)</f>
        <v>17.326000000000001</v>
      </c>
      <c r="U2478" s="3" t="e">
        <f ca="1"/>
        <v>#NAME?</v>
      </c>
    </row>
    <row r="2479" spans="3:21" ht="12.5" x14ac:dyDescent="0.25">
      <c r="C2479" s="4">
        <f ca="1">IFERROR(__xludf.DUMMYFUNCTION("""COMPUTED_VALUE"""),42885.9986111111)</f>
        <v>42885.998611111099</v>
      </c>
      <c r="D2479" s="2">
        <f ca="1">IFERROR(__xludf.DUMMYFUNCTION("""COMPUTED_VALUE"""),64.6186)</f>
        <v>64.618600000000001</v>
      </c>
      <c r="E2479" s="2">
        <f ca="1">IFERROR(__xludf.DUMMYFUNCTION("""COMPUTED_VALUE"""),79.577)</f>
        <v>79.576999999999998</v>
      </c>
      <c r="F2479" s="2">
        <f ca="1">IFERROR(__xludf.DUMMYFUNCTION("""COMPUTED_VALUE"""),83.079)</f>
        <v>83.078999999999994</v>
      </c>
      <c r="G2479" s="2">
        <f ca="1">IFERROR(__xludf.DUMMYFUNCTION("""COMPUTED_VALUE"""),0.61127)</f>
        <v>0.61126999999999998</v>
      </c>
      <c r="H2479" s="2">
        <f ca="1">IFERROR(__xludf.DUMMYFUNCTION("""COMPUTED_VALUE"""),50.706)</f>
        <v>50.706000000000003</v>
      </c>
      <c r="I2479" s="2">
        <f ca="1">IFERROR(__xludf.DUMMYFUNCTION("""COMPUTED_VALUE"""),51.138)</f>
        <v>51.137999999999998</v>
      </c>
      <c r="J2479" s="2">
        <f ca="1">IFERROR(__xludf.DUMMYFUNCTION("""COMPUTED_VALUE"""),48.746)</f>
        <v>48.746000000000002</v>
      </c>
      <c r="K2479" s="2">
        <f ca="1">IFERROR(__xludf.DUMMYFUNCTION("""COMPUTED_VALUE"""),65.473)</f>
        <v>65.472999999999999</v>
      </c>
      <c r="M2479" s="2">
        <f ca="1">IFERROR(__xludf.DUMMYFUNCTION("""COMPUTED_VALUE"""),17.339)</f>
        <v>17.338999999999999</v>
      </c>
      <c r="U2479" s="3" t="e">
        <f ca="1"/>
        <v>#NAME?</v>
      </c>
    </row>
    <row r="2480" spans="3:21" ht="12.5" x14ac:dyDescent="0.25">
      <c r="C2480" s="4">
        <f ca="1">IFERROR(__xludf.DUMMYFUNCTION("""COMPUTED_VALUE"""),42886.9986111111)</f>
        <v>42886.998611111099</v>
      </c>
      <c r="D2480" s="2">
        <f ca="1">IFERROR(__xludf.DUMMYFUNCTION("""COMPUTED_VALUE"""),64.5001)</f>
        <v>64.500100000000003</v>
      </c>
      <c r="E2480" s="2">
        <f ca="1">IFERROR(__xludf.DUMMYFUNCTION("""COMPUTED_VALUE"""),79.925)</f>
        <v>79.924999999999997</v>
      </c>
      <c r="F2480" s="2">
        <f ca="1">IFERROR(__xludf.DUMMYFUNCTION("""COMPUTED_VALUE"""),82.77)</f>
        <v>82.77</v>
      </c>
      <c r="G2480" s="2">
        <f ca="1">IFERROR(__xludf.DUMMYFUNCTION("""COMPUTED_VALUE"""),0.61208)</f>
        <v>0.61207999999999996</v>
      </c>
      <c r="H2480" s="2">
        <f ca="1">IFERROR(__xludf.DUMMYFUNCTION("""COMPUTED_VALUE"""),50.737)</f>
        <v>50.737000000000002</v>
      </c>
      <c r="I2480" s="2">
        <f ca="1">IFERROR(__xludf.DUMMYFUNCTION("""COMPUTED_VALUE"""),51.085)</f>
        <v>51.085000000000001</v>
      </c>
      <c r="J2480" s="2">
        <f ca="1">IFERROR(__xludf.DUMMYFUNCTION("""COMPUTED_VALUE"""),48.788)</f>
        <v>48.787999999999997</v>
      </c>
      <c r="K2480" s="2">
        <f ca="1">IFERROR(__xludf.DUMMYFUNCTION("""COMPUTED_VALUE"""),66.002)</f>
        <v>66.001999999999995</v>
      </c>
      <c r="M2480" s="2">
        <f ca="1">IFERROR(__xludf.DUMMYFUNCTION("""COMPUTED_VALUE"""),17.332)</f>
        <v>17.332000000000001</v>
      </c>
      <c r="U2480" s="3" t="e">
        <f ca="1"/>
        <v>#NAME?</v>
      </c>
    </row>
    <row r="2481" spans="3:21" ht="12.5" x14ac:dyDescent="0.25">
      <c r="C2481" s="4">
        <f ca="1">IFERROR(__xludf.DUMMYFUNCTION("""COMPUTED_VALUE"""),42887.9986111111)</f>
        <v>42887.998611111099</v>
      </c>
      <c r="D2481" s="2">
        <f ca="1">IFERROR(__xludf.DUMMYFUNCTION("""COMPUTED_VALUE"""),64.3723)</f>
        <v>64.372299999999996</v>
      </c>
      <c r="E2481" s="2">
        <f ca="1">IFERROR(__xludf.DUMMYFUNCTION("""COMPUTED_VALUE"""),79.51)</f>
        <v>79.510000000000005</v>
      </c>
      <c r="F2481" s="2">
        <f ca="1">IFERROR(__xludf.DUMMYFUNCTION("""COMPUTED_VALUE"""),82.906)</f>
        <v>82.906000000000006</v>
      </c>
      <c r="G2481" s="2">
        <f ca="1">IFERROR(__xludf.DUMMYFUNCTION("""COMPUTED_VALUE"""),0.61059)</f>
        <v>0.61058999999999997</v>
      </c>
      <c r="H2481" s="2">
        <f ca="1">IFERROR(__xludf.DUMMYFUNCTION("""COMPUTED_VALUE"""),50.767)</f>
        <v>50.767000000000003</v>
      </c>
      <c r="I2481" s="2">
        <f ca="1">IFERROR(__xludf.DUMMYFUNCTION("""COMPUTED_VALUE"""),51.07)</f>
        <v>51.07</v>
      </c>
      <c r="J2481" s="2">
        <f ca="1">IFERROR(__xludf.DUMMYFUNCTION("""COMPUTED_VALUE"""),48.887)</f>
        <v>48.887</v>
      </c>
      <c r="K2481" s="2">
        <f ca="1">IFERROR(__xludf.DUMMYFUNCTION("""COMPUTED_VALUE"""),65.227)</f>
        <v>65.227000000000004</v>
      </c>
      <c r="M2481" s="2">
        <f ca="1">IFERROR(__xludf.DUMMYFUNCTION("""COMPUTED_VALUE"""),17.334)</f>
        <v>17.334</v>
      </c>
      <c r="U2481" s="3" t="e">
        <f ca="1"/>
        <v>#NAME?</v>
      </c>
    </row>
    <row r="2482" spans="3:21" ht="12.5" x14ac:dyDescent="0.25">
      <c r="C2482" s="4">
        <f ca="1">IFERROR(__xludf.DUMMYFUNCTION("""COMPUTED_VALUE"""),42888.9986111111)</f>
        <v>42888.998611111099</v>
      </c>
      <c r="D2482" s="2">
        <f ca="1">IFERROR(__xludf.DUMMYFUNCTION("""COMPUTED_VALUE"""),64.408)</f>
        <v>64.408000000000001</v>
      </c>
      <c r="E2482" s="2">
        <f ca="1">IFERROR(__xludf.DUMMYFUNCTION("""COMPUTED_VALUE"""),80.015)</f>
        <v>80.015000000000001</v>
      </c>
      <c r="F2482" s="2">
        <f ca="1">IFERROR(__xludf.DUMMYFUNCTION("""COMPUTED_VALUE"""),82.64)</f>
        <v>82.64</v>
      </c>
      <c r="G2482" s="2">
        <f ca="1">IFERROR(__xludf.DUMMYFUNCTION("""COMPUTED_VALUE"""),0.61386)</f>
        <v>0.61385999999999996</v>
      </c>
      <c r="H2482" s="2">
        <f ca="1">IFERROR(__xludf.DUMMYFUNCTION("""COMPUTED_VALUE"""),51.067)</f>
        <v>51.067</v>
      </c>
      <c r="I2482" s="2">
        <f ca="1">IFERROR(__xludf.DUMMYFUNCTION("""COMPUTED_VALUE"""),51.225)</f>
        <v>51.225000000000001</v>
      </c>
      <c r="J2482" s="2">
        <f ca="1">IFERROR(__xludf.DUMMYFUNCTION("""COMPUTED_VALUE"""),48.831)</f>
        <v>48.831000000000003</v>
      </c>
      <c r="K2482" s="2">
        <f ca="1">IFERROR(__xludf.DUMMYFUNCTION("""COMPUTED_VALUE"""),65.306)</f>
        <v>65.305999999999997</v>
      </c>
      <c r="M2482" s="2">
        <f ca="1">IFERROR(__xludf.DUMMYFUNCTION("""COMPUTED_VALUE"""),17.376)</f>
        <v>17.376000000000001</v>
      </c>
      <c r="U2482" s="3" t="e">
        <f ca="1"/>
        <v>#NAME?</v>
      </c>
    </row>
    <row r="2483" spans="3:21" ht="12.5" x14ac:dyDescent="0.25">
      <c r="C2483" s="4">
        <f ca="1">IFERROR(__xludf.DUMMYFUNCTION("""COMPUTED_VALUE"""),42889.9986111111)</f>
        <v>42889.998611111099</v>
      </c>
      <c r="D2483" s="2">
        <f ca="1">IFERROR(__xludf.DUMMYFUNCTION("""COMPUTED_VALUE"""),64.405)</f>
        <v>64.405000000000001</v>
      </c>
      <c r="E2483" s="2">
        <f ca="1">IFERROR(__xludf.DUMMYFUNCTION("""COMPUTED_VALUE"""),79.471)</f>
        <v>79.471000000000004</v>
      </c>
      <c r="F2483" s="2">
        <f ca="1">IFERROR(__xludf.DUMMYFUNCTION("""COMPUTED_VALUE"""),82.938)</f>
        <v>82.938000000000002</v>
      </c>
      <c r="G2483" s="2">
        <f ca="1">IFERROR(__xludf.DUMMYFUNCTION("""COMPUTED_VALUE"""),0.61008)</f>
        <v>0.61007999999999996</v>
      </c>
      <c r="H2483" s="2">
        <f ca="1">IFERROR(__xludf.DUMMYFUNCTION("""COMPUTED_VALUE"""),50.483)</f>
        <v>50.482999999999997</v>
      </c>
      <c r="I2483" s="2">
        <f ca="1">IFERROR(__xludf.DUMMYFUNCTION("""COMPUTED_VALUE"""),50.977)</f>
        <v>50.976999999999997</v>
      </c>
      <c r="J2483" s="2">
        <f ca="1">IFERROR(__xludf.DUMMYFUNCTION("""COMPUTED_VALUE"""),49.12)</f>
        <v>49.12</v>
      </c>
      <c r="K2483" s="2">
        <f ca="1">IFERROR(__xludf.DUMMYFUNCTION("""COMPUTED_VALUE"""),65.107)</f>
        <v>65.106999999999999</v>
      </c>
      <c r="M2483" s="2">
        <f ca="1">IFERROR(__xludf.DUMMYFUNCTION("""COMPUTED_VALUE"""),17.341)</f>
        <v>17.341000000000001</v>
      </c>
      <c r="U2483" s="3" t="e">
        <f ca="1"/>
        <v>#NAME?</v>
      </c>
    </row>
    <row r="2484" spans="3:21" ht="12.5" x14ac:dyDescent="0.25">
      <c r="C2484" s="4">
        <f ca="1">IFERROR(__xludf.DUMMYFUNCTION("""COMPUTED_VALUE"""),42890.9986111111)</f>
        <v>42890.998611111099</v>
      </c>
      <c r="D2484" s="2">
        <f ca="1">IFERROR(__xludf.DUMMYFUNCTION("""COMPUTED_VALUE"""),64.405)</f>
        <v>64.405000000000001</v>
      </c>
      <c r="E2484" s="2">
        <f ca="1">IFERROR(__xludf.DUMMYFUNCTION("""COMPUTED_VALUE"""),78.6882)</f>
        <v>78.688199999999995</v>
      </c>
      <c r="F2484" s="2">
        <f ca="1">IFERROR(__xludf.DUMMYFUNCTION("""COMPUTED_VALUE"""),83.478)</f>
        <v>83.477999999999994</v>
      </c>
      <c r="G2484" s="2">
        <f ca="1">IFERROR(__xludf.DUMMYFUNCTION("""COMPUTED_VALUE"""),0.6086)</f>
        <v>0.60860000000000003</v>
      </c>
      <c r="H2484" s="2">
        <f ca="1">IFERROR(__xludf.DUMMYFUNCTION("""COMPUTED_VALUE"""),50.887)</f>
        <v>50.887</v>
      </c>
      <c r="I2484" s="2">
        <f ca="1">IFERROR(__xludf.DUMMYFUNCTION("""COMPUTED_VALUE"""),51.065)</f>
        <v>51.064999999999998</v>
      </c>
      <c r="J2484" s="2">
        <f ca="1">IFERROR(__xludf.DUMMYFUNCTION("""COMPUTED_VALUE"""),48.884)</f>
        <v>48.884</v>
      </c>
      <c r="K2484" s="2">
        <f ca="1">IFERROR(__xludf.DUMMYFUNCTION("""COMPUTED_VALUE"""),65.147)</f>
        <v>65.147000000000006</v>
      </c>
      <c r="M2484" s="2">
        <f ca="1">IFERROR(__xludf.DUMMYFUNCTION("""COMPUTED_VALUE"""),17.392)</f>
        <v>17.391999999999999</v>
      </c>
      <c r="U2484" s="3" t="e">
        <f ca="1"/>
        <v>#NAME?</v>
      </c>
    </row>
    <row r="2485" spans="3:21" ht="12.5" x14ac:dyDescent="0.25">
      <c r="C2485" s="4">
        <f ca="1">IFERROR(__xludf.DUMMYFUNCTION("""COMPUTED_VALUE"""),42891.9986111111)</f>
        <v>42891.998611111099</v>
      </c>
      <c r="D2485" s="2">
        <f ca="1">IFERROR(__xludf.DUMMYFUNCTION("""COMPUTED_VALUE"""),64.344)</f>
        <v>64.343999999999994</v>
      </c>
      <c r="E2485" s="2">
        <f ca="1">IFERROR(__xludf.DUMMYFUNCTION("""COMPUTED_VALUE"""),79.471)</f>
        <v>79.471000000000004</v>
      </c>
      <c r="F2485" s="2">
        <f ca="1">IFERROR(__xludf.DUMMYFUNCTION("""COMPUTED_VALUE"""),83.393)</f>
        <v>83.393000000000001</v>
      </c>
      <c r="G2485" s="2">
        <f ca="1">IFERROR(__xludf.DUMMYFUNCTION("""COMPUTED_VALUE"""),0.60539)</f>
        <v>0.60538999999999998</v>
      </c>
      <c r="H2485" s="2">
        <f ca="1">IFERROR(__xludf.DUMMYFUNCTION("""COMPUTED_VALUE"""),50.638)</f>
        <v>50.637999999999998</v>
      </c>
      <c r="I2485" s="2">
        <f ca="1">IFERROR(__xludf.DUMMYFUNCTION("""COMPUTED_VALUE"""),51.052)</f>
        <v>51.052</v>
      </c>
      <c r="J2485" s="2">
        <f ca="1">IFERROR(__xludf.DUMMYFUNCTION("""COMPUTED_VALUE"""),49.204)</f>
        <v>49.204000000000001</v>
      </c>
      <c r="K2485" s="2">
        <f ca="1">IFERROR(__xludf.DUMMYFUNCTION("""COMPUTED_VALUE"""),64.846)</f>
        <v>64.846000000000004</v>
      </c>
      <c r="M2485" s="2">
        <f ca="1">IFERROR(__xludf.DUMMYFUNCTION("""COMPUTED_VALUE"""),17.459)</f>
        <v>17.459</v>
      </c>
      <c r="U2485" s="3" t="e">
        <f ca="1"/>
        <v>#NAME?</v>
      </c>
    </row>
    <row r="2486" spans="3:21" ht="12.5" x14ac:dyDescent="0.25">
      <c r="C2486" s="4">
        <f ca="1">IFERROR(__xludf.DUMMYFUNCTION("""COMPUTED_VALUE"""),42892.9986111111)</f>
        <v>42892.998611111099</v>
      </c>
      <c r="D2486" s="2">
        <f ca="1">IFERROR(__xludf.DUMMYFUNCTION("""COMPUTED_VALUE"""),64.4205)</f>
        <v>64.420500000000004</v>
      </c>
      <c r="E2486" s="2">
        <f ca="1">IFERROR(__xludf.DUMMYFUNCTION("""COMPUTED_VALUE"""),79.681)</f>
        <v>79.680999999999997</v>
      </c>
      <c r="F2486" s="2">
        <f ca="1">IFERROR(__xludf.DUMMYFUNCTION("""COMPUTED_VALUE"""),83.393)</f>
        <v>83.393000000000001</v>
      </c>
      <c r="G2486" s="2">
        <f ca="1">IFERROR(__xludf.DUMMYFUNCTION("""COMPUTED_VALUE"""),0.60666)</f>
        <v>0.60665999999999998</v>
      </c>
      <c r="H2486" s="2">
        <f ca="1">IFERROR(__xludf.DUMMYFUNCTION("""COMPUTED_VALUE"""),50.139)</f>
        <v>50.139000000000003</v>
      </c>
      <c r="I2486" s="2">
        <f ca="1">IFERROR(__xludf.DUMMYFUNCTION("""COMPUTED_VALUE"""),50.551)</f>
        <v>50.551000000000002</v>
      </c>
      <c r="J2486" s="2">
        <f ca="1">IFERROR(__xludf.DUMMYFUNCTION("""COMPUTED_VALUE"""),48.973)</f>
        <v>48.972999999999999</v>
      </c>
      <c r="K2486" s="2">
        <f ca="1">IFERROR(__xludf.DUMMYFUNCTION("""COMPUTED_VALUE"""),64.865)</f>
        <v>64.864999999999995</v>
      </c>
      <c r="M2486" s="2">
        <f ca="1">IFERROR(__xludf.DUMMYFUNCTION("""COMPUTED_VALUE"""),17.443)</f>
        <v>17.443000000000001</v>
      </c>
      <c r="U2486" s="3" t="e">
        <f ca="1"/>
        <v>#NAME?</v>
      </c>
    </row>
    <row r="2487" spans="3:21" ht="12.5" x14ac:dyDescent="0.25">
      <c r="C2487" s="4">
        <f ca="1">IFERROR(__xludf.DUMMYFUNCTION("""COMPUTED_VALUE"""),42893.9986111111)</f>
        <v>42893.998611111099</v>
      </c>
      <c r="D2487" s="2">
        <f ca="1">IFERROR(__xludf.DUMMYFUNCTION("""COMPUTED_VALUE"""),64.4183)</f>
        <v>64.418300000000002</v>
      </c>
      <c r="E2487" s="2">
        <f ca="1">IFERROR(__xludf.DUMMYFUNCTION("""COMPUTED_VALUE"""),79.32)</f>
        <v>79.319999999999993</v>
      </c>
      <c r="F2487" s="2">
        <f ca="1">IFERROR(__xludf.DUMMYFUNCTION("""COMPUTED_VALUE"""),83.362)</f>
        <v>83.361999999999995</v>
      </c>
      <c r="G2487" s="2">
        <f ca="1">IFERROR(__xludf.DUMMYFUNCTION("""COMPUTED_VALUE"""),0.60791)</f>
        <v>0.60790999999999995</v>
      </c>
      <c r="H2487" s="2">
        <f ca="1">IFERROR(__xludf.DUMMYFUNCTION("""COMPUTED_VALUE"""),50.638)</f>
        <v>50.637999999999998</v>
      </c>
      <c r="I2487" s="2">
        <f ca="1">IFERROR(__xludf.DUMMYFUNCTION("""COMPUTED_VALUE"""),51.054)</f>
        <v>51.054000000000002</v>
      </c>
      <c r="J2487" s="2">
        <f ca="1">IFERROR(__xludf.DUMMYFUNCTION("""COMPUTED_VALUE"""),48.5)</f>
        <v>48.5</v>
      </c>
      <c r="K2487" s="2">
        <f ca="1">IFERROR(__xludf.DUMMYFUNCTION("""COMPUTED_VALUE"""),64.865)</f>
        <v>64.864999999999995</v>
      </c>
      <c r="M2487" s="2">
        <f ca="1">IFERROR(__xludf.DUMMYFUNCTION("""COMPUTED_VALUE"""),17.448)</f>
        <v>17.448</v>
      </c>
      <c r="U2487" s="3" t="e">
        <f ca="1"/>
        <v>#NAME?</v>
      </c>
    </row>
    <row r="2488" spans="3:21" ht="12.5" x14ac:dyDescent="0.25">
      <c r="C2488" s="4">
        <f ca="1">IFERROR(__xludf.DUMMYFUNCTION("""COMPUTED_VALUE"""),42894.9986111111)</f>
        <v>42894.998611111099</v>
      </c>
      <c r="D2488" s="2">
        <f ca="1">IFERROR(__xludf.DUMMYFUNCTION("""COMPUTED_VALUE"""),64.2439)</f>
        <v>64.243899999999996</v>
      </c>
      <c r="E2488" s="2">
        <f ca="1">IFERROR(__xludf.DUMMYFUNCTION("""COMPUTED_VALUE"""),79.421)</f>
        <v>79.421000000000006</v>
      </c>
      <c r="F2488" s="2">
        <f ca="1">IFERROR(__xludf.DUMMYFUNCTION("""COMPUTED_VALUE"""),83.709)</f>
        <v>83.709000000000003</v>
      </c>
      <c r="G2488" s="2">
        <f ca="1">IFERROR(__xludf.DUMMYFUNCTION("""COMPUTED_VALUE"""),0.60573)</f>
        <v>0.60572999999999999</v>
      </c>
      <c r="H2488" s="2">
        <f ca="1">IFERROR(__xludf.DUMMYFUNCTION("""COMPUTED_VALUE"""),50.788)</f>
        <v>50.787999999999997</v>
      </c>
      <c r="I2488" s="2">
        <f ca="1">IFERROR(__xludf.DUMMYFUNCTION("""COMPUTED_VALUE"""),51.001)</f>
        <v>51.000999999999998</v>
      </c>
      <c r="J2488" s="2">
        <f ca="1">IFERROR(__xludf.DUMMYFUNCTION("""COMPUTED_VALUE"""),48.982)</f>
        <v>48.981999999999999</v>
      </c>
      <c r="K2488" s="2">
        <f ca="1">IFERROR(__xludf.DUMMYFUNCTION("""COMPUTED_VALUE"""),64.842)</f>
        <v>64.841999999999999</v>
      </c>
      <c r="M2488" s="2">
        <f ca="1">IFERROR(__xludf.DUMMYFUNCTION("""COMPUTED_VALUE"""),17.467)</f>
        <v>17.466999999999999</v>
      </c>
      <c r="U2488" s="3" t="e">
        <f ca="1"/>
        <v>#NAME?</v>
      </c>
    </row>
    <row r="2489" spans="3:21" ht="12.5" x14ac:dyDescent="0.25">
      <c r="C2489" s="4">
        <f ca="1">IFERROR(__xludf.DUMMYFUNCTION("""COMPUTED_VALUE"""),42895.9986111111)</f>
        <v>42895.998611111099</v>
      </c>
      <c r="D2489" s="2">
        <f ca="1">IFERROR(__xludf.DUMMYFUNCTION("""COMPUTED_VALUE"""),64.238)</f>
        <v>64.238</v>
      </c>
      <c r="E2489" s="2">
        <f ca="1">IFERROR(__xludf.DUMMYFUNCTION("""COMPUTED_VALUE"""),79.964)</f>
        <v>79.963999999999999</v>
      </c>
      <c r="F2489" s="2">
        <f ca="1">IFERROR(__xludf.DUMMYFUNCTION("""COMPUTED_VALUE"""),83.462)</f>
        <v>83.462000000000003</v>
      </c>
      <c r="G2489" s="2">
        <f ca="1">IFERROR(__xludf.DUMMYFUNCTION("""COMPUTED_VALUE"""),0.61022)</f>
        <v>0.61021999999999998</v>
      </c>
      <c r="H2489" s="2">
        <f ca="1">IFERROR(__xludf.DUMMYFUNCTION("""COMPUTED_VALUE"""),50.545)</f>
        <v>50.545000000000002</v>
      </c>
      <c r="I2489" s="2">
        <f ca="1">IFERROR(__xludf.DUMMYFUNCTION("""COMPUTED_VALUE"""),50.781)</f>
        <v>50.780999999999999</v>
      </c>
      <c r="J2489" s="2">
        <f ca="1">IFERROR(__xludf.DUMMYFUNCTION("""COMPUTED_VALUE"""),49.152)</f>
        <v>49.152000000000001</v>
      </c>
      <c r="K2489" s="2">
        <f ca="1">IFERROR(__xludf.DUMMYFUNCTION("""COMPUTED_VALUE"""),64.889)</f>
        <v>64.888999999999996</v>
      </c>
      <c r="M2489" s="2">
        <f ca="1">IFERROR(__xludf.DUMMYFUNCTION("""COMPUTED_VALUE"""),17.493)</f>
        <v>17.492999999999999</v>
      </c>
      <c r="U2489" s="3" t="e">
        <f ca="1"/>
        <v>#NAME?</v>
      </c>
    </row>
    <row r="2490" spans="3:21" ht="12.5" x14ac:dyDescent="0.25">
      <c r="C2490" s="4">
        <f ca="1">IFERROR(__xludf.DUMMYFUNCTION("""COMPUTED_VALUE"""),42896.9986111111)</f>
        <v>42896.998611111099</v>
      </c>
      <c r="D2490" s="2">
        <f ca="1">IFERROR(__xludf.DUMMYFUNCTION("""COMPUTED_VALUE"""),64.377)</f>
        <v>64.376999999999995</v>
      </c>
      <c r="E2490" s="2">
        <f ca="1">IFERROR(__xludf.DUMMYFUNCTION("""COMPUTED_VALUE"""),80.278)</f>
        <v>80.278000000000006</v>
      </c>
      <c r="F2490" s="2">
        <f ca="1">IFERROR(__xludf.DUMMYFUNCTION("""COMPUTED_VALUE"""),82.949)</f>
        <v>82.948999999999998</v>
      </c>
      <c r="G2490" s="2">
        <f ca="1">IFERROR(__xludf.DUMMYFUNCTION("""COMPUTED_VALUE"""),0.60838)</f>
        <v>0.60838000000000003</v>
      </c>
      <c r="H2490" s="2">
        <f ca="1">IFERROR(__xludf.DUMMYFUNCTION("""COMPUTED_VALUE"""),50.576)</f>
        <v>50.576000000000001</v>
      </c>
      <c r="I2490" s="2">
        <f ca="1">IFERROR(__xludf.DUMMYFUNCTION("""COMPUTED_VALUE"""),50.756)</f>
        <v>50.756</v>
      </c>
      <c r="J2490" s="2">
        <f ca="1">IFERROR(__xludf.DUMMYFUNCTION("""COMPUTED_VALUE"""),48.971)</f>
        <v>48.970999999999997</v>
      </c>
      <c r="K2490" s="2">
        <f ca="1">IFERROR(__xludf.DUMMYFUNCTION("""COMPUTED_VALUE"""),65.331)</f>
        <v>65.331000000000003</v>
      </c>
      <c r="M2490" s="2">
        <f ca="1">IFERROR(__xludf.DUMMYFUNCTION("""COMPUTED_VALUE"""),17.466)</f>
        <v>17.466000000000001</v>
      </c>
      <c r="U2490" s="3" t="e">
        <f ca="1"/>
        <v>#NAME?</v>
      </c>
    </row>
    <row r="2491" spans="3:21" ht="12.5" x14ac:dyDescent="0.25">
      <c r="C2491" s="4">
        <f ca="1">IFERROR(__xludf.DUMMYFUNCTION("""COMPUTED_VALUE"""),42897.9986111111)</f>
        <v>42897.998611111099</v>
      </c>
      <c r="D2491" s="2">
        <f ca="1">IFERROR(__xludf.DUMMYFUNCTION("""COMPUTED_VALUE"""),64.377)</f>
        <v>64.376999999999995</v>
      </c>
      <c r="E2491" s="2">
        <f ca="1">IFERROR(__xludf.DUMMYFUNCTION("""COMPUTED_VALUE"""),80.138)</f>
        <v>80.138000000000005</v>
      </c>
      <c r="F2491" s="2">
        <f ca="1">IFERROR(__xludf.DUMMYFUNCTION("""COMPUTED_VALUE"""),82.778)</f>
        <v>82.778000000000006</v>
      </c>
      <c r="G2491" s="2">
        <f ca="1">IFERROR(__xludf.DUMMYFUNCTION("""COMPUTED_VALUE"""),0.60728)</f>
        <v>0.60728000000000004</v>
      </c>
      <c r="H2491" s="2">
        <f ca="1">IFERROR(__xludf.DUMMYFUNCTION("""COMPUTED_VALUE"""),50.6)</f>
        <v>50.6</v>
      </c>
      <c r="I2491" s="2">
        <f ca="1">IFERROR(__xludf.DUMMYFUNCTION("""COMPUTED_VALUE"""),50.784)</f>
        <v>50.783999999999999</v>
      </c>
      <c r="J2491" s="2">
        <f ca="1">IFERROR(__xludf.DUMMYFUNCTION("""COMPUTED_VALUE"""),49.15)</f>
        <v>49.15</v>
      </c>
      <c r="K2491" s="2">
        <f ca="1">IFERROR(__xludf.DUMMYFUNCTION("""COMPUTED_VALUE"""),64.99)</f>
        <v>64.989999999999995</v>
      </c>
      <c r="M2491" s="2">
        <f ca="1">IFERROR(__xludf.DUMMYFUNCTION("""COMPUTED_VALUE"""),17.474)</f>
        <v>17.474</v>
      </c>
      <c r="U2491" s="3" t="e">
        <f ca="1"/>
        <v>#NAME?</v>
      </c>
    </row>
    <row r="2492" spans="3:21" ht="12.5" x14ac:dyDescent="0.25">
      <c r="C2492" s="4">
        <f ca="1">IFERROR(__xludf.DUMMYFUNCTION("""COMPUTED_VALUE"""),42898.9986111111)</f>
        <v>42898.998611111099</v>
      </c>
      <c r="D2492" s="2">
        <f ca="1">IFERROR(__xludf.DUMMYFUNCTION("""COMPUTED_VALUE"""),64.4691)</f>
        <v>64.469099999999997</v>
      </c>
      <c r="E2492" s="2">
        <f ca="1">IFERROR(__xludf.DUMMYFUNCTION("""COMPUTED_VALUE"""),80.5)</f>
        <v>80.5</v>
      </c>
      <c r="F2492" s="2">
        <f ca="1">IFERROR(__xludf.DUMMYFUNCTION("""COMPUTED_VALUE"""),82.691)</f>
        <v>82.691000000000003</v>
      </c>
      <c r="G2492" s="2">
        <f ca="1">IFERROR(__xludf.DUMMYFUNCTION("""COMPUTED_VALUE"""),0.61099)</f>
        <v>0.61099000000000003</v>
      </c>
      <c r="H2492" s="2">
        <f ca="1">IFERROR(__xludf.DUMMYFUNCTION("""COMPUTED_VALUE"""),50.594)</f>
        <v>50.594000000000001</v>
      </c>
      <c r="I2492" s="2">
        <f ca="1">IFERROR(__xludf.DUMMYFUNCTION("""COMPUTED_VALUE"""),50.604)</f>
        <v>50.603999999999999</v>
      </c>
      <c r="J2492" s="2">
        <f ca="1">IFERROR(__xludf.DUMMYFUNCTION("""COMPUTED_VALUE"""),49.279)</f>
        <v>49.279000000000003</v>
      </c>
      <c r="K2492" s="2">
        <f ca="1">IFERROR(__xludf.DUMMYFUNCTION("""COMPUTED_VALUE"""),64.625)</f>
        <v>64.625</v>
      </c>
      <c r="M2492" s="2">
        <f ca="1">IFERROR(__xludf.DUMMYFUNCTION("""COMPUTED_VALUE"""),17.442)</f>
        <v>17.442</v>
      </c>
      <c r="U2492" s="3" t="e">
        <f ca="1"/>
        <v>#NAME?</v>
      </c>
    </row>
    <row r="2493" spans="3:21" ht="12.5" x14ac:dyDescent="0.25">
      <c r="C2493" s="4">
        <f ca="1">IFERROR(__xludf.DUMMYFUNCTION("""COMPUTED_VALUE"""),42899.9986111111)</f>
        <v>42899.998611111099</v>
      </c>
      <c r="D2493" s="2">
        <f ca="1">IFERROR(__xludf.DUMMYFUNCTION("""COMPUTED_VALUE"""),64.3575)</f>
        <v>64.357500000000002</v>
      </c>
      <c r="E2493" s="2">
        <f ca="1">IFERROR(__xludf.DUMMYFUNCTION("""COMPUTED_VALUE"""),80.452)</f>
        <v>80.451999999999998</v>
      </c>
      <c r="F2493" s="2">
        <f ca="1">IFERROR(__xludf.DUMMYFUNCTION("""COMPUTED_VALUE"""),82.702)</f>
        <v>82.701999999999998</v>
      </c>
      <c r="G2493" s="2">
        <f ca="1">IFERROR(__xludf.DUMMYFUNCTION("""COMPUTED_VALUE"""),0.61307)</f>
        <v>0.61307</v>
      </c>
      <c r="H2493" s="2">
        <f ca="1">IFERROR(__xludf.DUMMYFUNCTION("""COMPUTED_VALUE"""),50.447)</f>
        <v>50.447000000000003</v>
      </c>
      <c r="I2493" s="2">
        <f ca="1">IFERROR(__xludf.DUMMYFUNCTION("""COMPUTED_VALUE"""),50.046)</f>
        <v>50.045999999999999</v>
      </c>
      <c r="J2493" s="2">
        <f ca="1">IFERROR(__xludf.DUMMYFUNCTION("""COMPUTED_VALUE"""),49.378)</f>
        <v>49.378</v>
      </c>
      <c r="K2493" s="2">
        <f ca="1">IFERROR(__xludf.DUMMYFUNCTION("""COMPUTED_VALUE"""),65.07)</f>
        <v>65.069999999999993</v>
      </c>
      <c r="M2493" s="2">
        <f ca="1">IFERROR(__xludf.DUMMYFUNCTION("""COMPUTED_VALUE"""),17.446)</f>
        <v>17.446000000000002</v>
      </c>
      <c r="U2493" s="3" t="e">
        <f ca="1"/>
        <v>#NAME?</v>
      </c>
    </row>
    <row r="2494" spans="3:21" ht="12.5" x14ac:dyDescent="0.25">
      <c r="C2494" s="4">
        <f ca="1">IFERROR(__xludf.DUMMYFUNCTION("""COMPUTED_VALUE"""),42900.9986111111)</f>
        <v>42900.998611111099</v>
      </c>
      <c r="D2494" s="2">
        <f ca="1">IFERROR(__xludf.DUMMYFUNCTION("""COMPUTED_VALUE"""),64.1658)</f>
        <v>64.165800000000004</v>
      </c>
      <c r="E2494" s="2">
        <f ca="1">IFERROR(__xludf.DUMMYFUNCTION("""COMPUTED_VALUE"""),80.038)</f>
        <v>80.037999999999997</v>
      </c>
      <c r="F2494" s="2">
        <f ca="1">IFERROR(__xludf.DUMMYFUNCTION("""COMPUTED_VALUE"""),82.619)</f>
        <v>82.619</v>
      </c>
      <c r="G2494" s="2">
        <f ca="1">IFERROR(__xludf.DUMMYFUNCTION("""COMPUTED_VALUE"""),0.61168)</f>
        <v>0.61168</v>
      </c>
      <c r="H2494" s="2">
        <f ca="1">IFERROR(__xludf.DUMMYFUNCTION("""COMPUTED_VALUE"""),50.477)</f>
        <v>50.476999999999997</v>
      </c>
      <c r="I2494" s="2">
        <f ca="1">IFERROR(__xludf.DUMMYFUNCTION("""COMPUTED_VALUE"""),50.07)</f>
        <v>50.07</v>
      </c>
      <c r="J2494" s="2">
        <f ca="1">IFERROR(__xludf.DUMMYFUNCTION("""COMPUTED_VALUE"""),49.276)</f>
        <v>49.276000000000003</v>
      </c>
      <c r="K2494" s="2">
        <f ca="1">IFERROR(__xludf.DUMMYFUNCTION("""COMPUTED_VALUE"""),64.938)</f>
        <v>64.938000000000002</v>
      </c>
      <c r="M2494" s="2">
        <f ca="1">IFERROR(__xludf.DUMMYFUNCTION("""COMPUTED_VALUE"""),17.465)</f>
        <v>17.465</v>
      </c>
      <c r="U2494" s="3" t="e">
        <f ca="1"/>
        <v>#NAME?</v>
      </c>
    </row>
    <row r="2495" spans="3:21" ht="12.5" x14ac:dyDescent="0.25">
      <c r="C2495" s="4">
        <f ca="1">IFERROR(__xludf.DUMMYFUNCTION("""COMPUTED_VALUE"""),42901.9986111111)</f>
        <v>42901.998611111099</v>
      </c>
      <c r="D2495" s="2">
        <f ca="1">IFERROR(__xludf.DUMMYFUNCTION("""COMPUTED_VALUE"""),64.56)</f>
        <v>64.56</v>
      </c>
      <c r="E2495" s="2">
        <f ca="1">IFERROR(__xludf.DUMMYFUNCTION("""COMPUTED_VALUE"""),80.069)</f>
        <v>80.069000000000003</v>
      </c>
      <c r="F2495" s="2">
        <f ca="1">IFERROR(__xludf.DUMMYFUNCTION("""COMPUTED_VALUE"""),82.542)</f>
        <v>82.542000000000002</v>
      </c>
      <c r="G2495" s="2">
        <f ca="1">IFERROR(__xludf.DUMMYFUNCTION("""COMPUTED_VALUE"""),0.61249)</f>
        <v>0.61248999999999998</v>
      </c>
      <c r="H2495" s="2">
        <f ca="1">IFERROR(__xludf.DUMMYFUNCTION("""COMPUTED_VALUE"""),50.729)</f>
        <v>50.728999999999999</v>
      </c>
      <c r="I2495" s="2">
        <f ca="1">IFERROR(__xludf.DUMMYFUNCTION("""COMPUTED_VALUE"""),50.215)</f>
        <v>50.215000000000003</v>
      </c>
      <c r="J2495" s="2">
        <f ca="1">IFERROR(__xludf.DUMMYFUNCTION("""COMPUTED_VALUE"""),49.181)</f>
        <v>49.180999999999997</v>
      </c>
      <c r="K2495" s="2">
        <f ca="1">IFERROR(__xludf.DUMMYFUNCTION("""COMPUTED_VALUE"""),64.934)</f>
        <v>64.933999999999997</v>
      </c>
      <c r="M2495" s="2">
        <f ca="1">IFERROR(__xludf.DUMMYFUNCTION("""COMPUTED_VALUE"""),17.439)</f>
        <v>17.439</v>
      </c>
      <c r="U2495" s="3" t="e">
        <f ca="1"/>
        <v>#NAME?</v>
      </c>
    </row>
    <row r="2496" spans="3:21" ht="12.5" x14ac:dyDescent="0.25">
      <c r="C2496" s="4">
        <f ca="1">IFERROR(__xludf.DUMMYFUNCTION("""COMPUTED_VALUE"""),42902.9986111111)</f>
        <v>42902.998611111099</v>
      </c>
      <c r="D2496" s="2">
        <f ca="1">IFERROR(__xludf.DUMMYFUNCTION("""COMPUTED_VALUE"""),64.36)</f>
        <v>64.36</v>
      </c>
      <c r="E2496" s="2">
        <f ca="1">IFERROR(__xludf.DUMMYFUNCTION("""COMPUTED_VALUE"""),80.102)</f>
        <v>80.102000000000004</v>
      </c>
      <c r="F2496" s="2">
        <f ca="1">IFERROR(__xludf.DUMMYFUNCTION("""COMPUTED_VALUE"""),83.307)</f>
        <v>83.307000000000002</v>
      </c>
      <c r="G2496" s="2">
        <f ca="1">IFERROR(__xludf.DUMMYFUNCTION("""COMPUTED_VALUE"""),0.6144)</f>
        <v>0.61439999999999995</v>
      </c>
      <c r="H2496" s="2">
        <f ca="1">IFERROR(__xludf.DUMMYFUNCTION("""COMPUTED_VALUE"""),50.679)</f>
        <v>50.679000000000002</v>
      </c>
      <c r="I2496" s="2">
        <f ca="1">IFERROR(__xludf.DUMMYFUNCTION("""COMPUTED_VALUE"""),50.434)</f>
        <v>50.433999999999997</v>
      </c>
      <c r="J2496" s="2">
        <f ca="1">IFERROR(__xludf.DUMMYFUNCTION("""COMPUTED_VALUE"""),49.326)</f>
        <v>49.326000000000001</v>
      </c>
      <c r="K2496" s="2">
        <f ca="1">IFERROR(__xludf.DUMMYFUNCTION("""COMPUTED_VALUE"""),64.685)</f>
        <v>64.685000000000002</v>
      </c>
      <c r="M2496" s="2">
        <f ca="1">IFERROR(__xludf.DUMMYFUNCTION("""COMPUTED_VALUE"""),17.424)</f>
        <v>17.423999999999999</v>
      </c>
      <c r="U2496" s="3" t="e">
        <f ca="1"/>
        <v>#NAME?</v>
      </c>
    </row>
    <row r="2497" spans="3:21" ht="12.5" x14ac:dyDescent="0.25">
      <c r="C2497" s="4">
        <f ca="1">IFERROR(__xludf.DUMMYFUNCTION("""COMPUTED_VALUE"""),42903.9986111111)</f>
        <v>42903.998611111099</v>
      </c>
      <c r="D2497" s="2">
        <f ca="1">IFERROR(__xludf.DUMMYFUNCTION("""COMPUTED_VALUE"""),64.395)</f>
        <v>64.394999999999996</v>
      </c>
      <c r="E2497" s="2">
        <f ca="1">IFERROR(__xludf.DUMMYFUNCTION("""COMPUTED_VALUE"""),80.285)</f>
        <v>80.284999999999997</v>
      </c>
      <c r="F2497" s="2">
        <f ca="1">IFERROR(__xludf.DUMMYFUNCTION("""COMPUTED_VALUE"""),84.019)</f>
        <v>84.019000000000005</v>
      </c>
      <c r="G2497" s="2">
        <f ca="1">IFERROR(__xludf.DUMMYFUNCTION("""COMPUTED_VALUE"""),0.60662)</f>
        <v>0.60662000000000005</v>
      </c>
      <c r="H2497" s="2">
        <f ca="1">IFERROR(__xludf.DUMMYFUNCTION("""COMPUTED_VALUE"""),51.057)</f>
        <v>51.057000000000002</v>
      </c>
      <c r="I2497" s="2">
        <f ca="1">IFERROR(__xludf.DUMMYFUNCTION("""COMPUTED_VALUE"""),50.784)</f>
        <v>50.783999999999999</v>
      </c>
      <c r="J2497" s="2">
        <f ca="1">IFERROR(__xludf.DUMMYFUNCTION("""COMPUTED_VALUE"""),49.367)</f>
        <v>49.366999999999997</v>
      </c>
      <c r="K2497" s="2">
        <f ca="1">IFERROR(__xludf.DUMMYFUNCTION("""COMPUTED_VALUE"""),64.631)</f>
        <v>64.631</v>
      </c>
      <c r="M2497" s="2">
        <f ca="1">IFERROR(__xludf.DUMMYFUNCTION("""COMPUTED_VALUE"""),17.432)</f>
        <v>17.431999999999999</v>
      </c>
      <c r="U2497" s="3" t="e">
        <f ca="1"/>
        <v>#NAME?</v>
      </c>
    </row>
    <row r="2498" spans="3:21" ht="12.5" x14ac:dyDescent="0.25">
      <c r="C2498" s="4">
        <f ca="1">IFERROR(__xludf.DUMMYFUNCTION("""COMPUTED_VALUE"""),42904.9986111111)</f>
        <v>42904.998611111099</v>
      </c>
      <c r="D2498" s="2">
        <f ca="1">IFERROR(__xludf.DUMMYFUNCTION("""COMPUTED_VALUE"""),64.395)</f>
        <v>64.394999999999996</v>
      </c>
      <c r="E2498" s="2">
        <f ca="1">IFERROR(__xludf.DUMMYFUNCTION("""COMPUTED_VALUE"""),80.163)</f>
        <v>80.162999999999997</v>
      </c>
      <c r="F2498" s="2">
        <f ca="1">IFERROR(__xludf.DUMMYFUNCTION("""COMPUTED_VALUE"""),84.169)</f>
        <v>84.168999999999997</v>
      </c>
      <c r="G2498" s="2">
        <f ca="1">IFERROR(__xludf.DUMMYFUNCTION("""COMPUTED_VALUE"""),0.61103)</f>
        <v>0.61102999999999996</v>
      </c>
      <c r="H2498" s="2">
        <f ca="1">IFERROR(__xludf.DUMMYFUNCTION("""COMPUTED_VALUE"""),51.102)</f>
        <v>51.101999999999997</v>
      </c>
      <c r="I2498" s="2">
        <f ca="1">IFERROR(__xludf.DUMMYFUNCTION("""COMPUTED_VALUE"""),50.544)</f>
        <v>50.543999999999997</v>
      </c>
      <c r="J2498" s="2">
        <f ca="1">IFERROR(__xludf.DUMMYFUNCTION("""COMPUTED_VALUE"""),49.413)</f>
        <v>49.412999999999997</v>
      </c>
      <c r="K2498" s="2">
        <f ca="1">IFERROR(__xludf.DUMMYFUNCTION("""COMPUTED_VALUE"""),64.631)</f>
        <v>64.631</v>
      </c>
      <c r="M2498" s="2">
        <f ca="1">IFERROR(__xludf.DUMMYFUNCTION("""COMPUTED_VALUE"""),17.38)</f>
        <v>17.38</v>
      </c>
      <c r="U2498" s="3" t="e">
        <f ca="1"/>
        <v>#NAME?</v>
      </c>
    </row>
    <row r="2499" spans="3:21" ht="12.5" x14ac:dyDescent="0.25">
      <c r="C2499" s="4">
        <f ca="1">IFERROR(__xludf.DUMMYFUNCTION("""COMPUTED_VALUE"""),42905.9986111111)</f>
        <v>42905.998611111099</v>
      </c>
      <c r="D2499" s="2">
        <f ca="1">IFERROR(__xludf.DUMMYFUNCTION("""COMPUTED_VALUE"""),64.4876)</f>
        <v>64.4876</v>
      </c>
      <c r="E2499" s="2">
        <f ca="1">IFERROR(__xludf.DUMMYFUNCTION("""COMPUTED_VALUE"""),79.903)</f>
        <v>79.903000000000006</v>
      </c>
      <c r="F2499" s="2">
        <f ca="1">IFERROR(__xludf.DUMMYFUNCTION("""COMPUTED_VALUE"""),84.155)</f>
        <v>84.155000000000001</v>
      </c>
      <c r="G2499" s="2">
        <f ca="1">IFERROR(__xludf.DUMMYFUNCTION("""COMPUTED_VALUE"""),0.60969)</f>
        <v>0.60968999999999995</v>
      </c>
      <c r="H2499" s="2">
        <f ca="1">IFERROR(__xludf.DUMMYFUNCTION("""COMPUTED_VALUE"""),50.908)</f>
        <v>50.908000000000001</v>
      </c>
      <c r="I2499" s="2">
        <f ca="1">IFERROR(__xludf.DUMMYFUNCTION("""COMPUTED_VALUE"""),50)</f>
        <v>50</v>
      </c>
      <c r="J2499" s="2">
        <f ca="1">IFERROR(__xludf.DUMMYFUNCTION("""COMPUTED_VALUE"""),49.467)</f>
        <v>49.466999999999999</v>
      </c>
      <c r="K2499" s="2">
        <f ca="1">IFERROR(__xludf.DUMMYFUNCTION("""COMPUTED_VALUE"""),64.646)</f>
        <v>64.646000000000001</v>
      </c>
      <c r="M2499" s="2">
        <f ca="1">IFERROR(__xludf.DUMMYFUNCTION("""COMPUTED_VALUE"""),17.424)</f>
        <v>17.423999999999999</v>
      </c>
      <c r="U2499" s="3" t="e">
        <f ca="1"/>
        <v>#NAME?</v>
      </c>
    </row>
    <row r="2500" spans="3:21" ht="12.5" x14ac:dyDescent="0.25">
      <c r="C2500" s="4">
        <f ca="1">IFERROR(__xludf.DUMMYFUNCTION("""COMPUTED_VALUE"""),42906.9986111111)</f>
        <v>42906.998611111099</v>
      </c>
      <c r="D2500" s="2">
        <f ca="1">IFERROR(__xludf.DUMMYFUNCTION("""COMPUTED_VALUE"""),64.5305)</f>
        <v>64.530500000000004</v>
      </c>
      <c r="E2500" s="2">
        <f ca="1">IFERROR(__xludf.DUMMYFUNCTION("""COMPUTED_VALUE"""),79.786)</f>
        <v>79.786000000000001</v>
      </c>
      <c r="F2500" s="2">
        <f ca="1">IFERROR(__xludf.DUMMYFUNCTION("""COMPUTED_VALUE"""),84.015)</f>
        <v>84.015000000000001</v>
      </c>
      <c r="G2500" s="2">
        <f ca="1">IFERROR(__xludf.DUMMYFUNCTION("""COMPUTED_VALUE"""),0.61122)</f>
        <v>0.61121999999999999</v>
      </c>
      <c r="H2500" s="2">
        <f ca="1">IFERROR(__xludf.DUMMYFUNCTION("""COMPUTED_VALUE"""),51.04)</f>
        <v>51.04</v>
      </c>
      <c r="I2500" s="2">
        <f ca="1">IFERROR(__xludf.DUMMYFUNCTION("""COMPUTED_VALUE"""),50.008)</f>
        <v>50.008000000000003</v>
      </c>
      <c r="J2500" s="2">
        <f ca="1">IFERROR(__xludf.DUMMYFUNCTION("""COMPUTED_VALUE"""),49.395)</f>
        <v>49.395000000000003</v>
      </c>
      <c r="K2500" s="2">
        <f ca="1">IFERROR(__xludf.DUMMYFUNCTION("""COMPUTED_VALUE"""),64.967)</f>
        <v>64.966999999999999</v>
      </c>
      <c r="M2500" s="2">
        <f ca="1">IFERROR(__xludf.DUMMYFUNCTION("""COMPUTED_VALUE"""),17.367)</f>
        <v>17.367000000000001</v>
      </c>
      <c r="U2500" s="3" t="e">
        <f ca="1"/>
        <v>#NAME?</v>
      </c>
    </row>
    <row r="2501" spans="3:21" ht="12.5" x14ac:dyDescent="0.25">
      <c r="C2501" s="4">
        <f ca="1">IFERROR(__xludf.DUMMYFUNCTION("""COMPUTED_VALUE"""),42907.9986111111)</f>
        <v>42907.998611111099</v>
      </c>
      <c r="D2501" s="2">
        <f ca="1">IFERROR(__xludf.DUMMYFUNCTION("""COMPUTED_VALUE"""),64.5416)</f>
        <v>64.541600000000003</v>
      </c>
      <c r="E2501" s="2">
        <f ca="1">IFERROR(__xludf.DUMMYFUNCTION("""COMPUTED_VALUE"""),80.379)</f>
        <v>80.379000000000005</v>
      </c>
      <c r="F2501" s="2">
        <f ca="1">IFERROR(__xludf.DUMMYFUNCTION("""COMPUTED_VALUE"""),83.816)</f>
        <v>83.816000000000003</v>
      </c>
      <c r="G2501" s="2">
        <f ca="1">IFERROR(__xludf.DUMMYFUNCTION("""COMPUTED_VALUE"""),0.61061)</f>
        <v>0.61060999999999999</v>
      </c>
      <c r="H2501" s="2">
        <f ca="1">IFERROR(__xludf.DUMMYFUNCTION("""COMPUTED_VALUE"""),50.58)</f>
        <v>50.58</v>
      </c>
      <c r="I2501" s="2">
        <f ca="1">IFERROR(__xludf.DUMMYFUNCTION("""COMPUTED_VALUE"""),49.75)</f>
        <v>49.75</v>
      </c>
      <c r="J2501" s="2">
        <f ca="1">IFERROR(__xludf.DUMMYFUNCTION("""COMPUTED_VALUE"""),49.489)</f>
        <v>49.488999999999997</v>
      </c>
      <c r="K2501" s="2">
        <f ca="1">IFERROR(__xludf.DUMMYFUNCTION("""COMPUTED_VALUE"""),65.391)</f>
        <v>65.391000000000005</v>
      </c>
      <c r="M2501" s="2">
        <f ca="1">IFERROR(__xludf.DUMMYFUNCTION("""COMPUTED_VALUE"""),17.425)</f>
        <v>17.425000000000001</v>
      </c>
      <c r="U2501" s="3" t="e">
        <f ca="1"/>
        <v>#NAME?</v>
      </c>
    </row>
    <row r="2502" spans="3:21" ht="12.5" x14ac:dyDescent="0.25">
      <c r="C2502" s="4">
        <f ca="1">IFERROR(__xludf.DUMMYFUNCTION("""COMPUTED_VALUE"""),42908.9986111111)</f>
        <v>42908.998611111099</v>
      </c>
      <c r="D2502" s="2">
        <f ca="1">IFERROR(__xludf.DUMMYFUNCTION("""COMPUTED_VALUE"""),64.591)</f>
        <v>64.590999999999994</v>
      </c>
      <c r="E2502" s="2">
        <f ca="1">IFERROR(__xludf.DUMMYFUNCTION("""COMPUTED_VALUE"""),79.826)</f>
        <v>79.825999999999993</v>
      </c>
      <c r="F2502" s="2">
        <f ca="1">IFERROR(__xludf.DUMMYFUNCTION("""COMPUTED_VALUE"""),84.116)</f>
        <v>84.116</v>
      </c>
      <c r="G2502" s="2">
        <f ca="1">IFERROR(__xludf.DUMMYFUNCTION("""COMPUTED_VALUE"""),0.61041)</f>
        <v>0.61041000000000001</v>
      </c>
      <c r="H2502" s="2">
        <f ca="1">IFERROR(__xludf.DUMMYFUNCTION("""COMPUTED_VALUE"""),50.089)</f>
        <v>50.088999999999999</v>
      </c>
      <c r="I2502" s="2">
        <f ca="1">IFERROR(__xludf.DUMMYFUNCTION("""COMPUTED_VALUE"""),49.578)</f>
        <v>49.578000000000003</v>
      </c>
      <c r="J2502" s="2">
        <f ca="1">IFERROR(__xludf.DUMMYFUNCTION("""COMPUTED_VALUE"""),49.399)</f>
        <v>49.399000000000001</v>
      </c>
      <c r="K2502" s="2">
        <f ca="1">IFERROR(__xludf.DUMMYFUNCTION("""COMPUTED_VALUE"""),65.4)</f>
        <v>65.400000000000006</v>
      </c>
      <c r="M2502" s="2">
        <f ca="1">IFERROR(__xludf.DUMMYFUNCTION("""COMPUTED_VALUE"""),17.416)</f>
        <v>17.416</v>
      </c>
      <c r="U2502" s="3" t="e">
        <f ca="1"/>
        <v>#NAME?</v>
      </c>
    </row>
    <row r="2503" spans="3:21" ht="12.5" x14ac:dyDescent="0.25">
      <c r="C2503" s="4">
        <f ca="1">IFERROR(__xludf.DUMMYFUNCTION("""COMPUTED_VALUE"""),42909.9986111111)</f>
        <v>42909.998611111099</v>
      </c>
      <c r="D2503" s="2">
        <f ca="1">IFERROR(__xludf.DUMMYFUNCTION("""COMPUTED_VALUE"""),64.498)</f>
        <v>64.498000000000005</v>
      </c>
      <c r="E2503" s="2">
        <f ca="1">IFERROR(__xludf.DUMMYFUNCTION("""COMPUTED_VALUE"""),80.401)</f>
        <v>80.400999999999996</v>
      </c>
      <c r="F2503" s="2">
        <f ca="1">IFERROR(__xludf.DUMMYFUNCTION("""COMPUTED_VALUE"""),83.999)</f>
        <v>83.998999999999995</v>
      </c>
      <c r="G2503" s="2">
        <f ca="1">IFERROR(__xludf.DUMMYFUNCTION("""COMPUTED_VALUE"""),0.60678)</f>
        <v>0.60677999999999999</v>
      </c>
      <c r="H2503" s="2">
        <f ca="1">IFERROR(__xludf.DUMMYFUNCTION("""COMPUTED_VALUE"""),50.224)</f>
        <v>50.223999999999997</v>
      </c>
      <c r="I2503" s="2">
        <f ca="1">IFERROR(__xludf.DUMMYFUNCTION("""COMPUTED_VALUE"""),49.801)</f>
        <v>49.801000000000002</v>
      </c>
      <c r="J2503" s="2">
        <f ca="1">IFERROR(__xludf.DUMMYFUNCTION("""COMPUTED_VALUE"""),49.273)</f>
        <v>49.273000000000003</v>
      </c>
      <c r="K2503" s="2">
        <f ca="1">IFERROR(__xludf.DUMMYFUNCTION("""COMPUTED_VALUE"""),65.445)</f>
        <v>65.444999999999993</v>
      </c>
      <c r="M2503" s="2">
        <f ca="1">IFERROR(__xludf.DUMMYFUNCTION("""COMPUTED_VALUE"""),17.402)</f>
        <v>17.402000000000001</v>
      </c>
      <c r="U2503" s="3" t="e">
        <f ca="1"/>
        <v>#NAME?</v>
      </c>
    </row>
    <row r="2504" spans="3:21" ht="12.5" x14ac:dyDescent="0.25">
      <c r="C2504" s="4">
        <f ca="1">IFERROR(__xludf.DUMMYFUNCTION("""COMPUTED_VALUE"""),42910.9986111111)</f>
        <v>42910.998611111099</v>
      </c>
      <c r="D2504" s="2">
        <f ca="1">IFERROR(__xludf.DUMMYFUNCTION("""COMPUTED_VALUE"""),64.498)</f>
        <v>64.498000000000005</v>
      </c>
      <c r="E2504" s="2">
        <f ca="1">IFERROR(__xludf.DUMMYFUNCTION("""COMPUTED_VALUE"""),80.165)</f>
        <v>80.165000000000006</v>
      </c>
      <c r="F2504" s="2">
        <f ca="1">IFERROR(__xludf.DUMMYFUNCTION("""COMPUTED_VALUE"""),83.459)</f>
        <v>83.459000000000003</v>
      </c>
      <c r="G2504" s="2">
        <f ca="1">IFERROR(__xludf.DUMMYFUNCTION("""COMPUTED_VALUE"""),0.60936)</f>
        <v>0.60936000000000001</v>
      </c>
      <c r="H2504" s="2">
        <f ca="1">IFERROR(__xludf.DUMMYFUNCTION("""COMPUTED_VALUE"""),50.114)</f>
        <v>50.113999999999997</v>
      </c>
      <c r="I2504" s="2">
        <f ca="1">IFERROR(__xludf.DUMMYFUNCTION("""COMPUTED_VALUE"""),49.85)</f>
        <v>49.85</v>
      </c>
      <c r="J2504" s="2">
        <f ca="1">IFERROR(__xludf.DUMMYFUNCTION("""COMPUTED_VALUE"""),49.491)</f>
        <v>49.491</v>
      </c>
      <c r="K2504" s="2">
        <f ca="1">IFERROR(__xludf.DUMMYFUNCTION("""COMPUTED_VALUE"""),64.535)</f>
        <v>64.534999999999997</v>
      </c>
      <c r="M2504" s="2">
        <f ca="1">IFERROR(__xludf.DUMMYFUNCTION("""COMPUTED_VALUE"""),17.372)</f>
        <v>17.372</v>
      </c>
      <c r="U2504" s="3" t="e">
        <f ca="1"/>
        <v>#NAME?</v>
      </c>
    </row>
    <row r="2505" spans="3:21" ht="12.5" x14ac:dyDescent="0.25">
      <c r="C2505" s="4">
        <f ca="1">IFERROR(__xludf.DUMMYFUNCTION("""COMPUTED_VALUE"""),42911.9986111111)</f>
        <v>42911.998611111099</v>
      </c>
      <c r="D2505" s="2">
        <f ca="1">IFERROR(__xludf.DUMMYFUNCTION("""COMPUTED_VALUE"""),64.498)</f>
        <v>64.498000000000005</v>
      </c>
      <c r="E2505" s="2">
        <f ca="1">IFERROR(__xludf.DUMMYFUNCTION("""COMPUTED_VALUE"""),80.202)</f>
        <v>80.201999999999998</v>
      </c>
      <c r="F2505" s="2">
        <f ca="1">IFERROR(__xludf.DUMMYFUNCTION("""COMPUTED_VALUE"""),82.612)</f>
        <v>82.611999999999995</v>
      </c>
      <c r="G2505" s="2">
        <f ca="1">IFERROR(__xludf.DUMMYFUNCTION("""COMPUTED_VALUE"""),0.60652)</f>
        <v>0.60651999999999995</v>
      </c>
      <c r="H2505" s="2">
        <f ca="1">IFERROR(__xludf.DUMMYFUNCTION("""COMPUTED_VALUE"""),50.624)</f>
        <v>50.624000000000002</v>
      </c>
      <c r="I2505" s="2">
        <f ca="1">IFERROR(__xludf.DUMMYFUNCTION("""COMPUTED_VALUE"""),50.49)</f>
        <v>50.49</v>
      </c>
      <c r="J2505" s="2">
        <f ca="1">IFERROR(__xludf.DUMMYFUNCTION("""COMPUTED_VALUE"""),49.418)</f>
        <v>49.417999999999999</v>
      </c>
      <c r="K2505" s="2">
        <f ca="1">IFERROR(__xludf.DUMMYFUNCTION("""COMPUTED_VALUE"""),65.258)</f>
        <v>65.257999999999996</v>
      </c>
      <c r="M2505" s="2">
        <f ca="1">IFERROR(__xludf.DUMMYFUNCTION("""COMPUTED_VALUE"""),17.43)</f>
        <v>17.43</v>
      </c>
      <c r="U2505" s="3" t="e">
        <f ca="1"/>
        <v>#NAME?</v>
      </c>
    </row>
    <row r="2506" spans="3:21" ht="12.5" x14ac:dyDescent="0.25">
      <c r="C2506" s="4">
        <f ca="1">IFERROR(__xludf.DUMMYFUNCTION("""COMPUTED_VALUE"""),42912.9986111111)</f>
        <v>42912.998611111099</v>
      </c>
      <c r="D2506" s="2">
        <f ca="1">IFERROR(__xludf.DUMMYFUNCTION("""COMPUTED_VALUE"""),64.4213)</f>
        <v>64.421300000000002</v>
      </c>
      <c r="E2506" s="2">
        <f ca="1">IFERROR(__xludf.DUMMYFUNCTION("""COMPUTED_VALUE"""),80.202)</f>
        <v>80.201999999999998</v>
      </c>
      <c r="F2506" s="2">
        <f ca="1">IFERROR(__xludf.DUMMYFUNCTION("""COMPUTED_VALUE"""),82.616)</f>
        <v>82.616</v>
      </c>
      <c r="G2506" s="2">
        <f ca="1">IFERROR(__xludf.DUMMYFUNCTION("""COMPUTED_VALUE"""),0.61044)</f>
        <v>0.61043999999999998</v>
      </c>
      <c r="H2506" s="2">
        <f ca="1">IFERROR(__xludf.DUMMYFUNCTION("""COMPUTED_VALUE"""),50.04)</f>
        <v>50.04</v>
      </c>
      <c r="I2506" s="2">
        <f ca="1">IFERROR(__xludf.DUMMYFUNCTION("""COMPUTED_VALUE"""),50.298)</f>
        <v>50.298000000000002</v>
      </c>
      <c r="J2506" s="2">
        <f ca="1">IFERROR(__xludf.DUMMYFUNCTION("""COMPUTED_VALUE"""),49.616)</f>
        <v>49.616</v>
      </c>
      <c r="K2506" s="2">
        <f ca="1">IFERROR(__xludf.DUMMYFUNCTION("""COMPUTED_VALUE"""),64.917)</f>
        <v>64.917000000000002</v>
      </c>
      <c r="M2506" s="2">
        <f ca="1">IFERROR(__xludf.DUMMYFUNCTION("""COMPUTED_VALUE"""),17.43)</f>
        <v>17.43</v>
      </c>
      <c r="U2506" s="3" t="e">
        <f ca="1"/>
        <v>#NAME?</v>
      </c>
    </row>
    <row r="2507" spans="3:21" ht="12.5" x14ac:dyDescent="0.25">
      <c r="C2507" s="4">
        <f ca="1">IFERROR(__xludf.DUMMYFUNCTION("""COMPUTED_VALUE"""),42913.9986111111)</f>
        <v>42913.998611111099</v>
      </c>
      <c r="D2507" s="2">
        <f ca="1">IFERROR(__xludf.DUMMYFUNCTION("""COMPUTED_VALUE"""),64.5248)</f>
        <v>64.524799999999999</v>
      </c>
      <c r="E2507" s="2">
        <f ca="1">IFERROR(__xludf.DUMMYFUNCTION("""COMPUTED_VALUE"""),80.673)</f>
        <v>80.673000000000002</v>
      </c>
      <c r="F2507" s="2">
        <f ca="1">IFERROR(__xludf.DUMMYFUNCTION("""COMPUTED_VALUE"""),82.654)</f>
        <v>82.653999999999996</v>
      </c>
      <c r="G2507" s="2">
        <f ca="1">IFERROR(__xludf.DUMMYFUNCTION("""COMPUTED_VALUE"""),0.61211)</f>
        <v>0.61211000000000004</v>
      </c>
      <c r="H2507" s="2">
        <f ca="1">IFERROR(__xludf.DUMMYFUNCTION("""COMPUTED_VALUE"""),49.981)</f>
        <v>49.981000000000002</v>
      </c>
      <c r="I2507" s="2">
        <f ca="1">IFERROR(__xludf.DUMMYFUNCTION("""COMPUTED_VALUE"""),50.347)</f>
        <v>50.347000000000001</v>
      </c>
      <c r="J2507" s="2">
        <f ca="1">IFERROR(__xludf.DUMMYFUNCTION("""COMPUTED_VALUE"""),49.422)</f>
        <v>49.421999999999997</v>
      </c>
      <c r="K2507" s="2">
        <f ca="1">IFERROR(__xludf.DUMMYFUNCTION("""COMPUTED_VALUE"""),64.992)</f>
        <v>64.992000000000004</v>
      </c>
      <c r="M2507" s="2">
        <f ca="1">IFERROR(__xludf.DUMMYFUNCTION("""COMPUTED_VALUE"""),17.449)</f>
        <v>17.449000000000002</v>
      </c>
      <c r="U2507" s="3" t="e">
        <f ca="1"/>
        <v>#NAME?</v>
      </c>
    </row>
    <row r="2508" spans="3:21" ht="12.5" x14ac:dyDescent="0.25">
      <c r="C2508" s="4">
        <f ca="1">IFERROR(__xludf.DUMMYFUNCTION("""COMPUTED_VALUE"""),42914.9986111111)</f>
        <v>42914.998611111099</v>
      </c>
      <c r="D2508" s="2">
        <f ca="1">IFERROR(__xludf.DUMMYFUNCTION("""COMPUTED_VALUE"""),64.5119)</f>
        <v>64.511899999999997</v>
      </c>
      <c r="E2508" s="2">
        <f ca="1">IFERROR(__xludf.DUMMYFUNCTION("""COMPUTED_VALUE"""),80.501)</f>
        <v>80.501000000000005</v>
      </c>
      <c r="F2508" s="2">
        <f ca="1">IFERROR(__xludf.DUMMYFUNCTION("""COMPUTED_VALUE"""),82.749)</f>
        <v>82.748999999999995</v>
      </c>
      <c r="G2508" s="2">
        <f ca="1">IFERROR(__xludf.DUMMYFUNCTION("""COMPUTED_VALUE"""),0.61096)</f>
        <v>0.61095999999999995</v>
      </c>
      <c r="H2508" s="2">
        <f ca="1">IFERROR(__xludf.DUMMYFUNCTION("""COMPUTED_VALUE"""),49.969)</f>
        <v>49.969000000000001</v>
      </c>
      <c r="I2508" s="2">
        <f ca="1">IFERROR(__xludf.DUMMYFUNCTION("""COMPUTED_VALUE"""),50.347)</f>
        <v>50.347000000000001</v>
      </c>
      <c r="J2508" s="2">
        <f ca="1">IFERROR(__xludf.DUMMYFUNCTION("""COMPUTED_VALUE"""),49.34)</f>
        <v>49.34</v>
      </c>
      <c r="K2508" s="2">
        <f ca="1">IFERROR(__xludf.DUMMYFUNCTION("""COMPUTED_VALUE"""),64.831)</f>
        <v>64.831000000000003</v>
      </c>
      <c r="M2508" s="2">
        <f ca="1">IFERROR(__xludf.DUMMYFUNCTION("""COMPUTED_VALUE"""),17.435)</f>
        <v>17.434999999999999</v>
      </c>
      <c r="U2508" s="3" t="e">
        <f ca="1"/>
        <v>#NAME?</v>
      </c>
    </row>
    <row r="2509" spans="3:21" ht="12.5" x14ac:dyDescent="0.25">
      <c r="C2509" s="4">
        <f ca="1">IFERROR(__xludf.DUMMYFUNCTION("""COMPUTED_VALUE"""),42915.9986111111)</f>
        <v>42915.998611111099</v>
      </c>
      <c r="D2509" s="2">
        <f ca="1">IFERROR(__xludf.DUMMYFUNCTION("""COMPUTED_VALUE"""),64.7851)</f>
        <v>64.7851</v>
      </c>
      <c r="E2509" s="2">
        <f ca="1">IFERROR(__xludf.DUMMYFUNCTION("""COMPUTED_VALUE"""),80.132)</f>
        <v>80.132000000000005</v>
      </c>
      <c r="F2509" s="2">
        <f ca="1">IFERROR(__xludf.DUMMYFUNCTION("""COMPUTED_VALUE"""),82.802)</f>
        <v>82.802000000000007</v>
      </c>
      <c r="G2509" s="2">
        <f ca="1">IFERROR(__xludf.DUMMYFUNCTION("""COMPUTED_VALUE"""),0.61563)</f>
        <v>0.61563000000000001</v>
      </c>
      <c r="H2509" s="2">
        <f ca="1">IFERROR(__xludf.DUMMYFUNCTION("""COMPUTED_VALUE"""),50.223)</f>
        <v>50.222999999999999</v>
      </c>
      <c r="I2509" s="2">
        <f ca="1">IFERROR(__xludf.DUMMYFUNCTION("""COMPUTED_VALUE"""),50.449)</f>
        <v>50.448999999999998</v>
      </c>
      <c r="J2509" s="2">
        <f ca="1">IFERROR(__xludf.DUMMYFUNCTION("""COMPUTED_VALUE"""),49.357)</f>
        <v>49.356999999999999</v>
      </c>
      <c r="K2509" s="2">
        <f ca="1">IFERROR(__xludf.DUMMYFUNCTION("""COMPUTED_VALUE"""),64.878)</f>
        <v>64.878</v>
      </c>
      <c r="M2509" s="2">
        <f ca="1">IFERROR(__xludf.DUMMYFUNCTION("""COMPUTED_VALUE"""),17.409)</f>
        <v>17.408999999999999</v>
      </c>
      <c r="U2509" s="3" t="e">
        <f ca="1"/>
        <v>#NAME?</v>
      </c>
    </row>
    <row r="2510" spans="3:21" ht="12.5" x14ac:dyDescent="0.25">
      <c r="C2510" s="4">
        <f ca="1">IFERROR(__xludf.DUMMYFUNCTION("""COMPUTED_VALUE"""),42916.9986111111)</f>
        <v>42916.998611111099</v>
      </c>
      <c r="D2510" s="2">
        <f ca="1">IFERROR(__xludf.DUMMYFUNCTION("""COMPUTED_VALUE"""),64.613)</f>
        <v>64.613</v>
      </c>
      <c r="E2510" s="2">
        <f ca="1">IFERROR(__xludf.DUMMYFUNCTION("""COMPUTED_VALUE"""),80.015)</f>
        <v>80.015000000000001</v>
      </c>
      <c r="F2510" s="2">
        <f ca="1">IFERROR(__xludf.DUMMYFUNCTION("""COMPUTED_VALUE"""),83.053)</f>
        <v>83.052999999999997</v>
      </c>
      <c r="G2510" s="2">
        <f ca="1">IFERROR(__xludf.DUMMYFUNCTION("""COMPUTED_VALUE"""),0.6156)</f>
        <v>0.61560000000000004</v>
      </c>
      <c r="H2510" s="2">
        <f ca="1">IFERROR(__xludf.DUMMYFUNCTION("""COMPUTED_VALUE"""),49.872)</f>
        <v>49.872</v>
      </c>
      <c r="I2510" s="2">
        <f ca="1">IFERROR(__xludf.DUMMYFUNCTION("""COMPUTED_VALUE"""),50.376)</f>
        <v>50.375999999999998</v>
      </c>
      <c r="J2510" s="2">
        <f ca="1">IFERROR(__xludf.DUMMYFUNCTION("""COMPUTED_VALUE"""),49.503)</f>
        <v>49.503</v>
      </c>
      <c r="K2510" s="2">
        <f ca="1">IFERROR(__xludf.DUMMYFUNCTION("""COMPUTED_VALUE"""),64.652)</f>
        <v>64.652000000000001</v>
      </c>
      <c r="M2510" s="2">
        <f ca="1">IFERROR(__xludf.DUMMYFUNCTION("""COMPUTED_VALUE"""),17.361)</f>
        <v>17.361000000000001</v>
      </c>
      <c r="U2510" s="3" t="e">
        <f ca="1"/>
        <v>#NAME?</v>
      </c>
    </row>
    <row r="2511" spans="3:21" ht="12.5" x14ac:dyDescent="0.25">
      <c r="C2511" s="4">
        <f ca="1">IFERROR(__xludf.DUMMYFUNCTION("""COMPUTED_VALUE"""),42917.9986111111)</f>
        <v>42917.998611111099</v>
      </c>
      <c r="D2511" s="2">
        <f ca="1">IFERROR(__xludf.DUMMYFUNCTION("""COMPUTED_VALUE"""),64.6068)</f>
        <v>64.606800000000007</v>
      </c>
      <c r="E2511" s="2">
        <f ca="1">IFERROR(__xludf.DUMMYFUNCTION("""COMPUTED_VALUE"""),80.1435)</f>
        <v>80.143500000000003</v>
      </c>
      <c r="F2511" s="2">
        <f ca="1">IFERROR(__xludf.DUMMYFUNCTION("""COMPUTED_VALUE"""),82.932)</f>
        <v>82.932000000000002</v>
      </c>
      <c r="G2511" s="2">
        <f ca="1">IFERROR(__xludf.DUMMYFUNCTION("""COMPUTED_VALUE"""),0.61257)</f>
        <v>0.61256999999999995</v>
      </c>
      <c r="H2511" s="2">
        <f ca="1">IFERROR(__xludf.DUMMYFUNCTION("""COMPUTED_VALUE"""),49.859)</f>
        <v>49.859000000000002</v>
      </c>
      <c r="I2511" s="2">
        <f ca="1">IFERROR(__xludf.DUMMYFUNCTION("""COMPUTED_VALUE"""),50.384)</f>
        <v>50.384</v>
      </c>
      <c r="J2511" s="2">
        <f ca="1">IFERROR(__xludf.DUMMYFUNCTION("""COMPUTED_VALUE"""),49.533)</f>
        <v>49.533000000000001</v>
      </c>
      <c r="K2511" s="2">
        <f ca="1">IFERROR(__xludf.DUMMYFUNCTION("""COMPUTED_VALUE"""),65.012)</f>
        <v>65.012</v>
      </c>
      <c r="M2511" s="2">
        <f ca="1">IFERROR(__xludf.DUMMYFUNCTION("""COMPUTED_VALUE"""),17.407)</f>
        <v>17.407</v>
      </c>
      <c r="U2511" s="3" t="e">
        <f ca="1"/>
        <v>#NAME?</v>
      </c>
    </row>
    <row r="2512" spans="3:21" ht="12.5" x14ac:dyDescent="0.25">
      <c r="C2512" s="4">
        <f ca="1">IFERROR(__xludf.DUMMYFUNCTION("""COMPUTED_VALUE"""),42918.9986111111)</f>
        <v>42918.998611111099</v>
      </c>
      <c r="D2512" s="2">
        <f ca="1">IFERROR(__xludf.DUMMYFUNCTION("""COMPUTED_VALUE"""),64.6068)</f>
        <v>64.606800000000007</v>
      </c>
      <c r="E2512" s="2">
        <f ca="1">IFERROR(__xludf.DUMMYFUNCTION("""COMPUTED_VALUE"""),80.015)</f>
        <v>80.015000000000001</v>
      </c>
      <c r="F2512" s="2">
        <f ca="1">IFERROR(__xludf.DUMMYFUNCTION("""COMPUTED_VALUE"""),83.028)</f>
        <v>83.028000000000006</v>
      </c>
      <c r="G2512" s="2">
        <f ca="1">IFERROR(__xludf.DUMMYFUNCTION("""COMPUTED_VALUE"""),0.61375)</f>
        <v>0.61375000000000002</v>
      </c>
      <c r="H2512" s="2">
        <f ca="1">IFERROR(__xludf.DUMMYFUNCTION("""COMPUTED_VALUE"""),49.948)</f>
        <v>49.948</v>
      </c>
      <c r="I2512" s="2">
        <f ca="1">IFERROR(__xludf.DUMMYFUNCTION("""COMPUTED_VALUE"""),50.488)</f>
        <v>50.488</v>
      </c>
      <c r="J2512" s="2">
        <f ca="1">IFERROR(__xludf.DUMMYFUNCTION("""COMPUTED_VALUE"""),49.586)</f>
        <v>49.585999999999999</v>
      </c>
      <c r="K2512" s="2">
        <f ca="1">IFERROR(__xludf.DUMMYFUNCTION("""COMPUTED_VALUE"""),65.21)</f>
        <v>65.209999999999994</v>
      </c>
      <c r="M2512" s="2">
        <f ca="1">IFERROR(__xludf.DUMMYFUNCTION("""COMPUTED_VALUE"""),17.416)</f>
        <v>17.416</v>
      </c>
      <c r="U2512" s="3" t="e">
        <f ca="1"/>
        <v>#NAME?</v>
      </c>
    </row>
    <row r="2513" spans="3:21" ht="12.5" x14ac:dyDescent="0.25">
      <c r="C2513" s="4">
        <f ca="1">IFERROR(__xludf.DUMMYFUNCTION("""COMPUTED_VALUE"""),42919.9986111111)</f>
        <v>42919.998611111099</v>
      </c>
      <c r="D2513" s="2">
        <f ca="1">IFERROR(__xludf.DUMMYFUNCTION("""COMPUTED_VALUE"""),64.8427)</f>
        <v>64.842699999999994</v>
      </c>
      <c r="E2513" s="2">
        <f ca="1">IFERROR(__xludf.DUMMYFUNCTION("""COMPUTED_VALUE"""),80.0209)</f>
        <v>80.020899999999997</v>
      </c>
      <c r="F2513" s="2">
        <f ca="1">IFERROR(__xludf.DUMMYFUNCTION("""COMPUTED_VALUE"""),83.024)</f>
        <v>83.024000000000001</v>
      </c>
      <c r="G2513" s="2">
        <f ca="1">IFERROR(__xludf.DUMMYFUNCTION("""COMPUTED_VALUE"""),0.61536)</f>
        <v>0.61536000000000002</v>
      </c>
      <c r="H2513" s="2">
        <f ca="1">IFERROR(__xludf.DUMMYFUNCTION("""COMPUTED_VALUE"""),49.955)</f>
        <v>49.954999999999998</v>
      </c>
      <c r="I2513" s="2">
        <f ca="1">IFERROR(__xludf.DUMMYFUNCTION("""COMPUTED_VALUE"""),50.564)</f>
        <v>50.564</v>
      </c>
      <c r="J2513" s="2">
        <f ca="1">IFERROR(__xludf.DUMMYFUNCTION("""COMPUTED_VALUE"""),49.605)</f>
        <v>49.604999999999997</v>
      </c>
      <c r="K2513" s="2">
        <f ca="1">IFERROR(__xludf.DUMMYFUNCTION("""COMPUTED_VALUE"""),65.62)</f>
        <v>65.62</v>
      </c>
      <c r="M2513" s="2">
        <f ca="1">IFERROR(__xludf.DUMMYFUNCTION("""COMPUTED_VALUE"""),17.429)</f>
        <v>17.428999999999998</v>
      </c>
      <c r="U2513" s="3" t="e">
        <f ca="1"/>
        <v>#NAME?</v>
      </c>
    </row>
    <row r="2514" spans="3:21" ht="12.5" x14ac:dyDescent="0.25">
      <c r="C2514" s="4">
        <f ca="1">IFERROR(__xludf.DUMMYFUNCTION("""COMPUTED_VALUE"""),42920.9986111111)</f>
        <v>42920.998611111099</v>
      </c>
      <c r="D2514" s="2">
        <f ca="1">IFERROR(__xludf.DUMMYFUNCTION("""COMPUTED_VALUE"""),64.7689)</f>
        <v>64.768900000000002</v>
      </c>
      <c r="E2514" s="2">
        <f ca="1">IFERROR(__xludf.DUMMYFUNCTION("""COMPUTED_VALUE"""),79.727)</f>
        <v>79.727000000000004</v>
      </c>
      <c r="F2514" s="2">
        <f ca="1">IFERROR(__xludf.DUMMYFUNCTION("""COMPUTED_VALUE"""),82.899)</f>
        <v>82.899000000000001</v>
      </c>
      <c r="G2514" s="2">
        <f ca="1">IFERROR(__xludf.DUMMYFUNCTION("""COMPUTED_VALUE"""),0.61538)</f>
        <v>0.61538000000000004</v>
      </c>
      <c r="H2514" s="2">
        <f ca="1">IFERROR(__xludf.DUMMYFUNCTION("""COMPUTED_VALUE"""),49.947)</f>
        <v>49.947000000000003</v>
      </c>
      <c r="I2514" s="2">
        <f ca="1">IFERROR(__xludf.DUMMYFUNCTION("""COMPUTED_VALUE"""),50.492)</f>
        <v>50.491999999999997</v>
      </c>
      <c r="J2514" s="2">
        <f ca="1">IFERROR(__xludf.DUMMYFUNCTION("""COMPUTED_VALUE"""),49.615)</f>
        <v>49.615000000000002</v>
      </c>
      <c r="K2514" s="2">
        <f ca="1">IFERROR(__xludf.DUMMYFUNCTION("""COMPUTED_VALUE"""),64.559)</f>
        <v>64.558999999999997</v>
      </c>
      <c r="M2514" s="2">
        <f ca="1">IFERROR(__xludf.DUMMYFUNCTION("""COMPUTED_VALUE"""),17.454)</f>
        <v>17.454000000000001</v>
      </c>
      <c r="U2514" s="3" t="e">
        <f ca="1"/>
        <v>#NAME?</v>
      </c>
    </row>
    <row r="2515" spans="3:21" ht="12.5" x14ac:dyDescent="0.25">
      <c r="C2515" s="4">
        <f ca="1">IFERROR(__xludf.DUMMYFUNCTION("""COMPUTED_VALUE"""),42921.9986111111)</f>
        <v>42921.998611111099</v>
      </c>
      <c r="D2515" s="2">
        <f ca="1">IFERROR(__xludf.DUMMYFUNCTION("""COMPUTED_VALUE"""),64.7914)</f>
        <v>64.791399999999996</v>
      </c>
      <c r="E2515" s="2">
        <f ca="1">IFERROR(__xludf.DUMMYFUNCTION("""COMPUTED_VALUE"""),79.841)</f>
        <v>79.840999999999994</v>
      </c>
      <c r="F2515" s="2">
        <f ca="1">IFERROR(__xludf.DUMMYFUNCTION("""COMPUTED_VALUE"""),83.041)</f>
        <v>83.040999999999997</v>
      </c>
      <c r="G2515" s="2">
        <f ca="1">IFERROR(__xludf.DUMMYFUNCTION("""COMPUTED_VALUE"""),0.61506)</f>
        <v>0.61506000000000005</v>
      </c>
      <c r="H2515" s="2">
        <f ca="1">IFERROR(__xludf.DUMMYFUNCTION("""COMPUTED_VALUE"""),49.867)</f>
        <v>49.866999999999997</v>
      </c>
      <c r="I2515" s="2">
        <f ca="1">IFERROR(__xludf.DUMMYFUNCTION("""COMPUTED_VALUE"""),50.394)</f>
        <v>50.393999999999998</v>
      </c>
      <c r="J2515" s="2">
        <f ca="1">IFERROR(__xludf.DUMMYFUNCTION("""COMPUTED_VALUE"""),49.52)</f>
        <v>49.52</v>
      </c>
      <c r="K2515" s="2">
        <f ca="1">IFERROR(__xludf.DUMMYFUNCTION("""COMPUTED_VALUE"""),65.873)</f>
        <v>65.873000000000005</v>
      </c>
      <c r="M2515" s="2">
        <f ca="1">IFERROR(__xludf.DUMMYFUNCTION("""COMPUTED_VALUE"""),17.465)</f>
        <v>17.465</v>
      </c>
      <c r="U2515" s="3" t="e">
        <f ca="1"/>
        <v>#NAME?</v>
      </c>
    </row>
    <row r="2516" spans="3:21" ht="12.5" x14ac:dyDescent="0.25">
      <c r="C2516" s="4">
        <f ca="1">IFERROR(__xludf.DUMMYFUNCTION("""COMPUTED_VALUE"""),42922.9986111111)</f>
        <v>42922.998611111099</v>
      </c>
      <c r="D2516" s="2">
        <f ca="1">IFERROR(__xludf.DUMMYFUNCTION("""COMPUTED_VALUE"""),64.7133)</f>
        <v>64.713300000000004</v>
      </c>
      <c r="E2516" s="2">
        <f ca="1">IFERROR(__xludf.DUMMYFUNCTION("""COMPUTED_VALUE"""),79.42)</f>
        <v>79.42</v>
      </c>
      <c r="F2516" s="2">
        <f ca="1">IFERROR(__xludf.DUMMYFUNCTION("""COMPUTED_VALUE"""),83.166)</f>
        <v>83.165999999999997</v>
      </c>
      <c r="G2516" s="2">
        <f ca="1">IFERROR(__xludf.DUMMYFUNCTION("""COMPUTED_VALUE"""),0.61667)</f>
        <v>0.61667000000000005</v>
      </c>
      <c r="H2516" s="2">
        <f ca="1">IFERROR(__xludf.DUMMYFUNCTION("""COMPUTED_VALUE"""),49.885)</f>
        <v>49.884999999999998</v>
      </c>
      <c r="I2516" s="2">
        <f ca="1">IFERROR(__xludf.DUMMYFUNCTION("""COMPUTED_VALUE"""),50.702)</f>
        <v>50.701999999999998</v>
      </c>
      <c r="J2516" s="2">
        <f ca="1">IFERROR(__xludf.DUMMYFUNCTION("""COMPUTED_VALUE"""),49.586)</f>
        <v>49.585999999999999</v>
      </c>
      <c r="K2516" s="2">
        <f ca="1">IFERROR(__xludf.DUMMYFUNCTION("""COMPUTED_VALUE"""),66.68)</f>
        <v>66.680000000000007</v>
      </c>
      <c r="M2516" s="2">
        <f ca="1">IFERROR(__xludf.DUMMYFUNCTION("""COMPUTED_VALUE"""),17.45)</f>
        <v>17.45</v>
      </c>
      <c r="U2516" s="3" t="e">
        <f ca="1"/>
        <v>#NAME?</v>
      </c>
    </row>
    <row r="2517" spans="3:21" ht="12.5" x14ac:dyDescent="0.25">
      <c r="C2517" s="4">
        <f ca="1">IFERROR(__xludf.DUMMYFUNCTION("""COMPUTED_VALUE"""),42923.9986111111)</f>
        <v>42923.998611111099</v>
      </c>
      <c r="D2517" s="2">
        <f ca="1">IFERROR(__xludf.DUMMYFUNCTION("""COMPUTED_VALUE"""),64.42)</f>
        <v>64.42</v>
      </c>
      <c r="E2517" s="2">
        <f ca="1">IFERROR(__xludf.DUMMYFUNCTION("""COMPUTED_VALUE"""),79.667)</f>
        <v>79.667000000000002</v>
      </c>
      <c r="F2517" s="2">
        <f ca="1">IFERROR(__xludf.DUMMYFUNCTION("""COMPUTED_VALUE"""),83.479)</f>
        <v>83.478999999999999</v>
      </c>
      <c r="G2517" s="2">
        <f ca="1">IFERROR(__xludf.DUMMYFUNCTION("""COMPUTED_VALUE"""),0.61347)</f>
        <v>0.61346999999999996</v>
      </c>
      <c r="H2517" s="2">
        <f ca="1">IFERROR(__xludf.DUMMYFUNCTION("""COMPUTED_VALUE"""),50.165)</f>
        <v>50.164999999999999</v>
      </c>
      <c r="I2517" s="2">
        <f ca="1">IFERROR(__xludf.DUMMYFUNCTION("""COMPUTED_VALUE"""),50.947)</f>
        <v>50.947000000000003</v>
      </c>
      <c r="J2517" s="2">
        <f ca="1">IFERROR(__xludf.DUMMYFUNCTION("""COMPUTED_VALUE"""),49.523)</f>
        <v>49.523000000000003</v>
      </c>
      <c r="K2517" s="2">
        <f ca="1">IFERROR(__xludf.DUMMYFUNCTION("""COMPUTED_VALUE"""),66.133)</f>
        <v>66.132999999999996</v>
      </c>
      <c r="M2517" s="2">
        <f ca="1">IFERROR(__xludf.DUMMYFUNCTION("""COMPUTED_VALUE"""),17.458)</f>
        <v>17.457999999999998</v>
      </c>
      <c r="U2517" s="3" t="e">
        <f ca="1"/>
        <v>#NAME?</v>
      </c>
    </row>
    <row r="2518" spans="3:21" ht="12.5" x14ac:dyDescent="0.25">
      <c r="C2518" s="4">
        <f ca="1">IFERROR(__xludf.DUMMYFUNCTION("""COMPUTED_VALUE"""),42924.9986111111)</f>
        <v>42924.998611111099</v>
      </c>
      <c r="D2518" s="2">
        <f ca="1">IFERROR(__xludf.DUMMYFUNCTION("""COMPUTED_VALUE"""),64.618)</f>
        <v>64.617999999999995</v>
      </c>
      <c r="E2518" s="2">
        <f ca="1">IFERROR(__xludf.DUMMYFUNCTION("""COMPUTED_VALUE"""),79.958)</f>
        <v>79.957999999999998</v>
      </c>
      <c r="F2518" s="2">
        <f ca="1">IFERROR(__xludf.DUMMYFUNCTION("""COMPUTED_VALUE"""),82.287)</f>
        <v>82.287000000000006</v>
      </c>
      <c r="G2518" s="2">
        <f ca="1">IFERROR(__xludf.DUMMYFUNCTION("""COMPUTED_VALUE"""),0.61077)</f>
        <v>0.61077000000000004</v>
      </c>
      <c r="H2518" s="2">
        <f ca="1">IFERROR(__xludf.DUMMYFUNCTION("""COMPUTED_VALUE"""),49.7)</f>
        <v>49.7</v>
      </c>
      <c r="I2518" s="2">
        <f ca="1">IFERROR(__xludf.DUMMYFUNCTION("""COMPUTED_VALUE"""),50.754)</f>
        <v>50.753999999999998</v>
      </c>
      <c r="J2518" s="2">
        <f ca="1">IFERROR(__xludf.DUMMYFUNCTION("""COMPUTED_VALUE"""),49.521)</f>
        <v>49.521000000000001</v>
      </c>
      <c r="K2518" s="2">
        <f ca="1">IFERROR(__xludf.DUMMYFUNCTION("""COMPUTED_VALUE"""),66.537)</f>
        <v>66.537000000000006</v>
      </c>
      <c r="M2518" s="2">
        <f ca="1">IFERROR(__xludf.DUMMYFUNCTION("""COMPUTED_VALUE"""),17.479)</f>
        <v>17.478999999999999</v>
      </c>
      <c r="U2518" s="3" t="e">
        <f ca="1"/>
        <v>#NAME?</v>
      </c>
    </row>
    <row r="2519" spans="3:21" ht="12.5" x14ac:dyDescent="0.25">
      <c r="C2519" s="4">
        <f ca="1">IFERROR(__xludf.DUMMYFUNCTION("""COMPUTED_VALUE"""),42925.9986111111)</f>
        <v>42925.998611111099</v>
      </c>
      <c r="D2519" s="2">
        <f ca="1">IFERROR(__xludf.DUMMYFUNCTION("""COMPUTED_VALUE"""),64.6117)</f>
        <v>64.611699999999999</v>
      </c>
      <c r="E2519" s="2">
        <f ca="1">IFERROR(__xludf.DUMMYFUNCTION("""COMPUTED_VALUE"""),80.218)</f>
        <v>80.218000000000004</v>
      </c>
      <c r="F2519" s="2">
        <f ca="1">IFERROR(__xludf.DUMMYFUNCTION("""COMPUTED_VALUE"""),81.856)</f>
        <v>81.855999999999995</v>
      </c>
      <c r="G2519" s="2">
        <f ca="1">IFERROR(__xludf.DUMMYFUNCTION("""COMPUTED_VALUE"""),0.61317)</f>
        <v>0.61316999999999999</v>
      </c>
      <c r="H2519" s="2">
        <f ca="1">IFERROR(__xludf.DUMMYFUNCTION("""COMPUTED_VALUE"""),49.788)</f>
        <v>49.787999999999997</v>
      </c>
      <c r="I2519" s="2">
        <f ca="1">IFERROR(__xludf.DUMMYFUNCTION("""COMPUTED_VALUE"""),50.747)</f>
        <v>50.747</v>
      </c>
      <c r="J2519" s="2">
        <f ca="1">IFERROR(__xludf.DUMMYFUNCTION("""COMPUTED_VALUE"""),49.24)</f>
        <v>49.24</v>
      </c>
      <c r="K2519" s="2">
        <f ca="1">IFERROR(__xludf.DUMMYFUNCTION("""COMPUTED_VALUE"""),66.214)</f>
        <v>66.213999999999999</v>
      </c>
      <c r="M2519" s="2">
        <f ca="1">IFERROR(__xludf.DUMMYFUNCTION("""COMPUTED_VALUE"""),17.501)</f>
        <v>17.501000000000001</v>
      </c>
      <c r="U2519" s="3" t="e">
        <f ca="1"/>
        <v>#NAME?</v>
      </c>
    </row>
    <row r="2520" spans="3:21" ht="12.5" x14ac:dyDescent="0.25">
      <c r="C2520" s="4">
        <f ca="1">IFERROR(__xludf.DUMMYFUNCTION("""COMPUTED_VALUE"""),42926.9986111111)</f>
        <v>42926.998611111099</v>
      </c>
      <c r="D2520" s="2">
        <f ca="1">IFERROR(__xludf.DUMMYFUNCTION("""COMPUTED_VALUE"""),64.4627)</f>
        <v>64.462699999999998</v>
      </c>
      <c r="E2520" s="2">
        <f ca="1">IFERROR(__xludf.DUMMYFUNCTION("""COMPUTED_VALUE"""),80.656)</f>
        <v>80.656000000000006</v>
      </c>
      <c r="F2520" s="2">
        <f ca="1">IFERROR(__xludf.DUMMYFUNCTION("""COMPUTED_VALUE"""),82.042)</f>
        <v>82.042000000000002</v>
      </c>
      <c r="G2520" s="2">
        <f ca="1">IFERROR(__xludf.DUMMYFUNCTION("""COMPUTED_VALUE"""),0.61324)</f>
        <v>0.61324000000000001</v>
      </c>
      <c r="H2520" s="2">
        <f ca="1">IFERROR(__xludf.DUMMYFUNCTION("""COMPUTED_VALUE"""),49.96)</f>
        <v>49.96</v>
      </c>
      <c r="I2520" s="2">
        <f ca="1">IFERROR(__xludf.DUMMYFUNCTION("""COMPUTED_VALUE"""),51.084)</f>
        <v>51.084000000000003</v>
      </c>
      <c r="J2520" s="2">
        <f ca="1">IFERROR(__xludf.DUMMYFUNCTION("""COMPUTED_VALUE"""),49.302)</f>
        <v>49.302</v>
      </c>
      <c r="K2520" s="2">
        <f ca="1">IFERROR(__xludf.DUMMYFUNCTION("""COMPUTED_VALUE"""),66.214)</f>
        <v>66.213999999999999</v>
      </c>
      <c r="M2520" s="2">
        <f ca="1">IFERROR(__xludf.DUMMYFUNCTION("""COMPUTED_VALUE"""),17.499)</f>
        <v>17.498999999999999</v>
      </c>
      <c r="U2520" s="3" t="e">
        <f ca="1"/>
        <v>#NAME?</v>
      </c>
    </row>
    <row r="2521" spans="3:21" ht="12.5" x14ac:dyDescent="0.25">
      <c r="C2521" s="4">
        <f ca="1">IFERROR(__xludf.DUMMYFUNCTION("""COMPUTED_VALUE"""),42927.9986111111)</f>
        <v>42927.998611111099</v>
      </c>
      <c r="D2521" s="2">
        <f ca="1">IFERROR(__xludf.DUMMYFUNCTION("""COMPUTED_VALUE"""),64.5256)</f>
        <v>64.525599999999997</v>
      </c>
      <c r="E2521" s="2">
        <f ca="1">IFERROR(__xludf.DUMMYFUNCTION("""COMPUTED_VALUE"""),80.419)</f>
        <v>80.418999999999997</v>
      </c>
      <c r="F2521" s="2">
        <f ca="1">IFERROR(__xludf.DUMMYFUNCTION("""COMPUTED_VALUE"""),82.03)</f>
        <v>82.03</v>
      </c>
      <c r="G2521" s="2">
        <f ca="1">IFERROR(__xludf.DUMMYFUNCTION("""COMPUTED_VALUE"""),0.61307)</f>
        <v>0.61307</v>
      </c>
      <c r="H2521" s="2">
        <f ca="1">IFERROR(__xludf.DUMMYFUNCTION("""COMPUTED_VALUE"""),50.374)</f>
        <v>50.374000000000002</v>
      </c>
      <c r="I2521" s="2">
        <f ca="1">IFERROR(__xludf.DUMMYFUNCTION("""COMPUTED_VALUE"""),51.527)</f>
        <v>51.527000000000001</v>
      </c>
      <c r="J2521" s="2">
        <f ca="1">IFERROR(__xludf.DUMMYFUNCTION("""COMPUTED_VALUE"""),49.479)</f>
        <v>49.478999999999999</v>
      </c>
      <c r="K2521" s="2">
        <f ca="1">IFERROR(__xludf.DUMMYFUNCTION("""COMPUTED_VALUE"""),66.34)</f>
        <v>66.34</v>
      </c>
      <c r="M2521" s="2">
        <f ca="1">IFERROR(__xludf.DUMMYFUNCTION("""COMPUTED_VALUE"""),17.641)</f>
        <v>17.640999999999998</v>
      </c>
      <c r="U2521" s="3" t="e">
        <f ca="1"/>
        <v>#NAME?</v>
      </c>
    </row>
    <row r="2522" spans="3:21" ht="12.5" x14ac:dyDescent="0.25">
      <c r="C2522" s="4">
        <f ca="1">IFERROR(__xludf.DUMMYFUNCTION("""COMPUTED_VALUE"""),42928.9986111111)</f>
        <v>42928.998611111099</v>
      </c>
      <c r="D2522" s="2">
        <f ca="1">IFERROR(__xludf.DUMMYFUNCTION("""COMPUTED_VALUE"""),64.365)</f>
        <v>64.364999999999995</v>
      </c>
      <c r="E2522" s="2">
        <f ca="1">IFERROR(__xludf.DUMMYFUNCTION("""COMPUTED_VALUE"""),80.386)</f>
        <v>80.385999999999996</v>
      </c>
      <c r="F2522" s="2">
        <f ca="1">IFERROR(__xludf.DUMMYFUNCTION("""COMPUTED_VALUE"""),81.677)</f>
        <v>81.677000000000007</v>
      </c>
      <c r="G2522" s="2">
        <f ca="1">IFERROR(__xludf.DUMMYFUNCTION("""COMPUTED_VALUE"""),0.61365)</f>
        <v>0.61365000000000003</v>
      </c>
      <c r="H2522" s="2">
        <f ca="1">IFERROR(__xludf.DUMMYFUNCTION("""COMPUTED_VALUE"""),50.614)</f>
        <v>50.613999999999997</v>
      </c>
      <c r="I2522" s="2">
        <f ca="1">IFERROR(__xludf.DUMMYFUNCTION("""COMPUTED_VALUE"""),51.865)</f>
        <v>51.865000000000002</v>
      </c>
      <c r="J2522" s="2">
        <f ca="1">IFERROR(__xludf.DUMMYFUNCTION("""COMPUTED_VALUE"""),49.569)</f>
        <v>49.569000000000003</v>
      </c>
      <c r="K2522" s="2">
        <f ca="1">IFERROR(__xludf.DUMMYFUNCTION("""COMPUTED_VALUE"""),66.579)</f>
        <v>66.578999999999994</v>
      </c>
      <c r="M2522" s="2">
        <f ca="1">IFERROR(__xludf.DUMMYFUNCTION("""COMPUTED_VALUE"""),17.666)</f>
        <v>17.666</v>
      </c>
      <c r="U2522" s="3" t="e">
        <f ca="1"/>
        <v>#NAME?</v>
      </c>
    </row>
    <row r="2523" spans="3:21" ht="12.5" x14ac:dyDescent="0.25">
      <c r="C2523" s="4">
        <f ca="1">IFERROR(__xludf.DUMMYFUNCTION("""COMPUTED_VALUE"""),42929.9986111111)</f>
        <v>42929.998611111099</v>
      </c>
      <c r="D2523" s="2">
        <f ca="1">IFERROR(__xludf.DUMMYFUNCTION("""COMPUTED_VALUE"""),64.4258)</f>
        <v>64.425799999999995</v>
      </c>
      <c r="E2523" s="2">
        <f ca="1">IFERROR(__xludf.DUMMYFUNCTION("""COMPUTED_VALUE"""),81.005)</f>
        <v>81.004999999999995</v>
      </c>
      <c r="F2523" s="2">
        <f ca="1">IFERROR(__xludf.DUMMYFUNCTION("""COMPUTED_VALUE"""),82.078)</f>
        <v>82.078000000000003</v>
      </c>
      <c r="G2523" s="2">
        <f ca="1">IFERROR(__xludf.DUMMYFUNCTION("""COMPUTED_VALUE"""),0.62119)</f>
        <v>0.62119000000000002</v>
      </c>
      <c r="H2523" s="2">
        <f ca="1">IFERROR(__xludf.DUMMYFUNCTION("""COMPUTED_VALUE"""),50.597)</f>
        <v>50.597000000000001</v>
      </c>
      <c r="I2523" s="2">
        <f ca="1">IFERROR(__xludf.DUMMYFUNCTION("""COMPUTED_VALUE"""),51.809)</f>
        <v>51.808999999999997</v>
      </c>
      <c r="J2523" s="2">
        <f ca="1">IFERROR(__xludf.DUMMYFUNCTION("""COMPUTED_VALUE"""),49.806)</f>
        <v>49.805999999999997</v>
      </c>
      <c r="K2523" s="2">
        <f ca="1">IFERROR(__xludf.DUMMYFUNCTION("""COMPUTED_VALUE"""),67.191)</f>
        <v>67.191000000000003</v>
      </c>
      <c r="M2523" s="2">
        <f ca="1">IFERROR(__xludf.DUMMYFUNCTION("""COMPUTED_VALUE"""),17.668)</f>
        <v>17.667999999999999</v>
      </c>
      <c r="U2523" s="3" t="e">
        <f ca="1"/>
        <v>#NAME?</v>
      </c>
    </row>
    <row r="2524" spans="3:21" ht="12.5" x14ac:dyDescent="0.25">
      <c r="C2524" s="4">
        <f ca="1">IFERROR(__xludf.DUMMYFUNCTION("""COMPUTED_VALUE"""),42930.9986111111)</f>
        <v>42930.998611111099</v>
      </c>
      <c r="D2524" s="2">
        <f ca="1">IFERROR(__xludf.DUMMYFUNCTION("""COMPUTED_VALUE"""),64.416)</f>
        <v>64.415999999999997</v>
      </c>
      <c r="E2524" s="2">
        <f ca="1">IFERROR(__xludf.DUMMYFUNCTION("""COMPUTED_VALUE"""),81.189)</f>
        <v>81.188999999999993</v>
      </c>
      <c r="F2524" s="2">
        <f ca="1">IFERROR(__xludf.DUMMYFUNCTION("""COMPUTED_VALUE"""),81.8)</f>
        <v>81.8</v>
      </c>
      <c r="G2524" s="2">
        <f ca="1">IFERROR(__xludf.DUMMYFUNCTION("""COMPUTED_VALUE"""),0.62388)</f>
        <v>0.62387999999999999</v>
      </c>
      <c r="H2524" s="2">
        <f ca="1">IFERROR(__xludf.DUMMYFUNCTION("""COMPUTED_VALUE"""),50.613)</f>
        <v>50.613</v>
      </c>
      <c r="I2524" s="2">
        <f ca="1">IFERROR(__xludf.DUMMYFUNCTION("""COMPUTED_VALUE"""),51.685)</f>
        <v>51.685000000000002</v>
      </c>
      <c r="J2524" s="2">
        <f ca="1">IFERROR(__xludf.DUMMYFUNCTION("""COMPUTED_VALUE"""),49.737)</f>
        <v>49.737000000000002</v>
      </c>
      <c r="K2524" s="2">
        <f ca="1">IFERROR(__xludf.DUMMYFUNCTION("""COMPUTED_VALUE"""),67.368)</f>
        <v>67.367999999999995</v>
      </c>
      <c r="M2524" s="2">
        <f ca="1">IFERROR(__xludf.DUMMYFUNCTION("""COMPUTED_VALUE"""),17.77)</f>
        <v>17.77</v>
      </c>
      <c r="U2524" s="3" t="e">
        <f ca="1"/>
        <v>#NAME?</v>
      </c>
    </row>
    <row r="2525" spans="3:21" ht="12.5" x14ac:dyDescent="0.25">
      <c r="C2525" s="4">
        <f ca="1">IFERROR(__xludf.DUMMYFUNCTION("""COMPUTED_VALUE"""),42931.9986111111)</f>
        <v>42931.998611111099</v>
      </c>
      <c r="D2525" s="2">
        <f ca="1">IFERROR(__xludf.DUMMYFUNCTION("""COMPUTED_VALUE"""),64.273)</f>
        <v>64.272999999999996</v>
      </c>
      <c r="E2525" s="2">
        <f ca="1">IFERROR(__xludf.DUMMYFUNCTION("""COMPUTED_VALUE"""),81.272)</f>
        <v>81.272000000000006</v>
      </c>
      <c r="F2525" s="2">
        <f ca="1">IFERROR(__xludf.DUMMYFUNCTION("""COMPUTED_VALUE"""),82.331)</f>
        <v>82.331000000000003</v>
      </c>
      <c r="G2525" s="2">
        <f ca="1">IFERROR(__xludf.DUMMYFUNCTION("""COMPUTED_VALUE"""),0.61838)</f>
        <v>0.61838000000000004</v>
      </c>
      <c r="H2525" s="2">
        <f ca="1">IFERROR(__xludf.DUMMYFUNCTION("""COMPUTED_VALUE"""),50.847)</f>
        <v>50.847000000000001</v>
      </c>
      <c r="I2525" s="2">
        <f ca="1">IFERROR(__xludf.DUMMYFUNCTION("""COMPUTED_VALUE"""),52.043)</f>
        <v>52.042999999999999</v>
      </c>
      <c r="J2525" s="2">
        <f ca="1">IFERROR(__xludf.DUMMYFUNCTION("""COMPUTED_VALUE"""),49.68)</f>
        <v>49.68</v>
      </c>
      <c r="K2525" s="2">
        <f ca="1">IFERROR(__xludf.DUMMYFUNCTION("""COMPUTED_VALUE"""),68.038)</f>
        <v>68.037999999999997</v>
      </c>
      <c r="M2525" s="2">
        <f ca="1">IFERROR(__xludf.DUMMYFUNCTION("""COMPUTED_VALUE"""),17.789)</f>
        <v>17.789000000000001</v>
      </c>
      <c r="U2525" s="3" t="e">
        <f ca="1"/>
        <v>#NAME?</v>
      </c>
    </row>
    <row r="2526" spans="3:21" ht="12.5" x14ac:dyDescent="0.25">
      <c r="C2526" s="4">
        <f ca="1">IFERROR(__xludf.DUMMYFUNCTION("""COMPUTED_VALUE"""),42932.9986111111)</f>
        <v>42932.998611111099</v>
      </c>
      <c r="D2526" s="2">
        <f ca="1">IFERROR(__xludf.DUMMYFUNCTION("""COMPUTED_VALUE"""),64.2673)</f>
        <v>64.267300000000006</v>
      </c>
      <c r="E2526" s="2">
        <f ca="1">IFERROR(__xludf.DUMMYFUNCTION("""COMPUTED_VALUE"""),81.237)</f>
        <v>81.236999999999995</v>
      </c>
      <c r="F2526" s="2">
        <f ca="1">IFERROR(__xludf.DUMMYFUNCTION("""COMPUTED_VALUE"""),82.238)</f>
        <v>82.238</v>
      </c>
      <c r="G2526" s="2">
        <f ca="1">IFERROR(__xludf.DUMMYFUNCTION("""COMPUTED_VALUE"""),0.61557)</f>
        <v>0.61556999999999995</v>
      </c>
      <c r="H2526" s="2">
        <f ca="1">IFERROR(__xludf.DUMMYFUNCTION("""COMPUTED_VALUE"""),50.96)</f>
        <v>50.96</v>
      </c>
      <c r="I2526" s="2">
        <f ca="1">IFERROR(__xludf.DUMMYFUNCTION("""COMPUTED_VALUE"""),52.248)</f>
        <v>52.247999999999998</v>
      </c>
      <c r="J2526" s="2">
        <f ca="1">IFERROR(__xludf.DUMMYFUNCTION("""COMPUTED_VALUE"""),49.926)</f>
        <v>49.926000000000002</v>
      </c>
      <c r="K2526" s="2">
        <f ca="1">IFERROR(__xludf.DUMMYFUNCTION("""COMPUTED_VALUE"""),67.78)</f>
        <v>67.78</v>
      </c>
      <c r="M2526" s="2">
        <f ca="1">IFERROR(__xludf.DUMMYFUNCTION("""COMPUTED_VALUE"""),17.837)</f>
        <v>17.837</v>
      </c>
      <c r="U2526" s="3" t="e">
        <f ca="1"/>
        <v>#NAME?</v>
      </c>
    </row>
    <row r="2527" spans="3:21" ht="12.5" x14ac:dyDescent="0.25">
      <c r="C2527" s="4">
        <f ca="1">IFERROR(__xludf.DUMMYFUNCTION("""COMPUTED_VALUE"""),42933.9986111111)</f>
        <v>42933.998611111099</v>
      </c>
      <c r="D2527" s="2">
        <f ca="1">IFERROR(__xludf.DUMMYFUNCTION("""COMPUTED_VALUE"""),64.33)</f>
        <v>64.33</v>
      </c>
      <c r="E2527" s="2">
        <f ca="1">IFERROR(__xludf.DUMMYFUNCTION("""COMPUTED_VALUE"""),81.279)</f>
        <v>81.278999999999996</v>
      </c>
      <c r="F2527" s="2">
        <f ca="1">IFERROR(__xludf.DUMMYFUNCTION("""COMPUTED_VALUE"""),82.303)</f>
        <v>82.302999999999997</v>
      </c>
      <c r="G2527" s="2">
        <f ca="1">IFERROR(__xludf.DUMMYFUNCTION("""COMPUTED_VALUE"""),0.62514)</f>
        <v>0.62514000000000003</v>
      </c>
      <c r="H2527" s="2">
        <f ca="1">IFERROR(__xludf.DUMMYFUNCTION("""COMPUTED_VALUE"""),51.144)</f>
        <v>51.143999999999998</v>
      </c>
      <c r="I2527" s="2">
        <f ca="1">IFERROR(__xludf.DUMMYFUNCTION("""COMPUTED_VALUE"""),52)</f>
        <v>52</v>
      </c>
      <c r="J2527" s="2">
        <f ca="1">IFERROR(__xludf.DUMMYFUNCTION("""COMPUTED_VALUE"""),50.042)</f>
        <v>50.042000000000002</v>
      </c>
      <c r="K2527" s="2">
        <f ca="1">IFERROR(__xludf.DUMMYFUNCTION("""COMPUTED_VALUE"""),68.075)</f>
        <v>68.075000000000003</v>
      </c>
      <c r="M2527" s="2">
        <f ca="1">IFERROR(__xludf.DUMMYFUNCTION("""COMPUTED_VALUE"""),17.792)</f>
        <v>17.792000000000002</v>
      </c>
      <c r="U2527" s="3" t="e">
        <f ca="1"/>
        <v>#NAME?</v>
      </c>
    </row>
    <row r="2528" spans="3:21" ht="12.5" x14ac:dyDescent="0.25">
      <c r="C2528" s="4">
        <f ca="1">IFERROR(__xludf.DUMMYFUNCTION("""COMPUTED_VALUE"""),42934.9986111111)</f>
        <v>42934.998611111099</v>
      </c>
      <c r="D2528" s="2">
        <f ca="1">IFERROR(__xludf.DUMMYFUNCTION("""COMPUTED_VALUE"""),64.3063)</f>
        <v>64.306299999999993</v>
      </c>
      <c r="E2528" s="2">
        <f ca="1">IFERROR(__xludf.DUMMYFUNCTION("""COMPUTED_VALUE"""),80.2413)</f>
        <v>80.241299999999995</v>
      </c>
      <c r="F2528" s="2">
        <f ca="1">IFERROR(__xludf.DUMMYFUNCTION("""COMPUTED_VALUE"""),82.223)</f>
        <v>82.222999999999999</v>
      </c>
      <c r="G2528" s="2">
        <f ca="1">IFERROR(__xludf.DUMMYFUNCTION("""COMPUTED_VALUE"""),0.6196)</f>
        <v>0.61960000000000004</v>
      </c>
      <c r="H2528" s="2">
        <f ca="1">IFERROR(__xludf.DUMMYFUNCTION("""COMPUTED_VALUE"""),50.822)</f>
        <v>50.822000000000003</v>
      </c>
      <c r="I2528" s="2">
        <f ca="1">IFERROR(__xludf.DUMMYFUNCTION("""COMPUTED_VALUE"""),51.957)</f>
        <v>51.957000000000001</v>
      </c>
      <c r="J2528" s="2">
        <f ca="1">IFERROR(__xludf.DUMMYFUNCTION("""COMPUTED_VALUE"""),50.129)</f>
        <v>50.128999999999998</v>
      </c>
      <c r="K2528" s="2">
        <f ca="1">IFERROR(__xludf.DUMMYFUNCTION("""COMPUTED_VALUE"""),68.165)</f>
        <v>68.165000000000006</v>
      </c>
      <c r="M2528" s="2">
        <f ca="1">IFERROR(__xludf.DUMMYFUNCTION("""COMPUTED_VALUE"""),17.771)</f>
        <v>17.771000000000001</v>
      </c>
      <c r="U2528" s="3" t="e">
        <f ca="1"/>
        <v>#NAME?</v>
      </c>
    </row>
    <row r="2529" spans="3:21" ht="12.5" x14ac:dyDescent="0.25">
      <c r="C2529" s="4">
        <f ca="1">IFERROR(__xludf.DUMMYFUNCTION("""COMPUTED_VALUE"""),42935.9986111111)</f>
        <v>42935.998611111099</v>
      </c>
      <c r="D2529" s="2">
        <f ca="1">IFERROR(__xludf.DUMMYFUNCTION("""COMPUTED_VALUE"""),64.2633)</f>
        <v>64.263300000000001</v>
      </c>
      <c r="E2529" s="2">
        <f ca="1">IFERROR(__xludf.DUMMYFUNCTION("""COMPUTED_VALUE"""),81.143)</f>
        <v>81.143000000000001</v>
      </c>
      <c r="F2529" s="2">
        <f ca="1">IFERROR(__xludf.DUMMYFUNCTION("""COMPUTED_VALUE"""),82.108)</f>
        <v>82.108000000000004</v>
      </c>
      <c r="G2529" s="2">
        <f ca="1">IFERROR(__xludf.DUMMYFUNCTION("""COMPUTED_VALUE"""),0.6195)</f>
        <v>0.61950000000000005</v>
      </c>
      <c r="H2529" s="2">
        <f ca="1">IFERROR(__xludf.DUMMYFUNCTION("""COMPUTED_VALUE"""),50.748)</f>
        <v>50.747999999999998</v>
      </c>
      <c r="I2529" s="2">
        <f ca="1">IFERROR(__xludf.DUMMYFUNCTION("""COMPUTED_VALUE"""),51.806)</f>
        <v>51.805999999999997</v>
      </c>
      <c r="J2529" s="2">
        <f ca="1">IFERROR(__xludf.DUMMYFUNCTION("""COMPUTED_VALUE"""),50.161)</f>
        <v>50.161000000000001</v>
      </c>
      <c r="K2529" s="2">
        <f ca="1">IFERROR(__xludf.DUMMYFUNCTION("""COMPUTED_VALUE"""),69.02)</f>
        <v>69.02</v>
      </c>
      <c r="M2529" s="2">
        <f ca="1">IFERROR(__xludf.DUMMYFUNCTION("""COMPUTED_VALUE"""),17.777)</f>
        <v>17.777000000000001</v>
      </c>
      <c r="U2529" s="3" t="e">
        <f ca="1"/>
        <v>#NAME?</v>
      </c>
    </row>
    <row r="2530" spans="3:21" ht="12.5" x14ac:dyDescent="0.25">
      <c r="C2530" s="4">
        <f ca="1">IFERROR(__xludf.DUMMYFUNCTION("""COMPUTED_VALUE"""),42936.9986111111)</f>
        <v>42936.998611111099</v>
      </c>
      <c r="D2530" s="2">
        <f ca="1">IFERROR(__xludf.DUMMYFUNCTION("""COMPUTED_VALUE"""),64.325)</f>
        <v>64.325000000000003</v>
      </c>
      <c r="E2530" s="2">
        <f ca="1">IFERROR(__xludf.DUMMYFUNCTION("""COMPUTED_VALUE"""),81.189)</f>
        <v>81.188999999999993</v>
      </c>
      <c r="F2530" s="2">
        <f ca="1">IFERROR(__xludf.DUMMYFUNCTION("""COMPUTED_VALUE"""),81.462)</f>
        <v>81.462000000000003</v>
      </c>
      <c r="G2530" s="2">
        <f ca="1">IFERROR(__xludf.DUMMYFUNCTION("""COMPUTED_VALUE"""),0.6109)</f>
        <v>0.6109</v>
      </c>
      <c r="H2530" s="2">
        <f ca="1">IFERROR(__xludf.DUMMYFUNCTION("""COMPUTED_VALUE"""),50.076)</f>
        <v>50.076000000000001</v>
      </c>
      <c r="I2530" s="2">
        <f ca="1">IFERROR(__xludf.DUMMYFUNCTION("""COMPUTED_VALUE"""),51.158)</f>
        <v>51.158000000000001</v>
      </c>
      <c r="J2530" s="2">
        <f ca="1">IFERROR(__xludf.DUMMYFUNCTION("""COMPUTED_VALUE"""),50.238)</f>
        <v>50.238</v>
      </c>
      <c r="K2530" s="2">
        <f ca="1">IFERROR(__xludf.DUMMYFUNCTION("""COMPUTED_VALUE"""),68.83)</f>
        <v>68.83</v>
      </c>
      <c r="M2530" s="2">
        <f ca="1">IFERROR(__xludf.DUMMYFUNCTION("""COMPUTED_VALUE"""),17.85)</f>
        <v>17.850000000000001</v>
      </c>
      <c r="U2530" s="3" t="e">
        <f ca="1"/>
        <v>#NAME?</v>
      </c>
    </row>
    <row r="2531" spans="3:21" ht="12.5" x14ac:dyDescent="0.25">
      <c r="C2531" s="4">
        <f ca="1">IFERROR(__xludf.DUMMYFUNCTION("""COMPUTED_VALUE"""),42937.9986111111)</f>
        <v>42937.998611111099</v>
      </c>
      <c r="D2531" s="2">
        <f ca="1">IFERROR(__xludf.DUMMYFUNCTION("""COMPUTED_VALUE"""),64.378)</f>
        <v>64.378</v>
      </c>
      <c r="E2531" s="2">
        <f ca="1">IFERROR(__xludf.DUMMYFUNCTION("""COMPUTED_VALUE"""),81.365)</f>
        <v>81.364999999999995</v>
      </c>
      <c r="F2531" s="2">
        <f ca="1">IFERROR(__xludf.DUMMYFUNCTION("""COMPUTED_VALUE"""),81.791)</f>
        <v>81.790999999999997</v>
      </c>
      <c r="G2531" s="2">
        <f ca="1">IFERROR(__xludf.DUMMYFUNCTION("""COMPUTED_VALUE"""),0.61121)</f>
        <v>0.61121000000000003</v>
      </c>
      <c r="H2531" s="2">
        <f ca="1">IFERROR(__xludf.DUMMYFUNCTION("""COMPUTED_VALUE"""),50.528)</f>
        <v>50.527999999999999</v>
      </c>
      <c r="I2531" s="2">
        <f ca="1">IFERROR(__xludf.DUMMYFUNCTION("""COMPUTED_VALUE"""),51.74)</f>
        <v>51.74</v>
      </c>
      <c r="J2531" s="2">
        <f ca="1">IFERROR(__xludf.DUMMYFUNCTION("""COMPUTED_VALUE"""),49.591)</f>
        <v>49.591000000000001</v>
      </c>
      <c r="K2531" s="2">
        <f ca="1">IFERROR(__xludf.DUMMYFUNCTION("""COMPUTED_VALUE"""),68.788)</f>
        <v>68.787999999999997</v>
      </c>
      <c r="M2531" s="2">
        <f ca="1">IFERROR(__xludf.DUMMYFUNCTION("""COMPUTED_VALUE"""),17.816)</f>
        <v>17.815999999999999</v>
      </c>
      <c r="U2531" s="3" t="e">
        <f ca="1"/>
        <v>#NAME?</v>
      </c>
    </row>
    <row r="2532" spans="3:21" ht="12.5" x14ac:dyDescent="0.25">
      <c r="C2532" s="4">
        <f ca="1">IFERROR(__xludf.DUMMYFUNCTION("""COMPUTED_VALUE"""),42938.9986111111)</f>
        <v>42938.998611111099</v>
      </c>
      <c r="D2532" s="2">
        <f ca="1">IFERROR(__xludf.DUMMYFUNCTION("""COMPUTED_VALUE"""),64.4611)</f>
        <v>64.461100000000002</v>
      </c>
      <c r="E2532" s="2">
        <f ca="1">IFERROR(__xludf.DUMMYFUNCTION("""COMPUTED_VALUE"""),80.814)</f>
        <v>80.813999999999993</v>
      </c>
      <c r="F2532" s="2">
        <f ca="1">IFERROR(__xludf.DUMMYFUNCTION("""COMPUTED_VALUE"""),81.875)</f>
        <v>81.875</v>
      </c>
      <c r="G2532" s="2">
        <f ca="1">IFERROR(__xludf.DUMMYFUNCTION("""COMPUTED_VALUE"""),0.60931)</f>
        <v>0.60931000000000002</v>
      </c>
      <c r="H2532" s="2">
        <f ca="1">IFERROR(__xludf.DUMMYFUNCTION("""COMPUTED_VALUE"""),50.458)</f>
        <v>50.457999999999998</v>
      </c>
      <c r="I2532" s="2">
        <f ca="1">IFERROR(__xludf.DUMMYFUNCTION("""COMPUTED_VALUE"""),51.742)</f>
        <v>51.741999999999997</v>
      </c>
      <c r="J2532" s="2">
        <f ca="1">IFERROR(__xludf.DUMMYFUNCTION("""COMPUTED_VALUE"""),50.149)</f>
        <v>50.149000000000001</v>
      </c>
      <c r="K2532" s="2">
        <f ca="1">IFERROR(__xludf.DUMMYFUNCTION("""COMPUTED_VALUE"""),68.522)</f>
        <v>68.522000000000006</v>
      </c>
      <c r="M2532" s="2">
        <f ca="1">IFERROR(__xludf.DUMMYFUNCTION("""COMPUTED_VALUE"""),17.7)</f>
        <v>17.7</v>
      </c>
      <c r="U2532" s="3" t="e">
        <f ca="1"/>
        <v>#NAME?</v>
      </c>
    </row>
    <row r="2533" spans="3:21" ht="12.5" x14ac:dyDescent="0.25">
      <c r="C2533" s="4">
        <f ca="1">IFERROR(__xludf.DUMMYFUNCTION("""COMPUTED_VALUE"""),42939.9986111111)</f>
        <v>42939.998611111099</v>
      </c>
      <c r="D2533" s="2">
        <f ca="1">IFERROR(__xludf.DUMMYFUNCTION("""COMPUTED_VALUE"""),64.4611)</f>
        <v>64.461100000000002</v>
      </c>
      <c r="E2533" s="2">
        <f ca="1">IFERROR(__xludf.DUMMYFUNCTION("""COMPUTED_VALUE"""),80.733)</f>
        <v>80.733000000000004</v>
      </c>
      <c r="F2533" s="2">
        <f ca="1">IFERROR(__xludf.DUMMYFUNCTION("""COMPUTED_VALUE"""),82.038)</f>
        <v>82.037999999999997</v>
      </c>
      <c r="G2533" s="2">
        <f ca="1">IFERROR(__xludf.DUMMYFUNCTION("""COMPUTED_VALUE"""),0.61009)</f>
        <v>0.61009000000000002</v>
      </c>
      <c r="H2533" s="2">
        <f ca="1">IFERROR(__xludf.DUMMYFUNCTION("""COMPUTED_VALUE"""),50.612)</f>
        <v>50.612000000000002</v>
      </c>
      <c r="I2533" s="2">
        <f ca="1">IFERROR(__xludf.DUMMYFUNCTION("""COMPUTED_VALUE"""),52.076)</f>
        <v>52.076000000000001</v>
      </c>
      <c r="J2533" s="2">
        <f ca="1">IFERROR(__xludf.DUMMYFUNCTION("""COMPUTED_VALUE"""),50.184)</f>
        <v>50.183999999999997</v>
      </c>
      <c r="K2533" s="2">
        <f ca="1">IFERROR(__xludf.DUMMYFUNCTION("""COMPUTED_VALUE"""),68.114)</f>
        <v>68.114000000000004</v>
      </c>
      <c r="M2533" s="2">
        <f ca="1">IFERROR(__xludf.DUMMYFUNCTION("""COMPUTED_VALUE"""),17.751)</f>
        <v>17.751000000000001</v>
      </c>
      <c r="U2533" s="3" t="e">
        <f ca="1"/>
        <v>#NAME?</v>
      </c>
    </row>
    <row r="2534" spans="3:21" ht="12.5" x14ac:dyDescent="0.25">
      <c r="C2534" s="4">
        <f ca="1">IFERROR(__xludf.DUMMYFUNCTION("""COMPUTED_VALUE"""),42940.9986111111)</f>
        <v>42940.998611111099</v>
      </c>
      <c r="D2534" s="2">
        <f ca="1">IFERROR(__xludf.DUMMYFUNCTION("""COMPUTED_VALUE"""),64.3651)</f>
        <v>64.365099999999998</v>
      </c>
      <c r="E2534" s="2">
        <f ca="1">IFERROR(__xludf.DUMMYFUNCTION("""COMPUTED_VALUE"""),80.19)</f>
        <v>80.19</v>
      </c>
      <c r="F2534" s="2">
        <f ca="1">IFERROR(__xludf.DUMMYFUNCTION("""COMPUTED_VALUE"""),82.032)</f>
        <v>82.031999999999996</v>
      </c>
      <c r="G2534" s="2">
        <f ca="1">IFERROR(__xludf.DUMMYFUNCTION("""COMPUTED_VALUE"""),0.6063)</f>
        <v>0.60629999999999995</v>
      </c>
      <c r="H2534" s="2">
        <f ca="1">IFERROR(__xludf.DUMMYFUNCTION("""COMPUTED_VALUE"""),50.43)</f>
        <v>50.43</v>
      </c>
      <c r="I2534" s="2">
        <f ca="1">IFERROR(__xludf.DUMMYFUNCTION("""COMPUTED_VALUE"""),51.864)</f>
        <v>51.863999999999997</v>
      </c>
      <c r="J2534" s="2">
        <f ca="1">IFERROR(__xludf.DUMMYFUNCTION("""COMPUTED_VALUE"""),50.348)</f>
        <v>50.347999999999999</v>
      </c>
      <c r="K2534" s="2">
        <f ca="1">IFERROR(__xludf.DUMMYFUNCTION("""COMPUTED_VALUE"""),68.695)</f>
        <v>68.694999999999993</v>
      </c>
      <c r="M2534" s="2">
        <f ca="1">IFERROR(__xludf.DUMMYFUNCTION("""COMPUTED_VALUE"""),17.801)</f>
        <v>17.800999999999998</v>
      </c>
      <c r="U2534" s="3" t="e">
        <f ca="1"/>
        <v>#NAME?</v>
      </c>
    </row>
    <row r="2535" spans="3:21" ht="12.5" x14ac:dyDescent="0.25">
      <c r="C2535" s="4">
        <f ca="1">IFERROR(__xludf.DUMMYFUNCTION("""COMPUTED_VALUE"""),42941.9986111111)</f>
        <v>42941.998611111099</v>
      </c>
      <c r="D2535" s="2">
        <f ca="1">IFERROR(__xludf.DUMMYFUNCTION("""COMPUTED_VALUE"""),64.447)</f>
        <v>64.447000000000003</v>
      </c>
      <c r="E2535" s="2">
        <f ca="1">IFERROR(__xludf.DUMMYFUNCTION("""COMPUTED_VALUE"""),80.2309)</f>
        <v>80.230900000000005</v>
      </c>
      <c r="F2535" s="2">
        <f ca="1">IFERROR(__xludf.DUMMYFUNCTION("""COMPUTED_VALUE"""),82.156)</f>
        <v>82.156000000000006</v>
      </c>
      <c r="G2535" s="2">
        <f ca="1">IFERROR(__xludf.DUMMYFUNCTION("""COMPUTED_VALUE"""),0.61391)</f>
        <v>0.61390999999999996</v>
      </c>
      <c r="H2535" s="2">
        <f ca="1">IFERROR(__xludf.DUMMYFUNCTION("""COMPUTED_VALUE"""),50.462)</f>
        <v>50.462000000000003</v>
      </c>
      <c r="I2535" s="2">
        <f ca="1">IFERROR(__xludf.DUMMYFUNCTION("""COMPUTED_VALUE"""),51.873)</f>
        <v>51.872999999999998</v>
      </c>
      <c r="J2535" s="2">
        <f ca="1">IFERROR(__xludf.DUMMYFUNCTION("""COMPUTED_VALUE"""),50.254)</f>
        <v>50.253999999999998</v>
      </c>
      <c r="K2535" s="2">
        <f ca="1">IFERROR(__xludf.DUMMYFUNCTION("""COMPUTED_VALUE"""),68.402)</f>
        <v>68.402000000000001</v>
      </c>
      <c r="M2535" s="2">
        <f ca="1">IFERROR(__xludf.DUMMYFUNCTION("""COMPUTED_VALUE"""),17.808)</f>
        <v>17.808</v>
      </c>
      <c r="U2535" s="3" t="e">
        <f ca="1"/>
        <v>#NAME?</v>
      </c>
    </row>
    <row r="2536" spans="3:21" ht="12.5" x14ac:dyDescent="0.25">
      <c r="C2536" s="4">
        <f ca="1">IFERROR(__xludf.DUMMYFUNCTION("""COMPUTED_VALUE"""),42942.9986111111)</f>
        <v>42942.998611111099</v>
      </c>
      <c r="D2536" s="2">
        <f ca="1">IFERROR(__xludf.DUMMYFUNCTION("""COMPUTED_VALUE"""),64.3447)</f>
        <v>64.344700000000003</v>
      </c>
      <c r="E2536" s="2">
        <f ca="1">IFERROR(__xludf.DUMMYFUNCTION("""COMPUTED_VALUE"""),79.608)</f>
        <v>79.608000000000004</v>
      </c>
      <c r="F2536" s="2">
        <f ca="1">IFERROR(__xludf.DUMMYFUNCTION("""COMPUTED_VALUE"""),81.94)</f>
        <v>81.94</v>
      </c>
      <c r="G2536" s="2">
        <f ca="1">IFERROR(__xludf.DUMMYFUNCTION("""COMPUTED_VALUE"""),0.6159)</f>
        <v>0.6159</v>
      </c>
      <c r="H2536" s="2">
        <f ca="1">IFERROR(__xludf.DUMMYFUNCTION("""COMPUTED_VALUE"""),49.982)</f>
        <v>49.981999999999999</v>
      </c>
      <c r="I2536" s="2">
        <f ca="1">IFERROR(__xludf.DUMMYFUNCTION("""COMPUTED_VALUE"""),51.686)</f>
        <v>51.686</v>
      </c>
      <c r="J2536" s="2">
        <f ca="1">IFERROR(__xludf.DUMMYFUNCTION("""COMPUTED_VALUE"""),50.282)</f>
        <v>50.281999999999996</v>
      </c>
      <c r="K2536" s="2">
        <f ca="1">IFERROR(__xludf.DUMMYFUNCTION("""COMPUTED_VALUE"""),68.411)</f>
        <v>68.411000000000001</v>
      </c>
      <c r="M2536" s="2">
        <f ca="1">IFERROR(__xludf.DUMMYFUNCTION("""COMPUTED_VALUE"""),17.81)</f>
        <v>17.809999999999999</v>
      </c>
      <c r="U2536" s="3" t="e">
        <f ca="1"/>
        <v>#NAME?</v>
      </c>
    </row>
    <row r="2537" spans="3:21" ht="12.5" x14ac:dyDescent="0.25">
      <c r="C2537" s="4">
        <f ca="1">IFERROR(__xludf.DUMMYFUNCTION("""COMPUTED_VALUE"""),42943.9986111111)</f>
        <v>42943.998611111099</v>
      </c>
      <c r="D2537" s="2">
        <f ca="1">IFERROR(__xludf.DUMMYFUNCTION("""COMPUTED_VALUE"""),64.185)</f>
        <v>64.185000000000002</v>
      </c>
      <c r="E2537" s="2">
        <f ca="1">IFERROR(__xludf.DUMMYFUNCTION("""COMPUTED_VALUE"""),79.847)</f>
        <v>79.846999999999994</v>
      </c>
      <c r="F2537" s="2">
        <f ca="1">IFERROR(__xludf.DUMMYFUNCTION("""COMPUTED_VALUE"""),82.703)</f>
        <v>82.703000000000003</v>
      </c>
      <c r="G2537" s="2">
        <f ca="1">IFERROR(__xludf.DUMMYFUNCTION("""COMPUTED_VALUE"""),0.61597)</f>
        <v>0.61597000000000002</v>
      </c>
      <c r="H2537" s="2">
        <f ca="1">IFERROR(__xludf.DUMMYFUNCTION("""COMPUTED_VALUE"""),50.057)</f>
        <v>50.057000000000002</v>
      </c>
      <c r="I2537" s="2">
        <f ca="1">IFERROR(__xludf.DUMMYFUNCTION("""COMPUTED_VALUE"""),51.936)</f>
        <v>51.936</v>
      </c>
      <c r="J2537" s="2">
        <f ca="1">IFERROR(__xludf.DUMMYFUNCTION("""COMPUTED_VALUE"""),50.07)</f>
        <v>50.07</v>
      </c>
      <c r="K2537" s="2">
        <f ca="1">IFERROR(__xludf.DUMMYFUNCTION("""COMPUTED_VALUE"""),68.639)</f>
        <v>68.638999999999996</v>
      </c>
      <c r="M2537" s="2">
        <f ca="1">IFERROR(__xludf.DUMMYFUNCTION("""COMPUTED_VALUE"""),17.807)</f>
        <v>17.806999999999999</v>
      </c>
      <c r="U2537" s="3" t="e">
        <f ca="1"/>
        <v>#NAME?</v>
      </c>
    </row>
    <row r="2538" spans="3:21" ht="12.5" x14ac:dyDescent="0.25">
      <c r="C2538" s="4">
        <f ca="1">IFERROR(__xludf.DUMMYFUNCTION("""COMPUTED_VALUE"""),42944.9986111111)</f>
        <v>42944.998611111099</v>
      </c>
      <c r="D2538" s="2">
        <f ca="1">IFERROR(__xludf.DUMMYFUNCTION("""COMPUTED_VALUE"""),64.108)</f>
        <v>64.108000000000004</v>
      </c>
      <c r="E2538" s="2">
        <f ca="1">IFERROR(__xludf.DUMMYFUNCTION("""COMPUTED_VALUE"""),79.85)</f>
        <v>79.849999999999994</v>
      </c>
      <c r="F2538" s="2">
        <f ca="1">IFERROR(__xludf.DUMMYFUNCTION("""COMPUTED_VALUE"""),83.435)</f>
        <v>83.435000000000002</v>
      </c>
      <c r="G2538" s="2">
        <f ca="1">IFERROR(__xludf.DUMMYFUNCTION("""COMPUTED_VALUE"""),0.6106)</f>
        <v>0.61060000000000003</v>
      </c>
      <c r="H2538" s="2">
        <f ca="1">IFERROR(__xludf.DUMMYFUNCTION("""COMPUTED_VALUE"""),49.873)</f>
        <v>49.872999999999998</v>
      </c>
      <c r="I2538" s="2">
        <f ca="1">IFERROR(__xludf.DUMMYFUNCTION("""COMPUTED_VALUE"""),51.702)</f>
        <v>51.701999999999998</v>
      </c>
      <c r="J2538" s="2">
        <f ca="1">IFERROR(__xludf.DUMMYFUNCTION("""COMPUTED_VALUE"""),50.123)</f>
        <v>50.122999999999998</v>
      </c>
      <c r="K2538" s="2">
        <f ca="1">IFERROR(__xludf.DUMMYFUNCTION("""COMPUTED_VALUE"""),69.036)</f>
        <v>69.036000000000001</v>
      </c>
      <c r="M2538" s="2">
        <f ca="1">IFERROR(__xludf.DUMMYFUNCTION("""COMPUTED_VALUE"""),17.762)</f>
        <v>17.762</v>
      </c>
      <c r="U2538" s="3" t="e">
        <f ca="1"/>
        <v>#NAME?</v>
      </c>
    </row>
    <row r="2539" spans="3:21" ht="12.5" x14ac:dyDescent="0.25">
      <c r="C2539" s="4">
        <f ca="1">IFERROR(__xludf.DUMMYFUNCTION("""COMPUTED_VALUE"""),42945.9986111111)</f>
        <v>42945.998611111099</v>
      </c>
      <c r="D2539" s="2">
        <f ca="1">IFERROR(__xludf.DUMMYFUNCTION("""COMPUTED_VALUE"""),64.1235)</f>
        <v>64.123500000000007</v>
      </c>
      <c r="E2539" s="2">
        <f ca="1">IFERROR(__xludf.DUMMYFUNCTION("""COMPUTED_VALUE"""),79.85)</f>
        <v>79.849999999999994</v>
      </c>
      <c r="F2539" s="2">
        <f ca="1">IFERROR(__xludf.DUMMYFUNCTION("""COMPUTED_VALUE"""),84.283)</f>
        <v>84.283000000000001</v>
      </c>
      <c r="G2539" s="2">
        <f ca="1">IFERROR(__xludf.DUMMYFUNCTION("""COMPUTED_VALUE"""),0.61031)</f>
        <v>0.61031000000000002</v>
      </c>
      <c r="H2539" s="2">
        <f ca="1">IFERROR(__xludf.DUMMYFUNCTION("""COMPUTED_VALUE"""),50.134)</f>
        <v>50.134</v>
      </c>
      <c r="I2539" s="2">
        <f ca="1">IFERROR(__xludf.DUMMYFUNCTION("""COMPUTED_VALUE"""),51.825)</f>
        <v>51.825000000000003</v>
      </c>
      <c r="J2539" s="2">
        <f ca="1">IFERROR(__xludf.DUMMYFUNCTION("""COMPUTED_VALUE"""),49.839)</f>
        <v>49.838999999999999</v>
      </c>
      <c r="K2539" s="2">
        <f ca="1">IFERROR(__xludf.DUMMYFUNCTION("""COMPUTED_VALUE"""),69.223)</f>
        <v>69.222999999999999</v>
      </c>
      <c r="M2539" s="2">
        <f ca="1">IFERROR(__xludf.DUMMYFUNCTION("""COMPUTED_VALUE"""),17.735)</f>
        <v>17.734999999999999</v>
      </c>
      <c r="U2539" s="3" t="e">
        <f ca="1"/>
        <v>#NAME?</v>
      </c>
    </row>
    <row r="2540" spans="3:21" ht="12.5" x14ac:dyDescent="0.25">
      <c r="C2540" s="4">
        <f ca="1">IFERROR(__xludf.DUMMYFUNCTION("""COMPUTED_VALUE"""),42946.9986111111)</f>
        <v>42946.998611111099</v>
      </c>
      <c r="D2540" s="2">
        <f ca="1">IFERROR(__xludf.DUMMYFUNCTION("""COMPUTED_VALUE"""),64.1235)</f>
        <v>64.123500000000007</v>
      </c>
      <c r="E2540" s="2">
        <f ca="1">IFERROR(__xludf.DUMMYFUNCTION("""COMPUTED_VALUE"""),80.042)</f>
        <v>80.042000000000002</v>
      </c>
      <c r="F2540" s="2">
        <f ca="1">IFERROR(__xludf.DUMMYFUNCTION("""COMPUTED_VALUE"""),84.176)</f>
        <v>84.176000000000002</v>
      </c>
      <c r="G2540" s="2">
        <f ca="1">IFERROR(__xludf.DUMMYFUNCTION("""COMPUTED_VALUE"""),0.61297)</f>
        <v>0.61297000000000001</v>
      </c>
      <c r="H2540" s="2">
        <f ca="1">IFERROR(__xludf.DUMMYFUNCTION("""COMPUTED_VALUE"""),50.339)</f>
        <v>50.338999999999999</v>
      </c>
      <c r="I2540" s="2">
        <f ca="1">IFERROR(__xludf.DUMMYFUNCTION("""COMPUTED_VALUE"""),51.955)</f>
        <v>51.954999999999998</v>
      </c>
      <c r="J2540" s="2">
        <f ca="1">IFERROR(__xludf.DUMMYFUNCTION("""COMPUTED_VALUE"""),50.037)</f>
        <v>50.036999999999999</v>
      </c>
      <c r="K2540" s="2">
        <f ca="1">IFERROR(__xludf.DUMMYFUNCTION("""COMPUTED_VALUE"""),69.147)</f>
        <v>69.147000000000006</v>
      </c>
      <c r="M2540" s="2">
        <f ca="1">IFERROR(__xludf.DUMMYFUNCTION("""COMPUTED_VALUE"""),17.708)</f>
        <v>17.707999999999998</v>
      </c>
      <c r="U2540" s="3" t="e">
        <f ca="1"/>
        <v>#NAME?</v>
      </c>
    </row>
    <row r="2541" spans="3:21" ht="12.5" x14ac:dyDescent="0.25">
      <c r="C2541" s="4">
        <f ca="1">IFERROR(__xludf.DUMMYFUNCTION("""COMPUTED_VALUE"""),42947.9986111111)</f>
        <v>42947.998611111099</v>
      </c>
      <c r="D2541" s="2">
        <f ca="1">IFERROR(__xludf.DUMMYFUNCTION("""COMPUTED_VALUE"""),64.1895)</f>
        <v>64.189499999999995</v>
      </c>
      <c r="E2541" s="2">
        <f ca="1">IFERROR(__xludf.DUMMYFUNCTION("""COMPUTED_VALUE"""),79.634)</f>
        <v>79.634</v>
      </c>
      <c r="F2541" s="2">
        <f ca="1">IFERROR(__xludf.DUMMYFUNCTION("""COMPUTED_VALUE"""),84.169)</f>
        <v>84.168999999999997</v>
      </c>
      <c r="G2541" s="2">
        <f ca="1">IFERROR(__xludf.DUMMYFUNCTION("""COMPUTED_VALUE"""),0.61116)</f>
        <v>0.61116000000000004</v>
      </c>
      <c r="H2541" s="2">
        <f ca="1">IFERROR(__xludf.DUMMYFUNCTION("""COMPUTED_VALUE"""),50.287)</f>
        <v>50.286999999999999</v>
      </c>
      <c r="I2541" s="2">
        <f ca="1">IFERROR(__xludf.DUMMYFUNCTION("""COMPUTED_VALUE"""),51.976)</f>
        <v>51.975999999999999</v>
      </c>
      <c r="J2541" s="2">
        <f ca="1">IFERROR(__xludf.DUMMYFUNCTION("""COMPUTED_VALUE"""),50.054)</f>
        <v>50.054000000000002</v>
      </c>
      <c r="K2541" s="2">
        <f ca="1">IFERROR(__xludf.DUMMYFUNCTION("""COMPUTED_VALUE"""),69.056)</f>
        <v>69.055999999999997</v>
      </c>
      <c r="M2541" s="2">
        <f ca="1">IFERROR(__xludf.DUMMYFUNCTION("""COMPUTED_VALUE"""),17.602)</f>
        <v>17.602</v>
      </c>
      <c r="U2541" s="3" t="e">
        <f ca="1"/>
        <v>#NAME?</v>
      </c>
    </row>
    <row r="2542" spans="3:21" ht="12.5" x14ac:dyDescent="0.25">
      <c r="C2542" s="4">
        <f ca="1">IFERROR(__xludf.DUMMYFUNCTION("""COMPUTED_VALUE"""),42948.9986111111)</f>
        <v>42948.998611111099</v>
      </c>
      <c r="D2542" s="2">
        <f ca="1">IFERROR(__xludf.DUMMYFUNCTION("""COMPUTED_VALUE"""),64.0558)</f>
        <v>64.055800000000005</v>
      </c>
      <c r="E2542" s="2">
        <f ca="1">IFERROR(__xludf.DUMMYFUNCTION("""COMPUTED_VALUE"""),79.713)</f>
        <v>79.712999999999994</v>
      </c>
      <c r="F2542" s="2">
        <f ca="1">IFERROR(__xludf.DUMMYFUNCTION("""COMPUTED_VALUE"""),84.122)</f>
        <v>84.122</v>
      </c>
      <c r="G2542" s="2">
        <f ca="1">IFERROR(__xludf.DUMMYFUNCTION("""COMPUTED_VALUE"""),0.61468)</f>
        <v>0.61468</v>
      </c>
      <c r="H2542" s="2">
        <f ca="1">IFERROR(__xludf.DUMMYFUNCTION("""COMPUTED_VALUE"""),50.423)</f>
        <v>50.423000000000002</v>
      </c>
      <c r="I2542" s="2">
        <f ca="1">IFERROR(__xludf.DUMMYFUNCTION("""COMPUTED_VALUE"""),52.07)</f>
        <v>52.07</v>
      </c>
      <c r="J2542" s="2">
        <f ca="1">IFERROR(__xludf.DUMMYFUNCTION("""COMPUTED_VALUE"""),50.055)</f>
        <v>50.055</v>
      </c>
      <c r="K2542" s="2">
        <f ca="1">IFERROR(__xludf.DUMMYFUNCTION("""COMPUTED_VALUE"""),69.196)</f>
        <v>69.195999999999998</v>
      </c>
      <c r="M2542" s="2">
        <f ca="1">IFERROR(__xludf.DUMMYFUNCTION("""COMPUTED_VALUE"""),17.609)</f>
        <v>17.609000000000002</v>
      </c>
      <c r="U2542" s="3" t="e">
        <f ca="1"/>
        <v>#NAME?</v>
      </c>
    </row>
    <row r="2543" spans="3:21" ht="12.5" x14ac:dyDescent="0.25">
      <c r="C2543" s="4">
        <f ca="1">IFERROR(__xludf.DUMMYFUNCTION("""COMPUTED_VALUE"""),42949.9986111111)</f>
        <v>42949.998611111099</v>
      </c>
      <c r="D2543" s="2">
        <f ca="1">IFERROR(__xludf.DUMMYFUNCTION("""COMPUTED_VALUE"""),63.6406)</f>
        <v>63.640599999999999</v>
      </c>
      <c r="E2543" s="2">
        <f ca="1">IFERROR(__xludf.DUMMYFUNCTION("""COMPUTED_VALUE"""),80.039)</f>
        <v>80.039000000000001</v>
      </c>
      <c r="F2543" s="2">
        <f ca="1">IFERROR(__xludf.DUMMYFUNCTION("""COMPUTED_VALUE"""),83.941)</f>
        <v>83.941000000000003</v>
      </c>
      <c r="G2543" s="2">
        <f ca="1">IFERROR(__xludf.DUMMYFUNCTION("""COMPUTED_VALUE"""),0.61704)</f>
        <v>0.61704000000000003</v>
      </c>
      <c r="H2543" s="2">
        <f ca="1">IFERROR(__xludf.DUMMYFUNCTION("""COMPUTED_VALUE"""),49.993)</f>
        <v>49.993000000000002</v>
      </c>
      <c r="I2543" s="2">
        <f ca="1">IFERROR(__xludf.DUMMYFUNCTION("""COMPUTED_VALUE"""),51.83)</f>
        <v>51.83</v>
      </c>
      <c r="J2543" s="2">
        <f ca="1">IFERROR(__xludf.DUMMYFUNCTION("""COMPUTED_VALUE"""),50.23)</f>
        <v>50.23</v>
      </c>
      <c r="K2543" s="2">
        <f ca="1">IFERROR(__xludf.DUMMYFUNCTION("""COMPUTED_VALUE"""),68.955)</f>
        <v>68.954999999999998</v>
      </c>
      <c r="M2543" s="2">
        <f ca="1">IFERROR(__xludf.DUMMYFUNCTION("""COMPUTED_VALUE"""),17.611)</f>
        <v>17.611000000000001</v>
      </c>
      <c r="U2543" s="3" t="e">
        <f ca="1"/>
        <v>#NAME?</v>
      </c>
    </row>
    <row r="2544" spans="3:21" ht="12.5" x14ac:dyDescent="0.25">
      <c r="C2544" s="4">
        <f ca="1">IFERROR(__xludf.DUMMYFUNCTION("""COMPUTED_VALUE"""),42950.9986111111)</f>
        <v>42950.998611111099</v>
      </c>
      <c r="D2544" s="2">
        <f ca="1">IFERROR(__xludf.DUMMYFUNCTION("""COMPUTED_VALUE"""),63.697)</f>
        <v>63.697000000000003</v>
      </c>
      <c r="E2544" s="2">
        <f ca="1">IFERROR(__xludf.DUMMYFUNCTION("""COMPUTED_VALUE"""),80.378)</f>
        <v>80.378</v>
      </c>
      <c r="F2544" s="2">
        <f ca="1">IFERROR(__xludf.DUMMYFUNCTION("""COMPUTED_VALUE"""),83.713)</f>
        <v>83.712999999999994</v>
      </c>
      <c r="G2544" s="2">
        <f ca="1">IFERROR(__xludf.DUMMYFUNCTION("""COMPUTED_VALUE"""),0.61994)</f>
        <v>0.61994000000000005</v>
      </c>
      <c r="H2544" s="2">
        <f ca="1">IFERROR(__xludf.DUMMYFUNCTION("""COMPUTED_VALUE"""),50.188)</f>
        <v>50.188000000000002</v>
      </c>
      <c r="I2544" s="2">
        <f ca="1">IFERROR(__xludf.DUMMYFUNCTION("""COMPUTED_VALUE"""),52.36)</f>
        <v>52.36</v>
      </c>
      <c r="J2544" s="2">
        <f ca="1">IFERROR(__xludf.DUMMYFUNCTION("""COMPUTED_VALUE"""),50.067)</f>
        <v>50.067</v>
      </c>
      <c r="K2544" s="2">
        <f ca="1">IFERROR(__xludf.DUMMYFUNCTION("""COMPUTED_VALUE"""),69.563)</f>
        <v>69.563000000000002</v>
      </c>
      <c r="M2544" s="2">
        <f ca="1">IFERROR(__xludf.DUMMYFUNCTION("""COMPUTED_VALUE"""),17.675)</f>
        <v>17.675000000000001</v>
      </c>
      <c r="U2544" s="3" t="e">
        <f ca="1"/>
        <v>#NAME?</v>
      </c>
    </row>
    <row r="2545" spans="3:21" ht="12.5" x14ac:dyDescent="0.25">
      <c r="C2545" s="4">
        <f ca="1">IFERROR(__xludf.DUMMYFUNCTION("""COMPUTED_VALUE"""),42951.9986111111)</f>
        <v>42951.998611111099</v>
      </c>
      <c r="D2545" s="2">
        <f ca="1">IFERROR(__xludf.DUMMYFUNCTION("""COMPUTED_VALUE"""),63.668)</f>
        <v>63.667999999999999</v>
      </c>
      <c r="E2545" s="2">
        <f ca="1">IFERROR(__xludf.DUMMYFUNCTION("""COMPUTED_VALUE"""),80.378)</f>
        <v>80.378</v>
      </c>
      <c r="F2545" s="2">
        <f ca="1">IFERROR(__xludf.DUMMYFUNCTION("""COMPUTED_VALUE"""),83.808)</f>
        <v>83.808000000000007</v>
      </c>
      <c r="G2545" s="2">
        <f ca="1">IFERROR(__xludf.DUMMYFUNCTION("""COMPUTED_VALUE"""),0.61614)</f>
        <v>0.61614000000000002</v>
      </c>
      <c r="H2545" s="2">
        <f ca="1">IFERROR(__xludf.DUMMYFUNCTION("""COMPUTED_VALUE"""),50.556)</f>
        <v>50.555999999999997</v>
      </c>
      <c r="I2545" s="2">
        <f ca="1">IFERROR(__xludf.DUMMYFUNCTION("""COMPUTED_VALUE"""),52.595)</f>
        <v>52.594999999999999</v>
      </c>
      <c r="J2545" s="2">
        <f ca="1">IFERROR(__xludf.DUMMYFUNCTION("""COMPUTED_VALUE"""),49.902)</f>
        <v>49.902000000000001</v>
      </c>
      <c r="K2545" s="2">
        <f ca="1">IFERROR(__xludf.DUMMYFUNCTION("""COMPUTED_VALUE"""),69.008)</f>
        <v>69.007999999999996</v>
      </c>
      <c r="M2545" s="2">
        <f ca="1">IFERROR(__xludf.DUMMYFUNCTION("""COMPUTED_VALUE"""),17.706)</f>
        <v>17.706</v>
      </c>
      <c r="U2545" s="3" t="e">
        <f ca="1"/>
        <v>#NAME?</v>
      </c>
    </row>
    <row r="2546" spans="3:21" ht="12.5" x14ac:dyDescent="0.25">
      <c r="C2546" s="4">
        <f ca="1">IFERROR(__xludf.DUMMYFUNCTION("""COMPUTED_VALUE"""),42952.9986111111)</f>
        <v>42952.998611111099</v>
      </c>
      <c r="D2546" s="2">
        <f ca="1">IFERROR(__xludf.DUMMYFUNCTION("""COMPUTED_VALUE"""),63.743)</f>
        <v>63.743000000000002</v>
      </c>
      <c r="E2546" s="2">
        <f ca="1">IFERROR(__xludf.DUMMYFUNCTION("""COMPUTED_VALUE"""),80.523)</f>
        <v>80.522999999999996</v>
      </c>
      <c r="F2546" s="2">
        <f ca="1">IFERROR(__xludf.DUMMYFUNCTION("""COMPUTED_VALUE"""),83.925)</f>
        <v>83.924999999999997</v>
      </c>
      <c r="G2546" s="2">
        <f ca="1">IFERROR(__xludf.DUMMYFUNCTION("""COMPUTED_VALUE"""),0.61733)</f>
        <v>0.61733000000000005</v>
      </c>
      <c r="H2546" s="2">
        <f ca="1">IFERROR(__xludf.DUMMYFUNCTION("""COMPUTED_VALUE"""),50.764)</f>
        <v>50.764000000000003</v>
      </c>
      <c r="I2546" s="2">
        <f ca="1">IFERROR(__xludf.DUMMYFUNCTION("""COMPUTED_VALUE"""),52.607)</f>
        <v>52.606999999999999</v>
      </c>
      <c r="J2546" s="2">
        <f ca="1">IFERROR(__xludf.DUMMYFUNCTION("""COMPUTED_VALUE"""),50.199)</f>
        <v>50.198999999999998</v>
      </c>
      <c r="K2546" s="2">
        <f ca="1">IFERROR(__xludf.DUMMYFUNCTION("""COMPUTED_VALUE"""),68.326)</f>
        <v>68.325999999999993</v>
      </c>
      <c r="M2546" s="2">
        <f ca="1">IFERROR(__xludf.DUMMYFUNCTION("""COMPUTED_VALUE"""),17.668)</f>
        <v>17.667999999999999</v>
      </c>
      <c r="U2546" s="3" t="e">
        <f ca="1"/>
        <v>#NAME?</v>
      </c>
    </row>
    <row r="2547" spans="3:21" ht="12.5" x14ac:dyDescent="0.25">
      <c r="C2547" s="4">
        <f ca="1">IFERROR(__xludf.DUMMYFUNCTION("""COMPUTED_VALUE"""),42953.9986111111)</f>
        <v>42953.998611111099</v>
      </c>
      <c r="D2547" s="2">
        <f ca="1">IFERROR(__xludf.DUMMYFUNCTION("""COMPUTED_VALUE"""),63.6651)</f>
        <v>63.665100000000002</v>
      </c>
      <c r="E2547" s="2">
        <f ca="1">IFERROR(__xludf.DUMMYFUNCTION("""COMPUTED_VALUE"""),80.408)</f>
        <v>80.408000000000001</v>
      </c>
      <c r="F2547" s="2">
        <f ca="1">IFERROR(__xludf.DUMMYFUNCTION("""COMPUTED_VALUE"""),83.026)</f>
        <v>83.025999999999996</v>
      </c>
      <c r="G2547" s="2">
        <f ca="1">IFERROR(__xludf.DUMMYFUNCTION("""COMPUTED_VALUE"""),0.61651)</f>
        <v>0.61651</v>
      </c>
      <c r="H2547" s="2">
        <f ca="1">IFERROR(__xludf.DUMMYFUNCTION("""COMPUTED_VALUE"""),50.769)</f>
        <v>50.768999999999998</v>
      </c>
      <c r="I2547" s="2">
        <f ca="1">IFERROR(__xludf.DUMMYFUNCTION("""COMPUTED_VALUE"""),52.61)</f>
        <v>52.61</v>
      </c>
      <c r="J2547" s="2">
        <f ca="1">IFERROR(__xludf.DUMMYFUNCTION("""COMPUTED_VALUE"""),50.369)</f>
        <v>50.369</v>
      </c>
      <c r="K2547" s="2">
        <f ca="1">IFERROR(__xludf.DUMMYFUNCTION("""COMPUTED_VALUE"""),69.006)</f>
        <v>69.006</v>
      </c>
      <c r="M2547" s="2">
        <f ca="1">IFERROR(__xludf.DUMMYFUNCTION("""COMPUTED_VALUE"""),17.703)</f>
        <v>17.702999999999999</v>
      </c>
      <c r="U2547" s="3" t="e">
        <f ca="1"/>
        <v>#NAME?</v>
      </c>
    </row>
    <row r="2548" spans="3:21" ht="12.5" x14ac:dyDescent="0.25">
      <c r="C2548" s="4">
        <f ca="1">IFERROR(__xludf.DUMMYFUNCTION("""COMPUTED_VALUE"""),42954.9986111111)</f>
        <v>42954.998611111099</v>
      </c>
      <c r="D2548" s="2">
        <f ca="1">IFERROR(__xludf.DUMMYFUNCTION("""COMPUTED_VALUE"""),63.8301)</f>
        <v>63.830100000000002</v>
      </c>
      <c r="E2548" s="2">
        <f ca="1">IFERROR(__xludf.DUMMYFUNCTION("""COMPUTED_VALUE"""),79.996)</f>
        <v>79.995999999999995</v>
      </c>
      <c r="F2548" s="2">
        <f ca="1">IFERROR(__xludf.DUMMYFUNCTION("""COMPUTED_VALUE"""),83.246)</f>
        <v>83.245999999999995</v>
      </c>
      <c r="G2548" s="2">
        <f ca="1">IFERROR(__xludf.DUMMYFUNCTION("""COMPUTED_VALUE"""),0.62065)</f>
        <v>0.62065000000000003</v>
      </c>
      <c r="H2548" s="2">
        <f ca="1">IFERROR(__xludf.DUMMYFUNCTION("""COMPUTED_VALUE"""),50.793)</f>
        <v>50.792999999999999</v>
      </c>
      <c r="I2548" s="2">
        <f ca="1">IFERROR(__xludf.DUMMYFUNCTION("""COMPUTED_VALUE"""),52.722)</f>
        <v>52.722000000000001</v>
      </c>
      <c r="J2548" s="2">
        <f ca="1">IFERROR(__xludf.DUMMYFUNCTION("""COMPUTED_VALUE"""),50.367)</f>
        <v>50.366999999999997</v>
      </c>
      <c r="K2548" s="2">
        <f ca="1">IFERROR(__xludf.DUMMYFUNCTION("""COMPUTED_VALUE"""),68.931)</f>
        <v>68.930999999999997</v>
      </c>
      <c r="M2548" s="2">
        <f ca="1">IFERROR(__xludf.DUMMYFUNCTION("""COMPUTED_VALUE"""),17.726)</f>
        <v>17.725999999999999</v>
      </c>
      <c r="U2548" s="3" t="e">
        <f ca="1"/>
        <v>#NAME?</v>
      </c>
    </row>
    <row r="2549" spans="3:21" ht="12.5" x14ac:dyDescent="0.25">
      <c r="C2549" s="4">
        <f ca="1">IFERROR(__xludf.DUMMYFUNCTION("""COMPUTED_VALUE"""),42955.9986111111)</f>
        <v>42955.998611111099</v>
      </c>
      <c r="D2549" s="2">
        <f ca="1">IFERROR(__xludf.DUMMYFUNCTION("""COMPUTED_VALUE"""),63.7029)</f>
        <v>63.7029</v>
      </c>
      <c r="E2549" s="2">
        <f ca="1">IFERROR(__xludf.DUMMYFUNCTION("""COMPUTED_VALUE"""),79.825)</f>
        <v>79.825000000000003</v>
      </c>
      <c r="F2549" s="2">
        <f ca="1">IFERROR(__xludf.DUMMYFUNCTION("""COMPUTED_VALUE"""),83.281)</f>
        <v>83.281000000000006</v>
      </c>
      <c r="G2549" s="2">
        <f ca="1">IFERROR(__xludf.DUMMYFUNCTION("""COMPUTED_VALUE"""),0.62029)</f>
        <v>0.62029000000000001</v>
      </c>
      <c r="H2549" s="2">
        <f ca="1">IFERROR(__xludf.DUMMYFUNCTION("""COMPUTED_VALUE"""),50.794)</f>
        <v>50.793999999999997</v>
      </c>
      <c r="I2549" s="2">
        <f ca="1">IFERROR(__xludf.DUMMYFUNCTION("""COMPUTED_VALUE"""),52.836)</f>
        <v>52.835999999999999</v>
      </c>
      <c r="J2549" s="2">
        <f ca="1">IFERROR(__xludf.DUMMYFUNCTION("""COMPUTED_VALUE"""),50.524)</f>
        <v>50.524000000000001</v>
      </c>
      <c r="K2549" s="2">
        <f ca="1">IFERROR(__xludf.DUMMYFUNCTION("""COMPUTED_VALUE"""),69.031)</f>
        <v>69.031000000000006</v>
      </c>
      <c r="M2549" s="2">
        <f ca="1">IFERROR(__xludf.DUMMYFUNCTION("""COMPUTED_VALUE"""),17.698)</f>
        <v>17.698</v>
      </c>
      <c r="U2549" s="3" t="e">
        <f ca="1"/>
        <v>#NAME?</v>
      </c>
    </row>
    <row r="2550" spans="3:21" ht="12.5" x14ac:dyDescent="0.25">
      <c r="C2550" s="4">
        <f ca="1">IFERROR(__xludf.DUMMYFUNCTION("""COMPUTED_VALUE"""),42956.9986111111)</f>
        <v>42956.998611111099</v>
      </c>
      <c r="D2550" s="2">
        <f ca="1">IFERROR(__xludf.DUMMYFUNCTION("""COMPUTED_VALUE"""),63.8877)</f>
        <v>63.887700000000002</v>
      </c>
      <c r="E2550" s="2">
        <f ca="1">IFERROR(__xludf.DUMMYFUNCTION("""COMPUTED_VALUE"""),79.951)</f>
        <v>79.950999999999993</v>
      </c>
      <c r="F2550" s="2">
        <f ca="1">IFERROR(__xludf.DUMMYFUNCTION("""COMPUTED_VALUE"""),83.006)</f>
        <v>83.006</v>
      </c>
      <c r="G2550" s="2">
        <f ca="1">IFERROR(__xludf.DUMMYFUNCTION("""COMPUTED_VALUE"""),0.62212)</f>
        <v>0.62212000000000001</v>
      </c>
      <c r="H2550" s="2">
        <f ca="1">IFERROR(__xludf.DUMMYFUNCTION("""COMPUTED_VALUE"""),50.907)</f>
        <v>50.906999999999996</v>
      </c>
      <c r="I2550" s="2">
        <f ca="1">IFERROR(__xludf.DUMMYFUNCTION("""COMPUTED_VALUE"""),52.963)</f>
        <v>52.963000000000001</v>
      </c>
      <c r="J2550" s="2">
        <f ca="1">IFERROR(__xludf.DUMMYFUNCTION("""COMPUTED_VALUE"""),50.56)</f>
        <v>50.56</v>
      </c>
      <c r="K2550" s="2">
        <f ca="1">IFERROR(__xludf.DUMMYFUNCTION("""COMPUTED_VALUE"""),68.972)</f>
        <v>68.971999999999994</v>
      </c>
      <c r="M2550" s="2">
        <f ca="1">IFERROR(__xludf.DUMMYFUNCTION("""COMPUTED_VALUE"""),17.716)</f>
        <v>17.716000000000001</v>
      </c>
      <c r="U2550" s="3" t="e">
        <f ca="1"/>
        <v>#NAME?</v>
      </c>
    </row>
    <row r="2551" spans="3:21" ht="12.5" x14ac:dyDescent="0.25">
      <c r="C2551" s="4">
        <f ca="1">IFERROR(__xludf.DUMMYFUNCTION("""COMPUTED_VALUE"""),42957.9986111111)</f>
        <v>42957.998611111099</v>
      </c>
      <c r="D2551" s="2">
        <f ca="1">IFERROR(__xludf.DUMMYFUNCTION("""COMPUTED_VALUE"""),64.1386)</f>
        <v>64.138599999999997</v>
      </c>
      <c r="E2551" s="2">
        <f ca="1">IFERROR(__xludf.DUMMYFUNCTION("""COMPUTED_VALUE"""),79.951)</f>
        <v>79.950999999999993</v>
      </c>
      <c r="F2551" s="2">
        <f ca="1">IFERROR(__xludf.DUMMYFUNCTION("""COMPUTED_VALUE"""),82.974)</f>
        <v>82.974000000000004</v>
      </c>
      <c r="G2551" s="2">
        <f ca="1">IFERROR(__xludf.DUMMYFUNCTION("""COMPUTED_VALUE"""),0.62243)</f>
        <v>0.62243000000000004</v>
      </c>
      <c r="H2551" s="2">
        <f ca="1">IFERROR(__xludf.DUMMYFUNCTION("""COMPUTED_VALUE"""),50.813)</f>
        <v>50.813000000000002</v>
      </c>
      <c r="I2551" s="2">
        <f ca="1">IFERROR(__xludf.DUMMYFUNCTION("""COMPUTED_VALUE"""),52.74)</f>
        <v>52.74</v>
      </c>
      <c r="J2551" s="2">
        <f ca="1">IFERROR(__xludf.DUMMYFUNCTION("""COMPUTED_VALUE"""),50.534)</f>
        <v>50.533999999999999</v>
      </c>
      <c r="K2551" s="2">
        <f ca="1">IFERROR(__xludf.DUMMYFUNCTION("""COMPUTED_VALUE"""),69.213)</f>
        <v>69.212999999999994</v>
      </c>
      <c r="M2551" s="2">
        <f ca="1">IFERROR(__xludf.DUMMYFUNCTION("""COMPUTED_VALUE"""),17.651)</f>
        <v>17.651</v>
      </c>
      <c r="U2551" s="3" t="e">
        <f ca="1"/>
        <v>#NAME?</v>
      </c>
    </row>
    <row r="2552" spans="3:21" ht="12.5" x14ac:dyDescent="0.25">
      <c r="C2552" s="4">
        <f ca="1">IFERROR(__xludf.DUMMYFUNCTION("""COMPUTED_VALUE"""),42958.9986111111)</f>
        <v>42958.998611111099</v>
      </c>
      <c r="D2552" s="2">
        <f ca="1">IFERROR(__xludf.DUMMYFUNCTION("""COMPUTED_VALUE"""),64.133)</f>
        <v>64.132999999999996</v>
      </c>
      <c r="E2552" s="2">
        <f ca="1">IFERROR(__xludf.DUMMYFUNCTION("""COMPUTED_VALUE"""),80.214)</f>
        <v>80.213999999999999</v>
      </c>
      <c r="F2552" s="2">
        <f ca="1">IFERROR(__xludf.DUMMYFUNCTION("""COMPUTED_VALUE"""),82.998)</f>
        <v>82.998000000000005</v>
      </c>
      <c r="G2552" s="2">
        <f ca="1">IFERROR(__xludf.DUMMYFUNCTION("""COMPUTED_VALUE"""),0.61787)</f>
        <v>0.61787000000000003</v>
      </c>
      <c r="H2552" s="2">
        <f ca="1">IFERROR(__xludf.DUMMYFUNCTION("""COMPUTED_VALUE"""),51.019)</f>
        <v>51.018999999999998</v>
      </c>
      <c r="I2552" s="2">
        <f ca="1">IFERROR(__xludf.DUMMYFUNCTION("""COMPUTED_VALUE"""),52.724)</f>
        <v>52.723999999999997</v>
      </c>
      <c r="J2552" s="2">
        <f ca="1">IFERROR(__xludf.DUMMYFUNCTION("""COMPUTED_VALUE"""),50.431)</f>
        <v>50.430999999999997</v>
      </c>
      <c r="K2552" s="2">
        <f ca="1">IFERROR(__xludf.DUMMYFUNCTION("""COMPUTED_VALUE"""),69.499)</f>
        <v>69.498999999999995</v>
      </c>
      <c r="M2552" s="2">
        <f ca="1">IFERROR(__xludf.DUMMYFUNCTION("""COMPUTED_VALUE"""),17.648)</f>
        <v>17.648</v>
      </c>
      <c r="U2552" s="3" t="e">
        <f ca="1"/>
        <v>#NAME?</v>
      </c>
    </row>
    <row r="2553" spans="3:21" ht="12.5" x14ac:dyDescent="0.25">
      <c r="C2553" s="4">
        <f ca="1">IFERROR(__xludf.DUMMYFUNCTION("""COMPUTED_VALUE"""),42959.9986111111)</f>
        <v>42959.998611111099</v>
      </c>
      <c r="D2553" s="2">
        <f ca="1">IFERROR(__xludf.DUMMYFUNCTION("""COMPUTED_VALUE"""),64.081)</f>
        <v>64.081000000000003</v>
      </c>
      <c r="E2553" s="2">
        <f ca="1">IFERROR(__xludf.DUMMYFUNCTION("""COMPUTED_VALUE"""),80.099)</f>
        <v>80.099000000000004</v>
      </c>
      <c r="F2553" s="2">
        <f ca="1">IFERROR(__xludf.DUMMYFUNCTION("""COMPUTED_VALUE"""),83.421)</f>
        <v>83.421000000000006</v>
      </c>
      <c r="G2553" s="2">
        <f ca="1">IFERROR(__xludf.DUMMYFUNCTION("""COMPUTED_VALUE"""),0.61917)</f>
        <v>0.61917</v>
      </c>
      <c r="H2553" s="2">
        <f ca="1">IFERROR(__xludf.DUMMYFUNCTION("""COMPUTED_VALUE"""),51.015)</f>
        <v>51.015000000000001</v>
      </c>
      <c r="I2553" s="2">
        <f ca="1">IFERROR(__xludf.DUMMYFUNCTION("""COMPUTED_VALUE"""),52.717)</f>
        <v>52.716999999999999</v>
      </c>
      <c r="J2553" s="2">
        <f ca="1">IFERROR(__xludf.DUMMYFUNCTION("""COMPUTED_VALUE"""),50.579)</f>
        <v>50.579000000000001</v>
      </c>
      <c r="K2553" s="2">
        <f ca="1">IFERROR(__xludf.DUMMYFUNCTION("""COMPUTED_VALUE"""),69.117)</f>
        <v>69.117000000000004</v>
      </c>
      <c r="M2553" s="2">
        <f ca="1">IFERROR(__xludf.DUMMYFUNCTION("""COMPUTED_VALUE"""),17.704)</f>
        <v>17.704000000000001</v>
      </c>
      <c r="U2553" s="3" t="e">
        <f ca="1"/>
        <v>#NAME?</v>
      </c>
    </row>
    <row r="2554" spans="3:21" ht="12.5" x14ac:dyDescent="0.25">
      <c r="C2554" s="4">
        <f ca="1">IFERROR(__xludf.DUMMYFUNCTION("""COMPUTED_VALUE"""),42960.9986111111)</f>
        <v>42960.998611111099</v>
      </c>
      <c r="D2554" s="2">
        <f ca="1">IFERROR(__xludf.DUMMYFUNCTION("""COMPUTED_VALUE"""),64.081)</f>
        <v>64.081000000000003</v>
      </c>
      <c r="E2554" s="2">
        <f ca="1">IFERROR(__xludf.DUMMYFUNCTION("""COMPUTED_VALUE"""),79.923)</f>
        <v>79.923000000000002</v>
      </c>
      <c r="F2554" s="2">
        <f ca="1">IFERROR(__xludf.DUMMYFUNCTION("""COMPUTED_VALUE"""),84.333)</f>
        <v>84.332999999999998</v>
      </c>
      <c r="G2554" s="2">
        <f ca="1">IFERROR(__xludf.DUMMYFUNCTION("""COMPUTED_VALUE"""),0.6202)</f>
        <v>0.62019999999999997</v>
      </c>
      <c r="H2554" s="2">
        <f ca="1">IFERROR(__xludf.DUMMYFUNCTION("""COMPUTED_VALUE"""),51.59)</f>
        <v>51.59</v>
      </c>
      <c r="I2554" s="2">
        <f ca="1">IFERROR(__xludf.DUMMYFUNCTION("""COMPUTED_VALUE"""),53.249)</f>
        <v>53.249000000000002</v>
      </c>
      <c r="J2554" s="2">
        <f ca="1">IFERROR(__xludf.DUMMYFUNCTION("""COMPUTED_VALUE"""),50.496)</f>
        <v>50.496000000000002</v>
      </c>
      <c r="K2554" s="2">
        <f ca="1">IFERROR(__xludf.DUMMYFUNCTION("""COMPUTED_VALUE"""),69.1)</f>
        <v>69.099999999999994</v>
      </c>
      <c r="M2554" s="2">
        <f ca="1">IFERROR(__xludf.DUMMYFUNCTION("""COMPUTED_VALUE"""),17.664)</f>
        <v>17.664000000000001</v>
      </c>
      <c r="U2554" s="3" t="e">
        <f ca="1"/>
        <v>#NAME?</v>
      </c>
    </row>
    <row r="2555" spans="3:21" ht="12.5" x14ac:dyDescent="0.25">
      <c r="C2555" s="4">
        <f ca="1">IFERROR(__xludf.DUMMYFUNCTION("""COMPUTED_VALUE"""),42961.9986111111)</f>
        <v>42961.998611111099</v>
      </c>
      <c r="D2555" s="2">
        <f ca="1">IFERROR(__xludf.DUMMYFUNCTION("""COMPUTED_VALUE"""),64.1743)</f>
        <v>64.174300000000002</v>
      </c>
      <c r="E2555" s="2">
        <f ca="1">IFERROR(__xludf.DUMMYFUNCTION("""COMPUTED_VALUE"""),79.953)</f>
        <v>79.953000000000003</v>
      </c>
      <c r="F2555" s="2">
        <f ca="1">IFERROR(__xludf.DUMMYFUNCTION("""COMPUTED_VALUE"""),84.194)</f>
        <v>84.194000000000003</v>
      </c>
      <c r="G2555" s="2">
        <f ca="1">IFERROR(__xludf.DUMMYFUNCTION("""COMPUTED_VALUE"""),0.621)</f>
        <v>0.621</v>
      </c>
      <c r="H2555" s="2">
        <f ca="1">IFERROR(__xludf.DUMMYFUNCTION("""COMPUTED_VALUE"""),51.497)</f>
        <v>51.497</v>
      </c>
      <c r="I2555" s="2">
        <f ca="1">IFERROR(__xludf.DUMMYFUNCTION("""COMPUTED_VALUE"""),53.02)</f>
        <v>53.02</v>
      </c>
      <c r="J2555" s="2">
        <f ca="1">IFERROR(__xludf.DUMMYFUNCTION("""COMPUTED_VALUE"""),50.765)</f>
        <v>50.765000000000001</v>
      </c>
      <c r="K2555" s="2">
        <f ca="1">IFERROR(__xludf.DUMMYFUNCTION("""COMPUTED_VALUE"""),68.695)</f>
        <v>68.694999999999993</v>
      </c>
      <c r="M2555" s="2">
        <f ca="1">IFERROR(__xludf.DUMMYFUNCTION("""COMPUTED_VALUE"""),17.652)</f>
        <v>17.652000000000001</v>
      </c>
      <c r="U2555" s="3" t="e">
        <f ca="1"/>
        <v>#NAME?</v>
      </c>
    </row>
    <row r="2556" spans="3:21" ht="12.5" x14ac:dyDescent="0.25">
      <c r="C2556" s="4">
        <f ca="1">IFERROR(__xludf.DUMMYFUNCTION("""COMPUTED_VALUE"""),42962.9986111111)</f>
        <v>42962.998611111099</v>
      </c>
      <c r="D2556" s="2">
        <f ca="1">IFERROR(__xludf.DUMMYFUNCTION("""COMPUTED_VALUE"""),64.263)</f>
        <v>64.263000000000005</v>
      </c>
      <c r="E2556" s="2">
        <f ca="1">IFERROR(__xludf.DUMMYFUNCTION("""COMPUTED_VALUE"""),78.819)</f>
        <v>78.819000000000003</v>
      </c>
      <c r="F2556" s="2">
        <f ca="1">IFERROR(__xludf.DUMMYFUNCTION("""COMPUTED_VALUE"""),84.222)</f>
        <v>84.221999999999994</v>
      </c>
      <c r="G2556" s="2">
        <f ca="1">IFERROR(__xludf.DUMMYFUNCTION("""COMPUTED_VALUE"""),0.62232)</f>
        <v>0.62231999999999998</v>
      </c>
      <c r="H2556" s="2">
        <f ca="1">IFERROR(__xludf.DUMMYFUNCTION("""COMPUTED_VALUE"""),51.644)</f>
        <v>51.643999999999998</v>
      </c>
      <c r="I2556" s="2">
        <f ca="1">IFERROR(__xludf.DUMMYFUNCTION("""COMPUTED_VALUE"""),53.173)</f>
        <v>53.173000000000002</v>
      </c>
      <c r="J2556" s="2">
        <f ca="1">IFERROR(__xludf.DUMMYFUNCTION("""COMPUTED_VALUE"""),50.761)</f>
        <v>50.761000000000003</v>
      </c>
      <c r="K2556" s="2">
        <f ca="1">IFERROR(__xludf.DUMMYFUNCTION("""COMPUTED_VALUE"""),68.353)</f>
        <v>68.352999999999994</v>
      </c>
      <c r="M2556" s="2">
        <f ca="1">IFERROR(__xludf.DUMMYFUNCTION("""COMPUTED_VALUE"""),17.606)</f>
        <v>17.606000000000002</v>
      </c>
      <c r="U2556" s="3" t="e">
        <f ca="1"/>
        <v>#NAME?</v>
      </c>
    </row>
    <row r="2557" spans="3:21" ht="12.5" x14ac:dyDescent="0.25">
      <c r="C2557" s="4">
        <f ca="1">IFERROR(__xludf.DUMMYFUNCTION("""COMPUTED_VALUE"""),42963.9986111111)</f>
        <v>42963.998611111099</v>
      </c>
      <c r="D2557" s="2">
        <f ca="1">IFERROR(__xludf.DUMMYFUNCTION("""COMPUTED_VALUE"""),64.1605)</f>
        <v>64.160499999999999</v>
      </c>
      <c r="E2557" s="2">
        <f ca="1">IFERROR(__xludf.DUMMYFUNCTION("""COMPUTED_VALUE"""),78.286)</f>
        <v>78.286000000000001</v>
      </c>
      <c r="F2557" s="2">
        <f ca="1">IFERROR(__xludf.DUMMYFUNCTION("""COMPUTED_VALUE"""),84.005)</f>
        <v>84.004999999999995</v>
      </c>
      <c r="G2557" s="2">
        <f ca="1">IFERROR(__xludf.DUMMYFUNCTION("""COMPUTED_VALUE"""),0.62231)</f>
        <v>0.62231000000000003</v>
      </c>
      <c r="H2557" s="2">
        <f ca="1">IFERROR(__xludf.DUMMYFUNCTION("""COMPUTED_VALUE"""),51.648)</f>
        <v>51.648000000000003</v>
      </c>
      <c r="I2557" s="2">
        <f ca="1">IFERROR(__xludf.DUMMYFUNCTION("""COMPUTED_VALUE"""),52.938)</f>
        <v>52.938000000000002</v>
      </c>
      <c r="J2557" s="2">
        <f ca="1">IFERROR(__xludf.DUMMYFUNCTION("""COMPUTED_VALUE"""),50.844)</f>
        <v>50.844000000000001</v>
      </c>
      <c r="K2557" s="2">
        <f ca="1">IFERROR(__xludf.DUMMYFUNCTION("""COMPUTED_VALUE"""),68.391)</f>
        <v>68.391000000000005</v>
      </c>
      <c r="M2557" s="2">
        <f ca="1">IFERROR(__xludf.DUMMYFUNCTION("""COMPUTED_VALUE"""),17.574)</f>
        <v>17.574000000000002</v>
      </c>
      <c r="U2557" s="3" t="e">
        <f ca="1"/>
        <v>#NAME?</v>
      </c>
    </row>
    <row r="2558" spans="3:21" ht="12.5" x14ac:dyDescent="0.25">
      <c r="C2558" s="4">
        <f ca="1">IFERROR(__xludf.DUMMYFUNCTION("""COMPUTED_VALUE"""),42964.9986111111)</f>
        <v>42964.998611111099</v>
      </c>
      <c r="D2558" s="2">
        <f ca="1">IFERROR(__xludf.DUMMYFUNCTION("""COMPUTED_VALUE"""),64.1889)</f>
        <v>64.188900000000004</v>
      </c>
      <c r="E2558" s="2">
        <f ca="1">IFERROR(__xludf.DUMMYFUNCTION("""COMPUTED_VALUE"""),78.19)</f>
        <v>78.19</v>
      </c>
      <c r="F2558" s="2">
        <f ca="1">IFERROR(__xludf.DUMMYFUNCTION("""COMPUTED_VALUE"""),83.84)</f>
        <v>83.84</v>
      </c>
      <c r="G2558" s="2">
        <f ca="1">IFERROR(__xludf.DUMMYFUNCTION("""COMPUTED_VALUE"""),0.62228)</f>
        <v>0.62228000000000006</v>
      </c>
      <c r="H2558" s="2">
        <f ca="1">IFERROR(__xludf.DUMMYFUNCTION("""COMPUTED_VALUE"""),51.072)</f>
        <v>51.072000000000003</v>
      </c>
      <c r="I2558" s="2">
        <f ca="1">IFERROR(__xludf.DUMMYFUNCTION("""COMPUTED_VALUE"""),52.15)</f>
        <v>52.15</v>
      </c>
      <c r="J2558" s="2">
        <f ca="1">IFERROR(__xludf.DUMMYFUNCTION("""COMPUTED_VALUE"""),50.9)</f>
        <v>50.9</v>
      </c>
      <c r="K2558" s="2">
        <f ca="1">IFERROR(__xludf.DUMMYFUNCTION("""COMPUTED_VALUE"""),68.536)</f>
        <v>68.536000000000001</v>
      </c>
      <c r="M2558" s="2">
        <f ca="1">IFERROR(__xludf.DUMMYFUNCTION("""COMPUTED_VALUE"""),17.559)</f>
        <v>17.559000000000001</v>
      </c>
      <c r="U2558" s="3" t="e">
        <f ca="1"/>
        <v>#NAME?</v>
      </c>
    </row>
    <row r="2559" spans="3:21" ht="12.5" x14ac:dyDescent="0.25">
      <c r="C2559" s="4">
        <f ca="1">IFERROR(__xludf.DUMMYFUNCTION("""COMPUTED_VALUE"""),42965.9986111111)</f>
        <v>42965.998611111099</v>
      </c>
      <c r="D2559" s="2">
        <f ca="1">IFERROR(__xludf.DUMMYFUNCTION("""COMPUTED_VALUE"""),64.088)</f>
        <v>64.087999999999994</v>
      </c>
      <c r="E2559" s="2">
        <f ca="1">IFERROR(__xludf.DUMMYFUNCTION("""COMPUTED_VALUE"""),78.592)</f>
        <v>78.591999999999999</v>
      </c>
      <c r="F2559" s="2">
        <f ca="1">IFERROR(__xludf.DUMMYFUNCTION("""COMPUTED_VALUE"""),83.724)</f>
        <v>83.724000000000004</v>
      </c>
      <c r="G2559" s="2">
        <f ca="1">IFERROR(__xludf.DUMMYFUNCTION("""COMPUTED_VALUE"""),0.61821)</f>
        <v>0.61821000000000004</v>
      </c>
      <c r="H2559" s="2">
        <f ca="1">IFERROR(__xludf.DUMMYFUNCTION("""COMPUTED_VALUE"""),50.812)</f>
        <v>50.811999999999998</v>
      </c>
      <c r="I2559" s="2">
        <f ca="1">IFERROR(__xludf.DUMMYFUNCTION("""COMPUTED_VALUE"""),51.825)</f>
        <v>51.825000000000003</v>
      </c>
      <c r="J2559" s="2">
        <f ca="1">IFERROR(__xludf.DUMMYFUNCTION("""COMPUTED_VALUE"""),50.409)</f>
        <v>50.408999999999999</v>
      </c>
      <c r="K2559" s="2">
        <f ca="1">IFERROR(__xludf.DUMMYFUNCTION("""COMPUTED_VALUE"""),68.652)</f>
        <v>68.652000000000001</v>
      </c>
      <c r="M2559" s="2">
        <f ca="1">IFERROR(__xludf.DUMMYFUNCTION("""COMPUTED_VALUE"""),17.573)</f>
        <v>17.573</v>
      </c>
      <c r="U2559" s="3" t="e">
        <f ca="1"/>
        <v>#NAME?</v>
      </c>
    </row>
    <row r="2560" spans="3:21" ht="12.5" x14ac:dyDescent="0.25">
      <c r="C2560" s="4">
        <f ca="1">IFERROR(__xludf.DUMMYFUNCTION("""COMPUTED_VALUE"""),42966.9986111111)</f>
        <v>42966.998611111099</v>
      </c>
      <c r="D2560" s="2">
        <f ca="1">IFERROR(__xludf.DUMMYFUNCTION("""COMPUTED_VALUE"""),64.0759)</f>
        <v>64.075900000000004</v>
      </c>
      <c r="E2560" s="2">
        <f ca="1">IFERROR(__xludf.DUMMYFUNCTION("""COMPUTED_VALUE"""),78.766)</f>
        <v>78.766000000000005</v>
      </c>
      <c r="F2560" s="2">
        <f ca="1">IFERROR(__xludf.DUMMYFUNCTION("""COMPUTED_VALUE"""),83.408)</f>
        <v>83.408000000000001</v>
      </c>
      <c r="G2560" s="2">
        <f ca="1">IFERROR(__xludf.DUMMYFUNCTION("""COMPUTED_VALUE"""),0.61971)</f>
        <v>0.61970999999999998</v>
      </c>
      <c r="H2560" s="2">
        <f ca="1">IFERROR(__xludf.DUMMYFUNCTION("""COMPUTED_VALUE"""),50.702)</f>
        <v>50.701999999999998</v>
      </c>
      <c r="I2560" s="2">
        <f ca="1">IFERROR(__xludf.DUMMYFUNCTION("""COMPUTED_VALUE"""),52.007)</f>
        <v>52.006999999999998</v>
      </c>
      <c r="J2560" s="2">
        <f ca="1">IFERROR(__xludf.DUMMYFUNCTION("""COMPUTED_VALUE"""),50.142)</f>
        <v>50.142000000000003</v>
      </c>
      <c r="K2560" s="2">
        <f ca="1">IFERROR(__xludf.DUMMYFUNCTION("""COMPUTED_VALUE"""),68.586)</f>
        <v>68.585999999999999</v>
      </c>
      <c r="M2560" s="2">
        <f ca="1">IFERROR(__xludf.DUMMYFUNCTION("""COMPUTED_VALUE"""),17.614)</f>
        <v>17.614000000000001</v>
      </c>
      <c r="U2560" s="3" t="e">
        <f ca="1"/>
        <v>#NAME?</v>
      </c>
    </row>
    <row r="2561" spans="3:21" ht="12.5" x14ac:dyDescent="0.25">
      <c r="C2561" s="4">
        <f ca="1">IFERROR(__xludf.DUMMYFUNCTION("""COMPUTED_VALUE"""),42967.9986111111)</f>
        <v>42967.998611111099</v>
      </c>
      <c r="D2561" s="2">
        <f ca="1">IFERROR(__xludf.DUMMYFUNCTION("""COMPUTED_VALUE"""),64.0759)</f>
        <v>64.075900000000004</v>
      </c>
      <c r="E2561" s="2">
        <f ca="1">IFERROR(__xludf.DUMMYFUNCTION("""COMPUTED_VALUE"""),78.036)</f>
        <v>78.036000000000001</v>
      </c>
      <c r="F2561" s="2">
        <f ca="1">IFERROR(__xludf.DUMMYFUNCTION("""COMPUTED_VALUE"""),83.657)</f>
        <v>83.656999999999996</v>
      </c>
      <c r="G2561" s="2">
        <f ca="1">IFERROR(__xludf.DUMMYFUNCTION("""COMPUTED_VALUE"""),0.61327)</f>
        <v>0.61326999999999998</v>
      </c>
      <c r="H2561" s="2">
        <f ca="1">IFERROR(__xludf.DUMMYFUNCTION("""COMPUTED_VALUE"""),51.008)</f>
        <v>51.008000000000003</v>
      </c>
      <c r="I2561" s="2">
        <f ca="1">IFERROR(__xludf.DUMMYFUNCTION("""COMPUTED_VALUE"""),52.253)</f>
        <v>52.253</v>
      </c>
      <c r="J2561" s="2">
        <f ca="1">IFERROR(__xludf.DUMMYFUNCTION("""COMPUTED_VALUE"""),50.335)</f>
        <v>50.335000000000001</v>
      </c>
      <c r="K2561" s="2">
        <f ca="1">IFERROR(__xludf.DUMMYFUNCTION("""COMPUTED_VALUE"""),68.244)</f>
        <v>68.244</v>
      </c>
      <c r="M2561" s="2">
        <f ca="1">IFERROR(__xludf.DUMMYFUNCTION("""COMPUTED_VALUE"""),17.583)</f>
        <v>17.582999999999998</v>
      </c>
      <c r="U2561" s="3" t="e">
        <f ca="1"/>
        <v>#NAME?</v>
      </c>
    </row>
    <row r="2562" spans="3:21" ht="12.5" x14ac:dyDescent="0.25">
      <c r="C2562" s="4">
        <f ca="1">IFERROR(__xludf.DUMMYFUNCTION("""COMPUTED_VALUE"""),42968.9986111111)</f>
        <v>42968.998611111099</v>
      </c>
      <c r="D2562" s="2">
        <f ca="1">IFERROR(__xludf.DUMMYFUNCTION("""COMPUTED_VALUE"""),64.1575)</f>
        <v>64.157499999999999</v>
      </c>
      <c r="E2562" s="2">
        <f ca="1">IFERROR(__xludf.DUMMYFUNCTION("""COMPUTED_VALUE"""),78.712)</f>
        <v>78.712000000000003</v>
      </c>
      <c r="F2562" s="2">
        <f ca="1">IFERROR(__xludf.DUMMYFUNCTION("""COMPUTED_VALUE"""),83.765)</f>
        <v>83.765000000000001</v>
      </c>
      <c r="G2562" s="2">
        <f ca="1">IFERROR(__xludf.DUMMYFUNCTION("""COMPUTED_VALUE"""),0.60716)</f>
        <v>0.60716000000000003</v>
      </c>
      <c r="H2562" s="2">
        <f ca="1">IFERROR(__xludf.DUMMYFUNCTION("""COMPUTED_VALUE"""),50.94)</f>
        <v>50.94</v>
      </c>
      <c r="I2562" s="2">
        <f ca="1">IFERROR(__xludf.DUMMYFUNCTION("""COMPUTED_VALUE"""),52.039)</f>
        <v>52.039000000000001</v>
      </c>
      <c r="J2562" s="2">
        <f ca="1">IFERROR(__xludf.DUMMYFUNCTION("""COMPUTED_VALUE"""),50.312)</f>
        <v>50.311999999999998</v>
      </c>
      <c r="K2562" s="2">
        <f ca="1">IFERROR(__xludf.DUMMYFUNCTION("""COMPUTED_VALUE"""),68.179)</f>
        <v>68.179000000000002</v>
      </c>
      <c r="M2562" s="2">
        <f ca="1">IFERROR(__xludf.DUMMYFUNCTION("""COMPUTED_VALUE"""),17.739)</f>
        <v>17.739000000000001</v>
      </c>
      <c r="U2562" s="3" t="e">
        <f ca="1"/>
        <v>#NAME?</v>
      </c>
    </row>
    <row r="2563" spans="3:21" ht="12.5" x14ac:dyDescent="0.25">
      <c r="C2563" s="4">
        <f ca="1">IFERROR(__xludf.DUMMYFUNCTION("""COMPUTED_VALUE"""),42969.9986111111)</f>
        <v>42969.998611111099</v>
      </c>
      <c r="D2563" s="2">
        <f ca="1">IFERROR(__xludf.DUMMYFUNCTION("""COMPUTED_VALUE"""),64.0575)</f>
        <v>64.057500000000005</v>
      </c>
      <c r="E2563" s="2">
        <f ca="1">IFERROR(__xludf.DUMMYFUNCTION("""COMPUTED_VALUE"""),78.395)</f>
        <v>78.394999999999996</v>
      </c>
      <c r="F2563" s="2">
        <f ca="1">IFERROR(__xludf.DUMMYFUNCTION("""COMPUTED_VALUE"""),83.773)</f>
        <v>83.772999999999996</v>
      </c>
      <c r="G2563" s="2">
        <f ca="1">IFERROR(__xludf.DUMMYFUNCTION("""COMPUTED_VALUE"""),0.609)</f>
        <v>0.60899999999999999</v>
      </c>
      <c r="H2563" s="2">
        <f ca="1">IFERROR(__xludf.DUMMYFUNCTION("""COMPUTED_VALUE"""),50.663)</f>
        <v>50.662999999999997</v>
      </c>
      <c r="I2563" s="2">
        <f ca="1">IFERROR(__xludf.DUMMYFUNCTION("""COMPUTED_VALUE"""),51.676)</f>
        <v>51.676000000000002</v>
      </c>
      <c r="J2563" s="2">
        <f ca="1">IFERROR(__xludf.DUMMYFUNCTION("""COMPUTED_VALUE"""),50.325)</f>
        <v>50.325000000000003</v>
      </c>
      <c r="K2563" s="2">
        <f ca="1">IFERROR(__xludf.DUMMYFUNCTION("""COMPUTED_VALUE"""),68.507)</f>
        <v>68.507000000000005</v>
      </c>
      <c r="M2563" s="2">
        <f ca="1">IFERROR(__xludf.DUMMYFUNCTION("""COMPUTED_VALUE"""),17.67)</f>
        <v>17.670000000000002</v>
      </c>
      <c r="U2563" s="3" t="e">
        <f ca="1"/>
        <v>#NAME?</v>
      </c>
    </row>
    <row r="2564" spans="3:21" ht="12.5" x14ac:dyDescent="0.25">
      <c r="C2564" s="4">
        <f ca="1">IFERROR(__xludf.DUMMYFUNCTION("""COMPUTED_VALUE"""),42970.9986111111)</f>
        <v>42970.998611111099</v>
      </c>
      <c r="D2564" s="2">
        <f ca="1">IFERROR(__xludf.DUMMYFUNCTION("""COMPUTED_VALUE"""),64.005)</f>
        <v>64.004999999999995</v>
      </c>
      <c r="E2564" s="2">
        <f ca="1">IFERROR(__xludf.DUMMYFUNCTION("""COMPUTED_VALUE"""),78.598)</f>
        <v>78.597999999999999</v>
      </c>
      <c r="F2564" s="2">
        <f ca="1">IFERROR(__xludf.DUMMYFUNCTION("""COMPUTED_VALUE"""),83.822)</f>
        <v>83.822000000000003</v>
      </c>
      <c r="G2564" s="2">
        <f ca="1">IFERROR(__xludf.DUMMYFUNCTION("""COMPUTED_VALUE"""),0.60943)</f>
        <v>0.60943000000000003</v>
      </c>
      <c r="H2564" s="2">
        <f ca="1">IFERROR(__xludf.DUMMYFUNCTION("""COMPUTED_VALUE"""),50.663)</f>
        <v>50.662999999999997</v>
      </c>
      <c r="I2564" s="2">
        <f ca="1">IFERROR(__xludf.DUMMYFUNCTION("""COMPUTED_VALUE"""),51.669)</f>
        <v>51.668999999999997</v>
      </c>
      <c r="J2564" s="2">
        <f ca="1">IFERROR(__xludf.DUMMYFUNCTION("""COMPUTED_VALUE"""),50.007)</f>
        <v>50.006999999999998</v>
      </c>
      <c r="K2564" s="2">
        <f ca="1">IFERROR(__xludf.DUMMYFUNCTION("""COMPUTED_VALUE"""),68.173)</f>
        <v>68.173000000000002</v>
      </c>
      <c r="M2564" s="2">
        <f ca="1">IFERROR(__xludf.DUMMYFUNCTION("""COMPUTED_VALUE"""),17.715)</f>
        <v>17.715</v>
      </c>
      <c r="U2564" s="3" t="e">
        <f ca="1"/>
        <v>#NAME?</v>
      </c>
    </row>
    <row r="2565" spans="3:21" ht="12.5" x14ac:dyDescent="0.25">
      <c r="C2565" s="4">
        <f ca="1">IFERROR(__xludf.DUMMYFUNCTION("""COMPUTED_VALUE"""),42971.9986111111)</f>
        <v>42971.998611111099</v>
      </c>
      <c r="D2565" s="2">
        <f ca="1">IFERROR(__xludf.DUMMYFUNCTION("""COMPUTED_VALUE"""),64.035)</f>
        <v>64.034999999999997</v>
      </c>
      <c r="E2565" s="2">
        <f ca="1">IFERROR(__xludf.DUMMYFUNCTION("""COMPUTED_VALUE"""),78.668)</f>
        <v>78.668000000000006</v>
      </c>
      <c r="F2565" s="2">
        <f ca="1">IFERROR(__xludf.DUMMYFUNCTION("""COMPUTED_VALUE"""),83.964)</f>
        <v>83.963999999999999</v>
      </c>
      <c r="G2565" s="2">
        <f ca="1">IFERROR(__xludf.DUMMYFUNCTION("""COMPUTED_VALUE"""),0.60489)</f>
        <v>0.60489000000000004</v>
      </c>
      <c r="H2565" s="2">
        <f ca="1">IFERROR(__xludf.DUMMYFUNCTION("""COMPUTED_VALUE"""),51.267)</f>
        <v>51.267000000000003</v>
      </c>
      <c r="I2565" s="2">
        <f ca="1">IFERROR(__xludf.DUMMYFUNCTION("""COMPUTED_VALUE"""),51.831)</f>
        <v>51.831000000000003</v>
      </c>
      <c r="J2565" s="2">
        <f ca="1">IFERROR(__xludf.DUMMYFUNCTION("""COMPUTED_VALUE"""),50.302)</f>
        <v>50.302</v>
      </c>
      <c r="K2565" s="2">
        <f ca="1">IFERROR(__xludf.DUMMYFUNCTION("""COMPUTED_VALUE"""),68.634)</f>
        <v>68.634</v>
      </c>
      <c r="M2565" s="2">
        <f ca="1">IFERROR(__xludf.DUMMYFUNCTION("""COMPUTED_VALUE"""),17.775)</f>
        <v>17.774999999999999</v>
      </c>
      <c r="U2565" s="3" t="e">
        <f ca="1"/>
        <v>#NAME?</v>
      </c>
    </row>
    <row r="2566" spans="3:21" ht="12.5" x14ac:dyDescent="0.25">
      <c r="C2566" s="4">
        <f ca="1">IFERROR(__xludf.DUMMYFUNCTION("""COMPUTED_VALUE"""),42972.9986111111)</f>
        <v>42972.998611111099</v>
      </c>
      <c r="D2566" s="2">
        <f ca="1">IFERROR(__xludf.DUMMYFUNCTION("""COMPUTED_VALUE"""),63.998)</f>
        <v>63.997999999999998</v>
      </c>
      <c r="E2566" s="2">
        <f ca="1">IFERROR(__xludf.DUMMYFUNCTION("""COMPUTED_VALUE"""),79.428)</f>
        <v>79.427999999999997</v>
      </c>
      <c r="F2566" s="2">
        <f ca="1">IFERROR(__xludf.DUMMYFUNCTION("""COMPUTED_VALUE"""),84.41)</f>
        <v>84.41</v>
      </c>
      <c r="G2566" s="2">
        <f ca="1">IFERROR(__xludf.DUMMYFUNCTION("""COMPUTED_VALUE"""),0.60774)</f>
        <v>0.60773999999999995</v>
      </c>
      <c r="H2566" s="2">
        <f ca="1">IFERROR(__xludf.DUMMYFUNCTION("""COMPUTED_VALUE"""),51.103)</f>
        <v>51.103000000000002</v>
      </c>
      <c r="I2566" s="2">
        <f ca="1">IFERROR(__xludf.DUMMYFUNCTION("""COMPUTED_VALUE"""),51.803)</f>
        <v>51.802999999999997</v>
      </c>
      <c r="J2566" s="2">
        <f ca="1">IFERROR(__xludf.DUMMYFUNCTION("""COMPUTED_VALUE"""),50.136)</f>
        <v>50.136000000000003</v>
      </c>
      <c r="K2566" s="2">
        <f ca="1">IFERROR(__xludf.DUMMYFUNCTION("""COMPUTED_VALUE"""),68.718)</f>
        <v>68.718000000000004</v>
      </c>
      <c r="M2566" s="2">
        <f ca="1">IFERROR(__xludf.DUMMYFUNCTION("""COMPUTED_VALUE"""),17.744)</f>
        <v>17.744</v>
      </c>
      <c r="U2566" s="3" t="e">
        <f ca="1"/>
        <v>#NAME?</v>
      </c>
    </row>
    <row r="2567" spans="3:21" ht="12.5" x14ac:dyDescent="0.25">
      <c r="C2567" s="4">
        <f ca="1">IFERROR(__xludf.DUMMYFUNCTION("""COMPUTED_VALUE"""),42973.9986111111)</f>
        <v>42973.998611111099</v>
      </c>
      <c r="D2567" s="2">
        <f ca="1">IFERROR(__xludf.DUMMYFUNCTION("""COMPUTED_VALUE"""),63.9955)</f>
        <v>63.9955</v>
      </c>
      <c r="E2567" s="2">
        <f ca="1">IFERROR(__xludf.DUMMYFUNCTION("""COMPUTED_VALUE"""),79.396)</f>
        <v>79.396000000000001</v>
      </c>
      <c r="F2567" s="2">
        <f ca="1">IFERROR(__xludf.DUMMYFUNCTION("""COMPUTED_VALUE"""),83.891)</f>
        <v>83.891000000000005</v>
      </c>
      <c r="G2567" s="2">
        <f ca="1">IFERROR(__xludf.DUMMYFUNCTION("""COMPUTED_VALUE"""),0.61366)</f>
        <v>0.61365999999999998</v>
      </c>
      <c r="H2567" s="2">
        <f ca="1">IFERROR(__xludf.DUMMYFUNCTION("""COMPUTED_VALUE"""),51.166)</f>
        <v>51.165999999999997</v>
      </c>
      <c r="I2567" s="2">
        <f ca="1">IFERROR(__xludf.DUMMYFUNCTION("""COMPUTED_VALUE"""),51.575)</f>
        <v>51.575000000000003</v>
      </c>
      <c r="J2567" s="2">
        <f ca="1">IFERROR(__xludf.DUMMYFUNCTION("""COMPUTED_VALUE"""),50.238)</f>
        <v>50.238</v>
      </c>
      <c r="K2567" s="2">
        <f ca="1">IFERROR(__xludf.DUMMYFUNCTION("""COMPUTED_VALUE"""),68.531)</f>
        <v>68.531000000000006</v>
      </c>
      <c r="M2567" s="2">
        <f ca="1">IFERROR(__xludf.DUMMYFUNCTION("""COMPUTED_VALUE"""),17.739)</f>
        <v>17.739000000000001</v>
      </c>
      <c r="U2567" s="3" t="e">
        <f ca="1"/>
        <v>#NAME?</v>
      </c>
    </row>
    <row r="2568" spans="3:21" ht="12.5" x14ac:dyDescent="0.25">
      <c r="C2568" s="4">
        <f ca="1">IFERROR(__xludf.DUMMYFUNCTION("""COMPUTED_VALUE"""),42974.9986111111)</f>
        <v>42974.998611111099</v>
      </c>
      <c r="D2568" s="2">
        <f ca="1">IFERROR(__xludf.DUMMYFUNCTION("""COMPUTED_VALUE"""),63.9955)</f>
        <v>63.9955</v>
      </c>
      <c r="E2568" s="2">
        <f ca="1">IFERROR(__xludf.DUMMYFUNCTION("""COMPUTED_VALUE"""),79.396)</f>
        <v>79.396000000000001</v>
      </c>
      <c r="F2568" s="2">
        <f ca="1">IFERROR(__xludf.DUMMYFUNCTION("""COMPUTED_VALUE"""),84.199)</f>
        <v>84.198999999999998</v>
      </c>
      <c r="G2568" s="2">
        <f ca="1">IFERROR(__xludf.DUMMYFUNCTION("""COMPUTED_VALUE"""),0.61602)</f>
        <v>0.61602000000000001</v>
      </c>
      <c r="H2568" s="2">
        <f ca="1">IFERROR(__xludf.DUMMYFUNCTION("""COMPUTED_VALUE"""),51.28)</f>
        <v>51.28</v>
      </c>
      <c r="I2568" s="2">
        <f ca="1">IFERROR(__xludf.DUMMYFUNCTION("""COMPUTED_VALUE"""),51.87)</f>
        <v>51.87</v>
      </c>
      <c r="J2568" s="2">
        <f ca="1">IFERROR(__xludf.DUMMYFUNCTION("""COMPUTED_VALUE"""),50.121)</f>
        <v>50.121000000000002</v>
      </c>
      <c r="K2568" s="2">
        <f ca="1">IFERROR(__xludf.DUMMYFUNCTION("""COMPUTED_VALUE"""),68.54)</f>
        <v>68.540000000000006</v>
      </c>
      <c r="M2568" s="2">
        <f ca="1">IFERROR(__xludf.DUMMYFUNCTION("""COMPUTED_VALUE"""),17.813)</f>
        <v>17.812999999999999</v>
      </c>
      <c r="U2568" s="3" t="e">
        <f ca="1"/>
        <v>#NAME?</v>
      </c>
    </row>
    <row r="2569" spans="3:21" ht="12.5" x14ac:dyDescent="0.25">
      <c r="C2569" s="4">
        <f ca="1">IFERROR(__xludf.DUMMYFUNCTION("""COMPUTED_VALUE"""),42975.9986111111)</f>
        <v>42975.998611111099</v>
      </c>
      <c r="D2569" s="2">
        <f ca="1">IFERROR(__xludf.DUMMYFUNCTION("""COMPUTED_VALUE"""),63.7893)</f>
        <v>63.789299999999997</v>
      </c>
      <c r="E2569" s="2">
        <f ca="1">IFERROR(__xludf.DUMMYFUNCTION("""COMPUTED_VALUE"""),79.356)</f>
        <v>79.355999999999995</v>
      </c>
      <c r="F2569" s="2">
        <f ca="1">IFERROR(__xludf.DUMMYFUNCTION("""COMPUTED_VALUE"""),84.226)</f>
        <v>84.225999999999999</v>
      </c>
      <c r="G2569" s="2">
        <f ca="1">IFERROR(__xludf.DUMMYFUNCTION("""COMPUTED_VALUE"""),0.60698)</f>
        <v>0.60697999999999996</v>
      </c>
      <c r="H2569" s="2">
        <f ca="1">IFERROR(__xludf.DUMMYFUNCTION("""COMPUTED_VALUE"""),51.252)</f>
        <v>51.252000000000002</v>
      </c>
      <c r="I2569" s="2">
        <f ca="1">IFERROR(__xludf.DUMMYFUNCTION("""COMPUTED_VALUE"""),52.19)</f>
        <v>52.19</v>
      </c>
      <c r="J2569" s="2">
        <f ca="1">IFERROR(__xludf.DUMMYFUNCTION("""COMPUTED_VALUE"""),50.484)</f>
        <v>50.484000000000002</v>
      </c>
      <c r="K2569" s="2">
        <f ca="1">IFERROR(__xludf.DUMMYFUNCTION("""COMPUTED_VALUE"""),68.531)</f>
        <v>68.531000000000006</v>
      </c>
      <c r="M2569" s="2">
        <f ca="1">IFERROR(__xludf.DUMMYFUNCTION("""COMPUTED_VALUE"""),17.805)</f>
        <v>17.805</v>
      </c>
      <c r="U2569" s="3" t="e">
        <f ca="1"/>
        <v>#NAME?</v>
      </c>
    </row>
    <row r="2570" spans="3:21" ht="12.5" x14ac:dyDescent="0.25">
      <c r="C2570" s="4">
        <f ca="1">IFERROR(__xludf.DUMMYFUNCTION("""COMPUTED_VALUE"""),42976.9986111111)</f>
        <v>42976.998611111099</v>
      </c>
      <c r="D2570" s="2">
        <f ca="1">IFERROR(__xludf.DUMMYFUNCTION("""COMPUTED_VALUE"""),63.9868)</f>
        <v>63.986800000000002</v>
      </c>
      <c r="E2570" s="2">
        <f ca="1">IFERROR(__xludf.DUMMYFUNCTION("""COMPUTED_VALUE"""),79.192)</f>
        <v>79.191999999999993</v>
      </c>
      <c r="F2570" s="2">
        <f ca="1">IFERROR(__xludf.DUMMYFUNCTION("""COMPUTED_VALUE"""),84.254)</f>
        <v>84.254000000000005</v>
      </c>
      <c r="G2570" s="2">
        <f ca="1">IFERROR(__xludf.DUMMYFUNCTION("""COMPUTED_VALUE"""),0.61618)</f>
        <v>0.61617999999999995</v>
      </c>
      <c r="H2570" s="2">
        <f ca="1">IFERROR(__xludf.DUMMYFUNCTION("""COMPUTED_VALUE"""),51.253)</f>
        <v>51.253</v>
      </c>
      <c r="I2570" s="2">
        <f ca="1">IFERROR(__xludf.DUMMYFUNCTION("""COMPUTED_VALUE"""),52.172)</f>
        <v>52.171999999999997</v>
      </c>
      <c r="J2570" s="2">
        <f ca="1">IFERROR(__xludf.DUMMYFUNCTION("""COMPUTED_VALUE"""),50.522)</f>
        <v>50.521999999999998</v>
      </c>
      <c r="K2570" s="2">
        <f ca="1">IFERROR(__xludf.DUMMYFUNCTION("""COMPUTED_VALUE"""),68.546)</f>
        <v>68.546000000000006</v>
      </c>
      <c r="M2570" s="2">
        <f ca="1">IFERROR(__xludf.DUMMYFUNCTION("""COMPUTED_VALUE"""),17.776)</f>
        <v>17.776</v>
      </c>
      <c r="U2570" s="3" t="e">
        <f ca="1"/>
        <v>#NAME?</v>
      </c>
    </row>
    <row r="2571" spans="3:21" ht="12.5" x14ac:dyDescent="0.25">
      <c r="C2571" s="4">
        <f ca="1">IFERROR(__xludf.DUMMYFUNCTION("""COMPUTED_VALUE"""),42977.9986111111)</f>
        <v>42977.998611111099</v>
      </c>
      <c r="D2571" s="2">
        <f ca="1">IFERROR(__xludf.DUMMYFUNCTION("""COMPUTED_VALUE"""),63.9762)</f>
        <v>63.976199999999999</v>
      </c>
      <c r="E2571" s="2">
        <f ca="1">IFERROR(__xludf.DUMMYFUNCTION("""COMPUTED_VALUE"""),79.772)</f>
        <v>79.772000000000006</v>
      </c>
      <c r="F2571" s="2">
        <f ca="1">IFERROR(__xludf.DUMMYFUNCTION("""COMPUTED_VALUE"""),84.75)</f>
        <v>84.75</v>
      </c>
      <c r="G2571" s="2">
        <f ca="1">IFERROR(__xludf.DUMMYFUNCTION("""COMPUTED_VALUE"""),0.61701)</f>
        <v>0.61700999999999995</v>
      </c>
      <c r="H2571" s="2">
        <f ca="1">IFERROR(__xludf.DUMMYFUNCTION("""COMPUTED_VALUE"""),51.26)</f>
        <v>51.26</v>
      </c>
      <c r="I2571" s="2">
        <f ca="1">IFERROR(__xludf.DUMMYFUNCTION("""COMPUTED_VALUE"""),51.901)</f>
        <v>51.901000000000003</v>
      </c>
      <c r="J2571" s="2">
        <f ca="1">IFERROR(__xludf.DUMMYFUNCTION("""COMPUTED_VALUE"""),50.524)</f>
        <v>50.524000000000001</v>
      </c>
      <c r="K2571" s="2">
        <f ca="1">IFERROR(__xludf.DUMMYFUNCTION("""COMPUTED_VALUE"""),68.045)</f>
        <v>68.045000000000002</v>
      </c>
      <c r="M2571" s="2">
        <f ca="1">IFERROR(__xludf.DUMMYFUNCTION("""COMPUTED_VALUE"""),17.751)</f>
        <v>17.751000000000001</v>
      </c>
      <c r="U2571" s="3" t="e">
        <f ca="1"/>
        <v>#NAME?</v>
      </c>
    </row>
    <row r="2572" spans="3:21" ht="12.5" x14ac:dyDescent="0.25">
      <c r="C2572" s="4">
        <f ca="1">IFERROR(__xludf.DUMMYFUNCTION("""COMPUTED_VALUE"""),42978.9986111111)</f>
        <v>42978.998611111099</v>
      </c>
      <c r="D2572" s="2">
        <f ca="1">IFERROR(__xludf.DUMMYFUNCTION("""COMPUTED_VALUE"""),63.9119)</f>
        <v>63.911900000000003</v>
      </c>
      <c r="E2572" s="2">
        <f ca="1">IFERROR(__xludf.DUMMYFUNCTION("""COMPUTED_VALUE"""),78.21)</f>
        <v>78.209999999999994</v>
      </c>
      <c r="F2572" s="2">
        <f ca="1">IFERROR(__xludf.DUMMYFUNCTION("""COMPUTED_VALUE"""),84.629)</f>
        <v>84.629000000000005</v>
      </c>
      <c r="G2572" s="2">
        <f ca="1">IFERROR(__xludf.DUMMYFUNCTION("""COMPUTED_VALUE"""),0.61923)</f>
        <v>0.61922999999999995</v>
      </c>
      <c r="H2572" s="2">
        <f ca="1">IFERROR(__xludf.DUMMYFUNCTION("""COMPUTED_VALUE"""),51.056)</f>
        <v>51.055999999999997</v>
      </c>
      <c r="I2572" s="2">
        <f ca="1">IFERROR(__xludf.DUMMYFUNCTION("""COMPUTED_VALUE"""),51.787)</f>
        <v>51.786999999999999</v>
      </c>
      <c r="J2572" s="2">
        <f ca="1">IFERROR(__xludf.DUMMYFUNCTION("""COMPUTED_VALUE"""),50.457)</f>
        <v>50.457000000000001</v>
      </c>
      <c r="K2572" s="2">
        <f ca="1">IFERROR(__xludf.DUMMYFUNCTION("""COMPUTED_VALUE"""),68.011)</f>
        <v>68.010999999999996</v>
      </c>
      <c r="M2572" s="2">
        <f ca="1">IFERROR(__xludf.DUMMYFUNCTION("""COMPUTED_VALUE"""),17.676)</f>
        <v>17.675999999999998</v>
      </c>
      <c r="U2572" s="3" t="e">
        <f ca="1"/>
        <v>#NAME?</v>
      </c>
    </row>
    <row r="2573" spans="3:21" ht="12.5" x14ac:dyDescent="0.25">
      <c r="C2573" s="4">
        <f ca="1">IFERROR(__xludf.DUMMYFUNCTION("""COMPUTED_VALUE"""),42979.9986111111)</f>
        <v>42979.998611111099</v>
      </c>
      <c r="D2573" s="2">
        <f ca="1">IFERROR(__xludf.DUMMYFUNCTION("""COMPUTED_VALUE"""),64.018)</f>
        <v>64.018000000000001</v>
      </c>
      <c r="E2573" s="2">
        <f ca="1">IFERROR(__xludf.DUMMYFUNCTION("""COMPUTED_VALUE"""),78.931)</f>
        <v>78.930999999999997</v>
      </c>
      <c r="F2573" s="2">
        <f ca="1">IFERROR(__xludf.DUMMYFUNCTION("""COMPUTED_VALUE"""),84.149)</f>
        <v>84.149000000000001</v>
      </c>
      <c r="G2573" s="2">
        <f ca="1">IFERROR(__xludf.DUMMYFUNCTION("""COMPUTED_VALUE"""),0.61944)</f>
        <v>0.61943999999999999</v>
      </c>
      <c r="H2573" s="2">
        <f ca="1">IFERROR(__xludf.DUMMYFUNCTION("""COMPUTED_VALUE"""),51.159)</f>
        <v>51.158999999999999</v>
      </c>
      <c r="I2573" s="2">
        <f ca="1">IFERROR(__xludf.DUMMYFUNCTION("""COMPUTED_VALUE"""),52.087)</f>
        <v>52.087000000000003</v>
      </c>
      <c r="J2573" s="2">
        <f ca="1">IFERROR(__xludf.DUMMYFUNCTION("""COMPUTED_VALUE"""),50.41)</f>
        <v>50.41</v>
      </c>
      <c r="K2573" s="2">
        <f ca="1">IFERROR(__xludf.DUMMYFUNCTION("""COMPUTED_VALUE"""),68.225)</f>
        <v>68.224999999999994</v>
      </c>
      <c r="M2573" s="2">
        <f ca="1">IFERROR(__xludf.DUMMYFUNCTION("""COMPUTED_VALUE"""),17.696)</f>
        <v>17.696000000000002</v>
      </c>
      <c r="U2573" s="3" t="e">
        <f ca="1"/>
        <v>#NAME?</v>
      </c>
    </row>
    <row r="2574" spans="3:21" ht="12.5" x14ac:dyDescent="0.25">
      <c r="C2574" s="4">
        <f ca="1">IFERROR(__xludf.DUMMYFUNCTION("""COMPUTED_VALUE"""),42980.9986111111)</f>
        <v>42980.998611111099</v>
      </c>
      <c r="D2574" s="2">
        <f ca="1">IFERROR(__xludf.DUMMYFUNCTION("""COMPUTED_VALUE"""),64.0155)</f>
        <v>64.015500000000003</v>
      </c>
      <c r="E2574" s="2">
        <f ca="1">IFERROR(__xludf.DUMMYFUNCTION("""COMPUTED_VALUE"""),79.044)</f>
        <v>79.043999999999997</v>
      </c>
      <c r="F2574" s="2">
        <f ca="1">IFERROR(__xludf.DUMMYFUNCTION("""COMPUTED_VALUE"""),83.691)</f>
        <v>83.691000000000003</v>
      </c>
      <c r="G2574" s="2">
        <f ca="1">IFERROR(__xludf.DUMMYFUNCTION("""COMPUTED_VALUE"""),0.61709)</f>
        <v>0.61709000000000003</v>
      </c>
      <c r="H2574" s="2">
        <f ca="1">IFERROR(__xludf.DUMMYFUNCTION("""COMPUTED_VALUE"""),50.478)</f>
        <v>50.478000000000002</v>
      </c>
      <c r="I2574" s="2">
        <f ca="1">IFERROR(__xludf.DUMMYFUNCTION("""COMPUTED_VALUE"""),51.551)</f>
        <v>51.551000000000002</v>
      </c>
      <c r="J2574" s="2">
        <f ca="1">IFERROR(__xludf.DUMMYFUNCTION("""COMPUTED_VALUE"""),50.623)</f>
        <v>50.622999999999998</v>
      </c>
      <c r="K2574" s="2">
        <f ca="1">IFERROR(__xludf.DUMMYFUNCTION("""COMPUTED_VALUE"""),68.072)</f>
        <v>68.072000000000003</v>
      </c>
      <c r="M2574" s="2">
        <f ca="1">IFERROR(__xludf.DUMMYFUNCTION("""COMPUTED_VALUE"""),17.672)</f>
        <v>17.672000000000001</v>
      </c>
      <c r="U2574" s="3" t="e">
        <f ca="1"/>
        <v>#NAME?</v>
      </c>
    </row>
    <row r="2575" spans="3:21" ht="12.5" x14ac:dyDescent="0.25">
      <c r="C2575" s="4">
        <f ca="1">IFERROR(__xludf.DUMMYFUNCTION("""COMPUTED_VALUE"""),42981.9986111111)</f>
        <v>42981.998611111099</v>
      </c>
      <c r="D2575" s="2">
        <f ca="1">IFERROR(__xludf.DUMMYFUNCTION("""COMPUTED_VALUE"""),64.0155)</f>
        <v>64.015500000000003</v>
      </c>
      <c r="E2575" s="2">
        <f ca="1">IFERROR(__xludf.DUMMYFUNCTION("""COMPUTED_VALUE"""),79.081)</f>
        <v>79.081000000000003</v>
      </c>
      <c r="F2575" s="2">
        <f ca="1">IFERROR(__xludf.DUMMYFUNCTION("""COMPUTED_VALUE"""),83.002)</f>
        <v>83.001999999999995</v>
      </c>
      <c r="G2575" s="2">
        <f ca="1">IFERROR(__xludf.DUMMYFUNCTION("""COMPUTED_VALUE"""),0.61717)</f>
        <v>0.61717</v>
      </c>
      <c r="H2575" s="2">
        <f ca="1">IFERROR(__xludf.DUMMYFUNCTION("""COMPUTED_VALUE"""),50.591)</f>
        <v>50.591000000000001</v>
      </c>
      <c r="I2575" s="2">
        <f ca="1">IFERROR(__xludf.DUMMYFUNCTION("""COMPUTED_VALUE"""),51.542)</f>
        <v>51.542000000000002</v>
      </c>
      <c r="J2575" s="2">
        <f ca="1">IFERROR(__xludf.DUMMYFUNCTION("""COMPUTED_VALUE"""),50.263)</f>
        <v>50.262999999999998</v>
      </c>
      <c r="K2575" s="2">
        <f ca="1">IFERROR(__xludf.DUMMYFUNCTION("""COMPUTED_VALUE"""),68.074)</f>
        <v>68.073999999999998</v>
      </c>
      <c r="M2575" s="2">
        <f ca="1">IFERROR(__xludf.DUMMYFUNCTION("""COMPUTED_VALUE"""),17.72)</f>
        <v>17.72</v>
      </c>
      <c r="U2575" s="3" t="e">
        <f ca="1"/>
        <v>#NAME?</v>
      </c>
    </row>
    <row r="2576" spans="3:21" ht="12.5" x14ac:dyDescent="0.25">
      <c r="C2576" s="4">
        <f ca="1">IFERROR(__xludf.DUMMYFUNCTION("""COMPUTED_VALUE"""),42982.9986111111)</f>
        <v>42982.998611111099</v>
      </c>
      <c r="D2576" s="2">
        <f ca="1">IFERROR(__xludf.DUMMYFUNCTION("""COMPUTED_VALUE"""),64.0263)</f>
        <v>64.026300000000006</v>
      </c>
      <c r="E2576" s="2">
        <f ca="1">IFERROR(__xludf.DUMMYFUNCTION("""COMPUTED_VALUE"""),78.727)</f>
        <v>78.727000000000004</v>
      </c>
      <c r="F2576" s="2">
        <f ca="1">IFERROR(__xludf.DUMMYFUNCTION("""COMPUTED_VALUE"""),83.133)</f>
        <v>83.132999999999996</v>
      </c>
      <c r="G2576" s="2">
        <f ca="1">IFERROR(__xludf.DUMMYFUNCTION("""COMPUTED_VALUE"""),0.6175)</f>
        <v>0.61750000000000005</v>
      </c>
      <c r="H2576" s="2">
        <f ca="1">IFERROR(__xludf.DUMMYFUNCTION("""COMPUTED_VALUE"""),50.315)</f>
        <v>50.314999999999998</v>
      </c>
      <c r="I2576" s="2">
        <f ca="1">IFERROR(__xludf.DUMMYFUNCTION("""COMPUTED_VALUE"""),51.439)</f>
        <v>51.439</v>
      </c>
      <c r="J2576" s="2">
        <f ca="1">IFERROR(__xludf.DUMMYFUNCTION("""COMPUTED_VALUE"""),50.307)</f>
        <v>50.307000000000002</v>
      </c>
      <c r="K2576" s="2">
        <f ca="1">IFERROR(__xludf.DUMMYFUNCTION("""COMPUTED_VALUE"""),67.747)</f>
        <v>67.747</v>
      </c>
      <c r="M2576" s="2">
        <f ca="1">IFERROR(__xludf.DUMMYFUNCTION("""COMPUTED_VALUE"""),17.631)</f>
        <v>17.631</v>
      </c>
      <c r="U2576" s="3" t="e">
        <f ca="1"/>
        <v>#NAME?</v>
      </c>
    </row>
    <row r="2577" spans="3:21" ht="12.5" x14ac:dyDescent="0.25">
      <c r="C2577" s="4">
        <f ca="1">IFERROR(__xludf.DUMMYFUNCTION("""COMPUTED_VALUE"""),42983.9986111111)</f>
        <v>42983.998611111099</v>
      </c>
      <c r="D2577" s="2">
        <f ca="1">IFERROR(__xludf.DUMMYFUNCTION("""COMPUTED_VALUE"""),64.1)</f>
        <v>64.099999999999994</v>
      </c>
      <c r="E2577" s="2">
        <f ca="1">IFERROR(__xludf.DUMMYFUNCTION("""COMPUTED_VALUE"""),78.774)</f>
        <v>78.774000000000001</v>
      </c>
      <c r="F2577" s="2">
        <f ca="1">IFERROR(__xludf.DUMMYFUNCTION("""COMPUTED_VALUE"""),83.091)</f>
        <v>83.090999999999994</v>
      </c>
      <c r="G2577" s="2">
        <f ca="1">IFERROR(__xludf.DUMMYFUNCTION("""COMPUTED_VALUE"""),0.61178)</f>
        <v>0.61177999999999999</v>
      </c>
      <c r="H2577" s="2">
        <f ca="1">IFERROR(__xludf.DUMMYFUNCTION("""COMPUTED_VALUE"""),50.418)</f>
        <v>50.417999999999999</v>
      </c>
      <c r="I2577" s="2">
        <f ca="1">IFERROR(__xludf.DUMMYFUNCTION("""COMPUTED_VALUE"""),51.395)</f>
        <v>51.395000000000003</v>
      </c>
      <c r="J2577" s="2">
        <f ca="1">IFERROR(__xludf.DUMMYFUNCTION("""COMPUTED_VALUE"""),50.295)</f>
        <v>50.295000000000002</v>
      </c>
      <c r="K2577" s="2">
        <f ca="1">IFERROR(__xludf.DUMMYFUNCTION("""COMPUTED_VALUE"""),67.68)</f>
        <v>67.680000000000007</v>
      </c>
      <c r="M2577" s="2">
        <f ca="1">IFERROR(__xludf.DUMMYFUNCTION("""COMPUTED_VALUE"""),17.646)</f>
        <v>17.646000000000001</v>
      </c>
      <c r="U2577" s="3" t="e">
        <f ca="1"/>
        <v>#NAME?</v>
      </c>
    </row>
    <row r="2578" spans="3:21" ht="12.5" x14ac:dyDescent="0.25">
      <c r="C2578" s="4">
        <f ca="1">IFERROR(__xludf.DUMMYFUNCTION("""COMPUTED_VALUE"""),42984.9986111111)</f>
        <v>42984.998611111099</v>
      </c>
      <c r="D2578" s="2">
        <f ca="1">IFERROR(__xludf.DUMMYFUNCTION("""COMPUTED_VALUE"""),64.0154)</f>
        <v>64.0154</v>
      </c>
      <c r="E2578" s="2">
        <f ca="1">IFERROR(__xludf.DUMMYFUNCTION("""COMPUTED_VALUE"""),79.043)</f>
        <v>79.043000000000006</v>
      </c>
      <c r="F2578" s="2">
        <f ca="1">IFERROR(__xludf.DUMMYFUNCTION("""COMPUTED_VALUE"""),83.198)</f>
        <v>83.197999999999993</v>
      </c>
      <c r="G2578" s="2">
        <f ca="1">IFERROR(__xludf.DUMMYFUNCTION("""COMPUTED_VALUE"""),0.61175)</f>
        <v>0.61175000000000002</v>
      </c>
      <c r="H2578" s="2">
        <f ca="1">IFERROR(__xludf.DUMMYFUNCTION("""COMPUTED_VALUE"""),50.122)</f>
        <v>50.122</v>
      </c>
      <c r="I2578" s="2">
        <f ca="1">IFERROR(__xludf.DUMMYFUNCTION("""COMPUTED_VALUE"""),51.095)</f>
        <v>51.094999999999999</v>
      </c>
      <c r="J2578" s="2">
        <f ca="1">IFERROR(__xludf.DUMMYFUNCTION("""COMPUTED_VALUE"""),50.332)</f>
        <v>50.332000000000001</v>
      </c>
      <c r="K2578" s="2">
        <f ca="1">IFERROR(__xludf.DUMMYFUNCTION("""COMPUTED_VALUE"""),67.373)</f>
        <v>67.373000000000005</v>
      </c>
      <c r="M2578" s="2">
        <f ca="1">IFERROR(__xludf.DUMMYFUNCTION("""COMPUTED_VALUE"""),17.578)</f>
        <v>17.577999999999999</v>
      </c>
      <c r="U2578" s="3" t="e">
        <f ca="1"/>
        <v>#NAME?</v>
      </c>
    </row>
    <row r="2579" spans="3:21" ht="12.5" x14ac:dyDescent="0.25">
      <c r="C2579" s="4">
        <f ca="1">IFERROR(__xludf.DUMMYFUNCTION("""COMPUTED_VALUE"""),42985.9986111111)</f>
        <v>42985.998611111099</v>
      </c>
      <c r="D2579" s="2">
        <f ca="1">IFERROR(__xludf.DUMMYFUNCTION("""COMPUTED_VALUE"""),63.9501)</f>
        <v>63.950099999999999</v>
      </c>
      <c r="E2579" s="2">
        <f ca="1">IFERROR(__xludf.DUMMYFUNCTION("""COMPUTED_VALUE"""),79.625)</f>
        <v>79.625</v>
      </c>
      <c r="F2579" s="2">
        <f ca="1">IFERROR(__xludf.DUMMYFUNCTION("""COMPUTED_VALUE"""),82.758)</f>
        <v>82.757999999999996</v>
      </c>
      <c r="G2579" s="2">
        <f ca="1">IFERROR(__xludf.DUMMYFUNCTION("""COMPUTED_VALUE"""),0.61383)</f>
        <v>0.61382999999999999</v>
      </c>
      <c r="H2579" s="2">
        <f ca="1">IFERROR(__xludf.DUMMYFUNCTION("""COMPUTED_VALUE"""),50.083)</f>
        <v>50.082999999999998</v>
      </c>
      <c r="I2579" s="2">
        <f ca="1">IFERROR(__xludf.DUMMYFUNCTION("""COMPUTED_VALUE"""),50.968)</f>
        <v>50.968000000000004</v>
      </c>
      <c r="J2579" s="2">
        <f ca="1">IFERROR(__xludf.DUMMYFUNCTION("""COMPUTED_VALUE"""),50.052)</f>
        <v>50.052</v>
      </c>
      <c r="K2579" s="2">
        <f ca="1">IFERROR(__xludf.DUMMYFUNCTION("""COMPUTED_VALUE"""),67.643)</f>
        <v>67.643000000000001</v>
      </c>
      <c r="M2579" s="2">
        <f ca="1">IFERROR(__xludf.DUMMYFUNCTION("""COMPUTED_VALUE"""),17.607)</f>
        <v>17.606999999999999</v>
      </c>
      <c r="U2579" s="3" t="e">
        <f ca="1"/>
        <v>#NAME?</v>
      </c>
    </row>
    <row r="2580" spans="3:21" ht="12.5" x14ac:dyDescent="0.25">
      <c r="C2580" s="4">
        <f ca="1">IFERROR(__xludf.DUMMYFUNCTION("""COMPUTED_VALUE"""),42986.9986111111)</f>
        <v>42986.998611111099</v>
      </c>
      <c r="D2580" s="2">
        <f ca="1">IFERROR(__xludf.DUMMYFUNCTION("""COMPUTED_VALUE"""),63.778)</f>
        <v>63.777999999999999</v>
      </c>
      <c r="E2580" s="2">
        <f ca="1">IFERROR(__xludf.DUMMYFUNCTION("""COMPUTED_VALUE"""),79.575)</f>
        <v>79.575000000000003</v>
      </c>
      <c r="F2580" s="2">
        <f ca="1">IFERROR(__xludf.DUMMYFUNCTION("""COMPUTED_VALUE"""),83.122)</f>
        <v>83.122</v>
      </c>
      <c r="G2580" s="2">
        <f ca="1">IFERROR(__xludf.DUMMYFUNCTION("""COMPUTED_VALUE"""),0.61537)</f>
        <v>0.61536999999999997</v>
      </c>
      <c r="H2580" s="2">
        <f ca="1">IFERROR(__xludf.DUMMYFUNCTION("""COMPUTED_VALUE"""),50.457)</f>
        <v>50.457000000000001</v>
      </c>
      <c r="I2580" s="2">
        <f ca="1">IFERROR(__xludf.DUMMYFUNCTION("""COMPUTED_VALUE"""),51.124)</f>
        <v>51.124000000000002</v>
      </c>
      <c r="J2580" s="2">
        <f ca="1">IFERROR(__xludf.DUMMYFUNCTION("""COMPUTED_VALUE"""),49.969)</f>
        <v>49.969000000000001</v>
      </c>
      <c r="K2580" s="2">
        <f ca="1">IFERROR(__xludf.DUMMYFUNCTION("""COMPUTED_VALUE"""),67.863)</f>
        <v>67.863</v>
      </c>
      <c r="M2580" s="2">
        <f ca="1">IFERROR(__xludf.DUMMYFUNCTION("""COMPUTED_VALUE"""),17.57)</f>
        <v>17.57</v>
      </c>
      <c r="U2580" s="3" t="e">
        <f ca="1"/>
        <v>#NAME?</v>
      </c>
    </row>
    <row r="2581" spans="3:21" ht="12.5" x14ac:dyDescent="0.25">
      <c r="C2581" s="4">
        <f ca="1">IFERROR(__xludf.DUMMYFUNCTION("""COMPUTED_VALUE"""),42987.9986111111)</f>
        <v>42987.998611111099</v>
      </c>
      <c r="D2581" s="2">
        <f ca="1">IFERROR(__xludf.DUMMYFUNCTION("""COMPUTED_VALUE"""),63.931)</f>
        <v>63.930999999999997</v>
      </c>
      <c r="E2581" s="2">
        <f ca="1">IFERROR(__xludf.DUMMYFUNCTION("""COMPUTED_VALUE"""),79.292)</f>
        <v>79.292000000000002</v>
      </c>
      <c r="F2581" s="2">
        <f ca="1">IFERROR(__xludf.DUMMYFUNCTION("""COMPUTED_VALUE"""),83.221)</f>
        <v>83.221000000000004</v>
      </c>
      <c r="G2581" s="2">
        <f ca="1">IFERROR(__xludf.DUMMYFUNCTION("""COMPUTED_VALUE"""),0.61748)</f>
        <v>0.61748000000000003</v>
      </c>
      <c r="H2581" s="2">
        <f ca="1">IFERROR(__xludf.DUMMYFUNCTION("""COMPUTED_VALUE"""),50.424)</f>
        <v>50.423999999999999</v>
      </c>
      <c r="I2581" s="2">
        <f ca="1">IFERROR(__xludf.DUMMYFUNCTION("""COMPUTED_VALUE"""),51.176)</f>
        <v>51.176000000000002</v>
      </c>
      <c r="J2581" s="2">
        <f ca="1">IFERROR(__xludf.DUMMYFUNCTION("""COMPUTED_VALUE"""),49.916)</f>
        <v>49.915999999999997</v>
      </c>
      <c r="K2581" s="2">
        <f ca="1">IFERROR(__xludf.DUMMYFUNCTION("""COMPUTED_VALUE"""),67.847)</f>
        <v>67.846999999999994</v>
      </c>
      <c r="M2581" s="2">
        <f ca="1">IFERROR(__xludf.DUMMYFUNCTION("""COMPUTED_VALUE"""),17.55)</f>
        <v>17.55</v>
      </c>
      <c r="U2581" s="3" t="e">
        <f ca="1"/>
        <v>#NAME?</v>
      </c>
    </row>
    <row r="2582" spans="3:21" ht="12.5" x14ac:dyDescent="0.25">
      <c r="C2582" s="4">
        <f ca="1">IFERROR(__xludf.DUMMYFUNCTION("""COMPUTED_VALUE"""),42988.9986111111)</f>
        <v>42988.998611111099</v>
      </c>
      <c r="D2582" s="2">
        <f ca="1">IFERROR(__xludf.DUMMYFUNCTION("""COMPUTED_VALUE"""),63.931)</f>
        <v>63.930999999999997</v>
      </c>
      <c r="E2582" s="2">
        <f ca="1">IFERROR(__xludf.DUMMYFUNCTION("""COMPUTED_VALUE"""),79.513)</f>
        <v>79.513000000000005</v>
      </c>
      <c r="F2582" s="2">
        <f ca="1">IFERROR(__xludf.DUMMYFUNCTION("""COMPUTED_VALUE"""),83.438)</f>
        <v>83.438000000000002</v>
      </c>
      <c r="G2582" s="2">
        <f ca="1">IFERROR(__xludf.DUMMYFUNCTION("""COMPUTED_VALUE"""),0.61579)</f>
        <v>0.61578999999999995</v>
      </c>
      <c r="H2582" s="2">
        <f ca="1">IFERROR(__xludf.DUMMYFUNCTION("""COMPUTED_VALUE"""),50.489)</f>
        <v>50.488999999999997</v>
      </c>
      <c r="I2582" s="2">
        <f ca="1">IFERROR(__xludf.DUMMYFUNCTION("""COMPUTED_VALUE"""),51.346)</f>
        <v>51.345999999999997</v>
      </c>
      <c r="J2582" s="2">
        <f ca="1">IFERROR(__xludf.DUMMYFUNCTION("""COMPUTED_VALUE"""),49.967)</f>
        <v>49.966999999999999</v>
      </c>
      <c r="K2582" s="2">
        <f ca="1">IFERROR(__xludf.DUMMYFUNCTION("""COMPUTED_VALUE"""),68.09)</f>
        <v>68.09</v>
      </c>
      <c r="M2582" s="2">
        <f ca="1">IFERROR(__xludf.DUMMYFUNCTION("""COMPUTED_VALUE"""),17.532)</f>
        <v>17.532</v>
      </c>
      <c r="U2582" s="3" t="e">
        <f ca="1"/>
        <v>#NAME?</v>
      </c>
    </row>
    <row r="2583" spans="3:21" ht="12.5" x14ac:dyDescent="0.25">
      <c r="C2583" s="4">
        <f ca="1">IFERROR(__xludf.DUMMYFUNCTION("""COMPUTED_VALUE"""),42989.9986111111)</f>
        <v>42989.998611111099</v>
      </c>
      <c r="D2583" s="2">
        <f ca="1">IFERROR(__xludf.DUMMYFUNCTION("""COMPUTED_VALUE"""),63.98)</f>
        <v>63.98</v>
      </c>
      <c r="E2583" s="2">
        <f ca="1">IFERROR(__xludf.DUMMYFUNCTION("""COMPUTED_VALUE"""),79.909)</f>
        <v>79.909000000000006</v>
      </c>
      <c r="F2583" s="2">
        <f ca="1">IFERROR(__xludf.DUMMYFUNCTION("""COMPUTED_VALUE"""),83.382)</f>
        <v>83.382000000000005</v>
      </c>
      <c r="G2583" s="2">
        <f ca="1">IFERROR(__xludf.DUMMYFUNCTION("""COMPUTED_VALUE"""),0.61857)</f>
        <v>0.61856999999999995</v>
      </c>
      <c r="H2583" s="2">
        <f ca="1">IFERROR(__xludf.DUMMYFUNCTION("""COMPUTED_VALUE"""),50.349)</f>
        <v>50.348999999999997</v>
      </c>
      <c r="I2583" s="2">
        <f ca="1">IFERROR(__xludf.DUMMYFUNCTION("""COMPUTED_VALUE"""),51.444)</f>
        <v>51.444000000000003</v>
      </c>
      <c r="J2583" s="2">
        <f ca="1">IFERROR(__xludf.DUMMYFUNCTION("""COMPUTED_VALUE"""),50.123)</f>
        <v>50.122999999999998</v>
      </c>
      <c r="K2583" s="2">
        <f ca="1">IFERROR(__xludf.DUMMYFUNCTION("""COMPUTED_VALUE"""),67.781)</f>
        <v>67.781000000000006</v>
      </c>
      <c r="M2583" s="2">
        <f ca="1">IFERROR(__xludf.DUMMYFUNCTION("""COMPUTED_VALUE"""),17.54)</f>
        <v>17.54</v>
      </c>
      <c r="U2583" s="3" t="e">
        <f ca="1"/>
        <v>#NAME?</v>
      </c>
    </row>
    <row r="2584" spans="3:21" ht="12.5" x14ac:dyDescent="0.25">
      <c r="C2584" s="4">
        <f ca="1">IFERROR(__xludf.DUMMYFUNCTION("""COMPUTED_VALUE"""),42990.9986111111)</f>
        <v>42990.998611111099</v>
      </c>
      <c r="D2584" s="2">
        <f ca="1">IFERROR(__xludf.DUMMYFUNCTION("""COMPUTED_VALUE"""),63.9876)</f>
        <v>63.9876</v>
      </c>
      <c r="E2584" s="2">
        <f ca="1">IFERROR(__xludf.DUMMYFUNCTION("""COMPUTED_VALUE"""),79.92)</f>
        <v>79.92</v>
      </c>
      <c r="F2584" s="2">
        <f ca="1">IFERROR(__xludf.DUMMYFUNCTION("""COMPUTED_VALUE"""),83.356)</f>
        <v>83.355999999999995</v>
      </c>
      <c r="G2584" s="2">
        <f ca="1">IFERROR(__xludf.DUMMYFUNCTION("""COMPUTED_VALUE"""),0.6183)</f>
        <v>0.61829999999999996</v>
      </c>
      <c r="H2584" s="2">
        <f ca="1">IFERROR(__xludf.DUMMYFUNCTION("""COMPUTED_VALUE"""),50.525)</f>
        <v>50.524999999999999</v>
      </c>
      <c r="I2584" s="2">
        <f ca="1">IFERROR(__xludf.DUMMYFUNCTION("""COMPUTED_VALUE"""),51.88)</f>
        <v>51.88</v>
      </c>
      <c r="J2584" s="2">
        <f ca="1">IFERROR(__xludf.DUMMYFUNCTION("""COMPUTED_VALUE"""),50.174)</f>
        <v>50.173999999999999</v>
      </c>
      <c r="K2584" s="2">
        <f ca="1">IFERROR(__xludf.DUMMYFUNCTION("""COMPUTED_VALUE"""),67.756)</f>
        <v>67.756</v>
      </c>
      <c r="M2584" s="2">
        <f ca="1">IFERROR(__xludf.DUMMYFUNCTION("""COMPUTED_VALUE"""),17.554)</f>
        <v>17.553999999999998</v>
      </c>
      <c r="U2584" s="3" t="e">
        <f ca="1"/>
        <v>#NAME?</v>
      </c>
    </row>
    <row r="2585" spans="3:21" ht="12.5" x14ac:dyDescent="0.25">
      <c r="C2585" s="4">
        <f ca="1">IFERROR(__xludf.DUMMYFUNCTION("""COMPUTED_VALUE"""),42991.9986111111)</f>
        <v>42991.998611111099</v>
      </c>
      <c r="D2585" s="2">
        <f ca="1">IFERROR(__xludf.DUMMYFUNCTION("""COMPUTED_VALUE"""),64.1151)</f>
        <v>64.115099999999998</v>
      </c>
      <c r="E2585" s="2">
        <f ca="1">IFERROR(__xludf.DUMMYFUNCTION("""COMPUTED_VALUE"""),79.842)</f>
        <v>79.841999999999999</v>
      </c>
      <c r="F2585" s="2">
        <f ca="1">IFERROR(__xludf.DUMMYFUNCTION("""COMPUTED_VALUE"""),83.185)</f>
        <v>83.185000000000002</v>
      </c>
      <c r="G2585" s="2">
        <f ca="1">IFERROR(__xludf.DUMMYFUNCTION("""COMPUTED_VALUE"""),0.62057)</f>
        <v>0.62056999999999995</v>
      </c>
      <c r="H2585" s="2">
        <f ca="1">IFERROR(__xludf.DUMMYFUNCTION("""COMPUTED_VALUE"""),50.66)</f>
        <v>50.66</v>
      </c>
      <c r="I2585" s="2">
        <f ca="1">IFERROR(__xludf.DUMMYFUNCTION("""COMPUTED_VALUE"""),52.072)</f>
        <v>52.072000000000003</v>
      </c>
      <c r="J2585" s="2">
        <f ca="1">IFERROR(__xludf.DUMMYFUNCTION("""COMPUTED_VALUE"""),50.256)</f>
        <v>50.256</v>
      </c>
      <c r="K2585" s="2">
        <f ca="1">IFERROR(__xludf.DUMMYFUNCTION("""COMPUTED_VALUE"""),68.168)</f>
        <v>68.168000000000006</v>
      </c>
      <c r="M2585" s="2">
        <f ca="1">IFERROR(__xludf.DUMMYFUNCTION("""COMPUTED_VALUE"""),17.557)</f>
        <v>17.556999999999999</v>
      </c>
      <c r="U2585" s="3" t="e">
        <f ca="1"/>
        <v>#NAME?</v>
      </c>
    </row>
    <row r="2586" spans="3:21" ht="12.5" x14ac:dyDescent="0.25">
      <c r="C2586" s="4">
        <f ca="1">IFERROR(__xludf.DUMMYFUNCTION("""COMPUTED_VALUE"""),42992.9986111111)</f>
        <v>42992.998611111099</v>
      </c>
      <c r="D2586" s="2">
        <f ca="1">IFERROR(__xludf.DUMMYFUNCTION("""COMPUTED_VALUE"""),64.155)</f>
        <v>64.155000000000001</v>
      </c>
      <c r="E2586" s="2">
        <f ca="1">IFERROR(__xludf.DUMMYFUNCTION("""COMPUTED_VALUE"""),80.03)</f>
        <v>80.03</v>
      </c>
      <c r="F2586" s="2">
        <f ca="1">IFERROR(__xludf.DUMMYFUNCTION("""COMPUTED_VALUE"""),82.686)</f>
        <v>82.686000000000007</v>
      </c>
      <c r="G2586" s="2">
        <f ca="1">IFERROR(__xludf.DUMMYFUNCTION("""COMPUTED_VALUE"""),0.6321)</f>
        <v>0.6321</v>
      </c>
      <c r="H2586" s="2">
        <f ca="1">IFERROR(__xludf.DUMMYFUNCTION("""COMPUTED_VALUE"""),50.383)</f>
        <v>50.383000000000003</v>
      </c>
      <c r="I2586" s="2">
        <f ca="1">IFERROR(__xludf.DUMMYFUNCTION("""COMPUTED_VALUE"""),52.065)</f>
        <v>52.064999999999998</v>
      </c>
      <c r="J2586" s="2">
        <f ca="1">IFERROR(__xludf.DUMMYFUNCTION("""COMPUTED_VALUE"""),50.194)</f>
        <v>50.194000000000003</v>
      </c>
      <c r="K2586" s="2">
        <f ca="1">IFERROR(__xludf.DUMMYFUNCTION("""COMPUTED_VALUE"""),67.887)</f>
        <v>67.887</v>
      </c>
      <c r="M2586" s="2">
        <f ca="1">IFERROR(__xludf.DUMMYFUNCTION("""COMPUTED_VALUE"""),17.561)</f>
        <v>17.561</v>
      </c>
      <c r="U2586" s="3" t="e">
        <f ca="1"/>
        <v>#NAME?</v>
      </c>
    </row>
    <row r="2587" spans="3:21" ht="12.5" x14ac:dyDescent="0.25">
      <c r="C2587" s="4">
        <f ca="1">IFERROR(__xludf.DUMMYFUNCTION("""COMPUTED_VALUE"""),42993.9986111111)</f>
        <v>42993.998611111099</v>
      </c>
      <c r="D2587" s="2">
        <f ca="1">IFERROR(__xludf.DUMMYFUNCTION("""COMPUTED_VALUE"""),64.103)</f>
        <v>64.102999999999994</v>
      </c>
      <c r="E2587" s="2">
        <f ca="1">IFERROR(__xludf.DUMMYFUNCTION("""COMPUTED_VALUE"""),80.465)</f>
        <v>80.465000000000003</v>
      </c>
      <c r="F2587" s="2">
        <f ca="1">IFERROR(__xludf.DUMMYFUNCTION("""COMPUTED_VALUE"""),82.716)</f>
        <v>82.715999999999994</v>
      </c>
      <c r="G2587" s="2">
        <f ca="1">IFERROR(__xludf.DUMMYFUNCTION("""COMPUTED_VALUE"""),0.62816)</f>
        <v>0.62816000000000005</v>
      </c>
      <c r="H2587" s="2">
        <f ca="1">IFERROR(__xludf.DUMMYFUNCTION("""COMPUTED_VALUE"""),50.527)</f>
        <v>50.527000000000001</v>
      </c>
      <c r="I2587" s="2">
        <f ca="1">IFERROR(__xludf.DUMMYFUNCTION("""COMPUTED_VALUE"""),52.099)</f>
        <v>52.098999999999997</v>
      </c>
      <c r="J2587" s="2">
        <f ca="1">IFERROR(__xludf.DUMMYFUNCTION("""COMPUTED_VALUE"""),50.146)</f>
        <v>50.146000000000001</v>
      </c>
      <c r="K2587" s="2">
        <f ca="1">IFERROR(__xludf.DUMMYFUNCTION("""COMPUTED_VALUE"""),67.785)</f>
        <v>67.784999999999997</v>
      </c>
      <c r="M2587" s="2">
        <f ca="1">IFERROR(__xludf.DUMMYFUNCTION("""COMPUTED_VALUE"""),17.564)</f>
        <v>17.564</v>
      </c>
      <c r="U2587" s="3" t="e">
        <f ca="1"/>
        <v>#NAME?</v>
      </c>
    </row>
    <row r="2588" spans="3:21" ht="12.5" x14ac:dyDescent="0.25">
      <c r="C2588" s="4">
        <f ca="1">IFERROR(__xludf.DUMMYFUNCTION("""COMPUTED_VALUE"""),42994.9986111111)</f>
        <v>42994.998611111099</v>
      </c>
      <c r="D2588" s="2">
        <f ca="1">IFERROR(__xludf.DUMMYFUNCTION("""COMPUTED_VALUE"""),64.1399)</f>
        <v>64.139899999999997</v>
      </c>
      <c r="E2588" s="2">
        <f ca="1">IFERROR(__xludf.DUMMYFUNCTION("""COMPUTED_VALUE"""),80.732)</f>
        <v>80.731999999999999</v>
      </c>
      <c r="F2588" s="2">
        <f ca="1">IFERROR(__xludf.DUMMYFUNCTION("""COMPUTED_VALUE"""),82.604)</f>
        <v>82.603999999999999</v>
      </c>
      <c r="G2588" s="2">
        <f ca="1">IFERROR(__xludf.DUMMYFUNCTION("""COMPUTED_VALUE"""),0.6317)</f>
        <v>0.63170000000000004</v>
      </c>
      <c r="H2588" s="2">
        <f ca="1">IFERROR(__xludf.DUMMYFUNCTION("""COMPUTED_VALUE"""),50.649)</f>
        <v>50.649000000000001</v>
      </c>
      <c r="I2588" s="2">
        <f ca="1">IFERROR(__xludf.DUMMYFUNCTION("""COMPUTED_VALUE"""),52.227)</f>
        <v>52.226999999999997</v>
      </c>
      <c r="J2588" s="2">
        <f ca="1">IFERROR(__xludf.DUMMYFUNCTION("""COMPUTED_VALUE"""),50.161)</f>
        <v>50.161000000000001</v>
      </c>
      <c r="K2588" s="2">
        <f ca="1">IFERROR(__xludf.DUMMYFUNCTION("""COMPUTED_VALUE"""),67.728)</f>
        <v>67.727999999999994</v>
      </c>
      <c r="M2588" s="2">
        <f ca="1">IFERROR(__xludf.DUMMYFUNCTION("""COMPUTED_VALUE"""),17.518)</f>
        <v>17.518000000000001</v>
      </c>
      <c r="U2588" s="3" t="e">
        <f ca="1"/>
        <v>#NAME?</v>
      </c>
    </row>
    <row r="2589" spans="3:21" ht="12.5" x14ac:dyDescent="0.25">
      <c r="C2589" s="4">
        <f ca="1">IFERROR(__xludf.DUMMYFUNCTION("""COMPUTED_VALUE"""),42995.9986111111)</f>
        <v>42995.998611111099</v>
      </c>
      <c r="D2589" s="2">
        <f ca="1">IFERROR(__xludf.DUMMYFUNCTION("""COMPUTED_VALUE"""),64.1202)</f>
        <v>64.120199999999997</v>
      </c>
      <c r="E2589" s="2">
        <f ca="1">IFERROR(__xludf.DUMMYFUNCTION("""COMPUTED_VALUE"""),80.732)</f>
        <v>80.731999999999999</v>
      </c>
      <c r="F2589" s="2">
        <f ca="1">IFERROR(__xludf.DUMMYFUNCTION("""COMPUTED_VALUE"""),82.514)</f>
        <v>82.513999999999996</v>
      </c>
      <c r="G2589" s="2">
        <f ca="1">IFERROR(__xludf.DUMMYFUNCTION("""COMPUTED_VALUE"""),0.63075)</f>
        <v>0.63075000000000003</v>
      </c>
      <c r="H2589" s="2">
        <f ca="1">IFERROR(__xludf.DUMMYFUNCTION("""COMPUTED_VALUE"""),50.832)</f>
        <v>50.832000000000001</v>
      </c>
      <c r="I2589" s="2">
        <f ca="1">IFERROR(__xludf.DUMMYFUNCTION("""COMPUTED_VALUE"""),52.377)</f>
        <v>52.377000000000002</v>
      </c>
      <c r="J2589" s="2">
        <f ca="1">IFERROR(__xludf.DUMMYFUNCTION("""COMPUTED_VALUE"""),50.278)</f>
        <v>50.277999999999999</v>
      </c>
      <c r="K2589" s="2">
        <f ca="1">IFERROR(__xludf.DUMMYFUNCTION("""COMPUTED_VALUE"""),67.84)</f>
        <v>67.84</v>
      </c>
      <c r="M2589" s="2">
        <f ca="1">IFERROR(__xludf.DUMMYFUNCTION("""COMPUTED_VALUE"""),17.52)</f>
        <v>17.52</v>
      </c>
      <c r="U2589" s="3" t="e">
        <f ca="1"/>
        <v>#NAME?</v>
      </c>
    </row>
    <row r="2590" spans="3:21" ht="12.5" x14ac:dyDescent="0.25">
      <c r="C2590" s="4">
        <f ca="1">IFERROR(__xludf.DUMMYFUNCTION("""COMPUTED_VALUE"""),42996.9986111111)</f>
        <v>42996.998611111099</v>
      </c>
      <c r="D2590" s="2">
        <f ca="1">IFERROR(__xludf.DUMMYFUNCTION("""COMPUTED_VALUE"""),64.2147)</f>
        <v>64.214699999999993</v>
      </c>
      <c r="E2590" s="2">
        <f ca="1">IFERROR(__xludf.DUMMYFUNCTION("""COMPUTED_VALUE"""),80.642)</f>
        <v>80.641999999999996</v>
      </c>
      <c r="F2590" s="2">
        <f ca="1">IFERROR(__xludf.DUMMYFUNCTION("""COMPUTED_VALUE"""),82.485)</f>
        <v>82.484999999999999</v>
      </c>
      <c r="G2590" s="2">
        <f ca="1">IFERROR(__xludf.DUMMYFUNCTION("""COMPUTED_VALUE"""),0.63401)</f>
        <v>0.63400999999999996</v>
      </c>
      <c r="H2590" s="2">
        <f ca="1">IFERROR(__xludf.DUMMYFUNCTION("""COMPUTED_VALUE"""),51.066)</f>
        <v>51.066000000000003</v>
      </c>
      <c r="I2590" s="2">
        <f ca="1">IFERROR(__xludf.DUMMYFUNCTION("""COMPUTED_VALUE"""),52.529)</f>
        <v>52.529000000000003</v>
      </c>
      <c r="J2590" s="2">
        <f ca="1">IFERROR(__xludf.DUMMYFUNCTION("""COMPUTED_VALUE"""),50.421)</f>
        <v>50.420999999999999</v>
      </c>
      <c r="K2590" s="2">
        <f ca="1">IFERROR(__xludf.DUMMYFUNCTION("""COMPUTED_VALUE"""),66.977)</f>
        <v>66.977000000000004</v>
      </c>
      <c r="M2590" s="2">
        <f ca="1">IFERROR(__xludf.DUMMYFUNCTION("""COMPUTED_VALUE"""),17.563)</f>
        <v>17.562999999999999</v>
      </c>
      <c r="U2590" s="3" t="e">
        <f ca="1"/>
        <v>#NAME?</v>
      </c>
    </row>
    <row r="2591" spans="3:21" ht="12.5" x14ac:dyDescent="0.25">
      <c r="C2591" s="4">
        <f ca="1">IFERROR(__xludf.DUMMYFUNCTION("""COMPUTED_VALUE"""),42997.9986111111)</f>
        <v>42997.998611111099</v>
      </c>
      <c r="D2591" s="2">
        <f ca="1">IFERROR(__xludf.DUMMYFUNCTION("""COMPUTED_VALUE"""),64.2987)</f>
        <v>64.298699999999997</v>
      </c>
      <c r="E2591" s="2">
        <f ca="1">IFERROR(__xludf.DUMMYFUNCTION("""COMPUTED_VALUE"""),80.546)</f>
        <v>80.546000000000006</v>
      </c>
      <c r="F2591" s="2">
        <f ca="1">IFERROR(__xludf.DUMMYFUNCTION("""COMPUTED_VALUE"""),82.508)</f>
        <v>82.507999999999996</v>
      </c>
      <c r="G2591" s="2">
        <f ca="1">IFERROR(__xludf.DUMMYFUNCTION("""COMPUTED_VALUE"""),0.63436)</f>
        <v>0.63436000000000003</v>
      </c>
      <c r="H2591" s="2">
        <f ca="1">IFERROR(__xludf.DUMMYFUNCTION("""COMPUTED_VALUE"""),51.061)</f>
        <v>51.061</v>
      </c>
      <c r="I2591" s="2">
        <f ca="1">IFERROR(__xludf.DUMMYFUNCTION("""COMPUTED_VALUE"""),52.522)</f>
        <v>52.521999999999998</v>
      </c>
      <c r="J2591" s="2">
        <f ca="1">IFERROR(__xludf.DUMMYFUNCTION("""COMPUTED_VALUE"""),50.618)</f>
        <v>50.618000000000002</v>
      </c>
      <c r="K2591" s="2">
        <f ca="1">IFERROR(__xludf.DUMMYFUNCTION("""COMPUTED_VALUE"""),67.946)</f>
        <v>67.945999999999998</v>
      </c>
      <c r="M2591" s="2">
        <f ca="1">IFERROR(__xludf.DUMMYFUNCTION("""COMPUTED_VALUE"""),17.572)</f>
        <v>17.571999999999999</v>
      </c>
      <c r="U2591" s="3" t="e">
        <f ca="1"/>
        <v>#NAME?</v>
      </c>
    </row>
    <row r="2592" spans="3:21" ht="12.5" x14ac:dyDescent="0.25">
      <c r="C2592" s="4">
        <f ca="1">IFERROR(__xludf.DUMMYFUNCTION("""COMPUTED_VALUE"""),42998.9986111111)</f>
        <v>42998.998611111099</v>
      </c>
      <c r="D2592" s="2">
        <f ca="1">IFERROR(__xludf.DUMMYFUNCTION("""COMPUTED_VALUE"""),64.2837)</f>
        <v>64.283699999999996</v>
      </c>
      <c r="E2592" s="2">
        <f ca="1">IFERROR(__xludf.DUMMYFUNCTION("""COMPUTED_VALUE"""),80.169)</f>
        <v>80.168999999999997</v>
      </c>
      <c r="F2592" s="2">
        <f ca="1">IFERROR(__xludf.DUMMYFUNCTION("""COMPUTED_VALUE"""),82.741)</f>
        <v>82.741</v>
      </c>
      <c r="G2592" s="2">
        <f ca="1">IFERROR(__xludf.DUMMYFUNCTION("""COMPUTED_VALUE"""),0.63367)</f>
        <v>0.63366999999999996</v>
      </c>
      <c r="H2592" s="2">
        <f ca="1">IFERROR(__xludf.DUMMYFUNCTION("""COMPUTED_VALUE"""),51.243)</f>
        <v>51.243000000000002</v>
      </c>
      <c r="I2592" s="2">
        <f ca="1">IFERROR(__xludf.DUMMYFUNCTION("""COMPUTED_VALUE"""),52.319)</f>
        <v>52.319000000000003</v>
      </c>
      <c r="J2592" s="2">
        <f ca="1">IFERROR(__xludf.DUMMYFUNCTION("""COMPUTED_VALUE"""),50.646)</f>
        <v>50.646000000000001</v>
      </c>
      <c r="K2592" s="2">
        <f ca="1">IFERROR(__xludf.DUMMYFUNCTION("""COMPUTED_VALUE"""),67.777)</f>
        <v>67.777000000000001</v>
      </c>
      <c r="M2592" s="2">
        <f ca="1">IFERROR(__xludf.DUMMYFUNCTION("""COMPUTED_VALUE"""),17.55)</f>
        <v>17.55</v>
      </c>
      <c r="U2592" s="3" t="e">
        <f ca="1"/>
        <v>#NAME?</v>
      </c>
    </row>
    <row r="2593" spans="3:21" ht="12.5" x14ac:dyDescent="0.25">
      <c r="C2593" s="4">
        <f ca="1">IFERROR(__xludf.DUMMYFUNCTION("""COMPUTED_VALUE"""),42999.9986111111)</f>
        <v>42999.998611111099</v>
      </c>
      <c r="D2593" s="2">
        <f ca="1">IFERROR(__xludf.DUMMYFUNCTION("""COMPUTED_VALUE"""),64.8023)</f>
        <v>64.802300000000002</v>
      </c>
      <c r="E2593" s="2">
        <f ca="1">IFERROR(__xludf.DUMMYFUNCTION("""COMPUTED_VALUE"""),79.8)</f>
        <v>79.8</v>
      </c>
      <c r="F2593" s="2">
        <f ca="1">IFERROR(__xludf.DUMMYFUNCTION("""COMPUTED_VALUE"""),82.155)</f>
        <v>82.155000000000001</v>
      </c>
      <c r="G2593" s="2">
        <f ca="1">IFERROR(__xludf.DUMMYFUNCTION("""COMPUTED_VALUE"""),0.63113)</f>
        <v>0.63112999999999997</v>
      </c>
      <c r="H2593" s="2">
        <f ca="1">IFERROR(__xludf.DUMMYFUNCTION("""COMPUTED_VALUE"""),50.923)</f>
        <v>50.923000000000002</v>
      </c>
      <c r="I2593" s="2">
        <f ca="1">IFERROR(__xludf.DUMMYFUNCTION("""COMPUTED_VALUE"""),52.251)</f>
        <v>52.250999999999998</v>
      </c>
      <c r="J2593" s="2">
        <f ca="1">IFERROR(__xludf.DUMMYFUNCTION("""COMPUTED_VALUE"""),50.605)</f>
        <v>50.604999999999997</v>
      </c>
      <c r="K2593" s="2">
        <f ca="1">IFERROR(__xludf.DUMMYFUNCTION("""COMPUTED_VALUE"""),68.029)</f>
        <v>68.028999999999996</v>
      </c>
      <c r="M2593" s="2">
        <f ca="1">IFERROR(__xludf.DUMMYFUNCTION("""COMPUTED_VALUE"""),17.55)</f>
        <v>17.55</v>
      </c>
      <c r="U2593" s="3" t="e">
        <f ca="1"/>
        <v>#NAME?</v>
      </c>
    </row>
    <row r="2594" spans="3:21" ht="12.5" x14ac:dyDescent="0.25">
      <c r="C2594" s="4">
        <f ca="1">IFERROR(__xludf.DUMMYFUNCTION("""COMPUTED_VALUE"""),43000.9986111111)</f>
        <v>43000.998611111099</v>
      </c>
      <c r="D2594" s="2">
        <f ca="1">IFERROR(__xludf.DUMMYFUNCTION("""COMPUTED_VALUE"""),64.788)</f>
        <v>64.787999999999997</v>
      </c>
      <c r="E2594" s="2">
        <f ca="1">IFERROR(__xludf.DUMMYFUNCTION("""COMPUTED_VALUE"""),79.962)</f>
        <v>79.962000000000003</v>
      </c>
      <c r="F2594" s="2">
        <f ca="1">IFERROR(__xludf.DUMMYFUNCTION("""COMPUTED_VALUE"""),81.953)</f>
        <v>81.953000000000003</v>
      </c>
      <c r="G2594" s="2">
        <f ca="1">IFERROR(__xludf.DUMMYFUNCTION("""COMPUTED_VALUE"""),0.6288)</f>
        <v>0.62880000000000003</v>
      </c>
      <c r="H2594" s="2">
        <f ca="1">IFERROR(__xludf.DUMMYFUNCTION("""COMPUTED_VALUE"""),50.573)</f>
        <v>50.573</v>
      </c>
      <c r="I2594" s="2">
        <f ca="1">IFERROR(__xludf.DUMMYFUNCTION("""COMPUTED_VALUE"""),51.988)</f>
        <v>51.988</v>
      </c>
      <c r="J2594" s="2">
        <f ca="1">IFERROR(__xludf.DUMMYFUNCTION("""COMPUTED_VALUE"""),50.526)</f>
        <v>50.526000000000003</v>
      </c>
      <c r="K2594" s="2">
        <f ca="1">IFERROR(__xludf.DUMMYFUNCTION("""COMPUTED_VALUE"""),67.477)</f>
        <v>67.477000000000004</v>
      </c>
      <c r="M2594" s="2">
        <f ca="1">IFERROR(__xludf.DUMMYFUNCTION("""COMPUTED_VALUE"""),17.55)</f>
        <v>17.55</v>
      </c>
      <c r="U2594" s="3" t="e">
        <f ca="1"/>
        <v>#NAME?</v>
      </c>
    </row>
    <row r="2595" spans="3:21" ht="12.5" x14ac:dyDescent="0.25">
      <c r="C2595" s="4">
        <f ca="1">IFERROR(__xludf.DUMMYFUNCTION("""COMPUTED_VALUE"""),43001.9986111111)</f>
        <v>43001.998611111099</v>
      </c>
      <c r="D2595" s="2">
        <f ca="1">IFERROR(__xludf.DUMMYFUNCTION("""COMPUTED_VALUE"""),64.895)</f>
        <v>64.894999999999996</v>
      </c>
      <c r="E2595" s="2">
        <f ca="1">IFERROR(__xludf.DUMMYFUNCTION("""COMPUTED_VALUE"""),80.189)</f>
        <v>80.188999999999993</v>
      </c>
      <c r="F2595" s="2">
        <f ca="1">IFERROR(__xludf.DUMMYFUNCTION("""COMPUTED_VALUE"""),81.952)</f>
        <v>81.951999999999998</v>
      </c>
      <c r="G2595" s="2">
        <f ca="1">IFERROR(__xludf.DUMMYFUNCTION("""COMPUTED_VALUE"""),0.62854)</f>
        <v>0.62853999999999999</v>
      </c>
      <c r="H2595" s="2">
        <f ca="1">IFERROR(__xludf.DUMMYFUNCTION("""COMPUTED_VALUE"""),50.666)</f>
        <v>50.665999999999997</v>
      </c>
      <c r="I2595" s="2">
        <f ca="1">IFERROR(__xludf.DUMMYFUNCTION("""COMPUTED_VALUE"""),51.962)</f>
        <v>51.962000000000003</v>
      </c>
      <c r="J2595" s="2">
        <f ca="1">IFERROR(__xludf.DUMMYFUNCTION("""COMPUTED_VALUE"""),50.336)</f>
        <v>50.335999999999999</v>
      </c>
      <c r="K2595" s="2">
        <f ca="1">IFERROR(__xludf.DUMMYFUNCTION("""COMPUTED_VALUE"""),67.367)</f>
        <v>67.367000000000004</v>
      </c>
      <c r="M2595" s="2">
        <f ca="1">IFERROR(__xludf.DUMMYFUNCTION("""COMPUTED_VALUE"""),17.517)</f>
        <v>17.516999999999999</v>
      </c>
      <c r="U2595" s="3" t="e">
        <f ca="1"/>
        <v>#NAME?</v>
      </c>
    </row>
    <row r="2596" spans="3:21" ht="12.5" x14ac:dyDescent="0.25">
      <c r="C2596" s="4">
        <f ca="1">IFERROR(__xludf.DUMMYFUNCTION("""COMPUTED_VALUE"""),43002.9986111111)</f>
        <v>43002.998611111099</v>
      </c>
      <c r="D2596" s="2">
        <f ca="1">IFERROR(__xludf.DUMMYFUNCTION("""COMPUTED_VALUE"""),64.891)</f>
        <v>64.891000000000005</v>
      </c>
      <c r="E2596" s="2">
        <f ca="1">IFERROR(__xludf.DUMMYFUNCTION("""COMPUTED_VALUE"""),79.658)</f>
        <v>79.658000000000001</v>
      </c>
      <c r="F2596" s="2">
        <f ca="1">IFERROR(__xludf.DUMMYFUNCTION("""COMPUTED_VALUE"""),82.424)</f>
        <v>82.424000000000007</v>
      </c>
      <c r="G2596" s="2">
        <f ca="1">IFERROR(__xludf.DUMMYFUNCTION("""COMPUTED_VALUE"""),0.63077)</f>
        <v>0.63077000000000005</v>
      </c>
      <c r="H2596" s="2">
        <f ca="1">IFERROR(__xludf.DUMMYFUNCTION("""COMPUTED_VALUE"""),50.802)</f>
        <v>50.802</v>
      </c>
      <c r="I2596" s="2">
        <f ca="1">IFERROR(__xludf.DUMMYFUNCTION("""COMPUTED_VALUE"""),52.008)</f>
        <v>52.008000000000003</v>
      </c>
      <c r="J2596" s="2">
        <f ca="1">IFERROR(__xludf.DUMMYFUNCTION("""COMPUTED_VALUE"""),50.163)</f>
        <v>50.162999999999997</v>
      </c>
      <c r="K2596" s="2">
        <f ca="1">IFERROR(__xludf.DUMMYFUNCTION("""COMPUTED_VALUE"""),67.007)</f>
        <v>67.007000000000005</v>
      </c>
      <c r="M2596" s="2">
        <f ca="1">IFERROR(__xludf.DUMMYFUNCTION("""COMPUTED_VALUE"""),17.574)</f>
        <v>17.574000000000002</v>
      </c>
      <c r="U2596" s="3" t="e">
        <f ca="1"/>
        <v>#NAME?</v>
      </c>
    </row>
    <row r="2597" spans="3:21" ht="12.5" x14ac:dyDescent="0.25">
      <c r="C2597" s="4">
        <f ca="1">IFERROR(__xludf.DUMMYFUNCTION("""COMPUTED_VALUE"""),43003.9986111111)</f>
        <v>43003.998611111099</v>
      </c>
      <c r="D2597" s="2">
        <f ca="1">IFERROR(__xludf.DUMMYFUNCTION("""COMPUTED_VALUE"""),65.2651)</f>
        <v>65.265100000000004</v>
      </c>
      <c r="E2597" s="2">
        <f ca="1">IFERROR(__xludf.DUMMYFUNCTION("""COMPUTED_VALUE"""),79.837)</f>
        <v>79.837000000000003</v>
      </c>
      <c r="F2597" s="2">
        <f ca="1">IFERROR(__xludf.DUMMYFUNCTION("""COMPUTED_VALUE"""),82.471)</f>
        <v>82.471000000000004</v>
      </c>
      <c r="G2597" s="2">
        <f ca="1">IFERROR(__xludf.DUMMYFUNCTION("""COMPUTED_VALUE"""),0.63001)</f>
        <v>0.63000999999999996</v>
      </c>
      <c r="H2597" s="2">
        <f ca="1">IFERROR(__xludf.DUMMYFUNCTION("""COMPUTED_VALUE"""),50.776)</f>
        <v>50.776000000000003</v>
      </c>
      <c r="I2597" s="2">
        <f ca="1">IFERROR(__xludf.DUMMYFUNCTION("""COMPUTED_VALUE"""),52.129)</f>
        <v>52.128999999999998</v>
      </c>
      <c r="J2597" s="2">
        <f ca="1">IFERROR(__xludf.DUMMYFUNCTION("""COMPUTED_VALUE"""),50.103)</f>
        <v>50.103000000000002</v>
      </c>
      <c r="K2597" s="2">
        <f ca="1">IFERROR(__xludf.DUMMYFUNCTION("""COMPUTED_VALUE"""),67.133)</f>
        <v>67.132999999999996</v>
      </c>
      <c r="M2597" s="2">
        <f ca="1">IFERROR(__xludf.DUMMYFUNCTION("""COMPUTED_VALUE"""),17.545)</f>
        <v>17.545000000000002</v>
      </c>
      <c r="U2597" s="3" t="e">
        <f ca="1"/>
        <v>#NAME?</v>
      </c>
    </row>
    <row r="2598" spans="3:21" ht="12.5" x14ac:dyDescent="0.25">
      <c r="C2598" s="4">
        <f ca="1">IFERROR(__xludf.DUMMYFUNCTION("""COMPUTED_VALUE"""),43004.9986111111)</f>
        <v>43004.998611111099</v>
      </c>
      <c r="D2598" s="2">
        <f ca="1">IFERROR(__xludf.DUMMYFUNCTION("""COMPUTED_VALUE"""),65.35)</f>
        <v>65.349999999999994</v>
      </c>
      <c r="E2598" s="2">
        <f ca="1">IFERROR(__xludf.DUMMYFUNCTION("""COMPUTED_VALUE"""),80.366)</f>
        <v>80.366</v>
      </c>
      <c r="F2598" s="2">
        <f ca="1">IFERROR(__xludf.DUMMYFUNCTION("""COMPUTED_VALUE"""),82.591)</f>
        <v>82.590999999999994</v>
      </c>
      <c r="G2598" s="2">
        <f ca="1">IFERROR(__xludf.DUMMYFUNCTION("""COMPUTED_VALUE"""),0.6309)</f>
        <v>0.63090000000000002</v>
      </c>
      <c r="H2598" s="2">
        <f ca="1">IFERROR(__xludf.DUMMYFUNCTION("""COMPUTED_VALUE"""),50.429)</f>
        <v>50.429000000000002</v>
      </c>
      <c r="I2598" s="2">
        <f ca="1">IFERROR(__xludf.DUMMYFUNCTION("""COMPUTED_VALUE"""),51.77)</f>
        <v>51.77</v>
      </c>
      <c r="J2598" s="2">
        <f ca="1">IFERROR(__xludf.DUMMYFUNCTION("""COMPUTED_VALUE"""),50.283)</f>
        <v>50.283000000000001</v>
      </c>
      <c r="K2598" s="2">
        <f ca="1">IFERROR(__xludf.DUMMYFUNCTION("""COMPUTED_VALUE"""),66.665)</f>
        <v>66.665000000000006</v>
      </c>
      <c r="M2598" s="2">
        <f ca="1">IFERROR(__xludf.DUMMYFUNCTION("""COMPUTED_VALUE"""),17.497)</f>
        <v>17.497</v>
      </c>
      <c r="U2598" s="3" t="e">
        <f ca="1"/>
        <v>#NAME?</v>
      </c>
    </row>
    <row r="2599" spans="3:21" ht="12.5" x14ac:dyDescent="0.25">
      <c r="C2599" s="4">
        <f ca="1">IFERROR(__xludf.DUMMYFUNCTION("""COMPUTED_VALUE"""),43005.9986111111)</f>
        <v>43005.998611111099</v>
      </c>
      <c r="D2599" s="2">
        <f ca="1">IFERROR(__xludf.DUMMYFUNCTION("""COMPUTED_VALUE"""),65.525)</f>
        <v>65.525000000000006</v>
      </c>
      <c r="E2599" s="2">
        <f ca="1">IFERROR(__xludf.DUMMYFUNCTION("""COMPUTED_VALUE"""),80.483)</f>
        <v>80.483000000000004</v>
      </c>
      <c r="F2599" s="2">
        <f ca="1">IFERROR(__xludf.DUMMYFUNCTION("""COMPUTED_VALUE"""),82.468)</f>
        <v>82.468000000000004</v>
      </c>
      <c r="G2599" s="2">
        <f ca="1">IFERROR(__xludf.DUMMYFUNCTION("""COMPUTED_VALUE"""),0.63673)</f>
        <v>0.63673000000000002</v>
      </c>
      <c r="H2599" s="2">
        <f ca="1">IFERROR(__xludf.DUMMYFUNCTION("""COMPUTED_VALUE"""),50.726)</f>
        <v>50.725999999999999</v>
      </c>
      <c r="I2599" s="2">
        <f ca="1">IFERROR(__xludf.DUMMYFUNCTION("""COMPUTED_VALUE"""),52.064)</f>
        <v>52.064</v>
      </c>
      <c r="J2599" s="2">
        <f ca="1">IFERROR(__xludf.DUMMYFUNCTION("""COMPUTED_VALUE"""),50.057)</f>
        <v>50.057000000000002</v>
      </c>
      <c r="K2599" s="2">
        <f ca="1">IFERROR(__xludf.DUMMYFUNCTION("""COMPUTED_VALUE"""),66.773)</f>
        <v>66.772999999999996</v>
      </c>
      <c r="M2599" s="2">
        <f ca="1">IFERROR(__xludf.DUMMYFUNCTION("""COMPUTED_VALUE"""),17.441)</f>
        <v>17.440999999999999</v>
      </c>
      <c r="U2599" s="3" t="e">
        <f ca="1"/>
        <v>#NAME?</v>
      </c>
    </row>
    <row r="2600" spans="3:21" ht="12.5" x14ac:dyDescent="0.25">
      <c r="C2600" s="4">
        <f ca="1">IFERROR(__xludf.DUMMYFUNCTION("""COMPUTED_VALUE"""),43006.9986111111)</f>
        <v>43006.998611111099</v>
      </c>
      <c r="D2600" s="2">
        <f ca="1">IFERROR(__xludf.DUMMYFUNCTION("""COMPUTED_VALUE"""),65.36)</f>
        <v>65.36</v>
      </c>
      <c r="E2600" s="2">
        <f ca="1">IFERROR(__xludf.DUMMYFUNCTION("""COMPUTED_VALUE"""),79.281)</f>
        <v>79.281000000000006</v>
      </c>
      <c r="F2600" s="2">
        <f ca="1">IFERROR(__xludf.DUMMYFUNCTION("""COMPUTED_VALUE"""),82.681)</f>
        <v>82.680999999999997</v>
      </c>
      <c r="G2600" s="2">
        <f ca="1">IFERROR(__xludf.DUMMYFUNCTION("""COMPUTED_VALUE"""),0.63878)</f>
        <v>0.63878000000000001</v>
      </c>
      <c r="H2600" s="2">
        <f ca="1">IFERROR(__xludf.DUMMYFUNCTION("""COMPUTED_VALUE"""),50.771)</f>
        <v>50.771000000000001</v>
      </c>
      <c r="I2600" s="2">
        <f ca="1">IFERROR(__xludf.DUMMYFUNCTION("""COMPUTED_VALUE"""),52)</f>
        <v>52</v>
      </c>
      <c r="J2600" s="2">
        <f ca="1">IFERROR(__xludf.DUMMYFUNCTION("""COMPUTED_VALUE"""),50.218)</f>
        <v>50.218000000000004</v>
      </c>
      <c r="K2600" s="2">
        <f ca="1">IFERROR(__xludf.DUMMYFUNCTION("""COMPUTED_VALUE"""),66.77)</f>
        <v>66.77</v>
      </c>
      <c r="M2600" s="2">
        <f ca="1">IFERROR(__xludf.DUMMYFUNCTION("""COMPUTED_VALUE"""),17.446)</f>
        <v>17.446000000000002</v>
      </c>
      <c r="U2600" s="3" t="e">
        <f ca="1"/>
        <v>#NAME?</v>
      </c>
    </row>
    <row r="2601" spans="3:21" ht="12.5" x14ac:dyDescent="0.25">
      <c r="C2601" s="4">
        <f ca="1">IFERROR(__xludf.DUMMYFUNCTION("""COMPUTED_VALUE"""),43007.9986111111)</f>
        <v>43007.998611111099</v>
      </c>
      <c r="D2601" s="2">
        <f ca="1">IFERROR(__xludf.DUMMYFUNCTION("""COMPUTED_VALUE"""),65.303)</f>
        <v>65.302999999999997</v>
      </c>
      <c r="E2601" s="2">
        <f ca="1">IFERROR(__xludf.DUMMYFUNCTION("""COMPUTED_VALUE"""),80.483)</f>
        <v>80.483000000000004</v>
      </c>
      <c r="F2601" s="2">
        <f ca="1">IFERROR(__xludf.DUMMYFUNCTION("""COMPUTED_VALUE"""),82.667)</f>
        <v>82.667000000000002</v>
      </c>
      <c r="G2601" s="2">
        <f ca="1">IFERROR(__xludf.DUMMYFUNCTION("""COMPUTED_VALUE"""),0.64046)</f>
        <v>0.64046000000000003</v>
      </c>
      <c r="H2601" s="2">
        <f ca="1">IFERROR(__xludf.DUMMYFUNCTION("""COMPUTED_VALUE"""),50.892)</f>
        <v>50.892000000000003</v>
      </c>
      <c r="I2601" s="2">
        <f ca="1">IFERROR(__xludf.DUMMYFUNCTION("""COMPUTED_VALUE"""),52.211)</f>
        <v>52.210999999999999</v>
      </c>
      <c r="J2601" s="2">
        <f ca="1">IFERROR(__xludf.DUMMYFUNCTION("""COMPUTED_VALUE"""),50.372)</f>
        <v>50.372</v>
      </c>
      <c r="K2601" s="2">
        <f ca="1">IFERROR(__xludf.DUMMYFUNCTION("""COMPUTED_VALUE"""),66.767)</f>
        <v>66.766999999999996</v>
      </c>
      <c r="M2601" s="2">
        <f ca="1">IFERROR(__xludf.DUMMYFUNCTION("""COMPUTED_VALUE"""),17.477)</f>
        <v>17.477</v>
      </c>
      <c r="U2601" s="3" t="e">
        <f ca="1"/>
        <v>#NAME?</v>
      </c>
    </row>
    <row r="2602" spans="3:21" ht="12.5" x14ac:dyDescent="0.25">
      <c r="C2602" s="4">
        <f ca="1">IFERROR(__xludf.DUMMYFUNCTION("""COMPUTED_VALUE"""),43008.9986111111)</f>
        <v>43008.998611111099</v>
      </c>
      <c r="D2602" s="2">
        <f ca="1">IFERROR(__xludf.DUMMYFUNCTION("""COMPUTED_VALUE"""),65.291)</f>
        <v>65.290999999999997</v>
      </c>
      <c r="E2602" s="2">
        <f ca="1">IFERROR(__xludf.DUMMYFUNCTION("""COMPUTED_VALUE"""),80.434)</f>
        <v>80.433999999999997</v>
      </c>
      <c r="F2602" s="2">
        <f ca="1">IFERROR(__xludf.DUMMYFUNCTION("""COMPUTED_VALUE"""),82.69)</f>
        <v>82.69</v>
      </c>
      <c r="G2602" s="2">
        <f ca="1">IFERROR(__xludf.DUMMYFUNCTION("""COMPUTED_VALUE"""),0.64151)</f>
        <v>0.64151000000000002</v>
      </c>
      <c r="H2602" s="2">
        <f ca="1">IFERROR(__xludf.DUMMYFUNCTION("""COMPUTED_VALUE"""),50.162)</f>
        <v>50.161999999999999</v>
      </c>
      <c r="I2602" s="2">
        <f ca="1">IFERROR(__xludf.DUMMYFUNCTION("""COMPUTED_VALUE"""),51.461)</f>
        <v>51.460999999999999</v>
      </c>
      <c r="J2602" s="2">
        <f ca="1">IFERROR(__xludf.DUMMYFUNCTION("""COMPUTED_VALUE"""),50.381)</f>
        <v>50.381</v>
      </c>
      <c r="K2602" s="2">
        <f ca="1">IFERROR(__xludf.DUMMYFUNCTION("""COMPUTED_VALUE"""),66.941)</f>
        <v>66.941000000000003</v>
      </c>
      <c r="M2602" s="2">
        <f ca="1">IFERROR(__xludf.DUMMYFUNCTION("""COMPUTED_VALUE"""),17.436)</f>
        <v>17.436</v>
      </c>
      <c r="U2602" s="3" t="e">
        <f ca="1"/>
        <v>#NAME?</v>
      </c>
    </row>
    <row r="2603" spans="3:21" ht="12.5" x14ac:dyDescent="0.25">
      <c r="C2603" s="4">
        <f ca="1">IFERROR(__xludf.DUMMYFUNCTION("""COMPUTED_VALUE"""),43009.9986111111)</f>
        <v>43009.998611111099</v>
      </c>
      <c r="D2603" s="2">
        <f ca="1">IFERROR(__xludf.DUMMYFUNCTION("""COMPUTED_VALUE"""),65.2933)</f>
        <v>65.293300000000002</v>
      </c>
      <c r="E2603" s="2">
        <f ca="1">IFERROR(__xludf.DUMMYFUNCTION("""COMPUTED_VALUE"""),80.489)</f>
        <v>80.489000000000004</v>
      </c>
      <c r="F2603" s="2">
        <f ca="1">IFERROR(__xludf.DUMMYFUNCTION("""COMPUTED_VALUE"""),82.91)</f>
        <v>82.91</v>
      </c>
      <c r="G2603" s="2">
        <f ca="1">IFERROR(__xludf.DUMMYFUNCTION("""COMPUTED_VALUE"""),0.64321)</f>
        <v>0.64320999999999995</v>
      </c>
      <c r="H2603" s="2">
        <f ca="1">IFERROR(__xludf.DUMMYFUNCTION("""COMPUTED_VALUE"""),50.939)</f>
        <v>50.939</v>
      </c>
      <c r="I2603" s="2">
        <f ca="1">IFERROR(__xludf.DUMMYFUNCTION("""COMPUTED_VALUE"""),52.241)</f>
        <v>52.241</v>
      </c>
      <c r="J2603" s="2">
        <f ca="1">IFERROR(__xludf.DUMMYFUNCTION("""COMPUTED_VALUE"""),49.651)</f>
        <v>49.651000000000003</v>
      </c>
      <c r="K2603" s="2">
        <f ca="1">IFERROR(__xludf.DUMMYFUNCTION("""COMPUTED_VALUE"""),67.012)</f>
        <v>67.012</v>
      </c>
      <c r="M2603" s="2">
        <f ca="1">IFERROR(__xludf.DUMMYFUNCTION("""COMPUTED_VALUE"""),17.453)</f>
        <v>17.452999999999999</v>
      </c>
      <c r="U2603" s="3" t="e">
        <f ca="1"/>
        <v>#NAME?</v>
      </c>
    </row>
    <row r="2604" spans="3:21" ht="12.5" x14ac:dyDescent="0.25">
      <c r="C2604" s="4">
        <f ca="1">IFERROR(__xludf.DUMMYFUNCTION("""COMPUTED_VALUE"""),43010.9986111111)</f>
        <v>43010.998611111099</v>
      </c>
      <c r="D2604" s="2">
        <f ca="1">IFERROR(__xludf.DUMMYFUNCTION("""COMPUTED_VALUE"""),65.5717)</f>
        <v>65.571700000000007</v>
      </c>
      <c r="E2604" s="2">
        <f ca="1">IFERROR(__xludf.DUMMYFUNCTION("""COMPUTED_VALUE"""),80.592)</f>
        <v>80.591999999999999</v>
      </c>
      <c r="F2604" s="2">
        <f ca="1">IFERROR(__xludf.DUMMYFUNCTION("""COMPUTED_VALUE"""),82.9)</f>
        <v>82.9</v>
      </c>
      <c r="G2604" s="2">
        <f ca="1">IFERROR(__xludf.DUMMYFUNCTION("""COMPUTED_VALUE"""),0.65056)</f>
        <v>0.65056000000000003</v>
      </c>
      <c r="H2604" s="2">
        <f ca="1">IFERROR(__xludf.DUMMYFUNCTION("""COMPUTED_VALUE"""),50.763)</f>
        <v>50.762999999999998</v>
      </c>
      <c r="I2604" s="2">
        <f ca="1">IFERROR(__xludf.DUMMYFUNCTION("""COMPUTED_VALUE"""),52.223)</f>
        <v>52.222999999999999</v>
      </c>
      <c r="J2604" s="2">
        <f ca="1">IFERROR(__xludf.DUMMYFUNCTION("""COMPUTED_VALUE"""),50.404)</f>
        <v>50.404000000000003</v>
      </c>
      <c r="K2604" s="2">
        <f ca="1">IFERROR(__xludf.DUMMYFUNCTION("""COMPUTED_VALUE"""),66.913)</f>
        <v>66.912999999999997</v>
      </c>
      <c r="M2604" s="2">
        <f ca="1">IFERROR(__xludf.DUMMYFUNCTION("""COMPUTED_VALUE"""),17.455)</f>
        <v>17.454999999999998</v>
      </c>
      <c r="U2604" s="3" t="e">
        <f ca="1"/>
        <v>#NAME?</v>
      </c>
    </row>
    <row r="2605" spans="3:21" ht="12.5" x14ac:dyDescent="0.25">
      <c r="C2605" s="4">
        <f ca="1">IFERROR(__xludf.DUMMYFUNCTION("""COMPUTED_VALUE"""),43011.9986111111)</f>
        <v>43011.998611111099</v>
      </c>
      <c r="D2605" s="2">
        <f ca="1">IFERROR(__xludf.DUMMYFUNCTION("""COMPUTED_VALUE"""),65.4431)</f>
        <v>65.443100000000001</v>
      </c>
      <c r="E2605" s="2">
        <f ca="1">IFERROR(__xludf.DUMMYFUNCTION("""COMPUTED_VALUE"""),79.861)</f>
        <v>79.861000000000004</v>
      </c>
      <c r="F2605" s="2">
        <f ca="1">IFERROR(__xludf.DUMMYFUNCTION("""COMPUTED_VALUE"""),82.987)</f>
        <v>82.986999999999995</v>
      </c>
      <c r="G2605" s="2">
        <f ca="1">IFERROR(__xludf.DUMMYFUNCTION("""COMPUTED_VALUE"""),0.64611)</f>
        <v>0.64610999999999996</v>
      </c>
      <c r="H2605" s="2">
        <f ca="1">IFERROR(__xludf.DUMMYFUNCTION("""COMPUTED_VALUE"""),51.153)</f>
        <v>51.152999999999999</v>
      </c>
      <c r="I2605" s="2">
        <f ca="1">IFERROR(__xludf.DUMMYFUNCTION("""COMPUTED_VALUE"""),52.38)</f>
        <v>52.38</v>
      </c>
      <c r="J2605" s="2">
        <f ca="1">IFERROR(__xludf.DUMMYFUNCTION("""COMPUTED_VALUE"""),50.374)</f>
        <v>50.374000000000002</v>
      </c>
      <c r="K2605" s="2">
        <f ca="1">IFERROR(__xludf.DUMMYFUNCTION("""COMPUTED_VALUE"""),66.964)</f>
        <v>66.963999999999999</v>
      </c>
      <c r="M2605" s="2">
        <f ca="1">IFERROR(__xludf.DUMMYFUNCTION("""COMPUTED_VALUE"""),17.425)</f>
        <v>17.425000000000001</v>
      </c>
      <c r="U2605" s="3" t="e">
        <f ca="1"/>
        <v>#NAME?</v>
      </c>
    </row>
    <row r="2606" spans="3:21" ht="12.5" x14ac:dyDescent="0.25">
      <c r="C2606" s="4">
        <f ca="1">IFERROR(__xludf.DUMMYFUNCTION("""COMPUTED_VALUE"""),43012.9986111111)</f>
        <v>43012.998611111099</v>
      </c>
      <c r="D2606" s="2">
        <f ca="1">IFERROR(__xludf.DUMMYFUNCTION("""COMPUTED_VALUE"""),65.0195)</f>
        <v>65.019499999999994</v>
      </c>
      <c r="E2606" s="2">
        <f ca="1">IFERROR(__xludf.DUMMYFUNCTION("""COMPUTED_VALUE"""),79.893)</f>
        <v>79.893000000000001</v>
      </c>
      <c r="F2606" s="2">
        <f ca="1">IFERROR(__xludf.DUMMYFUNCTION("""COMPUTED_VALUE"""),82.745)</f>
        <v>82.745000000000005</v>
      </c>
      <c r="G2606" s="2">
        <f ca="1">IFERROR(__xludf.DUMMYFUNCTION("""COMPUTED_VALUE"""),0.65139)</f>
        <v>0.65139000000000002</v>
      </c>
      <c r="H2606" s="2">
        <f ca="1">IFERROR(__xludf.DUMMYFUNCTION("""COMPUTED_VALUE"""),51.217)</f>
        <v>51.216999999999999</v>
      </c>
      <c r="I2606" s="2">
        <f ca="1">IFERROR(__xludf.DUMMYFUNCTION("""COMPUTED_VALUE"""),52.665)</f>
        <v>52.664999999999999</v>
      </c>
      <c r="J2606" s="2">
        <f ca="1">IFERROR(__xludf.DUMMYFUNCTION("""COMPUTED_VALUE"""),50.516)</f>
        <v>50.515999999999998</v>
      </c>
      <c r="K2606" s="2">
        <f ca="1">IFERROR(__xludf.DUMMYFUNCTION("""COMPUTED_VALUE"""),67.262)</f>
        <v>67.262</v>
      </c>
      <c r="M2606" s="2">
        <f ca="1">IFERROR(__xludf.DUMMYFUNCTION("""COMPUTED_VALUE"""),17.428)</f>
        <v>17.428000000000001</v>
      </c>
      <c r="U2606" s="3" t="e">
        <f ca="1"/>
        <v>#NAME?</v>
      </c>
    </row>
    <row r="2607" spans="3:21" ht="12.5" x14ac:dyDescent="0.25">
      <c r="C2607" s="4">
        <f ca="1">IFERROR(__xludf.DUMMYFUNCTION("""COMPUTED_VALUE"""),43013.9986111111)</f>
        <v>43013.998611111099</v>
      </c>
      <c r="D2607" s="2">
        <f ca="1">IFERROR(__xludf.DUMMYFUNCTION("""COMPUTED_VALUE"""),65.21)</f>
        <v>65.209999999999994</v>
      </c>
      <c r="E2607" s="2">
        <f ca="1">IFERROR(__xludf.DUMMYFUNCTION("""COMPUTED_VALUE"""),80.243)</f>
        <v>80.242999999999995</v>
      </c>
      <c r="F2607" s="2">
        <f ca="1">IFERROR(__xludf.DUMMYFUNCTION("""COMPUTED_VALUE"""),83.593)</f>
        <v>83.593000000000004</v>
      </c>
      <c r="G2607" s="2">
        <f ca="1">IFERROR(__xludf.DUMMYFUNCTION("""COMPUTED_VALUE"""),0.65016)</f>
        <v>0.65015999999999996</v>
      </c>
      <c r="H2607" s="2">
        <f ca="1">IFERROR(__xludf.DUMMYFUNCTION("""COMPUTED_VALUE"""),50.612)</f>
        <v>50.612000000000002</v>
      </c>
      <c r="I2607" s="2">
        <f ca="1">IFERROR(__xludf.DUMMYFUNCTION("""COMPUTED_VALUE"""),52.478)</f>
        <v>52.478000000000002</v>
      </c>
      <c r="J2607" s="2">
        <f ca="1">IFERROR(__xludf.DUMMYFUNCTION("""COMPUTED_VALUE"""),50.573)</f>
        <v>50.573</v>
      </c>
      <c r="K2607" s="2">
        <f ca="1">IFERROR(__xludf.DUMMYFUNCTION("""COMPUTED_VALUE"""),67.276)</f>
        <v>67.275999999999996</v>
      </c>
      <c r="M2607" s="2">
        <f ca="1">IFERROR(__xludf.DUMMYFUNCTION("""COMPUTED_VALUE"""),17.427)</f>
        <v>17.427</v>
      </c>
      <c r="U2607" s="3" t="e">
        <f ca="1"/>
        <v>#NAME?</v>
      </c>
    </row>
    <row r="2608" spans="3:21" ht="12.5" x14ac:dyDescent="0.25">
      <c r="C2608" s="4">
        <f ca="1">IFERROR(__xludf.DUMMYFUNCTION("""COMPUTED_VALUE"""),43014.9986111111)</f>
        <v>43014.998611111099</v>
      </c>
      <c r="D2608" s="2">
        <f ca="1">IFERROR(__xludf.DUMMYFUNCTION("""COMPUTED_VALUE"""),65.393)</f>
        <v>65.393000000000001</v>
      </c>
      <c r="E2608" s="2">
        <f ca="1">IFERROR(__xludf.DUMMYFUNCTION("""COMPUTED_VALUE"""),79.946)</f>
        <v>79.945999999999998</v>
      </c>
      <c r="F2608" s="2">
        <f ca="1">IFERROR(__xludf.DUMMYFUNCTION("""COMPUTED_VALUE"""),83.52)</f>
        <v>83.52</v>
      </c>
      <c r="G2608" s="2">
        <f ca="1">IFERROR(__xludf.DUMMYFUNCTION("""COMPUTED_VALUE"""),0.6481)</f>
        <v>0.64810000000000001</v>
      </c>
      <c r="H2608" s="2">
        <f ca="1">IFERROR(__xludf.DUMMYFUNCTION("""COMPUTED_VALUE"""),50.696)</f>
        <v>50.695999999999998</v>
      </c>
      <c r="I2608" s="2">
        <f ca="1">IFERROR(__xludf.DUMMYFUNCTION("""COMPUTED_VALUE"""),52.475)</f>
        <v>52.475000000000001</v>
      </c>
      <c r="J2608" s="2">
        <f ca="1">IFERROR(__xludf.DUMMYFUNCTION("""COMPUTED_VALUE"""),50.293)</f>
        <v>50.292999999999999</v>
      </c>
      <c r="K2608" s="2">
        <f ca="1">IFERROR(__xludf.DUMMYFUNCTION("""COMPUTED_VALUE"""),67.47)</f>
        <v>67.47</v>
      </c>
      <c r="M2608" s="2">
        <f ca="1">IFERROR(__xludf.DUMMYFUNCTION("""COMPUTED_VALUE"""),17.433)</f>
        <v>17.433</v>
      </c>
      <c r="U2608" s="3" t="e">
        <f ca="1"/>
        <v>#NAME?</v>
      </c>
    </row>
    <row r="2609" spans="3:21" ht="12.5" x14ac:dyDescent="0.25">
      <c r="C2609" s="4">
        <f ca="1">IFERROR(__xludf.DUMMYFUNCTION("""COMPUTED_VALUE"""),43015.9986111111)</f>
        <v>43015.998611111099</v>
      </c>
      <c r="D2609" s="2">
        <f ca="1">IFERROR(__xludf.DUMMYFUNCTION("""COMPUTED_VALUE"""),65.393)</f>
        <v>65.393000000000001</v>
      </c>
      <c r="E2609" s="2">
        <f ca="1">IFERROR(__xludf.DUMMYFUNCTION("""COMPUTED_VALUE"""),79.643)</f>
        <v>79.643000000000001</v>
      </c>
      <c r="F2609" s="2">
        <f ca="1">IFERROR(__xludf.DUMMYFUNCTION("""COMPUTED_VALUE"""),83.748)</f>
        <v>83.748000000000005</v>
      </c>
      <c r="G2609" s="2">
        <f ca="1">IFERROR(__xludf.DUMMYFUNCTION("""COMPUTED_VALUE"""),0.64251)</f>
        <v>0.64251000000000003</v>
      </c>
      <c r="H2609" s="2">
        <f ca="1">IFERROR(__xludf.DUMMYFUNCTION("""COMPUTED_VALUE"""),50.767)</f>
        <v>50.767000000000003</v>
      </c>
      <c r="I2609" s="2">
        <f ca="1">IFERROR(__xludf.DUMMYFUNCTION("""COMPUTED_VALUE"""),52.608)</f>
        <v>52.607999999999997</v>
      </c>
      <c r="J2609" s="2">
        <f ca="1">IFERROR(__xludf.DUMMYFUNCTION("""COMPUTED_VALUE"""),50.361)</f>
        <v>50.360999999999997</v>
      </c>
      <c r="K2609" s="2">
        <f ca="1">IFERROR(__xludf.DUMMYFUNCTION("""COMPUTED_VALUE"""),67.926)</f>
        <v>67.926000000000002</v>
      </c>
      <c r="M2609" s="2">
        <f ca="1">IFERROR(__xludf.DUMMYFUNCTION("""COMPUTED_VALUE"""),17.452)</f>
        <v>17.452000000000002</v>
      </c>
      <c r="U2609" s="3" t="e">
        <f ca="1"/>
        <v>#NAME?</v>
      </c>
    </row>
    <row r="2610" spans="3:21" ht="12.5" x14ac:dyDescent="0.25">
      <c r="C2610" s="4">
        <f ca="1">IFERROR(__xludf.DUMMYFUNCTION("""COMPUTED_VALUE"""),43016.9986111111)</f>
        <v>43016.998611111099</v>
      </c>
      <c r="D2610" s="2">
        <f ca="1">IFERROR(__xludf.DUMMYFUNCTION("""COMPUTED_VALUE"""),65.4142)</f>
        <v>65.414199999999994</v>
      </c>
      <c r="E2610" s="2">
        <f ca="1">IFERROR(__xludf.DUMMYFUNCTION("""COMPUTED_VALUE"""),79.426)</f>
        <v>79.426000000000002</v>
      </c>
      <c r="F2610" s="2">
        <f ca="1">IFERROR(__xludf.DUMMYFUNCTION("""COMPUTED_VALUE"""),84.174)</f>
        <v>84.174000000000007</v>
      </c>
      <c r="G2610" s="2">
        <f ca="1">IFERROR(__xludf.DUMMYFUNCTION("""COMPUTED_VALUE"""),0.64068)</f>
        <v>0.64068000000000003</v>
      </c>
      <c r="H2610" s="2">
        <f ca="1">IFERROR(__xludf.DUMMYFUNCTION("""COMPUTED_VALUE"""),50.744)</f>
        <v>50.744</v>
      </c>
      <c r="I2610" s="2">
        <f ca="1">IFERROR(__xludf.DUMMYFUNCTION("""COMPUTED_VALUE"""),52.533)</f>
        <v>52.533000000000001</v>
      </c>
      <c r="J2610" s="2">
        <f ca="1">IFERROR(__xludf.DUMMYFUNCTION("""COMPUTED_VALUE"""),50.354)</f>
        <v>50.353999999999999</v>
      </c>
      <c r="K2610" s="2">
        <f ca="1">IFERROR(__xludf.DUMMYFUNCTION("""COMPUTED_VALUE"""),67.67)</f>
        <v>67.67</v>
      </c>
      <c r="M2610" s="2">
        <f ca="1">IFERROR(__xludf.DUMMYFUNCTION("""COMPUTED_VALUE"""),17.439)</f>
        <v>17.439</v>
      </c>
      <c r="U2610" s="3" t="e">
        <f ca="1"/>
        <v>#NAME?</v>
      </c>
    </row>
    <row r="2611" spans="3:21" ht="12.5" x14ac:dyDescent="0.25">
      <c r="C2611" s="4">
        <f ca="1">IFERROR(__xludf.DUMMYFUNCTION("""COMPUTED_VALUE"""),43017.9986111111)</f>
        <v>43017.998611111099</v>
      </c>
      <c r="D2611" s="2">
        <f ca="1">IFERROR(__xludf.DUMMYFUNCTION("""COMPUTED_VALUE"""),65.4146)</f>
        <v>65.414599999999993</v>
      </c>
      <c r="E2611" s="2">
        <f ca="1">IFERROR(__xludf.DUMMYFUNCTION("""COMPUTED_VALUE"""),79.216)</f>
        <v>79.215999999999994</v>
      </c>
      <c r="F2611" s="2">
        <f ca="1">IFERROR(__xludf.DUMMYFUNCTION("""COMPUTED_VALUE"""),84.382)</f>
        <v>84.382000000000005</v>
      </c>
      <c r="G2611" s="2">
        <f ca="1">IFERROR(__xludf.DUMMYFUNCTION("""COMPUTED_VALUE"""),0.64873)</f>
        <v>0.64873000000000003</v>
      </c>
      <c r="H2611" s="2">
        <f ca="1">IFERROR(__xludf.DUMMYFUNCTION("""COMPUTED_VALUE"""),50.568)</f>
        <v>50.567999999999998</v>
      </c>
      <c r="I2611" s="2">
        <f ca="1">IFERROR(__xludf.DUMMYFUNCTION("""COMPUTED_VALUE"""),52.526)</f>
        <v>52.526000000000003</v>
      </c>
      <c r="J2611" s="2">
        <f ca="1">IFERROR(__xludf.DUMMYFUNCTION("""COMPUTED_VALUE"""),50.219)</f>
        <v>50.219000000000001</v>
      </c>
      <c r="K2611" s="2">
        <f ca="1">IFERROR(__xludf.DUMMYFUNCTION("""COMPUTED_VALUE"""),67.577)</f>
        <v>67.576999999999998</v>
      </c>
      <c r="M2611" s="2">
        <f ca="1">IFERROR(__xludf.DUMMYFUNCTION("""COMPUTED_VALUE"""),17.385)</f>
        <v>17.385000000000002</v>
      </c>
      <c r="U2611" s="3" t="e">
        <f ca="1"/>
        <v>#NAME?</v>
      </c>
    </row>
    <row r="2612" spans="3:21" ht="12.5" x14ac:dyDescent="0.25">
      <c r="C2612" s="4">
        <f ca="1">IFERROR(__xludf.DUMMYFUNCTION("""COMPUTED_VALUE"""),43018.9986111111)</f>
        <v>43018.998611111099</v>
      </c>
      <c r="D2612" s="2">
        <f ca="1">IFERROR(__xludf.DUMMYFUNCTION("""COMPUTED_VALUE"""),65.2389)</f>
        <v>65.238900000000001</v>
      </c>
      <c r="E2612" s="2">
        <f ca="1">IFERROR(__xludf.DUMMYFUNCTION("""COMPUTED_VALUE"""),79.462)</f>
        <v>79.462000000000003</v>
      </c>
      <c r="F2612" s="2">
        <f ca="1">IFERROR(__xludf.DUMMYFUNCTION("""COMPUTED_VALUE"""),84.31)</f>
        <v>84.31</v>
      </c>
      <c r="G2612" s="2">
        <f ca="1">IFERROR(__xludf.DUMMYFUNCTION("""COMPUTED_VALUE"""),0.64682)</f>
        <v>0.64681999999999995</v>
      </c>
      <c r="H2612" s="2">
        <f ca="1">IFERROR(__xludf.DUMMYFUNCTION("""COMPUTED_VALUE"""),50.452)</f>
        <v>50.451999999999998</v>
      </c>
      <c r="I2612" s="2">
        <f ca="1">IFERROR(__xludf.DUMMYFUNCTION("""COMPUTED_VALUE"""),52.637)</f>
        <v>52.637</v>
      </c>
      <c r="J2612" s="2">
        <f ca="1">IFERROR(__xludf.DUMMYFUNCTION("""COMPUTED_VALUE"""),50.129)</f>
        <v>50.128999999999998</v>
      </c>
      <c r="K2612" s="2">
        <f ca="1">IFERROR(__xludf.DUMMYFUNCTION("""COMPUTED_VALUE"""),68.098)</f>
        <v>68.097999999999999</v>
      </c>
      <c r="M2612" s="2">
        <f ca="1">IFERROR(__xludf.DUMMYFUNCTION("""COMPUTED_VALUE"""),17.377)</f>
        <v>17.376999999999999</v>
      </c>
      <c r="U2612" s="3" t="e">
        <f ca="1"/>
        <v>#NAME?</v>
      </c>
    </row>
    <row r="2613" spans="3:21" ht="12.5" x14ac:dyDescent="0.25">
      <c r="C2613" s="4">
        <f ca="1">IFERROR(__xludf.DUMMYFUNCTION("""COMPUTED_VALUE"""),43019.9986111111)</f>
        <v>43019.998611111099</v>
      </c>
      <c r="D2613" s="2">
        <f ca="1">IFERROR(__xludf.DUMMYFUNCTION("""COMPUTED_VALUE"""),65.2054)</f>
        <v>65.205399999999997</v>
      </c>
      <c r="E2613" s="2">
        <f ca="1">IFERROR(__xludf.DUMMYFUNCTION("""COMPUTED_VALUE"""),79.551)</f>
        <v>79.551000000000002</v>
      </c>
      <c r="F2613" s="2">
        <f ca="1">IFERROR(__xludf.DUMMYFUNCTION("""COMPUTED_VALUE"""),84.296)</f>
        <v>84.296000000000006</v>
      </c>
      <c r="G2613" s="2">
        <f ca="1">IFERROR(__xludf.DUMMYFUNCTION("""COMPUTED_VALUE"""),0.64364)</f>
        <v>0.64363999999999999</v>
      </c>
      <c r="H2613" s="2">
        <f ca="1">IFERROR(__xludf.DUMMYFUNCTION("""COMPUTED_VALUE"""),50.646)</f>
        <v>50.646000000000001</v>
      </c>
      <c r="I2613" s="2">
        <f ca="1">IFERROR(__xludf.DUMMYFUNCTION("""COMPUTED_VALUE"""),52.707)</f>
        <v>52.707000000000001</v>
      </c>
      <c r="J2613" s="2">
        <f ca="1">IFERROR(__xludf.DUMMYFUNCTION("""COMPUTED_VALUE"""),50.084)</f>
        <v>50.084000000000003</v>
      </c>
      <c r="K2613" s="2">
        <f ca="1">IFERROR(__xludf.DUMMYFUNCTION("""COMPUTED_VALUE"""),68.035)</f>
        <v>68.034999999999997</v>
      </c>
      <c r="M2613" s="2">
        <f ca="1">IFERROR(__xludf.DUMMYFUNCTION("""COMPUTED_VALUE"""),17.382)</f>
        <v>17.382000000000001</v>
      </c>
      <c r="U2613" s="3" t="e">
        <f ca="1"/>
        <v>#NAME?</v>
      </c>
    </row>
    <row r="2614" spans="3:21" ht="12.5" x14ac:dyDescent="0.25">
      <c r="C2614" s="4">
        <f ca="1">IFERROR(__xludf.DUMMYFUNCTION("""COMPUTED_VALUE"""),43020.9986111111)</f>
        <v>43020.998611111099</v>
      </c>
      <c r="D2614" s="2">
        <f ca="1">IFERROR(__xludf.DUMMYFUNCTION("""COMPUTED_VALUE"""),65.046)</f>
        <v>65.046000000000006</v>
      </c>
      <c r="E2614" s="2">
        <f ca="1">IFERROR(__xludf.DUMMYFUNCTION("""COMPUTED_VALUE"""),79.638)</f>
        <v>79.638000000000005</v>
      </c>
      <c r="F2614" s="2">
        <f ca="1">IFERROR(__xludf.DUMMYFUNCTION("""COMPUTED_VALUE"""),85.031)</f>
        <v>85.031000000000006</v>
      </c>
      <c r="G2614" s="2">
        <f ca="1">IFERROR(__xludf.DUMMYFUNCTION("""COMPUTED_VALUE"""),0.63949)</f>
        <v>0.63949</v>
      </c>
      <c r="H2614" s="2">
        <f ca="1">IFERROR(__xludf.DUMMYFUNCTION("""COMPUTED_VALUE"""),50.779)</f>
        <v>50.779000000000003</v>
      </c>
      <c r="I2614" s="2">
        <f ca="1">IFERROR(__xludf.DUMMYFUNCTION("""COMPUTED_VALUE"""),52.875)</f>
        <v>52.875</v>
      </c>
      <c r="J2614" s="2">
        <f ca="1">IFERROR(__xludf.DUMMYFUNCTION("""COMPUTED_VALUE"""),50.104)</f>
        <v>50.103999999999999</v>
      </c>
      <c r="K2614" s="2">
        <f ca="1">IFERROR(__xludf.DUMMYFUNCTION("""COMPUTED_VALUE"""),68.25)</f>
        <v>68.25</v>
      </c>
      <c r="M2614" s="2">
        <f ca="1">IFERROR(__xludf.DUMMYFUNCTION("""COMPUTED_VALUE"""),17.388)</f>
        <v>17.388000000000002</v>
      </c>
      <c r="U2614" s="3" t="e">
        <f ca="1"/>
        <v>#NAME?</v>
      </c>
    </row>
    <row r="2615" spans="3:21" ht="12.5" x14ac:dyDescent="0.25">
      <c r="C2615" s="4">
        <f ca="1">IFERROR(__xludf.DUMMYFUNCTION("""COMPUTED_VALUE"""),43021.9986111111)</f>
        <v>43021.998611111099</v>
      </c>
      <c r="D2615" s="2">
        <f ca="1">IFERROR(__xludf.DUMMYFUNCTION("""COMPUTED_VALUE"""),64.693)</f>
        <v>64.692999999999998</v>
      </c>
      <c r="E2615" s="2">
        <f ca="1">IFERROR(__xludf.DUMMYFUNCTION("""COMPUTED_VALUE"""),79.156)</f>
        <v>79.156000000000006</v>
      </c>
      <c r="F2615" s="2">
        <f ca="1">IFERROR(__xludf.DUMMYFUNCTION("""COMPUTED_VALUE"""),84.692)</f>
        <v>84.691999999999993</v>
      </c>
      <c r="G2615" s="2">
        <f ca="1">IFERROR(__xludf.DUMMYFUNCTION("""COMPUTED_VALUE"""),0.6412)</f>
        <v>0.64119999999999999</v>
      </c>
      <c r="H2615" s="2">
        <f ca="1">IFERROR(__xludf.DUMMYFUNCTION("""COMPUTED_VALUE"""),50.897)</f>
        <v>50.896999999999998</v>
      </c>
      <c r="I2615" s="2">
        <f ca="1">IFERROR(__xludf.DUMMYFUNCTION("""COMPUTED_VALUE"""),52.503)</f>
        <v>52.503</v>
      </c>
      <c r="J2615" s="2">
        <f ca="1">IFERROR(__xludf.DUMMYFUNCTION("""COMPUTED_VALUE"""),50.25)</f>
        <v>50.25</v>
      </c>
      <c r="K2615" s="2">
        <f ca="1">IFERROR(__xludf.DUMMYFUNCTION("""COMPUTED_VALUE"""),68.499)</f>
        <v>68.498999999999995</v>
      </c>
      <c r="M2615" s="2">
        <f ca="1">IFERROR(__xludf.DUMMYFUNCTION("""COMPUTED_VALUE"""),17.273)</f>
        <v>17.273</v>
      </c>
      <c r="U2615" s="3" t="e">
        <f ca="1"/>
        <v>#NAME?</v>
      </c>
    </row>
    <row r="2616" spans="3:21" ht="12.5" x14ac:dyDescent="0.25">
      <c r="C2616" s="4">
        <f ca="1">IFERROR(__xludf.DUMMYFUNCTION("""COMPUTED_VALUE"""),43022.9986111111)</f>
        <v>43022.998611111099</v>
      </c>
      <c r="D2616" s="2">
        <f ca="1">IFERROR(__xludf.DUMMYFUNCTION("""COMPUTED_VALUE"""),64.673)</f>
        <v>64.673000000000002</v>
      </c>
      <c r="E2616" s="2">
        <f ca="1">IFERROR(__xludf.DUMMYFUNCTION("""COMPUTED_VALUE"""),78.53)</f>
        <v>78.53</v>
      </c>
      <c r="F2616" s="2">
        <f ca="1">IFERROR(__xludf.DUMMYFUNCTION("""COMPUTED_VALUE"""),85.942)</f>
        <v>85.941999999999993</v>
      </c>
      <c r="G2616" s="2">
        <f ca="1">IFERROR(__xludf.DUMMYFUNCTION("""COMPUTED_VALUE"""),0.64004)</f>
        <v>0.64004000000000005</v>
      </c>
      <c r="H2616" s="2">
        <f ca="1">IFERROR(__xludf.DUMMYFUNCTION("""COMPUTED_VALUE"""),50.946)</f>
        <v>50.945999999999998</v>
      </c>
      <c r="I2616" s="2">
        <f ca="1">IFERROR(__xludf.DUMMYFUNCTION("""COMPUTED_VALUE"""),52.685)</f>
        <v>52.685000000000002</v>
      </c>
      <c r="J2616" s="2">
        <f ca="1">IFERROR(__xludf.DUMMYFUNCTION("""COMPUTED_VALUE"""),50.279)</f>
        <v>50.279000000000003</v>
      </c>
      <c r="K2616" s="2">
        <f ca="1">IFERROR(__xludf.DUMMYFUNCTION("""COMPUTED_VALUE"""),68.642)</f>
        <v>68.641999999999996</v>
      </c>
      <c r="M2616" s="2">
        <f ca="1">IFERROR(__xludf.DUMMYFUNCTION("""COMPUTED_VALUE"""),17.27)</f>
        <v>17.27</v>
      </c>
      <c r="U2616" s="3" t="e">
        <f ca="1"/>
        <v>#NAME?</v>
      </c>
    </row>
    <row r="2617" spans="3:21" ht="12.5" x14ac:dyDescent="0.25">
      <c r="C2617" s="4">
        <f ca="1">IFERROR(__xludf.DUMMYFUNCTION("""COMPUTED_VALUE"""),43023.9986111111)</f>
        <v>43023.998611111099</v>
      </c>
      <c r="D2617" s="2">
        <f ca="1">IFERROR(__xludf.DUMMYFUNCTION("""COMPUTED_VALUE"""),64.673)</f>
        <v>64.673000000000002</v>
      </c>
      <c r="E2617" s="2">
        <f ca="1">IFERROR(__xludf.DUMMYFUNCTION("""COMPUTED_VALUE"""),79.746)</f>
        <v>79.745999999999995</v>
      </c>
      <c r="F2617" s="2">
        <f ca="1">IFERROR(__xludf.DUMMYFUNCTION("""COMPUTED_VALUE"""),87.115)</f>
        <v>87.114999999999995</v>
      </c>
      <c r="G2617" s="2">
        <f ca="1">IFERROR(__xludf.DUMMYFUNCTION("""COMPUTED_VALUE"""),0.6437)</f>
        <v>0.64370000000000005</v>
      </c>
      <c r="H2617" s="2">
        <f ca="1">IFERROR(__xludf.DUMMYFUNCTION("""COMPUTED_VALUE"""),50.637)</f>
        <v>50.637</v>
      </c>
      <c r="I2617" s="2">
        <f ca="1">IFERROR(__xludf.DUMMYFUNCTION("""COMPUTED_VALUE"""),52.651)</f>
        <v>52.651000000000003</v>
      </c>
      <c r="J2617" s="2">
        <f ca="1">IFERROR(__xludf.DUMMYFUNCTION("""COMPUTED_VALUE"""),50.308)</f>
        <v>50.308</v>
      </c>
      <c r="K2617" s="2">
        <f ca="1">IFERROR(__xludf.DUMMYFUNCTION("""COMPUTED_VALUE"""),68.798)</f>
        <v>68.798000000000002</v>
      </c>
      <c r="M2617" s="2">
        <f ca="1">IFERROR(__xludf.DUMMYFUNCTION("""COMPUTED_VALUE"""),17.25)</f>
        <v>17.25</v>
      </c>
      <c r="U2617" s="3" t="e">
        <f ca="1"/>
        <v>#NAME?</v>
      </c>
    </row>
    <row r="2618" spans="3:21" ht="12.5" x14ac:dyDescent="0.25">
      <c r="C2618" s="4">
        <f ca="1">IFERROR(__xludf.DUMMYFUNCTION("""COMPUTED_VALUE"""),43024.9986111111)</f>
        <v>43024.998611111099</v>
      </c>
      <c r="D2618" s="2">
        <f ca="1">IFERROR(__xludf.DUMMYFUNCTION("""COMPUTED_VALUE"""),64.6946)</f>
        <v>64.694599999999994</v>
      </c>
      <c r="E2618" s="2">
        <f ca="1">IFERROR(__xludf.DUMMYFUNCTION("""COMPUTED_VALUE"""),79.283)</f>
        <v>79.283000000000001</v>
      </c>
      <c r="F2618" s="2">
        <f ca="1">IFERROR(__xludf.DUMMYFUNCTION("""COMPUTED_VALUE"""),87.144)</f>
        <v>87.144000000000005</v>
      </c>
      <c r="G2618" s="2">
        <f ca="1">IFERROR(__xludf.DUMMYFUNCTION("""COMPUTED_VALUE"""),0.64276)</f>
        <v>0.64276</v>
      </c>
      <c r="H2618" s="2">
        <f ca="1">IFERROR(__xludf.DUMMYFUNCTION("""COMPUTED_VALUE"""),50.213)</f>
        <v>50.213000000000001</v>
      </c>
      <c r="I2618" s="2">
        <f ca="1">IFERROR(__xludf.DUMMYFUNCTION("""COMPUTED_VALUE"""),52.399)</f>
        <v>52.399000000000001</v>
      </c>
      <c r="J2618" s="2">
        <f ca="1">IFERROR(__xludf.DUMMYFUNCTION("""COMPUTED_VALUE"""),50.218)</f>
        <v>50.218000000000004</v>
      </c>
      <c r="K2618" s="2">
        <f ca="1">IFERROR(__xludf.DUMMYFUNCTION("""COMPUTED_VALUE"""),68.369)</f>
        <v>68.369</v>
      </c>
      <c r="M2618" s="2">
        <f ca="1">IFERROR(__xludf.DUMMYFUNCTION("""COMPUTED_VALUE"""),17.24)</f>
        <v>17.239999999999998</v>
      </c>
      <c r="U2618" s="3" t="e">
        <f ca="1"/>
        <v>#NAME?</v>
      </c>
    </row>
    <row r="2619" spans="3:21" ht="12.5" x14ac:dyDescent="0.25">
      <c r="C2619" s="4">
        <f ca="1">IFERROR(__xludf.DUMMYFUNCTION("""COMPUTED_VALUE"""),43025.9986111111)</f>
        <v>43025.998611111099</v>
      </c>
      <c r="D2619" s="2">
        <f ca="1">IFERROR(__xludf.DUMMYFUNCTION("""COMPUTED_VALUE"""),64.9287)</f>
        <v>64.928700000000006</v>
      </c>
      <c r="E2619" s="2">
        <f ca="1">IFERROR(__xludf.DUMMYFUNCTION("""COMPUTED_VALUE"""),79.22)</f>
        <v>79.22</v>
      </c>
      <c r="F2619" s="2">
        <f ca="1">IFERROR(__xludf.DUMMYFUNCTION("""COMPUTED_VALUE"""),87.171)</f>
        <v>87.171000000000006</v>
      </c>
      <c r="G2619" s="2">
        <f ca="1">IFERROR(__xludf.DUMMYFUNCTION("""COMPUTED_VALUE"""),0.64356)</f>
        <v>0.64356000000000002</v>
      </c>
      <c r="H2619" s="2">
        <f ca="1">IFERROR(__xludf.DUMMYFUNCTION("""COMPUTED_VALUE"""),50.823)</f>
        <v>50.823</v>
      </c>
      <c r="I2619" s="2">
        <f ca="1">IFERROR(__xludf.DUMMYFUNCTION("""COMPUTED_VALUE"""),53.264)</f>
        <v>53.264000000000003</v>
      </c>
      <c r="J2619" s="2">
        <f ca="1">IFERROR(__xludf.DUMMYFUNCTION("""COMPUTED_VALUE"""),50.11)</f>
        <v>50.11</v>
      </c>
      <c r="K2619" s="2">
        <f ca="1">IFERROR(__xludf.DUMMYFUNCTION("""COMPUTED_VALUE"""),67.775)</f>
        <v>67.775000000000006</v>
      </c>
      <c r="M2619" s="2">
        <f ca="1">IFERROR(__xludf.DUMMYFUNCTION("""COMPUTED_VALUE"""),17.225)</f>
        <v>17.225000000000001</v>
      </c>
      <c r="U2619" s="3" t="e">
        <f ca="1"/>
        <v>#NAME?</v>
      </c>
    </row>
    <row r="2620" spans="3:21" ht="12.5" x14ac:dyDescent="0.25">
      <c r="C2620" s="4">
        <f ca="1">IFERROR(__xludf.DUMMYFUNCTION("""COMPUTED_VALUE"""),43026.9986111111)</f>
        <v>43026.998611111099</v>
      </c>
      <c r="D2620" s="2">
        <f ca="1">IFERROR(__xludf.DUMMYFUNCTION("""COMPUTED_VALUE"""),65.0401)</f>
        <v>65.040099999999995</v>
      </c>
      <c r="E2620" s="2">
        <f ca="1">IFERROR(__xludf.DUMMYFUNCTION("""COMPUTED_VALUE"""),79.619)</f>
        <v>79.619</v>
      </c>
      <c r="F2620" s="2">
        <f ca="1">IFERROR(__xludf.DUMMYFUNCTION("""COMPUTED_VALUE"""),86.794)</f>
        <v>86.793999999999997</v>
      </c>
      <c r="G2620" s="2">
        <f ca="1">IFERROR(__xludf.DUMMYFUNCTION("""COMPUTED_VALUE"""),0.63953)</f>
        <v>0.63953000000000004</v>
      </c>
      <c r="H2620" s="2">
        <f ca="1">IFERROR(__xludf.DUMMYFUNCTION("""COMPUTED_VALUE"""),50.56)</f>
        <v>50.56</v>
      </c>
      <c r="I2620" s="2">
        <f ca="1">IFERROR(__xludf.DUMMYFUNCTION("""COMPUTED_VALUE"""),53.523)</f>
        <v>53.523000000000003</v>
      </c>
      <c r="J2620" s="2">
        <f ca="1">IFERROR(__xludf.DUMMYFUNCTION("""COMPUTED_VALUE"""),50.825)</f>
        <v>50.825000000000003</v>
      </c>
      <c r="K2620" s="2">
        <f ca="1">IFERROR(__xludf.DUMMYFUNCTION("""COMPUTED_VALUE"""),68.399)</f>
        <v>68.399000000000001</v>
      </c>
      <c r="M2620" s="2">
        <f ca="1">IFERROR(__xludf.DUMMYFUNCTION("""COMPUTED_VALUE"""),17.274)</f>
        <v>17.274000000000001</v>
      </c>
      <c r="U2620" s="3" t="e">
        <f ca="1"/>
        <v>#NAME?</v>
      </c>
    </row>
    <row r="2621" spans="3:21" ht="12.5" x14ac:dyDescent="0.25">
      <c r="C2621" s="4">
        <f ca="1">IFERROR(__xludf.DUMMYFUNCTION("""COMPUTED_VALUE"""),43027.9986111111)</f>
        <v>43027.998611111099</v>
      </c>
      <c r="D2621" s="2">
        <f ca="1">IFERROR(__xludf.DUMMYFUNCTION("""COMPUTED_VALUE"""),64.9046)</f>
        <v>64.904600000000002</v>
      </c>
      <c r="E2621" s="2">
        <f ca="1">IFERROR(__xludf.DUMMYFUNCTION("""COMPUTED_VALUE"""),80.107)</f>
        <v>80.106999999999999</v>
      </c>
      <c r="F2621" s="2">
        <f ca="1">IFERROR(__xludf.DUMMYFUNCTION("""COMPUTED_VALUE"""),86.894)</f>
        <v>86.894000000000005</v>
      </c>
      <c r="G2621" s="2">
        <f ca="1">IFERROR(__xludf.DUMMYFUNCTION("""COMPUTED_VALUE"""),0.63704)</f>
        <v>0.63704000000000005</v>
      </c>
      <c r="H2621" s="2">
        <f ca="1">IFERROR(__xludf.DUMMYFUNCTION("""COMPUTED_VALUE"""),50.522)</f>
        <v>50.521999999999998</v>
      </c>
      <c r="I2621" s="2">
        <f ca="1">IFERROR(__xludf.DUMMYFUNCTION("""COMPUTED_VALUE"""),53.141)</f>
        <v>53.140999999999998</v>
      </c>
      <c r="J2621" s="2">
        <f ca="1">IFERROR(__xludf.DUMMYFUNCTION("""COMPUTED_VALUE"""),50.71)</f>
        <v>50.71</v>
      </c>
      <c r="K2621" s="2">
        <f ca="1">IFERROR(__xludf.DUMMYFUNCTION("""COMPUTED_VALUE"""),68.142)</f>
        <v>68.141999999999996</v>
      </c>
      <c r="M2621" s="2">
        <f ca="1">IFERROR(__xludf.DUMMYFUNCTION("""COMPUTED_VALUE"""),17.324)</f>
        <v>17.324000000000002</v>
      </c>
      <c r="U2621" s="3" t="e">
        <f ca="1"/>
        <v>#NAME?</v>
      </c>
    </row>
    <row r="2622" spans="3:21" ht="12.5" x14ac:dyDescent="0.25">
      <c r="C2622" s="4">
        <f ca="1">IFERROR(__xludf.DUMMYFUNCTION("""COMPUTED_VALUE"""),43028.9986111111)</f>
        <v>43028.998611111099</v>
      </c>
      <c r="D2622" s="2">
        <f ca="1">IFERROR(__xludf.DUMMYFUNCTION("""COMPUTED_VALUE"""),65.033)</f>
        <v>65.033000000000001</v>
      </c>
      <c r="E2622" s="2">
        <f ca="1">IFERROR(__xludf.DUMMYFUNCTION("""COMPUTED_VALUE"""),80.161)</f>
        <v>80.161000000000001</v>
      </c>
      <c r="F2622" s="2">
        <f ca="1">IFERROR(__xludf.DUMMYFUNCTION("""COMPUTED_VALUE"""),86.703)</f>
        <v>86.703000000000003</v>
      </c>
      <c r="G2622" s="2">
        <f ca="1">IFERROR(__xludf.DUMMYFUNCTION("""COMPUTED_VALUE"""),0.63934)</f>
        <v>0.63934000000000002</v>
      </c>
      <c r="H2622" s="2">
        <f ca="1">IFERROR(__xludf.DUMMYFUNCTION("""COMPUTED_VALUE"""),50.819)</f>
        <v>50.819000000000003</v>
      </c>
      <c r="I2622" s="2">
        <f ca="1">IFERROR(__xludf.DUMMYFUNCTION("""COMPUTED_VALUE"""),53.203)</f>
        <v>53.203000000000003</v>
      </c>
      <c r="J2622" s="2">
        <f ca="1">IFERROR(__xludf.DUMMYFUNCTION("""COMPUTED_VALUE"""),50.612)</f>
        <v>50.612000000000002</v>
      </c>
      <c r="K2622" s="2">
        <f ca="1">IFERROR(__xludf.DUMMYFUNCTION("""COMPUTED_VALUE"""),68.391)</f>
        <v>68.391000000000005</v>
      </c>
      <c r="M2622" s="2">
        <f ca="1">IFERROR(__xludf.DUMMYFUNCTION("""COMPUTED_VALUE"""),17.357)</f>
        <v>17.356999999999999</v>
      </c>
      <c r="U2622" s="3" t="e">
        <f ca="1"/>
        <v>#NAME?</v>
      </c>
    </row>
    <row r="2623" spans="3:21" ht="12.5" x14ac:dyDescent="0.25">
      <c r="C2623" s="4">
        <f ca="1">IFERROR(__xludf.DUMMYFUNCTION("""COMPUTED_VALUE"""),43029.9986111111)</f>
        <v>43029.998611111099</v>
      </c>
      <c r="D2623" s="2">
        <f ca="1">IFERROR(__xludf.DUMMYFUNCTION("""COMPUTED_VALUE"""),65.1041)</f>
        <v>65.104100000000003</v>
      </c>
      <c r="E2623" s="2">
        <f ca="1">IFERROR(__xludf.DUMMYFUNCTION("""COMPUTED_VALUE"""),80.786)</f>
        <v>80.786000000000001</v>
      </c>
      <c r="F2623" s="2">
        <f ca="1">IFERROR(__xludf.DUMMYFUNCTION("""COMPUTED_VALUE"""),88.004)</f>
        <v>88.004000000000005</v>
      </c>
      <c r="G2623" s="2">
        <f ca="1">IFERROR(__xludf.DUMMYFUNCTION("""COMPUTED_VALUE"""),0.64145)</f>
        <v>0.64144999999999996</v>
      </c>
      <c r="H2623" s="2">
        <f ca="1">IFERROR(__xludf.DUMMYFUNCTION("""COMPUTED_VALUE"""),51.272)</f>
        <v>51.271999999999998</v>
      </c>
      <c r="I2623" s="2">
        <f ca="1">IFERROR(__xludf.DUMMYFUNCTION("""COMPUTED_VALUE"""),53.623)</f>
        <v>53.622999999999998</v>
      </c>
      <c r="J2623" s="2">
        <f ca="1">IFERROR(__xludf.DUMMYFUNCTION("""COMPUTED_VALUE"""),50.893)</f>
        <v>50.893000000000001</v>
      </c>
      <c r="K2623" s="2">
        <f ca="1">IFERROR(__xludf.DUMMYFUNCTION("""COMPUTED_VALUE"""),67.737)</f>
        <v>67.736999999999995</v>
      </c>
      <c r="M2623" s="2">
        <f ca="1">IFERROR(__xludf.DUMMYFUNCTION("""COMPUTED_VALUE"""),17.333)</f>
        <v>17.332999999999998</v>
      </c>
      <c r="U2623" s="3" t="e">
        <f ca="1"/>
        <v>#NAME?</v>
      </c>
    </row>
    <row r="2624" spans="3:21" ht="12.5" x14ac:dyDescent="0.25">
      <c r="C2624" s="4">
        <f ca="1">IFERROR(__xludf.DUMMYFUNCTION("""COMPUTED_VALUE"""),43030.9986111111)</f>
        <v>43030.998611111099</v>
      </c>
      <c r="D2624" s="2">
        <f ca="1">IFERROR(__xludf.DUMMYFUNCTION("""COMPUTED_VALUE"""),65.1041)</f>
        <v>65.104100000000003</v>
      </c>
      <c r="E2624" s="2">
        <f ca="1">IFERROR(__xludf.DUMMYFUNCTION("""COMPUTED_VALUE"""),80.857)</f>
        <v>80.856999999999999</v>
      </c>
      <c r="F2624" s="2">
        <f ca="1">IFERROR(__xludf.DUMMYFUNCTION("""COMPUTED_VALUE"""),87.431)</f>
        <v>87.430999999999997</v>
      </c>
      <c r="G2624" s="2">
        <f ca="1">IFERROR(__xludf.DUMMYFUNCTION("""COMPUTED_VALUE"""),0.64006)</f>
        <v>0.64005999999999996</v>
      </c>
      <c r="H2624" s="2">
        <f ca="1">IFERROR(__xludf.DUMMYFUNCTION("""COMPUTED_VALUE"""),51.175)</f>
        <v>51.174999999999997</v>
      </c>
      <c r="I2624" s="2">
        <f ca="1">IFERROR(__xludf.DUMMYFUNCTION("""COMPUTED_VALUE"""),53.483)</f>
        <v>53.482999999999997</v>
      </c>
      <c r="J2624" s="2">
        <f ca="1">IFERROR(__xludf.DUMMYFUNCTION("""COMPUTED_VALUE"""),51.079)</f>
        <v>51.079000000000001</v>
      </c>
      <c r="K2624" s="2">
        <f ca="1">IFERROR(__xludf.DUMMYFUNCTION("""COMPUTED_VALUE"""),67.743)</f>
        <v>67.742999999999995</v>
      </c>
      <c r="M2624" s="2">
        <f ca="1">IFERROR(__xludf.DUMMYFUNCTION("""COMPUTED_VALUE"""),17.314)</f>
        <v>17.314</v>
      </c>
      <c r="U2624" s="3" t="e">
        <f ca="1"/>
        <v>#NAME?</v>
      </c>
    </row>
    <row r="2625" spans="3:21" ht="12.5" x14ac:dyDescent="0.25">
      <c r="C2625" s="4">
        <f ca="1">IFERROR(__xludf.DUMMYFUNCTION("""COMPUTED_VALUE"""),43031.9986111111)</f>
        <v>43031.998611111099</v>
      </c>
      <c r="D2625" s="2">
        <f ca="1">IFERROR(__xludf.DUMMYFUNCTION("""COMPUTED_VALUE"""),65.0349)</f>
        <v>65.034899999999993</v>
      </c>
      <c r="E2625" s="2">
        <f ca="1">IFERROR(__xludf.DUMMYFUNCTION("""COMPUTED_VALUE"""),80.814)</f>
        <v>80.813999999999993</v>
      </c>
      <c r="F2625" s="2">
        <f ca="1">IFERROR(__xludf.DUMMYFUNCTION("""COMPUTED_VALUE"""),87.571)</f>
        <v>87.570999999999998</v>
      </c>
      <c r="G2625" s="2">
        <f ca="1">IFERROR(__xludf.DUMMYFUNCTION("""COMPUTED_VALUE"""),0.64585)</f>
        <v>0.64585000000000004</v>
      </c>
      <c r="H2625" s="2">
        <f ca="1">IFERROR(__xludf.DUMMYFUNCTION("""COMPUTED_VALUE"""),51.366)</f>
        <v>51.366</v>
      </c>
      <c r="I2625" s="2">
        <f ca="1">IFERROR(__xludf.DUMMYFUNCTION("""COMPUTED_VALUE"""),53.543)</f>
        <v>53.542999999999999</v>
      </c>
      <c r="J2625" s="2">
        <f ca="1">IFERROR(__xludf.DUMMYFUNCTION("""COMPUTED_VALUE"""),50.944)</f>
        <v>50.944000000000003</v>
      </c>
      <c r="K2625" s="2">
        <f ca="1">IFERROR(__xludf.DUMMYFUNCTION("""COMPUTED_VALUE"""),67.801)</f>
        <v>67.801000000000002</v>
      </c>
      <c r="M2625" s="2">
        <f ca="1">IFERROR(__xludf.DUMMYFUNCTION("""COMPUTED_VALUE"""),17.314)</f>
        <v>17.314</v>
      </c>
      <c r="U2625" s="3" t="e">
        <f ca="1"/>
        <v>#NAME?</v>
      </c>
    </row>
    <row r="2626" spans="3:21" ht="12.5" x14ac:dyDescent="0.25">
      <c r="C2626" s="4">
        <f ca="1">IFERROR(__xludf.DUMMYFUNCTION("""COMPUTED_VALUE"""),43032.9986111111)</f>
        <v>43032.998611111099</v>
      </c>
      <c r="D2626" s="2">
        <f ca="1">IFERROR(__xludf.DUMMYFUNCTION("""COMPUTED_VALUE"""),65.0795)</f>
        <v>65.079499999999996</v>
      </c>
      <c r="E2626" s="2">
        <f ca="1">IFERROR(__xludf.DUMMYFUNCTION("""COMPUTED_VALUE"""),81.239)</f>
        <v>81.239000000000004</v>
      </c>
      <c r="F2626" s="2">
        <f ca="1">IFERROR(__xludf.DUMMYFUNCTION("""COMPUTED_VALUE"""),87.615)</f>
        <v>87.614999999999995</v>
      </c>
      <c r="G2626" s="2">
        <f ca="1">IFERROR(__xludf.DUMMYFUNCTION("""COMPUTED_VALUE"""),0.64827)</f>
        <v>0.64827000000000001</v>
      </c>
      <c r="H2626" s="2">
        <f ca="1">IFERROR(__xludf.DUMMYFUNCTION("""COMPUTED_VALUE"""),51.193)</f>
        <v>51.192999999999998</v>
      </c>
      <c r="I2626" s="2">
        <f ca="1">IFERROR(__xludf.DUMMYFUNCTION("""COMPUTED_VALUE"""),53.658)</f>
        <v>53.658000000000001</v>
      </c>
      <c r="J2626" s="2">
        <f ca="1">IFERROR(__xludf.DUMMYFUNCTION("""COMPUTED_VALUE"""),51.111)</f>
        <v>51.110999999999997</v>
      </c>
      <c r="K2626" s="2">
        <f ca="1">IFERROR(__xludf.DUMMYFUNCTION("""COMPUTED_VALUE"""),68.094)</f>
        <v>68.093999999999994</v>
      </c>
      <c r="M2626" s="2">
        <f ca="1">IFERROR(__xludf.DUMMYFUNCTION("""COMPUTED_VALUE"""),17.313)</f>
        <v>17.312999999999999</v>
      </c>
      <c r="U2626" s="3" t="e">
        <f ca="1"/>
        <v>#NAME?</v>
      </c>
    </row>
    <row r="2627" spans="3:21" ht="12.5" x14ac:dyDescent="0.25">
      <c r="C2627" s="4">
        <f ca="1">IFERROR(__xludf.DUMMYFUNCTION("""COMPUTED_VALUE"""),43033.9986111111)</f>
        <v>43033.998611111099</v>
      </c>
      <c r="D2627" s="2">
        <f ca="1">IFERROR(__xludf.DUMMYFUNCTION("""COMPUTED_VALUE"""),64.84)</f>
        <v>64.84</v>
      </c>
      <c r="E2627" s="2">
        <f ca="1">IFERROR(__xludf.DUMMYFUNCTION("""COMPUTED_VALUE"""),81.901)</f>
        <v>81.900999999999996</v>
      </c>
      <c r="F2627" s="2">
        <f ca="1">IFERROR(__xludf.DUMMYFUNCTION("""COMPUTED_VALUE"""),87.958)</f>
        <v>87.957999999999998</v>
      </c>
      <c r="G2627" s="2">
        <f ca="1">IFERROR(__xludf.DUMMYFUNCTION("""COMPUTED_VALUE"""),0.64819)</f>
        <v>0.64819000000000004</v>
      </c>
      <c r="H2627" s="2">
        <f ca="1">IFERROR(__xludf.DUMMYFUNCTION("""COMPUTED_VALUE"""),50.721)</f>
        <v>50.720999999999997</v>
      </c>
      <c r="I2627" s="2">
        <f ca="1">IFERROR(__xludf.DUMMYFUNCTION("""COMPUTED_VALUE"""),53.449)</f>
        <v>53.448999999999998</v>
      </c>
      <c r="J2627" s="2">
        <f ca="1">IFERROR(__xludf.DUMMYFUNCTION("""COMPUTED_VALUE"""),51.034)</f>
        <v>51.033999999999999</v>
      </c>
      <c r="K2627" s="2">
        <f ca="1">IFERROR(__xludf.DUMMYFUNCTION("""COMPUTED_VALUE"""),67.709)</f>
        <v>67.709000000000003</v>
      </c>
      <c r="M2627" s="2">
        <f ca="1">IFERROR(__xludf.DUMMYFUNCTION("""COMPUTED_VALUE"""),17.291)</f>
        <v>17.291</v>
      </c>
      <c r="U2627" s="3" t="e">
        <f ca="1"/>
        <v>#NAME?</v>
      </c>
    </row>
    <row r="2628" spans="3:21" ht="12.5" x14ac:dyDescent="0.25">
      <c r="C2628" s="4">
        <f ca="1">IFERROR(__xludf.DUMMYFUNCTION("""COMPUTED_VALUE"""),43034.9986111111)</f>
        <v>43034.998611111099</v>
      </c>
      <c r="D2628" s="2">
        <f ca="1">IFERROR(__xludf.DUMMYFUNCTION("""COMPUTED_VALUE"""),64.6)</f>
        <v>64.599999999999994</v>
      </c>
      <c r="E2628" s="2">
        <f ca="1">IFERROR(__xludf.DUMMYFUNCTION("""COMPUTED_VALUE"""),81.87)</f>
        <v>81.87</v>
      </c>
      <c r="F2628" s="2">
        <f ca="1">IFERROR(__xludf.DUMMYFUNCTION("""COMPUTED_VALUE"""),87.907)</f>
        <v>87.906999999999996</v>
      </c>
      <c r="G2628" s="2">
        <f ca="1">IFERROR(__xludf.DUMMYFUNCTION("""COMPUTED_VALUE"""),0.6474)</f>
        <v>0.64739999999999998</v>
      </c>
      <c r="H2628" s="2">
        <f ca="1">IFERROR(__xludf.DUMMYFUNCTION("""COMPUTED_VALUE"""),51.222)</f>
        <v>51.222000000000001</v>
      </c>
      <c r="I2628" s="2">
        <f ca="1">IFERROR(__xludf.DUMMYFUNCTION("""COMPUTED_VALUE"""),53.676)</f>
        <v>53.676000000000002</v>
      </c>
      <c r="J2628" s="2">
        <f ca="1">IFERROR(__xludf.DUMMYFUNCTION("""COMPUTED_VALUE"""),50.961)</f>
        <v>50.960999999999999</v>
      </c>
      <c r="K2628" s="2">
        <f ca="1">IFERROR(__xludf.DUMMYFUNCTION("""COMPUTED_VALUE"""),68.665)</f>
        <v>68.665000000000006</v>
      </c>
      <c r="M2628" s="2">
        <f ca="1">IFERROR(__xludf.DUMMYFUNCTION("""COMPUTED_VALUE"""),17.42)</f>
        <v>17.420000000000002</v>
      </c>
      <c r="U2628" s="3" t="e">
        <f ca="1"/>
        <v>#NAME?</v>
      </c>
    </row>
    <row r="2629" spans="3:21" ht="12.5" x14ac:dyDescent="0.25">
      <c r="C2629" s="4">
        <f ca="1">IFERROR(__xludf.DUMMYFUNCTION("""COMPUTED_VALUE"""),43035.9986111111)</f>
        <v>43035.998611111099</v>
      </c>
      <c r="D2629" s="2">
        <f ca="1">IFERROR(__xludf.DUMMYFUNCTION("""COMPUTED_VALUE"""),65.033)</f>
        <v>65.033000000000001</v>
      </c>
      <c r="E2629" s="2">
        <f ca="1">IFERROR(__xludf.DUMMYFUNCTION("""COMPUTED_VALUE"""),82.52)</f>
        <v>82.52</v>
      </c>
      <c r="F2629" s="2">
        <f ca="1">IFERROR(__xludf.DUMMYFUNCTION("""COMPUTED_VALUE"""),87.784)</f>
        <v>87.784000000000006</v>
      </c>
      <c r="G2629" s="2">
        <f ca="1">IFERROR(__xludf.DUMMYFUNCTION("""COMPUTED_VALUE"""),0.65413)</f>
        <v>0.65412999999999999</v>
      </c>
      <c r="H2629" s="2">
        <f ca="1">IFERROR(__xludf.DUMMYFUNCTION("""COMPUTED_VALUE"""),51.507)</f>
        <v>51.506999999999998</v>
      </c>
      <c r="I2629" s="2">
        <f ca="1">IFERROR(__xludf.DUMMYFUNCTION("""COMPUTED_VALUE"""),54.077)</f>
        <v>54.076999999999998</v>
      </c>
      <c r="J2629" s="2">
        <f ca="1">IFERROR(__xludf.DUMMYFUNCTION("""COMPUTED_VALUE"""),51.213)</f>
        <v>51.213000000000001</v>
      </c>
      <c r="K2629" s="2">
        <f ca="1">IFERROR(__xludf.DUMMYFUNCTION("""COMPUTED_VALUE"""),68.486)</f>
        <v>68.486000000000004</v>
      </c>
      <c r="M2629" s="2">
        <f ca="1">IFERROR(__xludf.DUMMYFUNCTION("""COMPUTED_VALUE"""),17.375)</f>
        <v>17.375</v>
      </c>
      <c r="U2629" s="3" t="e">
        <f ca="1"/>
        <v>#NAME?</v>
      </c>
    </row>
    <row r="2630" spans="3:21" ht="12.5" x14ac:dyDescent="0.25">
      <c r="C2630" s="4">
        <f ca="1">IFERROR(__xludf.DUMMYFUNCTION("""COMPUTED_VALUE"""),43036.9986111111)</f>
        <v>43036.998611111099</v>
      </c>
      <c r="D2630" s="2">
        <f ca="1">IFERROR(__xludf.DUMMYFUNCTION("""COMPUTED_VALUE"""),64.8734)</f>
        <v>64.873400000000004</v>
      </c>
      <c r="E2630" s="2">
        <f ca="1">IFERROR(__xludf.DUMMYFUNCTION("""COMPUTED_VALUE"""),82.441)</f>
        <v>82.441000000000003</v>
      </c>
      <c r="F2630" s="2">
        <f ca="1">IFERROR(__xludf.DUMMYFUNCTION("""COMPUTED_VALUE"""),87.779)</f>
        <v>87.778999999999996</v>
      </c>
      <c r="G2630" s="2">
        <f ca="1">IFERROR(__xludf.DUMMYFUNCTION("""COMPUTED_VALUE"""),0.65727)</f>
        <v>0.65727000000000002</v>
      </c>
      <c r="H2630" s="2">
        <f ca="1">IFERROR(__xludf.DUMMYFUNCTION("""COMPUTED_VALUE"""),51.381)</f>
        <v>51.381</v>
      </c>
      <c r="I2630" s="2">
        <f ca="1">IFERROR(__xludf.DUMMYFUNCTION("""COMPUTED_VALUE"""),54.155)</f>
        <v>54.155000000000001</v>
      </c>
      <c r="J2630" s="2">
        <f ca="1">IFERROR(__xludf.DUMMYFUNCTION("""COMPUTED_VALUE"""),51.468)</f>
        <v>51.468000000000004</v>
      </c>
      <c r="K2630" s="2">
        <f ca="1">IFERROR(__xludf.DUMMYFUNCTION("""COMPUTED_VALUE"""),68.489)</f>
        <v>68.489000000000004</v>
      </c>
      <c r="M2630" s="2">
        <f ca="1">IFERROR(__xludf.DUMMYFUNCTION("""COMPUTED_VALUE"""),17.385)</f>
        <v>17.385000000000002</v>
      </c>
      <c r="U2630" s="3" t="e">
        <f ca="1"/>
        <v>#NAME?</v>
      </c>
    </row>
    <row r="2631" spans="3:21" ht="12.5" x14ac:dyDescent="0.25">
      <c r="C2631" s="4">
        <f ca="1">IFERROR(__xludf.DUMMYFUNCTION("""COMPUTED_VALUE"""),43037.9986111111)</f>
        <v>43037.998611111099</v>
      </c>
      <c r="D2631" s="2">
        <f ca="1">IFERROR(__xludf.DUMMYFUNCTION("""COMPUTED_VALUE"""),64.8734)</f>
        <v>64.873400000000004</v>
      </c>
      <c r="E2631" s="2">
        <f ca="1">IFERROR(__xludf.DUMMYFUNCTION("""COMPUTED_VALUE"""),82.307)</f>
        <v>82.307000000000002</v>
      </c>
      <c r="F2631" s="2">
        <f ca="1">IFERROR(__xludf.DUMMYFUNCTION("""COMPUTED_VALUE"""),87.482)</f>
        <v>87.481999999999999</v>
      </c>
      <c r="G2631" s="2">
        <f ca="1">IFERROR(__xludf.DUMMYFUNCTION("""COMPUTED_VALUE"""),0.66184)</f>
        <v>0.66183999999999998</v>
      </c>
      <c r="H2631" s="2">
        <f ca="1">IFERROR(__xludf.DUMMYFUNCTION("""COMPUTED_VALUE"""),51.531)</f>
        <v>51.530999999999999</v>
      </c>
      <c r="I2631" s="2">
        <f ca="1">IFERROR(__xludf.DUMMYFUNCTION("""COMPUTED_VALUE"""),54.609)</f>
        <v>54.609000000000002</v>
      </c>
      <c r="J2631" s="2">
        <f ca="1">IFERROR(__xludf.DUMMYFUNCTION("""COMPUTED_VALUE"""),51.322)</f>
        <v>51.322000000000003</v>
      </c>
      <c r="K2631" s="2">
        <f ca="1">IFERROR(__xludf.DUMMYFUNCTION("""COMPUTED_VALUE"""),68.325)</f>
        <v>68.325000000000003</v>
      </c>
      <c r="M2631" s="2">
        <f ca="1">IFERROR(__xludf.DUMMYFUNCTION("""COMPUTED_VALUE"""),17.373)</f>
        <v>17.373000000000001</v>
      </c>
      <c r="U2631" s="3" t="e">
        <f ca="1"/>
        <v>#NAME?</v>
      </c>
    </row>
    <row r="2632" spans="3:21" ht="12.5" x14ac:dyDescent="0.25">
      <c r="C2632" s="4">
        <f ca="1">IFERROR(__xludf.DUMMYFUNCTION("""COMPUTED_VALUE"""),43038.9986111111)</f>
        <v>43038.998611111099</v>
      </c>
      <c r="D2632" s="2">
        <f ca="1">IFERROR(__xludf.DUMMYFUNCTION("""COMPUTED_VALUE"""),64.8424)</f>
        <v>64.842399999999998</v>
      </c>
      <c r="E2632" s="2">
        <f ca="1">IFERROR(__xludf.DUMMYFUNCTION("""COMPUTED_VALUE"""),82.64)</f>
        <v>82.64</v>
      </c>
      <c r="F2632" s="2">
        <f ca="1">IFERROR(__xludf.DUMMYFUNCTION("""COMPUTED_VALUE"""),87.441)</f>
        <v>87.441000000000003</v>
      </c>
      <c r="G2632" s="2">
        <f ca="1">IFERROR(__xludf.DUMMYFUNCTION("""COMPUTED_VALUE"""),0.66011)</f>
        <v>0.66010999999999997</v>
      </c>
      <c r="H2632" s="2">
        <f ca="1">IFERROR(__xludf.DUMMYFUNCTION("""COMPUTED_VALUE"""),51.321)</f>
        <v>51.320999999999998</v>
      </c>
      <c r="I2632" s="2">
        <f ca="1">IFERROR(__xludf.DUMMYFUNCTION("""COMPUTED_VALUE"""),54.423)</f>
        <v>54.423000000000002</v>
      </c>
      <c r="J2632" s="2">
        <f ca="1">IFERROR(__xludf.DUMMYFUNCTION("""COMPUTED_VALUE"""),51.654)</f>
        <v>51.654000000000003</v>
      </c>
      <c r="K2632" s="2">
        <f ca="1">IFERROR(__xludf.DUMMYFUNCTION("""COMPUTED_VALUE"""),68.296)</f>
        <v>68.296000000000006</v>
      </c>
      <c r="M2632" s="2">
        <f ca="1">IFERROR(__xludf.DUMMYFUNCTION("""COMPUTED_VALUE"""),17.373)</f>
        <v>17.373000000000001</v>
      </c>
      <c r="U2632" s="3" t="e">
        <f ca="1"/>
        <v>#NAME?</v>
      </c>
    </row>
    <row r="2633" spans="3:21" ht="12.5" x14ac:dyDescent="0.25">
      <c r="C2633" s="4">
        <f ca="1">IFERROR(__xludf.DUMMYFUNCTION("""COMPUTED_VALUE"""),43039.9986111111)</f>
        <v>43039.998611111099</v>
      </c>
      <c r="D2633" s="2">
        <f ca="1">IFERROR(__xludf.DUMMYFUNCTION("""COMPUTED_VALUE"""),64.6701)</f>
        <v>64.670100000000005</v>
      </c>
      <c r="E2633" s="2">
        <f ca="1">IFERROR(__xludf.DUMMYFUNCTION("""COMPUTED_VALUE"""),82.844)</f>
        <v>82.843999999999994</v>
      </c>
      <c r="F2633" s="2">
        <f ca="1">IFERROR(__xludf.DUMMYFUNCTION("""COMPUTED_VALUE"""),87.474)</f>
        <v>87.474000000000004</v>
      </c>
      <c r="G2633" s="2">
        <f ca="1">IFERROR(__xludf.DUMMYFUNCTION("""COMPUTED_VALUE"""),0.65562)</f>
        <v>0.65561999999999998</v>
      </c>
      <c r="H2633" s="2">
        <f ca="1">IFERROR(__xludf.DUMMYFUNCTION("""COMPUTED_VALUE"""),51.025)</f>
        <v>51.024999999999999</v>
      </c>
      <c r="I2633" s="2">
        <f ca="1">IFERROR(__xludf.DUMMYFUNCTION("""COMPUTED_VALUE"""),54.382)</f>
        <v>54.381999999999998</v>
      </c>
      <c r="J2633" s="2">
        <f ca="1">IFERROR(__xludf.DUMMYFUNCTION("""COMPUTED_VALUE"""),51.69)</f>
        <v>51.69</v>
      </c>
      <c r="K2633" s="2">
        <f ca="1">IFERROR(__xludf.DUMMYFUNCTION("""COMPUTED_VALUE"""),68.636)</f>
        <v>68.635999999999996</v>
      </c>
      <c r="M2633" s="2">
        <f ca="1">IFERROR(__xludf.DUMMYFUNCTION("""COMPUTED_VALUE"""),17.377)</f>
        <v>17.376999999999999</v>
      </c>
      <c r="U2633" s="3" t="e">
        <f ca="1"/>
        <v>#NAME?</v>
      </c>
    </row>
    <row r="2634" spans="3:21" ht="12.5" x14ac:dyDescent="0.25">
      <c r="C2634" s="4">
        <f ca="1">IFERROR(__xludf.DUMMYFUNCTION("""COMPUTED_VALUE"""),43040.9986111111)</f>
        <v>43040.998611111099</v>
      </c>
      <c r="D2634" s="2">
        <f ca="1">IFERROR(__xludf.DUMMYFUNCTION("""COMPUTED_VALUE"""),64.5551)</f>
        <v>64.555099999999996</v>
      </c>
      <c r="E2634" s="2">
        <f ca="1">IFERROR(__xludf.DUMMYFUNCTION("""COMPUTED_VALUE"""),83.403)</f>
        <v>83.403000000000006</v>
      </c>
      <c r="F2634" s="2">
        <f ca="1">IFERROR(__xludf.DUMMYFUNCTION("""COMPUTED_VALUE"""),87.046)</f>
        <v>87.046000000000006</v>
      </c>
      <c r="G2634" s="2">
        <f ca="1">IFERROR(__xludf.DUMMYFUNCTION("""COMPUTED_VALUE"""),0.65902)</f>
        <v>0.65902000000000005</v>
      </c>
      <c r="H2634" s="2">
        <f ca="1">IFERROR(__xludf.DUMMYFUNCTION("""COMPUTED_VALUE"""),51.281)</f>
        <v>51.280999999999999</v>
      </c>
      <c r="I2634" s="2">
        <f ca="1">IFERROR(__xludf.DUMMYFUNCTION("""COMPUTED_VALUE"""),54.336)</f>
        <v>54.335999999999999</v>
      </c>
      <c r="J2634" s="2">
        <f ca="1">IFERROR(__xludf.DUMMYFUNCTION("""COMPUTED_VALUE"""),51.707)</f>
        <v>51.707000000000001</v>
      </c>
      <c r="K2634" s="2">
        <f ca="1">IFERROR(__xludf.DUMMYFUNCTION("""COMPUTED_VALUE"""),67.823)</f>
        <v>67.822999999999993</v>
      </c>
      <c r="M2634" s="2">
        <f ca="1">IFERROR(__xludf.DUMMYFUNCTION("""COMPUTED_VALUE"""),17.389)</f>
        <v>17.388999999999999</v>
      </c>
      <c r="U2634" s="3" t="e">
        <f ca="1"/>
        <v>#NAME?</v>
      </c>
    </row>
    <row r="2635" spans="3:21" ht="12.5" x14ac:dyDescent="0.25">
      <c r="C2635" s="4">
        <f ca="1">IFERROR(__xludf.DUMMYFUNCTION("""COMPUTED_VALUE"""),43041.9986111111)</f>
        <v>43041.998611111099</v>
      </c>
      <c r="D2635" s="2">
        <f ca="1">IFERROR(__xludf.DUMMYFUNCTION("""COMPUTED_VALUE"""),64.5005)</f>
        <v>64.500500000000002</v>
      </c>
      <c r="E2635" s="2">
        <f ca="1">IFERROR(__xludf.DUMMYFUNCTION("""COMPUTED_VALUE"""),83.53)</f>
        <v>83.53</v>
      </c>
      <c r="F2635" s="2">
        <f ca="1">IFERROR(__xludf.DUMMYFUNCTION("""COMPUTED_VALUE"""),86.668)</f>
        <v>86.668000000000006</v>
      </c>
      <c r="G2635" s="2">
        <f ca="1">IFERROR(__xludf.DUMMYFUNCTION("""COMPUTED_VALUE"""),0.65332)</f>
        <v>0.65332000000000001</v>
      </c>
      <c r="H2635" s="2">
        <f ca="1">IFERROR(__xludf.DUMMYFUNCTION("""COMPUTED_VALUE"""),51.362)</f>
        <v>51.362000000000002</v>
      </c>
      <c r="I2635" s="2">
        <f ca="1">IFERROR(__xludf.DUMMYFUNCTION("""COMPUTED_VALUE"""),54.272)</f>
        <v>54.271999999999998</v>
      </c>
      <c r="J2635" s="2">
        <f ca="1">IFERROR(__xludf.DUMMYFUNCTION("""COMPUTED_VALUE"""),51.866)</f>
        <v>51.866</v>
      </c>
      <c r="K2635" s="2">
        <f ca="1">IFERROR(__xludf.DUMMYFUNCTION("""COMPUTED_VALUE"""),68.176)</f>
        <v>68.176000000000002</v>
      </c>
      <c r="M2635" s="2">
        <f ca="1">IFERROR(__xludf.DUMMYFUNCTION("""COMPUTED_VALUE"""),17.354)</f>
        <v>17.353999999999999</v>
      </c>
      <c r="U2635" s="3" t="e">
        <f ca="1"/>
        <v>#NAME?</v>
      </c>
    </row>
    <row r="2636" spans="3:21" ht="12.5" x14ac:dyDescent="0.25">
      <c r="C2636" s="4">
        <f ca="1">IFERROR(__xludf.DUMMYFUNCTION("""COMPUTED_VALUE"""),43042.9986111111)</f>
        <v>43042.998611111099</v>
      </c>
      <c r="D2636" s="2">
        <f ca="1">IFERROR(__xludf.DUMMYFUNCTION("""COMPUTED_VALUE"""),64.553)</f>
        <v>64.552999999999997</v>
      </c>
      <c r="E2636" s="2">
        <f ca="1">IFERROR(__xludf.DUMMYFUNCTION("""COMPUTED_VALUE"""),82.863)</f>
        <v>82.863</v>
      </c>
      <c r="F2636" s="2">
        <f ca="1">IFERROR(__xludf.DUMMYFUNCTION("""COMPUTED_VALUE"""),86.039)</f>
        <v>86.039000000000001</v>
      </c>
      <c r="G2636" s="2">
        <f ca="1">IFERROR(__xludf.DUMMYFUNCTION("""COMPUTED_VALUE"""),0.65285)</f>
        <v>0.65285000000000004</v>
      </c>
      <c r="H2636" s="2">
        <f ca="1">IFERROR(__xludf.DUMMYFUNCTION("""COMPUTED_VALUE"""),51.581)</f>
        <v>51.581000000000003</v>
      </c>
      <c r="I2636" s="2">
        <f ca="1">IFERROR(__xludf.DUMMYFUNCTION("""COMPUTED_VALUE"""),54.412)</f>
        <v>54.411999999999999</v>
      </c>
      <c r="J2636" s="2">
        <f ca="1">IFERROR(__xludf.DUMMYFUNCTION("""COMPUTED_VALUE"""),51.982)</f>
        <v>51.981999999999999</v>
      </c>
      <c r="K2636" s="2">
        <f ca="1">IFERROR(__xludf.DUMMYFUNCTION("""COMPUTED_VALUE"""),68.353)</f>
        <v>68.352999999999994</v>
      </c>
      <c r="M2636" s="2">
        <f ca="1">IFERROR(__xludf.DUMMYFUNCTION("""COMPUTED_VALUE"""),17.305)</f>
        <v>17.305</v>
      </c>
      <c r="U2636" s="3" t="e">
        <f ca="1"/>
        <v>#NAME?</v>
      </c>
    </row>
    <row r="2637" spans="3:21" ht="12.5" x14ac:dyDescent="0.25">
      <c r="C2637" s="4">
        <f ca="1">IFERROR(__xludf.DUMMYFUNCTION("""COMPUTED_VALUE"""),43043.9986111111)</f>
        <v>43043.998611111099</v>
      </c>
      <c r="D2637" s="2">
        <f ca="1">IFERROR(__xludf.DUMMYFUNCTION("""COMPUTED_VALUE"""),64.6934)</f>
        <v>64.693399999999997</v>
      </c>
      <c r="E2637" s="2">
        <f ca="1">IFERROR(__xludf.DUMMYFUNCTION("""COMPUTED_VALUE"""),83.928)</f>
        <v>83.927999999999997</v>
      </c>
      <c r="F2637" s="2">
        <f ca="1">IFERROR(__xludf.DUMMYFUNCTION("""COMPUTED_VALUE"""),85.476)</f>
        <v>85.475999999999999</v>
      </c>
      <c r="G2637" s="2">
        <f ca="1">IFERROR(__xludf.DUMMYFUNCTION("""COMPUTED_VALUE"""),0.65492)</f>
        <v>0.65491999999999995</v>
      </c>
      <c r="H2637" s="2">
        <f ca="1">IFERROR(__xludf.DUMMYFUNCTION("""COMPUTED_VALUE"""),51.689)</f>
        <v>51.689</v>
      </c>
      <c r="I2637" s="2">
        <f ca="1">IFERROR(__xludf.DUMMYFUNCTION("""COMPUTED_VALUE"""),54.643)</f>
        <v>54.643000000000001</v>
      </c>
      <c r="J2637" s="2">
        <f ca="1">IFERROR(__xludf.DUMMYFUNCTION("""COMPUTED_VALUE"""),52.122)</f>
        <v>52.122</v>
      </c>
      <c r="K2637" s="2">
        <f ca="1">IFERROR(__xludf.DUMMYFUNCTION("""COMPUTED_VALUE"""),68.644)</f>
        <v>68.644000000000005</v>
      </c>
      <c r="M2637" s="2">
        <f ca="1">IFERROR(__xludf.DUMMYFUNCTION("""COMPUTED_VALUE"""),17.307)</f>
        <v>17.306999999999999</v>
      </c>
      <c r="U2637" s="3" t="e">
        <f ca="1"/>
        <v>#NAME?</v>
      </c>
    </row>
    <row r="2638" spans="3:21" ht="12.5" x14ac:dyDescent="0.25">
      <c r="C2638" s="4">
        <f ca="1">IFERROR(__xludf.DUMMYFUNCTION("""COMPUTED_VALUE"""),43044.9986111111)</f>
        <v>43044.998611111099</v>
      </c>
      <c r="D2638" s="2">
        <f ca="1">IFERROR(__xludf.DUMMYFUNCTION("""COMPUTED_VALUE"""),64.6934)</f>
        <v>64.693399999999997</v>
      </c>
      <c r="E2638" s="2">
        <f ca="1">IFERROR(__xludf.DUMMYFUNCTION("""COMPUTED_VALUE"""),84.15)</f>
        <v>84.15</v>
      </c>
      <c r="F2638" s="2">
        <f ca="1">IFERROR(__xludf.DUMMYFUNCTION("""COMPUTED_VALUE"""),85.436)</f>
        <v>85.436000000000007</v>
      </c>
      <c r="G2638" s="2">
        <f ca="1">IFERROR(__xludf.DUMMYFUNCTION("""COMPUTED_VALUE"""),0.65157)</f>
        <v>0.65156999999999998</v>
      </c>
      <c r="H2638" s="2">
        <f ca="1">IFERROR(__xludf.DUMMYFUNCTION("""COMPUTED_VALUE"""),50.963)</f>
        <v>50.963000000000001</v>
      </c>
      <c r="I2638" s="2">
        <f ca="1">IFERROR(__xludf.DUMMYFUNCTION("""COMPUTED_VALUE"""),54.484)</f>
        <v>54.484000000000002</v>
      </c>
      <c r="J2638" s="2">
        <f ca="1">IFERROR(__xludf.DUMMYFUNCTION("""COMPUTED_VALUE"""),52.285)</f>
        <v>52.284999999999997</v>
      </c>
      <c r="K2638" s="2">
        <f ca="1">IFERROR(__xludf.DUMMYFUNCTION("""COMPUTED_VALUE"""),68.258)</f>
        <v>68.257999999999996</v>
      </c>
      <c r="M2638" s="2">
        <f ca="1">IFERROR(__xludf.DUMMYFUNCTION("""COMPUTED_VALUE"""),17.316)</f>
        <v>17.315999999999999</v>
      </c>
      <c r="U2638" s="3" t="e">
        <f ca="1"/>
        <v>#NAME?</v>
      </c>
    </row>
    <row r="2639" spans="3:21" ht="12.5" x14ac:dyDescent="0.25">
      <c r="C2639" s="4">
        <f ca="1">IFERROR(__xludf.DUMMYFUNCTION("""COMPUTED_VALUE"""),43045.9986111111)</f>
        <v>43045.998611111099</v>
      </c>
      <c r="D2639" s="2">
        <f ca="1">IFERROR(__xludf.DUMMYFUNCTION("""COMPUTED_VALUE"""),64.5909)</f>
        <v>64.590900000000005</v>
      </c>
      <c r="E2639" s="2">
        <f ca="1">IFERROR(__xludf.DUMMYFUNCTION("""COMPUTED_VALUE"""),83.81)</f>
        <v>83.81</v>
      </c>
      <c r="F2639" s="2">
        <f ca="1">IFERROR(__xludf.DUMMYFUNCTION("""COMPUTED_VALUE"""),85.449)</f>
        <v>85.448999999999998</v>
      </c>
      <c r="G2639" s="2">
        <f ca="1">IFERROR(__xludf.DUMMYFUNCTION("""COMPUTED_VALUE"""),0.65164)</f>
        <v>0.65164</v>
      </c>
      <c r="H2639" s="2">
        <f ca="1">IFERROR(__xludf.DUMMYFUNCTION("""COMPUTED_VALUE"""),51.466)</f>
        <v>51.466000000000001</v>
      </c>
      <c r="I2639" s="2">
        <f ca="1">IFERROR(__xludf.DUMMYFUNCTION("""COMPUTED_VALUE"""),54.999)</f>
        <v>54.999000000000002</v>
      </c>
      <c r="J2639" s="2">
        <f ca="1">IFERROR(__xludf.DUMMYFUNCTION("""COMPUTED_VALUE"""),52.024)</f>
        <v>52.024000000000001</v>
      </c>
      <c r="K2639" s="2">
        <f ca="1">IFERROR(__xludf.DUMMYFUNCTION("""COMPUTED_VALUE"""),68.447)</f>
        <v>68.447000000000003</v>
      </c>
      <c r="M2639" s="2">
        <f ca="1">IFERROR(__xludf.DUMMYFUNCTION("""COMPUTED_VALUE"""),17.31)</f>
        <v>17.309999999999999</v>
      </c>
      <c r="U2639" s="3" t="e">
        <f ca="1"/>
        <v>#NAME?</v>
      </c>
    </row>
    <row r="2640" spans="3:21" ht="12.5" x14ac:dyDescent="0.25">
      <c r="C2640" s="4">
        <f ca="1">IFERROR(__xludf.DUMMYFUNCTION("""COMPUTED_VALUE"""),43046.9986111111)</f>
        <v>43046.998611111099</v>
      </c>
      <c r="D2640" s="2">
        <f ca="1">IFERROR(__xludf.DUMMYFUNCTION("""COMPUTED_VALUE"""),65.1645)</f>
        <v>65.164500000000004</v>
      </c>
      <c r="E2640" s="2">
        <f ca="1">IFERROR(__xludf.DUMMYFUNCTION("""COMPUTED_VALUE"""),84.143)</f>
        <v>84.143000000000001</v>
      </c>
      <c r="F2640" s="2">
        <f ca="1">IFERROR(__xludf.DUMMYFUNCTION("""COMPUTED_VALUE"""),85.542)</f>
        <v>85.542000000000002</v>
      </c>
      <c r="G2640" s="2">
        <f ca="1">IFERROR(__xludf.DUMMYFUNCTION("""COMPUTED_VALUE"""),0.65336)</f>
        <v>0.65336000000000005</v>
      </c>
      <c r="H2640" s="2">
        <f ca="1">IFERROR(__xludf.DUMMYFUNCTION("""COMPUTED_VALUE"""),51.601)</f>
        <v>51.600999999999999</v>
      </c>
      <c r="I2640" s="2">
        <f ca="1">IFERROR(__xludf.DUMMYFUNCTION("""COMPUTED_VALUE"""),55.552)</f>
        <v>55.552</v>
      </c>
      <c r="J2640" s="2">
        <f ca="1">IFERROR(__xludf.DUMMYFUNCTION("""COMPUTED_VALUE"""),52.491)</f>
        <v>52.491</v>
      </c>
      <c r="K2640" s="2">
        <f ca="1">IFERROR(__xludf.DUMMYFUNCTION("""COMPUTED_VALUE"""),68.638)</f>
        <v>68.638000000000005</v>
      </c>
      <c r="M2640" s="2">
        <f ca="1">IFERROR(__xludf.DUMMYFUNCTION("""COMPUTED_VALUE"""),17.333)</f>
        <v>17.332999999999998</v>
      </c>
      <c r="U2640" s="3" t="e">
        <f ca="1"/>
        <v>#NAME?</v>
      </c>
    </row>
    <row r="2641" spans="3:21" ht="12.5" x14ac:dyDescent="0.25">
      <c r="C2641" s="4">
        <f ca="1">IFERROR(__xludf.DUMMYFUNCTION("""COMPUTED_VALUE"""),43047.9986111111)</f>
        <v>43047.998611111099</v>
      </c>
      <c r="D2641" s="2">
        <f ca="1">IFERROR(__xludf.DUMMYFUNCTION("""COMPUTED_VALUE"""),64.9105)</f>
        <v>64.910499999999999</v>
      </c>
      <c r="E2641" s="2">
        <f ca="1">IFERROR(__xludf.DUMMYFUNCTION("""COMPUTED_VALUE"""),83.513)</f>
        <v>83.513000000000005</v>
      </c>
      <c r="F2641" s="2">
        <f ca="1">IFERROR(__xludf.DUMMYFUNCTION("""COMPUTED_VALUE"""),85.958)</f>
        <v>85.957999999999998</v>
      </c>
      <c r="G2641" s="2">
        <f ca="1">IFERROR(__xludf.DUMMYFUNCTION("""COMPUTED_VALUE"""),0.65311)</f>
        <v>0.65310999999999997</v>
      </c>
      <c r="H2641" s="2">
        <f ca="1">IFERROR(__xludf.DUMMYFUNCTION("""COMPUTED_VALUE"""),51.693)</f>
        <v>51.692999999999998</v>
      </c>
      <c r="I2641" s="2">
        <f ca="1">IFERROR(__xludf.DUMMYFUNCTION("""COMPUTED_VALUE"""),55.444)</f>
        <v>55.444000000000003</v>
      </c>
      <c r="J2641" s="2">
        <f ca="1">IFERROR(__xludf.DUMMYFUNCTION("""COMPUTED_VALUE"""),52.724)</f>
        <v>52.723999999999997</v>
      </c>
      <c r="K2641" s="2">
        <f ca="1">IFERROR(__xludf.DUMMYFUNCTION("""COMPUTED_VALUE"""),68.938)</f>
        <v>68.938000000000002</v>
      </c>
      <c r="M2641" s="2">
        <f ca="1">IFERROR(__xludf.DUMMYFUNCTION("""COMPUTED_VALUE"""),17.361)</f>
        <v>17.361000000000001</v>
      </c>
      <c r="U2641" s="3" t="e">
        <f ca="1"/>
        <v>#NAME?</v>
      </c>
    </row>
    <row r="2642" spans="3:21" ht="12.5" x14ac:dyDescent="0.25">
      <c r="C2642" s="4">
        <f ca="1">IFERROR(__xludf.DUMMYFUNCTION("""COMPUTED_VALUE"""),43048.9986111111)</f>
        <v>43048.998611111099</v>
      </c>
      <c r="D2642" s="2">
        <f ca="1">IFERROR(__xludf.DUMMYFUNCTION("""COMPUTED_VALUE"""),64.968)</f>
        <v>64.968000000000004</v>
      </c>
      <c r="E2642" s="2">
        <f ca="1">IFERROR(__xludf.DUMMYFUNCTION("""COMPUTED_VALUE"""),84.552)</f>
        <v>84.552000000000007</v>
      </c>
      <c r="F2642" s="2">
        <f ca="1">IFERROR(__xludf.DUMMYFUNCTION("""COMPUTED_VALUE"""),86.171)</f>
        <v>86.171000000000006</v>
      </c>
      <c r="G2642" s="2">
        <f ca="1">IFERROR(__xludf.DUMMYFUNCTION("""COMPUTED_VALUE"""),0.65107)</f>
        <v>0.65107000000000004</v>
      </c>
      <c r="H2642" s="2">
        <f ca="1">IFERROR(__xludf.DUMMYFUNCTION("""COMPUTED_VALUE"""),51.73)</f>
        <v>51.73</v>
      </c>
      <c r="I2642" s="2">
        <f ca="1">IFERROR(__xludf.DUMMYFUNCTION("""COMPUTED_VALUE"""),55.337)</f>
        <v>55.337000000000003</v>
      </c>
      <c r="J2642" s="2">
        <f ca="1">IFERROR(__xludf.DUMMYFUNCTION("""COMPUTED_VALUE"""),52.52)</f>
        <v>52.52</v>
      </c>
      <c r="K2642" s="2">
        <f ca="1">IFERROR(__xludf.DUMMYFUNCTION("""COMPUTED_VALUE"""),68.919)</f>
        <v>68.918999999999997</v>
      </c>
      <c r="M2642" s="2">
        <f ca="1">IFERROR(__xludf.DUMMYFUNCTION("""COMPUTED_VALUE"""),17.331)</f>
        <v>17.331</v>
      </c>
      <c r="U2642" s="3" t="e">
        <f ca="1"/>
        <v>#NAME?</v>
      </c>
    </row>
    <row r="2643" spans="3:21" ht="12.5" x14ac:dyDescent="0.25">
      <c r="C2643" s="4">
        <f ca="1">IFERROR(__xludf.DUMMYFUNCTION("""COMPUTED_VALUE"""),43049.9986111111)</f>
        <v>43049.998611111099</v>
      </c>
      <c r="D2643" s="2">
        <f ca="1">IFERROR(__xludf.DUMMYFUNCTION("""COMPUTED_VALUE"""),65.183)</f>
        <v>65.183000000000007</v>
      </c>
      <c r="E2643" s="2">
        <f ca="1">IFERROR(__xludf.DUMMYFUNCTION("""COMPUTED_VALUE"""),84.831)</f>
        <v>84.831000000000003</v>
      </c>
      <c r="F2643" s="2">
        <f ca="1">IFERROR(__xludf.DUMMYFUNCTION("""COMPUTED_VALUE"""),86.237)</f>
        <v>86.236999999999995</v>
      </c>
      <c r="G2643" s="2">
        <f ca="1">IFERROR(__xludf.DUMMYFUNCTION("""COMPUTED_VALUE"""),0.65559)</f>
        <v>0.65559000000000001</v>
      </c>
      <c r="H2643" s="2">
        <f ca="1">IFERROR(__xludf.DUMMYFUNCTION("""COMPUTED_VALUE"""),51.382)</f>
        <v>51.381999999999998</v>
      </c>
      <c r="I2643" s="2">
        <f ca="1">IFERROR(__xludf.DUMMYFUNCTION("""COMPUTED_VALUE"""),55.106)</f>
        <v>55.106000000000002</v>
      </c>
      <c r="J2643" s="2">
        <f ca="1">IFERROR(__xludf.DUMMYFUNCTION("""COMPUTED_VALUE"""),52.512)</f>
        <v>52.512</v>
      </c>
      <c r="K2643" s="2">
        <f ca="1">IFERROR(__xludf.DUMMYFUNCTION("""COMPUTED_VALUE"""),68.788)</f>
        <v>68.787999999999997</v>
      </c>
      <c r="M2643" s="2">
        <f ca="1">IFERROR(__xludf.DUMMYFUNCTION("""COMPUTED_VALUE"""),17.415)</f>
        <v>17.414999999999999</v>
      </c>
      <c r="U2643" s="3" t="e">
        <f ca="1"/>
        <v>#NAME?</v>
      </c>
    </row>
    <row r="2644" spans="3:21" ht="12.5" x14ac:dyDescent="0.25">
      <c r="C2644" s="4">
        <f ca="1">IFERROR(__xludf.DUMMYFUNCTION("""COMPUTED_VALUE"""),43050.9986111111)</f>
        <v>43050.998611111099</v>
      </c>
      <c r="D2644" s="2">
        <f ca="1">IFERROR(__xludf.DUMMYFUNCTION("""COMPUTED_VALUE"""),65.183)</f>
        <v>65.183000000000007</v>
      </c>
      <c r="E2644" s="2">
        <f ca="1">IFERROR(__xludf.DUMMYFUNCTION("""COMPUTED_VALUE"""),84.397)</f>
        <v>84.397000000000006</v>
      </c>
      <c r="F2644" s="2">
        <f ca="1">IFERROR(__xludf.DUMMYFUNCTION("""COMPUTED_VALUE"""),86.276)</f>
        <v>86.275999999999996</v>
      </c>
      <c r="G2644" s="2">
        <f ca="1">IFERROR(__xludf.DUMMYFUNCTION("""COMPUTED_VALUE"""),0.65606)</f>
        <v>0.65605999999999998</v>
      </c>
      <c r="H2644" s="2">
        <f ca="1">IFERROR(__xludf.DUMMYFUNCTION("""COMPUTED_VALUE"""),51.777)</f>
        <v>51.777000000000001</v>
      </c>
      <c r="I2644" s="2">
        <f ca="1">IFERROR(__xludf.DUMMYFUNCTION("""COMPUTED_VALUE"""),55.465)</f>
        <v>55.465000000000003</v>
      </c>
      <c r="J2644" s="2">
        <f ca="1">IFERROR(__xludf.DUMMYFUNCTION("""COMPUTED_VALUE"""),52.284)</f>
        <v>52.283999999999999</v>
      </c>
      <c r="K2644" s="2">
        <f ca="1">IFERROR(__xludf.DUMMYFUNCTION("""COMPUTED_VALUE"""),68.932)</f>
        <v>68.932000000000002</v>
      </c>
      <c r="M2644" s="2">
        <f ca="1">IFERROR(__xludf.DUMMYFUNCTION("""COMPUTED_VALUE"""),17.485)</f>
        <v>17.484999999999999</v>
      </c>
      <c r="U2644" s="3" t="e">
        <f ca="1"/>
        <v>#NAME?</v>
      </c>
    </row>
    <row r="2645" spans="3:21" ht="12.5" x14ac:dyDescent="0.25">
      <c r="C2645" s="4">
        <f ca="1">IFERROR(__xludf.DUMMYFUNCTION("""COMPUTED_VALUE"""),43051.9986111111)</f>
        <v>43051.998611111099</v>
      </c>
      <c r="D2645" s="2">
        <f ca="1">IFERROR(__xludf.DUMMYFUNCTION("""COMPUTED_VALUE"""),65.1603)</f>
        <v>65.160300000000007</v>
      </c>
      <c r="E2645" s="2">
        <f ca="1">IFERROR(__xludf.DUMMYFUNCTION("""COMPUTED_VALUE"""),84.721)</f>
        <v>84.721000000000004</v>
      </c>
      <c r="F2645" s="2">
        <f ca="1">IFERROR(__xludf.DUMMYFUNCTION("""COMPUTED_VALUE"""),85.951)</f>
        <v>85.950999999999993</v>
      </c>
      <c r="G2645" s="2">
        <f ca="1">IFERROR(__xludf.DUMMYFUNCTION("""COMPUTED_VALUE"""),0.6527)</f>
        <v>0.65269999999999995</v>
      </c>
      <c r="H2645" s="2">
        <f ca="1">IFERROR(__xludf.DUMMYFUNCTION("""COMPUTED_VALUE"""),52.478)</f>
        <v>52.478000000000002</v>
      </c>
      <c r="I2645" s="2">
        <f ca="1">IFERROR(__xludf.DUMMYFUNCTION("""COMPUTED_VALUE"""),55.994)</f>
        <v>55.994</v>
      </c>
      <c r="J2645" s="2">
        <f ca="1">IFERROR(__xludf.DUMMYFUNCTION("""COMPUTED_VALUE"""),52.701)</f>
        <v>52.701000000000001</v>
      </c>
      <c r="K2645" s="2">
        <f ca="1">IFERROR(__xludf.DUMMYFUNCTION("""COMPUTED_VALUE"""),69.06)</f>
        <v>69.06</v>
      </c>
      <c r="M2645" s="2">
        <f ca="1">IFERROR(__xludf.DUMMYFUNCTION("""COMPUTED_VALUE"""),17.462)</f>
        <v>17.462</v>
      </c>
      <c r="U2645" s="3" t="e">
        <f ca="1"/>
        <v>#NAME?</v>
      </c>
    </row>
    <row r="2646" spans="3:21" ht="12.5" x14ac:dyDescent="0.25">
      <c r="C2646" s="4">
        <f ca="1">IFERROR(__xludf.DUMMYFUNCTION("""COMPUTED_VALUE"""),43052.9986111111)</f>
        <v>43052.998611111099</v>
      </c>
      <c r="D2646" s="2">
        <f ca="1">IFERROR(__xludf.DUMMYFUNCTION("""COMPUTED_VALUE"""),65.4384)</f>
        <v>65.438400000000001</v>
      </c>
      <c r="E2646" s="2">
        <f ca="1">IFERROR(__xludf.DUMMYFUNCTION("""COMPUTED_VALUE"""),84.824)</f>
        <v>84.823999999999998</v>
      </c>
      <c r="F2646" s="2">
        <f ca="1">IFERROR(__xludf.DUMMYFUNCTION("""COMPUTED_VALUE"""),85.931)</f>
        <v>85.930999999999997</v>
      </c>
      <c r="G2646" s="2">
        <f ca="1">IFERROR(__xludf.DUMMYFUNCTION("""COMPUTED_VALUE"""),0.65106)</f>
        <v>0.65105999999999997</v>
      </c>
      <c r="H2646" s="2">
        <f ca="1">IFERROR(__xludf.DUMMYFUNCTION("""COMPUTED_VALUE"""),52.477)</f>
        <v>52.476999999999997</v>
      </c>
      <c r="I2646" s="2">
        <f ca="1">IFERROR(__xludf.DUMMYFUNCTION("""COMPUTED_VALUE"""),55.959)</f>
        <v>55.959000000000003</v>
      </c>
      <c r="J2646" s="2">
        <f ca="1">IFERROR(__xludf.DUMMYFUNCTION("""COMPUTED_VALUE"""),53.029)</f>
        <v>53.029000000000003</v>
      </c>
      <c r="K2646" s="2">
        <f ca="1">IFERROR(__xludf.DUMMYFUNCTION("""COMPUTED_VALUE"""),69.108)</f>
        <v>69.108000000000004</v>
      </c>
      <c r="M2646" s="2">
        <f ca="1">IFERROR(__xludf.DUMMYFUNCTION("""COMPUTED_VALUE"""),17.457)</f>
        <v>17.457000000000001</v>
      </c>
      <c r="U2646" s="3" t="e">
        <f ca="1"/>
        <v>#NAME?</v>
      </c>
    </row>
    <row r="2647" spans="3:21" ht="12.5" x14ac:dyDescent="0.25">
      <c r="C2647" s="4">
        <f ca="1">IFERROR(__xludf.DUMMYFUNCTION("""COMPUTED_VALUE"""),43053.9986111111)</f>
        <v>43053.998611111099</v>
      </c>
      <c r="D2647" s="2">
        <f ca="1">IFERROR(__xludf.DUMMYFUNCTION("""COMPUTED_VALUE"""),65.4134)</f>
        <v>65.413399999999996</v>
      </c>
      <c r="E2647" s="2">
        <f ca="1">IFERROR(__xludf.DUMMYFUNCTION("""COMPUTED_VALUE"""),84.824)</f>
        <v>84.823999999999998</v>
      </c>
      <c r="F2647" s="2">
        <f ca="1">IFERROR(__xludf.DUMMYFUNCTION("""COMPUTED_VALUE"""),85.95)</f>
        <v>85.95</v>
      </c>
      <c r="G2647" s="2">
        <f ca="1">IFERROR(__xludf.DUMMYFUNCTION("""COMPUTED_VALUE"""),0.65473)</f>
        <v>0.65473000000000003</v>
      </c>
      <c r="H2647" s="2">
        <f ca="1">IFERROR(__xludf.DUMMYFUNCTION("""COMPUTED_VALUE"""),52.413)</f>
        <v>52.412999999999997</v>
      </c>
      <c r="I2647" s="2">
        <f ca="1">IFERROR(__xludf.DUMMYFUNCTION("""COMPUTED_VALUE"""),55.731)</f>
        <v>55.731000000000002</v>
      </c>
      <c r="J2647" s="2">
        <f ca="1">IFERROR(__xludf.DUMMYFUNCTION("""COMPUTED_VALUE"""),52.803)</f>
        <v>52.802999999999997</v>
      </c>
      <c r="K2647" s="2">
        <f ca="1">IFERROR(__xludf.DUMMYFUNCTION("""COMPUTED_VALUE"""),69.029)</f>
        <v>69.028999999999996</v>
      </c>
      <c r="M2647" s="2">
        <f ca="1">IFERROR(__xludf.DUMMYFUNCTION("""COMPUTED_VALUE"""),17.437)</f>
        <v>17.437000000000001</v>
      </c>
      <c r="U2647" s="3" t="e">
        <f ca="1"/>
        <v>#NAME?</v>
      </c>
    </row>
    <row r="2648" spans="3:21" ht="12.5" x14ac:dyDescent="0.25">
      <c r="C2648" s="4">
        <f ca="1">IFERROR(__xludf.DUMMYFUNCTION("""COMPUTED_VALUE"""),43054.9986111111)</f>
        <v>43054.998611111099</v>
      </c>
      <c r="D2648" s="2">
        <f ca="1">IFERROR(__xludf.DUMMYFUNCTION("""COMPUTED_VALUE"""),65.2926)</f>
        <v>65.292599999999993</v>
      </c>
      <c r="E2648" s="2">
        <f ca="1">IFERROR(__xludf.DUMMYFUNCTION("""COMPUTED_VALUE"""),85.325)</f>
        <v>85.325000000000003</v>
      </c>
      <c r="F2648" s="2">
        <f ca="1">IFERROR(__xludf.DUMMYFUNCTION("""COMPUTED_VALUE"""),85.722)</f>
        <v>85.721999999999994</v>
      </c>
      <c r="G2648" s="2">
        <f ca="1">IFERROR(__xludf.DUMMYFUNCTION("""COMPUTED_VALUE"""),0.65103)</f>
        <v>0.65103</v>
      </c>
      <c r="H2648" s="2">
        <f ca="1">IFERROR(__xludf.DUMMYFUNCTION("""COMPUTED_VALUE"""),52.617)</f>
        <v>52.616999999999997</v>
      </c>
      <c r="I2648" s="2">
        <f ca="1">IFERROR(__xludf.DUMMYFUNCTION("""COMPUTED_VALUE"""),55.897)</f>
        <v>55.896999999999998</v>
      </c>
      <c r="J2648" s="2">
        <f ca="1">IFERROR(__xludf.DUMMYFUNCTION("""COMPUTED_VALUE"""),52.71)</f>
        <v>52.71</v>
      </c>
      <c r="K2648" s="2">
        <f ca="1">IFERROR(__xludf.DUMMYFUNCTION("""COMPUTED_VALUE"""),69.15)</f>
        <v>69.150000000000006</v>
      </c>
      <c r="M2648" s="2">
        <f ca="1">IFERROR(__xludf.DUMMYFUNCTION("""COMPUTED_VALUE"""),17.476)</f>
        <v>17.475999999999999</v>
      </c>
      <c r="U2648" s="3" t="e">
        <f ca="1"/>
        <v>#NAME?</v>
      </c>
    </row>
    <row r="2649" spans="3:21" ht="12.5" x14ac:dyDescent="0.25">
      <c r="C2649" s="4">
        <f ca="1">IFERROR(__xludf.DUMMYFUNCTION("""COMPUTED_VALUE"""),43055.9986111111)</f>
        <v>43055.998611111099</v>
      </c>
      <c r="D2649" s="2">
        <f ca="1">IFERROR(__xludf.DUMMYFUNCTION("""COMPUTED_VALUE"""),65.21)</f>
        <v>65.209999999999994</v>
      </c>
      <c r="E2649" s="2">
        <f ca="1">IFERROR(__xludf.DUMMYFUNCTION("""COMPUTED_VALUE"""),85.416)</f>
        <v>85.415999999999997</v>
      </c>
      <c r="F2649" s="2">
        <f ca="1">IFERROR(__xludf.DUMMYFUNCTION("""COMPUTED_VALUE"""),85.658)</f>
        <v>85.658000000000001</v>
      </c>
      <c r="G2649" s="2">
        <f ca="1">IFERROR(__xludf.DUMMYFUNCTION("""COMPUTED_VALUE"""),0.63932)</f>
        <v>0.63932</v>
      </c>
      <c r="H2649" s="2">
        <f ca="1">IFERROR(__xludf.DUMMYFUNCTION("""COMPUTED_VALUE"""),52.614)</f>
        <v>52.613999999999997</v>
      </c>
      <c r="I2649" s="2">
        <f ca="1">IFERROR(__xludf.DUMMYFUNCTION("""COMPUTED_VALUE"""),55.879)</f>
        <v>55.878999999999998</v>
      </c>
      <c r="J2649" s="2">
        <f ca="1">IFERROR(__xludf.DUMMYFUNCTION("""COMPUTED_VALUE"""),52.932)</f>
        <v>52.932000000000002</v>
      </c>
      <c r="K2649" s="2">
        <f ca="1">IFERROR(__xludf.DUMMYFUNCTION("""COMPUTED_VALUE"""),69.286)</f>
        <v>69.286000000000001</v>
      </c>
      <c r="M2649" s="2">
        <f ca="1">IFERROR(__xludf.DUMMYFUNCTION("""COMPUTED_VALUE"""),17.501)</f>
        <v>17.501000000000001</v>
      </c>
      <c r="U2649" s="3" t="e">
        <f ca="1"/>
        <v>#NAME?</v>
      </c>
    </row>
    <row r="2650" spans="3:21" ht="12.5" x14ac:dyDescent="0.25">
      <c r="C2650" s="4">
        <f ca="1">IFERROR(__xludf.DUMMYFUNCTION("""COMPUTED_VALUE"""),43056.9986111111)</f>
        <v>43056.998611111099</v>
      </c>
      <c r="D2650" s="2">
        <f ca="1">IFERROR(__xludf.DUMMYFUNCTION("""COMPUTED_VALUE"""),65.008)</f>
        <v>65.007999999999996</v>
      </c>
      <c r="E2650" s="2">
        <f ca="1">IFERROR(__xludf.DUMMYFUNCTION("""COMPUTED_VALUE"""),85.211)</f>
        <v>85.210999999999999</v>
      </c>
      <c r="F2650" s="2">
        <f ca="1">IFERROR(__xludf.DUMMYFUNCTION("""COMPUTED_VALUE"""),85.941)</f>
        <v>85.941000000000003</v>
      </c>
      <c r="G2650" s="2">
        <f ca="1">IFERROR(__xludf.DUMMYFUNCTION("""COMPUTED_VALUE"""),0.64465)</f>
        <v>0.64464999999999995</v>
      </c>
      <c r="H2650" s="2">
        <f ca="1">IFERROR(__xludf.DUMMYFUNCTION("""COMPUTED_VALUE"""),52.646)</f>
        <v>52.646000000000001</v>
      </c>
      <c r="I2650" s="2">
        <f ca="1">IFERROR(__xludf.DUMMYFUNCTION("""COMPUTED_VALUE"""),56.065)</f>
        <v>56.064999999999998</v>
      </c>
      <c r="J2650" s="2">
        <f ca="1">IFERROR(__xludf.DUMMYFUNCTION("""COMPUTED_VALUE"""),52.911)</f>
        <v>52.911000000000001</v>
      </c>
      <c r="K2650" s="2">
        <f ca="1">IFERROR(__xludf.DUMMYFUNCTION("""COMPUTED_VALUE"""),69.441)</f>
        <v>69.441000000000003</v>
      </c>
      <c r="M2650" s="2">
        <f ca="1">IFERROR(__xludf.DUMMYFUNCTION("""COMPUTED_VALUE"""),17.48)</f>
        <v>17.48</v>
      </c>
      <c r="U2650" s="3" t="e">
        <f ca="1"/>
        <v>#NAME?</v>
      </c>
    </row>
    <row r="2651" spans="3:21" ht="12.5" x14ac:dyDescent="0.25">
      <c r="C2651" s="4">
        <f ca="1">IFERROR(__xludf.DUMMYFUNCTION("""COMPUTED_VALUE"""),43057.9986111111)</f>
        <v>43057.998611111099</v>
      </c>
      <c r="D2651" s="2">
        <f ca="1">IFERROR(__xludf.DUMMYFUNCTION("""COMPUTED_VALUE"""),65.008)</f>
        <v>65.007999999999996</v>
      </c>
      <c r="E2651" s="2">
        <f ca="1">IFERROR(__xludf.DUMMYFUNCTION("""COMPUTED_VALUE"""),84.363)</f>
        <v>84.363</v>
      </c>
      <c r="F2651" s="2">
        <f ca="1">IFERROR(__xludf.DUMMYFUNCTION("""COMPUTED_VALUE"""),85.346)</f>
        <v>85.346000000000004</v>
      </c>
      <c r="G2651" s="2">
        <f ca="1">IFERROR(__xludf.DUMMYFUNCTION("""COMPUTED_VALUE"""),0.64297)</f>
        <v>0.64297000000000004</v>
      </c>
      <c r="H2651" s="2">
        <f ca="1">IFERROR(__xludf.DUMMYFUNCTION("""COMPUTED_VALUE"""),52.639)</f>
        <v>52.639000000000003</v>
      </c>
      <c r="I2651" s="2">
        <f ca="1">IFERROR(__xludf.DUMMYFUNCTION("""COMPUTED_VALUE"""),56.044)</f>
        <v>56.043999999999997</v>
      </c>
      <c r="J2651" s="2">
        <f ca="1">IFERROR(__xludf.DUMMYFUNCTION("""COMPUTED_VALUE"""),53.132)</f>
        <v>53.131999999999998</v>
      </c>
      <c r="K2651" s="2">
        <f ca="1">IFERROR(__xludf.DUMMYFUNCTION("""COMPUTED_VALUE"""),69.432)</f>
        <v>69.432000000000002</v>
      </c>
      <c r="M2651" s="2">
        <f ca="1">IFERROR(__xludf.DUMMYFUNCTION("""COMPUTED_VALUE"""),17.483)</f>
        <v>17.483000000000001</v>
      </c>
      <c r="U2651" s="3" t="e">
        <f ca="1"/>
        <v>#NAME?</v>
      </c>
    </row>
    <row r="2652" spans="3:21" ht="12.5" x14ac:dyDescent="0.25">
      <c r="C2652" s="4">
        <f ca="1">IFERROR(__xludf.DUMMYFUNCTION("""COMPUTED_VALUE"""),43058.9986111111)</f>
        <v>43058.998611111099</v>
      </c>
      <c r="D2652" s="2">
        <f ca="1">IFERROR(__xludf.DUMMYFUNCTION("""COMPUTED_VALUE"""),64.905)</f>
        <v>64.905000000000001</v>
      </c>
      <c r="E2652" s="2">
        <f ca="1">IFERROR(__xludf.DUMMYFUNCTION("""COMPUTED_VALUE"""),84.057)</f>
        <v>84.057000000000002</v>
      </c>
      <c r="F2652" s="2">
        <f ca="1">IFERROR(__xludf.DUMMYFUNCTION("""COMPUTED_VALUE"""),85.788)</f>
        <v>85.787999999999997</v>
      </c>
      <c r="G2652" s="2">
        <f ca="1">IFERROR(__xludf.DUMMYFUNCTION("""COMPUTED_VALUE"""),0.63743)</f>
        <v>0.63743000000000005</v>
      </c>
      <c r="H2652" s="2">
        <f ca="1">IFERROR(__xludf.DUMMYFUNCTION("""COMPUTED_VALUE"""),52.641)</f>
        <v>52.640999999999998</v>
      </c>
      <c r="I2652" s="2">
        <f ca="1">IFERROR(__xludf.DUMMYFUNCTION("""COMPUTED_VALUE"""),55.639)</f>
        <v>55.639000000000003</v>
      </c>
      <c r="J2652" s="2">
        <f ca="1">IFERROR(__xludf.DUMMYFUNCTION("""COMPUTED_VALUE"""),53.155)</f>
        <v>53.155000000000001</v>
      </c>
      <c r="K2652" s="2">
        <f ca="1">IFERROR(__xludf.DUMMYFUNCTION("""COMPUTED_VALUE"""),69.194)</f>
        <v>69.194000000000003</v>
      </c>
      <c r="M2652" s="2">
        <f ca="1">IFERROR(__xludf.DUMMYFUNCTION("""COMPUTED_VALUE"""),17.501)</f>
        <v>17.501000000000001</v>
      </c>
      <c r="U2652" s="3" t="e">
        <f ca="1"/>
        <v>#NAME?</v>
      </c>
    </row>
    <row r="2653" spans="3:21" ht="12.5" x14ac:dyDescent="0.25">
      <c r="C2653" s="4">
        <f ca="1">IFERROR(__xludf.DUMMYFUNCTION("""COMPUTED_VALUE"""),43059.9986111111)</f>
        <v>43059.998611111099</v>
      </c>
      <c r="D2653" s="2">
        <f ca="1">IFERROR(__xludf.DUMMYFUNCTION("""COMPUTED_VALUE"""),65.025)</f>
        <v>65.025000000000006</v>
      </c>
      <c r="E2653" s="2">
        <f ca="1">IFERROR(__xludf.DUMMYFUNCTION("""COMPUTED_VALUE"""),84.345)</f>
        <v>84.344999999999999</v>
      </c>
      <c r="F2653" s="2">
        <f ca="1">IFERROR(__xludf.DUMMYFUNCTION("""COMPUTED_VALUE"""),85.911)</f>
        <v>85.911000000000001</v>
      </c>
      <c r="G2653" s="2">
        <f ca="1">IFERROR(__xludf.DUMMYFUNCTION("""COMPUTED_VALUE"""),0.63454)</f>
        <v>0.63453999999999999</v>
      </c>
      <c r="H2653" s="2">
        <f ca="1">IFERROR(__xludf.DUMMYFUNCTION("""COMPUTED_VALUE"""),52.227)</f>
        <v>52.226999999999997</v>
      </c>
      <c r="I2653" s="2">
        <f ca="1">IFERROR(__xludf.DUMMYFUNCTION("""COMPUTED_VALUE"""),55.608)</f>
        <v>55.607999999999997</v>
      </c>
      <c r="J2653" s="2">
        <f ca="1">IFERROR(__xludf.DUMMYFUNCTION("""COMPUTED_VALUE"""),53.106)</f>
        <v>53.106000000000002</v>
      </c>
      <c r="K2653" s="2">
        <f ca="1">IFERROR(__xludf.DUMMYFUNCTION("""COMPUTED_VALUE"""),69.183)</f>
        <v>69.183000000000007</v>
      </c>
      <c r="M2653" s="2">
        <f ca="1">IFERROR(__xludf.DUMMYFUNCTION("""COMPUTED_VALUE"""),17.491)</f>
        <v>17.491</v>
      </c>
      <c r="U2653" s="3" t="e">
        <f ca="1"/>
        <v>#NAME?</v>
      </c>
    </row>
    <row r="2654" spans="3:21" ht="12.5" x14ac:dyDescent="0.25">
      <c r="C2654" s="4">
        <f ca="1">IFERROR(__xludf.DUMMYFUNCTION("""COMPUTED_VALUE"""),43060.9986111111)</f>
        <v>43060.998611111099</v>
      </c>
      <c r="D2654" s="2">
        <f ca="1">IFERROR(__xludf.DUMMYFUNCTION("""COMPUTED_VALUE"""),64.7613)</f>
        <v>64.761300000000006</v>
      </c>
      <c r="E2654" s="2">
        <f ca="1">IFERROR(__xludf.DUMMYFUNCTION("""COMPUTED_VALUE"""),84.159)</f>
        <v>84.159000000000006</v>
      </c>
      <c r="F2654" s="2">
        <f ca="1">IFERROR(__xludf.DUMMYFUNCTION("""COMPUTED_VALUE"""),85.839)</f>
        <v>85.838999999999999</v>
      </c>
      <c r="G2654" s="2">
        <f ca="1">IFERROR(__xludf.DUMMYFUNCTION("""COMPUTED_VALUE"""),0.6363)</f>
        <v>0.63629999999999998</v>
      </c>
      <c r="H2654" s="2">
        <f ca="1">IFERROR(__xludf.DUMMYFUNCTION("""COMPUTED_VALUE"""),52.311)</f>
        <v>52.311</v>
      </c>
      <c r="I2654" s="2">
        <f ca="1">IFERROR(__xludf.DUMMYFUNCTION("""COMPUTED_VALUE"""),56.094)</f>
        <v>56.094000000000001</v>
      </c>
      <c r="J2654" s="2">
        <f ca="1">IFERROR(__xludf.DUMMYFUNCTION("""COMPUTED_VALUE"""),52.987)</f>
        <v>52.987000000000002</v>
      </c>
      <c r="K2654" s="2">
        <f ca="1">IFERROR(__xludf.DUMMYFUNCTION("""COMPUTED_VALUE"""),68.966)</f>
        <v>68.965999999999994</v>
      </c>
      <c r="M2654" s="2">
        <f ca="1">IFERROR(__xludf.DUMMYFUNCTION("""COMPUTED_VALUE"""),17.429)</f>
        <v>17.428999999999998</v>
      </c>
      <c r="U2654" s="3" t="e">
        <f ca="1"/>
        <v>#NAME?</v>
      </c>
    </row>
    <row r="2655" spans="3:21" ht="12.5" x14ac:dyDescent="0.25">
      <c r="C2655" s="4">
        <f ca="1">IFERROR(__xludf.DUMMYFUNCTION("""COMPUTED_VALUE"""),43061.9986111111)</f>
        <v>43061.998611111099</v>
      </c>
      <c r="D2655" s="2">
        <f ca="1">IFERROR(__xludf.DUMMYFUNCTION("""COMPUTED_VALUE"""),64.77)</f>
        <v>64.77</v>
      </c>
      <c r="E2655" s="2">
        <f ca="1">IFERROR(__xludf.DUMMYFUNCTION("""COMPUTED_VALUE"""),84.091)</f>
        <v>84.090999999999994</v>
      </c>
      <c r="F2655" s="2">
        <f ca="1">IFERROR(__xludf.DUMMYFUNCTION("""COMPUTED_VALUE"""),85.866)</f>
        <v>85.866</v>
      </c>
      <c r="G2655" s="2">
        <f ca="1">IFERROR(__xludf.DUMMYFUNCTION("""COMPUTED_VALUE"""),0.64018)</f>
        <v>0.64017999999999997</v>
      </c>
      <c r="H2655" s="2">
        <f ca="1">IFERROR(__xludf.DUMMYFUNCTION("""COMPUTED_VALUE"""),52.66)</f>
        <v>52.66</v>
      </c>
      <c r="I2655" s="2">
        <f ca="1">IFERROR(__xludf.DUMMYFUNCTION("""COMPUTED_VALUE"""),56.867)</f>
        <v>56.866999999999997</v>
      </c>
      <c r="J2655" s="2">
        <f ca="1">IFERROR(__xludf.DUMMYFUNCTION("""COMPUTED_VALUE"""),52.966)</f>
        <v>52.966000000000001</v>
      </c>
      <c r="K2655" s="2">
        <f ca="1">IFERROR(__xludf.DUMMYFUNCTION("""COMPUTED_VALUE"""),68.217)</f>
        <v>68.216999999999999</v>
      </c>
      <c r="M2655" s="2">
        <f ca="1">IFERROR(__xludf.DUMMYFUNCTION("""COMPUTED_VALUE"""),17.395)</f>
        <v>17.395</v>
      </c>
      <c r="U2655" s="3" t="e">
        <f ca="1"/>
        <v>#NAME?</v>
      </c>
    </row>
    <row r="2656" spans="3:21" ht="12.5" x14ac:dyDescent="0.25">
      <c r="C2656" s="4">
        <f ca="1">IFERROR(__xludf.DUMMYFUNCTION("""COMPUTED_VALUE"""),43062.9986111111)</f>
        <v>43062.998611111099</v>
      </c>
      <c r="D2656" s="2">
        <f ca="1">IFERROR(__xludf.DUMMYFUNCTION("""COMPUTED_VALUE"""),64.5794)</f>
        <v>64.579400000000007</v>
      </c>
      <c r="E2656" s="2">
        <f ca="1">IFERROR(__xludf.DUMMYFUNCTION("""COMPUTED_VALUE"""),84.731)</f>
        <v>84.730999999999995</v>
      </c>
      <c r="F2656" s="2">
        <f ca="1">IFERROR(__xludf.DUMMYFUNCTION("""COMPUTED_VALUE"""),85.462)</f>
        <v>85.462000000000003</v>
      </c>
      <c r="G2656" s="2">
        <f ca="1">IFERROR(__xludf.DUMMYFUNCTION("""COMPUTED_VALUE"""),0.63751)</f>
        <v>0.63751000000000002</v>
      </c>
      <c r="H2656" s="2">
        <f ca="1">IFERROR(__xludf.DUMMYFUNCTION("""COMPUTED_VALUE"""),52.369)</f>
        <v>52.369</v>
      </c>
      <c r="I2656" s="2">
        <f ca="1">IFERROR(__xludf.DUMMYFUNCTION("""COMPUTED_VALUE"""),56.826)</f>
        <v>56.826000000000001</v>
      </c>
      <c r="J2656" s="2">
        <f ca="1">IFERROR(__xludf.DUMMYFUNCTION("""COMPUTED_VALUE"""),53.105)</f>
        <v>53.104999999999997</v>
      </c>
      <c r="K2656" s="2">
        <f ca="1">IFERROR(__xludf.DUMMYFUNCTION("""COMPUTED_VALUE"""),68.311)</f>
        <v>68.311000000000007</v>
      </c>
      <c r="M2656" s="2">
        <f ca="1">IFERROR(__xludf.DUMMYFUNCTION("""COMPUTED_VALUE"""),17.537)</f>
        <v>17.536999999999999</v>
      </c>
      <c r="U2656" s="3" t="e">
        <f ca="1"/>
        <v>#NAME?</v>
      </c>
    </row>
    <row r="2657" spans="3:21" ht="12.5" x14ac:dyDescent="0.25">
      <c r="C2657" s="4">
        <f ca="1">IFERROR(__xludf.DUMMYFUNCTION("""COMPUTED_VALUE"""),43063.9986111111)</f>
        <v>43063.998611111099</v>
      </c>
      <c r="D2657" s="2">
        <f ca="1">IFERROR(__xludf.DUMMYFUNCTION("""COMPUTED_VALUE"""),64.673)</f>
        <v>64.673000000000002</v>
      </c>
      <c r="E2657" s="2">
        <f ca="1">IFERROR(__xludf.DUMMYFUNCTION("""COMPUTED_VALUE"""),84.91)</f>
        <v>84.91</v>
      </c>
      <c r="F2657" s="2">
        <f ca="1">IFERROR(__xludf.DUMMYFUNCTION("""COMPUTED_VALUE"""),86.055)</f>
        <v>86.055000000000007</v>
      </c>
      <c r="G2657" s="2">
        <f ca="1">IFERROR(__xludf.DUMMYFUNCTION("""COMPUTED_VALUE"""),0.63612)</f>
        <v>0.63612000000000002</v>
      </c>
      <c r="H2657" s="2">
        <f ca="1">IFERROR(__xludf.DUMMYFUNCTION("""COMPUTED_VALUE"""),51.997)</f>
        <v>51.997</v>
      </c>
      <c r="I2657" s="2">
        <f ca="1">IFERROR(__xludf.DUMMYFUNCTION("""COMPUTED_VALUE"""),56.893)</f>
        <v>56.893000000000001</v>
      </c>
      <c r="J2657" s="2">
        <f ca="1">IFERROR(__xludf.DUMMYFUNCTION("""COMPUTED_VALUE"""),53.057)</f>
        <v>53.057000000000002</v>
      </c>
      <c r="K2657" s="2">
        <f ca="1">IFERROR(__xludf.DUMMYFUNCTION("""COMPUTED_VALUE"""),68.699)</f>
        <v>68.698999999999998</v>
      </c>
      <c r="M2657" s="2">
        <f ca="1">IFERROR(__xludf.DUMMYFUNCTION("""COMPUTED_VALUE"""),17.529)</f>
        <v>17.529</v>
      </c>
      <c r="U2657" s="3" t="e">
        <f ca="1"/>
        <v>#NAME?</v>
      </c>
    </row>
    <row r="2658" spans="3:21" ht="12.5" x14ac:dyDescent="0.25">
      <c r="C2658" s="4">
        <f ca="1">IFERROR(__xludf.DUMMYFUNCTION("""COMPUTED_VALUE"""),43064.9986111111)</f>
        <v>43064.998611111099</v>
      </c>
      <c r="D2658" s="2">
        <f ca="1">IFERROR(__xludf.DUMMYFUNCTION("""COMPUTED_VALUE"""),64.545)</f>
        <v>64.545000000000002</v>
      </c>
      <c r="E2658" s="2">
        <f ca="1">IFERROR(__xludf.DUMMYFUNCTION("""COMPUTED_VALUE"""),84.91)</f>
        <v>84.91</v>
      </c>
      <c r="F2658" s="2">
        <f ca="1">IFERROR(__xludf.DUMMYFUNCTION("""COMPUTED_VALUE"""),84.789)</f>
        <v>84.789000000000001</v>
      </c>
      <c r="G2658" s="2">
        <f ca="1">IFERROR(__xludf.DUMMYFUNCTION("""COMPUTED_VALUE"""),0.63265)</f>
        <v>0.63265000000000005</v>
      </c>
      <c r="H2658" s="2">
        <f ca="1">IFERROR(__xludf.DUMMYFUNCTION("""COMPUTED_VALUE"""),52.089)</f>
        <v>52.088999999999999</v>
      </c>
      <c r="I2658" s="2">
        <f ca="1">IFERROR(__xludf.DUMMYFUNCTION("""COMPUTED_VALUE"""),56.938)</f>
        <v>56.938000000000002</v>
      </c>
      <c r="J2658" s="2">
        <f ca="1">IFERROR(__xludf.DUMMYFUNCTION("""COMPUTED_VALUE"""),53.059)</f>
        <v>53.058999999999997</v>
      </c>
      <c r="K2658" s="2">
        <f ca="1">IFERROR(__xludf.DUMMYFUNCTION("""COMPUTED_VALUE"""),68.326)</f>
        <v>68.325999999999993</v>
      </c>
      <c r="M2658" s="2">
        <f ca="1">IFERROR(__xludf.DUMMYFUNCTION("""COMPUTED_VALUE"""),17.559)</f>
        <v>17.559000000000001</v>
      </c>
      <c r="U2658" s="3" t="e">
        <f ca="1"/>
        <v>#NAME?</v>
      </c>
    </row>
    <row r="2659" spans="3:21" ht="12.5" x14ac:dyDescent="0.25">
      <c r="C2659" s="4">
        <f ca="1">IFERROR(__xludf.DUMMYFUNCTION("""COMPUTED_VALUE"""),43065.9986111111)</f>
        <v>43065.998611111099</v>
      </c>
      <c r="D2659" s="2">
        <f ca="1">IFERROR(__xludf.DUMMYFUNCTION("""COMPUTED_VALUE"""),64.545)</f>
        <v>64.545000000000002</v>
      </c>
      <c r="E2659" s="2">
        <f ca="1">IFERROR(__xludf.DUMMYFUNCTION("""COMPUTED_VALUE"""),84.91)</f>
        <v>84.91</v>
      </c>
      <c r="F2659" s="2">
        <f ca="1">IFERROR(__xludf.DUMMYFUNCTION("""COMPUTED_VALUE"""),85.363)</f>
        <v>85.363</v>
      </c>
      <c r="G2659" s="2">
        <f ca="1">IFERROR(__xludf.DUMMYFUNCTION("""COMPUTED_VALUE"""),0.6376)</f>
        <v>0.63759999999999994</v>
      </c>
      <c r="H2659" s="2">
        <f ca="1">IFERROR(__xludf.DUMMYFUNCTION("""COMPUTED_VALUE"""),51.955)</f>
        <v>51.954999999999998</v>
      </c>
      <c r="I2659" s="2">
        <f ca="1">IFERROR(__xludf.DUMMYFUNCTION("""COMPUTED_VALUE"""),56.967)</f>
        <v>56.966999999999999</v>
      </c>
      <c r="J2659" s="2">
        <f ca="1">IFERROR(__xludf.DUMMYFUNCTION("""COMPUTED_VALUE"""),53.292)</f>
        <v>53.292000000000002</v>
      </c>
      <c r="K2659" s="2">
        <f ca="1">IFERROR(__xludf.DUMMYFUNCTION("""COMPUTED_VALUE"""),68.634)</f>
        <v>68.634</v>
      </c>
      <c r="M2659" s="2">
        <f ca="1">IFERROR(__xludf.DUMMYFUNCTION("""COMPUTED_VALUE"""),17.657)</f>
        <v>17.657</v>
      </c>
      <c r="U2659" s="3" t="e">
        <f ca="1"/>
        <v>#NAME?</v>
      </c>
    </row>
    <row r="2660" spans="3:21" ht="12.5" x14ac:dyDescent="0.25">
      <c r="C2660" s="4">
        <f ca="1">IFERROR(__xludf.DUMMYFUNCTION("""COMPUTED_VALUE"""),43066.9986111111)</f>
        <v>43066.998611111099</v>
      </c>
      <c r="D2660" s="2">
        <f ca="1">IFERROR(__xludf.DUMMYFUNCTION("""COMPUTED_VALUE"""),64.4339)</f>
        <v>64.433899999999994</v>
      </c>
      <c r="E2660" s="2">
        <f ca="1">IFERROR(__xludf.DUMMYFUNCTION("""COMPUTED_VALUE"""),85.043)</f>
        <v>85.043000000000006</v>
      </c>
      <c r="F2660" s="2">
        <f ca="1">IFERROR(__xludf.DUMMYFUNCTION("""COMPUTED_VALUE"""),85.19)</f>
        <v>85.19</v>
      </c>
      <c r="G2660" s="2">
        <f ca="1">IFERROR(__xludf.DUMMYFUNCTION("""COMPUTED_VALUE"""),0.63736)</f>
        <v>0.63736000000000004</v>
      </c>
      <c r="H2660" s="2">
        <f ca="1">IFERROR(__xludf.DUMMYFUNCTION("""COMPUTED_VALUE"""),51.949)</f>
        <v>51.948999999999998</v>
      </c>
      <c r="I2660" s="2">
        <f ca="1">IFERROR(__xludf.DUMMYFUNCTION("""COMPUTED_VALUE"""),56.945)</f>
        <v>56.945</v>
      </c>
      <c r="J2660" s="2">
        <f ca="1">IFERROR(__xludf.DUMMYFUNCTION("""COMPUTED_VALUE"""),53.308)</f>
        <v>53.308</v>
      </c>
      <c r="K2660" s="2">
        <f ca="1">IFERROR(__xludf.DUMMYFUNCTION("""COMPUTED_VALUE"""),69.04)</f>
        <v>69.040000000000006</v>
      </c>
      <c r="M2660" s="2">
        <f ca="1">IFERROR(__xludf.DUMMYFUNCTION("""COMPUTED_VALUE"""),17.667)</f>
        <v>17.667000000000002</v>
      </c>
      <c r="U2660" s="3" t="e">
        <f ca="1"/>
        <v>#NAME?</v>
      </c>
    </row>
    <row r="2661" spans="3:21" ht="12.5" x14ac:dyDescent="0.25">
      <c r="C2661" s="4">
        <f ca="1">IFERROR(__xludf.DUMMYFUNCTION("""COMPUTED_VALUE"""),43067.9986111111)</f>
        <v>43067.998611111099</v>
      </c>
      <c r="D2661" s="2">
        <f ca="1">IFERROR(__xludf.DUMMYFUNCTION("""COMPUTED_VALUE"""),64.47)</f>
        <v>64.47</v>
      </c>
      <c r="E2661" s="2">
        <f ca="1">IFERROR(__xludf.DUMMYFUNCTION("""COMPUTED_VALUE"""),85.445)</f>
        <v>85.444999999999993</v>
      </c>
      <c r="F2661" s="2">
        <f ca="1">IFERROR(__xludf.DUMMYFUNCTION("""COMPUTED_VALUE"""),85.179)</f>
        <v>85.179000000000002</v>
      </c>
      <c r="G2661" s="2">
        <f ca="1">IFERROR(__xludf.DUMMYFUNCTION("""COMPUTED_VALUE"""),0.636)</f>
        <v>0.63600000000000001</v>
      </c>
      <c r="H2661" s="2">
        <f ca="1">IFERROR(__xludf.DUMMYFUNCTION("""COMPUTED_VALUE"""),51.936)</f>
        <v>51.936</v>
      </c>
      <c r="I2661" s="2">
        <f ca="1">IFERROR(__xludf.DUMMYFUNCTION("""COMPUTED_VALUE"""),56.945)</f>
        <v>56.945</v>
      </c>
      <c r="J2661" s="2">
        <f ca="1">IFERROR(__xludf.DUMMYFUNCTION("""COMPUTED_VALUE"""),53.238)</f>
        <v>53.238</v>
      </c>
      <c r="K2661" s="2">
        <f ca="1">IFERROR(__xludf.DUMMYFUNCTION("""COMPUTED_VALUE"""),69.173)</f>
        <v>69.173000000000002</v>
      </c>
      <c r="M2661" s="2">
        <f ca="1">IFERROR(__xludf.DUMMYFUNCTION("""COMPUTED_VALUE"""),17.682)</f>
        <v>17.681999999999999</v>
      </c>
      <c r="U2661" s="3" t="e">
        <f ca="1"/>
        <v>#NAME?</v>
      </c>
    </row>
    <row r="2662" spans="3:21" ht="12.5" x14ac:dyDescent="0.25">
      <c r="C2662" s="4">
        <f ca="1">IFERROR(__xludf.DUMMYFUNCTION("""COMPUTED_VALUE"""),43068.9986111111)</f>
        <v>43068.998611111099</v>
      </c>
      <c r="D2662" s="2">
        <f ca="1">IFERROR(__xludf.DUMMYFUNCTION("""COMPUTED_VALUE"""),64.4148)</f>
        <v>64.4148</v>
      </c>
      <c r="E2662" s="2">
        <f ca="1">IFERROR(__xludf.DUMMYFUNCTION("""COMPUTED_VALUE"""),85.556)</f>
        <v>85.555999999999997</v>
      </c>
      <c r="F2662" s="2">
        <f ca="1">IFERROR(__xludf.DUMMYFUNCTION("""COMPUTED_VALUE"""),85.668)</f>
        <v>85.668000000000006</v>
      </c>
      <c r="G2662" s="2">
        <f ca="1">IFERROR(__xludf.DUMMYFUNCTION("""COMPUTED_VALUE"""),0.63299)</f>
        <v>0.63299000000000005</v>
      </c>
      <c r="H2662" s="2">
        <f ca="1">IFERROR(__xludf.DUMMYFUNCTION("""COMPUTED_VALUE"""),52.333)</f>
        <v>52.332999999999998</v>
      </c>
      <c r="I2662" s="2">
        <f ca="1">IFERROR(__xludf.DUMMYFUNCTION("""COMPUTED_VALUE"""),57.111)</f>
        <v>57.110999999999997</v>
      </c>
      <c r="J2662" s="2">
        <f ca="1">IFERROR(__xludf.DUMMYFUNCTION("""COMPUTED_VALUE"""),53.307)</f>
        <v>53.307000000000002</v>
      </c>
      <c r="K2662" s="2">
        <f ca="1">IFERROR(__xludf.DUMMYFUNCTION("""COMPUTED_VALUE"""),68.143)</f>
        <v>68.143000000000001</v>
      </c>
      <c r="M2662" s="2">
        <f ca="1">IFERROR(__xludf.DUMMYFUNCTION("""COMPUTED_VALUE"""),17.659)</f>
        <v>17.658999999999999</v>
      </c>
      <c r="U2662" s="3" t="e">
        <f ca="1"/>
        <v>#NAME?</v>
      </c>
    </row>
    <row r="2663" spans="3:21" ht="12.5" x14ac:dyDescent="0.25">
      <c r="C2663" s="4">
        <f ca="1">IFERROR(__xludf.DUMMYFUNCTION("""COMPUTED_VALUE"""),43069.9986111111)</f>
        <v>43069.998611111099</v>
      </c>
      <c r="D2663" s="2">
        <f ca="1">IFERROR(__xludf.DUMMYFUNCTION("""COMPUTED_VALUE"""),64.4994)</f>
        <v>64.499399999999994</v>
      </c>
      <c r="E2663" s="2">
        <f ca="1">IFERROR(__xludf.DUMMYFUNCTION("""COMPUTED_VALUE"""),85.748)</f>
        <v>85.748000000000005</v>
      </c>
      <c r="F2663" s="2">
        <f ca="1">IFERROR(__xludf.DUMMYFUNCTION("""COMPUTED_VALUE"""),85.963)</f>
        <v>85.962999999999994</v>
      </c>
      <c r="G2663" s="2">
        <f ca="1">IFERROR(__xludf.DUMMYFUNCTION("""COMPUTED_VALUE"""),0.63028)</f>
        <v>0.63027999999999995</v>
      </c>
      <c r="H2663" s="2">
        <f ca="1">IFERROR(__xludf.DUMMYFUNCTION("""COMPUTED_VALUE"""),52.835)</f>
        <v>52.835000000000001</v>
      </c>
      <c r="I2663" s="2">
        <f ca="1">IFERROR(__xludf.DUMMYFUNCTION("""COMPUTED_VALUE"""),57.4)</f>
        <v>57.4</v>
      </c>
      <c r="J2663" s="2">
        <f ca="1">IFERROR(__xludf.DUMMYFUNCTION("""COMPUTED_VALUE"""),53.463)</f>
        <v>53.463000000000001</v>
      </c>
      <c r="K2663" s="2">
        <f ca="1">IFERROR(__xludf.DUMMYFUNCTION("""COMPUTED_VALUE"""),69.176)</f>
        <v>69.176000000000002</v>
      </c>
      <c r="M2663" s="2">
        <f ca="1">IFERROR(__xludf.DUMMYFUNCTION("""COMPUTED_VALUE"""),17.613)</f>
        <v>17.613</v>
      </c>
      <c r="U2663" s="3" t="e">
        <f ca="1"/>
        <v>#NAME?</v>
      </c>
    </row>
    <row r="2664" spans="3:21" ht="12.5" x14ac:dyDescent="0.25">
      <c r="C2664" s="4">
        <f ca="1">IFERROR(__xludf.DUMMYFUNCTION("""COMPUTED_VALUE"""),43070.9986111111)</f>
        <v>43070.998611111099</v>
      </c>
      <c r="D2664" s="2">
        <f ca="1">IFERROR(__xludf.DUMMYFUNCTION("""COMPUTED_VALUE"""),64.513)</f>
        <v>64.513000000000005</v>
      </c>
      <c r="E2664" s="2">
        <f ca="1">IFERROR(__xludf.DUMMYFUNCTION("""COMPUTED_VALUE"""),85.021)</f>
        <v>85.021000000000001</v>
      </c>
      <c r="F2664" s="2">
        <f ca="1">IFERROR(__xludf.DUMMYFUNCTION("""COMPUTED_VALUE"""),85.566)</f>
        <v>85.566000000000003</v>
      </c>
      <c r="G2664" s="2">
        <f ca="1">IFERROR(__xludf.DUMMYFUNCTION("""COMPUTED_VALUE"""),0.62505)</f>
        <v>0.62504999999999999</v>
      </c>
      <c r="H2664" s="2">
        <f ca="1">IFERROR(__xludf.DUMMYFUNCTION("""COMPUTED_VALUE"""),52.395)</f>
        <v>52.395000000000003</v>
      </c>
      <c r="I2664" s="2">
        <f ca="1">IFERROR(__xludf.DUMMYFUNCTION("""COMPUTED_VALUE"""),56.839)</f>
        <v>56.838999999999999</v>
      </c>
      <c r="J2664" s="2">
        <f ca="1">IFERROR(__xludf.DUMMYFUNCTION("""COMPUTED_VALUE"""),53.749)</f>
        <v>53.749000000000002</v>
      </c>
      <c r="K2664" s="2">
        <f ca="1">IFERROR(__xludf.DUMMYFUNCTION("""COMPUTED_VALUE"""),69.259)</f>
        <v>69.259</v>
      </c>
      <c r="M2664" s="2">
        <f ca="1">IFERROR(__xludf.DUMMYFUNCTION("""COMPUTED_VALUE"""),17.616)</f>
        <v>17.616</v>
      </c>
      <c r="U2664" s="3" t="e">
        <f ca="1"/>
        <v>#NAME?</v>
      </c>
    </row>
    <row r="2665" spans="3:21" ht="12.5" x14ac:dyDescent="0.25">
      <c r="C2665" s="4">
        <f ca="1">IFERROR(__xludf.DUMMYFUNCTION("""COMPUTED_VALUE"""),43071.9986111111)</f>
        <v>43071.998611111099</v>
      </c>
      <c r="D2665" s="2">
        <f ca="1">IFERROR(__xludf.DUMMYFUNCTION("""COMPUTED_VALUE"""),64.513)</f>
        <v>64.513000000000005</v>
      </c>
      <c r="E2665" s="2">
        <f ca="1">IFERROR(__xludf.DUMMYFUNCTION("""COMPUTED_VALUE"""),85.372)</f>
        <v>85.372</v>
      </c>
      <c r="F2665" s="2">
        <f ca="1">IFERROR(__xludf.DUMMYFUNCTION("""COMPUTED_VALUE"""),84.182)</f>
        <v>84.182000000000002</v>
      </c>
      <c r="G2665" s="2">
        <f ca="1">IFERROR(__xludf.DUMMYFUNCTION("""COMPUTED_VALUE"""),0.62555)</f>
        <v>0.62555000000000005</v>
      </c>
      <c r="H2665" s="2">
        <f ca="1">IFERROR(__xludf.DUMMYFUNCTION("""COMPUTED_VALUE"""),52.708)</f>
        <v>52.707999999999998</v>
      </c>
      <c r="I2665" s="2">
        <f ca="1">IFERROR(__xludf.DUMMYFUNCTION("""COMPUTED_VALUE"""),56.774)</f>
        <v>56.774000000000001</v>
      </c>
      <c r="J2665" s="2">
        <f ca="1">IFERROR(__xludf.DUMMYFUNCTION("""COMPUTED_VALUE"""),53.654)</f>
        <v>53.654000000000003</v>
      </c>
      <c r="K2665" s="2">
        <f ca="1">IFERROR(__xludf.DUMMYFUNCTION("""COMPUTED_VALUE"""),69.333)</f>
        <v>69.332999999999998</v>
      </c>
      <c r="M2665" s="2">
        <f ca="1">IFERROR(__xludf.DUMMYFUNCTION("""COMPUTED_VALUE"""),17.634)</f>
        <v>17.634</v>
      </c>
      <c r="U2665" s="3" t="e">
        <f ca="1"/>
        <v>#NAME?</v>
      </c>
    </row>
    <row r="2666" spans="3:21" ht="12.5" x14ac:dyDescent="0.25">
      <c r="C2666" s="4">
        <f ca="1">IFERROR(__xludf.DUMMYFUNCTION("""COMPUTED_VALUE"""),43072.9986111111)</f>
        <v>43072.998611111099</v>
      </c>
      <c r="D2666" s="2">
        <f ca="1">IFERROR(__xludf.DUMMYFUNCTION("""COMPUTED_VALUE"""),64.509)</f>
        <v>64.509</v>
      </c>
      <c r="E2666" s="2">
        <f ca="1">IFERROR(__xludf.DUMMYFUNCTION("""COMPUTED_VALUE"""),84.963)</f>
        <v>84.962999999999994</v>
      </c>
      <c r="F2666" s="2">
        <f ca="1">IFERROR(__xludf.DUMMYFUNCTION("""COMPUTED_VALUE"""),84.412)</f>
        <v>84.412000000000006</v>
      </c>
      <c r="G2666" s="2">
        <f ca="1">IFERROR(__xludf.DUMMYFUNCTION("""COMPUTED_VALUE"""),0.62501)</f>
        <v>0.62500999999999995</v>
      </c>
      <c r="H2666" s="2">
        <f ca="1">IFERROR(__xludf.DUMMYFUNCTION("""COMPUTED_VALUE"""),52.327)</f>
        <v>52.326999999999998</v>
      </c>
      <c r="I2666" s="2">
        <f ca="1">IFERROR(__xludf.DUMMYFUNCTION("""COMPUTED_VALUE"""),56.474)</f>
        <v>56.473999999999997</v>
      </c>
      <c r="J2666" s="2">
        <f ca="1">IFERROR(__xludf.DUMMYFUNCTION("""COMPUTED_VALUE"""),53.756)</f>
        <v>53.756</v>
      </c>
      <c r="K2666" s="2">
        <f ca="1">IFERROR(__xludf.DUMMYFUNCTION("""COMPUTED_VALUE"""),69.284)</f>
        <v>69.284000000000006</v>
      </c>
      <c r="M2666" s="2">
        <f ca="1">IFERROR(__xludf.DUMMYFUNCTION("""COMPUTED_VALUE"""),17.67)</f>
        <v>17.670000000000002</v>
      </c>
      <c r="U2666" s="3" t="e">
        <f ca="1"/>
        <v>#NAME?</v>
      </c>
    </row>
    <row r="2667" spans="3:21" ht="12.5" x14ac:dyDescent="0.25">
      <c r="C2667" s="4">
        <f ca="1">IFERROR(__xludf.DUMMYFUNCTION("""COMPUTED_VALUE"""),43073.9986111111)</f>
        <v>43073.998611111099</v>
      </c>
      <c r="D2667" s="2">
        <f ca="1">IFERROR(__xludf.DUMMYFUNCTION("""COMPUTED_VALUE"""),64.3514)</f>
        <v>64.351399999999998</v>
      </c>
      <c r="E2667" s="2">
        <f ca="1">IFERROR(__xludf.DUMMYFUNCTION("""COMPUTED_VALUE"""),84.556)</f>
        <v>84.555999999999997</v>
      </c>
      <c r="F2667" s="2">
        <f ca="1">IFERROR(__xludf.DUMMYFUNCTION("""COMPUTED_VALUE"""),84.612)</f>
        <v>84.611999999999995</v>
      </c>
      <c r="G2667" s="2">
        <f ca="1">IFERROR(__xludf.DUMMYFUNCTION("""COMPUTED_VALUE"""),0.62321)</f>
        <v>0.62321000000000004</v>
      </c>
      <c r="H2667" s="2">
        <f ca="1">IFERROR(__xludf.DUMMYFUNCTION("""COMPUTED_VALUE"""),52.588)</f>
        <v>52.588000000000001</v>
      </c>
      <c r="I2667" s="2">
        <f ca="1">IFERROR(__xludf.DUMMYFUNCTION("""COMPUTED_VALUE"""),56.727)</f>
        <v>56.726999999999997</v>
      </c>
      <c r="J2667" s="2">
        <f ca="1">IFERROR(__xludf.DUMMYFUNCTION("""COMPUTED_VALUE"""),53.378)</f>
        <v>53.378</v>
      </c>
      <c r="K2667" s="2">
        <f ca="1">IFERROR(__xludf.DUMMYFUNCTION("""COMPUTED_VALUE"""),69.009)</f>
        <v>69.009</v>
      </c>
      <c r="M2667" s="2">
        <f ca="1">IFERROR(__xludf.DUMMYFUNCTION("""COMPUTED_VALUE"""),17.762)</f>
        <v>17.762</v>
      </c>
      <c r="U2667" s="3" t="e">
        <f ca="1"/>
        <v>#NAME?</v>
      </c>
    </row>
    <row r="2668" spans="3:21" ht="12.5" x14ac:dyDescent="0.25">
      <c r="C2668" s="4">
        <f ca="1">IFERROR(__xludf.DUMMYFUNCTION("""COMPUTED_VALUE"""),43074.9986111111)</f>
        <v>43074.998611111099</v>
      </c>
      <c r="D2668" s="2">
        <f ca="1">IFERROR(__xludf.DUMMYFUNCTION("""COMPUTED_VALUE"""),64.3569)</f>
        <v>64.356899999999996</v>
      </c>
      <c r="E2668" s="2">
        <f ca="1">IFERROR(__xludf.DUMMYFUNCTION("""COMPUTED_VALUE"""),84.167)</f>
        <v>84.167000000000002</v>
      </c>
      <c r="F2668" s="2">
        <f ca="1">IFERROR(__xludf.DUMMYFUNCTION("""COMPUTED_VALUE"""),84.598)</f>
        <v>84.597999999999999</v>
      </c>
      <c r="G2668" s="2">
        <f ca="1">IFERROR(__xludf.DUMMYFUNCTION("""COMPUTED_VALUE"""),0.62157)</f>
        <v>0.62156999999999996</v>
      </c>
      <c r="H2668" s="2">
        <f ca="1">IFERROR(__xludf.DUMMYFUNCTION("""COMPUTED_VALUE"""),52.395)</f>
        <v>52.395000000000003</v>
      </c>
      <c r="I2668" s="2">
        <f ca="1">IFERROR(__xludf.DUMMYFUNCTION("""COMPUTED_VALUE"""),56.739)</f>
        <v>56.738999999999997</v>
      </c>
      <c r="J2668" s="2">
        <f ca="1">IFERROR(__xludf.DUMMYFUNCTION("""COMPUTED_VALUE"""),53.563)</f>
        <v>53.563000000000002</v>
      </c>
      <c r="K2668" s="2">
        <f ca="1">IFERROR(__xludf.DUMMYFUNCTION("""COMPUTED_VALUE"""),68.903)</f>
        <v>68.903000000000006</v>
      </c>
      <c r="M2668" s="2">
        <f ca="1">IFERROR(__xludf.DUMMYFUNCTION("""COMPUTED_VALUE"""),17.754)</f>
        <v>17.754000000000001</v>
      </c>
      <c r="U2668" s="3" t="e">
        <f ca="1"/>
        <v>#NAME?</v>
      </c>
    </row>
    <row r="2669" spans="3:21" ht="12.5" x14ac:dyDescent="0.25">
      <c r="C2669" s="4">
        <f ca="1">IFERROR(__xludf.DUMMYFUNCTION("""COMPUTED_VALUE"""),43075.9986111111)</f>
        <v>43075.998611111099</v>
      </c>
      <c r="D2669" s="2">
        <f ca="1">IFERROR(__xludf.DUMMYFUNCTION("""COMPUTED_VALUE"""),64.5152)</f>
        <v>64.515199999999993</v>
      </c>
      <c r="E2669" s="2">
        <f ca="1">IFERROR(__xludf.DUMMYFUNCTION("""COMPUTED_VALUE"""),84.411)</f>
        <v>84.411000000000001</v>
      </c>
      <c r="F2669" s="2">
        <f ca="1">IFERROR(__xludf.DUMMYFUNCTION("""COMPUTED_VALUE"""),85.076)</f>
        <v>85.075999999999993</v>
      </c>
      <c r="G2669" s="2">
        <f ca="1">IFERROR(__xludf.DUMMYFUNCTION("""COMPUTED_VALUE"""),0.62148)</f>
        <v>0.62148000000000003</v>
      </c>
      <c r="H2669" s="2">
        <f ca="1">IFERROR(__xludf.DUMMYFUNCTION("""COMPUTED_VALUE"""),52.284)</f>
        <v>52.283999999999999</v>
      </c>
      <c r="I2669" s="2">
        <f ca="1">IFERROR(__xludf.DUMMYFUNCTION("""COMPUTED_VALUE"""),56.451)</f>
        <v>56.451000000000001</v>
      </c>
      <c r="J2669" s="2">
        <f ca="1">IFERROR(__xludf.DUMMYFUNCTION("""COMPUTED_VALUE"""),53.409)</f>
        <v>53.408999999999999</v>
      </c>
      <c r="K2669" s="2">
        <f ca="1">IFERROR(__xludf.DUMMYFUNCTION("""COMPUTED_VALUE"""),69.353)</f>
        <v>69.352999999999994</v>
      </c>
      <c r="M2669" s="2">
        <f ca="1">IFERROR(__xludf.DUMMYFUNCTION("""COMPUTED_VALUE"""),17.747)</f>
        <v>17.747</v>
      </c>
      <c r="U2669" s="3" t="e">
        <f ca="1"/>
        <v>#NAME?</v>
      </c>
    </row>
    <row r="2670" spans="3:21" ht="12.5" x14ac:dyDescent="0.25">
      <c r="C2670" s="4">
        <f ca="1">IFERROR(__xludf.DUMMYFUNCTION("""COMPUTED_VALUE"""),43076.9986111111)</f>
        <v>43076.998611111099</v>
      </c>
      <c r="D2670" s="2">
        <f ca="1">IFERROR(__xludf.DUMMYFUNCTION("""COMPUTED_VALUE"""),64.5424)</f>
        <v>64.542400000000001</v>
      </c>
      <c r="E2670" s="2">
        <f ca="1">IFERROR(__xludf.DUMMYFUNCTION("""COMPUTED_VALUE"""),84.257)</f>
        <v>84.257000000000005</v>
      </c>
      <c r="F2670" s="2">
        <f ca="1">IFERROR(__xludf.DUMMYFUNCTION("""COMPUTED_VALUE"""),85.822)</f>
        <v>85.822000000000003</v>
      </c>
      <c r="G2670" s="2">
        <f ca="1">IFERROR(__xludf.DUMMYFUNCTION("""COMPUTED_VALUE"""),0.61456)</f>
        <v>0.61456</v>
      </c>
      <c r="H2670" s="2">
        <f ca="1">IFERROR(__xludf.DUMMYFUNCTION("""COMPUTED_VALUE"""),52.139)</f>
        <v>52.139000000000003</v>
      </c>
      <c r="I2670" s="2">
        <f ca="1">IFERROR(__xludf.DUMMYFUNCTION("""COMPUTED_VALUE"""),56.172)</f>
        <v>56.171999999999997</v>
      </c>
      <c r="J2670" s="2">
        <f ca="1">IFERROR(__xludf.DUMMYFUNCTION("""COMPUTED_VALUE"""),53.338)</f>
        <v>53.338000000000001</v>
      </c>
      <c r="K2670" s="2">
        <f ca="1">IFERROR(__xludf.DUMMYFUNCTION("""COMPUTED_VALUE"""),69.056)</f>
        <v>69.055999999999997</v>
      </c>
      <c r="M2670" s="2">
        <f ca="1">IFERROR(__xludf.DUMMYFUNCTION("""COMPUTED_VALUE"""),17.749)</f>
        <v>17.748999999999999</v>
      </c>
      <c r="U2670" s="3" t="e">
        <f ca="1"/>
        <v>#NAME?</v>
      </c>
    </row>
    <row r="2671" spans="3:21" ht="12.5" x14ac:dyDescent="0.25">
      <c r="C2671" s="4">
        <f ca="1">IFERROR(__xludf.DUMMYFUNCTION("""COMPUTED_VALUE"""),43077.9986111111)</f>
        <v>43077.998611111099</v>
      </c>
      <c r="D2671" s="2">
        <f ca="1">IFERROR(__xludf.DUMMYFUNCTION("""COMPUTED_VALUE"""),64.473)</f>
        <v>64.472999999999999</v>
      </c>
      <c r="E2671" s="2">
        <f ca="1">IFERROR(__xludf.DUMMYFUNCTION("""COMPUTED_VALUE"""),84.293)</f>
        <v>84.293000000000006</v>
      </c>
      <c r="F2671" s="2">
        <f ca="1">IFERROR(__xludf.DUMMYFUNCTION("""COMPUTED_VALUE"""),85.129)</f>
        <v>85.129000000000005</v>
      </c>
      <c r="G2671" s="2">
        <f ca="1">IFERROR(__xludf.DUMMYFUNCTION("""COMPUTED_VALUE"""),0.61308)</f>
        <v>0.61307999999999996</v>
      </c>
      <c r="H2671" s="2">
        <f ca="1">IFERROR(__xludf.DUMMYFUNCTION("""COMPUTED_VALUE"""),52.183)</f>
        <v>52.183</v>
      </c>
      <c r="I2671" s="2">
        <f ca="1">IFERROR(__xludf.DUMMYFUNCTION("""COMPUTED_VALUE"""),55.957)</f>
        <v>55.957000000000001</v>
      </c>
      <c r="J2671" s="2">
        <f ca="1">IFERROR(__xludf.DUMMYFUNCTION("""COMPUTED_VALUE"""),53.185)</f>
        <v>53.185000000000002</v>
      </c>
      <c r="K2671" s="2">
        <f ca="1">IFERROR(__xludf.DUMMYFUNCTION("""COMPUTED_VALUE"""),68.851)</f>
        <v>68.850999999999999</v>
      </c>
      <c r="M2671" s="2">
        <f ca="1">IFERROR(__xludf.DUMMYFUNCTION("""COMPUTED_VALUE"""),17.695)</f>
        <v>17.695</v>
      </c>
      <c r="U2671" s="3" t="e">
        <f ca="1"/>
        <v>#NAME?</v>
      </c>
    </row>
    <row r="2672" spans="3:21" ht="12.5" x14ac:dyDescent="0.25">
      <c r="C2672" s="4">
        <f ca="1">IFERROR(__xludf.DUMMYFUNCTION("""COMPUTED_VALUE"""),43078.9986111111)</f>
        <v>43078.998611111099</v>
      </c>
      <c r="D2672" s="2">
        <f ca="1">IFERROR(__xludf.DUMMYFUNCTION("""COMPUTED_VALUE"""),64.473)</f>
        <v>64.472999999999999</v>
      </c>
      <c r="E2672" s="2">
        <f ca="1">IFERROR(__xludf.DUMMYFUNCTION("""COMPUTED_VALUE"""),83.388)</f>
        <v>83.388000000000005</v>
      </c>
      <c r="F2672" s="2">
        <f ca="1">IFERROR(__xludf.DUMMYFUNCTION("""COMPUTED_VALUE"""),85.395)</f>
        <v>85.394999999999996</v>
      </c>
      <c r="G2672" s="2">
        <f ca="1">IFERROR(__xludf.DUMMYFUNCTION("""COMPUTED_VALUE"""),0.61296)</f>
        <v>0.61295999999999995</v>
      </c>
      <c r="H2672" s="2">
        <f ca="1">IFERROR(__xludf.DUMMYFUNCTION("""COMPUTED_VALUE"""),51.989)</f>
        <v>51.988999999999997</v>
      </c>
      <c r="I2672" s="2">
        <f ca="1">IFERROR(__xludf.DUMMYFUNCTION("""COMPUTED_VALUE"""),56.111)</f>
        <v>56.110999999999997</v>
      </c>
      <c r="J2672" s="2">
        <f ca="1">IFERROR(__xludf.DUMMYFUNCTION("""COMPUTED_VALUE"""),53.34)</f>
        <v>53.34</v>
      </c>
      <c r="K2672" s="2">
        <f ca="1">IFERROR(__xludf.DUMMYFUNCTION("""COMPUTED_VALUE"""),68.86)</f>
        <v>68.86</v>
      </c>
      <c r="M2672" s="2">
        <f ca="1">IFERROR(__xludf.DUMMYFUNCTION("""COMPUTED_VALUE"""),17.647)</f>
        <v>17.646999999999998</v>
      </c>
      <c r="U2672" s="3" t="e">
        <f ca="1"/>
        <v>#NAME?</v>
      </c>
    </row>
    <row r="2673" spans="3:21" ht="12.5" x14ac:dyDescent="0.25">
      <c r="C2673" s="4">
        <f ca="1">IFERROR(__xludf.DUMMYFUNCTION("""COMPUTED_VALUE"""),43079.9986111111)</f>
        <v>43079.998611111099</v>
      </c>
      <c r="D2673" s="2">
        <f ca="1">IFERROR(__xludf.DUMMYFUNCTION("""COMPUTED_VALUE"""),64.473)</f>
        <v>64.472999999999999</v>
      </c>
      <c r="E2673" s="2">
        <f ca="1">IFERROR(__xludf.DUMMYFUNCTION("""COMPUTED_VALUE"""),83.208)</f>
        <v>83.207999999999998</v>
      </c>
      <c r="F2673" s="2">
        <f ca="1">IFERROR(__xludf.DUMMYFUNCTION("""COMPUTED_VALUE"""),85.975)</f>
        <v>85.974999999999994</v>
      </c>
      <c r="G2673" s="2">
        <f ca="1">IFERROR(__xludf.DUMMYFUNCTION("""COMPUTED_VALUE"""),0.61955)</f>
        <v>0.61955000000000005</v>
      </c>
      <c r="H2673" s="2">
        <f ca="1">IFERROR(__xludf.DUMMYFUNCTION("""COMPUTED_VALUE"""),52.092)</f>
        <v>52.091999999999999</v>
      </c>
      <c r="I2673" s="2">
        <f ca="1">IFERROR(__xludf.DUMMYFUNCTION("""COMPUTED_VALUE"""),56.167)</f>
        <v>56.167000000000002</v>
      </c>
      <c r="J2673" s="2">
        <f ca="1">IFERROR(__xludf.DUMMYFUNCTION("""COMPUTED_VALUE"""),53.24)</f>
        <v>53.24</v>
      </c>
      <c r="K2673" s="2">
        <f ca="1">IFERROR(__xludf.DUMMYFUNCTION("""COMPUTED_VALUE"""),68.854)</f>
        <v>68.853999999999999</v>
      </c>
      <c r="M2673" s="2">
        <f ca="1">IFERROR(__xludf.DUMMYFUNCTION("""COMPUTED_VALUE"""),17.666)</f>
        <v>17.666</v>
      </c>
      <c r="U2673" s="3" t="e">
        <f ca="1"/>
        <v>#NAME?</v>
      </c>
    </row>
    <row r="2674" spans="3:21" ht="12.5" x14ac:dyDescent="0.25">
      <c r="C2674" s="4">
        <f ca="1">IFERROR(__xludf.DUMMYFUNCTION("""COMPUTED_VALUE"""),43080.9986111111)</f>
        <v>43080.998611111099</v>
      </c>
      <c r="D2674" s="2">
        <f ca="1">IFERROR(__xludf.DUMMYFUNCTION("""COMPUTED_VALUE"""),64.35)</f>
        <v>64.349999999999994</v>
      </c>
      <c r="E2674" s="2">
        <f ca="1">IFERROR(__xludf.DUMMYFUNCTION("""COMPUTED_VALUE"""),83.686)</f>
        <v>83.686000000000007</v>
      </c>
      <c r="F2674" s="2">
        <f ca="1">IFERROR(__xludf.DUMMYFUNCTION("""COMPUTED_VALUE"""),85.973)</f>
        <v>85.972999999999999</v>
      </c>
      <c r="G2674" s="2">
        <f ca="1">IFERROR(__xludf.DUMMYFUNCTION("""COMPUTED_VALUE"""),0.62514)</f>
        <v>0.62514000000000003</v>
      </c>
      <c r="H2674" s="2">
        <f ca="1">IFERROR(__xludf.DUMMYFUNCTION("""COMPUTED_VALUE"""),51.666)</f>
        <v>51.665999999999997</v>
      </c>
      <c r="I2674" s="2">
        <f ca="1">IFERROR(__xludf.DUMMYFUNCTION("""COMPUTED_VALUE"""),56.065)</f>
        <v>56.064999999999998</v>
      </c>
      <c r="J2674" s="2">
        <f ca="1">IFERROR(__xludf.DUMMYFUNCTION("""COMPUTED_VALUE"""),53.32)</f>
        <v>53.32</v>
      </c>
      <c r="K2674" s="2">
        <f ca="1">IFERROR(__xludf.DUMMYFUNCTION("""COMPUTED_VALUE"""),68.999)</f>
        <v>68.998999999999995</v>
      </c>
      <c r="M2674" s="2">
        <f ca="1">IFERROR(__xludf.DUMMYFUNCTION("""COMPUTED_VALUE"""),17.72)</f>
        <v>17.72</v>
      </c>
      <c r="U2674" s="3" t="e">
        <f ca="1"/>
        <v>#NAME?</v>
      </c>
    </row>
    <row r="2675" spans="3:21" ht="12.5" x14ac:dyDescent="0.25">
      <c r="C2675" s="4">
        <f ca="1">IFERROR(__xludf.DUMMYFUNCTION("""COMPUTED_VALUE"""),43081.9986111111)</f>
        <v>43081.998611111099</v>
      </c>
      <c r="D2675" s="2">
        <f ca="1">IFERROR(__xludf.DUMMYFUNCTION("""COMPUTED_VALUE"""),64.55)</f>
        <v>64.55</v>
      </c>
      <c r="E2675" s="2">
        <f ca="1">IFERROR(__xludf.DUMMYFUNCTION("""COMPUTED_VALUE"""),83.686)</f>
        <v>83.686000000000007</v>
      </c>
      <c r="F2675" s="2">
        <f ca="1">IFERROR(__xludf.DUMMYFUNCTION("""COMPUTED_VALUE"""),85.768)</f>
        <v>85.768000000000001</v>
      </c>
      <c r="G2675" s="2">
        <f ca="1">IFERROR(__xludf.DUMMYFUNCTION("""COMPUTED_VALUE"""),0.62357)</f>
        <v>0.62356999999999996</v>
      </c>
      <c r="H2675" s="2">
        <f ca="1">IFERROR(__xludf.DUMMYFUNCTION("""COMPUTED_VALUE"""),51.796)</f>
        <v>51.795999999999999</v>
      </c>
      <c r="I2675" s="2">
        <f ca="1">IFERROR(__xludf.DUMMYFUNCTION("""COMPUTED_VALUE"""),55.964)</f>
        <v>55.963999999999999</v>
      </c>
      <c r="J2675" s="2">
        <f ca="1">IFERROR(__xludf.DUMMYFUNCTION("""COMPUTED_VALUE"""),52.945)</f>
        <v>52.945</v>
      </c>
      <c r="K2675" s="2">
        <f ca="1">IFERROR(__xludf.DUMMYFUNCTION("""COMPUTED_VALUE"""),68.886)</f>
        <v>68.885999999999996</v>
      </c>
      <c r="M2675" s="2">
        <f ca="1">IFERROR(__xludf.DUMMYFUNCTION("""COMPUTED_VALUE"""),17.681)</f>
        <v>17.681000000000001</v>
      </c>
      <c r="U2675" s="3" t="e">
        <f ca="1"/>
        <v>#NAME?</v>
      </c>
    </row>
    <row r="2676" spans="3:21" ht="12.5" x14ac:dyDescent="0.25">
      <c r="C2676" s="4">
        <f ca="1">IFERROR(__xludf.DUMMYFUNCTION("""COMPUTED_VALUE"""),43082.9986111111)</f>
        <v>43082.998611111099</v>
      </c>
      <c r="D2676" s="2">
        <f ca="1">IFERROR(__xludf.DUMMYFUNCTION("""COMPUTED_VALUE"""),64.32)</f>
        <v>64.319999999999993</v>
      </c>
      <c r="E2676" s="2">
        <f ca="1">IFERROR(__xludf.DUMMYFUNCTION("""COMPUTED_VALUE"""),83.405)</f>
        <v>83.405000000000001</v>
      </c>
      <c r="F2676" s="2">
        <f ca="1">IFERROR(__xludf.DUMMYFUNCTION("""COMPUTED_VALUE"""),85.81)</f>
        <v>85.81</v>
      </c>
      <c r="G2676" s="2">
        <f ca="1">IFERROR(__xludf.DUMMYFUNCTION("""COMPUTED_VALUE"""),0.62809)</f>
        <v>0.62809000000000004</v>
      </c>
      <c r="H2676" s="2">
        <f ca="1">IFERROR(__xludf.DUMMYFUNCTION("""COMPUTED_VALUE"""),52.029)</f>
        <v>52.029000000000003</v>
      </c>
      <c r="I2676" s="2">
        <f ca="1">IFERROR(__xludf.DUMMYFUNCTION("""COMPUTED_VALUE"""),55.996)</f>
        <v>55.996000000000002</v>
      </c>
      <c r="J2676" s="2">
        <f ca="1">IFERROR(__xludf.DUMMYFUNCTION("""COMPUTED_VALUE"""),52.975)</f>
        <v>52.975000000000001</v>
      </c>
      <c r="K2676" s="2">
        <f ca="1">IFERROR(__xludf.DUMMYFUNCTION("""COMPUTED_VALUE"""),69.063)</f>
        <v>69.063000000000002</v>
      </c>
      <c r="M2676" s="2">
        <f ca="1">IFERROR(__xludf.DUMMYFUNCTION("""COMPUTED_VALUE"""),17.697)</f>
        <v>17.696999999999999</v>
      </c>
      <c r="U2676" s="3" t="e">
        <f ca="1"/>
        <v>#NAME?</v>
      </c>
    </row>
    <row r="2677" spans="3:21" ht="12.5" x14ac:dyDescent="0.25">
      <c r="C2677" s="4">
        <f ca="1">IFERROR(__xludf.DUMMYFUNCTION("""COMPUTED_VALUE"""),43083.9986111111)</f>
        <v>43083.998611111099</v>
      </c>
      <c r="D2677" s="2">
        <f ca="1">IFERROR(__xludf.DUMMYFUNCTION("""COMPUTED_VALUE"""),64.275)</f>
        <v>64.275000000000006</v>
      </c>
      <c r="E2677" s="2">
        <f ca="1">IFERROR(__xludf.DUMMYFUNCTION("""COMPUTED_VALUE"""),83.517)</f>
        <v>83.516999999999996</v>
      </c>
      <c r="F2677" s="2">
        <f ca="1">IFERROR(__xludf.DUMMYFUNCTION("""COMPUTED_VALUE"""),86.061)</f>
        <v>86.061000000000007</v>
      </c>
      <c r="G2677" s="2">
        <f ca="1">IFERROR(__xludf.DUMMYFUNCTION("""COMPUTED_VALUE"""),0.62807)</f>
        <v>0.62807000000000002</v>
      </c>
      <c r="H2677" s="2">
        <f ca="1">IFERROR(__xludf.DUMMYFUNCTION("""COMPUTED_VALUE"""),52.076)</f>
        <v>52.076000000000001</v>
      </c>
      <c r="I2677" s="2">
        <f ca="1">IFERROR(__xludf.DUMMYFUNCTION("""COMPUTED_VALUE"""),56.044)</f>
        <v>56.043999999999997</v>
      </c>
      <c r="J2677" s="2">
        <f ca="1">IFERROR(__xludf.DUMMYFUNCTION("""COMPUTED_VALUE"""),53.183)</f>
        <v>53.183</v>
      </c>
      <c r="K2677" s="2">
        <f ca="1">IFERROR(__xludf.DUMMYFUNCTION("""COMPUTED_VALUE"""),69.093)</f>
        <v>69.093000000000004</v>
      </c>
      <c r="M2677" s="2">
        <f ca="1">IFERROR(__xludf.DUMMYFUNCTION("""COMPUTED_VALUE"""),17.681)</f>
        <v>17.681000000000001</v>
      </c>
      <c r="U2677" s="3" t="e">
        <f ca="1"/>
        <v>#NAME?</v>
      </c>
    </row>
    <row r="2678" spans="3:21" ht="12.5" x14ac:dyDescent="0.25">
      <c r="C2678" s="4">
        <f ca="1">IFERROR(__xludf.DUMMYFUNCTION("""COMPUTED_VALUE"""),43084.9986111111)</f>
        <v>43084.998611111099</v>
      </c>
      <c r="D2678" s="2">
        <f ca="1">IFERROR(__xludf.DUMMYFUNCTION("""COMPUTED_VALUE"""),64.073)</f>
        <v>64.072999999999993</v>
      </c>
      <c r="E2678" s="2">
        <f ca="1">IFERROR(__xludf.DUMMYFUNCTION("""COMPUTED_VALUE"""),83.613)</f>
        <v>83.613</v>
      </c>
      <c r="F2678" s="2">
        <f ca="1">IFERROR(__xludf.DUMMYFUNCTION("""COMPUTED_VALUE"""),86.002)</f>
        <v>86.001999999999995</v>
      </c>
      <c r="G2678" s="2">
        <f ca="1">IFERROR(__xludf.DUMMYFUNCTION("""COMPUTED_VALUE"""),0.63991)</f>
        <v>0.63990999999999998</v>
      </c>
      <c r="H2678" s="2">
        <f ca="1">IFERROR(__xludf.DUMMYFUNCTION("""COMPUTED_VALUE"""),51.781)</f>
        <v>51.780999999999999</v>
      </c>
      <c r="I2678" s="2">
        <f ca="1">IFERROR(__xludf.DUMMYFUNCTION("""COMPUTED_VALUE"""),55.845)</f>
        <v>55.844999999999999</v>
      </c>
      <c r="J2678" s="2">
        <f ca="1">IFERROR(__xludf.DUMMYFUNCTION("""COMPUTED_VALUE"""),53.179)</f>
        <v>53.179000000000002</v>
      </c>
      <c r="K2678" s="2">
        <f ca="1">IFERROR(__xludf.DUMMYFUNCTION("""COMPUTED_VALUE"""),69.159)</f>
        <v>69.159000000000006</v>
      </c>
      <c r="M2678" s="2">
        <f ca="1">IFERROR(__xludf.DUMMYFUNCTION("""COMPUTED_VALUE"""),17.65)</f>
        <v>17.649999999999999</v>
      </c>
      <c r="U2678" s="3" t="e">
        <f ca="1"/>
        <v>#NAME?</v>
      </c>
    </row>
    <row r="2679" spans="3:21" ht="12.5" x14ac:dyDescent="0.25">
      <c r="C2679" s="4">
        <f ca="1">IFERROR(__xludf.DUMMYFUNCTION("""COMPUTED_VALUE"""),43085.9986111111)</f>
        <v>43085.998611111099</v>
      </c>
      <c r="D2679" s="2">
        <f ca="1">IFERROR(__xludf.DUMMYFUNCTION("""COMPUTED_VALUE"""),64.064)</f>
        <v>64.063999999999993</v>
      </c>
      <c r="E2679" s="2">
        <f ca="1">IFERROR(__xludf.DUMMYFUNCTION("""COMPUTED_VALUE"""),83.684)</f>
        <v>83.683999999999997</v>
      </c>
      <c r="F2679" s="2">
        <f ca="1">IFERROR(__xludf.DUMMYFUNCTION("""COMPUTED_VALUE"""),86.063)</f>
        <v>86.063000000000002</v>
      </c>
      <c r="G2679" s="2">
        <f ca="1">IFERROR(__xludf.DUMMYFUNCTION("""COMPUTED_VALUE"""),0.63697)</f>
        <v>0.63697000000000004</v>
      </c>
      <c r="H2679" s="2">
        <f ca="1">IFERROR(__xludf.DUMMYFUNCTION("""COMPUTED_VALUE"""),52.255)</f>
        <v>52.255000000000003</v>
      </c>
      <c r="I2679" s="2">
        <f ca="1">IFERROR(__xludf.DUMMYFUNCTION("""COMPUTED_VALUE"""),56.123)</f>
        <v>56.122999999999998</v>
      </c>
      <c r="J2679" s="2">
        <f ca="1">IFERROR(__xludf.DUMMYFUNCTION("""COMPUTED_VALUE"""),52.999)</f>
        <v>52.999000000000002</v>
      </c>
      <c r="K2679" s="2">
        <f ca="1">IFERROR(__xludf.DUMMYFUNCTION("""COMPUTED_VALUE"""),70.416)</f>
        <v>70.415999999999997</v>
      </c>
      <c r="M2679" s="2">
        <f ca="1">IFERROR(__xludf.DUMMYFUNCTION("""COMPUTED_VALUE"""),17.614)</f>
        <v>17.614000000000001</v>
      </c>
      <c r="U2679" s="3" t="e">
        <f ca="1"/>
        <v>#NAME?</v>
      </c>
    </row>
    <row r="2680" spans="3:21" ht="12.5" x14ac:dyDescent="0.25">
      <c r="C2680" s="4">
        <f ca="1">IFERROR(__xludf.DUMMYFUNCTION("""COMPUTED_VALUE"""),43086.9986111111)</f>
        <v>43086.998611111099</v>
      </c>
      <c r="D2680" s="2">
        <f ca="1">IFERROR(__xludf.DUMMYFUNCTION("""COMPUTED_VALUE"""),64.0723)</f>
        <v>64.072299999999998</v>
      </c>
      <c r="E2680" s="2">
        <f ca="1">IFERROR(__xludf.DUMMYFUNCTION("""COMPUTED_VALUE"""),82.407)</f>
        <v>82.406999999999996</v>
      </c>
      <c r="F2680" s="2">
        <f ca="1">IFERROR(__xludf.DUMMYFUNCTION("""COMPUTED_VALUE"""),85.921)</f>
        <v>85.921000000000006</v>
      </c>
      <c r="G2680" s="2">
        <f ca="1">IFERROR(__xludf.DUMMYFUNCTION("""COMPUTED_VALUE"""),0.63349)</f>
        <v>0.63349</v>
      </c>
      <c r="H2680" s="2">
        <f ca="1">IFERROR(__xludf.DUMMYFUNCTION("""COMPUTED_VALUE"""),52.332)</f>
        <v>52.332000000000001</v>
      </c>
      <c r="I2680" s="2">
        <f ca="1">IFERROR(__xludf.DUMMYFUNCTION("""COMPUTED_VALUE"""),56.154)</f>
        <v>56.154000000000003</v>
      </c>
      <c r="J2680" s="2">
        <f ca="1">IFERROR(__xludf.DUMMYFUNCTION("""COMPUTED_VALUE"""),53.128)</f>
        <v>53.128</v>
      </c>
      <c r="K2680" s="2">
        <f ca="1">IFERROR(__xludf.DUMMYFUNCTION("""COMPUTED_VALUE"""),70.289)</f>
        <v>70.289000000000001</v>
      </c>
      <c r="M2680" s="2">
        <f ca="1">IFERROR(__xludf.DUMMYFUNCTION("""COMPUTED_VALUE"""),17.692)</f>
        <v>17.692</v>
      </c>
      <c r="U2680" s="3" t="e">
        <f ca="1"/>
        <v>#NAME?</v>
      </c>
    </row>
    <row r="2681" spans="3:21" ht="12.5" x14ac:dyDescent="0.25">
      <c r="C2681" s="4">
        <f ca="1">IFERROR(__xludf.DUMMYFUNCTION("""COMPUTED_VALUE"""),43087.9986111111)</f>
        <v>43087.998611111099</v>
      </c>
      <c r="D2681" s="2">
        <f ca="1">IFERROR(__xludf.DUMMYFUNCTION("""COMPUTED_VALUE"""),64.2001)</f>
        <v>64.200100000000006</v>
      </c>
      <c r="E2681" s="2">
        <f ca="1">IFERROR(__xludf.DUMMYFUNCTION("""COMPUTED_VALUE"""),83.297)</f>
        <v>83.296999999999997</v>
      </c>
      <c r="F2681" s="2">
        <f ca="1">IFERROR(__xludf.DUMMYFUNCTION("""COMPUTED_VALUE"""),85.892)</f>
        <v>85.891999999999996</v>
      </c>
      <c r="G2681" s="2">
        <f ca="1">IFERROR(__xludf.DUMMYFUNCTION("""COMPUTED_VALUE"""),0.62948)</f>
        <v>0.62948000000000004</v>
      </c>
      <c r="H2681" s="2">
        <f ca="1">IFERROR(__xludf.DUMMYFUNCTION("""COMPUTED_VALUE"""),52.877)</f>
        <v>52.877000000000002</v>
      </c>
      <c r="I2681" s="2">
        <f ca="1">IFERROR(__xludf.DUMMYFUNCTION("""COMPUTED_VALUE"""),56.061)</f>
        <v>56.061</v>
      </c>
      <c r="J2681" s="2">
        <f ca="1">IFERROR(__xludf.DUMMYFUNCTION("""COMPUTED_VALUE"""),53.333)</f>
        <v>53.332999999999998</v>
      </c>
      <c r="K2681" s="2">
        <f ca="1">IFERROR(__xludf.DUMMYFUNCTION("""COMPUTED_VALUE"""),70.321)</f>
        <v>70.320999999999998</v>
      </c>
      <c r="M2681" s="2">
        <f ca="1">IFERROR(__xludf.DUMMYFUNCTION("""COMPUTED_VALUE"""),17.715)</f>
        <v>17.715</v>
      </c>
      <c r="U2681" s="3" t="e">
        <f ca="1"/>
        <v>#NAME?</v>
      </c>
    </row>
    <row r="2682" spans="3:21" ht="12.5" x14ac:dyDescent="0.25">
      <c r="C2682" s="4">
        <f ca="1">IFERROR(__xludf.DUMMYFUNCTION("""COMPUTED_VALUE"""),43088.9986111111)</f>
        <v>43088.998611111099</v>
      </c>
      <c r="D2682" s="2">
        <f ca="1">IFERROR(__xludf.DUMMYFUNCTION("""COMPUTED_VALUE"""),64.0476)</f>
        <v>64.047600000000003</v>
      </c>
      <c r="E2682" s="2">
        <f ca="1">IFERROR(__xludf.DUMMYFUNCTION("""COMPUTED_VALUE"""),83.37)</f>
        <v>83.37</v>
      </c>
      <c r="F2682" s="2">
        <f ca="1">IFERROR(__xludf.DUMMYFUNCTION("""COMPUTED_VALUE"""),85.749)</f>
        <v>85.748999999999995</v>
      </c>
      <c r="G2682" s="2">
        <f ca="1">IFERROR(__xludf.DUMMYFUNCTION("""COMPUTED_VALUE"""),0.63389)</f>
        <v>0.63388999999999995</v>
      </c>
      <c r="H2682" s="2">
        <f ca="1">IFERROR(__xludf.DUMMYFUNCTION("""COMPUTED_VALUE"""),52.075)</f>
        <v>52.075000000000003</v>
      </c>
      <c r="I2682" s="2">
        <f ca="1">IFERROR(__xludf.DUMMYFUNCTION("""COMPUTED_VALUE"""),55.21)</f>
        <v>55.21</v>
      </c>
      <c r="J2682" s="2">
        <f ca="1">IFERROR(__xludf.DUMMYFUNCTION("""COMPUTED_VALUE"""),53.317)</f>
        <v>53.317</v>
      </c>
      <c r="K2682" s="2">
        <f ca="1">IFERROR(__xludf.DUMMYFUNCTION("""COMPUTED_VALUE"""),70.189)</f>
        <v>70.188999999999993</v>
      </c>
      <c r="M2682" s="2">
        <f ca="1">IFERROR(__xludf.DUMMYFUNCTION("""COMPUTED_VALUE"""),17.716)</f>
        <v>17.716000000000001</v>
      </c>
      <c r="U2682" s="3" t="e">
        <f ca="1"/>
        <v>#NAME?</v>
      </c>
    </row>
    <row r="2683" spans="3:21" ht="12.5" x14ac:dyDescent="0.25">
      <c r="C2683" s="4">
        <f ca="1">IFERROR(__xludf.DUMMYFUNCTION("""COMPUTED_VALUE"""),43089.9986111111)</f>
        <v>43089.998611111099</v>
      </c>
      <c r="D2683" s="2">
        <f ca="1">IFERROR(__xludf.DUMMYFUNCTION("""COMPUTED_VALUE"""),63.965)</f>
        <v>63.965000000000003</v>
      </c>
      <c r="E2683" s="2">
        <f ca="1">IFERROR(__xludf.DUMMYFUNCTION("""COMPUTED_VALUE"""),82.759)</f>
        <v>82.759</v>
      </c>
      <c r="F2683" s="2">
        <f ca="1">IFERROR(__xludf.DUMMYFUNCTION("""COMPUTED_VALUE"""),86.09)</f>
        <v>86.09</v>
      </c>
      <c r="G2683" s="2">
        <f ca="1">IFERROR(__xludf.DUMMYFUNCTION("""COMPUTED_VALUE"""),0.63403)</f>
        <v>0.63402999999999998</v>
      </c>
      <c r="H2683" s="2">
        <f ca="1">IFERROR(__xludf.DUMMYFUNCTION("""COMPUTED_VALUE"""),52.655)</f>
        <v>52.655000000000001</v>
      </c>
      <c r="I2683" s="2">
        <f ca="1">IFERROR(__xludf.DUMMYFUNCTION("""COMPUTED_VALUE"""),55.684)</f>
        <v>55.683999999999997</v>
      </c>
      <c r="J2683" s="2">
        <f ca="1">IFERROR(__xludf.DUMMYFUNCTION("""COMPUTED_VALUE"""),52.62)</f>
        <v>52.62</v>
      </c>
      <c r="K2683" s="2">
        <f ca="1">IFERROR(__xludf.DUMMYFUNCTION("""COMPUTED_VALUE"""),70.359)</f>
        <v>70.358999999999995</v>
      </c>
      <c r="M2683" s="2">
        <f ca="1">IFERROR(__xludf.DUMMYFUNCTION("""COMPUTED_VALUE"""),17.752)</f>
        <v>17.751999999999999</v>
      </c>
      <c r="U2683" s="3" t="e">
        <f ca="1"/>
        <v>#NAME?</v>
      </c>
    </row>
    <row r="2684" spans="3:21" ht="12.5" x14ac:dyDescent="0.25">
      <c r="C2684" s="4">
        <f ca="1">IFERROR(__xludf.DUMMYFUNCTION("""COMPUTED_VALUE"""),43090.9986111111)</f>
        <v>43090.998611111099</v>
      </c>
      <c r="D2684" s="2">
        <f ca="1">IFERROR(__xludf.DUMMYFUNCTION("""COMPUTED_VALUE"""),64.0097)</f>
        <v>64.009699999999995</v>
      </c>
      <c r="E2684" s="2">
        <f ca="1">IFERROR(__xludf.DUMMYFUNCTION("""COMPUTED_VALUE"""),82.202)</f>
        <v>82.201999999999998</v>
      </c>
      <c r="F2684" s="2">
        <f ca="1">IFERROR(__xludf.DUMMYFUNCTION("""COMPUTED_VALUE"""),85.777)</f>
        <v>85.777000000000001</v>
      </c>
      <c r="G2684" s="2">
        <f ca="1">IFERROR(__xludf.DUMMYFUNCTION("""COMPUTED_VALUE"""),0.62692)</f>
        <v>0.62692000000000003</v>
      </c>
      <c r="H2684" s="2">
        <f ca="1">IFERROR(__xludf.DUMMYFUNCTION("""COMPUTED_VALUE"""),52.795)</f>
        <v>52.795000000000002</v>
      </c>
      <c r="I2684" s="2">
        <f ca="1">IFERROR(__xludf.DUMMYFUNCTION("""COMPUTED_VALUE"""),55.569)</f>
        <v>55.569000000000003</v>
      </c>
      <c r="J2684" s="2">
        <f ca="1">IFERROR(__xludf.DUMMYFUNCTION("""COMPUTED_VALUE"""),53.1)</f>
        <v>53.1</v>
      </c>
      <c r="K2684" s="2">
        <f ca="1">IFERROR(__xludf.DUMMYFUNCTION("""COMPUTED_VALUE"""),70.416)</f>
        <v>70.415999999999997</v>
      </c>
      <c r="M2684" s="2">
        <f ca="1">IFERROR(__xludf.DUMMYFUNCTION("""COMPUTED_VALUE"""),17.757)</f>
        <v>17.757000000000001</v>
      </c>
      <c r="U2684" s="3" t="e">
        <f ca="1"/>
        <v>#NAME?</v>
      </c>
    </row>
    <row r="2685" spans="3:21" ht="12.5" x14ac:dyDescent="0.25">
      <c r="C2685" s="4">
        <f ca="1">IFERROR(__xludf.DUMMYFUNCTION("""COMPUTED_VALUE"""),43091.9986111111)</f>
        <v>43091.998611111099</v>
      </c>
      <c r="D2685" s="2">
        <f ca="1">IFERROR(__xludf.DUMMYFUNCTION("""COMPUTED_VALUE"""),64.013)</f>
        <v>64.013000000000005</v>
      </c>
      <c r="E2685" s="2">
        <f ca="1">IFERROR(__xludf.DUMMYFUNCTION("""COMPUTED_VALUE"""),82.083)</f>
        <v>82.082999999999998</v>
      </c>
      <c r="F2685" s="2">
        <f ca="1">IFERROR(__xludf.DUMMYFUNCTION("""COMPUTED_VALUE"""),86.256)</f>
        <v>86.256</v>
      </c>
      <c r="G2685" s="2">
        <f ca="1">IFERROR(__xludf.DUMMYFUNCTION("""COMPUTED_VALUE"""),0.62841)</f>
        <v>0.62841000000000002</v>
      </c>
      <c r="H2685" s="2">
        <f ca="1">IFERROR(__xludf.DUMMYFUNCTION("""COMPUTED_VALUE"""),52.661)</f>
        <v>52.661000000000001</v>
      </c>
      <c r="I2685" s="2">
        <f ca="1">IFERROR(__xludf.DUMMYFUNCTION("""COMPUTED_VALUE"""),55.187)</f>
        <v>55.186999999999998</v>
      </c>
      <c r="J2685" s="2">
        <f ca="1">IFERROR(__xludf.DUMMYFUNCTION("""COMPUTED_VALUE"""),53.097)</f>
        <v>53.097000000000001</v>
      </c>
      <c r="K2685" s="2">
        <f ca="1">IFERROR(__xludf.DUMMYFUNCTION("""COMPUTED_VALUE"""),70.905)</f>
        <v>70.905000000000001</v>
      </c>
      <c r="M2685" s="2">
        <f ca="1">IFERROR(__xludf.DUMMYFUNCTION("""COMPUTED_VALUE"""),17.712)</f>
        <v>17.712</v>
      </c>
      <c r="U2685" s="3" t="e">
        <f ca="1"/>
        <v>#NAME?</v>
      </c>
    </row>
    <row r="2686" spans="3:21" ht="12.5" x14ac:dyDescent="0.25">
      <c r="C2686" s="4">
        <f ca="1">IFERROR(__xludf.DUMMYFUNCTION("""COMPUTED_VALUE"""),43092.9986111111)</f>
        <v>43092.998611111099</v>
      </c>
      <c r="D2686" s="2">
        <f ca="1">IFERROR(__xludf.DUMMYFUNCTION("""COMPUTED_VALUE"""),64.0078)</f>
        <v>64.007800000000003</v>
      </c>
      <c r="E2686" s="2">
        <f ca="1">IFERROR(__xludf.DUMMYFUNCTION("""COMPUTED_VALUE"""),81.694)</f>
        <v>81.694000000000003</v>
      </c>
      <c r="F2686" s="2">
        <f ca="1">IFERROR(__xludf.DUMMYFUNCTION("""COMPUTED_VALUE"""),85.928)</f>
        <v>85.927999999999997</v>
      </c>
      <c r="G2686" s="2">
        <f ca="1">IFERROR(__xludf.DUMMYFUNCTION("""COMPUTED_VALUE"""),0.62883)</f>
        <v>0.62883</v>
      </c>
      <c r="H2686" s="2">
        <f ca="1">IFERROR(__xludf.DUMMYFUNCTION("""COMPUTED_VALUE"""),52.542)</f>
        <v>52.542000000000002</v>
      </c>
      <c r="I2686" s="2">
        <f ca="1">IFERROR(__xludf.DUMMYFUNCTION("""COMPUTED_VALUE"""),55.014)</f>
        <v>55.014000000000003</v>
      </c>
      <c r="J2686" s="2">
        <f ca="1">IFERROR(__xludf.DUMMYFUNCTION("""COMPUTED_VALUE"""),52.776)</f>
        <v>52.776000000000003</v>
      </c>
      <c r="K2686" s="2">
        <f ca="1">IFERROR(__xludf.DUMMYFUNCTION("""COMPUTED_VALUE"""),70.974)</f>
        <v>70.974000000000004</v>
      </c>
      <c r="M2686" s="2">
        <f ca="1">IFERROR(__xludf.DUMMYFUNCTION("""COMPUTED_VALUE"""),17.738)</f>
        <v>17.738</v>
      </c>
      <c r="U2686" s="3" t="e">
        <f ca="1"/>
        <v>#NAME?</v>
      </c>
    </row>
    <row r="2687" spans="3:21" ht="12.5" x14ac:dyDescent="0.25">
      <c r="C2687" s="4">
        <f ca="1">IFERROR(__xludf.DUMMYFUNCTION("""COMPUTED_VALUE"""),43093.9986111111)</f>
        <v>43093.998611111099</v>
      </c>
      <c r="D2687" s="2">
        <f ca="1">IFERROR(__xludf.DUMMYFUNCTION("""COMPUTED_VALUE"""),64.0078)</f>
        <v>64.007800000000003</v>
      </c>
      <c r="E2687" s="2">
        <f ca="1">IFERROR(__xludf.DUMMYFUNCTION("""COMPUTED_VALUE"""),82.051)</f>
        <v>82.051000000000002</v>
      </c>
      <c r="F2687" s="2">
        <f ca="1">IFERROR(__xludf.DUMMYFUNCTION("""COMPUTED_VALUE"""),86.267)</f>
        <v>86.266999999999996</v>
      </c>
      <c r="G2687" s="2">
        <f ca="1">IFERROR(__xludf.DUMMYFUNCTION("""COMPUTED_VALUE"""),0.62966)</f>
        <v>0.62966</v>
      </c>
      <c r="H2687" s="2">
        <f ca="1">IFERROR(__xludf.DUMMYFUNCTION("""COMPUTED_VALUE"""),52.326)</f>
        <v>52.326000000000001</v>
      </c>
      <c r="I2687" s="2">
        <f ca="1">IFERROR(__xludf.DUMMYFUNCTION("""COMPUTED_VALUE"""),54.813)</f>
        <v>54.813000000000002</v>
      </c>
      <c r="J2687" s="2">
        <f ca="1">IFERROR(__xludf.DUMMYFUNCTION("""COMPUTED_VALUE"""),52.584)</f>
        <v>52.584000000000003</v>
      </c>
      <c r="K2687" s="2">
        <f ca="1">IFERROR(__xludf.DUMMYFUNCTION("""COMPUTED_VALUE"""),70.986)</f>
        <v>70.986000000000004</v>
      </c>
      <c r="M2687" s="2">
        <f ca="1">IFERROR(__xludf.DUMMYFUNCTION("""COMPUTED_VALUE"""),17.689)</f>
        <v>17.689</v>
      </c>
      <c r="U2687" s="3" t="e">
        <f ca="1"/>
        <v>#NAME?</v>
      </c>
    </row>
    <row r="2688" spans="3:21" ht="12.5" x14ac:dyDescent="0.25">
      <c r="C2688" s="4">
        <f ca="1">IFERROR(__xludf.DUMMYFUNCTION("""COMPUTED_VALUE"""),43094.9986111111)</f>
        <v>43094.998611111099</v>
      </c>
      <c r="D2688" s="2">
        <f ca="1">IFERROR(__xludf.DUMMYFUNCTION("""COMPUTED_VALUE"""),64.0105)</f>
        <v>64.010499999999993</v>
      </c>
      <c r="E2688" s="2">
        <f ca="1">IFERROR(__xludf.DUMMYFUNCTION("""COMPUTED_VALUE"""),81.717)</f>
        <v>81.716999999999999</v>
      </c>
      <c r="F2688" s="2">
        <f ca="1">IFERROR(__xludf.DUMMYFUNCTION("""COMPUTED_VALUE"""),86.09)</f>
        <v>86.09</v>
      </c>
      <c r="G2688" s="2">
        <f ca="1">IFERROR(__xludf.DUMMYFUNCTION("""COMPUTED_VALUE"""),0.63382)</f>
        <v>0.63382000000000005</v>
      </c>
      <c r="H2688" s="2">
        <f ca="1">IFERROR(__xludf.DUMMYFUNCTION("""COMPUTED_VALUE"""),52.231)</f>
        <v>52.231000000000002</v>
      </c>
      <c r="I2688" s="2">
        <f ca="1">IFERROR(__xludf.DUMMYFUNCTION("""COMPUTED_VALUE"""),54.961)</f>
        <v>54.960999999999999</v>
      </c>
      <c r="J2688" s="2">
        <f ca="1">IFERROR(__xludf.DUMMYFUNCTION("""COMPUTED_VALUE"""),52.523)</f>
        <v>52.523000000000003</v>
      </c>
      <c r="K2688" s="2">
        <f ca="1">IFERROR(__xludf.DUMMYFUNCTION("""COMPUTED_VALUE"""),71.075)</f>
        <v>71.075000000000003</v>
      </c>
      <c r="M2688" s="2">
        <f ca="1">IFERROR(__xludf.DUMMYFUNCTION("""COMPUTED_VALUE"""),17.689)</f>
        <v>17.689</v>
      </c>
      <c r="U2688" s="3" t="e">
        <f ca="1"/>
        <v>#NAME?</v>
      </c>
    </row>
    <row r="2689" spans="3:21" ht="12.5" x14ac:dyDescent="0.25">
      <c r="C2689" s="4">
        <f ca="1">IFERROR(__xludf.DUMMYFUNCTION("""COMPUTED_VALUE"""),43095.9986111111)</f>
        <v>43095.998611111099</v>
      </c>
      <c r="D2689" s="2">
        <f ca="1">IFERROR(__xludf.DUMMYFUNCTION("""COMPUTED_VALUE"""),64.0282)</f>
        <v>64.028199999999998</v>
      </c>
      <c r="E2689" s="2">
        <f ca="1">IFERROR(__xludf.DUMMYFUNCTION("""COMPUTED_VALUE"""),81.36)</f>
        <v>81.36</v>
      </c>
      <c r="F2689" s="2">
        <f ca="1">IFERROR(__xludf.DUMMYFUNCTION("""COMPUTED_VALUE"""),86.075)</f>
        <v>86.075000000000003</v>
      </c>
      <c r="G2689" s="2">
        <f ca="1">IFERROR(__xludf.DUMMYFUNCTION("""COMPUTED_VALUE"""),0.63578)</f>
        <v>0.63578000000000001</v>
      </c>
      <c r="H2689" s="2">
        <f ca="1">IFERROR(__xludf.DUMMYFUNCTION("""COMPUTED_VALUE"""),52.462)</f>
        <v>52.462000000000003</v>
      </c>
      <c r="I2689" s="2">
        <f ca="1">IFERROR(__xludf.DUMMYFUNCTION("""COMPUTED_VALUE"""),54.852)</f>
        <v>54.851999999999997</v>
      </c>
      <c r="J2689" s="2">
        <f ca="1">IFERROR(__xludf.DUMMYFUNCTION("""COMPUTED_VALUE"""),52.558)</f>
        <v>52.558</v>
      </c>
      <c r="K2689" s="2">
        <f ca="1">IFERROR(__xludf.DUMMYFUNCTION("""COMPUTED_VALUE"""),71.57)</f>
        <v>71.569999999999993</v>
      </c>
      <c r="M2689" s="2">
        <f ca="1">IFERROR(__xludf.DUMMYFUNCTION("""COMPUTED_VALUE"""),17.702)</f>
        <v>17.702000000000002</v>
      </c>
      <c r="U2689" s="3" t="e">
        <f ca="1"/>
        <v>#NAME?</v>
      </c>
    </row>
    <row r="2690" spans="3:21" ht="12.5" x14ac:dyDescent="0.25">
      <c r="C2690" s="4">
        <f ca="1">IFERROR(__xludf.DUMMYFUNCTION("""COMPUTED_VALUE"""),43096.9986111111)</f>
        <v>43096.998611111099</v>
      </c>
      <c r="D2690" s="2">
        <f ca="1">IFERROR(__xludf.DUMMYFUNCTION("""COMPUTED_VALUE"""),64.115)</f>
        <v>64.114999999999995</v>
      </c>
      <c r="E2690" s="2">
        <f ca="1">IFERROR(__xludf.DUMMYFUNCTION("""COMPUTED_VALUE"""),82.114)</f>
        <v>82.114000000000004</v>
      </c>
      <c r="F2690" s="2">
        <f ca="1">IFERROR(__xludf.DUMMYFUNCTION("""COMPUTED_VALUE"""),85.833)</f>
        <v>85.832999999999998</v>
      </c>
      <c r="G2690" s="2">
        <f ca="1">IFERROR(__xludf.DUMMYFUNCTION("""COMPUTED_VALUE"""),0.63409)</f>
        <v>0.63409000000000004</v>
      </c>
      <c r="H2690" s="2">
        <f ca="1">IFERROR(__xludf.DUMMYFUNCTION("""COMPUTED_VALUE"""),52.254)</f>
        <v>52.253999999999998</v>
      </c>
      <c r="I2690" s="2">
        <f ca="1">IFERROR(__xludf.DUMMYFUNCTION("""COMPUTED_VALUE"""),54.533)</f>
        <v>54.533000000000001</v>
      </c>
      <c r="J2690" s="2">
        <f ca="1">IFERROR(__xludf.DUMMYFUNCTION("""COMPUTED_VALUE"""),52.648)</f>
        <v>52.648000000000003</v>
      </c>
      <c r="K2690" s="2">
        <f ca="1">IFERROR(__xludf.DUMMYFUNCTION("""COMPUTED_VALUE"""),71.699)</f>
        <v>71.698999999999998</v>
      </c>
      <c r="M2690" s="2">
        <f ca="1">IFERROR(__xludf.DUMMYFUNCTION("""COMPUTED_VALUE"""),17.611)</f>
        <v>17.611000000000001</v>
      </c>
      <c r="U2690" s="3" t="e">
        <f ca="1"/>
        <v>#NAME?</v>
      </c>
    </row>
    <row r="2691" spans="3:21" ht="12.5" x14ac:dyDescent="0.25">
      <c r="C2691" s="4">
        <f ca="1">IFERROR(__xludf.DUMMYFUNCTION("""COMPUTED_VALUE"""),43097.9986111111)</f>
        <v>43097.998611111099</v>
      </c>
      <c r="D2691" s="2">
        <f ca="1">IFERROR(__xludf.DUMMYFUNCTION("""COMPUTED_VALUE"""),64.062)</f>
        <v>64.061999999999998</v>
      </c>
      <c r="E2691" s="2">
        <f ca="1">IFERROR(__xludf.DUMMYFUNCTION("""COMPUTED_VALUE"""),82.114)</f>
        <v>82.114000000000004</v>
      </c>
      <c r="F2691" s="2">
        <f ca="1">IFERROR(__xludf.DUMMYFUNCTION("""COMPUTED_VALUE"""),86.109)</f>
        <v>86.108999999999995</v>
      </c>
      <c r="G2691" s="2">
        <f ca="1">IFERROR(__xludf.DUMMYFUNCTION("""COMPUTED_VALUE"""),0.63391)</f>
        <v>0.63390999999999997</v>
      </c>
      <c r="H2691" s="2">
        <f ca="1">IFERROR(__xludf.DUMMYFUNCTION("""COMPUTED_VALUE"""),52.242)</f>
        <v>52.241999999999997</v>
      </c>
      <c r="I2691" s="2">
        <f ca="1">IFERROR(__xludf.DUMMYFUNCTION("""COMPUTED_VALUE"""),54.537)</f>
        <v>54.536999999999999</v>
      </c>
      <c r="J2691" s="2">
        <f ca="1">IFERROR(__xludf.DUMMYFUNCTION("""COMPUTED_VALUE"""),52.39)</f>
        <v>52.39</v>
      </c>
      <c r="K2691" s="2">
        <f ca="1">IFERROR(__xludf.DUMMYFUNCTION("""COMPUTED_VALUE"""),72.611)</f>
        <v>72.611000000000004</v>
      </c>
      <c r="M2691" s="2">
        <f ca="1">IFERROR(__xludf.DUMMYFUNCTION("""COMPUTED_VALUE"""),17.677)</f>
        <v>17.677</v>
      </c>
      <c r="U2691" s="3" t="e">
        <f ca="1"/>
        <v>#NAME?</v>
      </c>
    </row>
    <row r="2692" spans="3:21" ht="12.5" x14ac:dyDescent="0.25">
      <c r="C2692" s="4">
        <f ca="1">IFERROR(__xludf.DUMMYFUNCTION("""COMPUTED_VALUE"""),43098.9986111111)</f>
        <v>43098.998611111099</v>
      </c>
      <c r="D2692" s="2">
        <f ca="1">IFERROR(__xludf.DUMMYFUNCTION("""COMPUTED_VALUE"""),63.833)</f>
        <v>63.832999999999998</v>
      </c>
      <c r="E2692" s="2">
        <f ca="1">IFERROR(__xludf.DUMMYFUNCTION("""COMPUTED_VALUE"""),81.942)</f>
        <v>81.941999999999993</v>
      </c>
      <c r="F2692" s="2">
        <f ca="1">IFERROR(__xludf.DUMMYFUNCTION("""COMPUTED_VALUE"""),86.423)</f>
        <v>86.423000000000002</v>
      </c>
      <c r="G2692" s="2">
        <f ca="1">IFERROR(__xludf.DUMMYFUNCTION("""COMPUTED_VALUE"""),0.63324)</f>
        <v>0.63324000000000003</v>
      </c>
      <c r="H2692" s="2">
        <f ca="1">IFERROR(__xludf.DUMMYFUNCTION("""COMPUTED_VALUE"""),52.727)</f>
        <v>52.726999999999997</v>
      </c>
      <c r="I2692" s="2">
        <f ca="1">IFERROR(__xludf.DUMMYFUNCTION("""COMPUTED_VALUE"""),54.688)</f>
        <v>54.688000000000002</v>
      </c>
      <c r="J2692" s="2">
        <f ca="1">IFERROR(__xludf.DUMMYFUNCTION("""COMPUTED_VALUE"""),52.206)</f>
        <v>52.206000000000003</v>
      </c>
      <c r="K2692" s="2">
        <f ca="1">IFERROR(__xludf.DUMMYFUNCTION("""COMPUTED_VALUE"""),72.953)</f>
        <v>72.953000000000003</v>
      </c>
      <c r="M2692" s="2">
        <f ca="1">IFERROR(__xludf.DUMMYFUNCTION("""COMPUTED_VALUE"""),17.735)</f>
        <v>17.734999999999999</v>
      </c>
      <c r="U2692" s="3" t="e">
        <f ca="1"/>
        <v>#NAME?</v>
      </c>
    </row>
    <row r="2693" spans="3:21" ht="12.5" x14ac:dyDescent="0.25">
      <c r="C2693" s="4">
        <f ca="1">IFERROR(__xludf.DUMMYFUNCTION("""COMPUTED_VALUE"""),43099.9986111111)</f>
        <v>43099.998611111099</v>
      </c>
      <c r="D2693" s="2">
        <f ca="1">IFERROR(__xludf.DUMMYFUNCTION("""COMPUTED_VALUE"""),63.8408)</f>
        <v>63.840800000000002</v>
      </c>
      <c r="E2693" s="2">
        <f ca="1">IFERROR(__xludf.DUMMYFUNCTION("""COMPUTED_VALUE"""),81.15)</f>
        <v>81.150000000000006</v>
      </c>
      <c r="F2693" s="2">
        <f ca="1">IFERROR(__xludf.DUMMYFUNCTION("""COMPUTED_VALUE"""),87.256)</f>
        <v>87.256</v>
      </c>
      <c r="G2693" s="2">
        <f ca="1">IFERROR(__xludf.DUMMYFUNCTION("""COMPUTED_VALUE"""),0.63414)</f>
        <v>0.63414000000000004</v>
      </c>
      <c r="H2693" s="2">
        <f ca="1">IFERROR(__xludf.DUMMYFUNCTION("""COMPUTED_VALUE"""),52.735)</f>
        <v>52.734999999999999</v>
      </c>
      <c r="I2693" s="2">
        <f ca="1">IFERROR(__xludf.DUMMYFUNCTION("""COMPUTED_VALUE"""),54.684)</f>
        <v>54.683999999999997</v>
      </c>
      <c r="J2693" s="2">
        <f ca="1">IFERROR(__xludf.DUMMYFUNCTION("""COMPUTED_VALUE"""),52.366)</f>
        <v>52.366</v>
      </c>
      <c r="K2693" s="2">
        <f ca="1">IFERROR(__xludf.DUMMYFUNCTION("""COMPUTED_VALUE"""),73.21)</f>
        <v>73.209999999999994</v>
      </c>
      <c r="M2693" s="2">
        <f ca="1">IFERROR(__xludf.DUMMYFUNCTION("""COMPUTED_VALUE"""),17.701)</f>
        <v>17.701000000000001</v>
      </c>
      <c r="U2693" s="3" t="e">
        <f ca="1"/>
        <v>#NAME?</v>
      </c>
    </row>
    <row r="2694" spans="3:21" ht="12.5" x14ac:dyDescent="0.25">
      <c r="C2694" s="4">
        <f ca="1">IFERROR(__xludf.DUMMYFUNCTION("""COMPUTED_VALUE"""),43100.9986111111)</f>
        <v>43100.998611111099</v>
      </c>
      <c r="D2694" s="2">
        <f ca="1">IFERROR(__xludf.DUMMYFUNCTION("""COMPUTED_VALUE"""),63.8408)</f>
        <v>63.840800000000002</v>
      </c>
      <c r="E2694" s="2">
        <f ca="1">IFERROR(__xludf.DUMMYFUNCTION("""COMPUTED_VALUE"""),81.133)</f>
        <v>81.132999999999996</v>
      </c>
      <c r="F2694" s="2">
        <f ca="1">IFERROR(__xludf.DUMMYFUNCTION("""COMPUTED_VALUE"""),86.906)</f>
        <v>86.906000000000006</v>
      </c>
      <c r="G2694" s="2">
        <f ca="1">IFERROR(__xludf.DUMMYFUNCTION("""COMPUTED_VALUE"""),0.63361)</f>
        <v>0.63361000000000001</v>
      </c>
      <c r="H2694" s="2">
        <f ca="1">IFERROR(__xludf.DUMMYFUNCTION("""COMPUTED_VALUE"""),52.189)</f>
        <v>52.189</v>
      </c>
      <c r="I2694" s="2">
        <f ca="1">IFERROR(__xludf.DUMMYFUNCTION("""COMPUTED_VALUE"""),54.311)</f>
        <v>54.311</v>
      </c>
      <c r="J2694" s="2">
        <f ca="1">IFERROR(__xludf.DUMMYFUNCTION("""COMPUTED_VALUE"""),52.395)</f>
        <v>52.395000000000003</v>
      </c>
      <c r="K2694" s="2">
        <f ca="1">IFERROR(__xludf.DUMMYFUNCTION("""COMPUTED_VALUE"""),73.403)</f>
        <v>73.403000000000006</v>
      </c>
      <c r="M2694" s="2">
        <f ca="1">IFERROR(__xludf.DUMMYFUNCTION("""COMPUTED_VALUE"""),17.715)</f>
        <v>17.715</v>
      </c>
      <c r="U2694" s="3" t="e">
        <f ca="1"/>
        <v>#NAME?</v>
      </c>
    </row>
    <row r="2695" spans="3:21" ht="12.5" x14ac:dyDescent="0.25">
      <c r="C2695" s="4">
        <f ca="1">IFERROR(__xludf.DUMMYFUNCTION("""COMPUTED_VALUE"""),43101.9986111111)</f>
        <v>43101.998611111099</v>
      </c>
      <c r="D2695" s="2">
        <f ca="1">IFERROR(__xludf.DUMMYFUNCTION("""COMPUTED_VALUE"""),63.8676)</f>
        <v>63.867600000000003</v>
      </c>
      <c r="E2695" s="2">
        <f ca="1">IFERROR(__xludf.DUMMYFUNCTION("""COMPUTED_VALUE"""),80.538)</f>
        <v>80.537999999999997</v>
      </c>
      <c r="F2695" s="2">
        <f ca="1">IFERROR(__xludf.DUMMYFUNCTION("""COMPUTED_VALUE"""),86.915)</f>
        <v>86.915000000000006</v>
      </c>
      <c r="G2695" s="2">
        <f ca="1">IFERROR(__xludf.DUMMYFUNCTION("""COMPUTED_VALUE"""),0.65082)</f>
        <v>0.65081999999999995</v>
      </c>
      <c r="H2695" s="2">
        <f ca="1">IFERROR(__xludf.DUMMYFUNCTION("""COMPUTED_VALUE"""),51.494)</f>
        <v>51.494</v>
      </c>
      <c r="I2695" s="2">
        <f ca="1">IFERROR(__xludf.DUMMYFUNCTION("""COMPUTED_VALUE"""),53.628)</f>
        <v>53.628</v>
      </c>
      <c r="J2695" s="2">
        <f ca="1">IFERROR(__xludf.DUMMYFUNCTION("""COMPUTED_VALUE"""),52.163)</f>
        <v>52.162999999999997</v>
      </c>
      <c r="K2695" s="2">
        <f ca="1">IFERROR(__xludf.DUMMYFUNCTION("""COMPUTED_VALUE"""),73.414)</f>
        <v>73.414000000000001</v>
      </c>
      <c r="M2695" s="2">
        <f ca="1">IFERROR(__xludf.DUMMYFUNCTION("""COMPUTED_VALUE"""),17.727)</f>
        <v>17.727</v>
      </c>
      <c r="U2695" s="3" t="e">
        <f ca="1"/>
        <v>#NAME?</v>
      </c>
    </row>
    <row r="2696" spans="3:21" ht="12.5" x14ac:dyDescent="0.25">
      <c r="C2696" s="4">
        <f ca="1">IFERROR(__xludf.DUMMYFUNCTION("""COMPUTED_VALUE"""),43102.9986111111)</f>
        <v>43102.998611111099</v>
      </c>
      <c r="D2696" s="2">
        <f ca="1">IFERROR(__xludf.DUMMYFUNCTION("""COMPUTED_VALUE"""),63.46)</f>
        <v>63.46</v>
      </c>
      <c r="E2696" s="2">
        <f ca="1">IFERROR(__xludf.DUMMYFUNCTION("""COMPUTED_VALUE"""),80.089)</f>
        <v>80.088999999999999</v>
      </c>
      <c r="F2696" s="2">
        <f ca="1">IFERROR(__xludf.DUMMYFUNCTION("""COMPUTED_VALUE"""),86.913)</f>
        <v>86.912999999999997</v>
      </c>
      <c r="G2696" s="2">
        <f ca="1">IFERROR(__xludf.DUMMYFUNCTION("""COMPUTED_VALUE"""),0.64974)</f>
        <v>0.64973999999999998</v>
      </c>
      <c r="H2696" s="2">
        <f ca="1">IFERROR(__xludf.DUMMYFUNCTION("""COMPUTED_VALUE"""),51.732)</f>
        <v>51.731999999999999</v>
      </c>
      <c r="I2696" s="2">
        <f ca="1">IFERROR(__xludf.DUMMYFUNCTION("""COMPUTED_VALUE"""),53.857)</f>
        <v>53.856999999999999</v>
      </c>
      <c r="J2696" s="2">
        <f ca="1">IFERROR(__xludf.DUMMYFUNCTION("""COMPUTED_VALUE"""),51.896)</f>
        <v>51.896000000000001</v>
      </c>
      <c r="K2696" s="2">
        <f ca="1">IFERROR(__xludf.DUMMYFUNCTION("""COMPUTED_VALUE"""),73.808)</f>
        <v>73.808000000000007</v>
      </c>
      <c r="M2696" s="2">
        <f ca="1">IFERROR(__xludf.DUMMYFUNCTION("""COMPUTED_VALUE"""),17.733)</f>
        <v>17.733000000000001</v>
      </c>
      <c r="U2696" s="3" t="e">
        <f ca="1"/>
        <v>#NAME?</v>
      </c>
    </row>
    <row r="2697" spans="3:21" ht="12.5" x14ac:dyDescent="0.25">
      <c r="C2697" s="4">
        <f ca="1">IFERROR(__xludf.DUMMYFUNCTION("""COMPUTED_VALUE"""),43103.9986111111)</f>
        <v>43103.998611111099</v>
      </c>
      <c r="D2697" s="2">
        <f ca="1">IFERROR(__xludf.DUMMYFUNCTION("""COMPUTED_VALUE"""),63.4191)</f>
        <v>63.4191</v>
      </c>
      <c r="E2697" s="2">
        <f ca="1">IFERROR(__xludf.DUMMYFUNCTION("""COMPUTED_VALUE"""),80.089)</f>
        <v>80.088999999999999</v>
      </c>
      <c r="F2697" s="2">
        <f ca="1">IFERROR(__xludf.DUMMYFUNCTION("""COMPUTED_VALUE"""),86.707)</f>
        <v>86.706999999999994</v>
      </c>
      <c r="G2697" s="2">
        <f ca="1">IFERROR(__xludf.DUMMYFUNCTION("""COMPUTED_VALUE"""),0.64049)</f>
        <v>0.64049</v>
      </c>
      <c r="H2697" s="2">
        <f ca="1">IFERROR(__xludf.DUMMYFUNCTION("""COMPUTED_VALUE"""),51.207)</f>
        <v>51.207000000000001</v>
      </c>
      <c r="I2697" s="2">
        <f ca="1">IFERROR(__xludf.DUMMYFUNCTION("""COMPUTED_VALUE"""),53.546)</f>
        <v>53.545999999999999</v>
      </c>
      <c r="J2697" s="2">
        <f ca="1">IFERROR(__xludf.DUMMYFUNCTION("""COMPUTED_VALUE"""),51.877)</f>
        <v>51.877000000000002</v>
      </c>
      <c r="K2697" s="2">
        <f ca="1">IFERROR(__xludf.DUMMYFUNCTION("""COMPUTED_VALUE"""),74.464)</f>
        <v>74.463999999999999</v>
      </c>
      <c r="M2697" s="2">
        <f ca="1">IFERROR(__xludf.DUMMYFUNCTION("""COMPUTED_VALUE"""),17.668)</f>
        <v>17.667999999999999</v>
      </c>
      <c r="U2697" s="3" t="e">
        <f ca="1"/>
        <v>#NAME?</v>
      </c>
    </row>
    <row r="2698" spans="3:21" ht="12.5" x14ac:dyDescent="0.25">
      <c r="C2698" s="4">
        <f ca="1">IFERROR(__xludf.DUMMYFUNCTION("""COMPUTED_VALUE"""),43104.9986111111)</f>
        <v>43104.998611111099</v>
      </c>
      <c r="D2698" s="2">
        <f ca="1">IFERROR(__xludf.DUMMYFUNCTION("""COMPUTED_VALUE"""),63.3696)</f>
        <v>63.369599999999998</v>
      </c>
      <c r="E2698" s="2">
        <f ca="1">IFERROR(__xludf.DUMMYFUNCTION("""COMPUTED_VALUE"""),80.166)</f>
        <v>80.165999999999997</v>
      </c>
      <c r="F2698" s="2">
        <f ca="1">IFERROR(__xludf.DUMMYFUNCTION("""COMPUTED_VALUE"""),86.316)</f>
        <v>86.316000000000003</v>
      </c>
      <c r="G2698" s="2">
        <f ca="1">IFERROR(__xludf.DUMMYFUNCTION("""COMPUTED_VALUE"""),0.64199)</f>
        <v>0.64198999999999995</v>
      </c>
      <c r="H2698" s="2">
        <f ca="1">IFERROR(__xludf.DUMMYFUNCTION("""COMPUTED_VALUE"""),51.085)</f>
        <v>51.085000000000001</v>
      </c>
      <c r="I2698" s="2">
        <f ca="1">IFERROR(__xludf.DUMMYFUNCTION("""COMPUTED_VALUE"""),53.361)</f>
        <v>53.360999999999997</v>
      </c>
      <c r="J2698" s="2">
        <f ca="1">IFERROR(__xludf.DUMMYFUNCTION("""COMPUTED_VALUE"""),51.427)</f>
        <v>51.427</v>
      </c>
      <c r="K2698" s="2">
        <f ca="1">IFERROR(__xludf.DUMMYFUNCTION("""COMPUTED_VALUE"""),73.988)</f>
        <v>73.988</v>
      </c>
      <c r="M2698" s="2">
        <f ca="1">IFERROR(__xludf.DUMMYFUNCTION("""COMPUTED_VALUE"""),17.703)</f>
        <v>17.702999999999999</v>
      </c>
      <c r="U2698" s="3" t="e">
        <f ca="1"/>
        <v>#NAME?</v>
      </c>
    </row>
    <row r="2699" spans="3:21" ht="12.5" x14ac:dyDescent="0.25">
      <c r="C2699" s="4">
        <f ca="1">IFERROR(__xludf.DUMMYFUNCTION("""COMPUTED_VALUE"""),43105.9986111111)</f>
        <v>43105.998611111099</v>
      </c>
      <c r="D2699" s="2">
        <f ca="1">IFERROR(__xludf.DUMMYFUNCTION("""COMPUTED_VALUE"""),63.333)</f>
        <v>63.332999999999998</v>
      </c>
      <c r="E2699" s="2">
        <f ca="1">IFERROR(__xludf.DUMMYFUNCTION("""COMPUTED_VALUE"""),79.896)</f>
        <v>79.896000000000001</v>
      </c>
      <c r="F2699" s="2">
        <f ca="1">IFERROR(__xludf.DUMMYFUNCTION("""COMPUTED_VALUE"""),86.389)</f>
        <v>86.388999999999996</v>
      </c>
      <c r="G2699" s="2">
        <f ca="1">IFERROR(__xludf.DUMMYFUNCTION("""COMPUTED_VALUE"""),0.64411)</f>
        <v>0.64410999999999996</v>
      </c>
      <c r="H2699" s="2">
        <f ca="1">IFERROR(__xludf.DUMMYFUNCTION("""COMPUTED_VALUE"""),51.093)</f>
        <v>51.093000000000004</v>
      </c>
      <c r="I2699" s="2">
        <f ca="1">IFERROR(__xludf.DUMMYFUNCTION("""COMPUTED_VALUE"""),53.364)</f>
        <v>53.363999999999997</v>
      </c>
      <c r="J2699" s="2">
        <f ca="1">IFERROR(__xludf.DUMMYFUNCTION("""COMPUTED_VALUE"""),51.375)</f>
        <v>51.375</v>
      </c>
      <c r="K2699" s="2">
        <f ca="1">IFERROR(__xludf.DUMMYFUNCTION("""COMPUTED_VALUE"""),74.263)</f>
        <v>74.263000000000005</v>
      </c>
      <c r="M2699" s="2">
        <f ca="1">IFERROR(__xludf.DUMMYFUNCTION("""COMPUTED_VALUE"""),17.661)</f>
        <v>17.661000000000001</v>
      </c>
      <c r="U2699" s="3" t="e">
        <f ca="1"/>
        <v>#NAME?</v>
      </c>
    </row>
    <row r="2700" spans="3:21" ht="12.5" x14ac:dyDescent="0.25">
      <c r="C2700" s="4">
        <f ca="1">IFERROR(__xludf.DUMMYFUNCTION("""COMPUTED_VALUE"""),43106.9986111111)</f>
        <v>43106.998611111099</v>
      </c>
      <c r="D2700" s="2">
        <f ca="1">IFERROR(__xludf.DUMMYFUNCTION("""COMPUTED_VALUE"""),63.257)</f>
        <v>63.256999999999998</v>
      </c>
      <c r="E2700" s="2">
        <f ca="1">IFERROR(__xludf.DUMMYFUNCTION("""COMPUTED_VALUE"""),80.231)</f>
        <v>80.230999999999995</v>
      </c>
      <c r="F2700" s="2">
        <f ca="1">IFERROR(__xludf.DUMMYFUNCTION("""COMPUTED_VALUE"""),87.035)</f>
        <v>87.034999999999997</v>
      </c>
      <c r="G2700" s="2">
        <f ca="1">IFERROR(__xludf.DUMMYFUNCTION("""COMPUTED_VALUE"""),0.65159)</f>
        <v>0.65159</v>
      </c>
      <c r="H2700" s="2">
        <f ca="1">IFERROR(__xludf.DUMMYFUNCTION("""COMPUTED_VALUE"""),51.096)</f>
        <v>51.095999999999997</v>
      </c>
      <c r="I2700" s="2">
        <f ca="1">IFERROR(__xludf.DUMMYFUNCTION("""COMPUTED_VALUE"""),53.371)</f>
        <v>53.371000000000002</v>
      </c>
      <c r="J2700" s="2">
        <f ca="1">IFERROR(__xludf.DUMMYFUNCTION("""COMPUTED_VALUE"""),51.334)</f>
        <v>51.334000000000003</v>
      </c>
      <c r="K2700" s="2">
        <f ca="1">IFERROR(__xludf.DUMMYFUNCTION("""COMPUTED_VALUE"""),74.579)</f>
        <v>74.578999999999994</v>
      </c>
      <c r="M2700" s="2">
        <f ca="1">IFERROR(__xludf.DUMMYFUNCTION("""COMPUTED_VALUE"""),17.67)</f>
        <v>17.670000000000002</v>
      </c>
      <c r="U2700" s="3" t="e">
        <f ca="1"/>
        <v>#NAME?</v>
      </c>
    </row>
    <row r="2701" spans="3:21" ht="12.5" x14ac:dyDescent="0.25">
      <c r="C2701" s="4">
        <f ca="1">IFERROR(__xludf.DUMMYFUNCTION("""COMPUTED_VALUE"""),43107.9986111111)</f>
        <v>43107.998611111099</v>
      </c>
      <c r="D2701" s="2">
        <f ca="1">IFERROR(__xludf.DUMMYFUNCTION("""COMPUTED_VALUE"""),63.265)</f>
        <v>63.265000000000001</v>
      </c>
      <c r="E2701" s="2">
        <f ca="1">IFERROR(__xludf.DUMMYFUNCTION("""COMPUTED_VALUE"""),79.406)</f>
        <v>79.406000000000006</v>
      </c>
      <c r="F2701" s="2">
        <f ca="1">IFERROR(__xludf.DUMMYFUNCTION("""COMPUTED_VALUE"""),86.297)</f>
        <v>86.296999999999997</v>
      </c>
      <c r="G2701" s="2">
        <f ca="1">IFERROR(__xludf.DUMMYFUNCTION("""COMPUTED_VALUE"""),0.64974)</f>
        <v>0.64973999999999998</v>
      </c>
      <c r="H2701" s="2">
        <f ca="1">IFERROR(__xludf.DUMMYFUNCTION("""COMPUTED_VALUE"""),51.121)</f>
        <v>51.121000000000002</v>
      </c>
      <c r="I2701" s="2">
        <f ca="1">IFERROR(__xludf.DUMMYFUNCTION("""COMPUTED_VALUE"""),53.184)</f>
        <v>53.183999999999997</v>
      </c>
      <c r="J2701" s="2">
        <f ca="1">IFERROR(__xludf.DUMMYFUNCTION("""COMPUTED_VALUE"""),51.449)</f>
        <v>51.448999999999998</v>
      </c>
      <c r="K2701" s="2">
        <f ca="1">IFERROR(__xludf.DUMMYFUNCTION("""COMPUTED_VALUE"""),74.296)</f>
        <v>74.296000000000006</v>
      </c>
      <c r="M2701" s="2">
        <f ca="1">IFERROR(__xludf.DUMMYFUNCTION("""COMPUTED_VALUE"""),17.672)</f>
        <v>17.672000000000001</v>
      </c>
      <c r="U2701" s="3" t="e">
        <f ca="1"/>
        <v>#NAME?</v>
      </c>
    </row>
    <row r="2702" spans="3:21" ht="12.5" x14ac:dyDescent="0.25">
      <c r="C2702" s="4">
        <f ca="1">IFERROR(__xludf.DUMMYFUNCTION("""COMPUTED_VALUE"""),43108.9986111111)</f>
        <v>43108.998611111099</v>
      </c>
      <c r="D2702" s="2">
        <f ca="1">IFERROR(__xludf.DUMMYFUNCTION("""COMPUTED_VALUE"""),63.452)</f>
        <v>63.451999999999998</v>
      </c>
      <c r="E2702" s="2">
        <f ca="1">IFERROR(__xludf.DUMMYFUNCTION("""COMPUTED_VALUE"""),78.75)</f>
        <v>78.75</v>
      </c>
      <c r="F2702" s="2">
        <f ca="1">IFERROR(__xludf.DUMMYFUNCTION("""COMPUTED_VALUE"""),86.304)</f>
        <v>86.304000000000002</v>
      </c>
      <c r="G2702" s="2">
        <f ca="1">IFERROR(__xludf.DUMMYFUNCTION("""COMPUTED_VALUE"""),0.64798)</f>
        <v>0.64798</v>
      </c>
      <c r="H2702" s="2">
        <f ca="1">IFERROR(__xludf.DUMMYFUNCTION("""COMPUTED_VALUE"""),51.537)</f>
        <v>51.536999999999999</v>
      </c>
      <c r="I2702" s="2">
        <f ca="1">IFERROR(__xludf.DUMMYFUNCTION("""COMPUTED_VALUE"""),53.154)</f>
        <v>53.154000000000003</v>
      </c>
      <c r="J2702" s="2">
        <f ca="1">IFERROR(__xludf.DUMMYFUNCTION("""COMPUTED_VALUE"""),51.339)</f>
        <v>51.338999999999999</v>
      </c>
      <c r="K2702" s="2">
        <f ca="1">IFERROR(__xludf.DUMMYFUNCTION("""COMPUTED_VALUE"""),74.48)</f>
        <v>74.48</v>
      </c>
      <c r="M2702" s="2">
        <f ca="1">IFERROR(__xludf.DUMMYFUNCTION("""COMPUTED_VALUE"""),17.679)</f>
        <v>17.678999999999998</v>
      </c>
      <c r="U2702" s="3" t="e">
        <f ca="1"/>
        <v>#NAME?</v>
      </c>
    </row>
    <row r="2703" spans="3:21" ht="12.5" x14ac:dyDescent="0.25">
      <c r="C2703" s="4">
        <f ca="1">IFERROR(__xludf.DUMMYFUNCTION("""COMPUTED_VALUE"""),43109.9986111111)</f>
        <v>43109.998611111099</v>
      </c>
      <c r="D2703" s="2">
        <f ca="1">IFERROR(__xludf.DUMMYFUNCTION("""COMPUTED_VALUE"""),63.6361)</f>
        <v>63.636099999999999</v>
      </c>
      <c r="E2703" s="2">
        <f ca="1">IFERROR(__xludf.DUMMYFUNCTION("""COMPUTED_VALUE"""),78.75)</f>
        <v>78.75</v>
      </c>
      <c r="F2703" s="2">
        <f ca="1">IFERROR(__xludf.DUMMYFUNCTION("""COMPUTED_VALUE"""),86.304)</f>
        <v>86.304000000000002</v>
      </c>
      <c r="G2703" s="2">
        <f ca="1">IFERROR(__xludf.DUMMYFUNCTION("""COMPUTED_VALUE"""),0.65305)</f>
        <v>0.65305000000000002</v>
      </c>
      <c r="H2703" s="2">
        <f ca="1">IFERROR(__xludf.DUMMYFUNCTION("""COMPUTED_VALUE"""),51.032)</f>
        <v>51.031999999999996</v>
      </c>
      <c r="I2703" s="2">
        <f ca="1">IFERROR(__xludf.DUMMYFUNCTION("""COMPUTED_VALUE"""),52.499)</f>
        <v>52.499000000000002</v>
      </c>
      <c r="J2703" s="2">
        <f ca="1">IFERROR(__xludf.DUMMYFUNCTION("""COMPUTED_VALUE"""),51.408)</f>
        <v>51.408000000000001</v>
      </c>
      <c r="K2703" s="2">
        <f ca="1">IFERROR(__xludf.DUMMYFUNCTION("""COMPUTED_VALUE"""),74.263)</f>
        <v>74.263000000000005</v>
      </c>
      <c r="M2703" s="2">
        <f ca="1">IFERROR(__xludf.DUMMYFUNCTION("""COMPUTED_VALUE"""),17.676)</f>
        <v>17.675999999999998</v>
      </c>
      <c r="U2703" s="3" t="e">
        <f ca="1"/>
        <v>#NAME?</v>
      </c>
    </row>
    <row r="2704" spans="3:21" ht="12.5" x14ac:dyDescent="0.25">
      <c r="C2704" s="4">
        <f ca="1">IFERROR(__xludf.DUMMYFUNCTION("""COMPUTED_VALUE"""),43110.9986111111)</f>
        <v>43110.998611111099</v>
      </c>
      <c r="D2704" s="2">
        <f ca="1">IFERROR(__xludf.DUMMYFUNCTION("""COMPUTED_VALUE"""),63.76)</f>
        <v>63.76</v>
      </c>
      <c r="E2704" s="2">
        <f ca="1">IFERROR(__xludf.DUMMYFUNCTION("""COMPUTED_VALUE"""),79.905)</f>
        <v>79.905000000000001</v>
      </c>
      <c r="F2704" s="2">
        <f ca="1">IFERROR(__xludf.DUMMYFUNCTION("""COMPUTED_VALUE"""),85.88)</f>
        <v>85.88</v>
      </c>
      <c r="G2704" s="2">
        <f ca="1">IFERROR(__xludf.DUMMYFUNCTION("""COMPUTED_VALUE"""),0.65393)</f>
        <v>0.65393000000000001</v>
      </c>
      <c r="H2704" s="2">
        <f ca="1">IFERROR(__xludf.DUMMYFUNCTION("""COMPUTED_VALUE"""),50.833)</f>
        <v>50.832999999999998</v>
      </c>
      <c r="I2704" s="2">
        <f ca="1">IFERROR(__xludf.DUMMYFUNCTION("""COMPUTED_VALUE"""),52.343)</f>
        <v>52.343000000000004</v>
      </c>
      <c r="J2704" s="2">
        <f ca="1">IFERROR(__xludf.DUMMYFUNCTION("""COMPUTED_VALUE"""),50.885)</f>
        <v>50.884999999999998</v>
      </c>
      <c r="K2704" s="2">
        <f ca="1">IFERROR(__xludf.DUMMYFUNCTION("""COMPUTED_VALUE"""),75.263)</f>
        <v>75.263000000000005</v>
      </c>
      <c r="M2704" s="2">
        <f ca="1">IFERROR(__xludf.DUMMYFUNCTION("""COMPUTED_VALUE"""),17.762)</f>
        <v>17.762</v>
      </c>
      <c r="U2704" s="3" t="e">
        <f ca="1"/>
        <v>#NAME?</v>
      </c>
    </row>
    <row r="2705" spans="3:21" ht="12.5" x14ac:dyDescent="0.25">
      <c r="C2705" s="4">
        <f ca="1">IFERROR(__xludf.DUMMYFUNCTION("""COMPUTED_VALUE"""),43111.9986111111)</f>
        <v>43111.998611111099</v>
      </c>
      <c r="D2705" s="2">
        <f ca="1">IFERROR(__xludf.DUMMYFUNCTION("""COMPUTED_VALUE"""),63.6721)</f>
        <v>63.6721</v>
      </c>
      <c r="E2705" s="2">
        <f ca="1">IFERROR(__xludf.DUMMYFUNCTION("""COMPUTED_VALUE"""),79.919)</f>
        <v>79.918999999999997</v>
      </c>
      <c r="F2705" s="2">
        <f ca="1">IFERROR(__xludf.DUMMYFUNCTION("""COMPUTED_VALUE"""),85.965)</f>
        <v>85.965000000000003</v>
      </c>
      <c r="G2705" s="2">
        <f ca="1">IFERROR(__xludf.DUMMYFUNCTION("""COMPUTED_VALUE"""),0.65032)</f>
        <v>0.65032000000000001</v>
      </c>
      <c r="H2705" s="2">
        <f ca="1">IFERROR(__xludf.DUMMYFUNCTION("""COMPUTED_VALUE"""),50.921)</f>
        <v>50.920999999999999</v>
      </c>
      <c r="I2705" s="2">
        <f ca="1">IFERROR(__xludf.DUMMYFUNCTION("""COMPUTED_VALUE"""),52.346)</f>
        <v>52.345999999999997</v>
      </c>
      <c r="J2705" s="2">
        <f ca="1">IFERROR(__xludf.DUMMYFUNCTION("""COMPUTED_VALUE"""),50.7)</f>
        <v>50.7</v>
      </c>
      <c r="K2705" s="2">
        <f ca="1">IFERROR(__xludf.DUMMYFUNCTION("""COMPUTED_VALUE"""),75.362)</f>
        <v>75.361999999999995</v>
      </c>
      <c r="M2705" s="2">
        <f ca="1">IFERROR(__xludf.DUMMYFUNCTION("""COMPUTED_VALUE"""),17.769)</f>
        <v>17.768999999999998</v>
      </c>
      <c r="U2705" s="3" t="e">
        <f ca="1"/>
        <v>#NAME?</v>
      </c>
    </row>
    <row r="2706" spans="3:21" ht="12.5" x14ac:dyDescent="0.25">
      <c r="C2706" s="4">
        <f ca="1">IFERROR(__xludf.DUMMYFUNCTION("""COMPUTED_VALUE"""),43112.9986111111)</f>
        <v>43112.998611111099</v>
      </c>
      <c r="D2706" s="2">
        <f ca="1">IFERROR(__xludf.DUMMYFUNCTION("""COMPUTED_VALUE"""),63.603)</f>
        <v>63.603000000000002</v>
      </c>
      <c r="E2706" s="2">
        <f ca="1">IFERROR(__xludf.DUMMYFUNCTION("""COMPUTED_VALUE"""),79.995)</f>
        <v>79.995000000000005</v>
      </c>
      <c r="F2706" s="2">
        <f ca="1">IFERROR(__xludf.DUMMYFUNCTION("""COMPUTED_VALUE"""),86.278)</f>
        <v>86.278000000000006</v>
      </c>
      <c r="G2706" s="2">
        <f ca="1">IFERROR(__xludf.DUMMYFUNCTION("""COMPUTED_VALUE"""),0.65014)</f>
        <v>0.65014000000000005</v>
      </c>
      <c r="H2706" s="2">
        <f ca="1">IFERROR(__xludf.DUMMYFUNCTION("""COMPUTED_VALUE"""),51.765)</f>
        <v>51.765000000000001</v>
      </c>
      <c r="I2706" s="2">
        <f ca="1">IFERROR(__xludf.DUMMYFUNCTION("""COMPUTED_VALUE"""),53.316)</f>
        <v>53.316000000000003</v>
      </c>
      <c r="J2706" s="2">
        <f ca="1">IFERROR(__xludf.DUMMYFUNCTION("""COMPUTED_VALUE"""),50.72)</f>
        <v>50.72</v>
      </c>
      <c r="K2706" s="2">
        <f ca="1">IFERROR(__xludf.DUMMYFUNCTION("""COMPUTED_VALUE"""),74.729)</f>
        <v>74.728999999999999</v>
      </c>
      <c r="M2706" s="2">
        <f ca="1">IFERROR(__xludf.DUMMYFUNCTION("""COMPUTED_VALUE"""),17.757)</f>
        <v>17.757000000000001</v>
      </c>
      <c r="U2706" s="3" t="e">
        <f ca="1"/>
        <v>#NAME?</v>
      </c>
    </row>
    <row r="2707" spans="3:21" ht="12.5" x14ac:dyDescent="0.25">
      <c r="C2707" s="4">
        <f ca="1">IFERROR(__xludf.DUMMYFUNCTION("""COMPUTED_VALUE"""),43113.9986111111)</f>
        <v>43113.998611111099</v>
      </c>
      <c r="D2707" s="2">
        <f ca="1">IFERROR(__xludf.DUMMYFUNCTION("""COMPUTED_VALUE"""),63.5885)</f>
        <v>63.588500000000003</v>
      </c>
      <c r="E2707" s="2">
        <f ca="1">IFERROR(__xludf.DUMMYFUNCTION("""COMPUTED_VALUE"""),80.508)</f>
        <v>80.507999999999996</v>
      </c>
      <c r="F2707" s="2">
        <f ca="1">IFERROR(__xludf.DUMMYFUNCTION("""COMPUTED_VALUE"""),86.339)</f>
        <v>86.338999999999999</v>
      </c>
      <c r="G2707" s="2">
        <f ca="1">IFERROR(__xludf.DUMMYFUNCTION("""COMPUTED_VALUE"""),0.64867)</f>
        <v>0.64866999999999997</v>
      </c>
      <c r="H2707" s="2">
        <f ca="1">IFERROR(__xludf.DUMMYFUNCTION("""COMPUTED_VALUE"""),51.753)</f>
        <v>51.753</v>
      </c>
      <c r="I2707" s="2">
        <f ca="1">IFERROR(__xludf.DUMMYFUNCTION("""COMPUTED_VALUE"""),53.148)</f>
        <v>53.148000000000003</v>
      </c>
      <c r="J2707" s="2">
        <f ca="1">IFERROR(__xludf.DUMMYFUNCTION("""COMPUTED_VALUE"""),51.497)</f>
        <v>51.497</v>
      </c>
      <c r="K2707" s="2">
        <f ca="1">IFERROR(__xludf.DUMMYFUNCTION("""COMPUTED_VALUE"""),75.017)</f>
        <v>75.016999999999996</v>
      </c>
      <c r="M2707" s="2">
        <f ca="1">IFERROR(__xludf.DUMMYFUNCTION("""COMPUTED_VALUE"""),17.751)</f>
        <v>17.751000000000001</v>
      </c>
      <c r="U2707" s="3" t="e">
        <f ca="1"/>
        <v>#NAME?</v>
      </c>
    </row>
    <row r="2708" spans="3:21" ht="12.5" x14ac:dyDescent="0.25">
      <c r="C2708" s="4">
        <f ca="1">IFERROR(__xludf.DUMMYFUNCTION("""COMPUTED_VALUE"""),43114.9986111111)</f>
        <v>43114.998611111099</v>
      </c>
      <c r="D2708" s="2">
        <f ca="1">IFERROR(__xludf.DUMMYFUNCTION("""COMPUTED_VALUE"""),63.5885)</f>
        <v>63.588500000000003</v>
      </c>
      <c r="E2708" s="2">
        <f ca="1">IFERROR(__xludf.DUMMYFUNCTION("""COMPUTED_VALUE"""),80.637)</f>
        <v>80.637</v>
      </c>
      <c r="F2708" s="2">
        <f ca="1">IFERROR(__xludf.DUMMYFUNCTION("""COMPUTED_VALUE"""),85.365)</f>
        <v>85.364999999999995</v>
      </c>
      <c r="G2708" s="2">
        <f ca="1">IFERROR(__xludf.DUMMYFUNCTION("""COMPUTED_VALUE"""),0.64847)</f>
        <v>0.64846999999999999</v>
      </c>
      <c r="H2708" s="2">
        <f ca="1">IFERROR(__xludf.DUMMYFUNCTION("""COMPUTED_VALUE"""),51.221)</f>
        <v>51.220999999999997</v>
      </c>
      <c r="I2708" s="2">
        <f ca="1">IFERROR(__xludf.DUMMYFUNCTION("""COMPUTED_VALUE"""),52.75)</f>
        <v>52.75</v>
      </c>
      <c r="J2708" s="2">
        <f ca="1">IFERROR(__xludf.DUMMYFUNCTION("""COMPUTED_VALUE"""),51.606)</f>
        <v>51.606000000000002</v>
      </c>
      <c r="K2708" s="2">
        <f ca="1">IFERROR(__xludf.DUMMYFUNCTION("""COMPUTED_VALUE"""),75.322)</f>
        <v>75.322000000000003</v>
      </c>
      <c r="M2708" s="2">
        <f ca="1">IFERROR(__xludf.DUMMYFUNCTION("""COMPUTED_VALUE"""),17.819)</f>
        <v>17.818999999999999</v>
      </c>
      <c r="U2708" s="3" t="e">
        <f ca="1"/>
        <v>#NAME?</v>
      </c>
    </row>
    <row r="2709" spans="3:21" ht="12.5" x14ac:dyDescent="0.25">
      <c r="C2709" s="4">
        <f ca="1">IFERROR(__xludf.DUMMYFUNCTION("""COMPUTED_VALUE"""),43115.9986111111)</f>
        <v>43115.998611111099</v>
      </c>
      <c r="D2709" s="2">
        <f ca="1">IFERROR(__xludf.DUMMYFUNCTION("""COMPUTED_VALUE"""),63.5212)</f>
        <v>63.5212</v>
      </c>
      <c r="E2709" s="2">
        <f ca="1">IFERROR(__xludf.DUMMYFUNCTION("""COMPUTED_VALUE"""),82.251)</f>
        <v>82.251000000000005</v>
      </c>
      <c r="F2709" s="2">
        <f ca="1">IFERROR(__xludf.DUMMYFUNCTION("""COMPUTED_VALUE"""),85.344)</f>
        <v>85.343999999999994</v>
      </c>
      <c r="G2709" s="2">
        <f ca="1">IFERROR(__xludf.DUMMYFUNCTION("""COMPUTED_VALUE"""),0.6508)</f>
        <v>0.65080000000000005</v>
      </c>
      <c r="H2709" s="2">
        <f ca="1">IFERROR(__xludf.DUMMYFUNCTION("""COMPUTED_VALUE"""),51.181)</f>
        <v>51.180999999999997</v>
      </c>
      <c r="I2709" s="2">
        <f ca="1">IFERROR(__xludf.DUMMYFUNCTION("""COMPUTED_VALUE"""),52.841)</f>
        <v>52.841000000000001</v>
      </c>
      <c r="J2709" s="2">
        <f ca="1">IFERROR(__xludf.DUMMYFUNCTION("""COMPUTED_VALUE"""),51.548)</f>
        <v>51.548000000000002</v>
      </c>
      <c r="K2709" s="2">
        <f ca="1">IFERROR(__xludf.DUMMYFUNCTION("""COMPUTED_VALUE"""),75.322)</f>
        <v>75.322000000000003</v>
      </c>
      <c r="M2709" s="2">
        <f ca="1">IFERROR(__xludf.DUMMYFUNCTION("""COMPUTED_VALUE"""),17.877)</f>
        <v>17.876999999999999</v>
      </c>
      <c r="U2709" s="3" t="e">
        <f ca="1"/>
        <v>#NAME?</v>
      </c>
    </row>
    <row r="2710" spans="3:21" ht="12.5" x14ac:dyDescent="0.25">
      <c r="C2710" s="4">
        <f ca="1">IFERROR(__xludf.DUMMYFUNCTION("""COMPUTED_VALUE"""),43116.9986111111)</f>
        <v>43116.998611111099</v>
      </c>
      <c r="D2710" s="2">
        <f ca="1">IFERROR(__xludf.DUMMYFUNCTION("""COMPUTED_VALUE"""),63.9943)</f>
        <v>63.994300000000003</v>
      </c>
      <c r="E2710" s="2">
        <f ca="1">IFERROR(__xludf.DUMMYFUNCTION("""COMPUTED_VALUE"""),81.775)</f>
        <v>81.775000000000006</v>
      </c>
      <c r="F2710" s="2">
        <f ca="1">IFERROR(__xludf.DUMMYFUNCTION("""COMPUTED_VALUE"""),85.357)</f>
        <v>85.356999999999999</v>
      </c>
      <c r="G2710" s="2">
        <f ca="1">IFERROR(__xludf.DUMMYFUNCTION("""COMPUTED_VALUE"""),0.64933)</f>
        <v>0.64932999999999996</v>
      </c>
      <c r="H2710" s="2">
        <f ca="1">IFERROR(__xludf.DUMMYFUNCTION("""COMPUTED_VALUE"""),51.086)</f>
        <v>51.085999999999999</v>
      </c>
      <c r="I2710" s="2">
        <f ca="1">IFERROR(__xludf.DUMMYFUNCTION("""COMPUTED_VALUE"""),53.208)</f>
        <v>53.207999999999998</v>
      </c>
      <c r="J2710" s="2">
        <f ca="1">IFERROR(__xludf.DUMMYFUNCTION("""COMPUTED_VALUE"""),51.664)</f>
        <v>51.664000000000001</v>
      </c>
      <c r="K2710" s="2">
        <f ca="1">IFERROR(__xludf.DUMMYFUNCTION("""COMPUTED_VALUE"""),75.267)</f>
        <v>75.266999999999996</v>
      </c>
      <c r="M2710" s="2">
        <f ca="1">IFERROR(__xludf.DUMMYFUNCTION("""COMPUTED_VALUE"""),17.888)</f>
        <v>17.888000000000002</v>
      </c>
      <c r="U2710" s="3" t="e">
        <f ca="1"/>
        <v>#NAME?</v>
      </c>
    </row>
    <row r="2711" spans="3:21" ht="12.5" x14ac:dyDescent="0.25">
      <c r="C2711" s="4">
        <f ca="1">IFERROR(__xludf.DUMMYFUNCTION("""COMPUTED_VALUE"""),43117.9986111111)</f>
        <v>43117.998611111099</v>
      </c>
      <c r="D2711" s="2">
        <f ca="1">IFERROR(__xludf.DUMMYFUNCTION("""COMPUTED_VALUE"""),63.825)</f>
        <v>63.825000000000003</v>
      </c>
      <c r="E2711" s="2">
        <f ca="1">IFERROR(__xludf.DUMMYFUNCTION("""COMPUTED_VALUE"""),81.62)</f>
        <v>81.62</v>
      </c>
      <c r="F2711" s="2">
        <f ca="1">IFERROR(__xludf.DUMMYFUNCTION("""COMPUTED_VALUE"""),85.889)</f>
        <v>85.888999999999996</v>
      </c>
      <c r="G2711" s="2">
        <f ca="1">IFERROR(__xludf.DUMMYFUNCTION("""COMPUTED_VALUE"""),0.64716)</f>
        <v>0.64715999999999996</v>
      </c>
      <c r="H2711" s="2">
        <f ca="1">IFERROR(__xludf.DUMMYFUNCTION("""COMPUTED_VALUE"""),52.083)</f>
        <v>52.082999999999998</v>
      </c>
      <c r="I2711" s="2">
        <f ca="1">IFERROR(__xludf.DUMMYFUNCTION("""COMPUTED_VALUE"""),54.059)</f>
        <v>54.058999999999997</v>
      </c>
      <c r="J2711" s="2">
        <f ca="1">IFERROR(__xludf.DUMMYFUNCTION("""COMPUTED_VALUE"""),51.712)</f>
        <v>51.712000000000003</v>
      </c>
      <c r="K2711" s="2">
        <f ca="1">IFERROR(__xludf.DUMMYFUNCTION("""COMPUTED_VALUE"""),75.224)</f>
        <v>75.224000000000004</v>
      </c>
      <c r="M2711" s="2">
        <f ca="1">IFERROR(__xludf.DUMMYFUNCTION("""COMPUTED_VALUE"""),17.997)</f>
        <v>17.997</v>
      </c>
      <c r="U2711" s="3" t="e">
        <f ca="1"/>
        <v>#NAME?</v>
      </c>
    </row>
    <row r="2712" spans="3:21" ht="12.5" x14ac:dyDescent="0.25">
      <c r="C2712" s="4">
        <f ca="1">IFERROR(__xludf.DUMMYFUNCTION("""COMPUTED_VALUE"""),43118.9986111111)</f>
        <v>43118.998611111099</v>
      </c>
      <c r="D2712" s="2">
        <f ca="1">IFERROR(__xludf.DUMMYFUNCTION("""COMPUTED_VALUE"""),63.8676)</f>
        <v>63.867600000000003</v>
      </c>
      <c r="E2712" s="2">
        <f ca="1">IFERROR(__xludf.DUMMYFUNCTION("""COMPUTED_VALUE"""),81.231)</f>
        <v>81.230999999999995</v>
      </c>
      <c r="F2712" s="2">
        <f ca="1">IFERROR(__xludf.DUMMYFUNCTION("""COMPUTED_VALUE"""),85.74)</f>
        <v>85.74</v>
      </c>
      <c r="G2712" s="2">
        <f ca="1">IFERROR(__xludf.DUMMYFUNCTION("""COMPUTED_VALUE"""),0.64758)</f>
        <v>0.64758000000000004</v>
      </c>
      <c r="H2712" s="2">
        <f ca="1">IFERROR(__xludf.DUMMYFUNCTION("""COMPUTED_VALUE"""),52.108)</f>
        <v>52.107999999999997</v>
      </c>
      <c r="I2712" s="2">
        <f ca="1">IFERROR(__xludf.DUMMYFUNCTION("""COMPUTED_VALUE"""),53.98)</f>
        <v>53.98</v>
      </c>
      <c r="J2712" s="2">
        <f ca="1">IFERROR(__xludf.DUMMYFUNCTION("""COMPUTED_VALUE"""),52.717)</f>
        <v>52.716999999999999</v>
      </c>
      <c r="K2712" s="2">
        <f ca="1">IFERROR(__xludf.DUMMYFUNCTION("""COMPUTED_VALUE"""),75.152)</f>
        <v>75.152000000000001</v>
      </c>
      <c r="M2712" s="2">
        <f ca="1">IFERROR(__xludf.DUMMYFUNCTION("""COMPUTED_VALUE"""),18.02)</f>
        <v>18.02</v>
      </c>
      <c r="U2712" s="3" t="e">
        <f ca="1"/>
        <v>#NAME?</v>
      </c>
    </row>
    <row r="2713" spans="3:21" ht="12.5" x14ac:dyDescent="0.25">
      <c r="C2713" s="4">
        <f ca="1">IFERROR(__xludf.DUMMYFUNCTION("""COMPUTED_VALUE"""),43119.9986111111)</f>
        <v>43119.998611111099</v>
      </c>
      <c r="D2713" s="2">
        <f ca="1">IFERROR(__xludf.DUMMYFUNCTION("""COMPUTED_VALUE"""),63.823)</f>
        <v>63.823</v>
      </c>
      <c r="E2713" s="2">
        <f ca="1">IFERROR(__xludf.DUMMYFUNCTION("""COMPUTED_VALUE"""),81.233)</f>
        <v>81.233000000000004</v>
      </c>
      <c r="F2713" s="2">
        <f ca="1">IFERROR(__xludf.DUMMYFUNCTION("""COMPUTED_VALUE"""),85.53)</f>
        <v>85.53</v>
      </c>
      <c r="G2713" s="2">
        <f ca="1">IFERROR(__xludf.DUMMYFUNCTION("""COMPUTED_VALUE"""),0.64731)</f>
        <v>0.64731000000000005</v>
      </c>
      <c r="H2713" s="2">
        <f ca="1">IFERROR(__xludf.DUMMYFUNCTION("""COMPUTED_VALUE"""),51.806)</f>
        <v>51.805999999999997</v>
      </c>
      <c r="I2713" s="2">
        <f ca="1">IFERROR(__xludf.DUMMYFUNCTION("""COMPUTED_VALUE"""),53.761)</f>
        <v>53.761000000000003</v>
      </c>
      <c r="J2713" s="2">
        <f ca="1">IFERROR(__xludf.DUMMYFUNCTION("""COMPUTED_VALUE"""),52.607)</f>
        <v>52.606999999999999</v>
      </c>
      <c r="K2713" s="2">
        <f ca="1">IFERROR(__xludf.DUMMYFUNCTION("""COMPUTED_VALUE"""),74.202)</f>
        <v>74.201999999999998</v>
      </c>
      <c r="M2713" s="2">
        <f ca="1">IFERROR(__xludf.DUMMYFUNCTION("""COMPUTED_VALUE"""),18.021)</f>
        <v>18.021000000000001</v>
      </c>
      <c r="U2713" s="3" t="e">
        <f ca="1"/>
        <v>#NAME?</v>
      </c>
    </row>
    <row r="2714" spans="3:21" ht="12.5" x14ac:dyDescent="0.25">
      <c r="C2714" s="4">
        <f ca="1">IFERROR(__xludf.DUMMYFUNCTION("""COMPUTED_VALUE"""),43120.9986111111)</f>
        <v>43120.998611111099</v>
      </c>
      <c r="D2714" s="2">
        <f ca="1">IFERROR(__xludf.DUMMYFUNCTION("""COMPUTED_VALUE"""),63.823)</f>
        <v>63.823</v>
      </c>
      <c r="E2714" s="2">
        <f ca="1">IFERROR(__xludf.DUMMYFUNCTION("""COMPUTED_VALUE"""),81.194)</f>
        <v>81.194000000000003</v>
      </c>
      <c r="F2714" s="2">
        <f ca="1">IFERROR(__xludf.DUMMYFUNCTION("""COMPUTED_VALUE"""),85.643)</f>
        <v>85.643000000000001</v>
      </c>
      <c r="G2714" s="2">
        <f ca="1">IFERROR(__xludf.DUMMYFUNCTION("""COMPUTED_VALUE"""),0.65012)</f>
        <v>0.65012000000000003</v>
      </c>
      <c r="H2714" s="2">
        <f ca="1">IFERROR(__xludf.DUMMYFUNCTION("""COMPUTED_VALUE"""),51.637)</f>
        <v>51.637</v>
      </c>
      <c r="I2714" s="2">
        <f ca="1">IFERROR(__xludf.DUMMYFUNCTION("""COMPUTED_VALUE"""),53.547)</f>
        <v>53.546999999999997</v>
      </c>
      <c r="J2714" s="2">
        <f ca="1">IFERROR(__xludf.DUMMYFUNCTION("""COMPUTED_VALUE"""),52.312)</f>
        <v>52.311999999999998</v>
      </c>
      <c r="K2714" s="2">
        <f ca="1">IFERROR(__xludf.DUMMYFUNCTION("""COMPUTED_VALUE"""),73.767)</f>
        <v>73.766999999999996</v>
      </c>
      <c r="M2714" s="2">
        <f ca="1">IFERROR(__xludf.DUMMYFUNCTION("""COMPUTED_VALUE"""),18.024)</f>
        <v>18.024000000000001</v>
      </c>
      <c r="U2714" s="3" t="e">
        <f ca="1"/>
        <v>#NAME?</v>
      </c>
    </row>
    <row r="2715" spans="3:21" ht="12.5" x14ac:dyDescent="0.25">
      <c r="C2715" s="4">
        <f ca="1">IFERROR(__xludf.DUMMYFUNCTION("""COMPUTED_VALUE"""),43121.9986111111)</f>
        <v>43121.998611111099</v>
      </c>
      <c r="D2715" s="2">
        <f ca="1">IFERROR(__xludf.DUMMYFUNCTION("""COMPUTED_VALUE"""),63.8321)</f>
        <v>63.832099999999997</v>
      </c>
      <c r="E2715" s="2">
        <f ca="1">IFERROR(__xludf.DUMMYFUNCTION("""COMPUTED_VALUE"""),80.247)</f>
        <v>80.247</v>
      </c>
      <c r="F2715" s="2">
        <f ca="1">IFERROR(__xludf.DUMMYFUNCTION("""COMPUTED_VALUE"""),85.527)</f>
        <v>85.527000000000001</v>
      </c>
      <c r="G2715" s="2">
        <f ca="1">IFERROR(__xludf.DUMMYFUNCTION("""COMPUTED_VALUE"""),0.65218)</f>
        <v>0.65217999999999998</v>
      </c>
      <c r="H2715" s="2">
        <f ca="1">IFERROR(__xludf.DUMMYFUNCTION("""COMPUTED_VALUE"""),51.557)</f>
        <v>51.557000000000002</v>
      </c>
      <c r="I2715" s="2">
        <f ca="1">IFERROR(__xludf.DUMMYFUNCTION("""COMPUTED_VALUE"""),53.672)</f>
        <v>53.671999999999997</v>
      </c>
      <c r="J2715" s="2">
        <f ca="1">IFERROR(__xludf.DUMMYFUNCTION("""COMPUTED_VALUE"""),52.125)</f>
        <v>52.125</v>
      </c>
      <c r="K2715" s="2">
        <f ca="1">IFERROR(__xludf.DUMMYFUNCTION("""COMPUTED_VALUE"""),74.066)</f>
        <v>74.066000000000003</v>
      </c>
      <c r="M2715" s="2">
        <f ca="1">IFERROR(__xludf.DUMMYFUNCTION("""COMPUTED_VALUE"""),18.113)</f>
        <v>18.113</v>
      </c>
      <c r="U2715" s="3" t="e">
        <f ca="1"/>
        <v>#NAME?</v>
      </c>
    </row>
    <row r="2716" spans="3:21" ht="12.5" x14ac:dyDescent="0.25">
      <c r="C2716" s="4">
        <f ca="1">IFERROR(__xludf.DUMMYFUNCTION("""COMPUTED_VALUE"""),43122.9986111111)</f>
        <v>43122.998611111099</v>
      </c>
      <c r="D2716" s="2">
        <f ca="1">IFERROR(__xludf.DUMMYFUNCTION("""COMPUTED_VALUE"""),63.8801)</f>
        <v>63.880099999999999</v>
      </c>
      <c r="E2716" s="2">
        <f ca="1">IFERROR(__xludf.DUMMYFUNCTION("""COMPUTED_VALUE"""),80.437)</f>
        <v>80.436999999999998</v>
      </c>
      <c r="F2716" s="2">
        <f ca="1">IFERROR(__xludf.DUMMYFUNCTION("""COMPUTED_VALUE"""),85.508)</f>
        <v>85.507999999999996</v>
      </c>
      <c r="G2716" s="2">
        <f ca="1">IFERROR(__xludf.DUMMYFUNCTION("""COMPUTED_VALUE"""),0.65286)</f>
        <v>0.65286</v>
      </c>
      <c r="H2716" s="2">
        <f ca="1">IFERROR(__xludf.DUMMYFUNCTION("""COMPUTED_VALUE"""),51.343)</f>
        <v>51.343000000000004</v>
      </c>
      <c r="I2716" s="2">
        <f ca="1">IFERROR(__xludf.DUMMYFUNCTION("""COMPUTED_VALUE"""),53.334)</f>
        <v>53.334000000000003</v>
      </c>
      <c r="J2716" s="2">
        <f ca="1">IFERROR(__xludf.DUMMYFUNCTION("""COMPUTED_VALUE"""),52.186)</f>
        <v>52.186</v>
      </c>
      <c r="K2716" s="2">
        <f ca="1">IFERROR(__xludf.DUMMYFUNCTION("""COMPUTED_VALUE"""),74.045)</f>
        <v>74.045000000000002</v>
      </c>
      <c r="M2716" s="2">
        <f ca="1">IFERROR(__xludf.DUMMYFUNCTION("""COMPUTED_VALUE"""),18.077)</f>
        <v>18.077000000000002</v>
      </c>
      <c r="U2716" s="3" t="e">
        <f ca="1"/>
        <v>#NAME?</v>
      </c>
    </row>
    <row r="2717" spans="3:21" ht="12.5" x14ac:dyDescent="0.25">
      <c r="C2717" s="4">
        <f ca="1">IFERROR(__xludf.DUMMYFUNCTION("""COMPUTED_VALUE"""),43123.9986111111)</f>
        <v>43123.998611111099</v>
      </c>
      <c r="D2717" s="2">
        <f ca="1">IFERROR(__xludf.DUMMYFUNCTION("""COMPUTED_VALUE"""),63.7505)</f>
        <v>63.750500000000002</v>
      </c>
      <c r="E2717" s="2">
        <f ca="1">IFERROR(__xludf.DUMMYFUNCTION("""COMPUTED_VALUE"""),80.092)</f>
        <v>80.091999999999999</v>
      </c>
      <c r="F2717" s="2">
        <f ca="1">IFERROR(__xludf.DUMMYFUNCTION("""COMPUTED_VALUE"""),85.549)</f>
        <v>85.549000000000007</v>
      </c>
      <c r="G2717" s="2">
        <f ca="1">IFERROR(__xludf.DUMMYFUNCTION("""COMPUTED_VALUE"""),0.65126)</f>
        <v>0.65125999999999995</v>
      </c>
      <c r="H2717" s="2">
        <f ca="1">IFERROR(__xludf.DUMMYFUNCTION("""COMPUTED_VALUE"""),50.706)</f>
        <v>50.706000000000003</v>
      </c>
      <c r="I2717" s="2">
        <f ca="1">IFERROR(__xludf.DUMMYFUNCTION("""COMPUTED_VALUE"""),52.42)</f>
        <v>52.42</v>
      </c>
      <c r="J2717" s="2">
        <f ca="1">IFERROR(__xludf.DUMMYFUNCTION("""COMPUTED_VALUE"""),52.122)</f>
        <v>52.122</v>
      </c>
      <c r="K2717" s="2">
        <f ca="1">IFERROR(__xludf.DUMMYFUNCTION("""COMPUTED_VALUE"""),73.877)</f>
        <v>73.876999999999995</v>
      </c>
      <c r="M2717" s="2">
        <f ca="1">IFERROR(__xludf.DUMMYFUNCTION("""COMPUTED_VALUE"""),18.213)</f>
        <v>18.213000000000001</v>
      </c>
      <c r="U2717" s="3" t="e">
        <f ca="1"/>
        <v>#NAME?</v>
      </c>
    </row>
    <row r="2718" spans="3:21" ht="12.5" x14ac:dyDescent="0.25">
      <c r="C2718" s="4">
        <f ca="1">IFERROR(__xludf.DUMMYFUNCTION("""COMPUTED_VALUE"""),43124.9986111111)</f>
        <v>43124.998611111099</v>
      </c>
      <c r="D2718" s="2">
        <f ca="1">IFERROR(__xludf.DUMMYFUNCTION("""COMPUTED_VALUE"""),63.5779)</f>
        <v>63.5779</v>
      </c>
      <c r="E2718" s="2">
        <f ca="1">IFERROR(__xludf.DUMMYFUNCTION("""COMPUTED_VALUE"""),79.683)</f>
        <v>79.683000000000007</v>
      </c>
      <c r="F2718" s="2">
        <f ca="1">IFERROR(__xludf.DUMMYFUNCTION("""COMPUTED_VALUE"""),85.61)</f>
        <v>85.61</v>
      </c>
      <c r="G2718" s="2">
        <f ca="1">IFERROR(__xludf.DUMMYFUNCTION("""COMPUTED_VALUE"""),0.65176)</f>
        <v>0.65176000000000001</v>
      </c>
      <c r="H2718" s="2">
        <f ca="1">IFERROR(__xludf.DUMMYFUNCTION("""COMPUTED_VALUE"""),50.252)</f>
        <v>50.252000000000002</v>
      </c>
      <c r="I2718" s="2">
        <f ca="1">IFERROR(__xludf.DUMMYFUNCTION("""COMPUTED_VALUE"""),52.427)</f>
        <v>52.427</v>
      </c>
      <c r="J2718" s="2">
        <f ca="1">IFERROR(__xludf.DUMMYFUNCTION("""COMPUTED_VALUE"""),51.489)</f>
        <v>51.488999999999997</v>
      </c>
      <c r="K2718" s="2">
        <f ca="1">IFERROR(__xludf.DUMMYFUNCTION("""COMPUTED_VALUE"""),74.205)</f>
        <v>74.204999999999998</v>
      </c>
      <c r="M2718" s="2">
        <f ca="1">IFERROR(__xludf.DUMMYFUNCTION("""COMPUTED_VALUE"""),18.211)</f>
        <v>18.210999999999999</v>
      </c>
      <c r="U2718" s="3" t="e">
        <f ca="1"/>
        <v>#NAME?</v>
      </c>
    </row>
    <row r="2719" spans="3:21" ht="12.5" x14ac:dyDescent="0.25">
      <c r="C2719" s="4">
        <f ca="1">IFERROR(__xludf.DUMMYFUNCTION("""COMPUTED_VALUE"""),43125.9986111111)</f>
        <v>43125.998611111099</v>
      </c>
      <c r="D2719" s="2">
        <f ca="1">IFERROR(__xludf.DUMMYFUNCTION("""COMPUTED_VALUE"""),63.5731)</f>
        <v>63.573099999999997</v>
      </c>
      <c r="E2719" s="2">
        <f ca="1">IFERROR(__xludf.DUMMYFUNCTION("""COMPUTED_VALUE"""),79.836)</f>
        <v>79.835999999999999</v>
      </c>
      <c r="F2719" s="2">
        <f ca="1">IFERROR(__xludf.DUMMYFUNCTION("""COMPUTED_VALUE"""),85.634)</f>
        <v>85.634</v>
      </c>
      <c r="G2719" s="2">
        <f ca="1">IFERROR(__xludf.DUMMYFUNCTION("""COMPUTED_VALUE"""),0.65145)</f>
        <v>0.65144999999999997</v>
      </c>
      <c r="H2719" s="2">
        <f ca="1">IFERROR(__xludf.DUMMYFUNCTION("""COMPUTED_VALUE"""),49.747)</f>
        <v>49.747</v>
      </c>
      <c r="I2719" s="2">
        <f ca="1">IFERROR(__xludf.DUMMYFUNCTION("""COMPUTED_VALUE"""),51.793)</f>
        <v>51.792999999999999</v>
      </c>
      <c r="J2719" s="2">
        <f ca="1">IFERROR(__xludf.DUMMYFUNCTION("""COMPUTED_VALUE"""),51.488)</f>
        <v>51.488</v>
      </c>
      <c r="K2719" s="2">
        <f ca="1">IFERROR(__xludf.DUMMYFUNCTION("""COMPUTED_VALUE"""),74.284)</f>
        <v>74.284000000000006</v>
      </c>
      <c r="M2719" s="2">
        <f ca="1">IFERROR(__xludf.DUMMYFUNCTION("""COMPUTED_VALUE"""),18.133)</f>
        <v>18.132999999999999</v>
      </c>
      <c r="U2719" s="3" t="e">
        <f ca="1"/>
        <v>#NAME?</v>
      </c>
    </row>
    <row r="2720" spans="3:21" ht="12.5" x14ac:dyDescent="0.25">
      <c r="C2720" s="4">
        <f ca="1">IFERROR(__xludf.DUMMYFUNCTION("""COMPUTED_VALUE"""),43126.9986111111)</f>
        <v>43126.998611111099</v>
      </c>
      <c r="D2720" s="2">
        <f ca="1">IFERROR(__xludf.DUMMYFUNCTION("""COMPUTED_VALUE"""),63.57)</f>
        <v>63.57</v>
      </c>
      <c r="E2720" s="2">
        <f ca="1">IFERROR(__xludf.DUMMYFUNCTION("""COMPUTED_VALUE"""),79.918)</f>
        <v>79.918000000000006</v>
      </c>
      <c r="F2720" s="2">
        <f ca="1">IFERROR(__xludf.DUMMYFUNCTION("""COMPUTED_VALUE"""),85.929)</f>
        <v>85.929000000000002</v>
      </c>
      <c r="G2720" s="2">
        <f ca="1">IFERROR(__xludf.DUMMYFUNCTION("""COMPUTED_VALUE"""),0.64984)</f>
        <v>0.64983999999999997</v>
      </c>
      <c r="H2720" s="2">
        <f ca="1">IFERROR(__xludf.DUMMYFUNCTION("""COMPUTED_VALUE"""),49.419)</f>
        <v>49.418999999999997</v>
      </c>
      <c r="I2720" s="2">
        <f ca="1">IFERROR(__xludf.DUMMYFUNCTION("""COMPUTED_VALUE"""),51.558)</f>
        <v>51.558</v>
      </c>
      <c r="J2720" s="2">
        <f ca="1">IFERROR(__xludf.DUMMYFUNCTION("""COMPUTED_VALUE"""),51.033)</f>
        <v>51.033000000000001</v>
      </c>
      <c r="K2720" s="2">
        <f ca="1">IFERROR(__xludf.DUMMYFUNCTION("""COMPUTED_VALUE"""),74.303)</f>
        <v>74.302999999999997</v>
      </c>
      <c r="M2720" s="2">
        <f ca="1">IFERROR(__xludf.DUMMYFUNCTION("""COMPUTED_VALUE"""),18.136)</f>
        <v>18.135999999999999</v>
      </c>
      <c r="U2720" s="3" t="e">
        <f ca="1"/>
        <v>#NAME?</v>
      </c>
    </row>
    <row r="2721" spans="3:21" ht="12.5" x14ac:dyDescent="0.25">
      <c r="C2721" s="4">
        <f ca="1">IFERROR(__xludf.DUMMYFUNCTION("""COMPUTED_VALUE"""),43127.9986111111)</f>
        <v>43127.998611111099</v>
      </c>
      <c r="D2721" s="2">
        <f ca="1">IFERROR(__xludf.DUMMYFUNCTION("""COMPUTED_VALUE"""),63.594)</f>
        <v>63.594000000000001</v>
      </c>
      <c r="E2721" s="2">
        <f ca="1">IFERROR(__xludf.DUMMYFUNCTION("""COMPUTED_VALUE"""),79.895)</f>
        <v>79.894999999999996</v>
      </c>
      <c r="F2721" s="2">
        <f ca="1">IFERROR(__xludf.DUMMYFUNCTION("""COMPUTED_VALUE"""),86.085)</f>
        <v>86.084999999999994</v>
      </c>
      <c r="G2721" s="2">
        <f ca="1">IFERROR(__xludf.DUMMYFUNCTION("""COMPUTED_VALUE"""),0.64988)</f>
        <v>0.64988000000000001</v>
      </c>
      <c r="H2721" s="2">
        <f ca="1">IFERROR(__xludf.DUMMYFUNCTION("""COMPUTED_VALUE"""),49.342)</f>
        <v>49.341999999999999</v>
      </c>
      <c r="I2721" s="2">
        <f ca="1">IFERROR(__xludf.DUMMYFUNCTION("""COMPUTED_VALUE"""),51.464)</f>
        <v>51.463999999999999</v>
      </c>
      <c r="J2721" s="2">
        <f ca="1">IFERROR(__xludf.DUMMYFUNCTION("""COMPUTED_VALUE"""),50.995)</f>
        <v>50.994999999999997</v>
      </c>
      <c r="K2721" s="2">
        <f ca="1">IFERROR(__xludf.DUMMYFUNCTION("""COMPUTED_VALUE"""),74.303)</f>
        <v>74.302999999999997</v>
      </c>
      <c r="M2721" s="2">
        <f ca="1">IFERROR(__xludf.DUMMYFUNCTION("""COMPUTED_VALUE"""),18.093)</f>
        <v>18.093</v>
      </c>
      <c r="U2721" s="3" t="e">
        <f ca="1"/>
        <v>#NAME?</v>
      </c>
    </row>
    <row r="2722" spans="3:21" ht="12.5" x14ac:dyDescent="0.25">
      <c r="C2722" s="4">
        <f ca="1">IFERROR(__xludf.DUMMYFUNCTION("""COMPUTED_VALUE"""),43128.9986111111)</f>
        <v>43128.998611111099</v>
      </c>
      <c r="D2722" s="2">
        <f ca="1">IFERROR(__xludf.DUMMYFUNCTION("""COMPUTED_VALUE"""),63.57)</f>
        <v>63.57</v>
      </c>
      <c r="E2722" s="2">
        <f ca="1">IFERROR(__xludf.DUMMYFUNCTION("""COMPUTED_VALUE"""),80.36)</f>
        <v>80.36</v>
      </c>
      <c r="F2722" s="2">
        <f ca="1">IFERROR(__xludf.DUMMYFUNCTION("""COMPUTED_VALUE"""),86.258)</f>
        <v>86.257999999999996</v>
      </c>
      <c r="G2722" s="2">
        <f ca="1">IFERROR(__xludf.DUMMYFUNCTION("""COMPUTED_VALUE"""),0.64892)</f>
        <v>0.64892000000000005</v>
      </c>
      <c r="H2722" s="2">
        <f ca="1">IFERROR(__xludf.DUMMYFUNCTION("""COMPUTED_VALUE"""),49.442)</f>
        <v>49.442</v>
      </c>
      <c r="I2722" s="2">
        <f ca="1">IFERROR(__xludf.DUMMYFUNCTION("""COMPUTED_VALUE"""),51.57)</f>
        <v>51.57</v>
      </c>
      <c r="J2722" s="2">
        <f ca="1">IFERROR(__xludf.DUMMYFUNCTION("""COMPUTED_VALUE"""),50.961)</f>
        <v>50.960999999999999</v>
      </c>
      <c r="K2722" s="2">
        <f ca="1">IFERROR(__xludf.DUMMYFUNCTION("""COMPUTED_VALUE"""),74.559)</f>
        <v>74.558999999999997</v>
      </c>
      <c r="M2722" s="2">
        <f ca="1">IFERROR(__xludf.DUMMYFUNCTION("""COMPUTED_VALUE"""),18.182)</f>
        <v>18.181999999999999</v>
      </c>
      <c r="U2722" s="3" t="e">
        <f ca="1"/>
        <v>#NAME?</v>
      </c>
    </row>
    <row r="2723" spans="3:21" ht="12.5" x14ac:dyDescent="0.25">
      <c r="C2723" s="4">
        <f ca="1">IFERROR(__xludf.DUMMYFUNCTION("""COMPUTED_VALUE"""),43129.9986111111)</f>
        <v>43129.998611111099</v>
      </c>
      <c r="D2723" s="2">
        <f ca="1">IFERROR(__xludf.DUMMYFUNCTION("""COMPUTED_VALUE"""),63.6694)</f>
        <v>63.669400000000003</v>
      </c>
      <c r="E2723" s="2">
        <f ca="1">IFERROR(__xludf.DUMMYFUNCTION("""COMPUTED_VALUE"""),79.947)</f>
        <v>79.947000000000003</v>
      </c>
      <c r="F2723" s="2">
        <f ca="1">IFERROR(__xludf.DUMMYFUNCTION("""COMPUTED_VALUE"""),86.281)</f>
        <v>86.281000000000006</v>
      </c>
      <c r="G2723" s="2">
        <f ca="1">IFERROR(__xludf.DUMMYFUNCTION("""COMPUTED_VALUE"""),0.6483)</f>
        <v>0.64829999999999999</v>
      </c>
      <c r="H2723" s="2">
        <f ca="1">IFERROR(__xludf.DUMMYFUNCTION("""COMPUTED_VALUE"""),49.509)</f>
        <v>49.509</v>
      </c>
      <c r="I2723" s="2">
        <f ca="1">IFERROR(__xludf.DUMMYFUNCTION("""COMPUTED_VALUE"""),51.593)</f>
        <v>51.593000000000004</v>
      </c>
      <c r="J2723" s="2">
        <f ca="1">IFERROR(__xludf.DUMMYFUNCTION("""COMPUTED_VALUE"""),51.053)</f>
        <v>51.052999999999997</v>
      </c>
      <c r="K2723" s="2">
        <f ca="1">IFERROR(__xludf.DUMMYFUNCTION("""COMPUTED_VALUE"""),74.883)</f>
        <v>74.882999999999996</v>
      </c>
      <c r="M2723" s="2">
        <f ca="1">IFERROR(__xludf.DUMMYFUNCTION("""COMPUTED_VALUE"""),18.262)</f>
        <v>18.262</v>
      </c>
      <c r="U2723" s="3" t="e">
        <f ca="1"/>
        <v>#NAME?</v>
      </c>
    </row>
    <row r="2724" spans="3:21" ht="12.5" x14ac:dyDescent="0.25">
      <c r="C2724" s="4">
        <f ca="1">IFERROR(__xludf.DUMMYFUNCTION("""COMPUTED_VALUE"""),43130.9986111111)</f>
        <v>43130.998611111099</v>
      </c>
      <c r="D2724" s="2">
        <f ca="1">IFERROR(__xludf.DUMMYFUNCTION("""COMPUTED_VALUE"""),63.7699)</f>
        <v>63.7699</v>
      </c>
      <c r="E2724" s="2">
        <f ca="1">IFERROR(__xludf.DUMMYFUNCTION("""COMPUTED_VALUE"""),79.689)</f>
        <v>79.688999999999993</v>
      </c>
      <c r="F2724" s="2">
        <f ca="1">IFERROR(__xludf.DUMMYFUNCTION("""COMPUTED_VALUE"""),86.281)</f>
        <v>86.281000000000006</v>
      </c>
      <c r="G2724" s="2">
        <f ca="1">IFERROR(__xludf.DUMMYFUNCTION("""COMPUTED_VALUE"""),0.64817)</f>
        <v>0.64817000000000002</v>
      </c>
      <c r="H2724" s="2">
        <f ca="1">IFERROR(__xludf.DUMMYFUNCTION("""COMPUTED_VALUE"""),49.455)</f>
        <v>49.454999999999998</v>
      </c>
      <c r="I2724" s="2">
        <f ca="1">IFERROR(__xludf.DUMMYFUNCTION("""COMPUTED_VALUE"""),51.612)</f>
        <v>51.612000000000002</v>
      </c>
      <c r="J2724" s="2">
        <f ca="1">IFERROR(__xludf.DUMMYFUNCTION("""COMPUTED_VALUE"""),51.102)</f>
        <v>51.101999999999997</v>
      </c>
      <c r="K2724" s="2">
        <f ca="1">IFERROR(__xludf.DUMMYFUNCTION("""COMPUTED_VALUE"""),75.086)</f>
        <v>75.085999999999999</v>
      </c>
      <c r="M2724" s="2">
        <f ca="1">IFERROR(__xludf.DUMMYFUNCTION("""COMPUTED_VALUE"""),18.146)</f>
        <v>18.146000000000001</v>
      </c>
      <c r="U2724" s="3" t="e">
        <f ca="1"/>
        <v>#NAME?</v>
      </c>
    </row>
    <row r="2725" spans="3:21" ht="12.5" x14ac:dyDescent="0.25">
      <c r="C2725" s="4">
        <f ca="1">IFERROR(__xludf.DUMMYFUNCTION("""COMPUTED_VALUE"""),43131.9986111111)</f>
        <v>43131.998611111099</v>
      </c>
      <c r="D2725" s="2">
        <f ca="1">IFERROR(__xludf.DUMMYFUNCTION("""COMPUTED_VALUE"""),63.665)</f>
        <v>63.664999999999999</v>
      </c>
      <c r="E2725" s="2">
        <f ca="1">IFERROR(__xludf.DUMMYFUNCTION("""COMPUTED_VALUE"""),80.199)</f>
        <v>80.198999999999998</v>
      </c>
      <c r="F2725" s="2">
        <f ca="1">IFERROR(__xludf.DUMMYFUNCTION("""COMPUTED_VALUE"""),86.298)</f>
        <v>86.298000000000002</v>
      </c>
      <c r="G2725" s="2">
        <f ca="1">IFERROR(__xludf.DUMMYFUNCTION("""COMPUTED_VALUE"""),0.64377)</f>
        <v>0.64376999999999995</v>
      </c>
      <c r="H2725" s="2">
        <f ca="1">IFERROR(__xludf.DUMMYFUNCTION("""COMPUTED_VALUE"""),49.173)</f>
        <v>49.173000000000002</v>
      </c>
      <c r="I2725" s="2">
        <f ca="1">IFERROR(__xludf.DUMMYFUNCTION("""COMPUTED_VALUE"""),51.226)</f>
        <v>51.225999999999999</v>
      </c>
      <c r="J2725" s="2">
        <f ca="1">IFERROR(__xludf.DUMMYFUNCTION("""COMPUTED_VALUE"""),51.286)</f>
        <v>51.286000000000001</v>
      </c>
      <c r="K2725" s="2">
        <f ca="1">IFERROR(__xludf.DUMMYFUNCTION("""COMPUTED_VALUE"""),74.73)</f>
        <v>74.73</v>
      </c>
      <c r="M2725" s="2">
        <f ca="1">IFERROR(__xludf.DUMMYFUNCTION("""COMPUTED_VALUE"""),18.193)</f>
        <v>18.193000000000001</v>
      </c>
      <c r="U2725" s="3" t="e">
        <f ca="1"/>
        <v>#NAME?</v>
      </c>
    </row>
    <row r="2726" spans="3:21" ht="12.5" x14ac:dyDescent="0.25">
      <c r="C2726" s="4">
        <f ca="1">IFERROR(__xludf.DUMMYFUNCTION("""COMPUTED_VALUE"""),43132.9986111111)</f>
        <v>43132.998611111099</v>
      </c>
      <c r="D2726" s="2">
        <f ca="1">IFERROR(__xludf.DUMMYFUNCTION("""COMPUTED_VALUE"""),63.975)</f>
        <v>63.975000000000001</v>
      </c>
      <c r="E2726" s="2">
        <f ca="1">IFERROR(__xludf.DUMMYFUNCTION("""COMPUTED_VALUE"""),79.143)</f>
        <v>79.143000000000001</v>
      </c>
      <c r="F2726" s="2">
        <f ca="1">IFERROR(__xludf.DUMMYFUNCTION("""COMPUTED_VALUE"""),86.29)</f>
        <v>86.29</v>
      </c>
      <c r="G2726" s="2">
        <f ca="1">IFERROR(__xludf.DUMMYFUNCTION("""COMPUTED_VALUE"""),0.63782)</f>
        <v>0.63782000000000005</v>
      </c>
      <c r="H2726" s="2">
        <f ca="1">IFERROR(__xludf.DUMMYFUNCTION("""COMPUTED_VALUE"""),48.994)</f>
        <v>48.994</v>
      </c>
      <c r="I2726" s="2">
        <f ca="1">IFERROR(__xludf.DUMMYFUNCTION("""COMPUTED_VALUE"""),50.968)</f>
        <v>50.968000000000004</v>
      </c>
      <c r="J2726" s="2">
        <f ca="1">IFERROR(__xludf.DUMMYFUNCTION("""COMPUTED_VALUE"""),51.137)</f>
        <v>51.137</v>
      </c>
      <c r="K2726" s="2">
        <f ca="1">IFERROR(__xludf.DUMMYFUNCTION("""COMPUTED_VALUE"""),74.157)</f>
        <v>74.156999999999996</v>
      </c>
      <c r="M2726" s="2">
        <f ca="1">IFERROR(__xludf.DUMMYFUNCTION("""COMPUTED_VALUE"""),18.186)</f>
        <v>18.186</v>
      </c>
      <c r="U2726" s="3" t="e">
        <f ca="1"/>
        <v>#NAME?</v>
      </c>
    </row>
    <row r="2727" spans="3:21" ht="12.5" x14ac:dyDescent="0.25">
      <c r="C2727" s="4">
        <f ca="1">IFERROR(__xludf.DUMMYFUNCTION("""COMPUTED_VALUE"""),43133.9986111111)</f>
        <v>43133.998611111099</v>
      </c>
      <c r="D2727" s="2">
        <f ca="1">IFERROR(__xludf.DUMMYFUNCTION("""COMPUTED_VALUE"""),64.1325)</f>
        <v>64.132499999999993</v>
      </c>
      <c r="E2727" s="2">
        <f ca="1">IFERROR(__xludf.DUMMYFUNCTION("""COMPUTED_VALUE"""),79.793)</f>
        <v>79.793000000000006</v>
      </c>
      <c r="F2727" s="2">
        <f ca="1">IFERROR(__xludf.DUMMYFUNCTION("""COMPUTED_VALUE"""),85.678)</f>
        <v>85.677999999999997</v>
      </c>
      <c r="G2727" s="2">
        <f ca="1">IFERROR(__xludf.DUMMYFUNCTION("""COMPUTED_VALUE"""),0.63819)</f>
        <v>0.63819000000000004</v>
      </c>
      <c r="H2727" s="2">
        <f ca="1">IFERROR(__xludf.DUMMYFUNCTION("""COMPUTED_VALUE"""),48.795)</f>
        <v>48.795000000000002</v>
      </c>
      <c r="I2727" s="2">
        <f ca="1">IFERROR(__xludf.DUMMYFUNCTION("""COMPUTED_VALUE"""),51.618)</f>
        <v>51.618000000000002</v>
      </c>
      <c r="J2727" s="2">
        <f ca="1">IFERROR(__xludf.DUMMYFUNCTION("""COMPUTED_VALUE"""),50.992)</f>
        <v>50.991999999999997</v>
      </c>
      <c r="K2727" s="2">
        <f ca="1">IFERROR(__xludf.DUMMYFUNCTION("""COMPUTED_VALUE"""),74.669)</f>
        <v>74.668999999999997</v>
      </c>
      <c r="M2727" s="2">
        <f ca="1">IFERROR(__xludf.DUMMYFUNCTION("""COMPUTED_VALUE"""),18.191)</f>
        <v>18.190999999999999</v>
      </c>
      <c r="U2727" s="3" t="e">
        <f ca="1"/>
        <v>#NAME?</v>
      </c>
    </row>
    <row r="2728" spans="3:21" ht="12.5" x14ac:dyDescent="0.25">
      <c r="C2728" s="4">
        <f ca="1">IFERROR(__xludf.DUMMYFUNCTION("""COMPUTED_VALUE"""),43134.9986111111)</f>
        <v>43134.998611111099</v>
      </c>
      <c r="D2728" s="2">
        <f ca="1">IFERROR(__xludf.DUMMYFUNCTION("""COMPUTED_VALUE"""),64.1325)</f>
        <v>64.132499999999993</v>
      </c>
      <c r="E2728" s="2">
        <f ca="1">IFERROR(__xludf.DUMMYFUNCTION("""COMPUTED_VALUE"""),79.197)</f>
        <v>79.197000000000003</v>
      </c>
      <c r="F2728" s="2">
        <f ca="1">IFERROR(__xludf.DUMMYFUNCTION("""COMPUTED_VALUE"""),85.878)</f>
        <v>85.878</v>
      </c>
      <c r="G2728" s="2">
        <f ca="1">IFERROR(__xludf.DUMMYFUNCTION("""COMPUTED_VALUE"""),0.64202)</f>
        <v>0.64202000000000004</v>
      </c>
      <c r="H2728" s="2">
        <f ca="1">IFERROR(__xludf.DUMMYFUNCTION("""COMPUTED_VALUE"""),48.375)</f>
        <v>48.375</v>
      </c>
      <c r="I2728" s="2">
        <f ca="1">IFERROR(__xludf.DUMMYFUNCTION("""COMPUTED_VALUE"""),51.3)</f>
        <v>51.3</v>
      </c>
      <c r="J2728" s="2">
        <f ca="1">IFERROR(__xludf.DUMMYFUNCTION("""COMPUTED_VALUE"""),50.936)</f>
        <v>50.936</v>
      </c>
      <c r="K2728" s="2">
        <f ca="1">IFERROR(__xludf.DUMMYFUNCTION("""COMPUTED_VALUE"""),74.105)</f>
        <v>74.105000000000004</v>
      </c>
      <c r="M2728" s="2">
        <f ca="1">IFERROR(__xludf.DUMMYFUNCTION("""COMPUTED_VALUE"""),18.273)</f>
        <v>18.273</v>
      </c>
      <c r="U2728" s="3" t="e">
        <f ca="1"/>
        <v>#NAME?</v>
      </c>
    </row>
    <row r="2729" spans="3:21" ht="12.5" x14ac:dyDescent="0.25">
      <c r="C2729" s="4">
        <f ca="1">IFERROR(__xludf.DUMMYFUNCTION("""COMPUTED_VALUE"""),43135.9986111111)</f>
        <v>43135.998611111099</v>
      </c>
      <c r="D2729" s="2">
        <f ca="1">IFERROR(__xludf.DUMMYFUNCTION("""COMPUTED_VALUE"""),64.1325)</f>
        <v>64.132499999999993</v>
      </c>
      <c r="E2729" s="2">
        <f ca="1">IFERROR(__xludf.DUMMYFUNCTION("""COMPUTED_VALUE"""),80.051)</f>
        <v>80.051000000000002</v>
      </c>
      <c r="F2729" s="2">
        <f ca="1">IFERROR(__xludf.DUMMYFUNCTION("""COMPUTED_VALUE"""),85.93)</f>
        <v>85.93</v>
      </c>
      <c r="G2729" s="2">
        <f ca="1">IFERROR(__xludf.DUMMYFUNCTION("""COMPUTED_VALUE"""),0.64498)</f>
        <v>0.64498</v>
      </c>
      <c r="H2729" s="2">
        <f ca="1">IFERROR(__xludf.DUMMYFUNCTION("""COMPUTED_VALUE"""),49.076)</f>
        <v>49.076000000000001</v>
      </c>
      <c r="I2729" s="2">
        <f ca="1">IFERROR(__xludf.DUMMYFUNCTION("""COMPUTED_VALUE"""),51.967)</f>
        <v>51.966999999999999</v>
      </c>
      <c r="J2729" s="2">
        <f ca="1">IFERROR(__xludf.DUMMYFUNCTION("""COMPUTED_VALUE"""),51.134)</f>
        <v>51.134</v>
      </c>
      <c r="K2729" s="2">
        <f ca="1">IFERROR(__xludf.DUMMYFUNCTION("""COMPUTED_VALUE"""),73.884)</f>
        <v>73.884</v>
      </c>
      <c r="M2729" s="2">
        <f ca="1">IFERROR(__xludf.DUMMYFUNCTION("""COMPUTED_VALUE"""),18.282)</f>
        <v>18.282</v>
      </c>
      <c r="U2729" s="3" t="e">
        <f ca="1"/>
        <v>#NAME?</v>
      </c>
    </row>
    <row r="2730" spans="3:21" ht="12.5" x14ac:dyDescent="0.25">
      <c r="C2730" s="4">
        <f ca="1">IFERROR(__xludf.DUMMYFUNCTION("""COMPUTED_VALUE"""),43136.9986111111)</f>
        <v>43136.998611111099</v>
      </c>
      <c r="D2730" s="2">
        <f ca="1">IFERROR(__xludf.DUMMYFUNCTION("""COMPUTED_VALUE"""),64.3147)</f>
        <v>64.314700000000002</v>
      </c>
      <c r="E2730" s="2">
        <f ca="1">IFERROR(__xludf.DUMMYFUNCTION("""COMPUTED_VALUE"""),80.269)</f>
        <v>80.269000000000005</v>
      </c>
      <c r="F2730" s="2">
        <f ca="1">IFERROR(__xludf.DUMMYFUNCTION("""COMPUTED_VALUE"""),85.837)</f>
        <v>85.837000000000003</v>
      </c>
      <c r="G2730" s="2">
        <f ca="1">IFERROR(__xludf.DUMMYFUNCTION("""COMPUTED_VALUE"""),0.64472)</f>
        <v>0.64471999999999996</v>
      </c>
      <c r="H2730" s="2">
        <f ca="1">IFERROR(__xludf.DUMMYFUNCTION("""COMPUTED_VALUE"""),49.457)</f>
        <v>49.457000000000001</v>
      </c>
      <c r="I2730" s="2">
        <f ca="1">IFERROR(__xludf.DUMMYFUNCTION("""COMPUTED_VALUE"""),51.949)</f>
        <v>51.948999999999998</v>
      </c>
      <c r="J2730" s="2">
        <f ca="1">IFERROR(__xludf.DUMMYFUNCTION("""COMPUTED_VALUE"""),51.338)</f>
        <v>51.338000000000001</v>
      </c>
      <c r="K2730" s="2">
        <f ca="1">IFERROR(__xludf.DUMMYFUNCTION("""COMPUTED_VALUE"""),73.78)</f>
        <v>73.78</v>
      </c>
      <c r="M2730" s="2">
        <f ca="1">IFERROR(__xludf.DUMMYFUNCTION("""COMPUTED_VALUE"""),18.33)</f>
        <v>18.329999999999998</v>
      </c>
      <c r="U2730" s="3" t="e">
        <f ca="1"/>
        <v>#NAME?</v>
      </c>
    </row>
    <row r="2731" spans="3:21" ht="12.5" x14ac:dyDescent="0.25">
      <c r="C2731" s="4">
        <f ca="1">IFERROR(__xludf.DUMMYFUNCTION("""COMPUTED_VALUE"""),43137.9986111111)</f>
        <v>43137.998611111099</v>
      </c>
      <c r="D2731" s="2">
        <f ca="1">IFERROR(__xludf.DUMMYFUNCTION("""COMPUTED_VALUE"""),63.98)</f>
        <v>63.98</v>
      </c>
      <c r="E2731" s="2">
        <f ca="1">IFERROR(__xludf.DUMMYFUNCTION("""COMPUTED_VALUE"""),81.456)</f>
        <v>81.456000000000003</v>
      </c>
      <c r="F2731" s="2">
        <f ca="1">IFERROR(__xludf.DUMMYFUNCTION("""COMPUTED_VALUE"""),85.888)</f>
        <v>85.888000000000005</v>
      </c>
      <c r="G2731" s="2">
        <f ca="1">IFERROR(__xludf.DUMMYFUNCTION("""COMPUTED_VALUE"""),0.64439)</f>
        <v>0.64439000000000002</v>
      </c>
      <c r="H2731" s="2">
        <f ca="1">IFERROR(__xludf.DUMMYFUNCTION("""COMPUTED_VALUE"""),49.461)</f>
        <v>49.460999999999999</v>
      </c>
      <c r="I2731" s="2">
        <f ca="1">IFERROR(__xludf.DUMMYFUNCTION("""COMPUTED_VALUE"""),51.949)</f>
        <v>51.948999999999998</v>
      </c>
      <c r="J2731" s="2">
        <f ca="1">IFERROR(__xludf.DUMMYFUNCTION("""COMPUTED_VALUE"""),51.126)</f>
        <v>51.125999999999998</v>
      </c>
      <c r="K2731" s="2">
        <f ca="1">IFERROR(__xludf.DUMMYFUNCTION("""COMPUTED_VALUE"""),73.609)</f>
        <v>73.608999999999995</v>
      </c>
      <c r="M2731" s="2">
        <f ca="1">IFERROR(__xludf.DUMMYFUNCTION("""COMPUTED_VALUE"""),18.264)</f>
        <v>18.263999999999999</v>
      </c>
      <c r="U2731" s="3" t="e">
        <f ca="1"/>
        <v>#NAME?</v>
      </c>
    </row>
    <row r="2732" spans="3:21" ht="12.5" x14ac:dyDescent="0.25">
      <c r="C2732" s="4">
        <f ca="1">IFERROR(__xludf.DUMMYFUNCTION("""COMPUTED_VALUE"""),43138.9986111111)</f>
        <v>43138.998611111099</v>
      </c>
      <c r="D2732" s="2">
        <f ca="1">IFERROR(__xludf.DUMMYFUNCTION("""COMPUTED_VALUE"""),64.2)</f>
        <v>64.2</v>
      </c>
      <c r="E2732" s="2">
        <f ca="1">IFERROR(__xludf.DUMMYFUNCTION("""COMPUTED_VALUE"""),80.977)</f>
        <v>80.977000000000004</v>
      </c>
      <c r="F2732" s="2">
        <f ca="1">IFERROR(__xludf.DUMMYFUNCTION("""COMPUTED_VALUE"""),86.107)</f>
        <v>86.106999999999999</v>
      </c>
      <c r="G2732" s="2">
        <f ca="1">IFERROR(__xludf.DUMMYFUNCTION("""COMPUTED_VALUE"""),0.64095)</f>
        <v>0.64095000000000002</v>
      </c>
      <c r="H2732" s="2">
        <f ca="1">IFERROR(__xludf.DUMMYFUNCTION("""COMPUTED_VALUE"""),49.461)</f>
        <v>49.460999999999999</v>
      </c>
      <c r="I2732" s="2">
        <f ca="1">IFERROR(__xludf.DUMMYFUNCTION("""COMPUTED_VALUE"""),51.949)</f>
        <v>51.948999999999998</v>
      </c>
      <c r="J2732" s="2">
        <f ca="1">IFERROR(__xludf.DUMMYFUNCTION("""COMPUTED_VALUE"""),51.438)</f>
        <v>51.438000000000002</v>
      </c>
      <c r="K2732" s="2">
        <f ca="1">IFERROR(__xludf.DUMMYFUNCTION("""COMPUTED_VALUE"""),73.771)</f>
        <v>73.771000000000001</v>
      </c>
      <c r="M2732" s="2">
        <f ca="1">IFERROR(__xludf.DUMMYFUNCTION("""COMPUTED_VALUE"""),18.345)</f>
        <v>18.344999999999999</v>
      </c>
      <c r="U2732" s="3" t="e">
        <f ca="1"/>
        <v>#NAME?</v>
      </c>
    </row>
    <row r="2733" spans="3:21" ht="12.5" x14ac:dyDescent="0.25">
      <c r="C2733" s="4">
        <f ca="1">IFERROR(__xludf.DUMMYFUNCTION("""COMPUTED_VALUE"""),43139.9986111111)</f>
        <v>43139.998611111099</v>
      </c>
      <c r="D2733" s="2">
        <f ca="1">IFERROR(__xludf.DUMMYFUNCTION("""COMPUTED_VALUE"""),64.4405)</f>
        <v>64.4405</v>
      </c>
      <c r="E2733" s="2">
        <f ca="1">IFERROR(__xludf.DUMMYFUNCTION("""COMPUTED_VALUE"""),80.667)</f>
        <v>80.667000000000002</v>
      </c>
      <c r="F2733" s="2">
        <f ca="1">IFERROR(__xludf.DUMMYFUNCTION("""COMPUTED_VALUE"""),86.111)</f>
        <v>86.111000000000004</v>
      </c>
      <c r="G2733" s="2">
        <f ca="1">IFERROR(__xludf.DUMMYFUNCTION("""COMPUTED_VALUE"""),0.64233)</f>
        <v>0.64232999999999996</v>
      </c>
      <c r="H2733" s="2">
        <f ca="1">IFERROR(__xludf.DUMMYFUNCTION("""COMPUTED_VALUE"""),49.821)</f>
        <v>49.820999999999998</v>
      </c>
      <c r="I2733" s="2">
        <f ca="1">IFERROR(__xludf.DUMMYFUNCTION("""COMPUTED_VALUE"""),52.446)</f>
        <v>52.445999999999998</v>
      </c>
      <c r="J2733" s="2">
        <f ca="1">IFERROR(__xludf.DUMMYFUNCTION("""COMPUTED_VALUE"""),51.633)</f>
        <v>51.633000000000003</v>
      </c>
      <c r="K2733" s="2">
        <f ca="1">IFERROR(__xludf.DUMMYFUNCTION("""COMPUTED_VALUE"""),73.854)</f>
        <v>73.853999999999999</v>
      </c>
      <c r="M2733" s="2">
        <f ca="1">IFERROR(__xludf.DUMMYFUNCTION("""COMPUTED_VALUE"""),18.338)</f>
        <v>18.338000000000001</v>
      </c>
      <c r="U2733" s="3" t="e">
        <f ca="1"/>
        <v>#NAME?</v>
      </c>
    </row>
    <row r="2734" spans="3:21" ht="12.5" x14ac:dyDescent="0.25">
      <c r="C2734" s="4">
        <f ca="1">IFERROR(__xludf.DUMMYFUNCTION("""COMPUTED_VALUE"""),43140.9986111111)</f>
        <v>43140.998611111099</v>
      </c>
      <c r="D2734" s="2">
        <f ca="1">IFERROR(__xludf.DUMMYFUNCTION("""COMPUTED_VALUE"""),64.2113)</f>
        <v>64.211299999999994</v>
      </c>
      <c r="E2734" s="2">
        <f ca="1">IFERROR(__xludf.DUMMYFUNCTION("""COMPUTED_VALUE"""),81.103)</f>
        <v>81.102999999999994</v>
      </c>
      <c r="F2734" s="2">
        <f ca="1">IFERROR(__xludf.DUMMYFUNCTION("""COMPUTED_VALUE"""),86.162)</f>
        <v>86.162000000000006</v>
      </c>
      <c r="G2734" s="2">
        <f ca="1">IFERROR(__xludf.DUMMYFUNCTION("""COMPUTED_VALUE"""),0.64178)</f>
        <v>0.64178000000000002</v>
      </c>
      <c r="H2734" s="2">
        <f ca="1">IFERROR(__xludf.DUMMYFUNCTION("""COMPUTED_VALUE"""),50.181)</f>
        <v>50.180999999999997</v>
      </c>
      <c r="I2734" s="2">
        <f ca="1">IFERROR(__xludf.DUMMYFUNCTION("""COMPUTED_VALUE"""),52.882)</f>
        <v>52.881999999999998</v>
      </c>
      <c r="J2734" s="2">
        <f ca="1">IFERROR(__xludf.DUMMYFUNCTION("""COMPUTED_VALUE"""),52.107)</f>
        <v>52.106999999999999</v>
      </c>
      <c r="K2734" s="2">
        <f ca="1">IFERROR(__xludf.DUMMYFUNCTION("""COMPUTED_VALUE"""),73.38)</f>
        <v>73.38</v>
      </c>
      <c r="M2734" s="2">
        <f ca="1">IFERROR(__xludf.DUMMYFUNCTION("""COMPUTED_VALUE"""),18.424)</f>
        <v>18.423999999999999</v>
      </c>
      <c r="U2734" s="3" t="e">
        <f ca="1"/>
        <v>#NAME?</v>
      </c>
    </row>
    <row r="2735" spans="3:21" ht="12.5" x14ac:dyDescent="0.25">
      <c r="C2735" s="4">
        <f ca="1">IFERROR(__xludf.DUMMYFUNCTION("""COMPUTED_VALUE"""),43141.9986111111)</f>
        <v>43141.998611111099</v>
      </c>
      <c r="D2735" s="2">
        <f ca="1">IFERROR(__xludf.DUMMYFUNCTION("""COMPUTED_VALUE"""),64.2113)</f>
        <v>64.211299999999994</v>
      </c>
      <c r="E2735" s="2">
        <f ca="1">IFERROR(__xludf.DUMMYFUNCTION("""COMPUTED_VALUE"""),81.096)</f>
        <v>81.096000000000004</v>
      </c>
      <c r="F2735" s="2">
        <f ca="1">IFERROR(__xludf.DUMMYFUNCTION("""COMPUTED_VALUE"""),86.22)</f>
        <v>86.22</v>
      </c>
      <c r="G2735" s="2">
        <f ca="1">IFERROR(__xludf.DUMMYFUNCTION("""COMPUTED_VALUE"""),0.64186)</f>
        <v>0.64185999999999999</v>
      </c>
      <c r="H2735" s="2">
        <f ca="1">IFERROR(__xludf.DUMMYFUNCTION("""COMPUTED_VALUE"""),50.589)</f>
        <v>50.588999999999999</v>
      </c>
      <c r="I2735" s="2">
        <f ca="1">IFERROR(__xludf.DUMMYFUNCTION("""COMPUTED_VALUE"""),53.362)</f>
        <v>53.362000000000002</v>
      </c>
      <c r="J2735" s="2">
        <f ca="1">IFERROR(__xludf.DUMMYFUNCTION("""COMPUTED_VALUE"""),52.048)</f>
        <v>52.048000000000002</v>
      </c>
      <c r="K2735" s="2">
        <f ca="1">IFERROR(__xludf.DUMMYFUNCTION("""COMPUTED_VALUE"""),73.172)</f>
        <v>73.171999999999997</v>
      </c>
      <c r="M2735" s="2">
        <f ca="1">IFERROR(__xludf.DUMMYFUNCTION("""COMPUTED_VALUE"""),18.639)</f>
        <v>18.638999999999999</v>
      </c>
      <c r="U2735" s="3" t="e">
        <f ca="1"/>
        <v>#NAME?</v>
      </c>
    </row>
    <row r="2736" spans="3:21" ht="12.5" x14ac:dyDescent="0.25">
      <c r="C2736" s="4">
        <f ca="1">IFERROR(__xludf.DUMMYFUNCTION("""COMPUTED_VALUE"""),43142.9986111111)</f>
        <v>43142.998611111099</v>
      </c>
      <c r="D2736" s="2">
        <f ca="1">IFERROR(__xludf.DUMMYFUNCTION("""COMPUTED_VALUE"""),64.2113)</f>
        <v>64.211299999999994</v>
      </c>
      <c r="E2736" s="2">
        <f ca="1">IFERROR(__xludf.DUMMYFUNCTION("""COMPUTED_VALUE"""),80.823)</f>
        <v>80.822999999999993</v>
      </c>
      <c r="F2736" s="2">
        <f ca="1">IFERROR(__xludf.DUMMYFUNCTION("""COMPUTED_VALUE"""),87.324)</f>
        <v>87.323999999999998</v>
      </c>
      <c r="G2736" s="2">
        <f ca="1">IFERROR(__xludf.DUMMYFUNCTION("""COMPUTED_VALUE"""),0.64186)</f>
        <v>0.64185999999999999</v>
      </c>
      <c r="H2736" s="2">
        <f ca="1">IFERROR(__xludf.DUMMYFUNCTION("""COMPUTED_VALUE"""),50.57)</f>
        <v>50.57</v>
      </c>
      <c r="I2736" s="2">
        <f ca="1">IFERROR(__xludf.DUMMYFUNCTION("""COMPUTED_VALUE"""),53.149)</f>
        <v>53.149000000000001</v>
      </c>
      <c r="J2736" s="2">
        <f ca="1">IFERROR(__xludf.DUMMYFUNCTION("""COMPUTED_VALUE"""),51.973)</f>
        <v>51.972999999999999</v>
      </c>
      <c r="K2736" s="2">
        <f ca="1">IFERROR(__xludf.DUMMYFUNCTION("""COMPUTED_VALUE"""),73.586)</f>
        <v>73.585999999999999</v>
      </c>
      <c r="M2736" s="2">
        <f ca="1">IFERROR(__xludf.DUMMYFUNCTION("""COMPUTED_VALUE"""),18.446)</f>
        <v>18.446000000000002</v>
      </c>
      <c r="U2736" s="3" t="e">
        <f ca="1"/>
        <v>#NAME?</v>
      </c>
    </row>
    <row r="2737" spans="3:21" ht="12.5" x14ac:dyDescent="0.25">
      <c r="C2737" s="4">
        <f ca="1">IFERROR(__xludf.DUMMYFUNCTION("""COMPUTED_VALUE"""),43143.9986111111)</f>
        <v>43143.998611111099</v>
      </c>
      <c r="D2737" s="2">
        <f ca="1">IFERROR(__xludf.DUMMYFUNCTION("""COMPUTED_VALUE"""),64.2835)</f>
        <v>64.283500000000004</v>
      </c>
      <c r="E2737" s="2">
        <f ca="1">IFERROR(__xludf.DUMMYFUNCTION("""COMPUTED_VALUE"""),80.852)</f>
        <v>80.852000000000004</v>
      </c>
      <c r="F2737" s="2">
        <f ca="1">IFERROR(__xludf.DUMMYFUNCTION("""COMPUTED_VALUE"""),87.326)</f>
        <v>87.325999999999993</v>
      </c>
      <c r="G2737" s="2">
        <f ca="1">IFERROR(__xludf.DUMMYFUNCTION("""COMPUTED_VALUE"""),0.63723)</f>
        <v>0.63722999999999996</v>
      </c>
      <c r="H2737" s="2">
        <f ca="1">IFERROR(__xludf.DUMMYFUNCTION("""COMPUTED_VALUE"""),50.753)</f>
        <v>50.753</v>
      </c>
      <c r="I2737" s="2">
        <f ca="1">IFERROR(__xludf.DUMMYFUNCTION("""COMPUTED_VALUE"""),53.015)</f>
        <v>53.015000000000001</v>
      </c>
      <c r="J2737" s="2">
        <f ca="1">IFERROR(__xludf.DUMMYFUNCTION("""COMPUTED_VALUE"""),52.234)</f>
        <v>52.234000000000002</v>
      </c>
      <c r="K2737" s="2">
        <f ca="1">IFERROR(__xludf.DUMMYFUNCTION("""COMPUTED_VALUE"""),73.602)</f>
        <v>73.602000000000004</v>
      </c>
      <c r="M2737" s="2">
        <f ca="1">IFERROR(__xludf.DUMMYFUNCTION("""COMPUTED_VALUE"""),18.444)</f>
        <v>18.443999999999999</v>
      </c>
      <c r="U2737" s="3" t="e">
        <f ca="1"/>
        <v>#NAME?</v>
      </c>
    </row>
    <row r="2738" spans="3:21" ht="12.5" x14ac:dyDescent="0.25">
      <c r="C2738" s="4">
        <f ca="1">IFERROR(__xludf.DUMMYFUNCTION("""COMPUTED_VALUE"""),43144.9986111111)</f>
        <v>43144.998611111099</v>
      </c>
      <c r="D2738" s="2">
        <f ca="1">IFERROR(__xludf.DUMMYFUNCTION("""COMPUTED_VALUE"""),64.2501)</f>
        <v>64.250100000000003</v>
      </c>
      <c r="E2738" s="2">
        <f ca="1">IFERROR(__xludf.DUMMYFUNCTION("""COMPUTED_VALUE"""),80.889)</f>
        <v>80.888999999999996</v>
      </c>
      <c r="F2738" s="2">
        <f ca="1">IFERROR(__xludf.DUMMYFUNCTION("""COMPUTED_VALUE"""),87.326)</f>
        <v>87.325999999999993</v>
      </c>
      <c r="G2738" s="2">
        <f ca="1">IFERROR(__xludf.DUMMYFUNCTION("""COMPUTED_VALUE"""),0.6417)</f>
        <v>0.64170000000000005</v>
      </c>
      <c r="H2738" s="2">
        <f ca="1">IFERROR(__xludf.DUMMYFUNCTION("""COMPUTED_VALUE"""),50.758)</f>
        <v>50.758000000000003</v>
      </c>
      <c r="I2738" s="2">
        <f ca="1">IFERROR(__xludf.DUMMYFUNCTION("""COMPUTED_VALUE"""),53.018)</f>
        <v>53.018000000000001</v>
      </c>
      <c r="J2738" s="2">
        <f ca="1">IFERROR(__xludf.DUMMYFUNCTION("""COMPUTED_VALUE"""),52.426)</f>
        <v>52.426000000000002</v>
      </c>
      <c r="K2738" s="2">
        <f ca="1">IFERROR(__xludf.DUMMYFUNCTION("""COMPUTED_VALUE"""),73.191)</f>
        <v>73.191000000000003</v>
      </c>
      <c r="M2738" s="2">
        <f ca="1">IFERROR(__xludf.DUMMYFUNCTION("""COMPUTED_VALUE"""),18.507)</f>
        <v>18.507000000000001</v>
      </c>
      <c r="U2738" s="3" t="e">
        <f ca="1"/>
        <v>#NAME?</v>
      </c>
    </row>
    <row r="2739" spans="3:21" ht="12.5" x14ac:dyDescent="0.25">
      <c r="C2739" s="4">
        <f ca="1">IFERROR(__xludf.DUMMYFUNCTION("""COMPUTED_VALUE"""),43145.9986111111)</f>
        <v>43145.998611111099</v>
      </c>
      <c r="D2739" s="2">
        <f ca="1">IFERROR(__xludf.DUMMYFUNCTION("""COMPUTED_VALUE"""),64.0252)</f>
        <v>64.025199999999998</v>
      </c>
      <c r="E2739" s="2">
        <f ca="1">IFERROR(__xludf.DUMMYFUNCTION("""COMPUTED_VALUE"""),80.857)</f>
        <v>80.856999999999999</v>
      </c>
      <c r="F2739" s="2">
        <f ca="1">IFERROR(__xludf.DUMMYFUNCTION("""COMPUTED_VALUE"""),87.652)</f>
        <v>87.652000000000001</v>
      </c>
      <c r="G2739" s="2">
        <f ca="1">IFERROR(__xludf.DUMMYFUNCTION("""COMPUTED_VALUE"""),0.64146)</f>
        <v>0.64146000000000003</v>
      </c>
      <c r="H2739" s="2">
        <f ca="1">IFERROR(__xludf.DUMMYFUNCTION("""COMPUTED_VALUE"""),50.758)</f>
        <v>50.758000000000003</v>
      </c>
      <c r="I2739" s="2">
        <f ca="1">IFERROR(__xludf.DUMMYFUNCTION("""COMPUTED_VALUE"""),53.018)</f>
        <v>53.018000000000001</v>
      </c>
      <c r="J2739" s="2">
        <f ca="1">IFERROR(__xludf.DUMMYFUNCTION("""COMPUTED_VALUE"""),52.352)</f>
        <v>52.351999999999997</v>
      </c>
      <c r="K2739" s="2">
        <f ca="1">IFERROR(__xludf.DUMMYFUNCTION("""COMPUTED_VALUE"""),73.227)</f>
        <v>73.227000000000004</v>
      </c>
      <c r="M2739" s="2">
        <f ca="1">IFERROR(__xludf.DUMMYFUNCTION("""COMPUTED_VALUE"""),18.505)</f>
        <v>18.504999999999999</v>
      </c>
      <c r="U2739" s="3" t="e">
        <f ca="1"/>
        <v>#NAME?</v>
      </c>
    </row>
    <row r="2740" spans="3:21" ht="12.5" x14ac:dyDescent="0.25">
      <c r="C2740" s="4">
        <f ca="1">IFERROR(__xludf.DUMMYFUNCTION("""COMPUTED_VALUE"""),43146.9986111111)</f>
        <v>43146.998611111099</v>
      </c>
      <c r="D2740" s="2">
        <f ca="1">IFERROR(__xludf.DUMMYFUNCTION("""COMPUTED_VALUE"""),63.8909)</f>
        <v>63.890900000000002</v>
      </c>
      <c r="E2740" s="2">
        <f ca="1">IFERROR(__xludf.DUMMYFUNCTION("""COMPUTED_VALUE"""),80.874)</f>
        <v>80.873999999999995</v>
      </c>
      <c r="F2740" s="2">
        <f ca="1">IFERROR(__xludf.DUMMYFUNCTION("""COMPUTED_VALUE"""),88.297)</f>
        <v>88.296999999999997</v>
      </c>
      <c r="G2740" s="2">
        <f ca="1">IFERROR(__xludf.DUMMYFUNCTION("""COMPUTED_VALUE"""),0.63541)</f>
        <v>0.63541000000000003</v>
      </c>
      <c r="H2740" s="2">
        <f ca="1">IFERROR(__xludf.DUMMYFUNCTION("""COMPUTED_VALUE"""),50.893)</f>
        <v>50.893000000000001</v>
      </c>
      <c r="I2740" s="2">
        <f ca="1">IFERROR(__xludf.DUMMYFUNCTION("""COMPUTED_VALUE"""),53.24)</f>
        <v>53.24</v>
      </c>
      <c r="J2740" s="2">
        <f ca="1">IFERROR(__xludf.DUMMYFUNCTION("""COMPUTED_VALUE"""),52.362)</f>
        <v>52.362000000000002</v>
      </c>
      <c r="K2740" s="2">
        <f ca="1">IFERROR(__xludf.DUMMYFUNCTION("""COMPUTED_VALUE"""),73.299)</f>
        <v>73.299000000000007</v>
      </c>
      <c r="M2740" s="2">
        <f ca="1">IFERROR(__xludf.DUMMYFUNCTION("""COMPUTED_VALUE"""),18.508)</f>
        <v>18.507999999999999</v>
      </c>
      <c r="U2740" s="3" t="e">
        <f ca="1"/>
        <v>#NAME?</v>
      </c>
    </row>
    <row r="2741" spans="3:21" ht="12.5" x14ac:dyDescent="0.25">
      <c r="C2741" s="4">
        <f ca="1">IFERROR(__xludf.DUMMYFUNCTION("""COMPUTED_VALUE"""),43147.9986111111)</f>
        <v>43147.998611111099</v>
      </c>
      <c r="D2741" s="2">
        <f ca="1">IFERROR(__xludf.DUMMYFUNCTION("""COMPUTED_VALUE"""),64.38)</f>
        <v>64.38</v>
      </c>
      <c r="E2741" s="2">
        <f ca="1">IFERROR(__xludf.DUMMYFUNCTION("""COMPUTED_VALUE"""),80.945)</f>
        <v>80.944999999999993</v>
      </c>
      <c r="F2741" s="2">
        <f ca="1">IFERROR(__xludf.DUMMYFUNCTION("""COMPUTED_VALUE"""),88.223)</f>
        <v>88.222999999999999</v>
      </c>
      <c r="G2741" s="2">
        <f ca="1">IFERROR(__xludf.DUMMYFUNCTION("""COMPUTED_VALUE"""),0.63443)</f>
        <v>0.63443000000000005</v>
      </c>
      <c r="H2741" s="2">
        <f ca="1">IFERROR(__xludf.DUMMYFUNCTION("""COMPUTED_VALUE"""),51.207)</f>
        <v>51.207000000000001</v>
      </c>
      <c r="I2741" s="2">
        <f ca="1">IFERROR(__xludf.DUMMYFUNCTION("""COMPUTED_VALUE"""),53.579)</f>
        <v>53.579000000000001</v>
      </c>
      <c r="J2741" s="2">
        <f ca="1">IFERROR(__xludf.DUMMYFUNCTION("""COMPUTED_VALUE"""),52.398)</f>
        <v>52.398000000000003</v>
      </c>
      <c r="K2741" s="2">
        <f ca="1">IFERROR(__xludf.DUMMYFUNCTION("""COMPUTED_VALUE"""),73.226)</f>
        <v>73.225999999999999</v>
      </c>
      <c r="M2741" s="2">
        <f ca="1">IFERROR(__xludf.DUMMYFUNCTION("""COMPUTED_VALUE"""),18.539)</f>
        <v>18.539000000000001</v>
      </c>
      <c r="U2741" s="3" t="e">
        <f ca="1"/>
        <v>#NAME?</v>
      </c>
    </row>
    <row r="2742" spans="3:21" ht="12.5" x14ac:dyDescent="0.25">
      <c r="C2742" s="4">
        <f ca="1">IFERROR(__xludf.DUMMYFUNCTION("""COMPUTED_VALUE"""),43148.9986111111)</f>
        <v>43148.998611111099</v>
      </c>
      <c r="D2742" s="2">
        <f ca="1">IFERROR(__xludf.DUMMYFUNCTION("""COMPUTED_VALUE"""),64.38)</f>
        <v>64.38</v>
      </c>
      <c r="E2742" s="2">
        <f ca="1">IFERROR(__xludf.DUMMYFUNCTION("""COMPUTED_VALUE"""),80.232)</f>
        <v>80.231999999999999</v>
      </c>
      <c r="F2742" s="2">
        <f ca="1">IFERROR(__xludf.DUMMYFUNCTION("""COMPUTED_VALUE"""),88.721)</f>
        <v>88.721000000000004</v>
      </c>
      <c r="G2742" s="2">
        <f ca="1">IFERROR(__xludf.DUMMYFUNCTION("""COMPUTED_VALUE"""),0.63372)</f>
        <v>0.63371999999999995</v>
      </c>
      <c r="H2742" s="2">
        <f ca="1">IFERROR(__xludf.DUMMYFUNCTION("""COMPUTED_VALUE"""),50.868)</f>
        <v>50.868000000000002</v>
      </c>
      <c r="I2742" s="2">
        <f ca="1">IFERROR(__xludf.DUMMYFUNCTION("""COMPUTED_VALUE"""),53.485)</f>
        <v>53.484999999999999</v>
      </c>
      <c r="J2742" s="2">
        <f ca="1">IFERROR(__xludf.DUMMYFUNCTION("""COMPUTED_VALUE"""),52.326)</f>
        <v>52.326000000000001</v>
      </c>
      <c r="K2742" s="2">
        <f ca="1">IFERROR(__xludf.DUMMYFUNCTION("""COMPUTED_VALUE"""),72.129)</f>
        <v>72.129000000000005</v>
      </c>
      <c r="M2742" s="2">
        <f ca="1">IFERROR(__xludf.DUMMYFUNCTION("""COMPUTED_VALUE"""),18.531)</f>
        <v>18.530999999999999</v>
      </c>
      <c r="U2742" s="3" t="e">
        <f ca="1"/>
        <v>#NAME?</v>
      </c>
    </row>
    <row r="2743" spans="3:21" ht="12.5" x14ac:dyDescent="0.25">
      <c r="C2743" s="4">
        <f ca="1">IFERROR(__xludf.DUMMYFUNCTION("""COMPUTED_VALUE"""),43149.9986111111)</f>
        <v>43149.998611111099</v>
      </c>
      <c r="D2743" s="2">
        <f ca="1">IFERROR(__xludf.DUMMYFUNCTION("""COMPUTED_VALUE"""),64.38)</f>
        <v>64.38</v>
      </c>
      <c r="E2743" s="2">
        <f ca="1">IFERROR(__xludf.DUMMYFUNCTION("""COMPUTED_VALUE"""),80.849)</f>
        <v>80.849000000000004</v>
      </c>
      <c r="F2743" s="2">
        <f ca="1">IFERROR(__xludf.DUMMYFUNCTION("""COMPUTED_VALUE"""),88.459)</f>
        <v>88.459000000000003</v>
      </c>
      <c r="G2743" s="2">
        <f ca="1">IFERROR(__xludf.DUMMYFUNCTION("""COMPUTED_VALUE"""),0.62952)</f>
        <v>0.62951999999999997</v>
      </c>
      <c r="H2743" s="2">
        <f ca="1">IFERROR(__xludf.DUMMYFUNCTION("""COMPUTED_VALUE"""),51.03)</f>
        <v>51.03</v>
      </c>
      <c r="I2743" s="2">
        <f ca="1">IFERROR(__xludf.DUMMYFUNCTION("""COMPUTED_VALUE"""),53.438)</f>
        <v>53.438000000000002</v>
      </c>
      <c r="J2743" s="2">
        <f ca="1">IFERROR(__xludf.DUMMYFUNCTION("""COMPUTED_VALUE"""),52.337)</f>
        <v>52.337000000000003</v>
      </c>
      <c r="K2743" s="2">
        <f ca="1">IFERROR(__xludf.DUMMYFUNCTION("""COMPUTED_VALUE"""),72.669)</f>
        <v>72.668999999999997</v>
      </c>
      <c r="M2743" s="2">
        <f ca="1">IFERROR(__xludf.DUMMYFUNCTION("""COMPUTED_VALUE"""),18.595)</f>
        <v>18.594999999999999</v>
      </c>
      <c r="U2743" s="3" t="e">
        <f ca="1"/>
        <v>#NAME?</v>
      </c>
    </row>
    <row r="2744" spans="3:21" ht="12.5" x14ac:dyDescent="0.25">
      <c r="C2744" s="4">
        <f ca="1">IFERROR(__xludf.DUMMYFUNCTION("""COMPUTED_VALUE"""),43150.9986111111)</f>
        <v>43150.998611111099</v>
      </c>
      <c r="D2744" s="2">
        <f ca="1">IFERROR(__xludf.DUMMYFUNCTION("""COMPUTED_VALUE"""),64.505)</f>
        <v>64.504999999999995</v>
      </c>
      <c r="E2744" s="2">
        <f ca="1">IFERROR(__xludf.DUMMYFUNCTION("""COMPUTED_VALUE"""),79.511)</f>
        <v>79.510999999999996</v>
      </c>
      <c r="F2744" s="2">
        <f ca="1">IFERROR(__xludf.DUMMYFUNCTION("""COMPUTED_VALUE"""),88.456)</f>
        <v>88.456000000000003</v>
      </c>
      <c r="G2744" s="2">
        <f ca="1">IFERROR(__xludf.DUMMYFUNCTION("""COMPUTED_VALUE"""),0.62719)</f>
        <v>0.62719000000000003</v>
      </c>
      <c r="H2744" s="2">
        <f ca="1">IFERROR(__xludf.DUMMYFUNCTION("""COMPUTED_VALUE"""),50.976)</f>
        <v>50.975999999999999</v>
      </c>
      <c r="I2744" s="2">
        <f ca="1">IFERROR(__xludf.DUMMYFUNCTION("""COMPUTED_VALUE"""),53.658)</f>
        <v>53.658000000000001</v>
      </c>
      <c r="J2744" s="2">
        <f ca="1">IFERROR(__xludf.DUMMYFUNCTION("""COMPUTED_VALUE"""),52.342)</f>
        <v>52.341999999999999</v>
      </c>
      <c r="K2744" s="2">
        <f ca="1">IFERROR(__xludf.DUMMYFUNCTION("""COMPUTED_VALUE"""),72.768)</f>
        <v>72.768000000000001</v>
      </c>
      <c r="M2744" s="2">
        <f ca="1">IFERROR(__xludf.DUMMYFUNCTION("""COMPUTED_VALUE"""),18.6)</f>
        <v>18.600000000000001</v>
      </c>
      <c r="U2744" s="3" t="e">
        <f ca="1"/>
        <v>#NAME?</v>
      </c>
    </row>
    <row r="2745" spans="3:21" ht="12.5" x14ac:dyDescent="0.25">
      <c r="C2745" s="4">
        <f ca="1">IFERROR(__xludf.DUMMYFUNCTION("""COMPUTED_VALUE"""),43151.9986111111)</f>
        <v>43151.998611111099</v>
      </c>
      <c r="D2745" s="2">
        <f ca="1">IFERROR(__xludf.DUMMYFUNCTION("""COMPUTED_VALUE"""),64.865)</f>
        <v>64.864999999999995</v>
      </c>
      <c r="E2745" s="2">
        <f ca="1">IFERROR(__xludf.DUMMYFUNCTION("""COMPUTED_VALUE"""),81.187)</f>
        <v>81.186999999999998</v>
      </c>
      <c r="F2745" s="2">
        <f ca="1">IFERROR(__xludf.DUMMYFUNCTION("""COMPUTED_VALUE"""),88.68)</f>
        <v>88.68</v>
      </c>
      <c r="G2745" s="2">
        <f ca="1">IFERROR(__xludf.DUMMYFUNCTION("""COMPUTED_VALUE"""),0.62745)</f>
        <v>0.62744999999999995</v>
      </c>
      <c r="H2745" s="2">
        <f ca="1">IFERROR(__xludf.DUMMYFUNCTION("""COMPUTED_VALUE"""),50.924)</f>
        <v>50.923999999999999</v>
      </c>
      <c r="I2745" s="2">
        <f ca="1">IFERROR(__xludf.DUMMYFUNCTION("""COMPUTED_VALUE"""),53.616)</f>
        <v>53.616</v>
      </c>
      <c r="J2745" s="2">
        <f ca="1">IFERROR(__xludf.DUMMYFUNCTION("""COMPUTED_VALUE"""),52.135)</f>
        <v>52.134999999999998</v>
      </c>
      <c r="K2745" s="2">
        <f ca="1">IFERROR(__xludf.DUMMYFUNCTION("""COMPUTED_VALUE"""),72.242)</f>
        <v>72.242000000000004</v>
      </c>
      <c r="M2745" s="2">
        <f ca="1">IFERROR(__xludf.DUMMYFUNCTION("""COMPUTED_VALUE"""),18.438)</f>
        <v>18.437999999999999</v>
      </c>
      <c r="U2745" s="3" t="e">
        <f ca="1"/>
        <v>#NAME?</v>
      </c>
    </row>
    <row r="2746" spans="3:21" ht="12.5" x14ac:dyDescent="0.25">
      <c r="C2746" s="4">
        <f ca="1">IFERROR(__xludf.DUMMYFUNCTION("""COMPUTED_VALUE"""),43152.9986111111)</f>
        <v>43152.998611111099</v>
      </c>
      <c r="D2746" s="2">
        <f ca="1">IFERROR(__xludf.DUMMYFUNCTION("""COMPUTED_VALUE"""),64.895)</f>
        <v>64.894999999999996</v>
      </c>
      <c r="E2746" s="2">
        <f ca="1">IFERROR(__xludf.DUMMYFUNCTION("""COMPUTED_VALUE"""),81.607)</f>
        <v>81.606999999999999</v>
      </c>
      <c r="F2746" s="2">
        <f ca="1">IFERROR(__xludf.DUMMYFUNCTION("""COMPUTED_VALUE"""),89.328)</f>
        <v>89.328000000000003</v>
      </c>
      <c r="G2746" s="2">
        <f ca="1">IFERROR(__xludf.DUMMYFUNCTION("""COMPUTED_VALUE"""),0.62968)</f>
        <v>0.62968000000000002</v>
      </c>
      <c r="H2746" s="2">
        <f ca="1">IFERROR(__xludf.DUMMYFUNCTION("""COMPUTED_VALUE"""),50.924)</f>
        <v>50.923999999999999</v>
      </c>
      <c r="I2746" s="2">
        <f ca="1">IFERROR(__xludf.DUMMYFUNCTION("""COMPUTED_VALUE"""),53.483)</f>
        <v>53.482999999999997</v>
      </c>
      <c r="J2746" s="2">
        <f ca="1">IFERROR(__xludf.DUMMYFUNCTION("""COMPUTED_VALUE"""),52.321)</f>
        <v>52.320999999999998</v>
      </c>
      <c r="K2746" s="2">
        <f ca="1">IFERROR(__xludf.DUMMYFUNCTION("""COMPUTED_VALUE"""),71.877)</f>
        <v>71.876999999999995</v>
      </c>
      <c r="M2746" s="2">
        <f ca="1">IFERROR(__xludf.DUMMYFUNCTION("""COMPUTED_VALUE"""),18.439)</f>
        <v>18.439</v>
      </c>
      <c r="U2746" s="3" t="e">
        <f ca="1"/>
        <v>#NAME?</v>
      </c>
    </row>
    <row r="2747" spans="3:21" ht="12.5" x14ac:dyDescent="0.25">
      <c r="C2747" s="4">
        <f ca="1">IFERROR(__xludf.DUMMYFUNCTION("""COMPUTED_VALUE"""),43153.9986111111)</f>
        <v>43153.998611111099</v>
      </c>
      <c r="D2747" s="2">
        <f ca="1">IFERROR(__xludf.DUMMYFUNCTION("""COMPUTED_VALUE"""),64.9514)</f>
        <v>64.951400000000007</v>
      </c>
      <c r="E2747" s="2">
        <f ca="1">IFERROR(__xludf.DUMMYFUNCTION("""COMPUTED_VALUE"""),81.719)</f>
        <v>81.718999999999994</v>
      </c>
      <c r="F2747" s="2">
        <f ca="1">IFERROR(__xludf.DUMMYFUNCTION("""COMPUTED_VALUE"""),89.374)</f>
        <v>89.373999999999995</v>
      </c>
      <c r="G2747" s="2">
        <f ca="1">IFERROR(__xludf.DUMMYFUNCTION("""COMPUTED_VALUE"""),0.62968)</f>
        <v>0.62968000000000002</v>
      </c>
      <c r="H2747" s="2">
        <f ca="1">IFERROR(__xludf.DUMMYFUNCTION("""COMPUTED_VALUE"""),50.912)</f>
        <v>50.911999999999999</v>
      </c>
      <c r="I2747" s="2">
        <f ca="1">IFERROR(__xludf.DUMMYFUNCTION("""COMPUTED_VALUE"""),53.28)</f>
        <v>53.28</v>
      </c>
      <c r="J2747" s="2">
        <f ca="1">IFERROR(__xludf.DUMMYFUNCTION("""COMPUTED_VALUE"""),52.368)</f>
        <v>52.368000000000002</v>
      </c>
      <c r="K2747" s="2">
        <f ca="1">IFERROR(__xludf.DUMMYFUNCTION("""COMPUTED_VALUE"""),72.006)</f>
        <v>72.006</v>
      </c>
      <c r="M2747" s="2">
        <f ca="1">IFERROR(__xludf.DUMMYFUNCTION("""COMPUTED_VALUE"""),18.355)</f>
        <v>18.355</v>
      </c>
      <c r="U2747" s="3" t="e">
        <f ca="1"/>
        <v>#NAME?</v>
      </c>
    </row>
    <row r="2748" spans="3:21" ht="12.5" x14ac:dyDescent="0.25">
      <c r="C2748" s="4">
        <f ca="1">IFERROR(__xludf.DUMMYFUNCTION("""COMPUTED_VALUE"""),43154.9986111111)</f>
        <v>43154.998611111099</v>
      </c>
      <c r="D2748" s="2">
        <f ca="1">IFERROR(__xludf.DUMMYFUNCTION("""COMPUTED_VALUE"""),64.89)</f>
        <v>64.89</v>
      </c>
      <c r="E2748" s="2">
        <f ca="1">IFERROR(__xludf.DUMMYFUNCTION("""COMPUTED_VALUE"""),81.152)</f>
        <v>81.152000000000001</v>
      </c>
      <c r="F2748" s="2">
        <f ca="1">IFERROR(__xludf.DUMMYFUNCTION("""COMPUTED_VALUE"""),90.408)</f>
        <v>90.408000000000001</v>
      </c>
      <c r="G2748" s="2">
        <f ca="1">IFERROR(__xludf.DUMMYFUNCTION("""COMPUTED_VALUE"""),0.6263)</f>
        <v>0.62629999999999997</v>
      </c>
      <c r="H2748" s="2">
        <f ca="1">IFERROR(__xludf.DUMMYFUNCTION("""COMPUTED_VALUE"""),50.685)</f>
        <v>50.685000000000002</v>
      </c>
      <c r="I2748" s="2">
        <f ca="1">IFERROR(__xludf.DUMMYFUNCTION("""COMPUTED_VALUE"""),53.286)</f>
        <v>53.286000000000001</v>
      </c>
      <c r="J2748" s="2">
        <f ca="1">IFERROR(__xludf.DUMMYFUNCTION("""COMPUTED_VALUE"""),52.491)</f>
        <v>52.491</v>
      </c>
      <c r="K2748" s="2">
        <f ca="1">IFERROR(__xludf.DUMMYFUNCTION("""COMPUTED_VALUE"""),72.035)</f>
        <v>72.034999999999997</v>
      </c>
      <c r="M2748" s="2">
        <f ca="1">IFERROR(__xludf.DUMMYFUNCTION("""COMPUTED_VALUE"""),18.464)</f>
        <v>18.463999999999999</v>
      </c>
      <c r="U2748" s="3" t="e">
        <f ca="1"/>
        <v>#NAME?</v>
      </c>
    </row>
    <row r="2749" spans="3:21" ht="12.5" x14ac:dyDescent="0.25">
      <c r="C2749" s="4">
        <f ca="1">IFERROR(__xludf.DUMMYFUNCTION("""COMPUTED_VALUE"""),43155.9986111111)</f>
        <v>43155.998611111099</v>
      </c>
      <c r="D2749" s="2">
        <f ca="1">IFERROR(__xludf.DUMMYFUNCTION("""COMPUTED_VALUE"""),64.703)</f>
        <v>64.703000000000003</v>
      </c>
      <c r="E2749" s="2">
        <f ca="1">IFERROR(__xludf.DUMMYFUNCTION("""COMPUTED_VALUE"""),81.763)</f>
        <v>81.763000000000005</v>
      </c>
      <c r="F2749" s="2">
        <f ca="1">IFERROR(__xludf.DUMMYFUNCTION("""COMPUTED_VALUE"""),89.965)</f>
        <v>89.965000000000003</v>
      </c>
      <c r="G2749" s="2">
        <f ca="1">IFERROR(__xludf.DUMMYFUNCTION("""COMPUTED_VALUE"""),0.6249)</f>
        <v>0.62490000000000001</v>
      </c>
      <c r="H2749" s="2">
        <f ca="1">IFERROR(__xludf.DUMMYFUNCTION("""COMPUTED_VALUE"""),50.807)</f>
        <v>50.807000000000002</v>
      </c>
      <c r="I2749" s="2">
        <f ca="1">IFERROR(__xludf.DUMMYFUNCTION("""COMPUTED_VALUE"""),53.126)</f>
        <v>53.125999999999998</v>
      </c>
      <c r="J2749" s="2">
        <f ca="1">IFERROR(__xludf.DUMMYFUNCTION("""COMPUTED_VALUE"""),52.782)</f>
        <v>52.781999999999996</v>
      </c>
      <c r="K2749" s="2">
        <f ca="1">IFERROR(__xludf.DUMMYFUNCTION("""COMPUTED_VALUE"""),72.107)</f>
        <v>72.106999999999999</v>
      </c>
      <c r="M2749" s="2">
        <f ca="1">IFERROR(__xludf.DUMMYFUNCTION("""COMPUTED_VALUE"""),18.355)</f>
        <v>18.355</v>
      </c>
      <c r="U2749" s="3" t="e">
        <f ca="1"/>
        <v>#NAME?</v>
      </c>
    </row>
    <row r="2750" spans="3:21" ht="12.5" x14ac:dyDescent="0.25">
      <c r="C2750" s="4">
        <f ca="1">IFERROR(__xludf.DUMMYFUNCTION("""COMPUTED_VALUE"""),43156.9986111111)</f>
        <v>43156.998611111099</v>
      </c>
      <c r="D2750" s="2">
        <f ca="1">IFERROR(__xludf.DUMMYFUNCTION("""COMPUTED_VALUE"""),64.703)</f>
        <v>64.703000000000003</v>
      </c>
      <c r="E2750" s="2">
        <f ca="1">IFERROR(__xludf.DUMMYFUNCTION("""COMPUTED_VALUE"""),81.928)</f>
        <v>81.927999999999997</v>
      </c>
      <c r="F2750" s="2">
        <f ca="1">IFERROR(__xludf.DUMMYFUNCTION("""COMPUTED_VALUE"""),90.081)</f>
        <v>90.081000000000003</v>
      </c>
      <c r="G2750" s="2">
        <f ca="1">IFERROR(__xludf.DUMMYFUNCTION("""COMPUTED_VALUE"""),0.62491)</f>
        <v>0.62490999999999997</v>
      </c>
      <c r="H2750" s="2">
        <f ca="1">IFERROR(__xludf.DUMMYFUNCTION("""COMPUTED_VALUE"""),50.289)</f>
        <v>50.289000000000001</v>
      </c>
      <c r="I2750" s="2">
        <f ca="1">IFERROR(__xludf.DUMMYFUNCTION("""COMPUTED_VALUE"""),53.631)</f>
        <v>53.631</v>
      </c>
      <c r="J2750" s="2">
        <f ca="1">IFERROR(__xludf.DUMMYFUNCTION("""COMPUTED_VALUE"""),52.834)</f>
        <v>52.834000000000003</v>
      </c>
      <c r="K2750" s="2">
        <f ca="1">IFERROR(__xludf.DUMMYFUNCTION("""COMPUTED_VALUE"""),71.808)</f>
        <v>71.808000000000007</v>
      </c>
      <c r="M2750" s="2">
        <f ca="1">IFERROR(__xludf.DUMMYFUNCTION("""COMPUTED_VALUE"""),18.355)</f>
        <v>18.355</v>
      </c>
      <c r="U2750" s="3" t="e">
        <f ca="1"/>
        <v>#NAME?</v>
      </c>
    </row>
    <row r="2751" spans="3:21" ht="12.5" x14ac:dyDescent="0.25">
      <c r="C2751" s="4">
        <f ca="1">IFERROR(__xludf.DUMMYFUNCTION("""COMPUTED_VALUE"""),43157.9986111111)</f>
        <v>43157.998611111099</v>
      </c>
      <c r="D2751" s="2">
        <f ca="1">IFERROR(__xludf.DUMMYFUNCTION("""COMPUTED_VALUE"""),64.7804)</f>
        <v>64.7804</v>
      </c>
      <c r="E2751" s="2">
        <f ca="1">IFERROR(__xludf.DUMMYFUNCTION("""COMPUTED_VALUE"""),81.519)</f>
        <v>81.519000000000005</v>
      </c>
      <c r="F2751" s="2">
        <f ca="1">IFERROR(__xludf.DUMMYFUNCTION("""COMPUTED_VALUE"""),90.004)</f>
        <v>90.004000000000005</v>
      </c>
      <c r="G2751" s="2">
        <f ca="1">IFERROR(__xludf.DUMMYFUNCTION("""COMPUTED_VALUE"""),0.62021)</f>
        <v>0.62021000000000004</v>
      </c>
      <c r="H2751" s="2">
        <f ca="1">IFERROR(__xludf.DUMMYFUNCTION("""COMPUTED_VALUE"""),50.874)</f>
        <v>50.874000000000002</v>
      </c>
      <c r="I2751" s="2">
        <f ca="1">IFERROR(__xludf.DUMMYFUNCTION("""COMPUTED_VALUE"""),53.631)</f>
        <v>53.631</v>
      </c>
      <c r="J2751" s="2">
        <f ca="1">IFERROR(__xludf.DUMMYFUNCTION("""COMPUTED_VALUE"""),52.658)</f>
        <v>52.658000000000001</v>
      </c>
      <c r="K2751" s="2">
        <f ca="1">IFERROR(__xludf.DUMMYFUNCTION("""COMPUTED_VALUE"""),71.346)</f>
        <v>71.346000000000004</v>
      </c>
      <c r="M2751" s="2">
        <f ca="1">IFERROR(__xludf.DUMMYFUNCTION("""COMPUTED_VALUE"""),18.238)</f>
        <v>18.238</v>
      </c>
      <c r="U2751" s="3" t="e">
        <f ca="1"/>
        <v>#NAME?</v>
      </c>
    </row>
    <row r="2752" spans="3:21" ht="12.5" x14ac:dyDescent="0.25">
      <c r="C2752" s="4">
        <f ca="1">IFERROR(__xludf.DUMMYFUNCTION("""COMPUTED_VALUE"""),43158.9986111111)</f>
        <v>43158.998611111099</v>
      </c>
      <c r="D2752" s="2">
        <f ca="1">IFERROR(__xludf.DUMMYFUNCTION("""COMPUTED_VALUE"""),64.91)</f>
        <v>64.91</v>
      </c>
      <c r="E2752" s="2">
        <f ca="1">IFERROR(__xludf.DUMMYFUNCTION("""COMPUTED_VALUE"""),81.237)</f>
        <v>81.236999999999995</v>
      </c>
      <c r="F2752" s="2">
        <f ca="1">IFERROR(__xludf.DUMMYFUNCTION("""COMPUTED_VALUE"""),89.902)</f>
        <v>89.902000000000001</v>
      </c>
      <c r="G2752" s="2">
        <f ca="1">IFERROR(__xludf.DUMMYFUNCTION("""COMPUTED_VALUE"""),0.61818)</f>
        <v>0.61817999999999995</v>
      </c>
      <c r="H2752" s="2">
        <f ca="1">IFERROR(__xludf.DUMMYFUNCTION("""COMPUTED_VALUE"""),50.919)</f>
        <v>50.918999999999997</v>
      </c>
      <c r="I2752" s="2">
        <f ca="1">IFERROR(__xludf.DUMMYFUNCTION("""COMPUTED_VALUE"""),53.596)</f>
        <v>53.595999999999997</v>
      </c>
      <c r="J2752" s="2">
        <f ca="1">IFERROR(__xludf.DUMMYFUNCTION("""COMPUTED_VALUE"""),52.862)</f>
        <v>52.862000000000002</v>
      </c>
      <c r="K2752" s="2">
        <f ca="1">IFERROR(__xludf.DUMMYFUNCTION("""COMPUTED_VALUE"""),71.935)</f>
        <v>71.935000000000002</v>
      </c>
      <c r="M2752" s="2">
        <f ca="1">IFERROR(__xludf.DUMMYFUNCTION("""COMPUTED_VALUE"""),18.357)</f>
        <v>18.356999999999999</v>
      </c>
      <c r="U2752" s="3" t="e">
        <f ca="1"/>
        <v>#NAME?</v>
      </c>
    </row>
    <row r="2753" spans="3:21" ht="12.5" x14ac:dyDescent="0.25">
      <c r="C2753" s="4">
        <f ca="1">IFERROR(__xludf.DUMMYFUNCTION("""COMPUTED_VALUE"""),43159.9986111111)</f>
        <v>43159.998611111099</v>
      </c>
      <c r="D2753" s="2">
        <f ca="1">IFERROR(__xludf.DUMMYFUNCTION("""COMPUTED_VALUE"""),65.24)</f>
        <v>65.239999999999995</v>
      </c>
      <c r="E2753" s="2">
        <f ca="1">IFERROR(__xludf.DUMMYFUNCTION("""COMPUTED_VALUE"""),80.764)</f>
        <v>80.763999999999996</v>
      </c>
      <c r="F2753" s="2">
        <f ca="1">IFERROR(__xludf.DUMMYFUNCTION("""COMPUTED_VALUE"""),89.611)</f>
        <v>89.611000000000004</v>
      </c>
      <c r="G2753" s="2">
        <f ca="1">IFERROR(__xludf.DUMMYFUNCTION("""COMPUTED_VALUE"""),0.6155)</f>
        <v>0.61550000000000005</v>
      </c>
      <c r="H2753" s="2">
        <f ca="1">IFERROR(__xludf.DUMMYFUNCTION("""COMPUTED_VALUE"""),50.875)</f>
        <v>50.875</v>
      </c>
      <c r="I2753" s="2">
        <f ca="1">IFERROR(__xludf.DUMMYFUNCTION("""COMPUTED_VALUE"""),53.564)</f>
        <v>53.564</v>
      </c>
      <c r="J2753" s="2">
        <f ca="1">IFERROR(__xludf.DUMMYFUNCTION("""COMPUTED_VALUE"""),52.956)</f>
        <v>52.956000000000003</v>
      </c>
      <c r="K2753" s="2">
        <f ca="1">IFERROR(__xludf.DUMMYFUNCTION("""COMPUTED_VALUE"""),71.919)</f>
        <v>71.918999999999997</v>
      </c>
      <c r="M2753" s="2">
        <f ca="1">IFERROR(__xludf.DUMMYFUNCTION("""COMPUTED_VALUE"""),18.222)</f>
        <v>18.222000000000001</v>
      </c>
      <c r="U2753" s="3" t="e">
        <f ca="1"/>
        <v>#NAME?</v>
      </c>
    </row>
    <row r="2754" spans="3:21" ht="12.5" x14ac:dyDescent="0.25">
      <c r="C2754" s="4">
        <f ca="1">IFERROR(__xludf.DUMMYFUNCTION("""COMPUTED_VALUE"""),43160.9986111111)</f>
        <v>43160.998611111099</v>
      </c>
      <c r="D2754" s="2">
        <f ca="1">IFERROR(__xludf.DUMMYFUNCTION("""COMPUTED_VALUE"""),65.15)</f>
        <v>65.150000000000006</v>
      </c>
      <c r="E2754" s="2">
        <f ca="1">IFERROR(__xludf.DUMMYFUNCTION("""COMPUTED_VALUE"""),80.551)</f>
        <v>80.551000000000002</v>
      </c>
      <c r="F2754" s="2">
        <f ca="1">IFERROR(__xludf.DUMMYFUNCTION("""COMPUTED_VALUE"""),90.274)</f>
        <v>90.274000000000001</v>
      </c>
      <c r="G2754" s="2">
        <f ca="1">IFERROR(__xludf.DUMMYFUNCTION("""COMPUTED_VALUE"""),0.61885)</f>
        <v>0.61885000000000001</v>
      </c>
      <c r="H2754" s="2">
        <f ca="1">IFERROR(__xludf.DUMMYFUNCTION("""COMPUTED_VALUE"""),50.901)</f>
        <v>50.901000000000003</v>
      </c>
      <c r="I2754" s="2">
        <f ca="1">IFERROR(__xludf.DUMMYFUNCTION("""COMPUTED_VALUE"""),53.777)</f>
        <v>53.777000000000001</v>
      </c>
      <c r="J2754" s="2">
        <f ca="1">IFERROR(__xludf.DUMMYFUNCTION("""COMPUTED_VALUE"""),52.889)</f>
        <v>52.889000000000003</v>
      </c>
      <c r="K2754" s="2">
        <f ca="1">IFERROR(__xludf.DUMMYFUNCTION("""COMPUTED_VALUE"""),72.027)</f>
        <v>72.027000000000001</v>
      </c>
      <c r="M2754" s="2">
        <f ca="1">IFERROR(__xludf.DUMMYFUNCTION("""COMPUTED_VALUE"""),18.254)</f>
        <v>18.254000000000001</v>
      </c>
      <c r="U2754" s="3" t="e">
        <f ca="1"/>
        <v>#NAME?</v>
      </c>
    </row>
    <row r="2755" spans="3:21" ht="12.5" x14ac:dyDescent="0.25">
      <c r="C2755" s="4">
        <f ca="1">IFERROR(__xludf.DUMMYFUNCTION("""COMPUTED_VALUE"""),43161.9986111111)</f>
        <v>43161.998611111099</v>
      </c>
      <c r="D2755" s="2">
        <f ca="1">IFERROR(__xludf.DUMMYFUNCTION("""COMPUTED_VALUE"""),65.1867)</f>
        <v>65.186700000000002</v>
      </c>
      <c r="E2755" s="2">
        <f ca="1">IFERROR(__xludf.DUMMYFUNCTION("""COMPUTED_VALUE"""),80.551)</f>
        <v>80.551000000000002</v>
      </c>
      <c r="F2755" s="2">
        <f ca="1">IFERROR(__xludf.DUMMYFUNCTION("""COMPUTED_VALUE"""),90.42)</f>
        <v>90.42</v>
      </c>
      <c r="G2755" s="2">
        <f ca="1">IFERROR(__xludf.DUMMYFUNCTION("""COMPUTED_VALUE"""),0.62088)</f>
        <v>0.62087999999999999</v>
      </c>
      <c r="H2755" s="2">
        <f ca="1">IFERROR(__xludf.DUMMYFUNCTION("""COMPUTED_VALUE"""),51.078)</f>
        <v>51.078000000000003</v>
      </c>
      <c r="I2755" s="2">
        <f ca="1">IFERROR(__xludf.DUMMYFUNCTION("""COMPUTED_VALUE"""),54.136)</f>
        <v>54.136000000000003</v>
      </c>
      <c r="J2755" s="2">
        <f ca="1">IFERROR(__xludf.DUMMYFUNCTION("""COMPUTED_VALUE"""),52.729)</f>
        <v>52.728999999999999</v>
      </c>
      <c r="K2755" s="2">
        <f ca="1">IFERROR(__xludf.DUMMYFUNCTION("""COMPUTED_VALUE"""),71.734)</f>
        <v>71.733999999999995</v>
      </c>
      <c r="M2755" s="2">
        <f ca="1">IFERROR(__xludf.DUMMYFUNCTION("""COMPUTED_VALUE"""),18.261)</f>
        <v>18.260999999999999</v>
      </c>
      <c r="U2755" s="3" t="e">
        <f ca="1"/>
        <v>#NAME?</v>
      </c>
    </row>
    <row r="2756" spans="3:21" ht="12.5" x14ac:dyDescent="0.25">
      <c r="C2756" s="4">
        <f ca="1">IFERROR(__xludf.DUMMYFUNCTION("""COMPUTED_VALUE"""),43162.9986111111)</f>
        <v>43162.998611111099</v>
      </c>
      <c r="D2756" s="2">
        <f ca="1">IFERROR(__xludf.DUMMYFUNCTION("""COMPUTED_VALUE"""),65.1867)</f>
        <v>65.186700000000002</v>
      </c>
      <c r="E2756" s="2">
        <f ca="1">IFERROR(__xludf.DUMMYFUNCTION("""COMPUTED_VALUE"""),80.155)</f>
        <v>80.155000000000001</v>
      </c>
      <c r="F2756" s="2">
        <f ca="1">IFERROR(__xludf.DUMMYFUNCTION("""COMPUTED_VALUE"""),91.276)</f>
        <v>91.275999999999996</v>
      </c>
      <c r="G2756" s="2">
        <f ca="1">IFERROR(__xludf.DUMMYFUNCTION("""COMPUTED_VALUE"""),0.62043)</f>
        <v>0.62043000000000004</v>
      </c>
      <c r="H2756" s="2">
        <f ca="1">IFERROR(__xludf.DUMMYFUNCTION("""COMPUTED_VALUE"""),51.615)</f>
        <v>51.615000000000002</v>
      </c>
      <c r="I2756" s="2">
        <f ca="1">IFERROR(__xludf.DUMMYFUNCTION("""COMPUTED_VALUE"""),54.006)</f>
        <v>54.006</v>
      </c>
      <c r="J2756" s="2">
        <f ca="1">IFERROR(__xludf.DUMMYFUNCTION("""COMPUTED_VALUE"""),52.487)</f>
        <v>52.487000000000002</v>
      </c>
      <c r="K2756" s="2">
        <f ca="1">IFERROR(__xludf.DUMMYFUNCTION("""COMPUTED_VALUE"""),71.647)</f>
        <v>71.647000000000006</v>
      </c>
      <c r="M2756" s="2">
        <f ca="1">IFERROR(__xludf.DUMMYFUNCTION("""COMPUTED_VALUE"""),18.192)</f>
        <v>18.192</v>
      </c>
      <c r="U2756" s="3" t="e">
        <f ca="1"/>
        <v>#NAME?</v>
      </c>
    </row>
    <row r="2757" spans="3:21" ht="12.5" x14ac:dyDescent="0.25">
      <c r="C2757" s="4">
        <f ca="1">IFERROR(__xludf.DUMMYFUNCTION("""COMPUTED_VALUE"""),43163.9986111111)</f>
        <v>43163.998611111099</v>
      </c>
      <c r="D2757" s="2">
        <f ca="1">IFERROR(__xludf.DUMMYFUNCTION("""COMPUTED_VALUE"""),65.1867)</f>
        <v>65.186700000000002</v>
      </c>
      <c r="E2757" s="2">
        <f ca="1">IFERROR(__xludf.DUMMYFUNCTION("""COMPUTED_VALUE"""),79.89)</f>
        <v>79.89</v>
      </c>
      <c r="F2757" s="2">
        <f ca="1">IFERROR(__xludf.DUMMYFUNCTION("""COMPUTED_VALUE"""),90.574)</f>
        <v>90.573999999999998</v>
      </c>
      <c r="G2757" s="2">
        <f ca="1">IFERROR(__xludf.DUMMYFUNCTION("""COMPUTED_VALUE"""),0.62938)</f>
        <v>0.62938000000000005</v>
      </c>
      <c r="H2757" s="2">
        <f ca="1">IFERROR(__xludf.DUMMYFUNCTION("""COMPUTED_VALUE"""),51.545)</f>
        <v>51.545000000000002</v>
      </c>
      <c r="I2757" s="2">
        <f ca="1">IFERROR(__xludf.DUMMYFUNCTION("""COMPUTED_VALUE"""),54.491)</f>
        <v>54.491</v>
      </c>
      <c r="J2757" s="2">
        <f ca="1">IFERROR(__xludf.DUMMYFUNCTION("""COMPUTED_VALUE"""),52.452)</f>
        <v>52.451999999999998</v>
      </c>
      <c r="K2757" s="2">
        <f ca="1">IFERROR(__xludf.DUMMYFUNCTION("""COMPUTED_VALUE"""),71.013)</f>
        <v>71.013000000000005</v>
      </c>
      <c r="M2757" s="2">
        <f ca="1">IFERROR(__xludf.DUMMYFUNCTION("""COMPUTED_VALUE"""),18.349)</f>
        <v>18.349</v>
      </c>
      <c r="U2757" s="3" t="e">
        <f ca="1"/>
        <v>#NAME?</v>
      </c>
    </row>
    <row r="2758" spans="3:21" ht="12.5" x14ac:dyDescent="0.25">
      <c r="C2758" s="4">
        <f ca="1">IFERROR(__xludf.DUMMYFUNCTION("""COMPUTED_VALUE"""),43164.9986111111)</f>
        <v>43164.998611111099</v>
      </c>
      <c r="D2758" s="2">
        <f ca="1">IFERROR(__xludf.DUMMYFUNCTION("""COMPUTED_VALUE"""),65.0037)</f>
        <v>65.003699999999995</v>
      </c>
      <c r="E2758" s="2">
        <f ca="1">IFERROR(__xludf.DUMMYFUNCTION("""COMPUTED_VALUE"""),79.747)</f>
        <v>79.747</v>
      </c>
      <c r="F2758" s="2">
        <f ca="1">IFERROR(__xludf.DUMMYFUNCTION("""COMPUTED_VALUE"""),90.574)</f>
        <v>90.573999999999998</v>
      </c>
      <c r="G2758" s="2">
        <f ca="1">IFERROR(__xludf.DUMMYFUNCTION("""COMPUTED_VALUE"""),0.61739)</f>
        <v>0.61738999999999999</v>
      </c>
      <c r="H2758" s="2">
        <f ca="1">IFERROR(__xludf.DUMMYFUNCTION("""COMPUTED_VALUE"""),51.726)</f>
        <v>51.725999999999999</v>
      </c>
      <c r="I2758" s="2">
        <f ca="1">IFERROR(__xludf.DUMMYFUNCTION("""COMPUTED_VALUE"""),54.491)</f>
        <v>54.491</v>
      </c>
      <c r="J2758" s="2">
        <f ca="1">IFERROR(__xludf.DUMMYFUNCTION("""COMPUTED_VALUE"""),52.384)</f>
        <v>52.384</v>
      </c>
      <c r="K2758" s="2">
        <f ca="1">IFERROR(__xludf.DUMMYFUNCTION("""COMPUTED_VALUE"""),70.834)</f>
        <v>70.834000000000003</v>
      </c>
      <c r="M2758" s="2">
        <f ca="1">IFERROR(__xludf.DUMMYFUNCTION("""COMPUTED_VALUE"""),18.38)</f>
        <v>18.38</v>
      </c>
      <c r="U2758" s="3" t="e">
        <f ca="1"/>
        <v>#NAME?</v>
      </c>
    </row>
    <row r="2759" spans="3:21" ht="12.5" x14ac:dyDescent="0.25">
      <c r="C2759" s="4">
        <f ca="1">IFERROR(__xludf.DUMMYFUNCTION("""COMPUTED_VALUE"""),43165.9986111111)</f>
        <v>43165.998611111099</v>
      </c>
      <c r="D2759" s="2">
        <f ca="1">IFERROR(__xludf.DUMMYFUNCTION("""COMPUTED_VALUE"""),64.89)</f>
        <v>64.89</v>
      </c>
      <c r="E2759" s="2">
        <f ca="1">IFERROR(__xludf.DUMMYFUNCTION("""COMPUTED_VALUE"""),80.159)</f>
        <v>80.159000000000006</v>
      </c>
      <c r="F2759" s="2">
        <f ca="1">IFERROR(__xludf.DUMMYFUNCTION("""COMPUTED_VALUE"""),90.443)</f>
        <v>90.442999999999998</v>
      </c>
      <c r="G2759" s="2">
        <f ca="1">IFERROR(__xludf.DUMMYFUNCTION("""COMPUTED_VALUE"""),0.62557)</f>
        <v>0.62556999999999996</v>
      </c>
      <c r="H2759" s="2">
        <f ca="1">IFERROR(__xludf.DUMMYFUNCTION("""COMPUTED_VALUE"""),51.731)</f>
        <v>51.731000000000002</v>
      </c>
      <c r="I2759" s="2">
        <f ca="1">IFERROR(__xludf.DUMMYFUNCTION("""COMPUTED_VALUE"""),54.491)</f>
        <v>54.491</v>
      </c>
      <c r="J2759" s="2">
        <f ca="1">IFERROR(__xludf.DUMMYFUNCTION("""COMPUTED_VALUE"""),52.238)</f>
        <v>52.238</v>
      </c>
      <c r="K2759" s="2">
        <f ca="1">IFERROR(__xludf.DUMMYFUNCTION("""COMPUTED_VALUE"""),70.816)</f>
        <v>70.816000000000003</v>
      </c>
      <c r="M2759" s="2">
        <f ca="1">IFERROR(__xludf.DUMMYFUNCTION("""COMPUTED_VALUE"""),18.38)</f>
        <v>18.38</v>
      </c>
      <c r="U2759" s="3" t="e">
        <f ca="1"/>
        <v>#NAME?</v>
      </c>
    </row>
    <row r="2760" spans="3:21" ht="12.5" x14ac:dyDescent="0.25">
      <c r="C2760" s="4">
        <f ca="1">IFERROR(__xludf.DUMMYFUNCTION("""COMPUTED_VALUE"""),43166.9986111111)</f>
        <v>43166.998611111099</v>
      </c>
      <c r="D2760" s="2">
        <f ca="1">IFERROR(__xludf.DUMMYFUNCTION("""COMPUTED_VALUE"""),64.8912)</f>
        <v>64.891199999999998</v>
      </c>
      <c r="E2760" s="2">
        <f ca="1">IFERROR(__xludf.DUMMYFUNCTION("""COMPUTED_VALUE"""),80.48)</f>
        <v>80.48</v>
      </c>
      <c r="F2760" s="2">
        <f ca="1">IFERROR(__xludf.DUMMYFUNCTION("""COMPUTED_VALUE"""),89.725)</f>
        <v>89.724999999999994</v>
      </c>
      <c r="G2760" s="2">
        <f ca="1">IFERROR(__xludf.DUMMYFUNCTION("""COMPUTED_VALUE"""),0.62334)</f>
        <v>0.62334000000000001</v>
      </c>
      <c r="H2760" s="2">
        <f ca="1">IFERROR(__xludf.DUMMYFUNCTION("""COMPUTED_VALUE"""),51.731)</f>
        <v>51.731000000000002</v>
      </c>
      <c r="I2760" s="2">
        <f ca="1">IFERROR(__xludf.DUMMYFUNCTION("""COMPUTED_VALUE"""),54.616)</f>
        <v>54.616</v>
      </c>
      <c r="J2760" s="2">
        <f ca="1">IFERROR(__xludf.DUMMYFUNCTION("""COMPUTED_VALUE"""),51.982)</f>
        <v>51.981999999999999</v>
      </c>
      <c r="K2760" s="2">
        <f ca="1">IFERROR(__xludf.DUMMYFUNCTION("""COMPUTED_VALUE"""),70.861)</f>
        <v>70.861000000000004</v>
      </c>
      <c r="M2760" s="2">
        <f ca="1">IFERROR(__xludf.DUMMYFUNCTION("""COMPUTED_VALUE"""),18.381)</f>
        <v>18.381</v>
      </c>
      <c r="U2760" s="3" t="e">
        <f ca="1"/>
        <v>#NAME?</v>
      </c>
    </row>
    <row r="2761" spans="3:21" ht="12.5" x14ac:dyDescent="0.25">
      <c r="C2761" s="4">
        <f ca="1">IFERROR(__xludf.DUMMYFUNCTION("""COMPUTED_VALUE"""),43167.9986111111)</f>
        <v>43167.998611111099</v>
      </c>
      <c r="D2761" s="2">
        <f ca="1">IFERROR(__xludf.DUMMYFUNCTION("""COMPUTED_VALUE"""),65.0904)</f>
        <v>65.090400000000002</v>
      </c>
      <c r="E2761" s="2">
        <f ca="1">IFERROR(__xludf.DUMMYFUNCTION("""COMPUTED_VALUE"""),80.658)</f>
        <v>80.658000000000001</v>
      </c>
      <c r="F2761" s="2">
        <f ca="1">IFERROR(__xludf.DUMMYFUNCTION("""COMPUTED_VALUE"""),89.295)</f>
        <v>89.295000000000002</v>
      </c>
      <c r="G2761" s="2">
        <f ca="1">IFERROR(__xludf.DUMMYFUNCTION("""COMPUTED_VALUE"""),0.62471)</f>
        <v>0.62470999999999999</v>
      </c>
      <c r="H2761" s="2">
        <f ca="1">IFERROR(__xludf.DUMMYFUNCTION("""COMPUTED_VALUE"""),51.675)</f>
        <v>51.674999999999997</v>
      </c>
      <c r="I2761" s="2">
        <f ca="1">IFERROR(__xludf.DUMMYFUNCTION("""COMPUTED_VALUE"""),54.432)</f>
        <v>54.432000000000002</v>
      </c>
      <c r="J2761" s="2">
        <f ca="1">IFERROR(__xludf.DUMMYFUNCTION("""COMPUTED_VALUE"""),52.073)</f>
        <v>52.073</v>
      </c>
      <c r="K2761" s="2">
        <f ca="1">IFERROR(__xludf.DUMMYFUNCTION("""COMPUTED_VALUE"""),70.825)</f>
        <v>70.825000000000003</v>
      </c>
      <c r="M2761" s="2">
        <f ca="1">IFERROR(__xludf.DUMMYFUNCTION("""COMPUTED_VALUE"""),18.363)</f>
        <v>18.363</v>
      </c>
      <c r="U2761" s="3" t="e">
        <f ca="1"/>
        <v>#NAME?</v>
      </c>
    </row>
    <row r="2762" spans="3:21" ht="12.5" x14ac:dyDescent="0.25">
      <c r="C2762" s="4">
        <f ca="1">IFERROR(__xludf.DUMMYFUNCTION("""COMPUTED_VALUE"""),43168.9986111111)</f>
        <v>43168.998611111099</v>
      </c>
      <c r="D2762" s="2">
        <f ca="1">IFERROR(__xludf.DUMMYFUNCTION("""COMPUTED_VALUE"""),64.98)</f>
        <v>64.98</v>
      </c>
      <c r="E2762" s="2">
        <f ca="1">IFERROR(__xludf.DUMMYFUNCTION("""COMPUTED_VALUE"""),80.8)</f>
        <v>80.8</v>
      </c>
      <c r="F2762" s="2">
        <f ca="1">IFERROR(__xludf.DUMMYFUNCTION("""COMPUTED_VALUE"""),89.05)</f>
        <v>89.05</v>
      </c>
      <c r="G2762" s="2">
        <f ca="1">IFERROR(__xludf.DUMMYFUNCTION("""COMPUTED_VALUE"""),0.62478)</f>
        <v>0.62478</v>
      </c>
      <c r="H2762" s="2">
        <f ca="1">IFERROR(__xludf.DUMMYFUNCTION("""COMPUTED_VALUE"""),51.754)</f>
        <v>51.753999999999998</v>
      </c>
      <c r="I2762" s="2">
        <f ca="1">IFERROR(__xludf.DUMMYFUNCTION("""COMPUTED_VALUE"""),54.082)</f>
        <v>54.082000000000001</v>
      </c>
      <c r="J2762" s="2">
        <f ca="1">IFERROR(__xludf.DUMMYFUNCTION("""COMPUTED_VALUE"""),52.26)</f>
        <v>52.26</v>
      </c>
      <c r="K2762" s="2">
        <f ca="1">IFERROR(__xludf.DUMMYFUNCTION("""COMPUTED_VALUE"""),71.042)</f>
        <v>71.042000000000002</v>
      </c>
      <c r="M2762" s="2">
        <f ca="1">IFERROR(__xludf.DUMMYFUNCTION("""COMPUTED_VALUE"""),18.366)</f>
        <v>18.366</v>
      </c>
      <c r="U2762" s="3" t="e">
        <f ca="1"/>
        <v>#NAME?</v>
      </c>
    </row>
    <row r="2763" spans="3:21" ht="12.5" x14ac:dyDescent="0.25">
      <c r="C2763" s="4">
        <f ca="1">IFERROR(__xludf.DUMMYFUNCTION("""COMPUTED_VALUE"""),43169.9986111111)</f>
        <v>43169.998611111099</v>
      </c>
      <c r="D2763" s="2">
        <f ca="1">IFERROR(__xludf.DUMMYFUNCTION("""COMPUTED_VALUE"""),64.9399)</f>
        <v>64.939899999999994</v>
      </c>
      <c r="E2763" s="2">
        <f ca="1">IFERROR(__xludf.DUMMYFUNCTION("""COMPUTED_VALUE"""),80.557)</f>
        <v>80.557000000000002</v>
      </c>
      <c r="F2763" s="2">
        <f ca="1">IFERROR(__xludf.DUMMYFUNCTION("""COMPUTED_VALUE"""),89.794)</f>
        <v>89.793999999999997</v>
      </c>
      <c r="G2763" s="2">
        <f ca="1">IFERROR(__xludf.DUMMYFUNCTION("""COMPUTED_VALUE"""),0.62397)</f>
        <v>0.62397000000000002</v>
      </c>
      <c r="H2763" s="2">
        <f ca="1">IFERROR(__xludf.DUMMYFUNCTION("""COMPUTED_VALUE"""),50.811)</f>
        <v>50.811</v>
      </c>
      <c r="I2763" s="2">
        <f ca="1">IFERROR(__xludf.DUMMYFUNCTION("""COMPUTED_VALUE"""),53.51)</f>
        <v>53.51</v>
      </c>
      <c r="J2763" s="2">
        <f ca="1">IFERROR(__xludf.DUMMYFUNCTION("""COMPUTED_VALUE"""),52.521)</f>
        <v>52.521000000000001</v>
      </c>
      <c r="K2763" s="2">
        <f ca="1">IFERROR(__xludf.DUMMYFUNCTION("""COMPUTED_VALUE"""),69.973)</f>
        <v>69.972999999999999</v>
      </c>
      <c r="M2763" s="2">
        <f ca="1">IFERROR(__xludf.DUMMYFUNCTION("""COMPUTED_VALUE"""),18.453)</f>
        <v>18.452999999999999</v>
      </c>
      <c r="U2763" s="3" t="e">
        <f ca="1"/>
        <v>#NAME?</v>
      </c>
    </row>
    <row r="2764" spans="3:21" ht="12.5" x14ac:dyDescent="0.25">
      <c r="C2764" s="4">
        <f ca="1">IFERROR(__xludf.DUMMYFUNCTION("""COMPUTED_VALUE"""),43170.9986111111)</f>
        <v>43170.998611111099</v>
      </c>
      <c r="D2764" s="2">
        <f ca="1">IFERROR(__xludf.DUMMYFUNCTION("""COMPUTED_VALUE"""),64.9649)</f>
        <v>64.9649</v>
      </c>
      <c r="E2764" s="2">
        <f ca="1">IFERROR(__xludf.DUMMYFUNCTION("""COMPUTED_VALUE"""),80.641)</f>
        <v>80.641000000000005</v>
      </c>
      <c r="F2764" s="2">
        <f ca="1">IFERROR(__xludf.DUMMYFUNCTION("""COMPUTED_VALUE"""),88.804)</f>
        <v>88.804000000000002</v>
      </c>
      <c r="G2764" s="2">
        <f ca="1">IFERROR(__xludf.DUMMYFUNCTION("""COMPUTED_VALUE"""),0.62041)</f>
        <v>0.62041000000000002</v>
      </c>
      <c r="H2764" s="2">
        <f ca="1">IFERROR(__xludf.DUMMYFUNCTION("""COMPUTED_VALUE"""),50.537)</f>
        <v>50.536999999999999</v>
      </c>
      <c r="I2764" s="2">
        <f ca="1">IFERROR(__xludf.DUMMYFUNCTION("""COMPUTED_VALUE"""),53.583)</f>
        <v>53.582999999999998</v>
      </c>
      <c r="J2764" s="2">
        <f ca="1">IFERROR(__xludf.DUMMYFUNCTION("""COMPUTED_VALUE"""),52.566)</f>
        <v>52.566000000000003</v>
      </c>
      <c r="K2764" s="2">
        <f ca="1">IFERROR(__xludf.DUMMYFUNCTION("""COMPUTED_VALUE"""),69.659)</f>
        <v>69.659000000000006</v>
      </c>
      <c r="M2764" s="2">
        <f ca="1">IFERROR(__xludf.DUMMYFUNCTION("""COMPUTED_VALUE"""),18.423)</f>
        <v>18.422999999999998</v>
      </c>
      <c r="U2764" s="3" t="e">
        <f ca="1"/>
        <v>#NAME?</v>
      </c>
    </row>
    <row r="2765" spans="3:21" ht="12.5" x14ac:dyDescent="0.25">
      <c r="C2765" s="4">
        <f ca="1">IFERROR(__xludf.DUMMYFUNCTION("""COMPUTED_VALUE"""),43171.9986111111)</f>
        <v>43171.998611111099</v>
      </c>
      <c r="D2765" s="2">
        <f ca="1">IFERROR(__xludf.DUMMYFUNCTION("""COMPUTED_VALUE"""),64.9455)</f>
        <v>64.945499999999996</v>
      </c>
      <c r="E2765" s="2">
        <f ca="1">IFERROR(__xludf.DUMMYFUNCTION("""COMPUTED_VALUE"""),80.492)</f>
        <v>80.492000000000004</v>
      </c>
      <c r="F2765" s="2">
        <f ca="1">IFERROR(__xludf.DUMMYFUNCTION("""COMPUTED_VALUE"""),88.804)</f>
        <v>88.804000000000002</v>
      </c>
      <c r="G2765" s="2">
        <f ca="1">IFERROR(__xludf.DUMMYFUNCTION("""COMPUTED_VALUE"""),0.61854)</f>
        <v>0.61853999999999998</v>
      </c>
      <c r="H2765" s="2">
        <f ca="1">IFERROR(__xludf.DUMMYFUNCTION("""COMPUTED_VALUE"""),50.433)</f>
        <v>50.433</v>
      </c>
      <c r="I2765" s="2">
        <f ca="1">IFERROR(__xludf.DUMMYFUNCTION("""COMPUTED_VALUE"""),53.576)</f>
        <v>53.576000000000001</v>
      </c>
      <c r="J2765" s="2">
        <f ca="1">IFERROR(__xludf.DUMMYFUNCTION("""COMPUTED_VALUE"""),52.674)</f>
        <v>52.673999999999999</v>
      </c>
      <c r="K2765" s="2">
        <f ca="1">IFERROR(__xludf.DUMMYFUNCTION("""COMPUTED_VALUE"""),69.656)</f>
        <v>69.656000000000006</v>
      </c>
      <c r="M2765" s="2">
        <f ca="1">IFERROR(__xludf.DUMMYFUNCTION("""COMPUTED_VALUE"""),18.559)</f>
        <v>18.559000000000001</v>
      </c>
      <c r="U2765" s="3" t="e">
        <f ca="1"/>
        <v>#NAME?</v>
      </c>
    </row>
    <row r="2766" spans="3:21" ht="12.5" x14ac:dyDescent="0.25">
      <c r="C2766" s="4">
        <f ca="1">IFERROR(__xludf.DUMMYFUNCTION("""COMPUTED_VALUE"""),43172.9986111111)</f>
        <v>43172.998611111099</v>
      </c>
      <c r="D2766" s="2">
        <f ca="1">IFERROR(__xludf.DUMMYFUNCTION("""COMPUTED_VALUE"""),64.8281)</f>
        <v>64.828100000000006</v>
      </c>
      <c r="E2766" s="2">
        <f ca="1">IFERROR(__xludf.DUMMYFUNCTION("""COMPUTED_VALUE"""),80.492)</f>
        <v>80.492000000000004</v>
      </c>
      <c r="F2766" s="2">
        <f ca="1">IFERROR(__xludf.DUMMYFUNCTION("""COMPUTED_VALUE"""),88.763)</f>
        <v>88.763000000000005</v>
      </c>
      <c r="G2766" s="2">
        <f ca="1">IFERROR(__xludf.DUMMYFUNCTION("""COMPUTED_VALUE"""),0.61377)</f>
        <v>0.61377000000000004</v>
      </c>
      <c r="H2766" s="2">
        <f ca="1">IFERROR(__xludf.DUMMYFUNCTION("""COMPUTED_VALUE"""),50.429)</f>
        <v>50.429000000000002</v>
      </c>
      <c r="I2766" s="2">
        <f ca="1">IFERROR(__xludf.DUMMYFUNCTION("""COMPUTED_VALUE"""),53.583)</f>
        <v>53.582999999999998</v>
      </c>
      <c r="J2766" s="2">
        <f ca="1">IFERROR(__xludf.DUMMYFUNCTION("""COMPUTED_VALUE"""),52.533)</f>
        <v>52.533000000000001</v>
      </c>
      <c r="K2766" s="2">
        <f ca="1">IFERROR(__xludf.DUMMYFUNCTION("""COMPUTED_VALUE"""),70.516)</f>
        <v>70.516000000000005</v>
      </c>
      <c r="M2766" s="2">
        <f ca="1">IFERROR(__xludf.DUMMYFUNCTION("""COMPUTED_VALUE"""),18.528)</f>
        <v>18.527999999999999</v>
      </c>
      <c r="U2766" s="3" t="e">
        <f ca="1"/>
        <v>#NAME?</v>
      </c>
    </row>
    <row r="2767" spans="3:21" ht="12.5" x14ac:dyDescent="0.25">
      <c r="C2767" s="4">
        <f ca="1">IFERROR(__xludf.DUMMYFUNCTION("""COMPUTED_VALUE"""),43173.9986111111)</f>
        <v>43173.998611111099</v>
      </c>
      <c r="D2767" s="2">
        <f ca="1">IFERROR(__xludf.DUMMYFUNCTION("""COMPUTED_VALUE"""),64.8368)</f>
        <v>64.836799999999997</v>
      </c>
      <c r="E2767" s="2">
        <f ca="1">IFERROR(__xludf.DUMMYFUNCTION("""COMPUTED_VALUE"""),80.492)</f>
        <v>80.492000000000004</v>
      </c>
      <c r="F2767" s="2">
        <f ca="1">IFERROR(__xludf.DUMMYFUNCTION("""COMPUTED_VALUE"""),89.011)</f>
        <v>89.010999999999996</v>
      </c>
      <c r="G2767" s="2">
        <f ca="1">IFERROR(__xludf.DUMMYFUNCTION("""COMPUTED_VALUE"""),0.61716)</f>
        <v>0.61716000000000004</v>
      </c>
      <c r="H2767" s="2">
        <f ca="1">IFERROR(__xludf.DUMMYFUNCTION("""COMPUTED_VALUE"""),50.433)</f>
        <v>50.433</v>
      </c>
      <c r="I2767" s="2">
        <f ca="1">IFERROR(__xludf.DUMMYFUNCTION("""COMPUTED_VALUE"""),53.422)</f>
        <v>53.421999999999997</v>
      </c>
      <c r="J2767" s="2">
        <f ca="1">IFERROR(__xludf.DUMMYFUNCTION("""COMPUTED_VALUE"""),52.54)</f>
        <v>52.54</v>
      </c>
      <c r="K2767" s="2">
        <f ca="1">IFERROR(__xludf.DUMMYFUNCTION("""COMPUTED_VALUE"""),70.639)</f>
        <v>70.638999999999996</v>
      </c>
      <c r="M2767" s="2">
        <f ca="1">IFERROR(__xludf.DUMMYFUNCTION("""COMPUTED_VALUE"""),18.514)</f>
        <v>18.513999999999999</v>
      </c>
      <c r="U2767" s="3" t="e">
        <f ca="1"/>
        <v>#NAME?</v>
      </c>
    </row>
    <row r="2768" spans="3:21" ht="12.5" x14ac:dyDescent="0.25">
      <c r="C2768" s="4">
        <f ca="1">IFERROR(__xludf.DUMMYFUNCTION("""COMPUTED_VALUE"""),43174.9986111111)</f>
        <v>43174.998611111099</v>
      </c>
      <c r="D2768" s="2">
        <f ca="1">IFERROR(__xludf.DUMMYFUNCTION("""COMPUTED_VALUE"""),65.0144)</f>
        <v>65.014399999999995</v>
      </c>
      <c r="E2768" s="2">
        <f ca="1">IFERROR(__xludf.DUMMYFUNCTION("""COMPUTED_VALUE"""),80.42)</f>
        <v>80.42</v>
      </c>
      <c r="F2768" s="2">
        <f ca="1">IFERROR(__xludf.DUMMYFUNCTION("""COMPUTED_VALUE"""),89.211)</f>
        <v>89.210999999999999</v>
      </c>
      <c r="G2768" s="2">
        <f ca="1">IFERROR(__xludf.DUMMYFUNCTION("""COMPUTED_VALUE"""),0.61917)</f>
        <v>0.61917</v>
      </c>
      <c r="H2768" s="2">
        <f ca="1">IFERROR(__xludf.DUMMYFUNCTION("""COMPUTED_VALUE"""),50.191)</f>
        <v>50.191000000000003</v>
      </c>
      <c r="I2768" s="2">
        <f ca="1">IFERROR(__xludf.DUMMYFUNCTION("""COMPUTED_VALUE"""),53.285)</f>
        <v>53.284999999999997</v>
      </c>
      <c r="J2768" s="2">
        <f ca="1">IFERROR(__xludf.DUMMYFUNCTION("""COMPUTED_VALUE"""),52.565)</f>
        <v>52.564999999999998</v>
      </c>
      <c r="K2768" s="2">
        <f ca="1">IFERROR(__xludf.DUMMYFUNCTION("""COMPUTED_VALUE"""),70.699)</f>
        <v>70.698999999999998</v>
      </c>
      <c r="M2768" s="2">
        <f ca="1">IFERROR(__xludf.DUMMYFUNCTION("""COMPUTED_VALUE"""),18.592)</f>
        <v>18.591999999999999</v>
      </c>
      <c r="U2768" s="3" t="e">
        <f ca="1"/>
        <v>#NAME?</v>
      </c>
    </row>
    <row r="2769" spans="3:21" ht="12.5" x14ac:dyDescent="0.25">
      <c r="C2769" s="4">
        <f ca="1">IFERROR(__xludf.DUMMYFUNCTION("""COMPUTED_VALUE"""),43175.9986111111)</f>
        <v>43175.998611111099</v>
      </c>
      <c r="D2769" s="2">
        <f ca="1">IFERROR(__xludf.DUMMYFUNCTION("""COMPUTED_VALUE"""),65.065)</f>
        <v>65.064999999999998</v>
      </c>
      <c r="E2769" s="2">
        <f ca="1">IFERROR(__xludf.DUMMYFUNCTION("""COMPUTED_VALUE"""),80.835)</f>
        <v>80.834999999999994</v>
      </c>
      <c r="F2769" s="2">
        <f ca="1">IFERROR(__xludf.DUMMYFUNCTION("""COMPUTED_VALUE"""),89.743)</f>
        <v>89.742999999999995</v>
      </c>
      <c r="G2769" s="2">
        <f ca="1">IFERROR(__xludf.DUMMYFUNCTION("""COMPUTED_VALUE"""),0.62336)</f>
        <v>0.62336000000000003</v>
      </c>
      <c r="H2769" s="2">
        <f ca="1">IFERROR(__xludf.DUMMYFUNCTION("""COMPUTED_VALUE"""),50.08)</f>
        <v>50.08</v>
      </c>
      <c r="I2769" s="2">
        <f ca="1">IFERROR(__xludf.DUMMYFUNCTION("""COMPUTED_VALUE"""),53.389)</f>
        <v>53.389000000000003</v>
      </c>
      <c r="J2769" s="2">
        <f ca="1">IFERROR(__xludf.DUMMYFUNCTION("""COMPUTED_VALUE"""),52.556)</f>
        <v>52.555999999999997</v>
      </c>
      <c r="K2769" s="2">
        <f ca="1">IFERROR(__xludf.DUMMYFUNCTION("""COMPUTED_VALUE"""),71.26)</f>
        <v>71.260000000000005</v>
      </c>
      <c r="M2769" s="2">
        <f ca="1">IFERROR(__xludf.DUMMYFUNCTION("""COMPUTED_VALUE"""),18.524)</f>
        <v>18.524000000000001</v>
      </c>
      <c r="U2769" s="3" t="e">
        <f ca="1"/>
        <v>#NAME?</v>
      </c>
    </row>
    <row r="2770" spans="3:21" ht="12.5" x14ac:dyDescent="0.25">
      <c r="C2770" s="4">
        <f ca="1">IFERROR(__xludf.DUMMYFUNCTION("""COMPUTED_VALUE"""),43176.9986111111)</f>
        <v>43176.998611111099</v>
      </c>
      <c r="D2770" s="2">
        <f ca="1">IFERROR(__xludf.DUMMYFUNCTION("""COMPUTED_VALUE"""),65.067)</f>
        <v>65.066999999999993</v>
      </c>
      <c r="E2770" s="2">
        <f ca="1">IFERROR(__xludf.DUMMYFUNCTION("""COMPUTED_VALUE"""),80.928)</f>
        <v>80.927999999999997</v>
      </c>
      <c r="F2770" s="2">
        <f ca="1">IFERROR(__xludf.DUMMYFUNCTION("""COMPUTED_VALUE"""),90.139)</f>
        <v>90.138999999999996</v>
      </c>
      <c r="G2770" s="2">
        <f ca="1">IFERROR(__xludf.DUMMYFUNCTION("""COMPUTED_VALUE"""),0.62283)</f>
        <v>0.62282999999999999</v>
      </c>
      <c r="H2770" s="2">
        <f ca="1">IFERROR(__xludf.DUMMYFUNCTION("""COMPUTED_VALUE"""),50.206)</f>
        <v>50.206000000000003</v>
      </c>
      <c r="I2770" s="2">
        <f ca="1">IFERROR(__xludf.DUMMYFUNCTION("""COMPUTED_VALUE"""),53.369)</f>
        <v>53.369</v>
      </c>
      <c r="J2770" s="2">
        <f ca="1">IFERROR(__xludf.DUMMYFUNCTION("""COMPUTED_VALUE"""),52.556)</f>
        <v>52.555999999999997</v>
      </c>
      <c r="K2770" s="2">
        <f ca="1">IFERROR(__xludf.DUMMYFUNCTION("""COMPUTED_VALUE"""),71.455)</f>
        <v>71.454999999999998</v>
      </c>
      <c r="M2770" s="2">
        <f ca="1">IFERROR(__xludf.DUMMYFUNCTION("""COMPUTED_VALUE"""),18.463)</f>
        <v>18.463000000000001</v>
      </c>
      <c r="U2770" s="3" t="e">
        <f ca="1"/>
        <v>#NAME?</v>
      </c>
    </row>
    <row r="2771" spans="3:21" ht="12.5" x14ac:dyDescent="0.25">
      <c r="C2771" s="4">
        <f ca="1">IFERROR(__xludf.DUMMYFUNCTION("""COMPUTED_VALUE"""),43177.9986111111)</f>
        <v>43177.998611111099</v>
      </c>
      <c r="D2771" s="2">
        <f ca="1">IFERROR(__xludf.DUMMYFUNCTION("""COMPUTED_VALUE"""),65.065)</f>
        <v>65.064999999999998</v>
      </c>
      <c r="E2771" s="2">
        <f ca="1">IFERROR(__xludf.DUMMYFUNCTION("""COMPUTED_VALUE"""),80.467)</f>
        <v>80.466999999999999</v>
      </c>
      <c r="F2771" s="2">
        <f ca="1">IFERROR(__xludf.DUMMYFUNCTION("""COMPUTED_VALUE"""),90.312)</f>
        <v>90.311999999999998</v>
      </c>
      <c r="G2771" s="2">
        <f ca="1">IFERROR(__xludf.DUMMYFUNCTION("""COMPUTED_VALUE"""),0.62232)</f>
        <v>0.62231999999999998</v>
      </c>
      <c r="H2771" s="2">
        <f ca="1">IFERROR(__xludf.DUMMYFUNCTION("""COMPUTED_VALUE"""),50.411)</f>
        <v>50.411000000000001</v>
      </c>
      <c r="I2771" s="2">
        <f ca="1">IFERROR(__xludf.DUMMYFUNCTION("""COMPUTED_VALUE"""),53.79)</f>
        <v>53.79</v>
      </c>
      <c r="J2771" s="2">
        <f ca="1">IFERROR(__xludf.DUMMYFUNCTION("""COMPUTED_VALUE"""),52.444)</f>
        <v>52.444000000000003</v>
      </c>
      <c r="K2771" s="2">
        <f ca="1">IFERROR(__xludf.DUMMYFUNCTION("""COMPUTED_VALUE"""),73.189)</f>
        <v>73.188999999999993</v>
      </c>
      <c r="M2771" s="2">
        <f ca="1">IFERROR(__xludf.DUMMYFUNCTION("""COMPUTED_VALUE"""),18.471)</f>
        <v>18.471</v>
      </c>
      <c r="U2771" s="3" t="e">
        <f ca="1"/>
        <v>#NAME?</v>
      </c>
    </row>
    <row r="2772" spans="3:21" ht="12.5" x14ac:dyDescent="0.25">
      <c r="C2772" s="4">
        <f ca="1">IFERROR(__xludf.DUMMYFUNCTION("""COMPUTED_VALUE"""),43178.9986111111)</f>
        <v>43178.998611111099</v>
      </c>
      <c r="D2772" s="2">
        <f ca="1">IFERROR(__xludf.DUMMYFUNCTION("""COMPUTED_VALUE"""),65.2101)</f>
        <v>65.210099999999997</v>
      </c>
      <c r="E2772" s="2">
        <f ca="1">IFERROR(__xludf.DUMMYFUNCTION("""COMPUTED_VALUE"""),80.69)</f>
        <v>80.69</v>
      </c>
      <c r="F2772" s="2">
        <f ca="1">IFERROR(__xludf.DUMMYFUNCTION("""COMPUTED_VALUE"""),90.312)</f>
        <v>90.311999999999998</v>
      </c>
      <c r="G2772" s="2">
        <f ca="1">IFERROR(__xludf.DUMMYFUNCTION("""COMPUTED_VALUE"""),0.61764)</f>
        <v>0.61763999999999997</v>
      </c>
      <c r="H2772" s="2">
        <f ca="1">IFERROR(__xludf.DUMMYFUNCTION("""COMPUTED_VALUE"""),50.885)</f>
        <v>50.884999999999998</v>
      </c>
      <c r="I2772" s="2">
        <f ca="1">IFERROR(__xludf.DUMMYFUNCTION("""COMPUTED_VALUE"""),53.809)</f>
        <v>53.808999999999997</v>
      </c>
      <c r="J2772" s="2">
        <f ca="1">IFERROR(__xludf.DUMMYFUNCTION("""COMPUTED_VALUE"""),52.654)</f>
        <v>52.654000000000003</v>
      </c>
      <c r="K2772" s="2">
        <f ca="1">IFERROR(__xludf.DUMMYFUNCTION("""COMPUTED_VALUE"""),72.712)</f>
        <v>72.712000000000003</v>
      </c>
      <c r="M2772" s="2">
        <f ca="1">IFERROR(__xludf.DUMMYFUNCTION("""COMPUTED_VALUE"""),18.475)</f>
        <v>18.475000000000001</v>
      </c>
      <c r="U2772" s="3" t="e">
        <f ca="1"/>
        <v>#NAME?</v>
      </c>
    </row>
    <row r="2773" spans="3:21" ht="12.5" x14ac:dyDescent="0.25">
      <c r="C2773" s="4">
        <f ca="1">IFERROR(__xludf.DUMMYFUNCTION("""COMPUTED_VALUE"""),43179.9986111111)</f>
        <v>43179.998611111099</v>
      </c>
      <c r="D2773" s="2">
        <f ca="1">IFERROR(__xludf.DUMMYFUNCTION("""COMPUTED_VALUE"""),65.2324)</f>
        <v>65.232399999999998</v>
      </c>
      <c r="E2773" s="2">
        <f ca="1">IFERROR(__xludf.DUMMYFUNCTION("""COMPUTED_VALUE"""),80.314)</f>
        <v>80.313999999999993</v>
      </c>
      <c r="F2773" s="2">
        <f ca="1">IFERROR(__xludf.DUMMYFUNCTION("""COMPUTED_VALUE"""),90.282)</f>
        <v>90.281999999999996</v>
      </c>
      <c r="G2773" s="2">
        <f ca="1">IFERROR(__xludf.DUMMYFUNCTION("""COMPUTED_VALUE"""),0.61717)</f>
        <v>0.61717</v>
      </c>
      <c r="H2773" s="2">
        <f ca="1">IFERROR(__xludf.DUMMYFUNCTION("""COMPUTED_VALUE"""),50.918)</f>
        <v>50.917999999999999</v>
      </c>
      <c r="I2773" s="2">
        <f ca="1">IFERROR(__xludf.DUMMYFUNCTION("""COMPUTED_VALUE"""),53.809)</f>
        <v>53.808999999999997</v>
      </c>
      <c r="J2773" s="2">
        <f ca="1">IFERROR(__xludf.DUMMYFUNCTION("""COMPUTED_VALUE"""),52.751)</f>
        <v>52.750999999999998</v>
      </c>
      <c r="K2773" s="2">
        <f ca="1">IFERROR(__xludf.DUMMYFUNCTION("""COMPUTED_VALUE"""),72.291)</f>
        <v>72.290999999999997</v>
      </c>
      <c r="M2773" s="2">
        <f ca="1">IFERROR(__xludf.DUMMYFUNCTION("""COMPUTED_VALUE"""),18.539)</f>
        <v>18.539000000000001</v>
      </c>
      <c r="U2773" s="3" t="e">
        <f ca="1"/>
        <v>#NAME?</v>
      </c>
    </row>
    <row r="2774" spans="3:21" ht="12.5" x14ac:dyDescent="0.25">
      <c r="C2774" s="4">
        <f ca="1">IFERROR(__xludf.DUMMYFUNCTION("""COMPUTED_VALUE"""),43180.9986111111)</f>
        <v>43180.998611111099</v>
      </c>
      <c r="D2774" s="2">
        <f ca="1">IFERROR(__xludf.DUMMYFUNCTION("""COMPUTED_VALUE"""),65.0656)</f>
        <v>65.065600000000003</v>
      </c>
      <c r="E2774" s="2">
        <f ca="1">IFERROR(__xludf.DUMMYFUNCTION("""COMPUTED_VALUE"""),79.627)</f>
        <v>79.626999999999995</v>
      </c>
      <c r="F2774" s="2">
        <f ca="1">IFERROR(__xludf.DUMMYFUNCTION("""COMPUTED_VALUE"""),90.28)</f>
        <v>90.28</v>
      </c>
      <c r="G2774" s="2">
        <f ca="1">IFERROR(__xludf.DUMMYFUNCTION("""COMPUTED_VALUE"""),0.61691)</f>
        <v>0.61690999999999996</v>
      </c>
      <c r="H2774" s="2">
        <f ca="1">IFERROR(__xludf.DUMMYFUNCTION("""COMPUTED_VALUE"""),50.918)</f>
        <v>50.917999999999999</v>
      </c>
      <c r="I2774" s="2">
        <f ca="1">IFERROR(__xludf.DUMMYFUNCTION("""COMPUTED_VALUE"""),53.938)</f>
        <v>53.938000000000002</v>
      </c>
      <c r="J2774" s="2">
        <f ca="1">IFERROR(__xludf.DUMMYFUNCTION("""COMPUTED_VALUE"""),52.346)</f>
        <v>52.345999999999997</v>
      </c>
      <c r="K2774" s="2">
        <f ca="1">IFERROR(__xludf.DUMMYFUNCTION("""COMPUTED_VALUE"""),71.927)</f>
        <v>71.927000000000007</v>
      </c>
      <c r="M2774" s="2">
        <f ca="1">IFERROR(__xludf.DUMMYFUNCTION("""COMPUTED_VALUE"""),18.609)</f>
        <v>18.609000000000002</v>
      </c>
      <c r="U2774" s="3" t="e">
        <f ca="1"/>
        <v>#NAME?</v>
      </c>
    </row>
    <row r="2775" spans="3:21" ht="12.5" x14ac:dyDescent="0.25">
      <c r="C2775" s="4">
        <f ca="1">IFERROR(__xludf.DUMMYFUNCTION("""COMPUTED_VALUE"""),43181.9986111111)</f>
        <v>43181.998611111099</v>
      </c>
      <c r="D2775" s="2">
        <f ca="1">IFERROR(__xludf.DUMMYFUNCTION("""COMPUTED_VALUE"""),65.16)</f>
        <v>65.16</v>
      </c>
      <c r="E2775" s="2">
        <f ca="1">IFERROR(__xludf.DUMMYFUNCTION("""COMPUTED_VALUE"""),79.205)</f>
        <v>79.204999999999998</v>
      </c>
      <c r="F2775" s="2">
        <f ca="1">IFERROR(__xludf.DUMMYFUNCTION("""COMPUTED_VALUE"""),90.796)</f>
        <v>90.796000000000006</v>
      </c>
      <c r="G2775" s="2">
        <f ca="1">IFERROR(__xludf.DUMMYFUNCTION("""COMPUTED_VALUE"""),0.61691)</f>
        <v>0.61690999999999996</v>
      </c>
      <c r="H2775" s="2">
        <f ca="1">IFERROR(__xludf.DUMMYFUNCTION("""COMPUTED_VALUE"""),51.068)</f>
        <v>51.067999999999998</v>
      </c>
      <c r="I2775" s="2">
        <f ca="1">IFERROR(__xludf.DUMMYFUNCTION("""COMPUTED_VALUE"""),53.905)</f>
        <v>53.905000000000001</v>
      </c>
      <c r="J2775" s="2">
        <f ca="1">IFERROR(__xludf.DUMMYFUNCTION("""COMPUTED_VALUE"""),52.386)</f>
        <v>52.386000000000003</v>
      </c>
      <c r="K2775" s="2">
        <f ca="1">IFERROR(__xludf.DUMMYFUNCTION("""COMPUTED_VALUE"""),72.018)</f>
        <v>72.018000000000001</v>
      </c>
      <c r="M2775" s="2">
        <f ca="1">IFERROR(__xludf.DUMMYFUNCTION("""COMPUTED_VALUE"""),18.761)</f>
        <v>18.760999999999999</v>
      </c>
      <c r="U2775" s="3" t="e">
        <f ca="1"/>
        <v>#NAME?</v>
      </c>
    </row>
    <row r="2776" spans="3:21" ht="12.5" x14ac:dyDescent="0.25">
      <c r="C2776" s="4">
        <f ca="1">IFERROR(__xludf.DUMMYFUNCTION("""COMPUTED_VALUE"""),43182.9986111111)</f>
        <v>43182.998611111099</v>
      </c>
      <c r="D2776" s="2">
        <f ca="1">IFERROR(__xludf.DUMMYFUNCTION("""COMPUTED_VALUE"""),65.0033)</f>
        <v>65.003299999999996</v>
      </c>
      <c r="E2776" s="2">
        <f ca="1">IFERROR(__xludf.DUMMYFUNCTION("""COMPUTED_VALUE"""),78.439)</f>
        <v>78.438999999999993</v>
      </c>
      <c r="F2776" s="2">
        <f ca="1">IFERROR(__xludf.DUMMYFUNCTION("""COMPUTED_VALUE"""),90.295)</f>
        <v>90.295000000000002</v>
      </c>
      <c r="G2776" s="2">
        <f ca="1">IFERROR(__xludf.DUMMYFUNCTION("""COMPUTED_VALUE"""),0.61928)</f>
        <v>0.61928000000000005</v>
      </c>
      <c r="H2776" s="2">
        <f ca="1">IFERROR(__xludf.DUMMYFUNCTION("""COMPUTED_VALUE"""),50.895)</f>
        <v>50.895000000000003</v>
      </c>
      <c r="I2776" s="2">
        <f ca="1">IFERROR(__xludf.DUMMYFUNCTION("""COMPUTED_VALUE"""),53.766)</f>
        <v>53.765999999999998</v>
      </c>
      <c r="J2776" s="2">
        <f ca="1">IFERROR(__xludf.DUMMYFUNCTION("""COMPUTED_VALUE"""),52.302)</f>
        <v>52.302</v>
      </c>
      <c r="K2776" s="2">
        <f ca="1">IFERROR(__xludf.DUMMYFUNCTION("""COMPUTED_VALUE"""),72.062)</f>
        <v>72.061999999999998</v>
      </c>
      <c r="M2776" s="2">
        <f ca="1">IFERROR(__xludf.DUMMYFUNCTION("""COMPUTED_VALUE"""),18.736)</f>
        <v>18.736000000000001</v>
      </c>
      <c r="U2776" s="3" t="e">
        <f ca="1"/>
        <v>#NAME?</v>
      </c>
    </row>
    <row r="2777" spans="3:21" ht="12.5" x14ac:dyDescent="0.25">
      <c r="C2777" s="4">
        <f ca="1">IFERROR(__xludf.DUMMYFUNCTION("""COMPUTED_VALUE"""),43183.9986111111)</f>
        <v>43183.998611111099</v>
      </c>
      <c r="D2777" s="2">
        <f ca="1">IFERROR(__xludf.DUMMYFUNCTION("""COMPUTED_VALUE"""),65.015)</f>
        <v>65.015000000000001</v>
      </c>
      <c r="E2777" s="2">
        <f ca="1">IFERROR(__xludf.DUMMYFUNCTION("""COMPUTED_VALUE"""),78.637)</f>
        <v>78.637</v>
      </c>
      <c r="F2777" s="2">
        <f ca="1">IFERROR(__xludf.DUMMYFUNCTION("""COMPUTED_VALUE"""),90.626)</f>
        <v>90.626000000000005</v>
      </c>
      <c r="G2777" s="2">
        <f ca="1">IFERROR(__xludf.DUMMYFUNCTION("""COMPUTED_VALUE"""),0.62019)</f>
        <v>0.62019000000000002</v>
      </c>
      <c r="H2777" s="2">
        <f ca="1">IFERROR(__xludf.DUMMYFUNCTION("""COMPUTED_VALUE"""),50.549)</f>
        <v>50.548999999999999</v>
      </c>
      <c r="I2777" s="2">
        <f ca="1">IFERROR(__xludf.DUMMYFUNCTION("""COMPUTED_VALUE"""),54.076)</f>
        <v>54.076000000000001</v>
      </c>
      <c r="J2777" s="2">
        <f ca="1">IFERROR(__xludf.DUMMYFUNCTION("""COMPUTED_VALUE"""),51.952)</f>
        <v>51.951999999999998</v>
      </c>
      <c r="K2777" s="2">
        <f ca="1">IFERROR(__xludf.DUMMYFUNCTION("""COMPUTED_VALUE"""),71.081)</f>
        <v>71.081000000000003</v>
      </c>
      <c r="M2777" s="2">
        <f ca="1">IFERROR(__xludf.DUMMYFUNCTION("""COMPUTED_VALUE"""),18.637)</f>
        <v>18.637</v>
      </c>
      <c r="U2777" s="3" t="e">
        <f ca="1"/>
        <v>#NAME?</v>
      </c>
    </row>
    <row r="2778" spans="3:21" ht="12.5" x14ac:dyDescent="0.25">
      <c r="C2778" s="4">
        <f ca="1">IFERROR(__xludf.DUMMYFUNCTION("""COMPUTED_VALUE"""),43184.9986111111)</f>
        <v>43184.998611111099</v>
      </c>
      <c r="D2778" s="2">
        <f ca="1">IFERROR(__xludf.DUMMYFUNCTION("""COMPUTED_VALUE"""),65.015)</f>
        <v>65.015000000000001</v>
      </c>
      <c r="E2778" s="2">
        <f ca="1">IFERROR(__xludf.DUMMYFUNCTION("""COMPUTED_VALUE"""),78.637)</f>
        <v>78.637</v>
      </c>
      <c r="F2778" s="2">
        <f ca="1">IFERROR(__xludf.DUMMYFUNCTION("""COMPUTED_VALUE"""),90.639)</f>
        <v>90.638999999999996</v>
      </c>
      <c r="G2778" s="2">
        <f ca="1">IFERROR(__xludf.DUMMYFUNCTION("""COMPUTED_VALUE"""),0.61896)</f>
        <v>0.61895999999999995</v>
      </c>
      <c r="H2778" s="2">
        <f ca="1">IFERROR(__xludf.DUMMYFUNCTION("""COMPUTED_VALUE"""),50.621)</f>
        <v>50.621000000000002</v>
      </c>
      <c r="I2778" s="2">
        <f ca="1">IFERROR(__xludf.DUMMYFUNCTION("""COMPUTED_VALUE"""),54.065)</f>
        <v>54.064999999999998</v>
      </c>
      <c r="J2778" s="2">
        <f ca="1">IFERROR(__xludf.DUMMYFUNCTION("""COMPUTED_VALUE"""),51.593)</f>
        <v>51.593000000000004</v>
      </c>
      <c r="K2778" s="2">
        <f ca="1">IFERROR(__xludf.DUMMYFUNCTION("""COMPUTED_VALUE"""),71.067)</f>
        <v>71.066999999999993</v>
      </c>
      <c r="M2778" s="2">
        <f ca="1">IFERROR(__xludf.DUMMYFUNCTION("""COMPUTED_VALUE"""),18.633)</f>
        <v>18.632999999999999</v>
      </c>
      <c r="U2778" s="3" t="e">
        <f ca="1"/>
        <v>#NAME?</v>
      </c>
    </row>
    <row r="2779" spans="3:21" ht="12.5" x14ac:dyDescent="0.25">
      <c r="C2779" s="4">
        <f ca="1">IFERROR(__xludf.DUMMYFUNCTION("""COMPUTED_VALUE"""),43185.9986111111)</f>
        <v>43185.998611111099</v>
      </c>
      <c r="D2779" s="2">
        <f ca="1">IFERROR(__xludf.DUMMYFUNCTION("""COMPUTED_VALUE"""),64.695)</f>
        <v>64.694999999999993</v>
      </c>
      <c r="E2779" s="2">
        <f ca="1">IFERROR(__xludf.DUMMYFUNCTION("""COMPUTED_VALUE"""),78.508)</f>
        <v>78.507999999999996</v>
      </c>
      <c r="F2779" s="2">
        <f ca="1">IFERROR(__xludf.DUMMYFUNCTION("""COMPUTED_VALUE"""),90.374)</f>
        <v>90.373999999999995</v>
      </c>
      <c r="G2779" s="2">
        <f ca="1">IFERROR(__xludf.DUMMYFUNCTION("""COMPUTED_VALUE"""),0.61945)</f>
        <v>0.61944999999999995</v>
      </c>
      <c r="H2779" s="2">
        <f ca="1">IFERROR(__xludf.DUMMYFUNCTION("""COMPUTED_VALUE"""),50.64)</f>
        <v>50.64</v>
      </c>
      <c r="I2779" s="2">
        <f ca="1">IFERROR(__xludf.DUMMYFUNCTION("""COMPUTED_VALUE"""),54.065)</f>
        <v>54.064999999999998</v>
      </c>
      <c r="J2779" s="2">
        <f ca="1">IFERROR(__xludf.DUMMYFUNCTION("""COMPUTED_VALUE"""),51.485)</f>
        <v>51.484999999999999</v>
      </c>
      <c r="K2779" s="2">
        <f ca="1">IFERROR(__xludf.DUMMYFUNCTION("""COMPUTED_VALUE"""),70.832)</f>
        <v>70.831999999999994</v>
      </c>
      <c r="M2779" s="2">
        <f ca="1">IFERROR(__xludf.DUMMYFUNCTION("""COMPUTED_VALUE"""),18.702)</f>
        <v>18.702000000000002</v>
      </c>
      <c r="U2779" s="3" t="e">
        <f ca="1"/>
        <v>#NAME?</v>
      </c>
    </row>
    <row r="2780" spans="3:21" ht="12.5" x14ac:dyDescent="0.25">
      <c r="C2780" s="4">
        <f ca="1">IFERROR(__xludf.DUMMYFUNCTION("""COMPUTED_VALUE"""),43186.9986111111)</f>
        <v>43186.998611111099</v>
      </c>
      <c r="D2780" s="2">
        <f ca="1">IFERROR(__xludf.DUMMYFUNCTION("""COMPUTED_VALUE"""),64.8955)</f>
        <v>64.895499999999998</v>
      </c>
      <c r="E2780" s="2">
        <f ca="1">IFERROR(__xludf.DUMMYFUNCTION("""COMPUTED_VALUE"""),78.509)</f>
        <v>78.509</v>
      </c>
      <c r="F2780" s="2">
        <f ca="1">IFERROR(__xludf.DUMMYFUNCTION("""COMPUTED_VALUE"""),90.374)</f>
        <v>90.373999999999995</v>
      </c>
      <c r="G2780" s="2">
        <f ca="1">IFERROR(__xludf.DUMMYFUNCTION("""COMPUTED_VALUE"""),0.61986)</f>
        <v>0.61985999999999997</v>
      </c>
      <c r="H2780" s="2">
        <f ca="1">IFERROR(__xludf.DUMMYFUNCTION("""COMPUTED_VALUE"""),50.64)</f>
        <v>50.64</v>
      </c>
      <c r="I2780" s="2">
        <f ca="1">IFERROR(__xludf.DUMMYFUNCTION("""COMPUTED_VALUE"""),53.664)</f>
        <v>53.664000000000001</v>
      </c>
      <c r="J2780" s="2">
        <f ca="1">IFERROR(__xludf.DUMMYFUNCTION("""COMPUTED_VALUE"""),51.514)</f>
        <v>51.514000000000003</v>
      </c>
      <c r="K2780" s="2">
        <f ca="1">IFERROR(__xludf.DUMMYFUNCTION("""COMPUTED_VALUE"""),70.469)</f>
        <v>70.468999999999994</v>
      </c>
      <c r="M2780" s="2">
        <f ca="1">IFERROR(__xludf.DUMMYFUNCTION("""COMPUTED_VALUE"""),18.654)</f>
        <v>18.654</v>
      </c>
      <c r="U2780" s="3" t="e">
        <f ca="1"/>
        <v>#NAME?</v>
      </c>
    </row>
    <row r="2781" spans="3:21" ht="12.5" x14ac:dyDescent="0.25">
      <c r="C2781" s="4">
        <f ca="1">IFERROR(__xludf.DUMMYFUNCTION("""COMPUTED_VALUE"""),43187.9986111111)</f>
        <v>43187.998611111099</v>
      </c>
      <c r="D2781" s="2">
        <f ca="1">IFERROR(__xludf.DUMMYFUNCTION("""COMPUTED_VALUE"""),65.1492)</f>
        <v>65.149199999999993</v>
      </c>
      <c r="E2781" s="2">
        <f ca="1">IFERROR(__xludf.DUMMYFUNCTION("""COMPUTED_VALUE"""),78.732)</f>
        <v>78.731999999999999</v>
      </c>
      <c r="F2781" s="2">
        <f ca="1">IFERROR(__xludf.DUMMYFUNCTION("""COMPUTED_VALUE"""),90.475)</f>
        <v>90.474999999999994</v>
      </c>
      <c r="G2781" s="2">
        <f ca="1">IFERROR(__xludf.DUMMYFUNCTION("""COMPUTED_VALUE"""),0.62245)</f>
        <v>0.62244999999999995</v>
      </c>
      <c r="H2781" s="2">
        <f ca="1">IFERROR(__xludf.DUMMYFUNCTION("""COMPUTED_VALUE"""),50.749)</f>
        <v>50.749000000000002</v>
      </c>
      <c r="I2781" s="2">
        <f ca="1">IFERROR(__xludf.DUMMYFUNCTION("""COMPUTED_VALUE"""),53.898)</f>
        <v>53.898000000000003</v>
      </c>
      <c r="J2781" s="2">
        <f ca="1">IFERROR(__xludf.DUMMYFUNCTION("""COMPUTED_VALUE"""),51.466)</f>
        <v>51.466000000000001</v>
      </c>
      <c r="K2781" s="2">
        <f ca="1">IFERROR(__xludf.DUMMYFUNCTION("""COMPUTED_VALUE"""),70.918)</f>
        <v>70.918000000000006</v>
      </c>
      <c r="M2781" s="2">
        <f ca="1">IFERROR(__xludf.DUMMYFUNCTION("""COMPUTED_VALUE"""),18.777)</f>
        <v>18.777000000000001</v>
      </c>
      <c r="U2781" s="3" t="e">
        <f ca="1"/>
        <v>#NAME?</v>
      </c>
    </row>
    <row r="2782" spans="3:21" ht="12.5" x14ac:dyDescent="0.25">
      <c r="C2782" s="4">
        <f ca="1">IFERROR(__xludf.DUMMYFUNCTION("""COMPUTED_VALUE"""),43188.9986111111)</f>
        <v>43188.998611111099</v>
      </c>
      <c r="D2782" s="2">
        <f ca="1">IFERROR(__xludf.DUMMYFUNCTION("""COMPUTED_VALUE"""),65.03)</f>
        <v>65.03</v>
      </c>
      <c r="E2782" s="2">
        <f ca="1">IFERROR(__xludf.DUMMYFUNCTION("""COMPUTED_VALUE"""),78.361)</f>
        <v>78.361000000000004</v>
      </c>
      <c r="F2782" s="2">
        <f ca="1">IFERROR(__xludf.DUMMYFUNCTION("""COMPUTED_VALUE"""),90.266)</f>
        <v>90.266000000000005</v>
      </c>
      <c r="G2782" s="2">
        <f ca="1">IFERROR(__xludf.DUMMYFUNCTION("""COMPUTED_VALUE"""),0.62293)</f>
        <v>0.62292999999999998</v>
      </c>
      <c r="H2782" s="2">
        <f ca="1">IFERROR(__xludf.DUMMYFUNCTION("""COMPUTED_VALUE"""),51.036)</f>
        <v>51.036000000000001</v>
      </c>
      <c r="I2782" s="2">
        <f ca="1">IFERROR(__xludf.DUMMYFUNCTION("""COMPUTED_VALUE"""),54.101)</f>
        <v>54.100999999999999</v>
      </c>
      <c r="J2782" s="2">
        <f ca="1">IFERROR(__xludf.DUMMYFUNCTION("""COMPUTED_VALUE"""),51.371)</f>
        <v>51.371000000000002</v>
      </c>
      <c r="K2782" s="2">
        <f ca="1">IFERROR(__xludf.DUMMYFUNCTION("""COMPUTED_VALUE"""),70.07)</f>
        <v>70.069999999999993</v>
      </c>
      <c r="M2782" s="2">
        <f ca="1">IFERROR(__xludf.DUMMYFUNCTION("""COMPUTED_VALUE"""),18.747)</f>
        <v>18.747</v>
      </c>
      <c r="U2782" s="3" t="e">
        <f ca="1"/>
        <v>#NAME?</v>
      </c>
    </row>
    <row r="2783" spans="3:21" ht="12.5" x14ac:dyDescent="0.25">
      <c r="C2783" s="4">
        <f ca="1">IFERROR(__xludf.DUMMYFUNCTION("""COMPUTED_VALUE"""),43189.9986111111)</f>
        <v>43189.998611111099</v>
      </c>
      <c r="D2783" s="2">
        <f ca="1">IFERROR(__xludf.DUMMYFUNCTION("""COMPUTED_VALUE"""),65.0698)</f>
        <v>65.069800000000001</v>
      </c>
      <c r="E2783" s="2">
        <f ca="1">IFERROR(__xludf.DUMMYFUNCTION("""COMPUTED_VALUE"""),78.045)</f>
        <v>78.045000000000002</v>
      </c>
      <c r="F2783" s="2">
        <f ca="1">IFERROR(__xludf.DUMMYFUNCTION("""COMPUTED_VALUE"""),89.726)</f>
        <v>89.725999999999999</v>
      </c>
      <c r="G2783" s="2">
        <f ca="1">IFERROR(__xludf.DUMMYFUNCTION("""COMPUTED_VALUE"""),0.62288)</f>
        <v>0.62287999999999999</v>
      </c>
      <c r="H2783" s="2">
        <f ca="1">IFERROR(__xludf.DUMMYFUNCTION("""COMPUTED_VALUE"""),50.833)</f>
        <v>50.832999999999998</v>
      </c>
      <c r="I2783" s="2">
        <f ca="1">IFERROR(__xludf.DUMMYFUNCTION("""COMPUTED_VALUE"""),53.741)</f>
        <v>53.741</v>
      </c>
      <c r="J2783" s="2">
        <f ca="1">IFERROR(__xludf.DUMMYFUNCTION("""COMPUTED_VALUE"""),51.286)</f>
        <v>51.286000000000001</v>
      </c>
      <c r="K2783" s="2">
        <f ca="1">IFERROR(__xludf.DUMMYFUNCTION("""COMPUTED_VALUE"""),70.704)</f>
        <v>70.703999999999994</v>
      </c>
      <c r="M2783" s="2">
        <f ca="1">IFERROR(__xludf.DUMMYFUNCTION("""COMPUTED_VALUE"""),18.721)</f>
        <v>18.721</v>
      </c>
      <c r="U2783" s="3" t="e">
        <f ca="1"/>
        <v>#NAME?</v>
      </c>
    </row>
    <row r="2784" spans="3:21" ht="12.5" x14ac:dyDescent="0.25">
      <c r="C2784" s="4">
        <f ca="1">IFERROR(__xludf.DUMMYFUNCTION("""COMPUTED_VALUE"""),43190.9986111111)</f>
        <v>43190.998611111099</v>
      </c>
      <c r="D2784" s="2">
        <f ca="1">IFERROR(__xludf.DUMMYFUNCTION("""COMPUTED_VALUE"""),65.0698)</f>
        <v>65.069800000000001</v>
      </c>
      <c r="E2784" s="2">
        <f ca="1">IFERROR(__xludf.DUMMYFUNCTION("""COMPUTED_VALUE"""),77.717)</f>
        <v>77.716999999999999</v>
      </c>
      <c r="F2784" s="2">
        <f ca="1">IFERROR(__xludf.DUMMYFUNCTION("""COMPUTED_VALUE"""),89.726)</f>
        <v>89.725999999999999</v>
      </c>
      <c r="G2784" s="2">
        <f ca="1">IFERROR(__xludf.DUMMYFUNCTION("""COMPUTED_VALUE"""),0.62798)</f>
        <v>0.62797999999999998</v>
      </c>
      <c r="H2784" s="2">
        <f ca="1">IFERROR(__xludf.DUMMYFUNCTION("""COMPUTED_VALUE"""),50.254)</f>
        <v>50.253999999999998</v>
      </c>
      <c r="I2784" s="2">
        <f ca="1">IFERROR(__xludf.DUMMYFUNCTION("""COMPUTED_VALUE"""),53.384)</f>
        <v>53.384</v>
      </c>
      <c r="J2784" s="2">
        <f ca="1">IFERROR(__xludf.DUMMYFUNCTION("""COMPUTED_VALUE"""),51.365)</f>
        <v>51.365000000000002</v>
      </c>
      <c r="K2784" s="2">
        <f ca="1">IFERROR(__xludf.DUMMYFUNCTION("""COMPUTED_VALUE"""),71.214)</f>
        <v>71.213999999999999</v>
      </c>
      <c r="M2784" s="2">
        <f ca="1">IFERROR(__xludf.DUMMYFUNCTION("""COMPUTED_VALUE"""),18.716)</f>
        <v>18.716000000000001</v>
      </c>
      <c r="U2784" s="3" t="e">
        <f ca="1"/>
        <v>#NAME?</v>
      </c>
    </row>
    <row r="2785" spans="3:21" ht="12.5" x14ac:dyDescent="0.25">
      <c r="C2785" s="4">
        <f ca="1">IFERROR(__xludf.DUMMYFUNCTION("""COMPUTED_VALUE"""),43191.9986111111)</f>
        <v>43191.998611111099</v>
      </c>
      <c r="D2785" s="2">
        <f ca="1">IFERROR(__xludf.DUMMYFUNCTION("""COMPUTED_VALUE"""),65.1055)</f>
        <v>65.105500000000006</v>
      </c>
      <c r="E2785" s="2">
        <f ca="1">IFERROR(__xludf.DUMMYFUNCTION("""COMPUTED_VALUE"""),78.283)</f>
        <v>78.283000000000001</v>
      </c>
      <c r="F2785" s="2">
        <f ca="1">IFERROR(__xludf.DUMMYFUNCTION("""COMPUTED_VALUE"""),90.003)</f>
        <v>90.003</v>
      </c>
      <c r="G2785" s="2">
        <f ca="1">IFERROR(__xludf.DUMMYFUNCTION("""COMPUTED_VALUE"""),0.62543)</f>
        <v>0.62543000000000004</v>
      </c>
      <c r="H2785" s="2">
        <f ca="1">IFERROR(__xludf.DUMMYFUNCTION("""COMPUTED_VALUE"""),50.265)</f>
        <v>50.265000000000001</v>
      </c>
      <c r="I2785" s="2">
        <f ca="1">IFERROR(__xludf.DUMMYFUNCTION("""COMPUTED_VALUE"""),53.345)</f>
        <v>53.344999999999999</v>
      </c>
      <c r="J2785" s="2">
        <f ca="1">IFERROR(__xludf.DUMMYFUNCTION("""COMPUTED_VALUE"""),51.121)</f>
        <v>51.121000000000002</v>
      </c>
      <c r="K2785" s="2">
        <f ca="1">IFERROR(__xludf.DUMMYFUNCTION("""COMPUTED_VALUE"""),70.969)</f>
        <v>70.968999999999994</v>
      </c>
      <c r="M2785" s="2">
        <f ca="1">IFERROR(__xludf.DUMMYFUNCTION("""COMPUTED_VALUE"""),18.72)</f>
        <v>18.72</v>
      </c>
      <c r="U2785" s="3" t="e">
        <f ca="1"/>
        <v>#NAME?</v>
      </c>
    </row>
    <row r="2786" spans="3:21" ht="12.5" x14ac:dyDescent="0.25">
      <c r="C2786" s="4">
        <f ca="1">IFERROR(__xludf.DUMMYFUNCTION("""COMPUTED_VALUE"""),43192.9986111111)</f>
        <v>43192.998611111099</v>
      </c>
      <c r="D2786" s="2">
        <f ca="1">IFERROR(__xludf.DUMMYFUNCTION("""COMPUTED_VALUE"""),65.14)</f>
        <v>65.14</v>
      </c>
      <c r="E2786" s="2">
        <f ca="1">IFERROR(__xludf.DUMMYFUNCTION("""COMPUTED_VALUE"""),78.533)</f>
        <v>78.533000000000001</v>
      </c>
      <c r="F2786" s="2">
        <f ca="1">IFERROR(__xludf.DUMMYFUNCTION("""COMPUTED_VALUE"""),90.003)</f>
        <v>90.003</v>
      </c>
      <c r="G2786" s="2">
        <f ca="1">IFERROR(__xludf.DUMMYFUNCTION("""COMPUTED_VALUE"""),0.62448)</f>
        <v>0.62448000000000004</v>
      </c>
      <c r="H2786" s="2">
        <f ca="1">IFERROR(__xludf.DUMMYFUNCTION("""COMPUTED_VALUE"""),50.235)</f>
        <v>50.234999999999999</v>
      </c>
      <c r="I2786" s="2">
        <f ca="1">IFERROR(__xludf.DUMMYFUNCTION("""COMPUTED_VALUE"""),53.345)</f>
        <v>53.344999999999999</v>
      </c>
      <c r="J2786" s="2">
        <f ca="1">IFERROR(__xludf.DUMMYFUNCTION("""COMPUTED_VALUE"""),50.957)</f>
        <v>50.957000000000001</v>
      </c>
      <c r="K2786" s="2">
        <f ca="1">IFERROR(__xludf.DUMMYFUNCTION("""COMPUTED_VALUE"""),70.806)</f>
        <v>70.805999999999997</v>
      </c>
      <c r="M2786" s="2">
        <f ca="1">IFERROR(__xludf.DUMMYFUNCTION("""COMPUTED_VALUE"""),18.687)</f>
        <v>18.687000000000001</v>
      </c>
      <c r="U2786" s="3" t="e">
        <f ca="1"/>
        <v>#NAME?</v>
      </c>
    </row>
    <row r="2787" spans="3:21" ht="12.5" x14ac:dyDescent="0.25">
      <c r="C2787" s="4">
        <f ca="1">IFERROR(__xludf.DUMMYFUNCTION("""COMPUTED_VALUE"""),43193.9986111111)</f>
        <v>43193.998611111099</v>
      </c>
      <c r="D2787" s="2">
        <f ca="1">IFERROR(__xludf.DUMMYFUNCTION("""COMPUTED_VALUE"""),64.905)</f>
        <v>64.905000000000001</v>
      </c>
      <c r="E2787" s="2">
        <f ca="1">IFERROR(__xludf.DUMMYFUNCTION("""COMPUTED_VALUE"""),78.188)</f>
        <v>78.188000000000002</v>
      </c>
      <c r="F2787" s="2">
        <f ca="1">IFERROR(__xludf.DUMMYFUNCTION("""COMPUTED_VALUE"""),90)</f>
        <v>90</v>
      </c>
      <c r="G2787" s="2">
        <f ca="1">IFERROR(__xludf.DUMMYFUNCTION("""COMPUTED_VALUE"""),0.62456)</f>
        <v>0.62456</v>
      </c>
      <c r="H2787" s="2">
        <f ca="1">IFERROR(__xludf.DUMMYFUNCTION("""COMPUTED_VALUE"""),50.235)</f>
        <v>50.234999999999999</v>
      </c>
      <c r="I2787" s="2">
        <f ca="1">IFERROR(__xludf.DUMMYFUNCTION("""COMPUTED_VALUE"""),53.212)</f>
        <v>53.212000000000003</v>
      </c>
      <c r="J2787" s="2">
        <f ca="1">IFERROR(__xludf.DUMMYFUNCTION("""COMPUTED_VALUE"""),50.729)</f>
        <v>50.728999999999999</v>
      </c>
      <c r="K2787" s="2">
        <f ca="1">IFERROR(__xludf.DUMMYFUNCTION("""COMPUTED_VALUE"""),70.053)</f>
        <v>70.052999999999997</v>
      </c>
      <c r="M2787" s="2">
        <f ca="1">IFERROR(__xludf.DUMMYFUNCTION("""COMPUTED_VALUE"""),18.758)</f>
        <v>18.757999999999999</v>
      </c>
      <c r="U2787" s="3" t="e">
        <f ca="1"/>
        <v>#NAME?</v>
      </c>
    </row>
    <row r="2788" spans="3:21" ht="12.5" x14ac:dyDescent="0.25">
      <c r="C2788" s="4">
        <f ca="1">IFERROR(__xludf.DUMMYFUNCTION("""COMPUTED_VALUE"""),43194.9986111111)</f>
        <v>43194.998611111099</v>
      </c>
      <c r="D2788" s="2">
        <f ca="1">IFERROR(__xludf.DUMMYFUNCTION("""COMPUTED_VALUE"""),64.995)</f>
        <v>64.995000000000005</v>
      </c>
      <c r="E2788" s="2">
        <f ca="1">IFERROR(__xludf.DUMMYFUNCTION("""COMPUTED_VALUE"""),78.182)</f>
        <v>78.182000000000002</v>
      </c>
      <c r="F2788" s="2">
        <f ca="1">IFERROR(__xludf.DUMMYFUNCTION("""COMPUTED_VALUE"""),90.017)</f>
        <v>90.016999999999996</v>
      </c>
      <c r="G2788" s="2">
        <f ca="1">IFERROR(__xludf.DUMMYFUNCTION("""COMPUTED_VALUE"""),0.62476)</f>
        <v>0.62475999999999998</v>
      </c>
      <c r="H2788" s="2">
        <f ca="1">IFERROR(__xludf.DUMMYFUNCTION("""COMPUTED_VALUE"""),50.24)</f>
        <v>50.24</v>
      </c>
      <c r="I2788" s="2">
        <f ca="1">IFERROR(__xludf.DUMMYFUNCTION("""COMPUTED_VALUE"""),52.735)</f>
        <v>52.734999999999999</v>
      </c>
      <c r="J2788" s="2">
        <f ca="1">IFERROR(__xludf.DUMMYFUNCTION("""COMPUTED_VALUE"""),51.02)</f>
        <v>51.02</v>
      </c>
      <c r="K2788" s="2">
        <f ca="1">IFERROR(__xludf.DUMMYFUNCTION("""COMPUTED_VALUE"""),70.723)</f>
        <v>70.722999999999999</v>
      </c>
      <c r="M2788" s="2">
        <f ca="1">IFERROR(__xludf.DUMMYFUNCTION("""COMPUTED_VALUE"""),18.737)</f>
        <v>18.736999999999998</v>
      </c>
      <c r="U2788" s="3" t="e">
        <f ca="1"/>
        <v>#NAME?</v>
      </c>
    </row>
    <row r="2789" spans="3:21" ht="12.5" x14ac:dyDescent="0.25">
      <c r="C2789" s="4">
        <f ca="1">IFERROR(__xludf.DUMMYFUNCTION("""COMPUTED_VALUE"""),43195.9986111111)</f>
        <v>43195.998611111099</v>
      </c>
      <c r="D2789" s="2">
        <f ca="1">IFERROR(__xludf.DUMMYFUNCTION("""COMPUTED_VALUE"""),64.8615)</f>
        <v>64.861500000000007</v>
      </c>
      <c r="E2789" s="2">
        <f ca="1">IFERROR(__xludf.DUMMYFUNCTION("""COMPUTED_VALUE"""),78.182)</f>
        <v>78.182000000000002</v>
      </c>
      <c r="F2789" s="2">
        <f ca="1">IFERROR(__xludf.DUMMYFUNCTION("""COMPUTED_VALUE"""),90.176)</f>
        <v>90.176000000000002</v>
      </c>
      <c r="G2789" s="2">
        <f ca="1">IFERROR(__xludf.DUMMYFUNCTION("""COMPUTED_VALUE"""),0.62537)</f>
        <v>0.62536999999999998</v>
      </c>
      <c r="H2789" s="2">
        <f ca="1">IFERROR(__xludf.DUMMYFUNCTION("""COMPUTED_VALUE"""),49.915)</f>
        <v>49.914999999999999</v>
      </c>
      <c r="I2789" s="2">
        <f ca="1">IFERROR(__xludf.DUMMYFUNCTION("""COMPUTED_VALUE"""),52.078)</f>
        <v>52.078000000000003</v>
      </c>
      <c r="J2789" s="2">
        <f ca="1">IFERROR(__xludf.DUMMYFUNCTION("""COMPUTED_VALUE"""),51.062)</f>
        <v>51.061999999999998</v>
      </c>
      <c r="K2789" s="2">
        <f ca="1">IFERROR(__xludf.DUMMYFUNCTION("""COMPUTED_VALUE"""),70.949)</f>
        <v>70.948999999999998</v>
      </c>
      <c r="M2789" s="2">
        <f ca="1">IFERROR(__xludf.DUMMYFUNCTION("""COMPUTED_VALUE"""),18.66)</f>
        <v>18.66</v>
      </c>
      <c r="U2789" s="3" t="e">
        <f ca="1"/>
        <v>#NAME?</v>
      </c>
    </row>
    <row r="2790" spans="3:21" ht="12.5" x14ac:dyDescent="0.25">
      <c r="C2790" s="4">
        <f ca="1">IFERROR(__xludf.DUMMYFUNCTION("""COMPUTED_VALUE"""),43196.9986111111)</f>
        <v>43196.998611111099</v>
      </c>
      <c r="D2790" s="2">
        <f ca="1">IFERROR(__xludf.DUMMYFUNCTION("""COMPUTED_VALUE"""),64.91)</f>
        <v>64.91</v>
      </c>
      <c r="E2790" s="2">
        <f ca="1">IFERROR(__xludf.DUMMYFUNCTION("""COMPUTED_VALUE"""),77.911)</f>
        <v>77.911000000000001</v>
      </c>
      <c r="F2790" s="2">
        <f ca="1">IFERROR(__xludf.DUMMYFUNCTION("""COMPUTED_VALUE"""),90.214)</f>
        <v>90.213999999999999</v>
      </c>
      <c r="G2790" s="2">
        <f ca="1">IFERROR(__xludf.DUMMYFUNCTION("""COMPUTED_VALUE"""),0.62189)</f>
        <v>0.62189000000000005</v>
      </c>
      <c r="H2790" s="2">
        <f ca="1">IFERROR(__xludf.DUMMYFUNCTION("""COMPUTED_VALUE"""),49.235)</f>
        <v>49.234999999999999</v>
      </c>
      <c r="I2790" s="2">
        <f ca="1">IFERROR(__xludf.DUMMYFUNCTION("""COMPUTED_VALUE"""),52.097)</f>
        <v>52.097000000000001</v>
      </c>
      <c r="J2790" s="2">
        <f ca="1">IFERROR(__xludf.DUMMYFUNCTION("""COMPUTED_VALUE"""),50.957)</f>
        <v>50.957000000000001</v>
      </c>
      <c r="K2790" s="2">
        <f ca="1">IFERROR(__xludf.DUMMYFUNCTION("""COMPUTED_VALUE"""),70.429)</f>
        <v>70.429000000000002</v>
      </c>
      <c r="M2790" s="2">
        <f ca="1">IFERROR(__xludf.DUMMYFUNCTION("""COMPUTED_VALUE"""),18.639)</f>
        <v>18.638999999999999</v>
      </c>
      <c r="U2790" s="3" t="e">
        <f ca="1"/>
        <v>#NAME?</v>
      </c>
    </row>
    <row r="2791" spans="3:21" ht="12.5" x14ac:dyDescent="0.25">
      <c r="C2791" s="4">
        <f ca="1">IFERROR(__xludf.DUMMYFUNCTION("""COMPUTED_VALUE"""),43197.9986111111)</f>
        <v>43197.998611111099</v>
      </c>
      <c r="D2791" s="2">
        <f ca="1">IFERROR(__xludf.DUMMYFUNCTION("""COMPUTED_VALUE"""),64.9045)</f>
        <v>64.904499999999999</v>
      </c>
      <c r="E2791" s="2">
        <f ca="1">IFERROR(__xludf.DUMMYFUNCTION("""COMPUTED_VALUE"""),77.706)</f>
        <v>77.706000000000003</v>
      </c>
      <c r="F2791" s="2">
        <f ca="1">IFERROR(__xludf.DUMMYFUNCTION("""COMPUTED_VALUE"""),89.854)</f>
        <v>89.853999999999999</v>
      </c>
      <c r="G2791" s="2">
        <f ca="1">IFERROR(__xludf.DUMMYFUNCTION("""COMPUTED_VALUE"""),0.62149)</f>
        <v>0.62148999999999999</v>
      </c>
      <c r="H2791" s="2">
        <f ca="1">IFERROR(__xludf.DUMMYFUNCTION("""COMPUTED_VALUE"""),49.19)</f>
        <v>49.19</v>
      </c>
      <c r="I2791" s="2">
        <f ca="1">IFERROR(__xludf.DUMMYFUNCTION("""COMPUTED_VALUE"""),52.164)</f>
        <v>52.164000000000001</v>
      </c>
      <c r="J2791" s="2">
        <f ca="1">IFERROR(__xludf.DUMMYFUNCTION("""COMPUTED_VALUE"""),51.139)</f>
        <v>51.139000000000003</v>
      </c>
      <c r="K2791" s="2">
        <f ca="1">IFERROR(__xludf.DUMMYFUNCTION("""COMPUTED_VALUE"""),71.213)</f>
        <v>71.212999999999994</v>
      </c>
      <c r="M2791" s="2">
        <f ca="1">IFERROR(__xludf.DUMMYFUNCTION("""COMPUTED_VALUE"""),18.647)</f>
        <v>18.646999999999998</v>
      </c>
      <c r="U2791" s="3" t="e">
        <f ca="1"/>
        <v>#NAME?</v>
      </c>
    </row>
    <row r="2792" spans="3:21" ht="12.5" x14ac:dyDescent="0.25">
      <c r="C2792" s="4">
        <f ca="1">IFERROR(__xludf.DUMMYFUNCTION("""COMPUTED_VALUE"""),43198.9986111111)</f>
        <v>43198.998611111099</v>
      </c>
      <c r="D2792" s="2">
        <f ca="1">IFERROR(__xludf.DUMMYFUNCTION("""COMPUTED_VALUE"""),64.9045)</f>
        <v>64.904499999999999</v>
      </c>
      <c r="E2792" s="2">
        <f ca="1">IFERROR(__xludf.DUMMYFUNCTION("""COMPUTED_VALUE"""),77.668)</f>
        <v>77.668000000000006</v>
      </c>
      <c r="F2792" s="2">
        <f ca="1">IFERROR(__xludf.DUMMYFUNCTION("""COMPUTED_VALUE"""),90.017)</f>
        <v>90.016999999999996</v>
      </c>
      <c r="G2792" s="2">
        <f ca="1">IFERROR(__xludf.DUMMYFUNCTION("""COMPUTED_VALUE"""),0.62575)</f>
        <v>0.62575000000000003</v>
      </c>
      <c r="H2792" s="2">
        <f ca="1">IFERROR(__xludf.DUMMYFUNCTION("""COMPUTED_VALUE"""),49.322)</f>
        <v>49.322000000000003</v>
      </c>
      <c r="I2792" s="2">
        <f ca="1">IFERROR(__xludf.DUMMYFUNCTION("""COMPUTED_VALUE"""),52.132)</f>
        <v>52.131999999999998</v>
      </c>
      <c r="J2792" s="2">
        <f ca="1">IFERROR(__xludf.DUMMYFUNCTION("""COMPUTED_VALUE"""),50.297)</f>
        <v>50.296999999999997</v>
      </c>
      <c r="K2792" s="2">
        <f ca="1">IFERROR(__xludf.DUMMYFUNCTION("""COMPUTED_VALUE"""),71.449)</f>
        <v>71.448999999999998</v>
      </c>
      <c r="M2792" s="2">
        <f ca="1">IFERROR(__xludf.DUMMYFUNCTION("""COMPUTED_VALUE"""),18.712)</f>
        <v>18.712</v>
      </c>
      <c r="U2792" s="3" t="e">
        <f ca="1"/>
        <v>#NAME?</v>
      </c>
    </row>
    <row r="2793" spans="3:21" ht="12.5" x14ac:dyDescent="0.25">
      <c r="C2793" s="4">
        <f ca="1">IFERROR(__xludf.DUMMYFUNCTION("""COMPUTED_VALUE"""),43199.9986111111)</f>
        <v>43199.998611111099</v>
      </c>
      <c r="D2793" s="2">
        <f ca="1">IFERROR(__xludf.DUMMYFUNCTION("""COMPUTED_VALUE"""),64.87)</f>
        <v>64.87</v>
      </c>
      <c r="E2793" s="2">
        <f ca="1">IFERROR(__xludf.DUMMYFUNCTION("""COMPUTED_VALUE"""),77.626)</f>
        <v>77.626000000000005</v>
      </c>
      <c r="F2793" s="2">
        <f ca="1">IFERROR(__xludf.DUMMYFUNCTION("""COMPUTED_VALUE"""),89.933)</f>
        <v>89.933000000000007</v>
      </c>
      <c r="G2793" s="2">
        <f ca="1">IFERROR(__xludf.DUMMYFUNCTION("""COMPUTED_VALUE"""),0.63066)</f>
        <v>0.63066</v>
      </c>
      <c r="H2793" s="2">
        <f ca="1">IFERROR(__xludf.DUMMYFUNCTION("""COMPUTED_VALUE"""),49.274)</f>
        <v>49.274000000000001</v>
      </c>
      <c r="I2793" s="2">
        <f ca="1">IFERROR(__xludf.DUMMYFUNCTION("""COMPUTED_VALUE"""),52.164)</f>
        <v>52.164000000000001</v>
      </c>
      <c r="J2793" s="2">
        <f ca="1">IFERROR(__xludf.DUMMYFUNCTION("""COMPUTED_VALUE"""),51.009)</f>
        <v>51.009</v>
      </c>
      <c r="K2793" s="2">
        <f ca="1">IFERROR(__xludf.DUMMYFUNCTION("""COMPUTED_VALUE"""),72.374)</f>
        <v>72.373999999999995</v>
      </c>
      <c r="M2793" s="2">
        <f ca="1">IFERROR(__xludf.DUMMYFUNCTION("""COMPUTED_VALUE"""),18.668)</f>
        <v>18.667999999999999</v>
      </c>
      <c r="U2793" s="3" t="e">
        <f ca="1"/>
        <v>#NAME?</v>
      </c>
    </row>
    <row r="2794" spans="3:21" ht="12.5" x14ac:dyDescent="0.25">
      <c r="C2794" s="4">
        <f ca="1">IFERROR(__xludf.DUMMYFUNCTION("""COMPUTED_VALUE"""),43200.9986111111)</f>
        <v>43200.998611111099</v>
      </c>
      <c r="D2794" s="2">
        <f ca="1">IFERROR(__xludf.DUMMYFUNCTION("""COMPUTED_VALUE"""),64.9253)</f>
        <v>64.925299999999993</v>
      </c>
      <c r="E2794" s="2">
        <f ca="1">IFERROR(__xludf.DUMMYFUNCTION("""COMPUTED_VALUE"""),77.591)</f>
        <v>77.590999999999994</v>
      </c>
      <c r="F2794" s="2">
        <f ca="1">IFERROR(__xludf.DUMMYFUNCTION("""COMPUTED_VALUE"""),90.015)</f>
        <v>90.015000000000001</v>
      </c>
      <c r="G2794" s="2">
        <f ca="1">IFERROR(__xludf.DUMMYFUNCTION("""COMPUTED_VALUE"""),0.6331)</f>
        <v>0.6331</v>
      </c>
      <c r="H2794" s="2">
        <f ca="1">IFERROR(__xludf.DUMMYFUNCTION("""COMPUTED_VALUE"""),49.318)</f>
        <v>49.317999999999998</v>
      </c>
      <c r="I2794" s="2">
        <f ca="1">IFERROR(__xludf.DUMMYFUNCTION("""COMPUTED_VALUE"""),52.055)</f>
        <v>52.055</v>
      </c>
      <c r="J2794" s="2">
        <f ca="1">IFERROR(__xludf.DUMMYFUNCTION("""COMPUTED_VALUE"""),50.98)</f>
        <v>50.98</v>
      </c>
      <c r="K2794" s="2">
        <f ca="1">IFERROR(__xludf.DUMMYFUNCTION("""COMPUTED_VALUE"""),71.51)</f>
        <v>71.510000000000005</v>
      </c>
      <c r="M2794" s="2">
        <f ca="1">IFERROR(__xludf.DUMMYFUNCTION("""COMPUTED_VALUE"""),18.698)</f>
        <v>18.698</v>
      </c>
      <c r="U2794" s="3" t="e">
        <f ca="1"/>
        <v>#NAME?</v>
      </c>
    </row>
    <row r="2795" spans="3:21" ht="12.5" x14ac:dyDescent="0.25">
      <c r="C2795" s="4">
        <f ca="1">IFERROR(__xludf.DUMMYFUNCTION("""COMPUTED_VALUE"""),43201.9986111111)</f>
        <v>43201.998611111099</v>
      </c>
      <c r="D2795" s="2">
        <f ca="1">IFERROR(__xludf.DUMMYFUNCTION("""COMPUTED_VALUE"""),65.19)</f>
        <v>65.19</v>
      </c>
      <c r="E2795" s="2">
        <f ca="1">IFERROR(__xludf.DUMMYFUNCTION("""COMPUTED_VALUE"""),77.471)</f>
        <v>77.471000000000004</v>
      </c>
      <c r="F2795" s="2">
        <f ca="1">IFERROR(__xludf.DUMMYFUNCTION("""COMPUTED_VALUE"""),90.315)</f>
        <v>90.314999999999998</v>
      </c>
      <c r="G2795" s="2">
        <f ca="1">IFERROR(__xludf.DUMMYFUNCTION("""COMPUTED_VALUE"""),0.63864)</f>
        <v>0.63863999999999999</v>
      </c>
      <c r="H2795" s="2">
        <f ca="1">IFERROR(__xludf.DUMMYFUNCTION("""COMPUTED_VALUE"""),49.318)</f>
        <v>49.317999999999998</v>
      </c>
      <c r="I2795" s="2">
        <f ca="1">IFERROR(__xludf.DUMMYFUNCTION("""COMPUTED_VALUE"""),52.068)</f>
        <v>52.067999999999998</v>
      </c>
      <c r="J2795" s="2">
        <f ca="1">IFERROR(__xludf.DUMMYFUNCTION("""COMPUTED_VALUE"""),50.907)</f>
        <v>50.906999999999996</v>
      </c>
      <c r="K2795" s="2">
        <f ca="1">IFERROR(__xludf.DUMMYFUNCTION("""COMPUTED_VALUE"""),71.472)</f>
        <v>71.471999999999994</v>
      </c>
      <c r="M2795" s="2">
        <f ca="1">IFERROR(__xludf.DUMMYFUNCTION("""COMPUTED_VALUE"""),18.765)</f>
        <v>18.765000000000001</v>
      </c>
      <c r="U2795" s="3" t="e">
        <f ca="1"/>
        <v>#NAME?</v>
      </c>
    </row>
    <row r="2796" spans="3:21" ht="12.5" x14ac:dyDescent="0.25">
      <c r="C2796" s="4">
        <f ca="1">IFERROR(__xludf.DUMMYFUNCTION("""COMPUTED_VALUE"""),43202.9986111111)</f>
        <v>43202.998611111099</v>
      </c>
      <c r="D2796" s="2">
        <f ca="1">IFERROR(__xludf.DUMMYFUNCTION("""COMPUTED_VALUE"""),65.2757)</f>
        <v>65.275700000000001</v>
      </c>
      <c r="E2796" s="2">
        <f ca="1">IFERROR(__xludf.DUMMYFUNCTION("""COMPUTED_VALUE"""),77.135)</f>
        <v>77.135000000000005</v>
      </c>
      <c r="F2796" s="2">
        <f ca="1">IFERROR(__xludf.DUMMYFUNCTION("""COMPUTED_VALUE"""),90.56)</f>
        <v>90.56</v>
      </c>
      <c r="G2796" s="2">
        <f ca="1">IFERROR(__xludf.DUMMYFUNCTION("""COMPUTED_VALUE"""),0.63578)</f>
        <v>0.63578000000000001</v>
      </c>
      <c r="H2796" s="2">
        <f ca="1">IFERROR(__xludf.DUMMYFUNCTION("""COMPUTED_VALUE"""),49.129)</f>
        <v>49.128999999999998</v>
      </c>
      <c r="I2796" s="2">
        <f ca="1">IFERROR(__xludf.DUMMYFUNCTION("""COMPUTED_VALUE"""),52.254)</f>
        <v>52.253999999999998</v>
      </c>
      <c r="J2796" s="2">
        <f ca="1">IFERROR(__xludf.DUMMYFUNCTION("""COMPUTED_VALUE"""),50.97)</f>
        <v>50.97</v>
      </c>
      <c r="K2796" s="2">
        <f ca="1">IFERROR(__xludf.DUMMYFUNCTION("""COMPUTED_VALUE"""),72.051)</f>
        <v>72.051000000000002</v>
      </c>
      <c r="M2796" s="2">
        <f ca="1">IFERROR(__xludf.DUMMYFUNCTION("""COMPUTED_VALUE"""),18.716)</f>
        <v>18.716000000000001</v>
      </c>
      <c r="U2796" s="3" t="e">
        <f ca="1"/>
        <v>#NAME?</v>
      </c>
    </row>
    <row r="2797" spans="3:21" ht="12.5" x14ac:dyDescent="0.25">
      <c r="C2797" s="4">
        <f ca="1">IFERROR(__xludf.DUMMYFUNCTION("""COMPUTED_VALUE"""),43203.9986111111)</f>
        <v>43203.998611111099</v>
      </c>
      <c r="D2797" s="2">
        <f ca="1">IFERROR(__xludf.DUMMYFUNCTION("""COMPUTED_VALUE"""),65.1956)</f>
        <v>65.195599999999999</v>
      </c>
      <c r="E2797" s="2">
        <f ca="1">IFERROR(__xludf.DUMMYFUNCTION("""COMPUTED_VALUE"""),76.889)</f>
        <v>76.888999999999996</v>
      </c>
      <c r="F2797" s="2">
        <f ca="1">IFERROR(__xludf.DUMMYFUNCTION("""COMPUTED_VALUE"""),90.579)</f>
        <v>90.578999999999994</v>
      </c>
      <c r="G2797" s="2">
        <f ca="1">IFERROR(__xludf.DUMMYFUNCTION("""COMPUTED_VALUE"""),0.6464)</f>
        <v>0.64639999999999997</v>
      </c>
      <c r="H2797" s="2">
        <f ca="1">IFERROR(__xludf.DUMMYFUNCTION("""COMPUTED_VALUE"""),49.243)</f>
        <v>49.243000000000002</v>
      </c>
      <c r="I2797" s="2">
        <f ca="1">IFERROR(__xludf.DUMMYFUNCTION("""COMPUTED_VALUE"""),52.011)</f>
        <v>52.011000000000003</v>
      </c>
      <c r="J2797" s="2">
        <f ca="1">IFERROR(__xludf.DUMMYFUNCTION("""COMPUTED_VALUE"""),51.019)</f>
        <v>51.018999999999998</v>
      </c>
      <c r="K2797" s="2">
        <f ca="1">IFERROR(__xludf.DUMMYFUNCTION("""COMPUTED_VALUE"""),71.925)</f>
        <v>71.924999999999997</v>
      </c>
      <c r="M2797" s="2">
        <f ca="1">IFERROR(__xludf.DUMMYFUNCTION("""COMPUTED_VALUE"""),18.709)</f>
        <v>18.709</v>
      </c>
      <c r="U2797" s="3" t="e">
        <f ca="1"/>
        <v>#NAME?</v>
      </c>
    </row>
    <row r="2798" spans="3:21" ht="12.5" x14ac:dyDescent="0.25">
      <c r="C2798" s="4">
        <f ca="1">IFERROR(__xludf.DUMMYFUNCTION("""COMPUTED_VALUE"""),43204.9986111111)</f>
        <v>43204.998611111099</v>
      </c>
      <c r="D2798" s="2">
        <f ca="1">IFERROR(__xludf.DUMMYFUNCTION("""COMPUTED_VALUE"""),65.1962)</f>
        <v>65.196200000000005</v>
      </c>
      <c r="E2798" s="2">
        <f ca="1">IFERROR(__xludf.DUMMYFUNCTION("""COMPUTED_VALUE"""),77.336)</f>
        <v>77.335999999999999</v>
      </c>
      <c r="F2798" s="2">
        <f ca="1">IFERROR(__xludf.DUMMYFUNCTION("""COMPUTED_VALUE"""),90.6)</f>
        <v>90.6</v>
      </c>
      <c r="G2798" s="2">
        <f ca="1">IFERROR(__xludf.DUMMYFUNCTION("""COMPUTED_VALUE"""),0.64053)</f>
        <v>0.64053000000000004</v>
      </c>
      <c r="H2798" s="2">
        <f ca="1">IFERROR(__xludf.DUMMYFUNCTION("""COMPUTED_VALUE"""),48.981)</f>
        <v>48.981000000000002</v>
      </c>
      <c r="I2798" s="2">
        <f ca="1">IFERROR(__xludf.DUMMYFUNCTION("""COMPUTED_VALUE"""),51.674)</f>
        <v>51.673999999999999</v>
      </c>
      <c r="J2798" s="2">
        <f ca="1">IFERROR(__xludf.DUMMYFUNCTION("""COMPUTED_VALUE"""),51.011)</f>
        <v>51.011000000000003</v>
      </c>
      <c r="K2798" s="2">
        <f ca="1">IFERROR(__xludf.DUMMYFUNCTION("""COMPUTED_VALUE"""),71.626)</f>
        <v>71.626000000000005</v>
      </c>
      <c r="M2798" s="2">
        <f ca="1">IFERROR(__xludf.DUMMYFUNCTION("""COMPUTED_VALUE"""),18.714)</f>
        <v>18.713999999999999</v>
      </c>
      <c r="U2798" s="3" t="e">
        <f ca="1"/>
        <v>#NAME?</v>
      </c>
    </row>
    <row r="2799" spans="3:21" ht="12.5" x14ac:dyDescent="0.25">
      <c r="C2799" s="4">
        <f ca="1">IFERROR(__xludf.DUMMYFUNCTION("""COMPUTED_VALUE"""),43205.9986111111)</f>
        <v>43205.998611111099</v>
      </c>
      <c r="D2799" s="2">
        <f ca="1">IFERROR(__xludf.DUMMYFUNCTION("""COMPUTED_VALUE"""),65.1956)</f>
        <v>65.195599999999999</v>
      </c>
      <c r="E2799" s="2">
        <f ca="1">IFERROR(__xludf.DUMMYFUNCTION("""COMPUTED_VALUE"""),77.588)</f>
        <v>77.587999999999994</v>
      </c>
      <c r="F2799" s="2">
        <f ca="1">IFERROR(__xludf.DUMMYFUNCTION("""COMPUTED_VALUE"""),90.72)</f>
        <v>90.72</v>
      </c>
      <c r="G2799" s="2">
        <f ca="1">IFERROR(__xludf.DUMMYFUNCTION("""COMPUTED_VALUE"""),0.64077)</f>
        <v>0.64076999999999995</v>
      </c>
      <c r="H2799" s="2">
        <f ca="1">IFERROR(__xludf.DUMMYFUNCTION("""COMPUTED_VALUE"""),48.866)</f>
        <v>48.866</v>
      </c>
      <c r="I2799" s="2">
        <f ca="1">IFERROR(__xludf.DUMMYFUNCTION("""COMPUTED_VALUE"""),51.683)</f>
        <v>51.683</v>
      </c>
      <c r="J2799" s="2">
        <f ca="1">IFERROR(__xludf.DUMMYFUNCTION("""COMPUTED_VALUE"""),50.78)</f>
        <v>50.78</v>
      </c>
      <c r="K2799" s="2">
        <f ca="1">IFERROR(__xludf.DUMMYFUNCTION("""COMPUTED_VALUE"""),71.398)</f>
        <v>71.397999999999996</v>
      </c>
      <c r="M2799" s="2">
        <f ca="1">IFERROR(__xludf.DUMMYFUNCTION("""COMPUTED_VALUE"""),18.769)</f>
        <v>18.768999999999998</v>
      </c>
      <c r="U2799" s="3" t="e">
        <f ca="1"/>
        <v>#NAME?</v>
      </c>
    </row>
    <row r="2800" spans="3:21" ht="12.5" x14ac:dyDescent="0.25">
      <c r="C2800" s="4">
        <f ca="1">IFERROR(__xludf.DUMMYFUNCTION("""COMPUTED_VALUE"""),43206.9986111111)</f>
        <v>43206.998611111099</v>
      </c>
      <c r="D2800" s="2">
        <f ca="1">IFERROR(__xludf.DUMMYFUNCTION("""COMPUTED_VALUE"""),65.4293)</f>
        <v>65.429299999999998</v>
      </c>
      <c r="E2800" s="2">
        <f ca="1">IFERROR(__xludf.DUMMYFUNCTION("""COMPUTED_VALUE"""),78.277)</f>
        <v>78.277000000000001</v>
      </c>
      <c r="F2800" s="2">
        <f ca="1">IFERROR(__xludf.DUMMYFUNCTION("""COMPUTED_VALUE"""),90.703)</f>
        <v>90.703000000000003</v>
      </c>
      <c r="G2800" s="2">
        <f ca="1">IFERROR(__xludf.DUMMYFUNCTION("""COMPUTED_VALUE"""),0.63866)</f>
        <v>0.63866000000000001</v>
      </c>
      <c r="H2800" s="2">
        <f ca="1">IFERROR(__xludf.DUMMYFUNCTION("""COMPUTED_VALUE"""),48.838)</f>
        <v>48.838000000000001</v>
      </c>
      <c r="I2800" s="2">
        <f ca="1">IFERROR(__xludf.DUMMYFUNCTION("""COMPUTED_VALUE"""),51.683)</f>
        <v>51.683</v>
      </c>
      <c r="J2800" s="2">
        <f ca="1">IFERROR(__xludf.DUMMYFUNCTION("""COMPUTED_VALUE"""),50.538)</f>
        <v>50.537999999999997</v>
      </c>
      <c r="K2800" s="2">
        <f ca="1">IFERROR(__xludf.DUMMYFUNCTION("""COMPUTED_VALUE"""),71.488)</f>
        <v>71.488</v>
      </c>
      <c r="M2800" s="2">
        <f ca="1">IFERROR(__xludf.DUMMYFUNCTION("""COMPUTED_VALUE"""),18.729)</f>
        <v>18.728999999999999</v>
      </c>
      <c r="U2800" s="3" t="e">
        <f ca="1"/>
        <v>#NAME?</v>
      </c>
    </row>
    <row r="2801" spans="3:21" ht="12.5" x14ac:dyDescent="0.25">
      <c r="C2801" s="4">
        <f ca="1">IFERROR(__xludf.DUMMYFUNCTION("""COMPUTED_VALUE"""),43207.9986111111)</f>
        <v>43207.998611111099</v>
      </c>
      <c r="D2801" s="2">
        <f ca="1">IFERROR(__xludf.DUMMYFUNCTION("""COMPUTED_VALUE"""),65.675)</f>
        <v>65.674999999999997</v>
      </c>
      <c r="E2801" s="2">
        <f ca="1">IFERROR(__xludf.DUMMYFUNCTION("""COMPUTED_VALUE"""),77.966)</f>
        <v>77.965999999999994</v>
      </c>
      <c r="F2801" s="2">
        <f ca="1">IFERROR(__xludf.DUMMYFUNCTION("""COMPUTED_VALUE"""),90.719)</f>
        <v>90.718999999999994</v>
      </c>
      <c r="G2801" s="2">
        <f ca="1">IFERROR(__xludf.DUMMYFUNCTION("""COMPUTED_VALUE"""),0.63796)</f>
        <v>0.63795999999999997</v>
      </c>
      <c r="H2801" s="2">
        <f ca="1">IFERROR(__xludf.DUMMYFUNCTION("""COMPUTED_VALUE"""),48.838)</f>
        <v>48.838000000000001</v>
      </c>
      <c r="I2801" s="2">
        <f ca="1">IFERROR(__xludf.DUMMYFUNCTION("""COMPUTED_VALUE"""),51.397)</f>
        <v>51.396999999999998</v>
      </c>
      <c r="J2801" s="2">
        <f ca="1">IFERROR(__xludf.DUMMYFUNCTION("""COMPUTED_VALUE"""),50.858)</f>
        <v>50.857999999999997</v>
      </c>
      <c r="K2801" s="2">
        <f ca="1">IFERROR(__xludf.DUMMYFUNCTION("""COMPUTED_VALUE"""),71.303)</f>
        <v>71.302999999999997</v>
      </c>
      <c r="M2801" s="2">
        <f ca="1">IFERROR(__xludf.DUMMYFUNCTION("""COMPUTED_VALUE"""),18.706)</f>
        <v>18.706</v>
      </c>
      <c r="U2801" s="3" t="e">
        <f ca="1"/>
        <v>#NAME?</v>
      </c>
    </row>
    <row r="2802" spans="3:21" ht="12.5" x14ac:dyDescent="0.25">
      <c r="C2802" s="4">
        <f ca="1">IFERROR(__xludf.DUMMYFUNCTION("""COMPUTED_VALUE"""),43208.9986111111)</f>
        <v>43208.998611111099</v>
      </c>
      <c r="D2802" s="2">
        <f ca="1">IFERROR(__xludf.DUMMYFUNCTION("""COMPUTED_VALUE"""),66.01)</f>
        <v>66.010000000000005</v>
      </c>
      <c r="E2802" s="2">
        <f ca="1">IFERROR(__xludf.DUMMYFUNCTION("""COMPUTED_VALUE"""),77.89)</f>
        <v>77.89</v>
      </c>
      <c r="F2802" s="2">
        <f ca="1">IFERROR(__xludf.DUMMYFUNCTION("""COMPUTED_VALUE"""),91.459)</f>
        <v>91.459000000000003</v>
      </c>
      <c r="G2802" s="2">
        <f ca="1">IFERROR(__xludf.DUMMYFUNCTION("""COMPUTED_VALUE"""),0.63174)</f>
        <v>0.63173999999999997</v>
      </c>
      <c r="H2802" s="2">
        <f ca="1">IFERROR(__xludf.DUMMYFUNCTION("""COMPUTED_VALUE"""),48.668)</f>
        <v>48.667999999999999</v>
      </c>
      <c r="I2802" s="2">
        <f ca="1">IFERROR(__xludf.DUMMYFUNCTION("""COMPUTED_VALUE"""),51.744)</f>
        <v>51.744</v>
      </c>
      <c r="J2802" s="2">
        <f ca="1">IFERROR(__xludf.DUMMYFUNCTION("""COMPUTED_VALUE"""),51.038)</f>
        <v>51.037999999999997</v>
      </c>
      <c r="K2802" s="2">
        <f ca="1">IFERROR(__xludf.DUMMYFUNCTION("""COMPUTED_VALUE"""),71.374)</f>
        <v>71.373999999999995</v>
      </c>
      <c r="M2802" s="2">
        <f ca="1">IFERROR(__xludf.DUMMYFUNCTION("""COMPUTED_VALUE"""),18.71)</f>
        <v>18.71</v>
      </c>
      <c r="U2802" s="3" t="e">
        <f ca="1"/>
        <v>#NAME?</v>
      </c>
    </row>
    <row r="2803" spans="3:21" ht="12.5" x14ac:dyDescent="0.25">
      <c r="C2803" s="4">
        <f ca="1">IFERROR(__xludf.DUMMYFUNCTION("""COMPUTED_VALUE"""),43209.9986111111)</f>
        <v>43209.998611111099</v>
      </c>
      <c r="D2803" s="2">
        <f ca="1">IFERROR(__xludf.DUMMYFUNCTION("""COMPUTED_VALUE"""),66.1148)</f>
        <v>66.114800000000002</v>
      </c>
      <c r="E2803" s="2">
        <f ca="1">IFERROR(__xludf.DUMMYFUNCTION("""COMPUTED_VALUE"""),77.64)</f>
        <v>77.64</v>
      </c>
      <c r="F2803" s="2">
        <f ca="1">IFERROR(__xludf.DUMMYFUNCTION("""COMPUTED_VALUE"""),91.345)</f>
        <v>91.344999999999999</v>
      </c>
      <c r="G2803" s="2">
        <f ca="1">IFERROR(__xludf.DUMMYFUNCTION("""COMPUTED_VALUE"""),0.62939)</f>
        <v>0.62939000000000001</v>
      </c>
      <c r="H2803" s="2">
        <f ca="1">IFERROR(__xludf.DUMMYFUNCTION("""COMPUTED_VALUE"""),48.869)</f>
        <v>48.869</v>
      </c>
      <c r="I2803" s="2">
        <f ca="1">IFERROR(__xludf.DUMMYFUNCTION("""COMPUTED_VALUE"""),51.71)</f>
        <v>51.71</v>
      </c>
      <c r="J2803" s="2">
        <f ca="1">IFERROR(__xludf.DUMMYFUNCTION("""COMPUTED_VALUE"""),51.32)</f>
        <v>51.32</v>
      </c>
      <c r="K2803" s="2">
        <f ca="1">IFERROR(__xludf.DUMMYFUNCTION("""COMPUTED_VALUE"""),71.477)</f>
        <v>71.477000000000004</v>
      </c>
      <c r="M2803" s="2">
        <f ca="1">IFERROR(__xludf.DUMMYFUNCTION("""COMPUTED_VALUE"""),18.681)</f>
        <v>18.681000000000001</v>
      </c>
      <c r="U2803" s="3" t="e">
        <f ca="1"/>
        <v>#NAME?</v>
      </c>
    </row>
    <row r="2804" spans="3:21" ht="12.5" x14ac:dyDescent="0.25">
      <c r="C2804" s="4">
        <f ca="1">IFERROR(__xludf.DUMMYFUNCTION("""COMPUTED_VALUE"""),43210.9986111111)</f>
        <v>43210.998611111099</v>
      </c>
      <c r="D2804" s="2">
        <f ca="1">IFERROR(__xludf.DUMMYFUNCTION("""COMPUTED_VALUE"""),66.1969)</f>
        <v>66.196899999999999</v>
      </c>
      <c r="E2804" s="2">
        <f ca="1">IFERROR(__xludf.DUMMYFUNCTION("""COMPUTED_VALUE"""),78.091)</f>
        <v>78.090999999999994</v>
      </c>
      <c r="F2804" s="2">
        <f ca="1">IFERROR(__xludf.DUMMYFUNCTION("""COMPUTED_VALUE"""),92.031)</f>
        <v>92.031000000000006</v>
      </c>
      <c r="G2804" s="2">
        <f ca="1">IFERROR(__xludf.DUMMYFUNCTION("""COMPUTED_VALUE"""),0.63123)</f>
        <v>0.63122999999999996</v>
      </c>
      <c r="H2804" s="2">
        <f ca="1">IFERROR(__xludf.DUMMYFUNCTION("""COMPUTED_VALUE"""),49.017)</f>
        <v>49.017000000000003</v>
      </c>
      <c r="I2804" s="2">
        <f ca="1">IFERROR(__xludf.DUMMYFUNCTION("""COMPUTED_VALUE"""),51.423)</f>
        <v>51.423000000000002</v>
      </c>
      <c r="J2804" s="2">
        <f ca="1">IFERROR(__xludf.DUMMYFUNCTION("""COMPUTED_VALUE"""),51.137)</f>
        <v>51.137</v>
      </c>
      <c r="K2804" s="2">
        <f ca="1">IFERROR(__xludf.DUMMYFUNCTION("""COMPUTED_VALUE"""),71.243)</f>
        <v>71.242999999999995</v>
      </c>
      <c r="M2804" s="2">
        <f ca="1">IFERROR(__xludf.DUMMYFUNCTION("""COMPUTED_VALUE"""),18.682)</f>
        <v>18.681999999999999</v>
      </c>
      <c r="U2804" s="3" t="e">
        <f ca="1"/>
        <v>#NAME?</v>
      </c>
    </row>
    <row r="2805" spans="3:21" ht="12.5" x14ac:dyDescent="0.25">
      <c r="C2805" s="4">
        <f ca="1">IFERROR(__xludf.DUMMYFUNCTION("""COMPUTED_VALUE"""),43211.9986111111)</f>
        <v>43211.998611111099</v>
      </c>
      <c r="D2805" s="2">
        <f ca="1">IFERROR(__xludf.DUMMYFUNCTION("""COMPUTED_VALUE"""),66.203)</f>
        <v>66.203000000000003</v>
      </c>
      <c r="E2805" s="2">
        <f ca="1">IFERROR(__xludf.DUMMYFUNCTION("""COMPUTED_VALUE"""),78.091)</f>
        <v>78.090999999999994</v>
      </c>
      <c r="F2805" s="2">
        <f ca="1">IFERROR(__xludf.DUMMYFUNCTION("""COMPUTED_VALUE"""),91.963)</f>
        <v>91.962999999999994</v>
      </c>
      <c r="G2805" s="2">
        <f ca="1">IFERROR(__xludf.DUMMYFUNCTION("""COMPUTED_VALUE"""),0.63519)</f>
        <v>0.63519000000000003</v>
      </c>
      <c r="H2805" s="2">
        <f ca="1">IFERROR(__xludf.DUMMYFUNCTION("""COMPUTED_VALUE"""),48.843)</f>
        <v>48.843000000000004</v>
      </c>
      <c r="I2805" s="2">
        <f ca="1">IFERROR(__xludf.DUMMYFUNCTION("""COMPUTED_VALUE"""),51.513)</f>
        <v>51.512999999999998</v>
      </c>
      <c r="J2805" s="2">
        <f ca="1">IFERROR(__xludf.DUMMYFUNCTION("""COMPUTED_VALUE"""),51.1)</f>
        <v>51.1</v>
      </c>
      <c r="K2805" s="2">
        <f ca="1">IFERROR(__xludf.DUMMYFUNCTION("""COMPUTED_VALUE"""),71.355)</f>
        <v>71.355000000000004</v>
      </c>
      <c r="M2805" s="2">
        <f ca="1">IFERROR(__xludf.DUMMYFUNCTION("""COMPUTED_VALUE"""),18.672)</f>
        <v>18.672000000000001</v>
      </c>
      <c r="U2805" s="3" t="e">
        <f ca="1"/>
        <v>#NAME?</v>
      </c>
    </row>
    <row r="2806" spans="3:21" ht="12.5" x14ac:dyDescent="0.25">
      <c r="C2806" s="4">
        <f ca="1">IFERROR(__xludf.DUMMYFUNCTION("""COMPUTED_VALUE"""),43212.9986111111)</f>
        <v>43212.998611111099</v>
      </c>
      <c r="D2806" s="2">
        <f ca="1">IFERROR(__xludf.DUMMYFUNCTION("""COMPUTED_VALUE"""),66.1969)</f>
        <v>66.196899999999999</v>
      </c>
      <c r="E2806" s="2">
        <f ca="1">IFERROR(__xludf.DUMMYFUNCTION("""COMPUTED_VALUE"""),78.091)</f>
        <v>78.090999999999994</v>
      </c>
      <c r="F2806" s="2">
        <f ca="1">IFERROR(__xludf.DUMMYFUNCTION("""COMPUTED_VALUE"""),91.896)</f>
        <v>91.896000000000001</v>
      </c>
      <c r="G2806" s="2">
        <f ca="1">IFERROR(__xludf.DUMMYFUNCTION("""COMPUTED_VALUE"""),0.6341)</f>
        <v>0.6341</v>
      </c>
      <c r="H2806" s="2">
        <f ca="1">IFERROR(__xludf.DUMMYFUNCTION("""COMPUTED_VALUE"""),49.002)</f>
        <v>49.002000000000002</v>
      </c>
      <c r="I2806" s="2">
        <f ca="1">IFERROR(__xludf.DUMMYFUNCTION("""COMPUTED_VALUE"""),50.625)</f>
        <v>50.625</v>
      </c>
      <c r="J2806" s="2">
        <f ca="1">IFERROR(__xludf.DUMMYFUNCTION("""COMPUTED_VALUE"""),50.846)</f>
        <v>50.845999999999997</v>
      </c>
      <c r="K2806" s="2">
        <f ca="1">IFERROR(__xludf.DUMMYFUNCTION("""COMPUTED_VALUE"""),71.355)</f>
        <v>71.355000000000004</v>
      </c>
      <c r="M2806" s="2">
        <f ca="1">IFERROR(__xludf.DUMMYFUNCTION("""COMPUTED_VALUE"""),18.633)</f>
        <v>18.632999999999999</v>
      </c>
      <c r="U2806" s="3" t="e">
        <f ca="1"/>
        <v>#NAME?</v>
      </c>
    </row>
    <row r="2807" spans="3:21" ht="12.5" x14ac:dyDescent="0.25">
      <c r="C2807" s="4">
        <f ca="1">IFERROR(__xludf.DUMMYFUNCTION("""COMPUTED_VALUE"""),43213.9986111111)</f>
        <v>43213.998611111099</v>
      </c>
      <c r="D2807" s="2">
        <f ca="1">IFERROR(__xludf.DUMMYFUNCTION("""COMPUTED_VALUE"""),66.545)</f>
        <v>66.545000000000002</v>
      </c>
      <c r="E2807" s="2">
        <f ca="1">IFERROR(__xludf.DUMMYFUNCTION("""COMPUTED_VALUE"""),78.368)</f>
        <v>78.367999999999995</v>
      </c>
      <c r="F2807" s="2">
        <f ca="1">IFERROR(__xludf.DUMMYFUNCTION("""COMPUTED_VALUE"""),91.912)</f>
        <v>91.912000000000006</v>
      </c>
      <c r="G2807" s="2">
        <f ca="1">IFERROR(__xludf.DUMMYFUNCTION("""COMPUTED_VALUE"""),0.62712)</f>
        <v>0.62712000000000001</v>
      </c>
      <c r="H2807" s="2">
        <f ca="1">IFERROR(__xludf.DUMMYFUNCTION("""COMPUTED_VALUE"""),48.138)</f>
        <v>48.137999999999998</v>
      </c>
      <c r="I2807" s="2">
        <f ca="1">IFERROR(__xludf.DUMMYFUNCTION("""COMPUTED_VALUE"""),51.485)</f>
        <v>51.484999999999999</v>
      </c>
      <c r="J2807" s="2">
        <f ca="1">IFERROR(__xludf.DUMMYFUNCTION("""COMPUTED_VALUE"""),51.089)</f>
        <v>51.088999999999999</v>
      </c>
      <c r="K2807" s="2">
        <f ca="1">IFERROR(__xludf.DUMMYFUNCTION("""COMPUTED_VALUE"""),71.628)</f>
        <v>71.628</v>
      </c>
      <c r="M2807" s="2">
        <f ca="1">IFERROR(__xludf.DUMMYFUNCTION("""COMPUTED_VALUE"""),18.593)</f>
        <v>18.593</v>
      </c>
      <c r="U2807" s="3" t="e">
        <f ca="1"/>
        <v>#NAME?</v>
      </c>
    </row>
    <row r="2808" spans="3:21" ht="12.5" x14ac:dyDescent="0.25">
      <c r="C2808" s="4">
        <f ca="1">IFERROR(__xludf.DUMMYFUNCTION("""COMPUTED_VALUE"""),43214.9986111111)</f>
        <v>43214.998611111099</v>
      </c>
      <c r="D2808" s="2">
        <f ca="1">IFERROR(__xludf.DUMMYFUNCTION("""COMPUTED_VALUE"""),66.4141)</f>
        <v>66.414100000000005</v>
      </c>
      <c r="E2808" s="2">
        <f ca="1">IFERROR(__xludf.DUMMYFUNCTION("""COMPUTED_VALUE"""),78.381)</f>
        <v>78.381</v>
      </c>
      <c r="F2808" s="2">
        <f ca="1">IFERROR(__xludf.DUMMYFUNCTION("""COMPUTED_VALUE"""),92.014)</f>
        <v>92.013999999999996</v>
      </c>
      <c r="G2808" s="2">
        <f ca="1">IFERROR(__xludf.DUMMYFUNCTION("""COMPUTED_VALUE"""),0.63392)</f>
        <v>0.63392000000000004</v>
      </c>
      <c r="H2808" s="2">
        <f ca="1">IFERROR(__xludf.DUMMYFUNCTION("""COMPUTED_VALUE"""),49.002)</f>
        <v>49.002000000000002</v>
      </c>
      <c r="I2808" s="2">
        <f ca="1">IFERROR(__xludf.DUMMYFUNCTION("""COMPUTED_VALUE"""),51.404)</f>
        <v>51.404000000000003</v>
      </c>
      <c r="J2808" s="2">
        <f ca="1">IFERROR(__xludf.DUMMYFUNCTION("""COMPUTED_VALUE"""),51.088)</f>
        <v>51.088000000000001</v>
      </c>
      <c r="K2808" s="2">
        <f ca="1">IFERROR(__xludf.DUMMYFUNCTION("""COMPUTED_VALUE"""),71.742)</f>
        <v>71.742000000000004</v>
      </c>
      <c r="M2808" s="2">
        <f ca="1">IFERROR(__xludf.DUMMYFUNCTION("""COMPUTED_VALUE"""),18.722)</f>
        <v>18.722000000000001</v>
      </c>
      <c r="U2808" s="3" t="e">
        <f ca="1"/>
        <v>#NAME?</v>
      </c>
    </row>
    <row r="2809" spans="3:21" ht="12.5" x14ac:dyDescent="0.25">
      <c r="C2809" s="4">
        <f ca="1">IFERROR(__xludf.DUMMYFUNCTION("""COMPUTED_VALUE"""),43215.9986111111)</f>
        <v>43215.998611111099</v>
      </c>
      <c r="D2809" s="2">
        <f ca="1">IFERROR(__xludf.DUMMYFUNCTION("""COMPUTED_VALUE"""),66.9077)</f>
        <v>66.907700000000006</v>
      </c>
      <c r="E2809" s="2">
        <f ca="1">IFERROR(__xludf.DUMMYFUNCTION("""COMPUTED_VALUE"""),78.33)</f>
        <v>78.33</v>
      </c>
      <c r="F2809" s="2">
        <f ca="1">IFERROR(__xludf.DUMMYFUNCTION("""COMPUTED_VALUE"""),92.107)</f>
        <v>92.106999999999999</v>
      </c>
      <c r="G2809" s="2">
        <f ca="1">IFERROR(__xludf.DUMMYFUNCTION("""COMPUTED_VALUE"""),0.63589)</f>
        <v>0.63588999999999996</v>
      </c>
      <c r="H2809" s="2">
        <f ca="1">IFERROR(__xludf.DUMMYFUNCTION("""COMPUTED_VALUE"""),48.995)</f>
        <v>48.994999999999997</v>
      </c>
      <c r="I2809" s="2">
        <f ca="1">IFERROR(__xludf.DUMMYFUNCTION("""COMPUTED_VALUE"""),51.516)</f>
        <v>51.515999999999998</v>
      </c>
      <c r="J2809" s="2">
        <f ca="1">IFERROR(__xludf.DUMMYFUNCTION("""COMPUTED_VALUE"""),51.088)</f>
        <v>51.088000000000001</v>
      </c>
      <c r="K2809" s="2">
        <f ca="1">IFERROR(__xludf.DUMMYFUNCTION("""COMPUTED_VALUE"""),71.599)</f>
        <v>71.599000000000004</v>
      </c>
      <c r="M2809" s="2">
        <f ca="1">IFERROR(__xludf.DUMMYFUNCTION("""COMPUTED_VALUE"""),18.653)</f>
        <v>18.652999999999999</v>
      </c>
      <c r="U2809" s="3" t="e">
        <f ca="1"/>
        <v>#NAME?</v>
      </c>
    </row>
    <row r="2810" spans="3:21" ht="12.5" x14ac:dyDescent="0.25">
      <c r="C2810" s="4">
        <f ca="1">IFERROR(__xludf.DUMMYFUNCTION("""COMPUTED_VALUE"""),43216.9986111111)</f>
        <v>43216.998611111099</v>
      </c>
      <c r="D2810" s="2">
        <f ca="1">IFERROR(__xludf.DUMMYFUNCTION("""COMPUTED_VALUE"""),66.9)</f>
        <v>66.900000000000006</v>
      </c>
      <c r="E2810" s="2">
        <f ca="1">IFERROR(__xludf.DUMMYFUNCTION("""COMPUTED_VALUE"""),77.896)</f>
        <v>77.896000000000001</v>
      </c>
      <c r="F2810" s="2">
        <f ca="1">IFERROR(__xludf.DUMMYFUNCTION("""COMPUTED_VALUE"""),91.998)</f>
        <v>91.998000000000005</v>
      </c>
      <c r="G2810" s="2">
        <f ca="1">IFERROR(__xludf.DUMMYFUNCTION("""COMPUTED_VALUE"""),0.63675)</f>
        <v>0.63675000000000004</v>
      </c>
      <c r="H2810" s="2">
        <f ca="1">IFERROR(__xludf.DUMMYFUNCTION("""COMPUTED_VALUE"""),49.188)</f>
        <v>49.188000000000002</v>
      </c>
      <c r="I2810" s="2">
        <f ca="1">IFERROR(__xludf.DUMMYFUNCTION("""COMPUTED_VALUE"""),51.473)</f>
        <v>51.472999999999999</v>
      </c>
      <c r="J2810" s="2">
        <f ca="1">IFERROR(__xludf.DUMMYFUNCTION("""COMPUTED_VALUE"""),51.244)</f>
        <v>51.244</v>
      </c>
      <c r="K2810" s="2">
        <f ca="1">IFERROR(__xludf.DUMMYFUNCTION("""COMPUTED_VALUE"""),71.313)</f>
        <v>71.313000000000002</v>
      </c>
      <c r="M2810" s="2">
        <f ca="1">IFERROR(__xludf.DUMMYFUNCTION("""COMPUTED_VALUE"""),18.652)</f>
        <v>18.652000000000001</v>
      </c>
      <c r="U2810" s="3" t="e">
        <f ca="1"/>
        <v>#NAME?</v>
      </c>
    </row>
    <row r="2811" spans="3:21" ht="12.5" x14ac:dyDescent="0.25">
      <c r="C2811" s="4">
        <f ca="1">IFERROR(__xludf.DUMMYFUNCTION("""COMPUTED_VALUE"""),43217.9986111111)</f>
        <v>43217.998611111099</v>
      </c>
      <c r="D2811" s="2">
        <f ca="1">IFERROR(__xludf.DUMMYFUNCTION("""COMPUTED_VALUE"""),66.61)</f>
        <v>66.61</v>
      </c>
      <c r="E2811" s="2">
        <f ca="1">IFERROR(__xludf.DUMMYFUNCTION("""COMPUTED_VALUE"""),78.016)</f>
        <v>78.016000000000005</v>
      </c>
      <c r="F2811" s="2">
        <f ca="1">IFERROR(__xludf.DUMMYFUNCTION("""COMPUTED_VALUE"""),91.718)</f>
        <v>91.718000000000004</v>
      </c>
      <c r="G2811" s="2">
        <f ca="1">IFERROR(__xludf.DUMMYFUNCTION("""COMPUTED_VALUE"""),0.63776)</f>
        <v>0.63775999999999999</v>
      </c>
      <c r="H2811" s="2">
        <f ca="1">IFERROR(__xludf.DUMMYFUNCTION("""COMPUTED_VALUE"""),48.898)</f>
        <v>48.898000000000003</v>
      </c>
      <c r="I2811" s="2">
        <f ca="1">IFERROR(__xludf.DUMMYFUNCTION("""COMPUTED_VALUE"""),51.468)</f>
        <v>51.468000000000004</v>
      </c>
      <c r="J2811" s="2">
        <f ca="1">IFERROR(__xludf.DUMMYFUNCTION("""COMPUTED_VALUE"""),51.263)</f>
        <v>51.262999999999998</v>
      </c>
      <c r="K2811" s="2">
        <f ca="1">IFERROR(__xludf.DUMMYFUNCTION("""COMPUTED_VALUE"""),71.69)</f>
        <v>71.69</v>
      </c>
      <c r="M2811" s="2">
        <f ca="1">IFERROR(__xludf.DUMMYFUNCTION("""COMPUTED_VALUE"""),18.731)</f>
        <v>18.731000000000002</v>
      </c>
      <c r="U2811" s="3" t="e">
        <f ca="1"/>
        <v>#NAME?</v>
      </c>
    </row>
    <row r="2812" spans="3:21" ht="12.5" x14ac:dyDescent="0.25">
      <c r="C2812" s="4">
        <f ca="1">IFERROR(__xludf.DUMMYFUNCTION("""COMPUTED_VALUE"""),43218.9986111111)</f>
        <v>43218.998611111099</v>
      </c>
      <c r="D2812" s="2">
        <f ca="1">IFERROR(__xludf.DUMMYFUNCTION("""COMPUTED_VALUE"""),66.502)</f>
        <v>66.501999999999995</v>
      </c>
      <c r="E2812" s="2">
        <f ca="1">IFERROR(__xludf.DUMMYFUNCTION("""COMPUTED_VALUE"""),78.453)</f>
        <v>78.453000000000003</v>
      </c>
      <c r="F2812" s="2">
        <f ca="1">IFERROR(__xludf.DUMMYFUNCTION("""COMPUTED_VALUE"""),91.246)</f>
        <v>91.245999999999995</v>
      </c>
      <c r="G2812" s="2">
        <f ca="1">IFERROR(__xludf.DUMMYFUNCTION("""COMPUTED_VALUE"""),0.64252)</f>
        <v>0.64251999999999998</v>
      </c>
      <c r="H2812" s="2">
        <f ca="1">IFERROR(__xludf.DUMMYFUNCTION("""COMPUTED_VALUE"""),48.951)</f>
        <v>48.951000000000001</v>
      </c>
      <c r="I2812" s="2">
        <f ca="1">IFERROR(__xludf.DUMMYFUNCTION("""COMPUTED_VALUE"""),51.779)</f>
        <v>51.779000000000003</v>
      </c>
      <c r="J2812" s="2">
        <f ca="1">IFERROR(__xludf.DUMMYFUNCTION("""COMPUTED_VALUE"""),51.259)</f>
        <v>51.259</v>
      </c>
      <c r="K2812" s="2">
        <f ca="1">IFERROR(__xludf.DUMMYFUNCTION("""COMPUTED_VALUE"""),71.794)</f>
        <v>71.793999999999997</v>
      </c>
      <c r="M2812" s="2">
        <f ca="1">IFERROR(__xludf.DUMMYFUNCTION("""COMPUTED_VALUE"""),18.672)</f>
        <v>18.672000000000001</v>
      </c>
      <c r="U2812" s="3" t="e">
        <f ca="1"/>
        <v>#NAME?</v>
      </c>
    </row>
    <row r="2813" spans="3:21" ht="12.5" x14ac:dyDescent="0.25">
      <c r="C2813" s="4">
        <f ca="1">IFERROR(__xludf.DUMMYFUNCTION("""COMPUTED_VALUE"""),43219.9986111111)</f>
        <v>43219.998611111099</v>
      </c>
      <c r="D2813" s="2">
        <f ca="1">IFERROR(__xludf.DUMMYFUNCTION("""COMPUTED_VALUE"""),66.61)</f>
        <v>66.61</v>
      </c>
      <c r="E2813" s="2">
        <f ca="1">IFERROR(__xludf.DUMMYFUNCTION("""COMPUTED_VALUE"""),78.226)</f>
        <v>78.225999999999999</v>
      </c>
      <c r="F2813" s="2">
        <f ca="1">IFERROR(__xludf.DUMMYFUNCTION("""COMPUTED_VALUE"""),91.202)</f>
        <v>91.201999999999998</v>
      </c>
      <c r="G2813" s="2">
        <f ca="1">IFERROR(__xludf.DUMMYFUNCTION("""COMPUTED_VALUE"""),0.64086)</f>
        <v>0.64085999999999999</v>
      </c>
      <c r="H2813" s="2">
        <f ca="1">IFERROR(__xludf.DUMMYFUNCTION("""COMPUTED_VALUE"""),49.015)</f>
        <v>49.015000000000001</v>
      </c>
      <c r="I2813" s="2">
        <f ca="1">IFERROR(__xludf.DUMMYFUNCTION("""COMPUTED_VALUE"""),51.772)</f>
        <v>51.771999999999998</v>
      </c>
      <c r="J2813" s="2">
        <f ca="1">IFERROR(__xludf.DUMMYFUNCTION("""COMPUTED_VALUE"""),51.126)</f>
        <v>51.125999999999998</v>
      </c>
      <c r="K2813" s="2">
        <f ca="1">IFERROR(__xludf.DUMMYFUNCTION("""COMPUTED_VALUE"""),71.463)</f>
        <v>71.462999999999994</v>
      </c>
      <c r="M2813" s="2">
        <f ca="1">IFERROR(__xludf.DUMMYFUNCTION("""COMPUTED_VALUE"""),18.634)</f>
        <v>18.634</v>
      </c>
      <c r="U2813" s="3" t="e">
        <f ca="1"/>
        <v>#NAME?</v>
      </c>
    </row>
    <row r="2814" spans="3:21" ht="12.5" x14ac:dyDescent="0.25">
      <c r="C2814" s="4">
        <f ca="1">IFERROR(__xludf.DUMMYFUNCTION("""COMPUTED_VALUE"""),43220.9986111111)</f>
        <v>43220.998611111099</v>
      </c>
      <c r="D2814" s="2">
        <f ca="1">IFERROR(__xludf.DUMMYFUNCTION("""COMPUTED_VALUE"""),66.45)</f>
        <v>66.45</v>
      </c>
      <c r="E2814" s="2">
        <f ca="1">IFERROR(__xludf.DUMMYFUNCTION("""COMPUTED_VALUE"""),77.95)</f>
        <v>77.95</v>
      </c>
      <c r="F2814" s="2">
        <f ca="1">IFERROR(__xludf.DUMMYFUNCTION("""COMPUTED_VALUE"""),91.202)</f>
        <v>91.201999999999998</v>
      </c>
      <c r="G2814" s="2">
        <f ca="1">IFERROR(__xludf.DUMMYFUNCTION("""COMPUTED_VALUE"""),0.6397)</f>
        <v>0.63970000000000005</v>
      </c>
      <c r="H2814" s="2">
        <f ca="1">IFERROR(__xludf.DUMMYFUNCTION("""COMPUTED_VALUE"""),49.052)</f>
        <v>49.052</v>
      </c>
      <c r="I2814" s="2">
        <f ca="1">IFERROR(__xludf.DUMMYFUNCTION("""COMPUTED_VALUE"""),51.772)</f>
        <v>51.771999999999998</v>
      </c>
      <c r="J2814" s="2">
        <f ca="1">IFERROR(__xludf.DUMMYFUNCTION("""COMPUTED_VALUE"""),51.185)</f>
        <v>51.185000000000002</v>
      </c>
      <c r="K2814" s="2">
        <f ca="1">IFERROR(__xludf.DUMMYFUNCTION("""COMPUTED_VALUE"""),71.308)</f>
        <v>71.308000000000007</v>
      </c>
      <c r="M2814" s="2">
        <f ca="1">IFERROR(__xludf.DUMMYFUNCTION("""COMPUTED_VALUE"""),18.81)</f>
        <v>18.809999999999999</v>
      </c>
      <c r="U2814" s="3" t="e">
        <f ca="1"/>
        <v>#NAME?</v>
      </c>
    </row>
    <row r="2815" spans="3:21" ht="12.5" x14ac:dyDescent="0.25">
      <c r="C2815" s="4">
        <f ca="1">IFERROR(__xludf.DUMMYFUNCTION("""COMPUTED_VALUE"""),43221.9986111111)</f>
        <v>43221.998611111099</v>
      </c>
      <c r="D2815" s="2">
        <f ca="1">IFERROR(__xludf.DUMMYFUNCTION("""COMPUTED_VALUE"""),66.7887)</f>
        <v>66.788700000000006</v>
      </c>
      <c r="E2815" s="2">
        <f ca="1">IFERROR(__xludf.DUMMYFUNCTION("""COMPUTED_VALUE"""),78.061)</f>
        <v>78.061000000000007</v>
      </c>
      <c r="F2815" s="2">
        <f ca="1">IFERROR(__xludf.DUMMYFUNCTION("""COMPUTED_VALUE"""),91.363)</f>
        <v>91.363</v>
      </c>
      <c r="G2815" s="2">
        <f ca="1">IFERROR(__xludf.DUMMYFUNCTION("""COMPUTED_VALUE"""),0.63941)</f>
        <v>0.63941000000000003</v>
      </c>
      <c r="H2815" s="2">
        <f ca="1">IFERROR(__xludf.DUMMYFUNCTION("""COMPUTED_VALUE"""),49.052)</f>
        <v>49.052</v>
      </c>
      <c r="I2815" s="2">
        <f ca="1">IFERROR(__xludf.DUMMYFUNCTION("""COMPUTED_VALUE"""),51.924)</f>
        <v>51.923999999999999</v>
      </c>
      <c r="J2815" s="2">
        <f ca="1">IFERROR(__xludf.DUMMYFUNCTION("""COMPUTED_VALUE"""),51.375)</f>
        <v>51.375</v>
      </c>
      <c r="K2815" s="2">
        <f ca="1">IFERROR(__xludf.DUMMYFUNCTION("""COMPUTED_VALUE"""),71.054)</f>
        <v>71.054000000000002</v>
      </c>
      <c r="M2815" s="2">
        <f ca="1">IFERROR(__xludf.DUMMYFUNCTION("""COMPUTED_VALUE"""),18.797)</f>
        <v>18.797000000000001</v>
      </c>
      <c r="U2815" s="3" t="e">
        <f ca="1"/>
        <v>#NAME?</v>
      </c>
    </row>
    <row r="2816" spans="3:21" ht="12.5" x14ac:dyDescent="0.25">
      <c r="C2816" s="4">
        <f ca="1">IFERROR(__xludf.DUMMYFUNCTION("""COMPUTED_VALUE"""),43222.9986111111)</f>
        <v>43222.998611111099</v>
      </c>
      <c r="D2816" s="2">
        <f ca="1">IFERROR(__xludf.DUMMYFUNCTION("""COMPUTED_VALUE"""),67.08)</f>
        <v>67.08</v>
      </c>
      <c r="E2816" s="2">
        <f ca="1">IFERROR(__xludf.DUMMYFUNCTION("""COMPUTED_VALUE"""),77.782)</f>
        <v>77.781999999999996</v>
      </c>
      <c r="F2816" s="2">
        <f ca="1">IFERROR(__xludf.DUMMYFUNCTION("""COMPUTED_VALUE"""),91.514)</f>
        <v>91.513999999999996</v>
      </c>
      <c r="G2816" s="2">
        <f ca="1">IFERROR(__xludf.DUMMYFUNCTION("""COMPUTED_VALUE"""),0.64008)</f>
        <v>0.64007999999999998</v>
      </c>
      <c r="H2816" s="2">
        <f ca="1">IFERROR(__xludf.DUMMYFUNCTION("""COMPUTED_VALUE"""),49.145)</f>
        <v>49.145000000000003</v>
      </c>
      <c r="I2816" s="2">
        <f ca="1">IFERROR(__xludf.DUMMYFUNCTION("""COMPUTED_VALUE"""),51.599)</f>
        <v>51.598999999999997</v>
      </c>
      <c r="J2816" s="2">
        <f ca="1">IFERROR(__xludf.DUMMYFUNCTION("""COMPUTED_VALUE"""),51.361)</f>
        <v>51.360999999999997</v>
      </c>
      <c r="K2816" s="2">
        <f ca="1">IFERROR(__xludf.DUMMYFUNCTION("""COMPUTED_VALUE"""),71.105)</f>
        <v>71.105000000000004</v>
      </c>
      <c r="M2816" s="2">
        <f ca="1">IFERROR(__xludf.DUMMYFUNCTION("""COMPUTED_VALUE"""),18.81)</f>
        <v>18.809999999999999</v>
      </c>
      <c r="U2816" s="3" t="e">
        <f ca="1"/>
        <v>#NAME?</v>
      </c>
    </row>
    <row r="2817" spans="3:21" ht="12.5" x14ac:dyDescent="0.25">
      <c r="C2817" s="4">
        <f ca="1">IFERROR(__xludf.DUMMYFUNCTION("""COMPUTED_VALUE"""),43223.9986111111)</f>
        <v>43223.998611111099</v>
      </c>
      <c r="D2817" s="2">
        <f ca="1">IFERROR(__xludf.DUMMYFUNCTION("""COMPUTED_VALUE"""),66.66)</f>
        <v>66.66</v>
      </c>
      <c r="E2817" s="2">
        <f ca="1">IFERROR(__xludf.DUMMYFUNCTION("""COMPUTED_VALUE"""),77.782)</f>
        <v>77.781999999999996</v>
      </c>
      <c r="F2817" s="2">
        <f ca="1">IFERROR(__xludf.DUMMYFUNCTION("""COMPUTED_VALUE"""),91.279)</f>
        <v>91.278999999999996</v>
      </c>
      <c r="G2817" s="2">
        <f ca="1">IFERROR(__xludf.DUMMYFUNCTION("""COMPUTED_VALUE"""),0.63699)</f>
        <v>0.63698999999999995</v>
      </c>
      <c r="H2817" s="2">
        <f ca="1">IFERROR(__xludf.DUMMYFUNCTION("""COMPUTED_VALUE"""),48.592)</f>
        <v>48.591999999999999</v>
      </c>
      <c r="I2817" s="2">
        <f ca="1">IFERROR(__xludf.DUMMYFUNCTION("""COMPUTED_VALUE"""),51.245)</f>
        <v>51.244999999999997</v>
      </c>
      <c r="J2817" s="2">
        <f ca="1">IFERROR(__xludf.DUMMYFUNCTION("""COMPUTED_VALUE"""),51.294)</f>
        <v>51.293999999999997</v>
      </c>
      <c r="K2817" s="2">
        <f ca="1">IFERROR(__xludf.DUMMYFUNCTION("""COMPUTED_VALUE"""),71.124)</f>
        <v>71.123999999999995</v>
      </c>
      <c r="M2817" s="2">
        <f ca="1">IFERROR(__xludf.DUMMYFUNCTION("""COMPUTED_VALUE"""),19.04)</f>
        <v>19.04</v>
      </c>
      <c r="U2817" s="3" t="e">
        <f ca="1"/>
        <v>#NAME?</v>
      </c>
    </row>
    <row r="2818" spans="3:21" ht="12.5" x14ac:dyDescent="0.25">
      <c r="C2818" s="4">
        <f ca="1">IFERROR(__xludf.DUMMYFUNCTION("""COMPUTED_VALUE"""),43224.9986111111)</f>
        <v>43224.998611111099</v>
      </c>
      <c r="D2818" s="2">
        <f ca="1">IFERROR(__xludf.DUMMYFUNCTION("""COMPUTED_VALUE"""),66.81)</f>
        <v>66.81</v>
      </c>
      <c r="E2818" s="2">
        <f ca="1">IFERROR(__xludf.DUMMYFUNCTION("""COMPUTED_VALUE"""),78.057)</f>
        <v>78.057000000000002</v>
      </c>
      <c r="F2818" s="2">
        <f ca="1">IFERROR(__xludf.DUMMYFUNCTION("""COMPUTED_VALUE"""),91.555)</f>
        <v>91.555000000000007</v>
      </c>
      <c r="G2818" s="2">
        <f ca="1">IFERROR(__xludf.DUMMYFUNCTION("""COMPUTED_VALUE"""),0.64046)</f>
        <v>0.64046000000000003</v>
      </c>
      <c r="H2818" s="2">
        <f ca="1">IFERROR(__xludf.DUMMYFUNCTION("""COMPUTED_VALUE"""),48.666)</f>
        <v>48.665999999999997</v>
      </c>
      <c r="I2818" s="2">
        <f ca="1">IFERROR(__xludf.DUMMYFUNCTION("""COMPUTED_VALUE"""),51.559)</f>
        <v>51.558999999999997</v>
      </c>
      <c r="J2818" s="2">
        <f ca="1">IFERROR(__xludf.DUMMYFUNCTION("""COMPUTED_VALUE"""),51.448)</f>
        <v>51.448</v>
      </c>
      <c r="K2818" s="2">
        <f ca="1">IFERROR(__xludf.DUMMYFUNCTION("""COMPUTED_VALUE"""),70.774)</f>
        <v>70.774000000000001</v>
      </c>
      <c r="M2818" s="2">
        <f ca="1">IFERROR(__xludf.DUMMYFUNCTION("""COMPUTED_VALUE"""),19.041)</f>
        <v>19.041</v>
      </c>
      <c r="U2818" s="3" t="e">
        <f ca="1"/>
        <v>#NAME?</v>
      </c>
    </row>
    <row r="2819" spans="3:21" ht="12.5" x14ac:dyDescent="0.25">
      <c r="C2819" s="4">
        <f ca="1">IFERROR(__xludf.DUMMYFUNCTION("""COMPUTED_VALUE"""),43225.9986111111)</f>
        <v>43225.998611111099</v>
      </c>
      <c r="D2819" s="2">
        <f ca="1">IFERROR(__xludf.DUMMYFUNCTION("""COMPUTED_VALUE"""),66.813)</f>
        <v>66.813000000000002</v>
      </c>
      <c r="E2819" s="2">
        <f ca="1">IFERROR(__xludf.DUMMYFUNCTION("""COMPUTED_VALUE"""),78.047)</f>
        <v>78.046999999999997</v>
      </c>
      <c r="F2819" s="2">
        <f ca="1">IFERROR(__xludf.DUMMYFUNCTION("""COMPUTED_VALUE"""),90.848)</f>
        <v>90.847999999999999</v>
      </c>
      <c r="G2819" s="2">
        <f ca="1">IFERROR(__xludf.DUMMYFUNCTION("""COMPUTED_VALUE"""),0.64081)</f>
        <v>0.64080999999999999</v>
      </c>
      <c r="H2819" s="2">
        <f ca="1">IFERROR(__xludf.DUMMYFUNCTION("""COMPUTED_VALUE"""),48.987)</f>
        <v>48.987000000000002</v>
      </c>
      <c r="I2819" s="2">
        <f ca="1">IFERROR(__xludf.DUMMYFUNCTION("""COMPUTED_VALUE"""),51.674)</f>
        <v>51.673999999999999</v>
      </c>
      <c r="J2819" s="2">
        <f ca="1">IFERROR(__xludf.DUMMYFUNCTION("""COMPUTED_VALUE"""),51.189)</f>
        <v>51.189</v>
      </c>
      <c r="K2819" s="2">
        <f ca="1">IFERROR(__xludf.DUMMYFUNCTION("""COMPUTED_VALUE"""),70.056)</f>
        <v>70.055999999999997</v>
      </c>
      <c r="M2819" s="2">
        <f ca="1">IFERROR(__xludf.DUMMYFUNCTION("""COMPUTED_VALUE"""),19.234)</f>
        <v>19.234000000000002</v>
      </c>
      <c r="U2819" s="3" t="e">
        <f ca="1"/>
        <v>#NAME?</v>
      </c>
    </row>
    <row r="2820" spans="3:21" ht="12.5" x14ac:dyDescent="0.25">
      <c r="C2820" s="4">
        <f ca="1">IFERROR(__xludf.DUMMYFUNCTION("""COMPUTED_VALUE"""),43226.9986111111)</f>
        <v>43226.998611111099</v>
      </c>
      <c r="D2820" s="2">
        <f ca="1">IFERROR(__xludf.DUMMYFUNCTION("""COMPUTED_VALUE"""),66.8105)</f>
        <v>66.810500000000005</v>
      </c>
      <c r="E2820" s="2">
        <f ca="1">IFERROR(__xludf.DUMMYFUNCTION("""COMPUTED_VALUE"""),78.171)</f>
        <v>78.171000000000006</v>
      </c>
      <c r="F2820" s="2">
        <f ca="1">IFERROR(__xludf.DUMMYFUNCTION("""COMPUTED_VALUE"""),91.439)</f>
        <v>91.438999999999993</v>
      </c>
      <c r="G2820" s="2">
        <f ca="1">IFERROR(__xludf.DUMMYFUNCTION("""COMPUTED_VALUE"""),0.63903)</f>
        <v>0.63902999999999999</v>
      </c>
      <c r="H2820" s="2">
        <f ca="1">IFERROR(__xludf.DUMMYFUNCTION("""COMPUTED_VALUE"""),49.153)</f>
        <v>49.152999999999999</v>
      </c>
      <c r="I2820" s="2">
        <f ca="1">IFERROR(__xludf.DUMMYFUNCTION("""COMPUTED_VALUE"""),51.646)</f>
        <v>51.646000000000001</v>
      </c>
      <c r="J2820" s="2">
        <f ca="1">IFERROR(__xludf.DUMMYFUNCTION("""COMPUTED_VALUE"""),51.198)</f>
        <v>51.198</v>
      </c>
      <c r="K2820" s="2">
        <f ca="1">IFERROR(__xludf.DUMMYFUNCTION("""COMPUTED_VALUE"""),70.166)</f>
        <v>70.165999999999997</v>
      </c>
      <c r="M2820" s="2">
        <f ca="1">IFERROR(__xludf.DUMMYFUNCTION("""COMPUTED_VALUE"""),19.056)</f>
        <v>19.056000000000001</v>
      </c>
      <c r="U2820" s="3" t="e">
        <f ca="1"/>
        <v>#NAME?</v>
      </c>
    </row>
    <row r="2821" spans="3:21" ht="12.5" x14ac:dyDescent="0.25">
      <c r="C2821" s="4">
        <f ca="1">IFERROR(__xludf.DUMMYFUNCTION("""COMPUTED_VALUE"""),43227.9986111111)</f>
        <v>43227.998611111099</v>
      </c>
      <c r="D2821" s="2">
        <f ca="1">IFERROR(__xludf.DUMMYFUNCTION("""COMPUTED_VALUE"""),67.1188)</f>
        <v>67.118799999999993</v>
      </c>
      <c r="E2821" s="2">
        <f ca="1">IFERROR(__xludf.DUMMYFUNCTION("""COMPUTED_VALUE"""),77.475)</f>
        <v>77.474999999999994</v>
      </c>
      <c r="F2821" s="2">
        <f ca="1">IFERROR(__xludf.DUMMYFUNCTION("""COMPUTED_VALUE"""),91.432)</f>
        <v>91.432000000000002</v>
      </c>
      <c r="G2821" s="2">
        <f ca="1">IFERROR(__xludf.DUMMYFUNCTION("""COMPUTED_VALUE"""),0.63888)</f>
        <v>0.63888</v>
      </c>
      <c r="H2821" s="2">
        <f ca="1">IFERROR(__xludf.DUMMYFUNCTION("""COMPUTED_VALUE"""),49.122)</f>
        <v>49.122</v>
      </c>
      <c r="I2821" s="2">
        <f ca="1">IFERROR(__xludf.DUMMYFUNCTION("""COMPUTED_VALUE"""),51.646)</f>
        <v>51.646000000000001</v>
      </c>
      <c r="J2821" s="2">
        <f ca="1">IFERROR(__xludf.DUMMYFUNCTION("""COMPUTED_VALUE"""),51.267)</f>
        <v>51.267000000000003</v>
      </c>
      <c r="K2821" s="2">
        <f ca="1">IFERROR(__xludf.DUMMYFUNCTION("""COMPUTED_VALUE"""),70.616)</f>
        <v>70.616</v>
      </c>
      <c r="M2821" s="2">
        <f ca="1">IFERROR(__xludf.DUMMYFUNCTION("""COMPUTED_VALUE"""),18.995)</f>
        <v>18.995000000000001</v>
      </c>
      <c r="U2821" s="3" t="e">
        <f ca="1"/>
        <v>#NAME?</v>
      </c>
    </row>
    <row r="2822" spans="3:21" ht="12.5" x14ac:dyDescent="0.25">
      <c r="C2822" s="4">
        <f ca="1">IFERROR(__xludf.DUMMYFUNCTION("""COMPUTED_VALUE"""),43228.9986111111)</f>
        <v>43228.998611111099</v>
      </c>
      <c r="D2822" s="2">
        <f ca="1">IFERROR(__xludf.DUMMYFUNCTION("""COMPUTED_VALUE"""),67.1625)</f>
        <v>67.162499999999994</v>
      </c>
      <c r="E2822" s="2">
        <f ca="1">IFERROR(__xludf.DUMMYFUNCTION("""COMPUTED_VALUE"""),77.345)</f>
        <v>77.344999999999999</v>
      </c>
      <c r="F2822" s="2">
        <f ca="1">IFERROR(__xludf.DUMMYFUNCTION("""COMPUTED_VALUE"""),91.453)</f>
        <v>91.453000000000003</v>
      </c>
      <c r="G2822" s="2">
        <f ca="1">IFERROR(__xludf.DUMMYFUNCTION("""COMPUTED_VALUE"""),0.64155)</f>
        <v>0.64154999999999995</v>
      </c>
      <c r="H2822" s="2">
        <f ca="1">IFERROR(__xludf.DUMMYFUNCTION("""COMPUTED_VALUE"""),49.122)</f>
        <v>49.122</v>
      </c>
      <c r="I2822" s="2">
        <f ca="1">IFERROR(__xludf.DUMMYFUNCTION("""COMPUTED_VALUE"""),52.205)</f>
        <v>52.204999999999998</v>
      </c>
      <c r="J2822" s="2">
        <f ca="1">IFERROR(__xludf.DUMMYFUNCTION("""COMPUTED_VALUE"""),51.156)</f>
        <v>51.155999999999999</v>
      </c>
      <c r="K2822" s="2">
        <f ca="1">IFERROR(__xludf.DUMMYFUNCTION("""COMPUTED_VALUE"""),70.892)</f>
        <v>70.891999999999996</v>
      </c>
      <c r="M2822" s="2">
        <f ca="1">IFERROR(__xludf.DUMMYFUNCTION("""COMPUTED_VALUE"""),19.001)</f>
        <v>19.001000000000001</v>
      </c>
      <c r="U2822" s="3" t="e">
        <f ca="1"/>
        <v>#NAME?</v>
      </c>
    </row>
    <row r="2823" spans="3:21" ht="12.5" x14ac:dyDescent="0.25">
      <c r="C2823" s="4">
        <f ca="1">IFERROR(__xludf.DUMMYFUNCTION("""COMPUTED_VALUE"""),43229.9986111111)</f>
        <v>43229.998611111099</v>
      </c>
      <c r="D2823" s="2">
        <f ca="1">IFERROR(__xludf.DUMMYFUNCTION("""COMPUTED_VALUE"""),67.62)</f>
        <v>67.62</v>
      </c>
      <c r="E2823" s="2">
        <f ca="1">IFERROR(__xludf.DUMMYFUNCTION("""COMPUTED_VALUE"""),77.666)</f>
        <v>77.665999999999997</v>
      </c>
      <c r="F2823" s="2">
        <f ca="1">IFERROR(__xludf.DUMMYFUNCTION("""COMPUTED_VALUE"""),91.673)</f>
        <v>91.673000000000002</v>
      </c>
      <c r="G2823" s="2">
        <f ca="1">IFERROR(__xludf.DUMMYFUNCTION("""COMPUTED_VALUE"""),0.64264)</f>
        <v>0.64263999999999999</v>
      </c>
      <c r="H2823" s="2">
        <f ca="1">IFERROR(__xludf.DUMMYFUNCTION("""COMPUTED_VALUE"""),49.537)</f>
        <v>49.536999999999999</v>
      </c>
      <c r="I2823" s="2">
        <f ca="1">IFERROR(__xludf.DUMMYFUNCTION("""COMPUTED_VALUE"""),51.918)</f>
        <v>51.917999999999999</v>
      </c>
      <c r="J2823" s="2">
        <f ca="1">IFERROR(__xludf.DUMMYFUNCTION("""COMPUTED_VALUE"""),51.163)</f>
        <v>51.162999999999997</v>
      </c>
      <c r="K2823" s="2">
        <f ca="1">IFERROR(__xludf.DUMMYFUNCTION("""COMPUTED_VALUE"""),71.155)</f>
        <v>71.155000000000001</v>
      </c>
      <c r="M2823" s="2">
        <f ca="1">IFERROR(__xludf.DUMMYFUNCTION("""COMPUTED_VALUE"""),18.988)</f>
        <v>18.988</v>
      </c>
      <c r="U2823" s="3" t="e">
        <f ca="1"/>
        <v>#NAME?</v>
      </c>
    </row>
    <row r="2824" spans="3:21" ht="12.5" x14ac:dyDescent="0.25">
      <c r="C2824" s="4">
        <f ca="1">IFERROR(__xludf.DUMMYFUNCTION("""COMPUTED_VALUE"""),43230.9986111111)</f>
        <v>43230.998611111099</v>
      </c>
      <c r="D2824" s="2">
        <f ca="1">IFERROR(__xludf.DUMMYFUNCTION("""COMPUTED_VALUE"""),67.39)</f>
        <v>67.39</v>
      </c>
      <c r="E2824" s="2">
        <f ca="1">IFERROR(__xludf.DUMMYFUNCTION("""COMPUTED_VALUE"""),77.814)</f>
        <v>77.813999999999993</v>
      </c>
      <c r="F2824" s="2">
        <f ca="1">IFERROR(__xludf.DUMMYFUNCTION("""COMPUTED_VALUE"""),92.089)</f>
        <v>92.088999999999999</v>
      </c>
      <c r="G2824" s="2">
        <f ca="1">IFERROR(__xludf.DUMMYFUNCTION("""COMPUTED_VALUE"""),0.64095)</f>
        <v>0.64095000000000002</v>
      </c>
      <c r="H2824" s="2">
        <f ca="1">IFERROR(__xludf.DUMMYFUNCTION("""COMPUTED_VALUE"""),49.332)</f>
        <v>49.332000000000001</v>
      </c>
      <c r="I2824" s="2">
        <f ca="1">IFERROR(__xludf.DUMMYFUNCTION("""COMPUTED_VALUE"""),51.863)</f>
        <v>51.863</v>
      </c>
      <c r="J2824" s="2">
        <f ca="1">IFERROR(__xludf.DUMMYFUNCTION("""COMPUTED_VALUE"""),50.877)</f>
        <v>50.877000000000002</v>
      </c>
      <c r="K2824" s="2">
        <f ca="1">IFERROR(__xludf.DUMMYFUNCTION("""COMPUTED_VALUE"""),70.975)</f>
        <v>70.974999999999994</v>
      </c>
      <c r="M2824" s="2">
        <f ca="1">IFERROR(__xludf.DUMMYFUNCTION("""COMPUTED_VALUE"""),19.001)</f>
        <v>19.001000000000001</v>
      </c>
      <c r="U2824" s="3" t="e">
        <f ca="1"/>
        <v>#NAME?</v>
      </c>
    </row>
    <row r="2825" spans="3:21" ht="12.5" x14ac:dyDescent="0.25">
      <c r="C2825" s="4">
        <f ca="1">IFERROR(__xludf.DUMMYFUNCTION("""COMPUTED_VALUE"""),43231.9986111111)</f>
        <v>43231.998611111099</v>
      </c>
      <c r="D2825" s="2">
        <f ca="1">IFERROR(__xludf.DUMMYFUNCTION("""COMPUTED_VALUE"""),67.3822)</f>
        <v>67.382199999999997</v>
      </c>
      <c r="E2825" s="2">
        <f ca="1">IFERROR(__xludf.DUMMYFUNCTION("""COMPUTED_VALUE"""),78.008)</f>
        <v>78.007999999999996</v>
      </c>
      <c r="F2825" s="2">
        <f ca="1">IFERROR(__xludf.DUMMYFUNCTION("""COMPUTED_VALUE"""),92.455)</f>
        <v>92.454999999999998</v>
      </c>
      <c r="G2825" s="2">
        <f ca="1">IFERROR(__xludf.DUMMYFUNCTION("""COMPUTED_VALUE"""),0.64262)</f>
        <v>0.64261999999999997</v>
      </c>
      <c r="H2825" s="2">
        <f ca="1">IFERROR(__xludf.DUMMYFUNCTION("""COMPUTED_VALUE"""),49.505)</f>
        <v>49.505000000000003</v>
      </c>
      <c r="I2825" s="2">
        <f ca="1">IFERROR(__xludf.DUMMYFUNCTION("""COMPUTED_VALUE"""),51.537)</f>
        <v>51.536999999999999</v>
      </c>
      <c r="J2825" s="2">
        <f ca="1">IFERROR(__xludf.DUMMYFUNCTION("""COMPUTED_VALUE"""),50.801)</f>
        <v>50.801000000000002</v>
      </c>
      <c r="K2825" s="2">
        <f ca="1">IFERROR(__xludf.DUMMYFUNCTION("""COMPUTED_VALUE"""),71.047)</f>
        <v>71.046999999999997</v>
      </c>
      <c r="M2825" s="2">
        <f ca="1">IFERROR(__xludf.DUMMYFUNCTION("""COMPUTED_VALUE"""),18.996)</f>
        <v>18.995999999999999</v>
      </c>
      <c r="U2825" s="3" t="e">
        <f ca="1"/>
        <v>#NAME?</v>
      </c>
    </row>
    <row r="2826" spans="3:21" ht="12.5" x14ac:dyDescent="0.25">
      <c r="C2826" s="4">
        <f ca="1">IFERROR(__xludf.DUMMYFUNCTION("""COMPUTED_VALUE"""),43232.9986111111)</f>
        <v>43232.998611111099</v>
      </c>
      <c r="D2826" s="2">
        <f ca="1">IFERROR(__xludf.DUMMYFUNCTION("""COMPUTED_VALUE"""),67.3822)</f>
        <v>67.382199999999997</v>
      </c>
      <c r="E2826" s="2">
        <f ca="1">IFERROR(__xludf.DUMMYFUNCTION("""COMPUTED_VALUE"""),78.674)</f>
        <v>78.674000000000007</v>
      </c>
      <c r="F2826" s="2">
        <f ca="1">IFERROR(__xludf.DUMMYFUNCTION("""COMPUTED_VALUE"""),92.919)</f>
        <v>92.918999999999997</v>
      </c>
      <c r="G2826" s="2">
        <f ca="1">IFERROR(__xludf.DUMMYFUNCTION("""COMPUTED_VALUE"""),0.64041)</f>
        <v>0.64041000000000003</v>
      </c>
      <c r="H2826" s="2">
        <f ca="1">IFERROR(__xludf.DUMMYFUNCTION("""COMPUTED_VALUE"""),49.107)</f>
        <v>49.106999999999999</v>
      </c>
      <c r="I2826" s="2">
        <f ca="1">IFERROR(__xludf.DUMMYFUNCTION("""COMPUTED_VALUE"""),51.879)</f>
        <v>51.878999999999998</v>
      </c>
      <c r="J2826" s="2">
        <f ca="1">IFERROR(__xludf.DUMMYFUNCTION("""COMPUTED_VALUE"""),50.85)</f>
        <v>50.85</v>
      </c>
      <c r="K2826" s="2">
        <f ca="1">IFERROR(__xludf.DUMMYFUNCTION("""COMPUTED_VALUE"""),70.972)</f>
        <v>70.971999999999994</v>
      </c>
      <c r="M2826" s="2">
        <f ca="1">IFERROR(__xludf.DUMMYFUNCTION("""COMPUTED_VALUE"""),19.129)</f>
        <v>19.129000000000001</v>
      </c>
      <c r="U2826" s="3" t="e">
        <f ca="1"/>
        <v>#NAME?</v>
      </c>
    </row>
    <row r="2827" spans="3:21" ht="12.5" x14ac:dyDescent="0.25">
      <c r="C2827" s="4">
        <f ca="1">IFERROR(__xludf.DUMMYFUNCTION("""COMPUTED_VALUE"""),43233.9986111111)</f>
        <v>43233.998611111099</v>
      </c>
      <c r="D2827" s="2">
        <f ca="1">IFERROR(__xludf.DUMMYFUNCTION("""COMPUTED_VALUE"""),67.3822)</f>
        <v>67.382199999999997</v>
      </c>
      <c r="E2827" s="2">
        <f ca="1">IFERROR(__xludf.DUMMYFUNCTION("""COMPUTED_VALUE"""),78.582)</f>
        <v>78.581999999999994</v>
      </c>
      <c r="F2827" s="2">
        <f ca="1">IFERROR(__xludf.DUMMYFUNCTION("""COMPUTED_VALUE"""),92.851)</f>
        <v>92.850999999999999</v>
      </c>
      <c r="G2827" s="2">
        <f ca="1">IFERROR(__xludf.DUMMYFUNCTION("""COMPUTED_VALUE"""),0.64361)</f>
        <v>0.64361000000000002</v>
      </c>
      <c r="H2827" s="2">
        <f ca="1">IFERROR(__xludf.DUMMYFUNCTION("""COMPUTED_VALUE"""),49.563)</f>
        <v>49.563000000000002</v>
      </c>
      <c r="I2827" s="2">
        <f ca="1">IFERROR(__xludf.DUMMYFUNCTION("""COMPUTED_VALUE"""),51.857)</f>
        <v>51.856999999999999</v>
      </c>
      <c r="J2827" s="2">
        <f ca="1">IFERROR(__xludf.DUMMYFUNCTION("""COMPUTED_VALUE"""),51.012)</f>
        <v>51.012</v>
      </c>
      <c r="K2827" s="2">
        <f ca="1">IFERROR(__xludf.DUMMYFUNCTION("""COMPUTED_VALUE"""),70.99)</f>
        <v>70.989999999999995</v>
      </c>
      <c r="M2827" s="2">
        <f ca="1">IFERROR(__xludf.DUMMYFUNCTION("""COMPUTED_VALUE"""),18.988)</f>
        <v>18.988</v>
      </c>
      <c r="U2827" s="3" t="e">
        <f ca="1"/>
        <v>#NAME?</v>
      </c>
    </row>
    <row r="2828" spans="3:21" ht="12.5" x14ac:dyDescent="0.25">
      <c r="C2828" s="4">
        <f ca="1">IFERROR(__xludf.DUMMYFUNCTION("""COMPUTED_VALUE"""),43234.9986111111)</f>
        <v>43234.998611111099</v>
      </c>
      <c r="D2828" s="2">
        <f ca="1">IFERROR(__xludf.DUMMYFUNCTION("""COMPUTED_VALUE"""),67.678)</f>
        <v>67.677999999999997</v>
      </c>
      <c r="E2828" s="2">
        <f ca="1">IFERROR(__xludf.DUMMYFUNCTION("""COMPUTED_VALUE"""),79.249)</f>
        <v>79.248999999999995</v>
      </c>
      <c r="F2828" s="2">
        <f ca="1">IFERROR(__xludf.DUMMYFUNCTION("""COMPUTED_VALUE"""),92.833)</f>
        <v>92.832999999999998</v>
      </c>
      <c r="G2828" s="2">
        <f ca="1">IFERROR(__xludf.DUMMYFUNCTION("""COMPUTED_VALUE"""),0.64738)</f>
        <v>0.64737999999999996</v>
      </c>
      <c r="H2828" s="2">
        <f ca="1">IFERROR(__xludf.DUMMYFUNCTION("""COMPUTED_VALUE"""),49.461)</f>
        <v>49.460999999999999</v>
      </c>
      <c r="I2828" s="2">
        <f ca="1">IFERROR(__xludf.DUMMYFUNCTION("""COMPUTED_VALUE"""),51.857)</f>
        <v>51.856999999999999</v>
      </c>
      <c r="J2828" s="2">
        <f ca="1">IFERROR(__xludf.DUMMYFUNCTION("""COMPUTED_VALUE"""),51.142)</f>
        <v>51.142000000000003</v>
      </c>
      <c r="K2828" s="2">
        <f ca="1">IFERROR(__xludf.DUMMYFUNCTION("""COMPUTED_VALUE"""),70.99)</f>
        <v>70.989999999999995</v>
      </c>
      <c r="M2828" s="2">
        <f ca="1">IFERROR(__xludf.DUMMYFUNCTION("""COMPUTED_VALUE"""),18.995)</f>
        <v>18.995000000000001</v>
      </c>
      <c r="U2828" s="3" t="e">
        <f ca="1"/>
        <v>#NAME?</v>
      </c>
    </row>
    <row r="2829" spans="3:21" ht="12.5" x14ac:dyDescent="0.25">
      <c r="C2829" s="4">
        <f ca="1">IFERROR(__xludf.DUMMYFUNCTION("""COMPUTED_VALUE"""),43235.9986111111)</f>
        <v>43235.998611111099</v>
      </c>
      <c r="D2829" s="2">
        <f ca="1">IFERROR(__xludf.DUMMYFUNCTION("""COMPUTED_VALUE"""),68.46)</f>
        <v>68.459999999999994</v>
      </c>
      <c r="E2829" s="2">
        <f ca="1">IFERROR(__xludf.DUMMYFUNCTION("""COMPUTED_VALUE"""),78.704)</f>
        <v>78.703999999999994</v>
      </c>
      <c r="F2829" s="2">
        <f ca="1">IFERROR(__xludf.DUMMYFUNCTION("""COMPUTED_VALUE"""),92.851)</f>
        <v>92.850999999999999</v>
      </c>
      <c r="G2829" s="2">
        <f ca="1">IFERROR(__xludf.DUMMYFUNCTION("""COMPUTED_VALUE"""),0.64799)</f>
        <v>0.64798999999999995</v>
      </c>
      <c r="H2829" s="2">
        <f ca="1">IFERROR(__xludf.DUMMYFUNCTION("""COMPUTED_VALUE"""),49.478)</f>
        <v>49.478000000000002</v>
      </c>
      <c r="I2829" s="2">
        <f ca="1">IFERROR(__xludf.DUMMYFUNCTION("""COMPUTED_VALUE"""),51.851)</f>
        <v>51.850999999999999</v>
      </c>
      <c r="J2829" s="2">
        <f ca="1">IFERROR(__xludf.DUMMYFUNCTION("""COMPUTED_VALUE"""),51.387)</f>
        <v>51.387</v>
      </c>
      <c r="K2829" s="2">
        <f ca="1">IFERROR(__xludf.DUMMYFUNCTION("""COMPUTED_VALUE"""),70.739)</f>
        <v>70.739000000000004</v>
      </c>
      <c r="M2829" s="2">
        <f ca="1">IFERROR(__xludf.DUMMYFUNCTION("""COMPUTED_VALUE"""),19.04)</f>
        <v>19.04</v>
      </c>
      <c r="U2829" s="3" t="e">
        <f ca="1"/>
        <v>#NAME?</v>
      </c>
    </row>
    <row r="2830" spans="3:21" ht="12.5" x14ac:dyDescent="0.25">
      <c r="C2830" s="4">
        <f ca="1">IFERROR(__xludf.DUMMYFUNCTION("""COMPUTED_VALUE"""),43236.9986111111)</f>
        <v>43236.998611111099</v>
      </c>
      <c r="D2830" s="2">
        <f ca="1">IFERROR(__xludf.DUMMYFUNCTION("""COMPUTED_VALUE"""),68.06)</f>
        <v>68.06</v>
      </c>
      <c r="E2830" s="2">
        <f ca="1">IFERROR(__xludf.DUMMYFUNCTION("""COMPUTED_VALUE"""),78.616)</f>
        <v>78.616</v>
      </c>
      <c r="F2830" s="2">
        <f ca="1">IFERROR(__xludf.DUMMYFUNCTION("""COMPUTED_VALUE"""),93.846)</f>
        <v>93.846000000000004</v>
      </c>
      <c r="G2830" s="2">
        <f ca="1">IFERROR(__xludf.DUMMYFUNCTION("""COMPUTED_VALUE"""),0.64478)</f>
        <v>0.64478000000000002</v>
      </c>
      <c r="H2830" s="2">
        <f ca="1">IFERROR(__xludf.DUMMYFUNCTION("""COMPUTED_VALUE"""),49.729)</f>
        <v>49.728999999999999</v>
      </c>
      <c r="I2830" s="2">
        <f ca="1">IFERROR(__xludf.DUMMYFUNCTION("""COMPUTED_VALUE"""),51.991)</f>
        <v>51.991</v>
      </c>
      <c r="J2830" s="2">
        <f ca="1">IFERROR(__xludf.DUMMYFUNCTION("""COMPUTED_VALUE"""),51.334)</f>
        <v>51.334000000000003</v>
      </c>
      <c r="K2830" s="2">
        <f ca="1">IFERROR(__xludf.DUMMYFUNCTION("""COMPUTED_VALUE"""),70.967)</f>
        <v>70.966999999999999</v>
      </c>
      <c r="M2830" s="2">
        <f ca="1">IFERROR(__xludf.DUMMYFUNCTION("""COMPUTED_VALUE"""),19.124)</f>
        <v>19.123999999999999</v>
      </c>
      <c r="U2830" s="3" t="e">
        <f ca="1"/>
        <v>#NAME?</v>
      </c>
    </row>
    <row r="2831" spans="3:21" ht="12.5" x14ac:dyDescent="0.25">
      <c r="C2831" s="4">
        <f ca="1">IFERROR(__xludf.DUMMYFUNCTION("""COMPUTED_VALUE"""),43237.9986111111)</f>
        <v>43237.998611111099</v>
      </c>
      <c r="D2831" s="2">
        <f ca="1">IFERROR(__xludf.DUMMYFUNCTION("""COMPUTED_VALUE"""),68.14)</f>
        <v>68.14</v>
      </c>
      <c r="E2831" s="2">
        <f ca="1">IFERROR(__xludf.DUMMYFUNCTION("""COMPUTED_VALUE"""),78.405)</f>
        <v>78.405000000000001</v>
      </c>
      <c r="F2831" s="2">
        <f ca="1">IFERROR(__xludf.DUMMYFUNCTION("""COMPUTED_VALUE"""),93.888)</f>
        <v>93.888000000000005</v>
      </c>
      <c r="G2831" s="2">
        <f ca="1">IFERROR(__xludf.DUMMYFUNCTION("""COMPUTED_VALUE"""),0.64628)</f>
        <v>0.64627999999999997</v>
      </c>
      <c r="H2831" s="2">
        <f ca="1">IFERROR(__xludf.DUMMYFUNCTION("""COMPUTED_VALUE"""),49.765)</f>
        <v>49.765000000000001</v>
      </c>
      <c r="I2831" s="2">
        <f ca="1">IFERROR(__xludf.DUMMYFUNCTION("""COMPUTED_VALUE"""),51.939)</f>
        <v>51.939</v>
      </c>
      <c r="J2831" s="2">
        <f ca="1">IFERROR(__xludf.DUMMYFUNCTION("""COMPUTED_VALUE"""),51.499)</f>
        <v>51.499000000000002</v>
      </c>
      <c r="K2831" s="2">
        <f ca="1">IFERROR(__xludf.DUMMYFUNCTION("""COMPUTED_VALUE"""),71.074)</f>
        <v>71.073999999999998</v>
      </c>
      <c r="M2831" s="2">
        <f ca="1">IFERROR(__xludf.DUMMYFUNCTION("""COMPUTED_VALUE"""),19.198)</f>
        <v>19.198</v>
      </c>
      <c r="U2831" s="3" t="e">
        <f ca="1"/>
        <v>#NAME?</v>
      </c>
    </row>
    <row r="2832" spans="3:21" ht="12.5" x14ac:dyDescent="0.25">
      <c r="C2832" s="4">
        <f ca="1">IFERROR(__xludf.DUMMYFUNCTION("""COMPUTED_VALUE"""),43238.9986111111)</f>
        <v>43238.998611111099</v>
      </c>
      <c r="D2832" s="2">
        <f ca="1">IFERROR(__xludf.DUMMYFUNCTION("""COMPUTED_VALUE"""),67.98)</f>
        <v>67.98</v>
      </c>
      <c r="E2832" s="2">
        <f ca="1">IFERROR(__xludf.DUMMYFUNCTION("""COMPUTED_VALUE"""),78.335)</f>
        <v>78.334999999999994</v>
      </c>
      <c r="F2832" s="2">
        <f ca="1">IFERROR(__xludf.DUMMYFUNCTION("""COMPUTED_VALUE"""),93.765)</f>
        <v>93.765000000000001</v>
      </c>
      <c r="G2832" s="2">
        <f ca="1">IFERROR(__xludf.DUMMYFUNCTION("""COMPUTED_VALUE"""),0.64182)</f>
        <v>0.64181999999999995</v>
      </c>
      <c r="H2832" s="2">
        <f ca="1">IFERROR(__xludf.DUMMYFUNCTION("""COMPUTED_VALUE"""),49.742)</f>
        <v>49.741999999999997</v>
      </c>
      <c r="I2832" s="2">
        <f ca="1">IFERROR(__xludf.DUMMYFUNCTION("""COMPUTED_VALUE"""),51.844)</f>
        <v>51.844000000000001</v>
      </c>
      <c r="J2832" s="2">
        <f ca="1">IFERROR(__xludf.DUMMYFUNCTION("""COMPUTED_VALUE"""),51.304)</f>
        <v>51.304000000000002</v>
      </c>
      <c r="K2832" s="2">
        <f ca="1">IFERROR(__xludf.DUMMYFUNCTION("""COMPUTED_VALUE"""),70.936)</f>
        <v>70.936000000000007</v>
      </c>
      <c r="M2832" s="2">
        <f ca="1">IFERROR(__xludf.DUMMYFUNCTION("""COMPUTED_VALUE"""),19.438)</f>
        <v>19.437999999999999</v>
      </c>
      <c r="U2832" s="3" t="e">
        <f ca="1"/>
        <v>#NAME?</v>
      </c>
    </row>
    <row r="2833" spans="3:21" ht="12.5" x14ac:dyDescent="0.25">
      <c r="C2833" s="4">
        <f ca="1">IFERROR(__xludf.DUMMYFUNCTION("""COMPUTED_VALUE"""),43239.9986111111)</f>
        <v>43239.998611111099</v>
      </c>
      <c r="D2833" s="2">
        <f ca="1">IFERROR(__xludf.DUMMYFUNCTION("""COMPUTED_VALUE"""),67.975)</f>
        <v>67.974999999999994</v>
      </c>
      <c r="E2833" s="2">
        <f ca="1">IFERROR(__xludf.DUMMYFUNCTION("""COMPUTED_VALUE"""),77.663)</f>
        <v>77.662999999999997</v>
      </c>
      <c r="F2833" s="2">
        <f ca="1">IFERROR(__xludf.DUMMYFUNCTION("""COMPUTED_VALUE"""),93.112)</f>
        <v>93.111999999999995</v>
      </c>
      <c r="G2833" s="2">
        <f ca="1">IFERROR(__xludf.DUMMYFUNCTION("""COMPUTED_VALUE"""),0.64033)</f>
        <v>0.64032999999999995</v>
      </c>
      <c r="H2833" s="2">
        <f ca="1">IFERROR(__xludf.DUMMYFUNCTION("""COMPUTED_VALUE"""),49.595)</f>
        <v>49.594999999999999</v>
      </c>
      <c r="I2833" s="2">
        <f ca="1">IFERROR(__xludf.DUMMYFUNCTION("""COMPUTED_VALUE"""),51.814)</f>
        <v>51.814</v>
      </c>
      <c r="J2833" s="2">
        <f ca="1">IFERROR(__xludf.DUMMYFUNCTION("""COMPUTED_VALUE"""),51.263)</f>
        <v>51.262999999999998</v>
      </c>
      <c r="K2833" s="2">
        <f ca="1">IFERROR(__xludf.DUMMYFUNCTION("""COMPUTED_VALUE"""),71.052)</f>
        <v>71.052000000000007</v>
      </c>
      <c r="M2833" s="2">
        <f ca="1">IFERROR(__xludf.DUMMYFUNCTION("""COMPUTED_VALUE"""),19.288)</f>
        <v>19.288</v>
      </c>
      <c r="U2833" s="3" t="e">
        <f ca="1"/>
        <v>#NAME?</v>
      </c>
    </row>
    <row r="2834" spans="3:21" ht="12.5" x14ac:dyDescent="0.25">
      <c r="C2834" s="4">
        <f ca="1">IFERROR(__xludf.DUMMYFUNCTION("""COMPUTED_VALUE"""),43240.9986111111)</f>
        <v>43240.998611111099</v>
      </c>
      <c r="D2834" s="2">
        <f ca="1">IFERROR(__xludf.DUMMYFUNCTION("""COMPUTED_VALUE"""),67.975)</f>
        <v>67.974999999999994</v>
      </c>
      <c r="E2834" s="2">
        <f ca="1">IFERROR(__xludf.DUMMYFUNCTION("""COMPUTED_VALUE"""),77.675)</f>
        <v>77.674999999999997</v>
      </c>
      <c r="F2834" s="2">
        <f ca="1">IFERROR(__xludf.DUMMYFUNCTION("""COMPUTED_VALUE"""),92.682)</f>
        <v>92.682000000000002</v>
      </c>
      <c r="G2834" s="2">
        <f ca="1">IFERROR(__xludf.DUMMYFUNCTION("""COMPUTED_VALUE"""),0.63843)</f>
        <v>0.63843000000000005</v>
      </c>
      <c r="H2834" s="2">
        <f ca="1">IFERROR(__xludf.DUMMYFUNCTION("""COMPUTED_VALUE"""),49.583)</f>
        <v>49.582999999999998</v>
      </c>
      <c r="I2834" s="2">
        <f ca="1">IFERROR(__xludf.DUMMYFUNCTION("""COMPUTED_VALUE"""),51.811)</f>
        <v>51.811</v>
      </c>
      <c r="J2834" s="2">
        <f ca="1">IFERROR(__xludf.DUMMYFUNCTION("""COMPUTED_VALUE"""),51.11)</f>
        <v>51.11</v>
      </c>
      <c r="K2834" s="2">
        <f ca="1">IFERROR(__xludf.DUMMYFUNCTION("""COMPUTED_VALUE"""),70.917)</f>
        <v>70.917000000000002</v>
      </c>
      <c r="M2834" s="2">
        <f ca="1">IFERROR(__xludf.DUMMYFUNCTION("""COMPUTED_VALUE"""),19.33)</f>
        <v>19.329999999999998</v>
      </c>
      <c r="U2834" s="3" t="e">
        <f ca="1"/>
        <v>#NAME?</v>
      </c>
    </row>
    <row r="2835" spans="3:21" ht="12.5" x14ac:dyDescent="0.25">
      <c r="C2835" s="4">
        <f ca="1">IFERROR(__xludf.DUMMYFUNCTION("""COMPUTED_VALUE"""),43241.9986111111)</f>
        <v>43241.998611111099</v>
      </c>
      <c r="D2835" s="2">
        <f ca="1">IFERROR(__xludf.DUMMYFUNCTION("""COMPUTED_VALUE"""),68.4)</f>
        <v>68.400000000000006</v>
      </c>
      <c r="E2835" s="2">
        <f ca="1">IFERROR(__xludf.DUMMYFUNCTION("""COMPUTED_VALUE"""),77.615)</f>
        <v>77.614999999999995</v>
      </c>
      <c r="F2835" s="2">
        <f ca="1">IFERROR(__xludf.DUMMYFUNCTION("""COMPUTED_VALUE"""),92.714)</f>
        <v>92.713999999999999</v>
      </c>
      <c r="G2835" s="2">
        <f ca="1">IFERROR(__xludf.DUMMYFUNCTION("""COMPUTED_VALUE"""),0.63497)</f>
        <v>0.63497000000000003</v>
      </c>
      <c r="H2835" s="2">
        <f ca="1">IFERROR(__xludf.DUMMYFUNCTION("""COMPUTED_VALUE"""),49.584)</f>
        <v>49.584000000000003</v>
      </c>
      <c r="I2835" s="2">
        <f ca="1">IFERROR(__xludf.DUMMYFUNCTION("""COMPUTED_VALUE"""),51.811)</f>
        <v>51.811</v>
      </c>
      <c r="J2835" s="2">
        <f ca="1">IFERROR(__xludf.DUMMYFUNCTION("""COMPUTED_VALUE"""),50.949)</f>
        <v>50.948999999999998</v>
      </c>
      <c r="K2835" s="2">
        <f ca="1">IFERROR(__xludf.DUMMYFUNCTION("""COMPUTED_VALUE"""),70.111)</f>
        <v>70.111000000000004</v>
      </c>
      <c r="M2835" s="2">
        <f ca="1">IFERROR(__xludf.DUMMYFUNCTION("""COMPUTED_VALUE"""),19.362)</f>
        <v>19.361999999999998</v>
      </c>
      <c r="U2835" s="3" t="e">
        <f ca="1"/>
        <v>#NAME?</v>
      </c>
    </row>
    <row r="2836" spans="3:21" ht="12.5" x14ac:dyDescent="0.25">
      <c r="C2836" s="4">
        <f ca="1">IFERROR(__xludf.DUMMYFUNCTION("""COMPUTED_VALUE"""),43242.9986111111)</f>
        <v>43242.998611111099</v>
      </c>
      <c r="D2836" s="2">
        <f ca="1">IFERROR(__xludf.DUMMYFUNCTION("""COMPUTED_VALUE"""),68.43)</f>
        <v>68.430000000000007</v>
      </c>
      <c r="E2836" s="2">
        <f ca="1">IFERROR(__xludf.DUMMYFUNCTION("""COMPUTED_VALUE"""),77.837)</f>
        <v>77.837000000000003</v>
      </c>
      <c r="F2836" s="2">
        <f ca="1">IFERROR(__xludf.DUMMYFUNCTION("""COMPUTED_VALUE"""),92.728)</f>
        <v>92.727999999999994</v>
      </c>
      <c r="G2836" s="2">
        <f ca="1">IFERROR(__xludf.DUMMYFUNCTION("""COMPUTED_VALUE"""),0.63834)</f>
        <v>0.63834000000000002</v>
      </c>
      <c r="H2836" s="2">
        <f ca="1">IFERROR(__xludf.DUMMYFUNCTION("""COMPUTED_VALUE"""),49.584)</f>
        <v>49.584000000000003</v>
      </c>
      <c r="I2836" s="2">
        <f ca="1">IFERROR(__xludf.DUMMYFUNCTION("""COMPUTED_VALUE"""),52.222)</f>
        <v>52.222000000000001</v>
      </c>
      <c r="J2836" s="2">
        <f ca="1">IFERROR(__xludf.DUMMYFUNCTION("""COMPUTED_VALUE"""),50.557)</f>
        <v>50.557000000000002</v>
      </c>
      <c r="K2836" s="2">
        <f ca="1">IFERROR(__xludf.DUMMYFUNCTION("""COMPUTED_VALUE"""),69.712)</f>
        <v>69.712000000000003</v>
      </c>
      <c r="M2836" s="2">
        <f ca="1">IFERROR(__xludf.DUMMYFUNCTION("""COMPUTED_VALUE"""),19.531)</f>
        <v>19.530999999999999</v>
      </c>
      <c r="U2836" s="3" t="e">
        <f ca="1"/>
        <v>#NAME?</v>
      </c>
    </row>
    <row r="2837" spans="3:21" ht="12.5" x14ac:dyDescent="0.25">
      <c r="C2837" s="4">
        <f ca="1">IFERROR(__xludf.DUMMYFUNCTION("""COMPUTED_VALUE"""),43243.9986111111)</f>
        <v>43243.998611111099</v>
      </c>
      <c r="D2837" s="2">
        <f ca="1">IFERROR(__xludf.DUMMYFUNCTION("""COMPUTED_VALUE"""),68.65)</f>
        <v>68.650000000000006</v>
      </c>
      <c r="E2837" s="2">
        <f ca="1">IFERROR(__xludf.DUMMYFUNCTION("""COMPUTED_VALUE"""),77.646)</f>
        <v>77.646000000000001</v>
      </c>
      <c r="F2837" s="2">
        <f ca="1">IFERROR(__xludf.DUMMYFUNCTION("""COMPUTED_VALUE"""),92.753)</f>
        <v>92.753</v>
      </c>
      <c r="G2837" s="2">
        <f ca="1">IFERROR(__xludf.DUMMYFUNCTION("""COMPUTED_VALUE"""),0.63755)</f>
        <v>0.63754999999999995</v>
      </c>
      <c r="H2837" s="2">
        <f ca="1">IFERROR(__xludf.DUMMYFUNCTION("""COMPUTED_VALUE"""),49.716)</f>
        <v>49.716000000000001</v>
      </c>
      <c r="I2837" s="2">
        <f ca="1">IFERROR(__xludf.DUMMYFUNCTION("""COMPUTED_VALUE"""),51.897)</f>
        <v>51.896999999999998</v>
      </c>
      <c r="J2837" s="2">
        <f ca="1">IFERROR(__xludf.DUMMYFUNCTION("""COMPUTED_VALUE"""),50.534)</f>
        <v>50.533999999999999</v>
      </c>
      <c r="K2837" s="2">
        <f ca="1">IFERROR(__xludf.DUMMYFUNCTION("""COMPUTED_VALUE"""),69.287)</f>
        <v>69.287000000000006</v>
      </c>
      <c r="M2837" s="2">
        <f ca="1">IFERROR(__xludf.DUMMYFUNCTION("""COMPUTED_VALUE"""),19.569)</f>
        <v>19.568999999999999</v>
      </c>
      <c r="U2837" s="3" t="e">
        <f ca="1"/>
        <v>#NAME?</v>
      </c>
    </row>
    <row r="2838" spans="3:21" ht="12.5" x14ac:dyDescent="0.25">
      <c r="C2838" s="4">
        <f ca="1">IFERROR(__xludf.DUMMYFUNCTION("""COMPUTED_VALUE"""),43244.9986111111)</f>
        <v>43244.998611111099</v>
      </c>
      <c r="D2838" s="2">
        <f ca="1">IFERROR(__xludf.DUMMYFUNCTION("""COMPUTED_VALUE"""),68.2601)</f>
        <v>68.260099999999994</v>
      </c>
      <c r="E2838" s="2">
        <f ca="1">IFERROR(__xludf.DUMMYFUNCTION("""COMPUTED_VALUE"""),76.8)</f>
        <v>76.8</v>
      </c>
      <c r="F2838" s="2">
        <f ca="1">IFERROR(__xludf.DUMMYFUNCTION("""COMPUTED_VALUE"""),92.952)</f>
        <v>92.951999999999998</v>
      </c>
      <c r="G2838" s="2">
        <f ca="1">IFERROR(__xludf.DUMMYFUNCTION("""COMPUTED_VALUE"""),0.63496)</f>
        <v>0.63495999999999997</v>
      </c>
      <c r="H2838" s="2">
        <f ca="1">IFERROR(__xludf.DUMMYFUNCTION("""COMPUTED_VALUE"""),49.459)</f>
        <v>49.459000000000003</v>
      </c>
      <c r="I2838" s="2">
        <f ca="1">IFERROR(__xludf.DUMMYFUNCTION("""COMPUTED_VALUE"""),51.794)</f>
        <v>51.793999999999997</v>
      </c>
      <c r="J2838" s="2">
        <f ca="1">IFERROR(__xludf.DUMMYFUNCTION("""COMPUTED_VALUE"""),50.445)</f>
        <v>50.445</v>
      </c>
      <c r="K2838" s="2">
        <f ca="1">IFERROR(__xludf.DUMMYFUNCTION("""COMPUTED_VALUE"""),69.437)</f>
        <v>69.436999999999998</v>
      </c>
      <c r="M2838" s="2">
        <f ca="1">IFERROR(__xludf.DUMMYFUNCTION("""COMPUTED_VALUE"""),19.583)</f>
        <v>19.582999999999998</v>
      </c>
      <c r="U2838" s="3" t="e">
        <f ca="1"/>
        <v>#NAME?</v>
      </c>
    </row>
    <row r="2839" spans="3:21" ht="12.5" x14ac:dyDescent="0.25">
      <c r="C2839" s="4">
        <f ca="1">IFERROR(__xludf.DUMMYFUNCTION("""COMPUTED_VALUE"""),43245.9986111111)</f>
        <v>43245.998611111099</v>
      </c>
      <c r="D2839" s="2">
        <f ca="1">IFERROR(__xludf.DUMMYFUNCTION("""COMPUTED_VALUE"""),67.7217)</f>
        <v>67.721699999999998</v>
      </c>
      <c r="E2839" s="2">
        <f ca="1">IFERROR(__xludf.DUMMYFUNCTION("""COMPUTED_VALUE"""),77.719)</f>
        <v>77.718999999999994</v>
      </c>
      <c r="F2839" s="2">
        <f ca="1">IFERROR(__xludf.DUMMYFUNCTION("""COMPUTED_VALUE"""),93.245)</f>
        <v>93.245000000000005</v>
      </c>
      <c r="G2839" s="2">
        <f ca="1">IFERROR(__xludf.DUMMYFUNCTION("""COMPUTED_VALUE"""),0.63043)</f>
        <v>0.63043000000000005</v>
      </c>
      <c r="H2839" s="2">
        <f ca="1">IFERROR(__xludf.DUMMYFUNCTION("""COMPUTED_VALUE"""),49.017)</f>
        <v>49.017000000000003</v>
      </c>
      <c r="I2839" s="2">
        <f ca="1">IFERROR(__xludf.DUMMYFUNCTION("""COMPUTED_VALUE"""),52)</f>
        <v>52</v>
      </c>
      <c r="J2839" s="2">
        <f ca="1">IFERROR(__xludf.DUMMYFUNCTION("""COMPUTED_VALUE"""),50.47)</f>
        <v>50.47</v>
      </c>
      <c r="K2839" s="2">
        <f ca="1">IFERROR(__xludf.DUMMYFUNCTION("""COMPUTED_VALUE"""),69.464)</f>
        <v>69.463999999999999</v>
      </c>
      <c r="M2839" s="2">
        <f ca="1">IFERROR(__xludf.DUMMYFUNCTION("""COMPUTED_VALUE"""),19.596)</f>
        <v>19.596</v>
      </c>
      <c r="U2839" s="3" t="e">
        <f ca="1"/>
        <v>#NAME?</v>
      </c>
    </row>
    <row r="2840" spans="3:21" ht="12.5" x14ac:dyDescent="0.25">
      <c r="C2840" s="4">
        <f ca="1">IFERROR(__xludf.DUMMYFUNCTION("""COMPUTED_VALUE"""),43246.9986111111)</f>
        <v>43246.998611111099</v>
      </c>
      <c r="D2840" s="2">
        <f ca="1">IFERROR(__xludf.DUMMYFUNCTION("""COMPUTED_VALUE"""),67.7217)</f>
        <v>67.721699999999998</v>
      </c>
      <c r="E2840" s="2">
        <f ca="1">IFERROR(__xludf.DUMMYFUNCTION("""COMPUTED_VALUE"""),77.661)</f>
        <v>77.661000000000001</v>
      </c>
      <c r="F2840" s="2">
        <f ca="1">IFERROR(__xludf.DUMMYFUNCTION("""COMPUTED_VALUE"""),93.097)</f>
        <v>93.096999999999994</v>
      </c>
      <c r="G2840" s="2">
        <f ca="1">IFERROR(__xludf.DUMMYFUNCTION("""COMPUTED_VALUE"""),0.63007)</f>
        <v>0.63007000000000002</v>
      </c>
      <c r="H2840" s="2">
        <f ca="1">IFERROR(__xludf.DUMMYFUNCTION("""COMPUTED_VALUE"""),49.194)</f>
        <v>49.194000000000003</v>
      </c>
      <c r="I2840" s="2">
        <f ca="1">IFERROR(__xludf.DUMMYFUNCTION("""COMPUTED_VALUE"""),51.855)</f>
        <v>51.854999999999997</v>
      </c>
      <c r="J2840" s="2">
        <f ca="1">IFERROR(__xludf.DUMMYFUNCTION("""COMPUTED_VALUE"""),50.393)</f>
        <v>50.393000000000001</v>
      </c>
      <c r="K2840" s="2">
        <f ca="1">IFERROR(__xludf.DUMMYFUNCTION("""COMPUTED_VALUE"""),69.027)</f>
        <v>69.027000000000001</v>
      </c>
      <c r="M2840" s="2">
        <f ca="1">IFERROR(__xludf.DUMMYFUNCTION("""COMPUTED_VALUE"""),19.629)</f>
        <v>19.629000000000001</v>
      </c>
      <c r="U2840" s="3" t="e">
        <f ca="1"/>
        <v>#NAME?</v>
      </c>
    </row>
    <row r="2841" spans="3:21" ht="12.5" x14ac:dyDescent="0.25">
      <c r="C2841" s="4">
        <f ca="1">IFERROR(__xludf.DUMMYFUNCTION("""COMPUTED_VALUE"""),43247.9986111111)</f>
        <v>43247.998611111099</v>
      </c>
      <c r="D2841" s="2">
        <f ca="1">IFERROR(__xludf.DUMMYFUNCTION("""COMPUTED_VALUE"""),67.7217)</f>
        <v>67.721699999999998</v>
      </c>
      <c r="E2841" s="2">
        <f ca="1">IFERROR(__xludf.DUMMYFUNCTION("""COMPUTED_VALUE"""),77.684)</f>
        <v>77.683999999999997</v>
      </c>
      <c r="F2841" s="2">
        <f ca="1">IFERROR(__xludf.DUMMYFUNCTION("""COMPUTED_VALUE"""),91.775)</f>
        <v>91.775000000000006</v>
      </c>
      <c r="G2841" s="2">
        <f ca="1">IFERROR(__xludf.DUMMYFUNCTION("""COMPUTED_VALUE"""),0.62877)</f>
        <v>0.62877000000000005</v>
      </c>
      <c r="H2841" s="2">
        <f ca="1">IFERROR(__xludf.DUMMYFUNCTION("""COMPUTED_VALUE"""),49.146)</f>
        <v>49.146000000000001</v>
      </c>
      <c r="I2841" s="2">
        <f ca="1">IFERROR(__xludf.DUMMYFUNCTION("""COMPUTED_VALUE"""),51.827)</f>
        <v>51.826999999999998</v>
      </c>
      <c r="J2841" s="2">
        <f ca="1">IFERROR(__xludf.DUMMYFUNCTION("""COMPUTED_VALUE"""),49.83)</f>
        <v>49.83</v>
      </c>
      <c r="K2841" s="2">
        <f ca="1">IFERROR(__xludf.DUMMYFUNCTION("""COMPUTED_VALUE"""),69.033)</f>
        <v>69.033000000000001</v>
      </c>
      <c r="M2841" s="2">
        <f ca="1">IFERROR(__xludf.DUMMYFUNCTION("""COMPUTED_VALUE"""),19.871)</f>
        <v>19.870999999999999</v>
      </c>
      <c r="U2841" s="3" t="e">
        <f ca="1"/>
        <v>#NAME?</v>
      </c>
    </row>
    <row r="2842" spans="3:21" ht="12.5" x14ac:dyDescent="0.25">
      <c r="C2842" s="4">
        <f ca="1">IFERROR(__xludf.DUMMYFUNCTION("""COMPUTED_VALUE"""),43248.9986111111)</f>
        <v>43248.998611111099</v>
      </c>
      <c r="D2842" s="2">
        <f ca="1">IFERROR(__xludf.DUMMYFUNCTION("""COMPUTED_VALUE"""),67.4028)</f>
        <v>67.402799999999999</v>
      </c>
      <c r="E2842" s="2">
        <f ca="1">IFERROR(__xludf.DUMMYFUNCTION("""COMPUTED_VALUE"""),77.646)</f>
        <v>77.646000000000001</v>
      </c>
      <c r="F2842" s="2">
        <f ca="1">IFERROR(__xludf.DUMMYFUNCTION("""COMPUTED_VALUE"""),91.626)</f>
        <v>91.626000000000005</v>
      </c>
      <c r="G2842" s="2">
        <f ca="1">IFERROR(__xludf.DUMMYFUNCTION("""COMPUTED_VALUE"""),0.63086)</f>
        <v>0.63085999999999998</v>
      </c>
      <c r="H2842" s="2">
        <f ca="1">IFERROR(__xludf.DUMMYFUNCTION("""COMPUTED_VALUE"""),49.065)</f>
        <v>49.064999999999998</v>
      </c>
      <c r="I2842" s="2">
        <f ca="1">IFERROR(__xludf.DUMMYFUNCTION("""COMPUTED_VALUE"""),51.92)</f>
        <v>51.92</v>
      </c>
      <c r="J2842" s="2">
        <f ca="1">IFERROR(__xludf.DUMMYFUNCTION("""COMPUTED_VALUE"""),50.495)</f>
        <v>50.494999999999997</v>
      </c>
      <c r="K2842" s="2">
        <f ca="1">IFERROR(__xludf.DUMMYFUNCTION("""COMPUTED_VALUE"""),69.261)</f>
        <v>69.260999999999996</v>
      </c>
      <c r="M2842" s="2">
        <f ca="1">IFERROR(__xludf.DUMMYFUNCTION("""COMPUTED_VALUE"""),19.87)</f>
        <v>19.87</v>
      </c>
      <c r="U2842" s="3" t="e">
        <f ca="1"/>
        <v>#NAME?</v>
      </c>
    </row>
    <row r="2843" spans="3:21" ht="12.5" x14ac:dyDescent="0.25">
      <c r="C2843" s="4">
        <f ca="1">IFERROR(__xludf.DUMMYFUNCTION("""COMPUTED_VALUE"""),43249.9986111111)</f>
        <v>43249.998611111099</v>
      </c>
      <c r="D2843" s="2">
        <f ca="1">IFERROR(__xludf.DUMMYFUNCTION("""COMPUTED_VALUE"""),68.13)</f>
        <v>68.13</v>
      </c>
      <c r="E2843" s="2">
        <f ca="1">IFERROR(__xludf.DUMMYFUNCTION("""COMPUTED_VALUE"""),77.707)</f>
        <v>77.706999999999994</v>
      </c>
      <c r="F2843" s="2">
        <f ca="1">IFERROR(__xludf.DUMMYFUNCTION("""COMPUTED_VALUE"""),91.789)</f>
        <v>91.789000000000001</v>
      </c>
      <c r="G2843" s="2">
        <f ca="1">IFERROR(__xludf.DUMMYFUNCTION("""COMPUTED_VALUE"""),0.62974)</f>
        <v>0.62973999999999997</v>
      </c>
      <c r="H2843" s="2">
        <f ca="1">IFERROR(__xludf.DUMMYFUNCTION("""COMPUTED_VALUE"""),49.147)</f>
        <v>49.146999999999998</v>
      </c>
      <c r="I2843" s="2">
        <f ca="1">IFERROR(__xludf.DUMMYFUNCTION("""COMPUTED_VALUE"""),51.865)</f>
        <v>51.865000000000002</v>
      </c>
      <c r="J2843" s="2">
        <f ca="1">IFERROR(__xludf.DUMMYFUNCTION("""COMPUTED_VALUE"""),50.431)</f>
        <v>50.430999999999997</v>
      </c>
      <c r="K2843" s="2">
        <f ca="1">IFERROR(__xludf.DUMMYFUNCTION("""COMPUTED_VALUE"""),69.051)</f>
        <v>69.051000000000002</v>
      </c>
      <c r="M2843" s="2">
        <f ca="1">IFERROR(__xludf.DUMMYFUNCTION("""COMPUTED_VALUE"""),19.578)</f>
        <v>19.577999999999999</v>
      </c>
      <c r="U2843" s="3" t="e">
        <f ca="1"/>
        <v>#NAME?</v>
      </c>
    </row>
    <row r="2844" spans="3:21" ht="12.5" x14ac:dyDescent="0.25">
      <c r="C2844" s="4">
        <f ca="1">IFERROR(__xludf.DUMMYFUNCTION("""COMPUTED_VALUE"""),43250.9986111111)</f>
        <v>43250.998611111099</v>
      </c>
      <c r="D2844" s="2">
        <f ca="1">IFERROR(__xludf.DUMMYFUNCTION("""COMPUTED_VALUE"""),67.43)</f>
        <v>67.430000000000007</v>
      </c>
      <c r="E2844" s="2">
        <f ca="1">IFERROR(__xludf.DUMMYFUNCTION("""COMPUTED_VALUE"""),77.707)</f>
        <v>77.706999999999994</v>
      </c>
      <c r="F2844" s="2">
        <f ca="1">IFERROR(__xludf.DUMMYFUNCTION("""COMPUTED_VALUE"""),91.49)</f>
        <v>91.49</v>
      </c>
      <c r="G2844" s="2">
        <f ca="1">IFERROR(__xludf.DUMMYFUNCTION("""COMPUTED_VALUE"""),0.63474)</f>
        <v>0.63473999999999997</v>
      </c>
      <c r="H2844" s="2">
        <f ca="1">IFERROR(__xludf.DUMMYFUNCTION("""COMPUTED_VALUE"""),49.231)</f>
        <v>49.231000000000002</v>
      </c>
      <c r="I2844" s="2">
        <f ca="1">IFERROR(__xludf.DUMMYFUNCTION("""COMPUTED_VALUE"""),51.922)</f>
        <v>51.921999999999997</v>
      </c>
      <c r="J2844" s="2">
        <f ca="1">IFERROR(__xludf.DUMMYFUNCTION("""COMPUTED_VALUE"""),50.514)</f>
        <v>50.514000000000003</v>
      </c>
      <c r="K2844" s="2">
        <f ca="1">IFERROR(__xludf.DUMMYFUNCTION("""COMPUTED_VALUE"""),68.762)</f>
        <v>68.762</v>
      </c>
      <c r="M2844" s="2">
        <f ca="1">IFERROR(__xludf.DUMMYFUNCTION("""COMPUTED_VALUE"""),19.596)</f>
        <v>19.596</v>
      </c>
      <c r="U2844" s="3" t="e">
        <f ca="1"/>
        <v>#NAME?</v>
      </c>
    </row>
    <row r="2845" spans="3:21" ht="12.5" x14ac:dyDescent="0.25">
      <c r="C2845" s="4">
        <f ca="1">IFERROR(__xludf.DUMMYFUNCTION("""COMPUTED_VALUE"""),43251.9986111111)</f>
        <v>43251.998611111099</v>
      </c>
      <c r="D2845" s="2">
        <f ca="1">IFERROR(__xludf.DUMMYFUNCTION("""COMPUTED_VALUE"""),67.435)</f>
        <v>67.435000000000002</v>
      </c>
      <c r="E2845" s="2">
        <f ca="1">IFERROR(__xludf.DUMMYFUNCTION("""COMPUTED_VALUE"""),77.713)</f>
        <v>77.712999999999994</v>
      </c>
      <c r="F2845" s="2">
        <f ca="1">IFERROR(__xludf.DUMMYFUNCTION("""COMPUTED_VALUE"""),90.881)</f>
        <v>90.881</v>
      </c>
      <c r="G2845" s="2">
        <f ca="1">IFERROR(__xludf.DUMMYFUNCTION("""COMPUTED_VALUE"""),0.63455)</f>
        <v>0.63454999999999995</v>
      </c>
      <c r="H2845" s="2">
        <f ca="1">IFERROR(__xludf.DUMMYFUNCTION("""COMPUTED_VALUE"""),49.077)</f>
        <v>49.076999999999998</v>
      </c>
      <c r="I2845" s="2">
        <f ca="1">IFERROR(__xludf.DUMMYFUNCTION("""COMPUTED_VALUE"""),51.801)</f>
        <v>51.801000000000002</v>
      </c>
      <c r="J2845" s="2">
        <f ca="1">IFERROR(__xludf.DUMMYFUNCTION("""COMPUTED_VALUE"""),50.537)</f>
        <v>50.536999999999999</v>
      </c>
      <c r="K2845" s="2">
        <f ca="1">IFERROR(__xludf.DUMMYFUNCTION("""COMPUTED_VALUE"""),68.464)</f>
        <v>68.463999999999999</v>
      </c>
      <c r="M2845" s="2">
        <f ca="1">IFERROR(__xludf.DUMMYFUNCTION("""COMPUTED_VALUE"""),19.623)</f>
        <v>19.623000000000001</v>
      </c>
      <c r="U2845" s="3" t="e">
        <f ca="1"/>
        <v>#NAME?</v>
      </c>
    </row>
    <row r="2846" spans="3:21" ht="12.5" x14ac:dyDescent="0.25">
      <c r="C2846" s="4">
        <f ca="1">IFERROR(__xludf.DUMMYFUNCTION("""COMPUTED_VALUE"""),43252.9986111111)</f>
        <v>43252.998611111099</v>
      </c>
      <c r="D2846" s="2">
        <f ca="1">IFERROR(__xludf.DUMMYFUNCTION("""COMPUTED_VALUE"""),66.93)</f>
        <v>66.930000000000007</v>
      </c>
      <c r="E2846" s="2">
        <f ca="1">IFERROR(__xludf.DUMMYFUNCTION("""COMPUTED_VALUE"""),77.897)</f>
        <v>77.897000000000006</v>
      </c>
      <c r="F2846" s="2">
        <f ca="1">IFERROR(__xludf.DUMMYFUNCTION("""COMPUTED_VALUE"""),91.055)</f>
        <v>91.055000000000007</v>
      </c>
      <c r="G2846" s="2">
        <f ca="1">IFERROR(__xludf.DUMMYFUNCTION("""COMPUTED_VALUE"""),0.63413)</f>
        <v>0.63412999999999997</v>
      </c>
      <c r="H2846" s="2">
        <f ca="1">IFERROR(__xludf.DUMMYFUNCTION("""COMPUTED_VALUE"""),48.932)</f>
        <v>48.932000000000002</v>
      </c>
      <c r="I2846" s="2">
        <f ca="1">IFERROR(__xludf.DUMMYFUNCTION("""COMPUTED_VALUE"""),51.48)</f>
        <v>51.48</v>
      </c>
      <c r="J2846" s="2">
        <f ca="1">IFERROR(__xludf.DUMMYFUNCTION("""COMPUTED_VALUE"""),50.607)</f>
        <v>50.606999999999999</v>
      </c>
      <c r="K2846" s="2">
        <f ca="1">IFERROR(__xludf.DUMMYFUNCTION("""COMPUTED_VALUE"""),69.02)</f>
        <v>69.02</v>
      </c>
      <c r="M2846" s="2">
        <f ca="1">IFERROR(__xludf.DUMMYFUNCTION("""COMPUTED_VALUE"""),19.629)</f>
        <v>19.629000000000001</v>
      </c>
      <c r="U2846" s="3" t="e">
        <f ca="1"/>
        <v>#NAME?</v>
      </c>
    </row>
    <row r="2847" spans="3:21" ht="12.5" x14ac:dyDescent="0.25">
      <c r="C2847" s="4">
        <f ca="1">IFERROR(__xludf.DUMMYFUNCTION("""COMPUTED_VALUE"""),43253.9986111111)</f>
        <v>43253.998611111099</v>
      </c>
      <c r="D2847" s="2">
        <f ca="1">IFERROR(__xludf.DUMMYFUNCTION("""COMPUTED_VALUE"""),66.988)</f>
        <v>66.988</v>
      </c>
      <c r="E2847" s="2">
        <f ca="1">IFERROR(__xludf.DUMMYFUNCTION("""COMPUTED_VALUE"""),77.846)</f>
        <v>77.846000000000004</v>
      </c>
      <c r="F2847" s="2">
        <f ca="1">IFERROR(__xludf.DUMMYFUNCTION("""COMPUTED_VALUE"""),90.46)</f>
        <v>90.46</v>
      </c>
      <c r="G2847" s="2">
        <f ca="1">IFERROR(__xludf.DUMMYFUNCTION("""COMPUTED_VALUE"""),0.63711)</f>
        <v>0.63710999999999995</v>
      </c>
      <c r="H2847" s="2">
        <f ca="1">IFERROR(__xludf.DUMMYFUNCTION("""COMPUTED_VALUE"""),48.505)</f>
        <v>48.505000000000003</v>
      </c>
      <c r="I2847" s="2">
        <f ca="1">IFERROR(__xludf.DUMMYFUNCTION("""COMPUTED_VALUE"""),51.443)</f>
        <v>51.442999999999998</v>
      </c>
      <c r="J2847" s="2">
        <f ca="1">IFERROR(__xludf.DUMMYFUNCTION("""COMPUTED_VALUE"""),50.505)</f>
        <v>50.505000000000003</v>
      </c>
      <c r="K2847" s="2">
        <f ca="1">IFERROR(__xludf.DUMMYFUNCTION("""COMPUTED_VALUE"""),69.334)</f>
        <v>69.334000000000003</v>
      </c>
      <c r="M2847" s="2">
        <f ca="1">IFERROR(__xludf.DUMMYFUNCTION("""COMPUTED_VALUE"""),19.744)</f>
        <v>19.744</v>
      </c>
      <c r="U2847" s="3" t="e">
        <f ca="1"/>
        <v>#NAME?</v>
      </c>
    </row>
    <row r="2848" spans="3:21" ht="12.5" x14ac:dyDescent="0.25">
      <c r="C2848" s="4">
        <f ca="1">IFERROR(__xludf.DUMMYFUNCTION("""COMPUTED_VALUE"""),43254.9986111111)</f>
        <v>43254.998611111099</v>
      </c>
      <c r="D2848" s="2">
        <f ca="1">IFERROR(__xludf.DUMMYFUNCTION("""COMPUTED_VALUE"""),66.925)</f>
        <v>66.924999999999997</v>
      </c>
      <c r="E2848" s="2">
        <f ca="1">IFERROR(__xludf.DUMMYFUNCTION("""COMPUTED_VALUE"""),77.917)</f>
        <v>77.917000000000002</v>
      </c>
      <c r="F2848" s="2">
        <f ca="1">IFERROR(__xludf.DUMMYFUNCTION("""COMPUTED_VALUE"""),90.406)</f>
        <v>90.406000000000006</v>
      </c>
      <c r="G2848" s="2">
        <f ca="1">IFERROR(__xludf.DUMMYFUNCTION("""COMPUTED_VALUE"""),0.6404)</f>
        <v>0.64039999999999997</v>
      </c>
      <c r="H2848" s="2">
        <f ca="1">IFERROR(__xludf.DUMMYFUNCTION("""COMPUTED_VALUE"""),48.489)</f>
        <v>48.488999999999997</v>
      </c>
      <c r="I2848" s="2">
        <f ca="1">IFERROR(__xludf.DUMMYFUNCTION("""COMPUTED_VALUE"""),51.443)</f>
        <v>51.442999999999998</v>
      </c>
      <c r="J2848" s="2">
        <f ca="1">IFERROR(__xludf.DUMMYFUNCTION("""COMPUTED_VALUE"""),50.566)</f>
        <v>50.566000000000003</v>
      </c>
      <c r="K2848" s="2">
        <f ca="1">IFERROR(__xludf.DUMMYFUNCTION("""COMPUTED_VALUE"""),69.297)</f>
        <v>69.296999999999997</v>
      </c>
      <c r="M2848" s="2">
        <f ca="1">IFERROR(__xludf.DUMMYFUNCTION("""COMPUTED_VALUE"""),19.904)</f>
        <v>19.904</v>
      </c>
      <c r="U2848" s="3" t="e">
        <f ca="1"/>
        <v>#NAME?</v>
      </c>
    </row>
    <row r="2849" spans="3:21" ht="12.5" x14ac:dyDescent="0.25">
      <c r="C2849" s="4">
        <f ca="1">IFERROR(__xludf.DUMMYFUNCTION("""COMPUTED_VALUE"""),43255.9986111111)</f>
        <v>43255.998611111099</v>
      </c>
      <c r="D2849" s="2">
        <f ca="1">IFERROR(__xludf.DUMMYFUNCTION("""COMPUTED_VALUE"""),67.06)</f>
        <v>67.06</v>
      </c>
      <c r="E2849" s="2">
        <f ca="1">IFERROR(__xludf.DUMMYFUNCTION("""COMPUTED_VALUE"""),78.52)</f>
        <v>78.52</v>
      </c>
      <c r="F2849" s="2">
        <f ca="1">IFERROR(__xludf.DUMMYFUNCTION("""COMPUTED_VALUE"""),90.434)</f>
        <v>90.433999999999997</v>
      </c>
      <c r="G2849" s="2">
        <f ca="1">IFERROR(__xludf.DUMMYFUNCTION("""COMPUTED_VALUE"""),0.63877)</f>
        <v>0.63876999999999995</v>
      </c>
      <c r="H2849" s="2">
        <f ca="1">IFERROR(__xludf.DUMMYFUNCTION("""COMPUTED_VALUE"""),48.496)</f>
        <v>48.496000000000002</v>
      </c>
      <c r="I2849" s="2">
        <f ca="1">IFERROR(__xludf.DUMMYFUNCTION("""COMPUTED_VALUE"""),51.443)</f>
        <v>51.442999999999998</v>
      </c>
      <c r="J2849" s="2">
        <f ca="1">IFERROR(__xludf.DUMMYFUNCTION("""COMPUTED_VALUE"""),50.653)</f>
        <v>50.652999999999999</v>
      </c>
      <c r="K2849" s="2">
        <f ca="1">IFERROR(__xludf.DUMMYFUNCTION("""COMPUTED_VALUE"""),69.616)</f>
        <v>69.616</v>
      </c>
      <c r="M2849" s="2">
        <f ca="1">IFERROR(__xludf.DUMMYFUNCTION("""COMPUTED_VALUE"""),19.691)</f>
        <v>19.690999999999999</v>
      </c>
      <c r="U2849" s="3" t="e">
        <f ca="1"/>
        <v>#NAME?</v>
      </c>
    </row>
    <row r="2850" spans="3:21" ht="12.5" x14ac:dyDescent="0.25">
      <c r="C2850" s="4">
        <f ca="1">IFERROR(__xludf.DUMMYFUNCTION("""COMPUTED_VALUE"""),43256.9986111111)</f>
        <v>43256.998611111099</v>
      </c>
      <c r="D2850" s="2">
        <f ca="1">IFERROR(__xludf.DUMMYFUNCTION("""COMPUTED_VALUE"""),67.09)</f>
        <v>67.09</v>
      </c>
      <c r="E2850" s="2">
        <f ca="1">IFERROR(__xludf.DUMMYFUNCTION("""COMPUTED_VALUE"""),78.595)</f>
        <v>78.594999999999999</v>
      </c>
      <c r="F2850" s="2">
        <f ca="1">IFERROR(__xludf.DUMMYFUNCTION("""COMPUTED_VALUE"""),90.429)</f>
        <v>90.429000000000002</v>
      </c>
      <c r="G2850" s="2">
        <f ca="1">IFERROR(__xludf.DUMMYFUNCTION("""COMPUTED_VALUE"""),0.63858)</f>
        <v>0.63858000000000004</v>
      </c>
      <c r="H2850" s="2">
        <f ca="1">IFERROR(__xludf.DUMMYFUNCTION("""COMPUTED_VALUE"""),48.496)</f>
        <v>48.496000000000002</v>
      </c>
      <c r="I2850" s="2">
        <f ca="1">IFERROR(__xludf.DUMMYFUNCTION("""COMPUTED_VALUE"""),51.554)</f>
        <v>51.554000000000002</v>
      </c>
      <c r="J2850" s="2">
        <f ca="1">IFERROR(__xludf.DUMMYFUNCTION("""COMPUTED_VALUE"""),50.735)</f>
        <v>50.734999999999999</v>
      </c>
      <c r="K2850" s="2">
        <f ca="1">IFERROR(__xludf.DUMMYFUNCTION("""COMPUTED_VALUE"""),68.41)</f>
        <v>68.41</v>
      </c>
      <c r="M2850" s="2">
        <f ca="1">IFERROR(__xludf.DUMMYFUNCTION("""COMPUTED_VALUE"""),19.606)</f>
        <v>19.606000000000002</v>
      </c>
      <c r="U2850" s="3" t="e">
        <f ca="1"/>
        <v>#NAME?</v>
      </c>
    </row>
    <row r="2851" spans="3:21" ht="12.5" x14ac:dyDescent="0.25">
      <c r="C2851" s="4">
        <f ca="1">IFERROR(__xludf.DUMMYFUNCTION("""COMPUTED_VALUE"""),43257.9986111111)</f>
        <v>43257.998611111099</v>
      </c>
      <c r="D2851" s="2">
        <f ca="1">IFERROR(__xludf.DUMMYFUNCTION("""COMPUTED_VALUE"""),66.8301)</f>
        <v>66.830100000000002</v>
      </c>
      <c r="E2851" s="2">
        <f ca="1">IFERROR(__xludf.DUMMYFUNCTION("""COMPUTED_VALUE"""),78.543)</f>
        <v>78.543000000000006</v>
      </c>
      <c r="F2851" s="2">
        <f ca="1">IFERROR(__xludf.DUMMYFUNCTION("""COMPUTED_VALUE"""),91.072)</f>
        <v>91.072000000000003</v>
      </c>
      <c r="G2851" s="2">
        <f ca="1">IFERROR(__xludf.DUMMYFUNCTION("""COMPUTED_VALUE"""),0.63813)</f>
        <v>0.63812999999999998</v>
      </c>
      <c r="H2851" s="2">
        <f ca="1">IFERROR(__xludf.DUMMYFUNCTION("""COMPUTED_VALUE"""),48.483)</f>
        <v>48.482999999999997</v>
      </c>
      <c r="I2851" s="2">
        <f ca="1">IFERROR(__xludf.DUMMYFUNCTION("""COMPUTED_VALUE"""),51.622)</f>
        <v>51.622</v>
      </c>
      <c r="J2851" s="2">
        <f ca="1">IFERROR(__xludf.DUMMYFUNCTION("""COMPUTED_VALUE"""),50.639)</f>
        <v>50.639000000000003</v>
      </c>
      <c r="K2851" s="2">
        <f ca="1">IFERROR(__xludf.DUMMYFUNCTION("""COMPUTED_VALUE"""),69.384)</f>
        <v>69.384</v>
      </c>
      <c r="M2851" s="2">
        <f ca="1">IFERROR(__xludf.DUMMYFUNCTION("""COMPUTED_VALUE"""),19.656)</f>
        <v>19.655999999999999</v>
      </c>
      <c r="U2851" s="3" t="e">
        <f ca="1"/>
        <v>#NAME?</v>
      </c>
    </row>
    <row r="2852" spans="3:21" ht="12.5" x14ac:dyDescent="0.25">
      <c r="C2852" s="4">
        <f ca="1">IFERROR(__xludf.DUMMYFUNCTION("""COMPUTED_VALUE"""),43258.9986111111)</f>
        <v>43258.998611111099</v>
      </c>
      <c r="D2852" s="2">
        <f ca="1">IFERROR(__xludf.DUMMYFUNCTION("""COMPUTED_VALUE"""),67.41)</f>
        <v>67.41</v>
      </c>
      <c r="E2852" s="2">
        <f ca="1">IFERROR(__xludf.DUMMYFUNCTION("""COMPUTED_VALUE"""),78.269)</f>
        <v>78.269000000000005</v>
      </c>
      <c r="F2852" s="2">
        <f ca="1">IFERROR(__xludf.DUMMYFUNCTION("""COMPUTED_VALUE"""),91.026)</f>
        <v>91.025999999999996</v>
      </c>
      <c r="G2852" s="2">
        <f ca="1">IFERROR(__xludf.DUMMYFUNCTION("""COMPUTED_VALUE"""),0.63709)</f>
        <v>0.63709000000000005</v>
      </c>
      <c r="H2852" s="2">
        <f ca="1">IFERROR(__xludf.DUMMYFUNCTION("""COMPUTED_VALUE"""),48.731)</f>
        <v>48.731000000000002</v>
      </c>
      <c r="I2852" s="2">
        <f ca="1">IFERROR(__xludf.DUMMYFUNCTION("""COMPUTED_VALUE"""),51.709)</f>
        <v>51.709000000000003</v>
      </c>
      <c r="J2852" s="2">
        <f ca="1">IFERROR(__xludf.DUMMYFUNCTION("""COMPUTED_VALUE"""),50.874)</f>
        <v>50.874000000000002</v>
      </c>
      <c r="K2852" s="2">
        <f ca="1">IFERROR(__xludf.DUMMYFUNCTION("""COMPUTED_VALUE"""),69.346)</f>
        <v>69.346000000000004</v>
      </c>
      <c r="M2852" s="2">
        <f ca="1">IFERROR(__xludf.DUMMYFUNCTION("""COMPUTED_VALUE"""),19.663)</f>
        <v>19.663</v>
      </c>
      <c r="U2852" s="3" t="e">
        <f ca="1"/>
        <v>#NAME?</v>
      </c>
    </row>
    <row r="2853" spans="3:21" ht="12.5" x14ac:dyDescent="0.25">
      <c r="C2853" s="4">
        <f ca="1">IFERROR(__xludf.DUMMYFUNCTION("""COMPUTED_VALUE"""),43259.9986111111)</f>
        <v>43259.998611111099</v>
      </c>
      <c r="D2853" s="2">
        <f ca="1">IFERROR(__xludf.DUMMYFUNCTION("""COMPUTED_VALUE"""),67.51)</f>
        <v>67.510000000000005</v>
      </c>
      <c r="E2853" s="2">
        <f ca="1">IFERROR(__xludf.DUMMYFUNCTION("""COMPUTED_VALUE"""),78.393)</f>
        <v>78.393000000000001</v>
      </c>
      <c r="F2853" s="2">
        <f ca="1">IFERROR(__xludf.DUMMYFUNCTION("""COMPUTED_VALUE"""),91.632)</f>
        <v>91.632000000000005</v>
      </c>
      <c r="G2853" s="2">
        <f ca="1">IFERROR(__xludf.DUMMYFUNCTION("""COMPUTED_VALUE"""),0.63695)</f>
        <v>0.63695000000000002</v>
      </c>
      <c r="H2853" s="2">
        <f ca="1">IFERROR(__xludf.DUMMYFUNCTION("""COMPUTED_VALUE"""),48.715)</f>
        <v>48.715000000000003</v>
      </c>
      <c r="I2853" s="2">
        <f ca="1">IFERROR(__xludf.DUMMYFUNCTION("""COMPUTED_VALUE"""),52.081)</f>
        <v>52.081000000000003</v>
      </c>
      <c r="J2853" s="2">
        <f ca="1">IFERROR(__xludf.DUMMYFUNCTION("""COMPUTED_VALUE"""),50.85)</f>
        <v>50.85</v>
      </c>
      <c r="K2853" s="2">
        <f ca="1">IFERROR(__xludf.DUMMYFUNCTION("""COMPUTED_VALUE"""),69.393)</f>
        <v>69.393000000000001</v>
      </c>
      <c r="M2853" s="2">
        <f ca="1">IFERROR(__xludf.DUMMYFUNCTION("""COMPUTED_VALUE"""),19.666)</f>
        <v>19.666</v>
      </c>
      <c r="U2853" s="3" t="e">
        <f ca="1"/>
        <v>#NAME?</v>
      </c>
    </row>
    <row r="2854" spans="3:21" ht="12.5" x14ac:dyDescent="0.25">
      <c r="C2854" s="4">
        <f ca="1">IFERROR(__xludf.DUMMYFUNCTION("""COMPUTED_VALUE"""),43260.9986111111)</f>
        <v>43260.998611111099</v>
      </c>
      <c r="D2854" s="2">
        <f ca="1">IFERROR(__xludf.DUMMYFUNCTION("""COMPUTED_VALUE"""),67.523)</f>
        <v>67.522999999999996</v>
      </c>
      <c r="E2854" s="2">
        <f ca="1">IFERROR(__xludf.DUMMYFUNCTION("""COMPUTED_VALUE"""),78.196)</f>
        <v>78.195999999999998</v>
      </c>
      <c r="F2854" s="2">
        <f ca="1">IFERROR(__xludf.DUMMYFUNCTION("""COMPUTED_VALUE"""),91.111)</f>
        <v>91.111000000000004</v>
      </c>
      <c r="G2854" s="2">
        <f ca="1">IFERROR(__xludf.DUMMYFUNCTION("""COMPUTED_VALUE"""),0.63574)</f>
        <v>0.63573999999999997</v>
      </c>
      <c r="H2854" s="2">
        <f ca="1">IFERROR(__xludf.DUMMYFUNCTION("""COMPUTED_VALUE"""),49.001)</f>
        <v>49.000999999999998</v>
      </c>
      <c r="I2854" s="2">
        <f ca="1">IFERROR(__xludf.DUMMYFUNCTION("""COMPUTED_VALUE"""),52.141)</f>
        <v>52.140999999999998</v>
      </c>
      <c r="J2854" s="2">
        <f ca="1">IFERROR(__xludf.DUMMYFUNCTION("""COMPUTED_VALUE"""),50.834)</f>
        <v>50.834000000000003</v>
      </c>
      <c r="K2854" s="2">
        <f ca="1">IFERROR(__xludf.DUMMYFUNCTION("""COMPUTED_VALUE"""),69.482)</f>
        <v>69.481999999999999</v>
      </c>
      <c r="M2854" s="2">
        <f ca="1">IFERROR(__xludf.DUMMYFUNCTION("""COMPUTED_VALUE"""),19.784)</f>
        <v>19.783999999999999</v>
      </c>
      <c r="U2854" s="3" t="e">
        <f ca="1"/>
        <v>#NAME?</v>
      </c>
    </row>
    <row r="2855" spans="3:21" ht="12.5" x14ac:dyDescent="0.25">
      <c r="C2855" s="4">
        <f ca="1">IFERROR(__xludf.DUMMYFUNCTION("""COMPUTED_VALUE"""),43261.9986111111)</f>
        <v>43261.998611111099</v>
      </c>
      <c r="D2855" s="2">
        <f ca="1">IFERROR(__xludf.DUMMYFUNCTION("""COMPUTED_VALUE"""),67.51)</f>
        <v>67.510000000000005</v>
      </c>
      <c r="E2855" s="2">
        <f ca="1">IFERROR(__xludf.DUMMYFUNCTION("""COMPUTED_VALUE"""),78.196)</f>
        <v>78.195999999999998</v>
      </c>
      <c r="F2855" s="2">
        <f ca="1">IFERROR(__xludf.DUMMYFUNCTION("""COMPUTED_VALUE"""),91.276)</f>
        <v>91.275999999999996</v>
      </c>
      <c r="G2855" s="2">
        <f ca="1">IFERROR(__xludf.DUMMYFUNCTION("""COMPUTED_VALUE"""),0.63307)</f>
        <v>0.63307000000000002</v>
      </c>
      <c r="H2855" s="2">
        <f ca="1">IFERROR(__xludf.DUMMYFUNCTION("""COMPUTED_VALUE"""),48.97)</f>
        <v>48.97</v>
      </c>
      <c r="I2855" s="2">
        <f ca="1">IFERROR(__xludf.DUMMYFUNCTION("""COMPUTED_VALUE"""),52.15)</f>
        <v>52.15</v>
      </c>
      <c r="J2855" s="2">
        <f ca="1">IFERROR(__xludf.DUMMYFUNCTION("""COMPUTED_VALUE"""),50.711)</f>
        <v>50.710999999999999</v>
      </c>
      <c r="K2855" s="2">
        <f ca="1">IFERROR(__xludf.DUMMYFUNCTION("""COMPUTED_VALUE"""),69.495)</f>
        <v>69.495000000000005</v>
      </c>
      <c r="M2855" s="2">
        <f ca="1">IFERROR(__xludf.DUMMYFUNCTION("""COMPUTED_VALUE"""),19.901)</f>
        <v>19.901</v>
      </c>
      <c r="U2855" s="3" t="e">
        <f ca="1"/>
        <v>#NAME?</v>
      </c>
    </row>
    <row r="2856" spans="3:21" ht="12.5" x14ac:dyDescent="0.25">
      <c r="C2856" s="4">
        <f ca="1">IFERROR(__xludf.DUMMYFUNCTION("""COMPUTED_VALUE"""),43262.9986111111)</f>
        <v>43262.998611111099</v>
      </c>
      <c r="D2856" s="2">
        <f ca="1">IFERROR(__xludf.DUMMYFUNCTION("""COMPUTED_VALUE"""),67.49)</f>
        <v>67.489999999999995</v>
      </c>
      <c r="E2856" s="2">
        <f ca="1">IFERROR(__xludf.DUMMYFUNCTION("""COMPUTED_VALUE"""),78.298)</f>
        <v>78.298000000000002</v>
      </c>
      <c r="F2856" s="2">
        <f ca="1">IFERROR(__xludf.DUMMYFUNCTION("""COMPUTED_VALUE"""),91.276)</f>
        <v>91.275999999999996</v>
      </c>
      <c r="G2856" s="2">
        <f ca="1">IFERROR(__xludf.DUMMYFUNCTION("""COMPUTED_VALUE"""),0.63097)</f>
        <v>0.63097000000000003</v>
      </c>
      <c r="H2856" s="2">
        <f ca="1">IFERROR(__xludf.DUMMYFUNCTION("""COMPUTED_VALUE"""),48.96)</f>
        <v>48.96</v>
      </c>
      <c r="I2856" s="2">
        <f ca="1">IFERROR(__xludf.DUMMYFUNCTION("""COMPUTED_VALUE"""),52.15)</f>
        <v>52.15</v>
      </c>
      <c r="J2856" s="2">
        <f ca="1">IFERROR(__xludf.DUMMYFUNCTION("""COMPUTED_VALUE"""),50.851)</f>
        <v>50.850999999999999</v>
      </c>
      <c r="K2856" s="2">
        <f ca="1">IFERROR(__xludf.DUMMYFUNCTION("""COMPUTED_VALUE"""),69.186)</f>
        <v>69.186000000000007</v>
      </c>
      <c r="M2856" s="2">
        <f ca="1">IFERROR(__xludf.DUMMYFUNCTION("""COMPUTED_VALUE"""),19.811)</f>
        <v>19.811</v>
      </c>
      <c r="U2856" s="3" t="e">
        <f ca="1"/>
        <v>#NAME?</v>
      </c>
    </row>
    <row r="2857" spans="3:21" ht="12.5" x14ac:dyDescent="0.25">
      <c r="C2857" s="4">
        <f ca="1">IFERROR(__xludf.DUMMYFUNCTION("""COMPUTED_VALUE"""),43263.9986111111)</f>
        <v>43263.998611111099</v>
      </c>
      <c r="D2857" s="2">
        <f ca="1">IFERROR(__xludf.DUMMYFUNCTION("""COMPUTED_VALUE"""),67.91)</f>
        <v>67.91</v>
      </c>
      <c r="E2857" s="2">
        <f ca="1">IFERROR(__xludf.DUMMYFUNCTION("""COMPUTED_VALUE"""),77.869)</f>
        <v>77.869</v>
      </c>
      <c r="F2857" s="2">
        <f ca="1">IFERROR(__xludf.DUMMYFUNCTION("""COMPUTED_VALUE"""),91.275)</f>
        <v>91.275000000000006</v>
      </c>
      <c r="G2857" s="2">
        <f ca="1">IFERROR(__xludf.DUMMYFUNCTION("""COMPUTED_VALUE"""),0.63351)</f>
        <v>0.63351000000000002</v>
      </c>
      <c r="H2857" s="2">
        <f ca="1">IFERROR(__xludf.DUMMYFUNCTION("""COMPUTED_VALUE"""),48.96)</f>
        <v>48.96</v>
      </c>
      <c r="I2857" s="2">
        <f ca="1">IFERROR(__xludf.DUMMYFUNCTION("""COMPUTED_VALUE"""),52.343)</f>
        <v>52.343000000000004</v>
      </c>
      <c r="J2857" s="2">
        <f ca="1">IFERROR(__xludf.DUMMYFUNCTION("""COMPUTED_VALUE"""),50.859)</f>
        <v>50.859000000000002</v>
      </c>
      <c r="K2857" s="2">
        <f ca="1">IFERROR(__xludf.DUMMYFUNCTION("""COMPUTED_VALUE"""),68.972)</f>
        <v>68.971999999999994</v>
      </c>
      <c r="M2857" s="2">
        <f ca="1">IFERROR(__xludf.DUMMYFUNCTION("""COMPUTED_VALUE"""),19.752)</f>
        <v>19.751999999999999</v>
      </c>
      <c r="U2857" s="3" t="e">
        <f ca="1"/>
        <v>#NAME?</v>
      </c>
    </row>
    <row r="2858" spans="3:21" ht="12.5" x14ac:dyDescent="0.25">
      <c r="C2858" s="4">
        <f ca="1">IFERROR(__xludf.DUMMYFUNCTION("""COMPUTED_VALUE"""),43264.9986111111)</f>
        <v>43264.998611111099</v>
      </c>
      <c r="D2858" s="2">
        <f ca="1">IFERROR(__xludf.DUMMYFUNCTION("""COMPUTED_VALUE"""),67.78)</f>
        <v>67.78</v>
      </c>
      <c r="E2858" s="2">
        <f ca="1">IFERROR(__xludf.DUMMYFUNCTION("""COMPUTED_VALUE"""),78.175)</f>
        <v>78.174999999999997</v>
      </c>
      <c r="F2858" s="2">
        <f ca="1">IFERROR(__xludf.DUMMYFUNCTION("""COMPUTED_VALUE"""),91.794)</f>
        <v>91.793999999999997</v>
      </c>
      <c r="G2858" s="2">
        <f ca="1">IFERROR(__xludf.DUMMYFUNCTION("""COMPUTED_VALUE"""),0.63221)</f>
        <v>0.63221000000000005</v>
      </c>
      <c r="H2858" s="2">
        <f ca="1">IFERROR(__xludf.DUMMYFUNCTION("""COMPUTED_VALUE"""),49.005)</f>
        <v>49.005000000000003</v>
      </c>
      <c r="I2858" s="2">
        <f ca="1">IFERROR(__xludf.DUMMYFUNCTION("""COMPUTED_VALUE"""),52.182)</f>
        <v>52.182000000000002</v>
      </c>
      <c r="J2858" s="2">
        <f ca="1">IFERROR(__xludf.DUMMYFUNCTION("""COMPUTED_VALUE"""),50.858)</f>
        <v>50.857999999999997</v>
      </c>
      <c r="K2858" s="2">
        <f ca="1">IFERROR(__xludf.DUMMYFUNCTION("""COMPUTED_VALUE"""),68.559)</f>
        <v>68.558999999999997</v>
      </c>
      <c r="M2858" s="2">
        <f ca="1">IFERROR(__xludf.DUMMYFUNCTION("""COMPUTED_VALUE"""),19.742)</f>
        <v>19.742000000000001</v>
      </c>
      <c r="U2858" s="3" t="e">
        <f ca="1"/>
        <v>#NAME?</v>
      </c>
    </row>
    <row r="2859" spans="3:21" ht="12.5" x14ac:dyDescent="0.25">
      <c r="C2859" s="4">
        <f ca="1">IFERROR(__xludf.DUMMYFUNCTION("""COMPUTED_VALUE"""),43265.9986111111)</f>
        <v>43265.998611111099</v>
      </c>
      <c r="D2859" s="2">
        <f ca="1">IFERROR(__xludf.DUMMYFUNCTION("""COMPUTED_VALUE"""),68.13)</f>
        <v>68.13</v>
      </c>
      <c r="E2859" s="2">
        <f ca="1">IFERROR(__xludf.DUMMYFUNCTION("""COMPUTED_VALUE"""),78.446)</f>
        <v>78.445999999999998</v>
      </c>
      <c r="F2859" s="2">
        <f ca="1">IFERROR(__xludf.DUMMYFUNCTION("""COMPUTED_VALUE"""),92.452)</f>
        <v>92.451999999999998</v>
      </c>
      <c r="G2859" s="2">
        <f ca="1">IFERROR(__xludf.DUMMYFUNCTION("""COMPUTED_VALUE"""),0.64182)</f>
        <v>0.64181999999999995</v>
      </c>
      <c r="H2859" s="2">
        <f ca="1">IFERROR(__xludf.DUMMYFUNCTION("""COMPUTED_VALUE"""),48.736)</f>
        <v>48.735999999999997</v>
      </c>
      <c r="I2859" s="2">
        <f ca="1">IFERROR(__xludf.DUMMYFUNCTION("""COMPUTED_VALUE"""),52.188)</f>
        <v>52.188000000000002</v>
      </c>
      <c r="J2859" s="2">
        <f ca="1">IFERROR(__xludf.DUMMYFUNCTION("""COMPUTED_VALUE"""),50.889)</f>
        <v>50.889000000000003</v>
      </c>
      <c r="K2859" s="2">
        <f ca="1">IFERROR(__xludf.DUMMYFUNCTION("""COMPUTED_VALUE"""),68.912)</f>
        <v>68.912000000000006</v>
      </c>
      <c r="M2859" s="2">
        <f ca="1">IFERROR(__xludf.DUMMYFUNCTION("""COMPUTED_VALUE"""),19.741)</f>
        <v>19.741</v>
      </c>
      <c r="U2859" s="3" t="e">
        <f ca="1"/>
        <v>#NAME?</v>
      </c>
    </row>
    <row r="2860" spans="3:21" ht="12.5" x14ac:dyDescent="0.25">
      <c r="C2860" s="4">
        <f ca="1">IFERROR(__xludf.DUMMYFUNCTION("""COMPUTED_VALUE"""),43266.9986111111)</f>
        <v>43266.998611111099</v>
      </c>
      <c r="D2860" s="2">
        <f ca="1">IFERROR(__xludf.DUMMYFUNCTION("""COMPUTED_VALUE"""),68.45)</f>
        <v>68.45</v>
      </c>
      <c r="E2860" s="2">
        <f ca="1">IFERROR(__xludf.DUMMYFUNCTION("""COMPUTED_VALUE"""),79.058)</f>
        <v>79.058000000000007</v>
      </c>
      <c r="F2860" s="2">
        <f ca="1">IFERROR(__xludf.DUMMYFUNCTION("""COMPUTED_VALUE"""),92.172)</f>
        <v>92.171999999999997</v>
      </c>
      <c r="G2860" s="2">
        <f ca="1">IFERROR(__xludf.DUMMYFUNCTION("""COMPUTED_VALUE"""),0.65335)</f>
        <v>0.65334999999999999</v>
      </c>
      <c r="H2860" s="2">
        <f ca="1">IFERROR(__xludf.DUMMYFUNCTION("""COMPUTED_VALUE"""),48.59)</f>
        <v>48.59</v>
      </c>
      <c r="I2860" s="2">
        <f ca="1">IFERROR(__xludf.DUMMYFUNCTION("""COMPUTED_VALUE"""),52.124)</f>
        <v>52.124000000000002</v>
      </c>
      <c r="J2860" s="2">
        <f ca="1">IFERROR(__xludf.DUMMYFUNCTION("""COMPUTED_VALUE"""),50.877)</f>
        <v>50.877000000000002</v>
      </c>
      <c r="K2860" s="2">
        <f ca="1">IFERROR(__xludf.DUMMYFUNCTION("""COMPUTED_VALUE"""),69.182)</f>
        <v>69.182000000000002</v>
      </c>
      <c r="M2860" s="2">
        <f ca="1">IFERROR(__xludf.DUMMYFUNCTION("""COMPUTED_VALUE"""),20.078)</f>
        <v>20.077999999999999</v>
      </c>
      <c r="U2860" s="3" t="e">
        <f ca="1"/>
        <v>#NAME?</v>
      </c>
    </row>
    <row r="2861" spans="3:21" ht="12.5" x14ac:dyDescent="0.25">
      <c r="C2861" s="4">
        <f ca="1">IFERROR(__xludf.DUMMYFUNCTION("""COMPUTED_VALUE"""),43267.9986111111)</f>
        <v>43267.998611111099</v>
      </c>
      <c r="D2861" s="2">
        <f ca="1">IFERROR(__xludf.DUMMYFUNCTION("""COMPUTED_VALUE"""),68.161)</f>
        <v>68.161000000000001</v>
      </c>
      <c r="E2861" s="2">
        <f ca="1">IFERROR(__xludf.DUMMYFUNCTION("""COMPUTED_VALUE"""),78.88)</f>
        <v>78.88</v>
      </c>
      <c r="F2861" s="2">
        <f ca="1">IFERROR(__xludf.DUMMYFUNCTION("""COMPUTED_VALUE"""),92.069)</f>
        <v>92.069000000000003</v>
      </c>
      <c r="G2861" s="2">
        <f ca="1">IFERROR(__xludf.DUMMYFUNCTION("""COMPUTED_VALUE"""),0.67004)</f>
        <v>0.67003999999999997</v>
      </c>
      <c r="H2861" s="2">
        <f ca="1">IFERROR(__xludf.DUMMYFUNCTION("""COMPUTED_VALUE"""),48.36)</f>
        <v>48.36</v>
      </c>
      <c r="I2861" s="2">
        <f ca="1">IFERROR(__xludf.DUMMYFUNCTION("""COMPUTED_VALUE"""),52.154)</f>
        <v>52.154000000000003</v>
      </c>
      <c r="J2861" s="2">
        <f ca="1">IFERROR(__xludf.DUMMYFUNCTION("""COMPUTED_VALUE"""),51.055)</f>
        <v>51.055</v>
      </c>
      <c r="K2861" s="2">
        <f ca="1">IFERROR(__xludf.DUMMYFUNCTION("""COMPUTED_VALUE"""),69.58)</f>
        <v>69.58</v>
      </c>
      <c r="M2861" s="2">
        <f ca="1">IFERROR(__xludf.DUMMYFUNCTION("""COMPUTED_VALUE"""),19.848)</f>
        <v>19.847999999999999</v>
      </c>
      <c r="U2861" s="3" t="e">
        <f ca="1"/>
        <v>#NAME?</v>
      </c>
    </row>
    <row r="2862" spans="3:21" ht="12.5" x14ac:dyDescent="0.25">
      <c r="C2862" s="4">
        <f ca="1">IFERROR(__xludf.DUMMYFUNCTION("""COMPUTED_VALUE"""),43268.9986111111)</f>
        <v>43268.998611111099</v>
      </c>
      <c r="D2862" s="2">
        <f ca="1">IFERROR(__xludf.DUMMYFUNCTION("""COMPUTED_VALUE"""),68.05)</f>
        <v>68.05</v>
      </c>
      <c r="E2862" s="2">
        <f ca="1">IFERROR(__xludf.DUMMYFUNCTION("""COMPUTED_VALUE"""),78.735)</f>
        <v>78.734999999999999</v>
      </c>
      <c r="F2862" s="2">
        <f ca="1">IFERROR(__xludf.DUMMYFUNCTION("""COMPUTED_VALUE"""),91.543)</f>
        <v>91.543000000000006</v>
      </c>
      <c r="G2862" s="2">
        <f ca="1">IFERROR(__xludf.DUMMYFUNCTION("""COMPUTED_VALUE"""),0.66737)</f>
        <v>0.66737000000000002</v>
      </c>
      <c r="H2862" s="2">
        <f ca="1">IFERROR(__xludf.DUMMYFUNCTION("""COMPUTED_VALUE"""),48.219)</f>
        <v>48.219000000000001</v>
      </c>
      <c r="I2862" s="2">
        <f ca="1">IFERROR(__xludf.DUMMYFUNCTION("""COMPUTED_VALUE"""),52.133)</f>
        <v>52.133000000000003</v>
      </c>
      <c r="J2862" s="2">
        <f ca="1">IFERROR(__xludf.DUMMYFUNCTION("""COMPUTED_VALUE"""),51.217)</f>
        <v>51.216999999999999</v>
      </c>
      <c r="K2862" s="2">
        <f ca="1">IFERROR(__xludf.DUMMYFUNCTION("""COMPUTED_VALUE"""),69.224)</f>
        <v>69.224000000000004</v>
      </c>
      <c r="M2862" s="2">
        <f ca="1">IFERROR(__xludf.DUMMYFUNCTION("""COMPUTED_VALUE"""),19.962)</f>
        <v>19.962</v>
      </c>
      <c r="U2862" s="3" t="e">
        <f ca="1"/>
        <v>#NAME?</v>
      </c>
    </row>
    <row r="2863" spans="3:21" ht="12.5" x14ac:dyDescent="0.25">
      <c r="C2863" s="4">
        <f ca="1">IFERROR(__xludf.DUMMYFUNCTION("""COMPUTED_VALUE"""),43269.9986111111)</f>
        <v>43269.998611111099</v>
      </c>
      <c r="D2863" s="2">
        <f ca="1">IFERROR(__xludf.DUMMYFUNCTION("""COMPUTED_VALUE"""),68.01)</f>
        <v>68.010000000000005</v>
      </c>
      <c r="E2863" s="2">
        <f ca="1">IFERROR(__xludf.DUMMYFUNCTION("""COMPUTED_VALUE"""),78.649)</f>
        <v>78.649000000000001</v>
      </c>
      <c r="F2863" s="2">
        <f ca="1">IFERROR(__xludf.DUMMYFUNCTION("""COMPUTED_VALUE"""),91.569)</f>
        <v>91.569000000000003</v>
      </c>
      <c r="G2863" s="2">
        <f ca="1">IFERROR(__xludf.DUMMYFUNCTION("""COMPUTED_VALUE"""),0.67004)</f>
        <v>0.67003999999999997</v>
      </c>
      <c r="H2863" s="2">
        <f ca="1">IFERROR(__xludf.DUMMYFUNCTION("""COMPUTED_VALUE"""),48.215)</f>
        <v>48.215000000000003</v>
      </c>
      <c r="I2863" s="2">
        <f ca="1">IFERROR(__xludf.DUMMYFUNCTION("""COMPUTED_VALUE"""),52.133)</f>
        <v>52.133000000000003</v>
      </c>
      <c r="J2863" s="2">
        <f ca="1">IFERROR(__xludf.DUMMYFUNCTION("""COMPUTED_VALUE"""),51.314)</f>
        <v>51.314</v>
      </c>
      <c r="K2863" s="2">
        <f ca="1">IFERROR(__xludf.DUMMYFUNCTION("""COMPUTED_VALUE"""),68.914)</f>
        <v>68.914000000000001</v>
      </c>
      <c r="M2863" s="2">
        <f ca="1">IFERROR(__xludf.DUMMYFUNCTION("""COMPUTED_VALUE"""),20.204)</f>
        <v>20.204000000000001</v>
      </c>
      <c r="U2863" s="3" t="e">
        <f ca="1"/>
        <v>#NAME?</v>
      </c>
    </row>
    <row r="2864" spans="3:21" ht="12.5" x14ac:dyDescent="0.25">
      <c r="C2864" s="4">
        <f ca="1">IFERROR(__xludf.DUMMYFUNCTION("""COMPUTED_VALUE"""),43270.9986111111)</f>
        <v>43270.998611111099</v>
      </c>
      <c r="D2864" s="2">
        <f ca="1">IFERROR(__xludf.DUMMYFUNCTION("""COMPUTED_VALUE"""),68.05)</f>
        <v>68.05</v>
      </c>
      <c r="E2864" s="2">
        <f ca="1">IFERROR(__xludf.DUMMYFUNCTION("""COMPUTED_VALUE"""),78.453)</f>
        <v>78.453000000000003</v>
      </c>
      <c r="F2864" s="2">
        <f ca="1">IFERROR(__xludf.DUMMYFUNCTION("""COMPUTED_VALUE"""),91.606)</f>
        <v>91.605999999999995</v>
      </c>
      <c r="G2864" s="2">
        <f ca="1">IFERROR(__xludf.DUMMYFUNCTION("""COMPUTED_VALUE"""),0.66503)</f>
        <v>0.66503000000000001</v>
      </c>
      <c r="H2864" s="2">
        <f ca="1">IFERROR(__xludf.DUMMYFUNCTION("""COMPUTED_VALUE"""),48.215)</f>
        <v>48.215000000000003</v>
      </c>
      <c r="I2864" s="2">
        <f ca="1">IFERROR(__xludf.DUMMYFUNCTION("""COMPUTED_VALUE"""),51.786)</f>
        <v>51.786000000000001</v>
      </c>
      <c r="J2864" s="2">
        <f ca="1">IFERROR(__xludf.DUMMYFUNCTION("""COMPUTED_VALUE"""),51.125)</f>
        <v>51.125</v>
      </c>
      <c r="K2864" s="2">
        <f ca="1">IFERROR(__xludf.DUMMYFUNCTION("""COMPUTED_VALUE"""),68.757)</f>
        <v>68.757000000000005</v>
      </c>
      <c r="M2864" s="2">
        <f ca="1">IFERROR(__xludf.DUMMYFUNCTION("""COMPUTED_VALUE"""),20.175)</f>
        <v>20.175000000000001</v>
      </c>
      <c r="U2864" s="3" t="e">
        <f ca="1"/>
        <v>#NAME?</v>
      </c>
    </row>
    <row r="2865" spans="3:21" ht="12.5" x14ac:dyDescent="0.25">
      <c r="C2865" s="4">
        <f ca="1">IFERROR(__xludf.DUMMYFUNCTION("""COMPUTED_VALUE"""),43271.9986111111)</f>
        <v>43271.998611111099</v>
      </c>
      <c r="D2865" s="2">
        <f ca="1">IFERROR(__xludf.DUMMYFUNCTION("""COMPUTED_VALUE"""),68.35)</f>
        <v>68.349999999999994</v>
      </c>
      <c r="E2865" s="2">
        <f ca="1">IFERROR(__xludf.DUMMYFUNCTION("""COMPUTED_VALUE"""),78.316)</f>
        <v>78.316000000000003</v>
      </c>
      <c r="F2865" s="2">
        <f ca="1">IFERROR(__xludf.DUMMYFUNCTION("""COMPUTED_VALUE"""),91.882)</f>
        <v>91.882000000000005</v>
      </c>
      <c r="G2865" s="2">
        <f ca="1">IFERROR(__xludf.DUMMYFUNCTION("""COMPUTED_VALUE"""),0.67051)</f>
        <v>0.67051000000000005</v>
      </c>
      <c r="H2865" s="2">
        <f ca="1">IFERROR(__xludf.DUMMYFUNCTION("""COMPUTED_VALUE"""),48.124)</f>
        <v>48.124000000000002</v>
      </c>
      <c r="I2865" s="2">
        <f ca="1">IFERROR(__xludf.DUMMYFUNCTION("""COMPUTED_VALUE"""),51.911)</f>
        <v>51.911000000000001</v>
      </c>
      <c r="J2865" s="2">
        <f ca="1">IFERROR(__xludf.DUMMYFUNCTION("""COMPUTED_VALUE"""),51.134)</f>
        <v>51.134</v>
      </c>
      <c r="K2865" s="2">
        <f ca="1">IFERROR(__xludf.DUMMYFUNCTION("""COMPUTED_VALUE"""),68.949)</f>
        <v>68.948999999999998</v>
      </c>
      <c r="M2865" s="2">
        <f ca="1">IFERROR(__xludf.DUMMYFUNCTION("""COMPUTED_VALUE"""),20.158)</f>
        <v>20.158000000000001</v>
      </c>
      <c r="U2865" s="3" t="e">
        <f ca="1"/>
        <v>#NAME?</v>
      </c>
    </row>
    <row r="2866" spans="3:21" ht="12.5" x14ac:dyDescent="0.25">
      <c r="C2866" s="4">
        <f ca="1">IFERROR(__xludf.DUMMYFUNCTION("""COMPUTED_VALUE"""),43272.9986111111)</f>
        <v>43272.998611111099</v>
      </c>
      <c r="D2866" s="2">
        <f ca="1">IFERROR(__xludf.DUMMYFUNCTION("""COMPUTED_VALUE"""),67.83)</f>
        <v>67.83</v>
      </c>
      <c r="E2866" s="2">
        <f ca="1">IFERROR(__xludf.DUMMYFUNCTION("""COMPUTED_VALUE"""),77.671)</f>
        <v>77.671000000000006</v>
      </c>
      <c r="F2866" s="2">
        <f ca="1">IFERROR(__xludf.DUMMYFUNCTION("""COMPUTED_VALUE"""),91.939)</f>
        <v>91.938999999999993</v>
      </c>
      <c r="G2866" s="2">
        <f ca="1">IFERROR(__xludf.DUMMYFUNCTION("""COMPUTED_VALUE"""),0.67597)</f>
        <v>0.67596999999999996</v>
      </c>
      <c r="H2866" s="2">
        <f ca="1">IFERROR(__xludf.DUMMYFUNCTION("""COMPUTED_VALUE"""),47.892)</f>
        <v>47.892000000000003</v>
      </c>
      <c r="I2866" s="2">
        <f ca="1">IFERROR(__xludf.DUMMYFUNCTION("""COMPUTED_VALUE"""),51.782)</f>
        <v>51.781999999999996</v>
      </c>
      <c r="J2866" s="2">
        <f ca="1">IFERROR(__xludf.DUMMYFUNCTION("""COMPUTED_VALUE"""),51.049)</f>
        <v>51.048999999999999</v>
      </c>
      <c r="K2866" s="2">
        <f ca="1">IFERROR(__xludf.DUMMYFUNCTION("""COMPUTED_VALUE"""),68.951)</f>
        <v>68.950999999999993</v>
      </c>
      <c r="M2866" s="2">
        <f ca="1">IFERROR(__xludf.DUMMYFUNCTION("""COMPUTED_VALUE"""),20.083)</f>
        <v>20.082999999999998</v>
      </c>
      <c r="U2866" s="3" t="e">
        <f ca="1"/>
        <v>#NAME?</v>
      </c>
    </row>
    <row r="2867" spans="3:21" ht="12.5" x14ac:dyDescent="0.25">
      <c r="C2867" s="4">
        <f ca="1">IFERROR(__xludf.DUMMYFUNCTION("""COMPUTED_VALUE"""),43273.9986111111)</f>
        <v>43273.998611111099</v>
      </c>
      <c r="D2867" s="2">
        <f ca="1">IFERROR(__xludf.DUMMYFUNCTION("""COMPUTED_VALUE"""),67.8549)</f>
        <v>67.854900000000001</v>
      </c>
      <c r="E2867" s="2">
        <f ca="1">IFERROR(__xludf.DUMMYFUNCTION("""COMPUTED_VALUE"""),77.707)</f>
        <v>77.706999999999994</v>
      </c>
      <c r="F2867" s="2">
        <f ca="1">IFERROR(__xludf.DUMMYFUNCTION("""COMPUTED_VALUE"""),91.839)</f>
        <v>91.838999999999999</v>
      </c>
      <c r="G2867" s="2">
        <f ca="1">IFERROR(__xludf.DUMMYFUNCTION("""COMPUTED_VALUE"""),0.66928)</f>
        <v>0.66927999999999999</v>
      </c>
      <c r="H2867" s="2">
        <f ca="1">IFERROR(__xludf.DUMMYFUNCTION("""COMPUTED_VALUE"""),47.852)</f>
        <v>47.851999999999997</v>
      </c>
      <c r="I2867" s="2">
        <f ca="1">IFERROR(__xludf.DUMMYFUNCTION("""COMPUTED_VALUE"""),51.651)</f>
        <v>51.651000000000003</v>
      </c>
      <c r="J2867" s="2">
        <f ca="1">IFERROR(__xludf.DUMMYFUNCTION("""COMPUTED_VALUE"""),50.983)</f>
        <v>50.982999999999997</v>
      </c>
      <c r="K2867" s="2">
        <f ca="1">IFERROR(__xludf.DUMMYFUNCTION("""COMPUTED_VALUE"""),68.951)</f>
        <v>68.950999999999993</v>
      </c>
      <c r="M2867" s="2">
        <f ca="1">IFERROR(__xludf.DUMMYFUNCTION("""COMPUTED_VALUE"""),20.108)</f>
        <v>20.108000000000001</v>
      </c>
      <c r="U2867" s="3" t="e">
        <f ca="1"/>
        <v>#NAME?</v>
      </c>
    </row>
    <row r="2868" spans="3:21" ht="12.5" x14ac:dyDescent="0.25">
      <c r="C2868" s="4">
        <f ca="1">IFERROR(__xludf.DUMMYFUNCTION("""COMPUTED_VALUE"""),43274.9986111111)</f>
        <v>43274.998611111099</v>
      </c>
      <c r="D2868" s="2">
        <f ca="1">IFERROR(__xludf.DUMMYFUNCTION("""COMPUTED_VALUE"""),67.855)</f>
        <v>67.855000000000004</v>
      </c>
      <c r="E2868" s="2">
        <f ca="1">IFERROR(__xludf.DUMMYFUNCTION("""COMPUTED_VALUE"""),77.564)</f>
        <v>77.563999999999993</v>
      </c>
      <c r="F2868" s="2">
        <f ca="1">IFERROR(__xludf.DUMMYFUNCTION("""COMPUTED_VALUE"""),91.355)</f>
        <v>91.355000000000004</v>
      </c>
      <c r="G2868" s="2">
        <f ca="1">IFERROR(__xludf.DUMMYFUNCTION("""COMPUTED_VALUE"""),0.67219)</f>
        <v>0.67218999999999995</v>
      </c>
      <c r="H2868" s="2">
        <f ca="1">IFERROR(__xludf.DUMMYFUNCTION("""COMPUTED_VALUE"""),48.016)</f>
        <v>48.015999999999998</v>
      </c>
      <c r="I2868" s="2">
        <f ca="1">IFERROR(__xludf.DUMMYFUNCTION("""COMPUTED_VALUE"""),51.561)</f>
        <v>51.561</v>
      </c>
      <c r="J2868" s="2">
        <f ca="1">IFERROR(__xludf.DUMMYFUNCTION("""COMPUTED_VALUE"""),50.894)</f>
        <v>50.893999999999998</v>
      </c>
      <c r="K2868" s="2">
        <f ca="1">IFERROR(__xludf.DUMMYFUNCTION("""COMPUTED_VALUE"""),69.056)</f>
        <v>69.055999999999997</v>
      </c>
      <c r="M2868" s="2">
        <f ca="1">IFERROR(__xludf.DUMMYFUNCTION("""COMPUTED_VALUE"""),20.233)</f>
        <v>20.233000000000001</v>
      </c>
      <c r="U2868" s="3" t="e">
        <f ca="1"/>
        <v>#NAME?</v>
      </c>
    </row>
    <row r="2869" spans="3:21" ht="12.5" x14ac:dyDescent="0.25">
      <c r="C2869" s="4">
        <f ca="1">IFERROR(__xludf.DUMMYFUNCTION("""COMPUTED_VALUE"""),43275.9986111111)</f>
        <v>43275.998611111099</v>
      </c>
      <c r="D2869" s="2">
        <f ca="1">IFERROR(__xludf.DUMMYFUNCTION("""COMPUTED_VALUE"""),67.8549)</f>
        <v>67.854900000000001</v>
      </c>
      <c r="E2869" s="2">
        <f ca="1">IFERROR(__xludf.DUMMYFUNCTION("""COMPUTED_VALUE"""),77.256)</f>
        <v>77.256</v>
      </c>
      <c r="F2869" s="2">
        <f ca="1">IFERROR(__xludf.DUMMYFUNCTION("""COMPUTED_VALUE"""),90.124)</f>
        <v>90.123999999999995</v>
      </c>
      <c r="G2869" s="2">
        <f ca="1">IFERROR(__xludf.DUMMYFUNCTION("""COMPUTED_VALUE"""),0.67617)</f>
        <v>0.67617000000000005</v>
      </c>
      <c r="H2869" s="2">
        <f ca="1">IFERROR(__xludf.DUMMYFUNCTION("""COMPUTED_VALUE"""),48.004)</f>
        <v>48.003999999999998</v>
      </c>
      <c r="I2869" s="2">
        <f ca="1">IFERROR(__xludf.DUMMYFUNCTION("""COMPUTED_VALUE"""),51.003)</f>
        <v>51.003</v>
      </c>
      <c r="J2869" s="2">
        <f ca="1">IFERROR(__xludf.DUMMYFUNCTION("""COMPUTED_VALUE"""),50.752)</f>
        <v>50.752000000000002</v>
      </c>
      <c r="K2869" s="2">
        <f ca="1">IFERROR(__xludf.DUMMYFUNCTION("""COMPUTED_VALUE"""),68.928)</f>
        <v>68.927999999999997</v>
      </c>
      <c r="M2869" s="2">
        <f ca="1">IFERROR(__xludf.DUMMYFUNCTION("""COMPUTED_VALUE"""),20.343)</f>
        <v>20.343</v>
      </c>
      <c r="U2869" s="3" t="e">
        <f ca="1"/>
        <v>#NAME?</v>
      </c>
    </row>
    <row r="2870" spans="3:21" ht="12.5" x14ac:dyDescent="0.25">
      <c r="C2870" s="4">
        <f ca="1">IFERROR(__xludf.DUMMYFUNCTION("""COMPUTED_VALUE"""),43276.9986111111)</f>
        <v>43276.998611111099</v>
      </c>
      <c r="D2870" s="2">
        <f ca="1">IFERROR(__xludf.DUMMYFUNCTION("""COMPUTED_VALUE"""),68.34)</f>
        <v>68.34</v>
      </c>
      <c r="E2870" s="2">
        <f ca="1">IFERROR(__xludf.DUMMYFUNCTION("""COMPUTED_VALUE"""),76.755)</f>
        <v>76.754999999999995</v>
      </c>
      <c r="F2870" s="2">
        <f ca="1">IFERROR(__xludf.DUMMYFUNCTION("""COMPUTED_VALUE"""),90.124)</f>
        <v>90.123999999999995</v>
      </c>
      <c r="G2870" s="2">
        <f ca="1">IFERROR(__xludf.DUMMYFUNCTION("""COMPUTED_VALUE"""),0.66834)</f>
        <v>0.66834000000000005</v>
      </c>
      <c r="H2870" s="2">
        <f ca="1">IFERROR(__xludf.DUMMYFUNCTION("""COMPUTED_VALUE"""),47.478)</f>
        <v>47.478000000000002</v>
      </c>
      <c r="I2870" s="2">
        <f ca="1">IFERROR(__xludf.DUMMYFUNCTION("""COMPUTED_VALUE"""),51.564)</f>
        <v>51.564</v>
      </c>
      <c r="J2870" s="2">
        <f ca="1">IFERROR(__xludf.DUMMYFUNCTION("""COMPUTED_VALUE"""),50.767)</f>
        <v>50.767000000000003</v>
      </c>
      <c r="K2870" s="2">
        <f ca="1">IFERROR(__xludf.DUMMYFUNCTION("""COMPUTED_VALUE"""),68.605)</f>
        <v>68.605000000000004</v>
      </c>
      <c r="M2870" s="2">
        <f ca="1">IFERROR(__xludf.DUMMYFUNCTION("""COMPUTED_VALUE"""),20.198)</f>
        <v>20.198</v>
      </c>
      <c r="U2870" s="3" t="e">
        <f ca="1"/>
        <v>#NAME?</v>
      </c>
    </row>
    <row r="2871" spans="3:21" ht="12.5" x14ac:dyDescent="0.25">
      <c r="C2871" s="4">
        <f ca="1">IFERROR(__xludf.DUMMYFUNCTION("""COMPUTED_VALUE"""),43277.9986111111)</f>
        <v>43277.998611111099</v>
      </c>
      <c r="D2871" s="2">
        <f ca="1">IFERROR(__xludf.DUMMYFUNCTION("""COMPUTED_VALUE"""),68.365)</f>
        <v>68.364999999999995</v>
      </c>
      <c r="E2871" s="2">
        <f ca="1">IFERROR(__xludf.DUMMYFUNCTION("""COMPUTED_VALUE"""),76.821)</f>
        <v>76.820999999999998</v>
      </c>
      <c r="F2871" s="2">
        <f ca="1">IFERROR(__xludf.DUMMYFUNCTION("""COMPUTED_VALUE"""),90.142)</f>
        <v>90.141999999999996</v>
      </c>
      <c r="G2871" s="2">
        <f ca="1">IFERROR(__xludf.DUMMYFUNCTION("""COMPUTED_VALUE"""),0.66979)</f>
        <v>0.66979</v>
      </c>
      <c r="H2871" s="2">
        <f ca="1">IFERROR(__xludf.DUMMYFUNCTION("""COMPUTED_VALUE"""),47.98)</f>
        <v>47.98</v>
      </c>
      <c r="I2871" s="2">
        <f ca="1">IFERROR(__xludf.DUMMYFUNCTION("""COMPUTED_VALUE"""),51.675)</f>
        <v>51.674999999999997</v>
      </c>
      <c r="J2871" s="2">
        <f ca="1">IFERROR(__xludf.DUMMYFUNCTION("""COMPUTED_VALUE"""),50.662)</f>
        <v>50.661999999999999</v>
      </c>
      <c r="K2871" s="2">
        <f ca="1">IFERROR(__xludf.DUMMYFUNCTION("""COMPUTED_VALUE"""),68.297)</f>
        <v>68.296999999999997</v>
      </c>
      <c r="M2871" s="2">
        <f ca="1">IFERROR(__xludf.DUMMYFUNCTION("""COMPUTED_VALUE"""),20.056)</f>
        <v>20.056000000000001</v>
      </c>
      <c r="U2871" s="3" t="e">
        <f ca="1"/>
        <v>#NAME?</v>
      </c>
    </row>
    <row r="2872" spans="3:21" ht="12.5" x14ac:dyDescent="0.25">
      <c r="C2872" s="4">
        <f ca="1">IFERROR(__xludf.DUMMYFUNCTION("""COMPUTED_VALUE"""),43278.9986111111)</f>
        <v>43278.998611111099</v>
      </c>
      <c r="D2872" s="2">
        <f ca="1">IFERROR(__xludf.DUMMYFUNCTION("""COMPUTED_VALUE"""),69.24)</f>
        <v>69.239999999999995</v>
      </c>
      <c r="E2872" s="2">
        <f ca="1">IFERROR(__xludf.DUMMYFUNCTION("""COMPUTED_VALUE"""),76.744)</f>
        <v>76.744</v>
      </c>
      <c r="F2872" s="2">
        <f ca="1">IFERROR(__xludf.DUMMYFUNCTION("""COMPUTED_VALUE"""),89.727)</f>
        <v>89.727000000000004</v>
      </c>
      <c r="G2872" s="2">
        <f ca="1">IFERROR(__xludf.DUMMYFUNCTION("""COMPUTED_VALUE"""),0.67261)</f>
        <v>0.67261000000000004</v>
      </c>
      <c r="H2872" s="2">
        <f ca="1">IFERROR(__xludf.DUMMYFUNCTION("""COMPUTED_VALUE"""),48.055)</f>
        <v>48.055</v>
      </c>
      <c r="I2872" s="2">
        <f ca="1">IFERROR(__xludf.DUMMYFUNCTION("""COMPUTED_VALUE"""),51.549)</f>
        <v>51.548999999999999</v>
      </c>
      <c r="J2872" s="2">
        <f ca="1">IFERROR(__xludf.DUMMYFUNCTION("""COMPUTED_VALUE"""),50.497)</f>
        <v>50.497</v>
      </c>
      <c r="K2872" s="2">
        <f ca="1">IFERROR(__xludf.DUMMYFUNCTION("""COMPUTED_VALUE"""),68.375)</f>
        <v>68.375</v>
      </c>
      <c r="M2872" s="2">
        <f ca="1">IFERROR(__xludf.DUMMYFUNCTION("""COMPUTED_VALUE"""),20.06)</f>
        <v>20.059999999999999</v>
      </c>
      <c r="U2872" s="3" t="e">
        <f ca="1"/>
        <v>#NAME?</v>
      </c>
    </row>
    <row r="2873" spans="3:21" ht="12.5" x14ac:dyDescent="0.25">
      <c r="C2873" s="4">
        <f ca="1">IFERROR(__xludf.DUMMYFUNCTION("""COMPUTED_VALUE"""),43279.9986111111)</f>
        <v>43279.998611111099</v>
      </c>
      <c r="D2873" s="2">
        <f ca="1">IFERROR(__xludf.DUMMYFUNCTION("""COMPUTED_VALUE"""),68.7967)</f>
        <v>68.796700000000001</v>
      </c>
      <c r="E2873" s="2">
        <f ca="1">IFERROR(__xludf.DUMMYFUNCTION("""COMPUTED_VALUE"""),76.95)</f>
        <v>76.95</v>
      </c>
      <c r="F2873" s="2">
        <f ca="1">IFERROR(__xludf.DUMMYFUNCTION("""COMPUTED_VALUE"""),90.299)</f>
        <v>90.299000000000007</v>
      </c>
      <c r="G2873" s="2">
        <f ca="1">IFERROR(__xludf.DUMMYFUNCTION("""COMPUTED_VALUE"""),0.66947)</f>
        <v>0.66947000000000001</v>
      </c>
      <c r="H2873" s="2">
        <f ca="1">IFERROR(__xludf.DUMMYFUNCTION("""COMPUTED_VALUE"""),48.158)</f>
        <v>48.158000000000001</v>
      </c>
      <c r="I2873" s="2">
        <f ca="1">IFERROR(__xludf.DUMMYFUNCTION("""COMPUTED_VALUE"""),51.617)</f>
        <v>51.616999999999997</v>
      </c>
      <c r="J2873" s="2">
        <f ca="1">IFERROR(__xludf.DUMMYFUNCTION("""COMPUTED_VALUE"""),50.295)</f>
        <v>50.295000000000002</v>
      </c>
      <c r="K2873" s="2">
        <f ca="1">IFERROR(__xludf.DUMMYFUNCTION("""COMPUTED_VALUE"""),68.608)</f>
        <v>68.608000000000004</v>
      </c>
      <c r="M2873" s="2">
        <f ca="1">IFERROR(__xludf.DUMMYFUNCTION("""COMPUTED_VALUE"""),20.165)</f>
        <v>20.164999999999999</v>
      </c>
      <c r="U2873" s="3" t="e">
        <f ca="1"/>
        <v>#NAME?</v>
      </c>
    </row>
    <row r="2874" spans="3:21" ht="12.5" x14ac:dyDescent="0.25">
      <c r="C2874" s="4">
        <f ca="1">IFERROR(__xludf.DUMMYFUNCTION("""COMPUTED_VALUE"""),43280.9986111111)</f>
        <v>43280.998611111099</v>
      </c>
      <c r="D2874" s="2">
        <f ca="1">IFERROR(__xludf.DUMMYFUNCTION("""COMPUTED_VALUE"""),68.435)</f>
        <v>68.435000000000002</v>
      </c>
      <c r="E2874" s="2">
        <f ca="1">IFERROR(__xludf.DUMMYFUNCTION("""COMPUTED_VALUE"""),76.934)</f>
        <v>76.933999999999997</v>
      </c>
      <c r="F2874" s="2">
        <f ca="1">IFERROR(__xludf.DUMMYFUNCTION("""COMPUTED_VALUE"""),89.572)</f>
        <v>89.572000000000003</v>
      </c>
      <c r="G2874" s="2">
        <f ca="1">IFERROR(__xludf.DUMMYFUNCTION("""COMPUTED_VALUE"""),0.67489)</f>
        <v>0.67488999999999999</v>
      </c>
      <c r="H2874" s="2">
        <f ca="1">IFERROR(__xludf.DUMMYFUNCTION("""COMPUTED_VALUE"""),48.256)</f>
        <v>48.256</v>
      </c>
      <c r="I2874" s="2">
        <f ca="1">IFERROR(__xludf.DUMMYFUNCTION("""COMPUTED_VALUE"""),51.576)</f>
        <v>51.576000000000001</v>
      </c>
      <c r="J2874" s="2">
        <f ca="1">IFERROR(__xludf.DUMMYFUNCTION("""COMPUTED_VALUE"""),50.366)</f>
        <v>50.366</v>
      </c>
      <c r="K2874" s="2">
        <f ca="1">IFERROR(__xludf.DUMMYFUNCTION("""COMPUTED_VALUE"""),68.314)</f>
        <v>68.313999999999993</v>
      </c>
      <c r="M2874" s="2">
        <f ca="1">IFERROR(__xludf.DUMMYFUNCTION("""COMPUTED_VALUE"""),20.038)</f>
        <v>20.038</v>
      </c>
      <c r="U2874" s="3" t="e">
        <f ca="1"/>
        <v>#NAME?</v>
      </c>
    </row>
    <row r="2875" spans="3:21" ht="12.5" x14ac:dyDescent="0.25">
      <c r="C2875" s="4">
        <f ca="1">IFERROR(__xludf.DUMMYFUNCTION("""COMPUTED_VALUE"""),43281.9986111111)</f>
        <v>43281.998611111099</v>
      </c>
      <c r="D2875" s="2">
        <f ca="1">IFERROR(__xludf.DUMMYFUNCTION("""COMPUTED_VALUE"""),68.435)</f>
        <v>68.435000000000002</v>
      </c>
      <c r="E2875" s="2">
        <f ca="1">IFERROR(__xludf.DUMMYFUNCTION("""COMPUTED_VALUE"""),77.191)</f>
        <v>77.191000000000003</v>
      </c>
      <c r="F2875" s="2">
        <f ca="1">IFERROR(__xludf.DUMMYFUNCTION("""COMPUTED_VALUE"""),89.627)</f>
        <v>89.626999999999995</v>
      </c>
      <c r="G2875" s="2">
        <f ca="1">IFERROR(__xludf.DUMMYFUNCTION("""COMPUTED_VALUE"""),0.67761)</f>
        <v>0.67761000000000005</v>
      </c>
      <c r="H2875" s="2">
        <f ca="1">IFERROR(__xludf.DUMMYFUNCTION("""COMPUTED_VALUE"""),48.168)</f>
        <v>48.167999999999999</v>
      </c>
      <c r="I2875" s="2">
        <f ca="1">IFERROR(__xludf.DUMMYFUNCTION("""COMPUTED_VALUE"""),51.468)</f>
        <v>51.468000000000004</v>
      </c>
      <c r="J2875" s="2">
        <f ca="1">IFERROR(__xludf.DUMMYFUNCTION("""COMPUTED_VALUE"""),50.288)</f>
        <v>50.287999999999997</v>
      </c>
      <c r="K2875" s="2">
        <f ca="1">IFERROR(__xludf.DUMMYFUNCTION("""COMPUTED_VALUE"""),68.494)</f>
        <v>68.494</v>
      </c>
      <c r="M2875" s="2">
        <f ca="1">IFERROR(__xludf.DUMMYFUNCTION("""COMPUTED_VALUE"""),20.127)</f>
        <v>20.126999999999999</v>
      </c>
      <c r="U2875" s="3" t="e">
        <f ca="1"/>
        <v>#NAME?</v>
      </c>
    </row>
    <row r="2876" spans="3:21" ht="12.5" x14ac:dyDescent="0.25">
      <c r="C2876" s="4">
        <f ca="1">IFERROR(__xludf.DUMMYFUNCTION("""COMPUTED_VALUE"""),43282.9986111111)</f>
        <v>43282.998611111099</v>
      </c>
      <c r="D2876" s="2">
        <f ca="1">IFERROR(__xludf.DUMMYFUNCTION("""COMPUTED_VALUE"""),68.435)</f>
        <v>68.435000000000002</v>
      </c>
      <c r="E2876" s="2">
        <f ca="1">IFERROR(__xludf.DUMMYFUNCTION("""COMPUTED_VALUE"""),77.106)</f>
        <v>77.105999999999995</v>
      </c>
      <c r="F2876" s="2">
        <f ca="1">IFERROR(__xludf.DUMMYFUNCTION("""COMPUTED_VALUE"""),89.359)</f>
        <v>89.358999999999995</v>
      </c>
      <c r="G2876" s="2">
        <f ca="1">IFERROR(__xludf.DUMMYFUNCTION("""COMPUTED_VALUE"""),0.65951)</f>
        <v>0.65951000000000004</v>
      </c>
      <c r="H2876" s="2">
        <f ca="1">IFERROR(__xludf.DUMMYFUNCTION("""COMPUTED_VALUE"""),48.265)</f>
        <v>48.265000000000001</v>
      </c>
      <c r="I2876" s="2">
        <f ca="1">IFERROR(__xludf.DUMMYFUNCTION("""COMPUTED_VALUE"""),51.466)</f>
        <v>51.466000000000001</v>
      </c>
      <c r="J2876" s="2">
        <f ca="1">IFERROR(__xludf.DUMMYFUNCTION("""COMPUTED_VALUE"""),50.327)</f>
        <v>50.326999999999998</v>
      </c>
      <c r="K2876" s="2">
        <f ca="1">IFERROR(__xludf.DUMMYFUNCTION("""COMPUTED_VALUE"""),68.715)</f>
        <v>68.715000000000003</v>
      </c>
      <c r="M2876" s="2">
        <f ca="1">IFERROR(__xludf.DUMMYFUNCTION("""COMPUTED_VALUE"""),20.011)</f>
        <v>20.010999999999999</v>
      </c>
      <c r="U2876" s="3" t="e">
        <f ca="1"/>
        <v>#NAME?</v>
      </c>
    </row>
    <row r="2877" spans="3:21" ht="12.5" x14ac:dyDescent="0.25">
      <c r="C2877" s="4">
        <f ca="1">IFERROR(__xludf.DUMMYFUNCTION("""COMPUTED_VALUE"""),43283.9986111111)</f>
        <v>43283.998611111099</v>
      </c>
      <c r="D2877" s="2">
        <f ca="1">IFERROR(__xludf.DUMMYFUNCTION("""COMPUTED_VALUE"""),68.6948)</f>
        <v>68.694800000000001</v>
      </c>
      <c r="E2877" s="2">
        <f ca="1">IFERROR(__xludf.DUMMYFUNCTION("""COMPUTED_VALUE"""),76.933)</f>
        <v>76.933000000000007</v>
      </c>
      <c r="F2877" s="2">
        <f ca="1">IFERROR(__xludf.DUMMYFUNCTION("""COMPUTED_VALUE"""),89.422)</f>
        <v>89.421999999999997</v>
      </c>
      <c r="G2877" s="2">
        <f ca="1">IFERROR(__xludf.DUMMYFUNCTION("""COMPUTED_VALUE"""),0.67885)</f>
        <v>0.67884999999999995</v>
      </c>
      <c r="H2877" s="2">
        <f ca="1">IFERROR(__xludf.DUMMYFUNCTION("""COMPUTED_VALUE"""),48.254)</f>
        <v>48.253999999999998</v>
      </c>
      <c r="I2877" s="2">
        <f ca="1">IFERROR(__xludf.DUMMYFUNCTION("""COMPUTED_VALUE"""),51.482)</f>
        <v>51.481999999999999</v>
      </c>
      <c r="J2877" s="2">
        <f ca="1">IFERROR(__xludf.DUMMYFUNCTION("""COMPUTED_VALUE"""),50.371)</f>
        <v>50.371000000000002</v>
      </c>
      <c r="K2877" s="2">
        <f ca="1">IFERROR(__xludf.DUMMYFUNCTION("""COMPUTED_VALUE"""),68.437)</f>
        <v>68.436999999999998</v>
      </c>
      <c r="M2877" s="2">
        <f ca="1">IFERROR(__xludf.DUMMYFUNCTION("""COMPUTED_VALUE"""),19.995)</f>
        <v>19.995000000000001</v>
      </c>
      <c r="U2877" s="3" t="e">
        <f ca="1"/>
        <v>#NAME?</v>
      </c>
    </row>
    <row r="2878" spans="3:21" ht="12.5" x14ac:dyDescent="0.25">
      <c r="C2878" s="4">
        <f ca="1">IFERROR(__xludf.DUMMYFUNCTION("""COMPUTED_VALUE"""),43284.9986111111)</f>
        <v>43284.998611111099</v>
      </c>
      <c r="D2878" s="2">
        <f ca="1">IFERROR(__xludf.DUMMYFUNCTION("""COMPUTED_VALUE"""),68.83)</f>
        <v>68.83</v>
      </c>
      <c r="E2878" s="2">
        <f ca="1">IFERROR(__xludf.DUMMYFUNCTION("""COMPUTED_VALUE"""),77.217)</f>
        <v>77.216999999999999</v>
      </c>
      <c r="F2878" s="2">
        <f ca="1">IFERROR(__xludf.DUMMYFUNCTION("""COMPUTED_VALUE"""),89.338)</f>
        <v>89.337999999999994</v>
      </c>
      <c r="G2878" s="2">
        <f ca="1">IFERROR(__xludf.DUMMYFUNCTION("""COMPUTED_VALUE"""),0.67592)</f>
        <v>0.67591999999999997</v>
      </c>
      <c r="H2878" s="2">
        <f ca="1">IFERROR(__xludf.DUMMYFUNCTION("""COMPUTED_VALUE"""),48.171)</f>
        <v>48.170999999999999</v>
      </c>
      <c r="I2878" s="2">
        <f ca="1">IFERROR(__xludf.DUMMYFUNCTION("""COMPUTED_VALUE"""),51.408)</f>
        <v>51.408000000000001</v>
      </c>
      <c r="J2878" s="2">
        <f ca="1">IFERROR(__xludf.DUMMYFUNCTION("""COMPUTED_VALUE"""),50.444)</f>
        <v>50.444000000000003</v>
      </c>
      <c r="K2878" s="2">
        <f ca="1">IFERROR(__xludf.DUMMYFUNCTION("""COMPUTED_VALUE"""),68.449)</f>
        <v>68.448999999999998</v>
      </c>
      <c r="M2878" s="2">
        <f ca="1">IFERROR(__xludf.DUMMYFUNCTION("""COMPUTED_VALUE"""),20.002)</f>
        <v>20.001999999999999</v>
      </c>
      <c r="U2878" s="3" t="e">
        <f ca="1"/>
        <v>#NAME?</v>
      </c>
    </row>
    <row r="2879" spans="3:21" ht="12.5" x14ac:dyDescent="0.25">
      <c r="C2879" s="4">
        <f ca="1">IFERROR(__xludf.DUMMYFUNCTION("""COMPUTED_VALUE"""),43285.9986111111)</f>
        <v>43285.998611111099</v>
      </c>
      <c r="D2879" s="2">
        <f ca="1">IFERROR(__xludf.DUMMYFUNCTION("""COMPUTED_VALUE"""),68.98)</f>
        <v>68.98</v>
      </c>
      <c r="E2879" s="2">
        <f ca="1">IFERROR(__xludf.DUMMYFUNCTION("""COMPUTED_VALUE"""),77.454)</f>
        <v>77.453999999999994</v>
      </c>
      <c r="F2879" s="2">
        <f ca="1">IFERROR(__xludf.DUMMYFUNCTION("""COMPUTED_VALUE"""),89.282)</f>
        <v>89.281999999999996</v>
      </c>
      <c r="G2879" s="2">
        <f ca="1">IFERROR(__xludf.DUMMYFUNCTION("""COMPUTED_VALUE"""),0.67643)</f>
        <v>0.67642999999999998</v>
      </c>
      <c r="H2879" s="2">
        <f ca="1">IFERROR(__xludf.DUMMYFUNCTION("""COMPUTED_VALUE"""),48.173)</f>
        <v>48.173000000000002</v>
      </c>
      <c r="I2879" s="2">
        <f ca="1">IFERROR(__xludf.DUMMYFUNCTION("""COMPUTED_VALUE"""),51.689)</f>
        <v>51.689</v>
      </c>
      <c r="J2879" s="2">
        <f ca="1">IFERROR(__xludf.DUMMYFUNCTION("""COMPUTED_VALUE"""),50.488)</f>
        <v>50.488</v>
      </c>
      <c r="K2879" s="2">
        <f ca="1">IFERROR(__xludf.DUMMYFUNCTION("""COMPUTED_VALUE"""),68.438)</f>
        <v>68.438000000000002</v>
      </c>
      <c r="M2879" s="2">
        <f ca="1">IFERROR(__xludf.DUMMYFUNCTION("""COMPUTED_VALUE"""),20.021)</f>
        <v>20.021000000000001</v>
      </c>
      <c r="U2879" s="3" t="e">
        <f ca="1"/>
        <v>#NAME?</v>
      </c>
    </row>
    <row r="2880" spans="3:21" ht="12.5" x14ac:dyDescent="0.25">
      <c r="C2880" s="4">
        <f ca="1">IFERROR(__xludf.DUMMYFUNCTION("""COMPUTED_VALUE"""),43286.9986111111)</f>
        <v>43286.998611111099</v>
      </c>
      <c r="D2880" s="2">
        <f ca="1">IFERROR(__xludf.DUMMYFUNCTION("""COMPUTED_VALUE"""),69.07)</f>
        <v>69.069999999999993</v>
      </c>
      <c r="E2880" s="2">
        <f ca="1">IFERROR(__xludf.DUMMYFUNCTION("""COMPUTED_VALUE"""),77.195)</f>
        <v>77.194999999999993</v>
      </c>
      <c r="F2880" s="2">
        <f ca="1">IFERROR(__xludf.DUMMYFUNCTION("""COMPUTED_VALUE"""),89.945)</f>
        <v>89.944999999999993</v>
      </c>
      <c r="G2880" s="2">
        <f ca="1">IFERROR(__xludf.DUMMYFUNCTION("""COMPUTED_VALUE"""),0.67278)</f>
        <v>0.67278000000000004</v>
      </c>
      <c r="H2880" s="2">
        <f ca="1">IFERROR(__xludf.DUMMYFUNCTION("""COMPUTED_VALUE"""),48.395)</f>
        <v>48.395000000000003</v>
      </c>
      <c r="I2880" s="2">
        <f ca="1">IFERROR(__xludf.DUMMYFUNCTION("""COMPUTED_VALUE"""),51.647)</f>
        <v>51.646999999999998</v>
      </c>
      <c r="J2880" s="2">
        <f ca="1">IFERROR(__xludf.DUMMYFUNCTION("""COMPUTED_VALUE"""),50.525)</f>
        <v>50.524999999999999</v>
      </c>
      <c r="K2880" s="2">
        <f ca="1">IFERROR(__xludf.DUMMYFUNCTION("""COMPUTED_VALUE"""),68.305)</f>
        <v>68.305000000000007</v>
      </c>
      <c r="M2880" s="2">
        <f ca="1">IFERROR(__xludf.DUMMYFUNCTION("""COMPUTED_VALUE"""),20.018)</f>
        <v>20.018000000000001</v>
      </c>
      <c r="U2880" s="3" t="e">
        <f ca="1"/>
        <v>#NAME?</v>
      </c>
    </row>
    <row r="2881" spans="3:21" ht="12.5" x14ac:dyDescent="0.25">
      <c r="C2881" s="4">
        <f ca="1">IFERROR(__xludf.DUMMYFUNCTION("""COMPUTED_VALUE"""),43287.9986111111)</f>
        <v>43287.998611111099</v>
      </c>
      <c r="D2881" s="2">
        <f ca="1">IFERROR(__xludf.DUMMYFUNCTION("""COMPUTED_VALUE"""),68.76)</f>
        <v>68.760000000000005</v>
      </c>
      <c r="E2881" s="2">
        <f ca="1">IFERROR(__xludf.DUMMYFUNCTION("""COMPUTED_VALUE"""),77.195)</f>
        <v>77.194999999999993</v>
      </c>
      <c r="F2881" s="2">
        <f ca="1">IFERROR(__xludf.DUMMYFUNCTION("""COMPUTED_VALUE"""),89.705)</f>
        <v>89.704999999999998</v>
      </c>
      <c r="G2881" s="2">
        <f ca="1">IFERROR(__xludf.DUMMYFUNCTION("""COMPUTED_VALUE"""),0.67152)</f>
        <v>0.67152000000000001</v>
      </c>
      <c r="H2881" s="2">
        <f ca="1">IFERROR(__xludf.DUMMYFUNCTION("""COMPUTED_VALUE"""),48.321)</f>
        <v>48.320999999999998</v>
      </c>
      <c r="I2881" s="2">
        <f ca="1">IFERROR(__xludf.DUMMYFUNCTION("""COMPUTED_VALUE"""),51.735)</f>
        <v>51.734999999999999</v>
      </c>
      <c r="J2881" s="2">
        <f ca="1">IFERROR(__xludf.DUMMYFUNCTION("""COMPUTED_VALUE"""),50.55)</f>
        <v>50.55</v>
      </c>
      <c r="K2881" s="2">
        <f ca="1">IFERROR(__xludf.DUMMYFUNCTION("""COMPUTED_VALUE"""),68.541)</f>
        <v>68.540999999999997</v>
      </c>
      <c r="M2881" s="2">
        <f ca="1">IFERROR(__xludf.DUMMYFUNCTION("""COMPUTED_VALUE"""),20.063)</f>
        <v>20.062999999999999</v>
      </c>
      <c r="U2881" s="3" t="e">
        <f ca="1"/>
        <v>#NAME?</v>
      </c>
    </row>
    <row r="2882" spans="3:21" ht="12.5" x14ac:dyDescent="0.25">
      <c r="C2882" s="4">
        <f ca="1">IFERROR(__xludf.DUMMYFUNCTION("""COMPUTED_VALUE"""),43288.9986111111)</f>
        <v>43288.998611111099</v>
      </c>
      <c r="D2882" s="2">
        <f ca="1">IFERROR(__xludf.DUMMYFUNCTION("""COMPUTED_VALUE"""),68.755)</f>
        <v>68.754999999999995</v>
      </c>
      <c r="E2882" s="2">
        <f ca="1">IFERROR(__xludf.DUMMYFUNCTION("""COMPUTED_VALUE"""),77.16)</f>
        <v>77.16</v>
      </c>
      <c r="F2882" s="2">
        <f ca="1">IFERROR(__xludf.DUMMYFUNCTION("""COMPUTED_VALUE"""),90.459)</f>
        <v>90.459000000000003</v>
      </c>
      <c r="G2882" s="2">
        <f ca="1">IFERROR(__xludf.DUMMYFUNCTION("""COMPUTED_VALUE"""),0.67705)</f>
        <v>0.67705000000000004</v>
      </c>
      <c r="H2882" s="2">
        <f ca="1">IFERROR(__xludf.DUMMYFUNCTION("""COMPUTED_VALUE"""),48.202)</f>
        <v>48.201999999999998</v>
      </c>
      <c r="I2882" s="2">
        <f ca="1">IFERROR(__xludf.DUMMYFUNCTION("""COMPUTED_VALUE"""),52.19)</f>
        <v>52.19</v>
      </c>
      <c r="J2882" s="2">
        <f ca="1">IFERROR(__xludf.DUMMYFUNCTION("""COMPUTED_VALUE"""),50.703)</f>
        <v>50.703000000000003</v>
      </c>
      <c r="K2882" s="2">
        <f ca="1">IFERROR(__xludf.DUMMYFUNCTION("""COMPUTED_VALUE"""),68.02)</f>
        <v>68.02</v>
      </c>
      <c r="M2882" s="2">
        <f ca="1">IFERROR(__xludf.DUMMYFUNCTION("""COMPUTED_VALUE"""),19.931)</f>
        <v>19.931000000000001</v>
      </c>
      <c r="U2882" s="3" t="e">
        <f ca="1"/>
        <v>#NAME?</v>
      </c>
    </row>
    <row r="2883" spans="3:21" ht="12.5" x14ac:dyDescent="0.25">
      <c r="C2883" s="4">
        <f ca="1">IFERROR(__xludf.DUMMYFUNCTION("""COMPUTED_VALUE"""),43289.9986111111)</f>
        <v>43289.998611111099</v>
      </c>
      <c r="D2883" s="2">
        <f ca="1">IFERROR(__xludf.DUMMYFUNCTION("""COMPUTED_VALUE"""),68.755)</f>
        <v>68.754999999999995</v>
      </c>
      <c r="E2883" s="2">
        <f ca="1">IFERROR(__xludf.DUMMYFUNCTION("""COMPUTED_VALUE"""),76.895)</f>
        <v>76.894999999999996</v>
      </c>
      <c r="F2883" s="2">
        <f ca="1">IFERROR(__xludf.DUMMYFUNCTION("""COMPUTED_VALUE"""),90.557)</f>
        <v>90.557000000000002</v>
      </c>
      <c r="G2883" s="2">
        <f ca="1">IFERROR(__xludf.DUMMYFUNCTION("""COMPUTED_VALUE"""),0.68111)</f>
        <v>0.68110999999999999</v>
      </c>
      <c r="H2883" s="2">
        <f ca="1">IFERROR(__xludf.DUMMYFUNCTION("""COMPUTED_VALUE"""),48.505)</f>
        <v>48.505000000000003</v>
      </c>
      <c r="I2883" s="2">
        <f ca="1">IFERROR(__xludf.DUMMYFUNCTION("""COMPUTED_VALUE"""),52.232)</f>
        <v>52.231999999999999</v>
      </c>
      <c r="J2883" s="2">
        <f ca="1">IFERROR(__xludf.DUMMYFUNCTION("""COMPUTED_VALUE"""),50.571)</f>
        <v>50.570999999999998</v>
      </c>
      <c r="K2883" s="2">
        <f ca="1">IFERROR(__xludf.DUMMYFUNCTION("""COMPUTED_VALUE"""),67.921)</f>
        <v>67.921000000000006</v>
      </c>
      <c r="M2883" s="2">
        <f ca="1">IFERROR(__xludf.DUMMYFUNCTION("""COMPUTED_VALUE"""),19.908)</f>
        <v>19.908000000000001</v>
      </c>
      <c r="U2883" s="3" t="e">
        <f ca="1"/>
        <v>#NAME?</v>
      </c>
    </row>
    <row r="2884" spans="3:21" ht="12.5" x14ac:dyDescent="0.25">
      <c r="C2884" s="4">
        <f ca="1">IFERROR(__xludf.DUMMYFUNCTION("""COMPUTED_VALUE"""),43290.9986111111)</f>
        <v>43290.998611111099</v>
      </c>
      <c r="D2884" s="2">
        <f ca="1">IFERROR(__xludf.DUMMYFUNCTION("""COMPUTED_VALUE"""),68.6598)</f>
        <v>68.659800000000004</v>
      </c>
      <c r="E2884" s="2">
        <f ca="1">IFERROR(__xludf.DUMMYFUNCTION("""COMPUTED_VALUE"""),76.79)</f>
        <v>76.790000000000006</v>
      </c>
      <c r="F2884" s="2">
        <f ca="1">IFERROR(__xludf.DUMMYFUNCTION("""COMPUTED_VALUE"""),90.558)</f>
        <v>90.558000000000007</v>
      </c>
      <c r="G2884" s="2">
        <f ca="1">IFERROR(__xludf.DUMMYFUNCTION("""COMPUTED_VALUE"""),0.6761)</f>
        <v>0.67610000000000003</v>
      </c>
      <c r="H2884" s="2">
        <f ca="1">IFERROR(__xludf.DUMMYFUNCTION("""COMPUTED_VALUE"""),48.507)</f>
        <v>48.506999999999998</v>
      </c>
      <c r="I2884" s="2">
        <f ca="1">IFERROR(__xludf.DUMMYFUNCTION("""COMPUTED_VALUE"""),52.232)</f>
        <v>52.231999999999999</v>
      </c>
      <c r="J2884" s="2">
        <f ca="1">IFERROR(__xludf.DUMMYFUNCTION("""COMPUTED_VALUE"""),50.57)</f>
        <v>50.57</v>
      </c>
      <c r="K2884" s="2">
        <f ca="1">IFERROR(__xludf.DUMMYFUNCTION("""COMPUTED_VALUE"""),68.155)</f>
        <v>68.155000000000001</v>
      </c>
      <c r="M2884" s="2">
        <f ca="1">IFERROR(__xludf.DUMMYFUNCTION("""COMPUTED_VALUE"""),19.905)</f>
        <v>19.905000000000001</v>
      </c>
      <c r="U2884" s="3" t="e">
        <f ca="1"/>
        <v>#NAME?</v>
      </c>
    </row>
    <row r="2885" spans="3:21" ht="12.5" x14ac:dyDescent="0.25">
      <c r="C2885" s="4">
        <f ca="1">IFERROR(__xludf.DUMMYFUNCTION("""COMPUTED_VALUE"""),43291.9986111111)</f>
        <v>43291.998611111099</v>
      </c>
      <c r="D2885" s="2">
        <f ca="1">IFERROR(__xludf.DUMMYFUNCTION("""COMPUTED_VALUE"""),68.9)</f>
        <v>68.900000000000006</v>
      </c>
      <c r="E2885" s="2">
        <f ca="1">IFERROR(__xludf.DUMMYFUNCTION("""COMPUTED_VALUE"""),77.003)</f>
        <v>77.003</v>
      </c>
      <c r="F2885" s="2">
        <f ca="1">IFERROR(__xludf.DUMMYFUNCTION("""COMPUTED_VALUE"""),90.43)</f>
        <v>90.43</v>
      </c>
      <c r="G2885" s="2">
        <f ca="1">IFERROR(__xludf.DUMMYFUNCTION("""COMPUTED_VALUE"""),0.67127)</f>
        <v>0.67127000000000003</v>
      </c>
      <c r="H2885" s="2">
        <f ca="1">IFERROR(__xludf.DUMMYFUNCTION("""COMPUTED_VALUE"""),48.507)</f>
        <v>48.506999999999998</v>
      </c>
      <c r="I2885" s="2">
        <f ca="1">IFERROR(__xludf.DUMMYFUNCTION("""COMPUTED_VALUE"""),52.35)</f>
        <v>52.35</v>
      </c>
      <c r="J2885" s="2">
        <f ca="1">IFERROR(__xludf.DUMMYFUNCTION("""COMPUTED_VALUE"""),50.579)</f>
        <v>50.579000000000001</v>
      </c>
      <c r="K2885" s="2">
        <f ca="1">IFERROR(__xludf.DUMMYFUNCTION("""COMPUTED_VALUE"""),68.196)</f>
        <v>68.195999999999998</v>
      </c>
      <c r="M2885" s="2">
        <f ca="1">IFERROR(__xludf.DUMMYFUNCTION("""COMPUTED_VALUE"""),19.977)</f>
        <v>19.977</v>
      </c>
      <c r="U2885" s="3" t="e">
        <f ca="1"/>
        <v>#NAME?</v>
      </c>
    </row>
    <row r="2886" spans="3:21" ht="12.5" x14ac:dyDescent="0.25">
      <c r="C2886" s="4">
        <f ca="1">IFERROR(__xludf.DUMMYFUNCTION("""COMPUTED_VALUE"""),43292.9986111111)</f>
        <v>43292.998611111099</v>
      </c>
      <c r="D2886" s="2">
        <f ca="1">IFERROR(__xludf.DUMMYFUNCTION("""COMPUTED_VALUE"""),68.72)</f>
        <v>68.72</v>
      </c>
      <c r="E2886" s="2">
        <f ca="1">IFERROR(__xludf.DUMMYFUNCTION("""COMPUTED_VALUE"""),76.563)</f>
        <v>76.563000000000002</v>
      </c>
      <c r="F2886" s="2">
        <f ca="1">IFERROR(__xludf.DUMMYFUNCTION("""COMPUTED_VALUE"""),90.263)</f>
        <v>90.263000000000005</v>
      </c>
      <c r="G2886" s="2">
        <f ca="1">IFERROR(__xludf.DUMMYFUNCTION("""COMPUTED_VALUE"""),0.66981)</f>
        <v>0.66981000000000002</v>
      </c>
      <c r="H2886" s="2">
        <f ca="1">IFERROR(__xludf.DUMMYFUNCTION("""COMPUTED_VALUE"""),48.342)</f>
        <v>48.341999999999999</v>
      </c>
      <c r="I2886" s="2">
        <f ca="1">IFERROR(__xludf.DUMMYFUNCTION("""COMPUTED_VALUE"""),52.202)</f>
        <v>52.201999999999998</v>
      </c>
      <c r="J2886" s="2">
        <f ca="1">IFERROR(__xludf.DUMMYFUNCTION("""COMPUTED_VALUE"""),50.49)</f>
        <v>50.49</v>
      </c>
      <c r="K2886" s="2">
        <f ca="1">IFERROR(__xludf.DUMMYFUNCTION("""COMPUTED_VALUE"""),68.278)</f>
        <v>68.278000000000006</v>
      </c>
      <c r="M2886" s="2">
        <f ca="1">IFERROR(__xludf.DUMMYFUNCTION("""COMPUTED_VALUE"""),20.048)</f>
        <v>20.047999999999998</v>
      </c>
      <c r="U2886" s="3" t="e">
        <f ca="1"/>
        <v>#NAME?</v>
      </c>
    </row>
    <row r="2887" spans="3:21" ht="12.5" x14ac:dyDescent="0.25">
      <c r="C2887" s="4">
        <f ca="1">IFERROR(__xludf.DUMMYFUNCTION("""COMPUTED_VALUE"""),43293.9986111111)</f>
        <v>43293.998611111099</v>
      </c>
      <c r="D2887" s="2">
        <f ca="1">IFERROR(__xludf.DUMMYFUNCTION("""COMPUTED_VALUE"""),68.54)</f>
        <v>68.540000000000006</v>
      </c>
      <c r="E2887" s="2">
        <f ca="1">IFERROR(__xludf.DUMMYFUNCTION("""COMPUTED_VALUE"""),76.53)</f>
        <v>76.53</v>
      </c>
      <c r="F2887" s="2">
        <f ca="1">IFERROR(__xludf.DUMMYFUNCTION("""COMPUTED_VALUE"""),90.825)</f>
        <v>90.825000000000003</v>
      </c>
      <c r="G2887" s="2">
        <f ca="1">IFERROR(__xludf.DUMMYFUNCTION("""COMPUTED_VALUE"""),0.65512)</f>
        <v>0.65512000000000004</v>
      </c>
      <c r="H2887" s="2">
        <f ca="1">IFERROR(__xludf.DUMMYFUNCTION("""COMPUTED_VALUE"""),48.263)</f>
        <v>48.262999999999998</v>
      </c>
      <c r="I2887" s="2">
        <f ca="1">IFERROR(__xludf.DUMMYFUNCTION("""COMPUTED_VALUE"""),51.97)</f>
        <v>51.97</v>
      </c>
      <c r="J2887" s="2">
        <f ca="1">IFERROR(__xludf.DUMMYFUNCTION("""COMPUTED_VALUE"""),50.517)</f>
        <v>50.517000000000003</v>
      </c>
      <c r="K2887" s="2">
        <f ca="1">IFERROR(__xludf.DUMMYFUNCTION("""COMPUTED_VALUE"""),69.063)</f>
        <v>69.063000000000002</v>
      </c>
      <c r="M2887" s="2">
        <f ca="1">IFERROR(__xludf.DUMMYFUNCTION("""COMPUTED_VALUE"""),20.164)</f>
        <v>20.164000000000001</v>
      </c>
      <c r="U2887" s="3" t="e">
        <f ca="1"/>
        <v>#NAME?</v>
      </c>
    </row>
    <row r="2888" spans="3:21" ht="12.5" x14ac:dyDescent="0.25">
      <c r="C2888" s="4">
        <f ca="1">IFERROR(__xludf.DUMMYFUNCTION("""COMPUTED_VALUE"""),43294.9986111111)</f>
        <v>43294.998611111099</v>
      </c>
      <c r="D2888" s="2">
        <f ca="1">IFERROR(__xludf.DUMMYFUNCTION("""COMPUTED_VALUE"""),68.49)</f>
        <v>68.489999999999995</v>
      </c>
      <c r="E2888" s="2">
        <f ca="1">IFERROR(__xludf.DUMMYFUNCTION("""COMPUTED_VALUE"""),76.734)</f>
        <v>76.733999999999995</v>
      </c>
      <c r="F2888" s="2">
        <f ca="1">IFERROR(__xludf.DUMMYFUNCTION("""COMPUTED_VALUE"""),90.7)</f>
        <v>90.7</v>
      </c>
      <c r="G2888" s="2">
        <f ca="1">IFERROR(__xludf.DUMMYFUNCTION("""COMPUTED_VALUE"""),0.66806)</f>
        <v>0.66805999999999999</v>
      </c>
      <c r="H2888" s="2">
        <f ca="1">IFERROR(__xludf.DUMMYFUNCTION("""COMPUTED_VALUE"""),48.033)</f>
        <v>48.033000000000001</v>
      </c>
      <c r="I2888" s="2">
        <f ca="1">IFERROR(__xludf.DUMMYFUNCTION("""COMPUTED_VALUE"""),52.144)</f>
        <v>52.143999999999998</v>
      </c>
      <c r="J2888" s="2">
        <f ca="1">IFERROR(__xludf.DUMMYFUNCTION("""COMPUTED_VALUE"""),50.523)</f>
        <v>50.523000000000003</v>
      </c>
      <c r="K2888" s="2">
        <f ca="1">IFERROR(__xludf.DUMMYFUNCTION("""COMPUTED_VALUE"""),69.123)</f>
        <v>69.123000000000005</v>
      </c>
      <c r="M2888" s="2">
        <f ca="1">IFERROR(__xludf.DUMMYFUNCTION("""COMPUTED_VALUE"""),19.992)</f>
        <v>19.992000000000001</v>
      </c>
      <c r="U2888" s="3" t="e">
        <f ca="1"/>
        <v>#NAME?</v>
      </c>
    </row>
    <row r="2889" spans="3:21" ht="12.5" x14ac:dyDescent="0.25">
      <c r="C2889" s="4">
        <f ca="1">IFERROR(__xludf.DUMMYFUNCTION("""COMPUTED_VALUE"""),43295.9986111111)</f>
        <v>43295.998611111099</v>
      </c>
      <c r="D2889" s="2">
        <f ca="1">IFERROR(__xludf.DUMMYFUNCTION("""COMPUTED_VALUE"""),68.4867)</f>
        <v>68.486699999999999</v>
      </c>
      <c r="E2889" s="2">
        <f ca="1">IFERROR(__xludf.DUMMYFUNCTION("""COMPUTED_VALUE"""),76.175)</f>
        <v>76.174999999999997</v>
      </c>
      <c r="F2889" s="2">
        <f ca="1">IFERROR(__xludf.DUMMYFUNCTION("""COMPUTED_VALUE"""),90.341)</f>
        <v>90.340999999999994</v>
      </c>
      <c r="G2889" s="2">
        <f ca="1">IFERROR(__xludf.DUMMYFUNCTION("""COMPUTED_VALUE"""),0.66729)</f>
        <v>0.66729000000000005</v>
      </c>
      <c r="H2889" s="2">
        <f ca="1">IFERROR(__xludf.DUMMYFUNCTION("""COMPUTED_VALUE"""),48.033)</f>
        <v>48.033000000000001</v>
      </c>
      <c r="I2889" s="2">
        <f ca="1">IFERROR(__xludf.DUMMYFUNCTION("""COMPUTED_VALUE"""),52.009)</f>
        <v>52.009</v>
      </c>
      <c r="J2889" s="2">
        <f ca="1">IFERROR(__xludf.DUMMYFUNCTION("""COMPUTED_VALUE"""),50.241)</f>
        <v>50.241</v>
      </c>
      <c r="K2889" s="2">
        <f ca="1">IFERROR(__xludf.DUMMYFUNCTION("""COMPUTED_VALUE"""),70.172)</f>
        <v>70.171999999999997</v>
      </c>
      <c r="M2889" s="2">
        <f ca="1">IFERROR(__xludf.DUMMYFUNCTION("""COMPUTED_VALUE"""),19.893)</f>
        <v>19.893000000000001</v>
      </c>
      <c r="U2889" s="3" t="e">
        <f ca="1"/>
        <v>#NAME?</v>
      </c>
    </row>
    <row r="2890" spans="3:21" ht="12.5" x14ac:dyDescent="0.25">
      <c r="C2890" s="4">
        <f ca="1">IFERROR(__xludf.DUMMYFUNCTION("""COMPUTED_VALUE"""),43296.9986111111)</f>
        <v>43296.998611111099</v>
      </c>
      <c r="D2890" s="2">
        <f ca="1">IFERROR(__xludf.DUMMYFUNCTION("""COMPUTED_VALUE"""),68.4867)</f>
        <v>68.486699999999999</v>
      </c>
      <c r="E2890" s="2">
        <f ca="1">IFERROR(__xludf.DUMMYFUNCTION("""COMPUTED_VALUE"""),76.385)</f>
        <v>76.385000000000005</v>
      </c>
      <c r="F2890" s="2">
        <f ca="1">IFERROR(__xludf.DUMMYFUNCTION("""COMPUTED_VALUE"""),90.915)</f>
        <v>90.915000000000006</v>
      </c>
      <c r="G2890" s="2">
        <f ca="1">IFERROR(__xludf.DUMMYFUNCTION("""COMPUTED_VALUE"""),0.66178)</f>
        <v>0.66178000000000003</v>
      </c>
      <c r="H2890" s="2">
        <f ca="1">IFERROR(__xludf.DUMMYFUNCTION("""COMPUTED_VALUE"""),47.936)</f>
        <v>47.936</v>
      </c>
      <c r="I2890" s="2">
        <f ca="1">IFERROR(__xludf.DUMMYFUNCTION("""COMPUTED_VALUE"""),52.009)</f>
        <v>52.009</v>
      </c>
      <c r="J2890" s="2">
        <f ca="1">IFERROR(__xludf.DUMMYFUNCTION("""COMPUTED_VALUE"""),50.122)</f>
        <v>50.122</v>
      </c>
      <c r="K2890" s="2">
        <f ca="1">IFERROR(__xludf.DUMMYFUNCTION("""COMPUTED_VALUE"""),69.63)</f>
        <v>69.63</v>
      </c>
      <c r="M2890" s="2">
        <f ca="1">IFERROR(__xludf.DUMMYFUNCTION("""COMPUTED_VALUE"""),19.85)</f>
        <v>19.850000000000001</v>
      </c>
      <c r="U2890" s="3" t="e">
        <f ca="1"/>
        <v>#NAME?</v>
      </c>
    </row>
    <row r="2891" spans="3:21" ht="12.5" x14ac:dyDescent="0.25">
      <c r="C2891" s="4">
        <f ca="1">IFERROR(__xludf.DUMMYFUNCTION("""COMPUTED_VALUE"""),43297.9986111111)</f>
        <v>43297.998611111099</v>
      </c>
      <c r="D2891" s="2">
        <f ca="1">IFERROR(__xludf.DUMMYFUNCTION("""COMPUTED_VALUE"""),68.72)</f>
        <v>68.72</v>
      </c>
      <c r="E2891" s="2">
        <f ca="1">IFERROR(__xludf.DUMMYFUNCTION("""COMPUTED_VALUE"""),77.343)</f>
        <v>77.343000000000004</v>
      </c>
      <c r="F2891" s="2">
        <f ca="1">IFERROR(__xludf.DUMMYFUNCTION("""COMPUTED_VALUE"""),90.595)</f>
        <v>90.594999999999999</v>
      </c>
      <c r="G2891" s="2">
        <f ca="1">IFERROR(__xludf.DUMMYFUNCTION("""COMPUTED_VALUE"""),0.65536)</f>
        <v>0.65536000000000005</v>
      </c>
      <c r="H2891" s="2">
        <f ca="1">IFERROR(__xludf.DUMMYFUNCTION("""COMPUTED_VALUE"""),47.832)</f>
        <v>47.832000000000001</v>
      </c>
      <c r="I2891" s="2">
        <f ca="1">IFERROR(__xludf.DUMMYFUNCTION("""COMPUTED_VALUE"""),52.018)</f>
        <v>52.018000000000001</v>
      </c>
      <c r="J2891" s="2">
        <f ca="1">IFERROR(__xludf.DUMMYFUNCTION("""COMPUTED_VALUE"""),50.179)</f>
        <v>50.179000000000002</v>
      </c>
      <c r="K2891" s="2">
        <f ca="1">IFERROR(__xludf.DUMMYFUNCTION("""COMPUTED_VALUE"""),69.573)</f>
        <v>69.572999999999993</v>
      </c>
      <c r="M2891" s="2">
        <f ca="1">IFERROR(__xludf.DUMMYFUNCTION("""COMPUTED_VALUE"""),19.902)</f>
        <v>19.902000000000001</v>
      </c>
      <c r="U2891" s="3" t="e">
        <f ca="1"/>
        <v>#NAME?</v>
      </c>
    </row>
    <row r="2892" spans="3:21" ht="12.5" x14ac:dyDescent="0.25">
      <c r="C2892" s="4">
        <f ca="1">IFERROR(__xludf.DUMMYFUNCTION("""COMPUTED_VALUE"""),43298.9986111111)</f>
        <v>43298.998611111099</v>
      </c>
      <c r="D2892" s="2">
        <f ca="1">IFERROR(__xludf.DUMMYFUNCTION("""COMPUTED_VALUE"""),68.356)</f>
        <v>68.355999999999995</v>
      </c>
      <c r="E2892" s="2">
        <f ca="1">IFERROR(__xludf.DUMMYFUNCTION("""COMPUTED_VALUE"""),79.551)</f>
        <v>79.551000000000002</v>
      </c>
      <c r="F2892" s="2">
        <f ca="1">IFERROR(__xludf.DUMMYFUNCTION("""COMPUTED_VALUE"""),90.363)</f>
        <v>90.363</v>
      </c>
      <c r="G2892" s="2">
        <f ca="1">IFERROR(__xludf.DUMMYFUNCTION("""COMPUTED_VALUE"""),0.65613)</f>
        <v>0.65612999999999999</v>
      </c>
      <c r="H2892" s="2">
        <f ca="1">IFERROR(__xludf.DUMMYFUNCTION("""COMPUTED_VALUE"""),47.936)</f>
        <v>47.936</v>
      </c>
      <c r="I2892" s="2">
        <f ca="1">IFERROR(__xludf.DUMMYFUNCTION("""COMPUTED_VALUE"""),52.012)</f>
        <v>52.012</v>
      </c>
      <c r="J2892" s="2">
        <f ca="1">IFERROR(__xludf.DUMMYFUNCTION("""COMPUTED_VALUE"""),50.056)</f>
        <v>50.055999999999997</v>
      </c>
      <c r="K2892" s="2">
        <f ca="1">IFERROR(__xludf.DUMMYFUNCTION("""COMPUTED_VALUE"""),69.473)</f>
        <v>69.472999999999999</v>
      </c>
      <c r="M2892" s="2">
        <f ca="1">IFERROR(__xludf.DUMMYFUNCTION("""COMPUTED_VALUE"""),19.856)</f>
        <v>19.856000000000002</v>
      </c>
      <c r="U2892" s="3" t="e">
        <f ca="1"/>
        <v>#NAME?</v>
      </c>
    </row>
    <row r="2893" spans="3:21" ht="12.5" x14ac:dyDescent="0.25">
      <c r="C2893" s="4">
        <f ca="1">IFERROR(__xludf.DUMMYFUNCTION("""COMPUTED_VALUE"""),43299.9986111111)</f>
        <v>43299.998611111099</v>
      </c>
      <c r="D2893" s="2">
        <f ca="1">IFERROR(__xludf.DUMMYFUNCTION("""COMPUTED_VALUE"""),68.6155)</f>
        <v>68.615499999999997</v>
      </c>
      <c r="E2893" s="2">
        <f ca="1">IFERROR(__xludf.DUMMYFUNCTION("""COMPUTED_VALUE"""),79.517)</f>
        <v>79.516999999999996</v>
      </c>
      <c r="F2893" s="2">
        <f ca="1">IFERROR(__xludf.DUMMYFUNCTION("""COMPUTED_VALUE"""),90.104)</f>
        <v>90.103999999999999</v>
      </c>
      <c r="G2893" s="2">
        <f ca="1">IFERROR(__xludf.DUMMYFUNCTION("""COMPUTED_VALUE"""),0.66112)</f>
        <v>0.66112000000000004</v>
      </c>
      <c r="H2893" s="2">
        <f ca="1">IFERROR(__xludf.DUMMYFUNCTION("""COMPUTED_VALUE"""),47.797)</f>
        <v>47.796999999999997</v>
      </c>
      <c r="I2893" s="2">
        <f ca="1">IFERROR(__xludf.DUMMYFUNCTION("""COMPUTED_VALUE"""),51.994)</f>
        <v>51.994</v>
      </c>
      <c r="J2893" s="2">
        <f ca="1">IFERROR(__xludf.DUMMYFUNCTION("""COMPUTED_VALUE"""),50.059)</f>
        <v>50.058999999999997</v>
      </c>
      <c r="K2893" s="2">
        <f ca="1">IFERROR(__xludf.DUMMYFUNCTION("""COMPUTED_VALUE"""),69.446)</f>
        <v>69.445999999999998</v>
      </c>
      <c r="M2893" s="2">
        <f ca="1">IFERROR(__xludf.DUMMYFUNCTION("""COMPUTED_VALUE"""),19.719)</f>
        <v>19.719000000000001</v>
      </c>
      <c r="U2893" s="3" t="e">
        <f ca="1"/>
        <v>#NAME?</v>
      </c>
    </row>
    <row r="2894" spans="3:21" ht="12.5" x14ac:dyDescent="0.25">
      <c r="C2894" s="4">
        <f ca="1">IFERROR(__xludf.DUMMYFUNCTION("""COMPUTED_VALUE"""),43300.9986111111)</f>
        <v>43300.998611111099</v>
      </c>
      <c r="D2894" s="2">
        <f ca="1">IFERROR(__xludf.DUMMYFUNCTION("""COMPUTED_VALUE"""),68.9351)</f>
        <v>68.935100000000006</v>
      </c>
      <c r="E2894" s="2">
        <f ca="1">IFERROR(__xludf.DUMMYFUNCTION("""COMPUTED_VALUE"""),79.668)</f>
        <v>79.668000000000006</v>
      </c>
      <c r="F2894" s="2">
        <f ca="1">IFERROR(__xludf.DUMMYFUNCTION("""COMPUTED_VALUE"""),89.657)</f>
        <v>89.656999999999996</v>
      </c>
      <c r="G2894" s="2">
        <f ca="1">IFERROR(__xludf.DUMMYFUNCTION("""COMPUTED_VALUE"""),0.66068)</f>
        <v>0.66068000000000005</v>
      </c>
      <c r="H2894" s="2">
        <f ca="1">IFERROR(__xludf.DUMMYFUNCTION("""COMPUTED_VALUE"""),47.843)</f>
        <v>47.843000000000004</v>
      </c>
      <c r="I2894" s="2">
        <f ca="1">IFERROR(__xludf.DUMMYFUNCTION("""COMPUTED_VALUE"""),52.426)</f>
        <v>52.426000000000002</v>
      </c>
      <c r="J2894" s="2">
        <f ca="1">IFERROR(__xludf.DUMMYFUNCTION("""COMPUTED_VALUE"""),50.534)</f>
        <v>50.533999999999999</v>
      </c>
      <c r="K2894" s="2">
        <f ca="1">IFERROR(__xludf.DUMMYFUNCTION("""COMPUTED_VALUE"""),68.954)</f>
        <v>68.953999999999994</v>
      </c>
      <c r="M2894" s="2">
        <f ca="1">IFERROR(__xludf.DUMMYFUNCTION("""COMPUTED_VALUE"""),19.7)</f>
        <v>19.7</v>
      </c>
      <c r="U2894" s="3" t="e">
        <f ca="1"/>
        <v>#NAME?</v>
      </c>
    </row>
    <row r="2895" spans="3:21" ht="12.5" x14ac:dyDescent="0.25">
      <c r="C2895" s="4">
        <f ca="1">IFERROR(__xludf.DUMMYFUNCTION("""COMPUTED_VALUE"""),43301.9986111111)</f>
        <v>43301.998611111099</v>
      </c>
      <c r="D2895" s="2">
        <f ca="1">IFERROR(__xludf.DUMMYFUNCTION("""COMPUTED_VALUE"""),68.74)</f>
        <v>68.739999999999995</v>
      </c>
      <c r="E2895" s="2">
        <f ca="1">IFERROR(__xludf.DUMMYFUNCTION("""COMPUTED_VALUE"""),78.775)</f>
        <v>78.775000000000006</v>
      </c>
      <c r="F2895" s="2">
        <f ca="1">IFERROR(__xludf.DUMMYFUNCTION("""COMPUTED_VALUE"""),90.044)</f>
        <v>90.043999999999997</v>
      </c>
      <c r="G2895" s="2">
        <f ca="1">IFERROR(__xludf.DUMMYFUNCTION("""COMPUTED_VALUE"""),0.65552)</f>
        <v>0.65551999999999999</v>
      </c>
      <c r="H2895" s="2">
        <f ca="1">IFERROR(__xludf.DUMMYFUNCTION("""COMPUTED_VALUE"""),47.91)</f>
        <v>47.91</v>
      </c>
      <c r="I2895" s="2">
        <f ca="1">IFERROR(__xludf.DUMMYFUNCTION("""COMPUTED_VALUE"""),52.675)</f>
        <v>52.674999999999997</v>
      </c>
      <c r="J2895" s="2">
        <f ca="1">IFERROR(__xludf.DUMMYFUNCTION("""COMPUTED_VALUE"""),51.073)</f>
        <v>51.073</v>
      </c>
      <c r="K2895" s="2">
        <f ca="1">IFERROR(__xludf.DUMMYFUNCTION("""COMPUTED_VALUE"""),68.814)</f>
        <v>68.813999999999993</v>
      </c>
      <c r="M2895" s="2">
        <f ca="1">IFERROR(__xludf.DUMMYFUNCTION("""COMPUTED_VALUE"""),19.783)</f>
        <v>19.783000000000001</v>
      </c>
      <c r="U2895" s="3" t="e">
        <f ca="1"/>
        <v>#NAME?</v>
      </c>
    </row>
    <row r="2896" spans="3:21" ht="12.5" x14ac:dyDescent="0.25">
      <c r="C2896" s="4">
        <f ca="1">IFERROR(__xludf.DUMMYFUNCTION("""COMPUTED_VALUE"""),43302.9986111111)</f>
        <v>43302.998611111099</v>
      </c>
      <c r="D2896" s="2">
        <f ca="1">IFERROR(__xludf.DUMMYFUNCTION("""COMPUTED_VALUE"""),68.733)</f>
        <v>68.733000000000004</v>
      </c>
      <c r="E2896" s="2">
        <f ca="1">IFERROR(__xludf.DUMMYFUNCTION("""COMPUTED_VALUE"""),79.355)</f>
        <v>79.355000000000004</v>
      </c>
      <c r="F2896" s="2">
        <f ca="1">IFERROR(__xludf.DUMMYFUNCTION("""COMPUTED_VALUE"""),89.846)</f>
        <v>89.846000000000004</v>
      </c>
      <c r="G2896" s="2">
        <f ca="1">IFERROR(__xludf.DUMMYFUNCTION("""COMPUTED_VALUE"""),0.66002)</f>
        <v>0.66002000000000005</v>
      </c>
      <c r="H2896" s="2">
        <f ca="1">IFERROR(__xludf.DUMMYFUNCTION("""COMPUTED_VALUE"""),48.076)</f>
        <v>48.076000000000001</v>
      </c>
      <c r="I2896" s="2">
        <f ca="1">IFERROR(__xludf.DUMMYFUNCTION("""COMPUTED_VALUE"""),52.583)</f>
        <v>52.582999999999998</v>
      </c>
      <c r="J2896" s="2">
        <f ca="1">IFERROR(__xludf.DUMMYFUNCTION("""COMPUTED_VALUE"""),51.384)</f>
        <v>51.384</v>
      </c>
      <c r="K2896" s="2">
        <f ca="1">IFERROR(__xludf.DUMMYFUNCTION("""COMPUTED_VALUE"""),68.949)</f>
        <v>68.948999999999998</v>
      </c>
      <c r="M2896" s="2">
        <f ca="1">IFERROR(__xludf.DUMMYFUNCTION("""COMPUTED_VALUE"""),19.729)</f>
        <v>19.728999999999999</v>
      </c>
      <c r="U2896" s="3" t="e">
        <f ca="1"/>
        <v>#NAME?</v>
      </c>
    </row>
    <row r="2897" spans="3:21" ht="12.5" x14ac:dyDescent="0.25">
      <c r="C2897" s="4">
        <f ca="1">IFERROR(__xludf.DUMMYFUNCTION("""COMPUTED_VALUE"""),43303.9986111111)</f>
        <v>43303.998611111099</v>
      </c>
      <c r="D2897" s="2">
        <f ca="1">IFERROR(__xludf.DUMMYFUNCTION("""COMPUTED_VALUE"""),68.7333)</f>
        <v>68.7333</v>
      </c>
      <c r="E2897" s="2">
        <f ca="1">IFERROR(__xludf.DUMMYFUNCTION("""COMPUTED_VALUE"""),79.871)</f>
        <v>79.870999999999995</v>
      </c>
      <c r="F2897" s="2">
        <f ca="1">IFERROR(__xludf.DUMMYFUNCTION("""COMPUTED_VALUE"""),90.03)</f>
        <v>90.03</v>
      </c>
      <c r="G2897" s="2">
        <f ca="1">IFERROR(__xludf.DUMMYFUNCTION("""COMPUTED_VALUE"""),0.65996)</f>
        <v>0.65995999999999999</v>
      </c>
      <c r="H2897" s="2">
        <f ca="1">IFERROR(__xludf.DUMMYFUNCTION("""COMPUTED_VALUE"""),48.181)</f>
        <v>48.180999999999997</v>
      </c>
      <c r="I2897" s="2">
        <f ca="1">IFERROR(__xludf.DUMMYFUNCTION("""COMPUTED_VALUE"""),52.589)</f>
        <v>52.588999999999999</v>
      </c>
      <c r="J2897" s="2">
        <f ca="1">IFERROR(__xludf.DUMMYFUNCTION("""COMPUTED_VALUE"""),51.413)</f>
        <v>51.412999999999997</v>
      </c>
      <c r="K2897" s="2">
        <f ca="1">IFERROR(__xludf.DUMMYFUNCTION("""COMPUTED_VALUE"""),69.38)</f>
        <v>69.38</v>
      </c>
      <c r="M2897" s="2">
        <f ca="1">IFERROR(__xludf.DUMMYFUNCTION("""COMPUTED_VALUE"""),19.83)</f>
        <v>19.829999999999998</v>
      </c>
      <c r="U2897" s="3" t="e">
        <f ca="1"/>
        <v>#NAME?</v>
      </c>
    </row>
    <row r="2898" spans="3:21" ht="12.5" x14ac:dyDescent="0.25">
      <c r="C2898" s="4">
        <f ca="1">IFERROR(__xludf.DUMMYFUNCTION("""COMPUTED_VALUE"""),43304.9986111111)</f>
        <v>43304.998611111099</v>
      </c>
      <c r="D2898" s="2">
        <f ca="1">IFERROR(__xludf.DUMMYFUNCTION("""COMPUTED_VALUE"""),69.2)</f>
        <v>69.2</v>
      </c>
      <c r="E2898" s="2">
        <f ca="1">IFERROR(__xludf.DUMMYFUNCTION("""COMPUTED_VALUE"""),79.741)</f>
        <v>79.741</v>
      </c>
      <c r="F2898" s="2">
        <f ca="1">IFERROR(__xludf.DUMMYFUNCTION("""COMPUTED_VALUE"""),90.017)</f>
        <v>90.016999999999996</v>
      </c>
      <c r="G2898" s="2">
        <f ca="1">IFERROR(__xludf.DUMMYFUNCTION("""COMPUTED_VALUE"""),0.65722)</f>
        <v>0.65722000000000003</v>
      </c>
      <c r="H2898" s="2">
        <f ca="1">IFERROR(__xludf.DUMMYFUNCTION("""COMPUTED_VALUE"""),48.168)</f>
        <v>48.167999999999999</v>
      </c>
      <c r="I2898" s="2">
        <f ca="1">IFERROR(__xludf.DUMMYFUNCTION("""COMPUTED_VALUE"""),52.589)</f>
        <v>52.588999999999999</v>
      </c>
      <c r="J2898" s="2">
        <f ca="1">IFERROR(__xludf.DUMMYFUNCTION("""COMPUTED_VALUE"""),50.941)</f>
        <v>50.941000000000003</v>
      </c>
      <c r="K2898" s="2">
        <f ca="1">IFERROR(__xludf.DUMMYFUNCTION("""COMPUTED_VALUE"""),69.169)</f>
        <v>69.168999999999997</v>
      </c>
      <c r="M2898" s="2">
        <f ca="1">IFERROR(__xludf.DUMMYFUNCTION("""COMPUTED_VALUE"""),19.764)</f>
        <v>19.763999999999999</v>
      </c>
      <c r="U2898" s="3" t="e">
        <f ca="1"/>
        <v>#NAME?</v>
      </c>
    </row>
    <row r="2899" spans="3:21" ht="12.5" x14ac:dyDescent="0.25">
      <c r="C2899" s="4">
        <f ca="1">IFERROR(__xludf.DUMMYFUNCTION("""COMPUTED_VALUE"""),43305.9986111111)</f>
        <v>43305.998611111099</v>
      </c>
      <c r="D2899" s="2">
        <f ca="1">IFERROR(__xludf.DUMMYFUNCTION("""COMPUTED_VALUE"""),68.81)</f>
        <v>68.81</v>
      </c>
      <c r="E2899" s="2">
        <f ca="1">IFERROR(__xludf.DUMMYFUNCTION("""COMPUTED_VALUE"""),79.338)</f>
        <v>79.337999999999994</v>
      </c>
      <c r="F2899" s="2">
        <f ca="1">IFERROR(__xludf.DUMMYFUNCTION("""COMPUTED_VALUE"""),90.008)</f>
        <v>90.007999999999996</v>
      </c>
      <c r="G2899" s="2">
        <f ca="1">IFERROR(__xludf.DUMMYFUNCTION("""COMPUTED_VALUE"""),0.66148)</f>
        <v>0.66147999999999996</v>
      </c>
      <c r="H2899" s="2">
        <f ca="1">IFERROR(__xludf.DUMMYFUNCTION("""COMPUTED_VALUE"""),48.168)</f>
        <v>48.167999999999999</v>
      </c>
      <c r="I2899" s="2">
        <f ca="1">IFERROR(__xludf.DUMMYFUNCTION("""COMPUTED_VALUE"""),52.489)</f>
        <v>52.488999999999997</v>
      </c>
      <c r="J2899" s="2">
        <f ca="1">IFERROR(__xludf.DUMMYFUNCTION("""COMPUTED_VALUE"""),51.141)</f>
        <v>51.140999999999998</v>
      </c>
      <c r="K2899" s="2">
        <f ca="1">IFERROR(__xludf.DUMMYFUNCTION("""COMPUTED_VALUE"""),68.422)</f>
        <v>68.421999999999997</v>
      </c>
      <c r="M2899" s="2">
        <f ca="1">IFERROR(__xludf.DUMMYFUNCTION("""COMPUTED_VALUE"""),19.712)</f>
        <v>19.712</v>
      </c>
      <c r="U2899" s="3" t="e">
        <f ca="1"/>
        <v>#NAME?</v>
      </c>
    </row>
    <row r="2900" spans="3:21" ht="12.5" x14ac:dyDescent="0.25">
      <c r="C2900" s="4">
        <f ca="1">IFERROR(__xludf.DUMMYFUNCTION("""COMPUTED_VALUE"""),43306.9986111111)</f>
        <v>43306.998611111099</v>
      </c>
      <c r="D2900" s="2">
        <f ca="1">IFERROR(__xludf.DUMMYFUNCTION("""COMPUTED_VALUE"""),68.84)</f>
        <v>68.84</v>
      </c>
      <c r="E2900" s="2">
        <f ca="1">IFERROR(__xludf.DUMMYFUNCTION("""COMPUTED_VALUE"""),79.701)</f>
        <v>79.700999999999993</v>
      </c>
      <c r="F2900" s="2">
        <f ca="1">IFERROR(__xludf.DUMMYFUNCTION("""COMPUTED_VALUE"""),90.757)</f>
        <v>90.757000000000005</v>
      </c>
      <c r="G2900" s="2">
        <f ca="1">IFERROR(__xludf.DUMMYFUNCTION("""COMPUTED_VALUE"""),0.65846)</f>
        <v>0.65846000000000005</v>
      </c>
      <c r="H2900" s="2">
        <f ca="1">IFERROR(__xludf.DUMMYFUNCTION("""COMPUTED_VALUE"""),48.205)</f>
        <v>48.204999999999998</v>
      </c>
      <c r="I2900" s="2">
        <f ca="1">IFERROR(__xludf.DUMMYFUNCTION("""COMPUTED_VALUE"""),52.559)</f>
        <v>52.558999999999997</v>
      </c>
      <c r="J2900" s="2">
        <f ca="1">IFERROR(__xludf.DUMMYFUNCTION("""COMPUTED_VALUE"""),51.329)</f>
        <v>51.329000000000001</v>
      </c>
      <c r="K2900" s="2">
        <f ca="1">IFERROR(__xludf.DUMMYFUNCTION("""COMPUTED_VALUE"""),69.154)</f>
        <v>69.153999999999996</v>
      </c>
      <c r="M2900" s="2">
        <f ca="1">IFERROR(__xludf.DUMMYFUNCTION("""COMPUTED_VALUE"""),19.573)</f>
        <v>19.573</v>
      </c>
      <c r="U2900" s="3" t="e">
        <f ca="1"/>
        <v>#NAME?</v>
      </c>
    </row>
    <row r="2901" spans="3:21" ht="12.5" x14ac:dyDescent="0.25">
      <c r="C2901" s="4">
        <f ca="1">IFERROR(__xludf.DUMMYFUNCTION("""COMPUTED_VALUE"""),43307.9986111111)</f>
        <v>43307.998611111099</v>
      </c>
      <c r="D2901" s="2">
        <f ca="1">IFERROR(__xludf.DUMMYFUNCTION("""COMPUTED_VALUE"""),68.74)</f>
        <v>68.739999999999995</v>
      </c>
      <c r="E2901" s="2">
        <f ca="1">IFERROR(__xludf.DUMMYFUNCTION("""COMPUTED_VALUE"""),78.831)</f>
        <v>78.831000000000003</v>
      </c>
      <c r="F2901" s="2">
        <f ca="1">IFERROR(__xludf.DUMMYFUNCTION("""COMPUTED_VALUE"""),90.403)</f>
        <v>90.403000000000006</v>
      </c>
      <c r="G2901" s="2">
        <f ca="1">IFERROR(__xludf.DUMMYFUNCTION("""COMPUTED_VALUE"""),0.65777)</f>
        <v>0.65776999999999997</v>
      </c>
      <c r="H2901" s="2">
        <f ca="1">IFERROR(__xludf.DUMMYFUNCTION("""COMPUTED_VALUE"""),48.2)</f>
        <v>48.2</v>
      </c>
      <c r="I2901" s="2">
        <f ca="1">IFERROR(__xludf.DUMMYFUNCTION("""COMPUTED_VALUE"""),52.692)</f>
        <v>52.692</v>
      </c>
      <c r="J2901" s="2">
        <f ca="1">IFERROR(__xludf.DUMMYFUNCTION("""COMPUTED_VALUE"""),51.575)</f>
        <v>51.575000000000003</v>
      </c>
      <c r="K2901" s="2">
        <f ca="1">IFERROR(__xludf.DUMMYFUNCTION("""COMPUTED_VALUE"""),69.051)</f>
        <v>69.051000000000002</v>
      </c>
      <c r="M2901" s="2">
        <f ca="1">IFERROR(__xludf.DUMMYFUNCTION("""COMPUTED_VALUE"""),19.543)</f>
        <v>19.542999999999999</v>
      </c>
      <c r="U2901" s="3" t="e">
        <f ca="1"/>
        <v>#NAME?</v>
      </c>
    </row>
    <row r="2902" spans="3:21" ht="12.5" x14ac:dyDescent="0.25">
      <c r="C2902" s="4">
        <f ca="1">IFERROR(__xludf.DUMMYFUNCTION("""COMPUTED_VALUE"""),43308.9986111111)</f>
        <v>43308.998611111099</v>
      </c>
      <c r="D2902" s="2">
        <f ca="1">IFERROR(__xludf.DUMMYFUNCTION("""COMPUTED_VALUE"""),68.61)</f>
        <v>68.61</v>
      </c>
      <c r="E2902" s="2">
        <f ca="1">IFERROR(__xludf.DUMMYFUNCTION("""COMPUTED_VALUE"""),79.106)</f>
        <v>79.105999999999995</v>
      </c>
      <c r="F2902" s="2">
        <f ca="1">IFERROR(__xludf.DUMMYFUNCTION("""COMPUTED_VALUE"""),90.83)</f>
        <v>90.83</v>
      </c>
      <c r="G2902" s="2">
        <f ca="1">IFERROR(__xludf.DUMMYFUNCTION("""COMPUTED_VALUE"""),0.65226)</f>
        <v>0.65225999999999995</v>
      </c>
      <c r="H2902" s="2">
        <f ca="1">IFERROR(__xludf.DUMMYFUNCTION("""COMPUTED_VALUE"""),48.307)</f>
        <v>48.307000000000002</v>
      </c>
      <c r="I2902" s="2">
        <f ca="1">IFERROR(__xludf.DUMMYFUNCTION("""COMPUTED_VALUE"""),52.684)</f>
        <v>52.683999999999997</v>
      </c>
      <c r="J2902" s="2">
        <f ca="1">IFERROR(__xludf.DUMMYFUNCTION("""COMPUTED_VALUE"""),51.24)</f>
        <v>51.24</v>
      </c>
      <c r="K2902" s="2">
        <f ca="1">IFERROR(__xludf.DUMMYFUNCTION("""COMPUTED_VALUE"""),69.176)</f>
        <v>69.176000000000002</v>
      </c>
      <c r="M2902" s="2">
        <f ca="1">IFERROR(__xludf.DUMMYFUNCTION("""COMPUTED_VALUE"""),19.538)</f>
        <v>19.538</v>
      </c>
      <c r="U2902" s="3" t="e">
        <f ca="1"/>
        <v>#NAME?</v>
      </c>
    </row>
    <row r="2903" spans="3:21" ht="12.5" x14ac:dyDescent="0.25">
      <c r="C2903" s="4">
        <f ca="1">IFERROR(__xludf.DUMMYFUNCTION("""COMPUTED_VALUE"""),43309.9986111111)</f>
        <v>43309.998611111099</v>
      </c>
      <c r="D2903" s="2">
        <f ca="1">IFERROR(__xludf.DUMMYFUNCTION("""COMPUTED_VALUE"""),68.61)</f>
        <v>68.61</v>
      </c>
      <c r="E2903" s="2">
        <f ca="1">IFERROR(__xludf.DUMMYFUNCTION("""COMPUTED_VALUE"""),79.325)</f>
        <v>79.325000000000003</v>
      </c>
      <c r="F2903" s="2">
        <f ca="1">IFERROR(__xludf.DUMMYFUNCTION("""COMPUTED_VALUE"""),89.954)</f>
        <v>89.953999999999994</v>
      </c>
      <c r="G2903" s="2">
        <f ca="1">IFERROR(__xludf.DUMMYFUNCTION("""COMPUTED_VALUE"""),0.6525)</f>
        <v>0.65249999999999997</v>
      </c>
      <c r="H2903" s="2">
        <f ca="1">IFERROR(__xludf.DUMMYFUNCTION("""COMPUTED_VALUE"""),48.318)</f>
        <v>48.317999999999998</v>
      </c>
      <c r="I2903" s="2">
        <f ca="1">IFERROR(__xludf.DUMMYFUNCTION("""COMPUTED_VALUE"""),52.596)</f>
        <v>52.595999999999997</v>
      </c>
      <c r="J2903" s="2">
        <f ca="1">IFERROR(__xludf.DUMMYFUNCTION("""COMPUTED_VALUE"""),51.647)</f>
        <v>51.646999999999998</v>
      </c>
      <c r="K2903" s="2">
        <f ca="1">IFERROR(__xludf.DUMMYFUNCTION("""COMPUTED_VALUE"""),69.263)</f>
        <v>69.263000000000005</v>
      </c>
      <c r="M2903" s="2">
        <f ca="1">IFERROR(__xludf.DUMMYFUNCTION("""COMPUTED_VALUE"""),19.542)</f>
        <v>19.542000000000002</v>
      </c>
      <c r="U2903" s="3" t="e">
        <f ca="1"/>
        <v>#NAME?</v>
      </c>
    </row>
    <row r="2904" spans="3:21" ht="12.5" x14ac:dyDescent="0.25">
      <c r="C2904" s="4">
        <f ca="1">IFERROR(__xludf.DUMMYFUNCTION("""COMPUTED_VALUE"""),43310.9986111111)</f>
        <v>43310.998611111099</v>
      </c>
      <c r="D2904" s="2">
        <f ca="1">IFERROR(__xludf.DUMMYFUNCTION("""COMPUTED_VALUE"""),68.615)</f>
        <v>68.614999999999995</v>
      </c>
      <c r="E2904" s="2">
        <f ca="1">IFERROR(__xludf.DUMMYFUNCTION("""COMPUTED_VALUE"""),79.15)</f>
        <v>79.150000000000006</v>
      </c>
      <c r="F2904" s="2">
        <f ca="1">IFERROR(__xludf.DUMMYFUNCTION("""COMPUTED_VALUE"""),90.396)</f>
        <v>90.396000000000001</v>
      </c>
      <c r="G2904" s="2">
        <f ca="1">IFERROR(__xludf.DUMMYFUNCTION("""COMPUTED_VALUE"""),0.65297)</f>
        <v>0.65297000000000005</v>
      </c>
      <c r="H2904" s="2">
        <f ca="1">IFERROR(__xludf.DUMMYFUNCTION("""COMPUTED_VALUE"""),48.364)</f>
        <v>48.363999999999997</v>
      </c>
      <c r="I2904" s="2">
        <f ca="1">IFERROR(__xludf.DUMMYFUNCTION("""COMPUTED_VALUE"""),52.621)</f>
        <v>52.621000000000002</v>
      </c>
      <c r="J2904" s="2">
        <f ca="1">IFERROR(__xludf.DUMMYFUNCTION("""COMPUTED_VALUE"""),51.337)</f>
        <v>51.337000000000003</v>
      </c>
      <c r="K2904" s="2">
        <f ca="1">IFERROR(__xludf.DUMMYFUNCTION("""COMPUTED_VALUE"""),69.536)</f>
        <v>69.536000000000001</v>
      </c>
      <c r="M2904" s="2">
        <f ca="1">IFERROR(__xludf.DUMMYFUNCTION("""COMPUTED_VALUE"""),19.515)</f>
        <v>19.515000000000001</v>
      </c>
      <c r="U2904" s="3" t="e">
        <f ca="1"/>
        <v>#NAME?</v>
      </c>
    </row>
    <row r="2905" spans="3:21" ht="12.5" x14ac:dyDescent="0.25">
      <c r="C2905" s="4">
        <f ca="1">IFERROR(__xludf.DUMMYFUNCTION("""COMPUTED_VALUE"""),43311.9986111111)</f>
        <v>43311.998611111099</v>
      </c>
      <c r="D2905" s="2">
        <f ca="1">IFERROR(__xludf.DUMMYFUNCTION("""COMPUTED_VALUE"""),68.685)</f>
        <v>68.685000000000002</v>
      </c>
      <c r="E2905" s="2">
        <f ca="1">IFERROR(__xludf.DUMMYFUNCTION("""COMPUTED_VALUE"""),79.644)</f>
        <v>79.644000000000005</v>
      </c>
      <c r="F2905" s="2">
        <f ca="1">IFERROR(__xludf.DUMMYFUNCTION("""COMPUTED_VALUE"""),90.396)</f>
        <v>90.396000000000001</v>
      </c>
      <c r="G2905" s="2">
        <f ca="1">IFERROR(__xludf.DUMMYFUNCTION("""COMPUTED_VALUE"""),0.65946)</f>
        <v>0.65946000000000005</v>
      </c>
      <c r="H2905" s="2">
        <f ca="1">IFERROR(__xludf.DUMMYFUNCTION("""COMPUTED_VALUE"""),48.362)</f>
        <v>48.362000000000002</v>
      </c>
      <c r="I2905" s="2">
        <f ca="1">IFERROR(__xludf.DUMMYFUNCTION("""COMPUTED_VALUE"""),52.621)</f>
        <v>52.621000000000002</v>
      </c>
      <c r="J2905" s="2">
        <f ca="1">IFERROR(__xludf.DUMMYFUNCTION("""COMPUTED_VALUE"""),51.444)</f>
        <v>51.444000000000003</v>
      </c>
      <c r="K2905" s="2">
        <f ca="1">IFERROR(__xludf.DUMMYFUNCTION("""COMPUTED_VALUE"""),69.366)</f>
        <v>69.366</v>
      </c>
      <c r="M2905" s="2">
        <f ca="1">IFERROR(__xludf.DUMMYFUNCTION("""COMPUTED_VALUE"""),19.441)</f>
        <v>19.440999999999999</v>
      </c>
      <c r="U2905" s="3" t="e">
        <f ca="1"/>
        <v>#NAME?</v>
      </c>
    </row>
    <row r="2906" spans="3:21" ht="12.5" x14ac:dyDescent="0.25">
      <c r="C2906" s="4">
        <f ca="1">IFERROR(__xludf.DUMMYFUNCTION("""COMPUTED_VALUE"""),43312.9986111111)</f>
        <v>43312.998611111099</v>
      </c>
      <c r="D2906" s="2">
        <f ca="1">IFERROR(__xludf.DUMMYFUNCTION("""COMPUTED_VALUE"""),68.4968)</f>
        <v>68.496799999999993</v>
      </c>
      <c r="E2906" s="2">
        <f ca="1">IFERROR(__xludf.DUMMYFUNCTION("""COMPUTED_VALUE"""),79.599)</f>
        <v>79.599000000000004</v>
      </c>
      <c r="F2906" s="2">
        <f ca="1">IFERROR(__xludf.DUMMYFUNCTION("""COMPUTED_VALUE"""),90.375)</f>
        <v>90.375</v>
      </c>
      <c r="G2906" s="2">
        <f ca="1">IFERROR(__xludf.DUMMYFUNCTION("""COMPUTED_VALUE"""),0.66317)</f>
        <v>0.66317000000000004</v>
      </c>
      <c r="H2906" s="2">
        <f ca="1">IFERROR(__xludf.DUMMYFUNCTION("""COMPUTED_VALUE"""),48.362)</f>
        <v>48.362000000000002</v>
      </c>
      <c r="I2906" s="2">
        <f ca="1">IFERROR(__xludf.DUMMYFUNCTION("""COMPUTED_VALUE"""),52.388)</f>
        <v>52.387999999999998</v>
      </c>
      <c r="J2906" s="2">
        <f ca="1">IFERROR(__xludf.DUMMYFUNCTION("""COMPUTED_VALUE"""),51.598)</f>
        <v>51.597999999999999</v>
      </c>
      <c r="K2906" s="2">
        <f ca="1">IFERROR(__xludf.DUMMYFUNCTION("""COMPUTED_VALUE"""),69.607)</f>
        <v>69.606999999999999</v>
      </c>
      <c r="M2906" s="2">
        <f ca="1">IFERROR(__xludf.DUMMYFUNCTION("""COMPUTED_VALUE"""),19.407)</f>
        <v>19.407</v>
      </c>
      <c r="U2906" s="3" t="e">
        <f ca="1"/>
        <v>#NAME?</v>
      </c>
    </row>
    <row r="2907" spans="3:21" ht="12.5" x14ac:dyDescent="0.25">
      <c r="C2907" s="4">
        <f ca="1">IFERROR(__xludf.DUMMYFUNCTION("""COMPUTED_VALUE"""),43313.9986111111)</f>
        <v>43313.998611111099</v>
      </c>
      <c r="D2907" s="2">
        <f ca="1">IFERROR(__xludf.DUMMYFUNCTION("""COMPUTED_VALUE"""),68.3071)</f>
        <v>68.307100000000005</v>
      </c>
      <c r="E2907" s="2">
        <f ca="1">IFERROR(__xludf.DUMMYFUNCTION("""COMPUTED_VALUE"""),79.599)</f>
        <v>79.599000000000004</v>
      </c>
      <c r="F2907" s="2">
        <f ca="1">IFERROR(__xludf.DUMMYFUNCTION("""COMPUTED_VALUE"""),90.285)</f>
        <v>90.284999999999997</v>
      </c>
      <c r="G2907" s="2">
        <f ca="1">IFERROR(__xludf.DUMMYFUNCTION("""COMPUTED_VALUE"""),0.66427)</f>
        <v>0.66427000000000003</v>
      </c>
      <c r="H2907" s="2">
        <f ca="1">IFERROR(__xludf.DUMMYFUNCTION("""COMPUTED_VALUE"""),47.921)</f>
        <v>47.920999999999999</v>
      </c>
      <c r="I2907" s="2">
        <f ca="1">IFERROR(__xludf.DUMMYFUNCTION("""COMPUTED_VALUE"""),52.533)</f>
        <v>52.533000000000001</v>
      </c>
      <c r="J2907" s="2">
        <f ca="1">IFERROR(__xludf.DUMMYFUNCTION("""COMPUTED_VALUE"""),51.577)</f>
        <v>51.576999999999998</v>
      </c>
      <c r="K2907" s="2">
        <f ca="1">IFERROR(__xludf.DUMMYFUNCTION("""COMPUTED_VALUE"""),69.748)</f>
        <v>69.748000000000005</v>
      </c>
      <c r="M2907" s="2">
        <f ca="1">IFERROR(__xludf.DUMMYFUNCTION("""COMPUTED_VALUE"""),19.24)</f>
        <v>19.239999999999998</v>
      </c>
      <c r="U2907" s="3" t="e">
        <f ca="1"/>
        <v>#NAME?</v>
      </c>
    </row>
    <row r="2908" spans="3:21" ht="12.5" x14ac:dyDescent="0.25">
      <c r="C2908" s="4">
        <f ca="1">IFERROR(__xludf.DUMMYFUNCTION("""COMPUTED_VALUE"""),43314.9986111111)</f>
        <v>43314.998611111099</v>
      </c>
      <c r="D2908" s="2">
        <f ca="1">IFERROR(__xludf.DUMMYFUNCTION("""COMPUTED_VALUE"""),68.6155)</f>
        <v>68.615499999999997</v>
      </c>
      <c r="E2908" s="2">
        <f ca="1">IFERROR(__xludf.DUMMYFUNCTION("""COMPUTED_VALUE"""),79.873)</f>
        <v>79.873000000000005</v>
      </c>
      <c r="F2908" s="2">
        <f ca="1">IFERROR(__xludf.DUMMYFUNCTION("""COMPUTED_VALUE"""),90.79)</f>
        <v>90.79</v>
      </c>
      <c r="G2908" s="2">
        <f ca="1">IFERROR(__xludf.DUMMYFUNCTION("""COMPUTED_VALUE"""),0.66189)</f>
        <v>0.66188999999999998</v>
      </c>
      <c r="H2908" s="2">
        <f ca="1">IFERROR(__xludf.DUMMYFUNCTION("""COMPUTED_VALUE"""),48.138)</f>
        <v>48.137999999999998</v>
      </c>
      <c r="I2908" s="2">
        <f ca="1">IFERROR(__xludf.DUMMYFUNCTION("""COMPUTED_VALUE"""),52.632)</f>
        <v>52.631999999999998</v>
      </c>
      <c r="J2908" s="2">
        <f ca="1">IFERROR(__xludf.DUMMYFUNCTION("""COMPUTED_VALUE"""),51.846)</f>
        <v>51.845999999999997</v>
      </c>
      <c r="K2908" s="2">
        <f ca="1">IFERROR(__xludf.DUMMYFUNCTION("""COMPUTED_VALUE"""),69.733)</f>
        <v>69.733000000000004</v>
      </c>
      <c r="M2908" s="2">
        <f ca="1">IFERROR(__xludf.DUMMYFUNCTION("""COMPUTED_VALUE"""),19.211)</f>
        <v>19.210999999999999</v>
      </c>
      <c r="U2908" s="3" t="e">
        <f ca="1"/>
        <v>#NAME?</v>
      </c>
    </row>
    <row r="2909" spans="3:21" ht="12.5" x14ac:dyDescent="0.25">
      <c r="C2909" s="4">
        <f ca="1">IFERROR(__xludf.DUMMYFUNCTION("""COMPUTED_VALUE"""),43315.9986111111)</f>
        <v>43315.998611111099</v>
      </c>
      <c r="D2909" s="2">
        <f ca="1">IFERROR(__xludf.DUMMYFUNCTION("""COMPUTED_VALUE"""),68.51)</f>
        <v>68.510000000000005</v>
      </c>
      <c r="E2909" s="2">
        <f ca="1">IFERROR(__xludf.DUMMYFUNCTION("""COMPUTED_VALUE"""),79.267)</f>
        <v>79.266999999999996</v>
      </c>
      <c r="F2909" s="2">
        <f ca="1">IFERROR(__xludf.DUMMYFUNCTION("""COMPUTED_VALUE"""),91.277)</f>
        <v>91.277000000000001</v>
      </c>
      <c r="G2909" s="2">
        <f ca="1">IFERROR(__xludf.DUMMYFUNCTION("""COMPUTED_VALUE"""),0.66144)</f>
        <v>0.66144000000000003</v>
      </c>
      <c r="H2909" s="2">
        <f ca="1">IFERROR(__xludf.DUMMYFUNCTION("""COMPUTED_VALUE"""),48.32)</f>
        <v>48.32</v>
      </c>
      <c r="I2909" s="2">
        <f ca="1">IFERROR(__xludf.DUMMYFUNCTION("""COMPUTED_VALUE"""),52.466)</f>
        <v>52.466000000000001</v>
      </c>
      <c r="J2909" s="2">
        <f ca="1">IFERROR(__xludf.DUMMYFUNCTION("""COMPUTED_VALUE"""),51.513)</f>
        <v>51.512999999999998</v>
      </c>
      <c r="K2909" s="2">
        <f ca="1">IFERROR(__xludf.DUMMYFUNCTION("""COMPUTED_VALUE"""),69.684)</f>
        <v>69.683999999999997</v>
      </c>
      <c r="M2909" s="2">
        <f ca="1">IFERROR(__xludf.DUMMYFUNCTION("""COMPUTED_VALUE"""),19.23)</f>
        <v>19.23</v>
      </c>
      <c r="U2909" s="3" t="e">
        <f ca="1"/>
        <v>#NAME?</v>
      </c>
    </row>
    <row r="2910" spans="3:21" ht="12.5" x14ac:dyDescent="0.25">
      <c r="C2910" s="4">
        <f ca="1">IFERROR(__xludf.DUMMYFUNCTION("""COMPUTED_VALUE"""),43316.9986111111)</f>
        <v>43316.998611111099</v>
      </c>
      <c r="D2910" s="2">
        <f ca="1">IFERROR(__xludf.DUMMYFUNCTION("""COMPUTED_VALUE"""),68.506)</f>
        <v>68.506</v>
      </c>
      <c r="E2910" s="2">
        <f ca="1">IFERROR(__xludf.DUMMYFUNCTION("""COMPUTED_VALUE"""),79.543)</f>
        <v>79.543000000000006</v>
      </c>
      <c r="F2910" s="2">
        <f ca="1">IFERROR(__xludf.DUMMYFUNCTION("""COMPUTED_VALUE"""),91.326)</f>
        <v>91.325999999999993</v>
      </c>
      <c r="G2910" s="2">
        <f ca="1">IFERROR(__xludf.DUMMYFUNCTION("""COMPUTED_VALUE"""),0.66099)</f>
        <v>0.66098999999999997</v>
      </c>
      <c r="H2910" s="2">
        <f ca="1">IFERROR(__xludf.DUMMYFUNCTION("""COMPUTED_VALUE"""),48.102)</f>
        <v>48.101999999999997</v>
      </c>
      <c r="I2910" s="2">
        <f ca="1">IFERROR(__xludf.DUMMYFUNCTION("""COMPUTED_VALUE"""),52.268)</f>
        <v>52.268000000000001</v>
      </c>
      <c r="J2910" s="2">
        <f ca="1">IFERROR(__xludf.DUMMYFUNCTION("""COMPUTED_VALUE"""),50.115)</f>
        <v>50.115000000000002</v>
      </c>
      <c r="K2910" s="2">
        <f ca="1">IFERROR(__xludf.DUMMYFUNCTION("""COMPUTED_VALUE"""),70.142)</f>
        <v>70.141999999999996</v>
      </c>
      <c r="M2910" s="2">
        <f ca="1">IFERROR(__xludf.DUMMYFUNCTION("""COMPUTED_VALUE"""),19.24)</f>
        <v>19.239999999999998</v>
      </c>
      <c r="U2910" s="3" t="e">
        <f ca="1"/>
        <v>#NAME?</v>
      </c>
    </row>
    <row r="2911" spans="3:21" ht="12.5" x14ac:dyDescent="0.25">
      <c r="C2911" s="4">
        <f ca="1">IFERROR(__xludf.DUMMYFUNCTION("""COMPUTED_VALUE"""),43317.9986111111)</f>
        <v>43317.998611111099</v>
      </c>
      <c r="D2911" s="2">
        <f ca="1">IFERROR(__xludf.DUMMYFUNCTION("""COMPUTED_VALUE"""),68.505)</f>
        <v>68.504999999999995</v>
      </c>
      <c r="E2911" s="2">
        <f ca="1">IFERROR(__xludf.DUMMYFUNCTION("""COMPUTED_VALUE"""),79.213)</f>
        <v>79.212999999999994</v>
      </c>
      <c r="F2911" s="2">
        <f ca="1">IFERROR(__xludf.DUMMYFUNCTION("""COMPUTED_VALUE"""),91.375)</f>
        <v>91.375</v>
      </c>
      <c r="G2911" s="2">
        <f ca="1">IFERROR(__xludf.DUMMYFUNCTION("""COMPUTED_VALUE"""),0.66519)</f>
        <v>0.66518999999999995</v>
      </c>
      <c r="H2911" s="2">
        <f ca="1">IFERROR(__xludf.DUMMYFUNCTION("""COMPUTED_VALUE"""),47.729)</f>
        <v>47.728999999999999</v>
      </c>
      <c r="I2911" s="2">
        <f ca="1">IFERROR(__xludf.DUMMYFUNCTION("""COMPUTED_VALUE"""),52.304)</f>
        <v>52.304000000000002</v>
      </c>
      <c r="J2911" s="2">
        <f ca="1">IFERROR(__xludf.DUMMYFUNCTION("""COMPUTED_VALUE"""),51.802)</f>
        <v>51.802</v>
      </c>
      <c r="K2911" s="2">
        <f ca="1">IFERROR(__xludf.DUMMYFUNCTION("""COMPUTED_VALUE"""),70.194)</f>
        <v>70.194000000000003</v>
      </c>
      <c r="M2911" s="2">
        <f ca="1">IFERROR(__xludf.DUMMYFUNCTION("""COMPUTED_VALUE"""),19.275)</f>
        <v>19.274999999999999</v>
      </c>
      <c r="U2911" s="3" t="e">
        <f ca="1"/>
        <v>#NAME?</v>
      </c>
    </row>
    <row r="2912" spans="3:21" ht="12.5" x14ac:dyDescent="0.25">
      <c r="C2912" s="4">
        <f ca="1">IFERROR(__xludf.DUMMYFUNCTION("""COMPUTED_VALUE"""),43318.9986111111)</f>
        <v>43318.998611111099</v>
      </c>
      <c r="D2912" s="2">
        <f ca="1">IFERROR(__xludf.DUMMYFUNCTION("""COMPUTED_VALUE"""),68.81)</f>
        <v>68.81</v>
      </c>
      <c r="E2912" s="2">
        <f ca="1">IFERROR(__xludf.DUMMYFUNCTION("""COMPUTED_VALUE"""),78.454)</f>
        <v>78.453999999999994</v>
      </c>
      <c r="F2912" s="2">
        <f ca="1">IFERROR(__xludf.DUMMYFUNCTION("""COMPUTED_VALUE"""),91.344)</f>
        <v>91.343999999999994</v>
      </c>
      <c r="G2912" s="2">
        <f ca="1">IFERROR(__xludf.DUMMYFUNCTION("""COMPUTED_VALUE"""),0.66287)</f>
        <v>0.66286999999999996</v>
      </c>
      <c r="H2912" s="2">
        <f ca="1">IFERROR(__xludf.DUMMYFUNCTION("""COMPUTED_VALUE"""),47.729)</f>
        <v>47.728999999999999</v>
      </c>
      <c r="I2912" s="2">
        <f ca="1">IFERROR(__xludf.DUMMYFUNCTION("""COMPUTED_VALUE"""),52.304)</f>
        <v>52.304000000000002</v>
      </c>
      <c r="J2912" s="2">
        <f ca="1">IFERROR(__xludf.DUMMYFUNCTION("""COMPUTED_VALUE"""),51.454)</f>
        <v>51.454000000000001</v>
      </c>
      <c r="K2912" s="2">
        <f ca="1">IFERROR(__xludf.DUMMYFUNCTION("""COMPUTED_VALUE"""),69.86)</f>
        <v>69.86</v>
      </c>
      <c r="M2912" s="2">
        <f ca="1">IFERROR(__xludf.DUMMYFUNCTION("""COMPUTED_VALUE"""),19.296)</f>
        <v>19.295999999999999</v>
      </c>
      <c r="U2912" s="3" t="e">
        <f ca="1"/>
        <v>#NAME?</v>
      </c>
    </row>
    <row r="2913" spans="3:21" ht="12.5" x14ac:dyDescent="0.25">
      <c r="C2913" s="4">
        <f ca="1">IFERROR(__xludf.DUMMYFUNCTION("""COMPUTED_VALUE"""),43319.9986111111)</f>
        <v>43319.998611111099</v>
      </c>
      <c r="D2913" s="2">
        <f ca="1">IFERROR(__xludf.DUMMYFUNCTION("""COMPUTED_VALUE"""),68.596)</f>
        <v>68.596000000000004</v>
      </c>
      <c r="E2913" s="2">
        <f ca="1">IFERROR(__xludf.DUMMYFUNCTION("""COMPUTED_VALUE"""),78.83)</f>
        <v>78.83</v>
      </c>
      <c r="F2913" s="2">
        <f ca="1">IFERROR(__xludf.DUMMYFUNCTION("""COMPUTED_VALUE"""),91.43)</f>
        <v>91.43</v>
      </c>
      <c r="G2913" s="2">
        <f ca="1">IFERROR(__xludf.DUMMYFUNCTION("""COMPUTED_VALUE"""),0.65739)</f>
        <v>0.65739000000000003</v>
      </c>
      <c r="H2913" s="2">
        <f ca="1">IFERROR(__xludf.DUMMYFUNCTION("""COMPUTED_VALUE"""),47.729)</f>
        <v>47.728999999999999</v>
      </c>
      <c r="I2913" s="2">
        <f ca="1">IFERROR(__xludf.DUMMYFUNCTION("""COMPUTED_VALUE"""),52.274)</f>
        <v>52.274000000000001</v>
      </c>
      <c r="J2913" s="2">
        <f ca="1">IFERROR(__xludf.DUMMYFUNCTION("""COMPUTED_VALUE"""),51.681)</f>
        <v>51.680999999999997</v>
      </c>
      <c r="K2913" s="2">
        <f ca="1">IFERROR(__xludf.DUMMYFUNCTION("""COMPUTED_VALUE"""),69.662)</f>
        <v>69.662000000000006</v>
      </c>
      <c r="M2913" s="2">
        <f ca="1">IFERROR(__xludf.DUMMYFUNCTION("""COMPUTED_VALUE"""),19.226)</f>
        <v>19.225999999999999</v>
      </c>
      <c r="U2913" s="3" t="e">
        <f ca="1"/>
        <v>#NAME?</v>
      </c>
    </row>
    <row r="2914" spans="3:21" ht="12.5" x14ac:dyDescent="0.25">
      <c r="C2914" s="4">
        <f ca="1">IFERROR(__xludf.DUMMYFUNCTION("""COMPUTED_VALUE"""),43320.9986111111)</f>
        <v>43320.998611111099</v>
      </c>
      <c r="D2914" s="2">
        <f ca="1">IFERROR(__xludf.DUMMYFUNCTION("""COMPUTED_VALUE"""),68.455)</f>
        <v>68.454999999999998</v>
      </c>
      <c r="E2914" s="2">
        <f ca="1">IFERROR(__xludf.DUMMYFUNCTION("""COMPUTED_VALUE"""),79.109)</f>
        <v>79.108999999999995</v>
      </c>
      <c r="F2914" s="2">
        <f ca="1">IFERROR(__xludf.DUMMYFUNCTION("""COMPUTED_VALUE"""),90.979)</f>
        <v>90.978999999999999</v>
      </c>
      <c r="G2914" s="2">
        <f ca="1">IFERROR(__xludf.DUMMYFUNCTION("""COMPUTED_VALUE"""),0.65392)</f>
        <v>0.65391999999999995</v>
      </c>
      <c r="H2914" s="2">
        <f ca="1">IFERROR(__xludf.DUMMYFUNCTION("""COMPUTED_VALUE"""),47.754)</f>
        <v>47.753999999999998</v>
      </c>
      <c r="I2914" s="2">
        <f ca="1">IFERROR(__xludf.DUMMYFUNCTION("""COMPUTED_VALUE"""),52.176)</f>
        <v>52.176000000000002</v>
      </c>
      <c r="J2914" s="2">
        <f ca="1">IFERROR(__xludf.DUMMYFUNCTION("""COMPUTED_VALUE"""),51.603)</f>
        <v>51.603000000000002</v>
      </c>
      <c r="K2914" s="2">
        <f ca="1">IFERROR(__xludf.DUMMYFUNCTION("""COMPUTED_VALUE"""),69.941)</f>
        <v>69.941000000000003</v>
      </c>
      <c r="M2914" s="2">
        <f ca="1">IFERROR(__xludf.DUMMYFUNCTION("""COMPUTED_VALUE"""),18.992)</f>
        <v>18.992000000000001</v>
      </c>
      <c r="U2914" s="3" t="e">
        <f ca="1"/>
        <v>#NAME?</v>
      </c>
    </row>
    <row r="2915" spans="3:21" ht="12.5" x14ac:dyDescent="0.25">
      <c r="C2915" s="4">
        <f ca="1">IFERROR(__xludf.DUMMYFUNCTION("""COMPUTED_VALUE"""),43321.9986111111)</f>
        <v>43321.998611111099</v>
      </c>
      <c r="D2915" s="2">
        <f ca="1">IFERROR(__xludf.DUMMYFUNCTION("""COMPUTED_VALUE"""),69.1)</f>
        <v>69.099999999999994</v>
      </c>
      <c r="E2915" s="2">
        <f ca="1">IFERROR(__xludf.DUMMYFUNCTION("""COMPUTED_VALUE"""),79.334)</f>
        <v>79.334000000000003</v>
      </c>
      <c r="F2915" s="2">
        <f ca="1">IFERROR(__xludf.DUMMYFUNCTION("""COMPUTED_VALUE"""),91.353)</f>
        <v>91.352999999999994</v>
      </c>
      <c r="G2915" s="2">
        <f ca="1">IFERROR(__xludf.DUMMYFUNCTION("""COMPUTED_VALUE"""),0.6539976)</f>
        <v>0.65399759999999996</v>
      </c>
      <c r="H2915" s="2">
        <f ca="1">IFERROR(__xludf.DUMMYFUNCTION("""COMPUTED_VALUE"""),47.434)</f>
        <v>47.433999999999997</v>
      </c>
      <c r="I2915" s="2">
        <f ca="1">IFERROR(__xludf.DUMMYFUNCTION("""COMPUTED_VALUE"""),52.279)</f>
        <v>52.279000000000003</v>
      </c>
      <c r="J2915" s="2">
        <f ca="1">IFERROR(__xludf.DUMMYFUNCTION("""COMPUTED_VALUE"""),51.496)</f>
        <v>51.496000000000002</v>
      </c>
      <c r="K2915" s="2">
        <f ca="1">IFERROR(__xludf.DUMMYFUNCTION("""COMPUTED_VALUE"""),69.833)</f>
        <v>69.832999999999998</v>
      </c>
      <c r="M2915" s="2">
        <f ca="1">IFERROR(__xludf.DUMMYFUNCTION("""COMPUTED_VALUE"""),18.971)</f>
        <v>18.971</v>
      </c>
      <c r="U2915" s="3" t="e">
        <f ca="1"/>
        <v>#NAME?</v>
      </c>
    </row>
    <row r="2916" spans="3:21" ht="12.5" x14ac:dyDescent="0.25">
      <c r="C2916" s="4">
        <f ca="1">IFERROR(__xludf.DUMMYFUNCTION("""COMPUTED_VALUE"""),43322.9986111111)</f>
        <v>43322.998611111099</v>
      </c>
      <c r="D2916" s="2">
        <f ca="1">IFERROR(__xludf.DUMMYFUNCTION("""COMPUTED_VALUE"""),69.08)</f>
        <v>69.08</v>
      </c>
      <c r="E2916" s="2">
        <f ca="1">IFERROR(__xludf.DUMMYFUNCTION("""COMPUTED_VALUE"""),79.284)</f>
        <v>79.284000000000006</v>
      </c>
      <c r="F2916" s="2">
        <f ca="1">IFERROR(__xludf.DUMMYFUNCTION("""COMPUTED_VALUE"""),90.743)</f>
        <v>90.742999999999995</v>
      </c>
      <c r="G2916" s="2">
        <f ca="1">IFERROR(__xludf.DUMMYFUNCTION("""COMPUTED_VALUE"""),0.6565391)</f>
        <v>0.65653910000000004</v>
      </c>
      <c r="H2916" s="2">
        <f ca="1">IFERROR(__xludf.DUMMYFUNCTION("""COMPUTED_VALUE"""),47.568)</f>
        <v>47.567999999999998</v>
      </c>
      <c r="I2916" s="2">
        <f ca="1">IFERROR(__xludf.DUMMYFUNCTION("""COMPUTED_VALUE"""),52.327)</f>
        <v>52.326999999999998</v>
      </c>
      <c r="J2916" s="2">
        <f ca="1">IFERROR(__xludf.DUMMYFUNCTION("""COMPUTED_VALUE"""),51.661)</f>
        <v>51.661000000000001</v>
      </c>
      <c r="K2916" s="2">
        <f ca="1">IFERROR(__xludf.DUMMYFUNCTION("""COMPUTED_VALUE"""),69.833)</f>
        <v>69.832999999999998</v>
      </c>
      <c r="M2916" s="2">
        <f ca="1">IFERROR(__xludf.DUMMYFUNCTION("""COMPUTED_VALUE"""),18.957)</f>
        <v>18.957000000000001</v>
      </c>
      <c r="U2916" s="3" t="e">
        <f ca="1"/>
        <v>#NAME?</v>
      </c>
    </row>
    <row r="2917" spans="3:21" ht="12.5" x14ac:dyDescent="0.25">
      <c r="C2917" s="4">
        <f ca="1">IFERROR(__xludf.DUMMYFUNCTION("""COMPUTED_VALUE"""),43323.9986111111)</f>
        <v>43323.998611111099</v>
      </c>
      <c r="D2917" s="2">
        <f ca="1">IFERROR(__xludf.DUMMYFUNCTION("""COMPUTED_VALUE"""),69.08)</f>
        <v>69.08</v>
      </c>
      <c r="E2917" s="2">
        <f ca="1">IFERROR(__xludf.DUMMYFUNCTION("""COMPUTED_VALUE"""),78.937)</f>
        <v>78.936999999999998</v>
      </c>
      <c r="F2917" s="2">
        <f ca="1">IFERROR(__xludf.DUMMYFUNCTION("""COMPUTED_VALUE"""),90.315)</f>
        <v>90.314999999999998</v>
      </c>
      <c r="G2917" s="2">
        <f ca="1">IFERROR(__xludf.DUMMYFUNCTION("""COMPUTED_VALUE"""),0.6563757)</f>
        <v>0.65637570000000001</v>
      </c>
      <c r="H2917" s="2">
        <f ca="1">IFERROR(__xludf.DUMMYFUNCTION("""COMPUTED_VALUE"""),47.679)</f>
        <v>47.679000000000002</v>
      </c>
      <c r="I2917" s="2">
        <f ca="1">IFERROR(__xludf.DUMMYFUNCTION("""COMPUTED_VALUE"""),52.574)</f>
        <v>52.573999999999998</v>
      </c>
      <c r="J2917" s="2">
        <f ca="1">IFERROR(__xludf.DUMMYFUNCTION("""COMPUTED_VALUE"""),51.858)</f>
        <v>51.857999999999997</v>
      </c>
      <c r="K2917" s="2">
        <f ca="1">IFERROR(__xludf.DUMMYFUNCTION("""COMPUTED_VALUE"""),69.843)</f>
        <v>69.843000000000004</v>
      </c>
      <c r="M2917" s="2">
        <f ca="1">IFERROR(__xludf.DUMMYFUNCTION("""COMPUTED_VALUE"""),18.994)</f>
        <v>18.994</v>
      </c>
      <c r="U2917" s="3" t="e">
        <f ca="1"/>
        <v>#NAME?</v>
      </c>
    </row>
    <row r="2918" spans="3:21" ht="12.5" x14ac:dyDescent="0.25">
      <c r="C2918" s="4">
        <f ca="1">IFERROR(__xludf.DUMMYFUNCTION("""COMPUTED_VALUE"""),43324.9986111111)</f>
        <v>43324.998611111099</v>
      </c>
      <c r="D2918" s="2">
        <f ca="1">IFERROR(__xludf.DUMMYFUNCTION("""COMPUTED_VALUE"""),69.085)</f>
        <v>69.084999999999994</v>
      </c>
      <c r="E2918" s="2">
        <f ca="1">IFERROR(__xludf.DUMMYFUNCTION("""COMPUTED_VALUE"""),77.976)</f>
        <v>77.975999999999999</v>
      </c>
      <c r="F2918" s="2">
        <f ca="1">IFERROR(__xludf.DUMMYFUNCTION("""COMPUTED_VALUE"""),90.668)</f>
        <v>90.668000000000006</v>
      </c>
      <c r="G2918" s="2">
        <f ca="1">IFERROR(__xludf.DUMMYFUNCTION("""COMPUTED_VALUE"""),0.6559678)</f>
        <v>0.65596779999999999</v>
      </c>
      <c r="H2918" s="2">
        <f ca="1">IFERROR(__xludf.DUMMYFUNCTION("""COMPUTED_VALUE"""),48.095)</f>
        <v>48.094999999999999</v>
      </c>
      <c r="I2918" s="2">
        <f ca="1">IFERROR(__xludf.DUMMYFUNCTION("""COMPUTED_VALUE"""),52.572)</f>
        <v>52.572000000000003</v>
      </c>
      <c r="J2918" s="2">
        <f ca="1">IFERROR(__xludf.DUMMYFUNCTION("""COMPUTED_VALUE"""),51.94)</f>
        <v>51.94</v>
      </c>
      <c r="K2918" s="2">
        <f ca="1">IFERROR(__xludf.DUMMYFUNCTION("""COMPUTED_VALUE"""),69.486)</f>
        <v>69.486000000000004</v>
      </c>
      <c r="M2918" s="2">
        <f ca="1">IFERROR(__xludf.DUMMYFUNCTION("""COMPUTED_VALUE"""),19.172)</f>
        <v>19.172000000000001</v>
      </c>
      <c r="U2918" s="3" t="e">
        <f ca="1"/>
        <v>#NAME?</v>
      </c>
    </row>
    <row r="2919" spans="3:21" ht="12.5" x14ac:dyDescent="0.25">
      <c r="C2919" s="4">
        <f ca="1">IFERROR(__xludf.DUMMYFUNCTION("""COMPUTED_VALUE"""),43325.9986111111)</f>
        <v>43325.998611111099</v>
      </c>
      <c r="D2919" s="2">
        <f ca="1">IFERROR(__xludf.DUMMYFUNCTION("""COMPUTED_VALUE"""),69.9491)</f>
        <v>69.949100000000001</v>
      </c>
      <c r="E2919" s="2">
        <f ca="1">IFERROR(__xludf.DUMMYFUNCTION("""COMPUTED_VALUE"""),79.219)</f>
        <v>79.218999999999994</v>
      </c>
      <c r="F2919" s="2">
        <f ca="1">IFERROR(__xludf.DUMMYFUNCTION("""COMPUTED_VALUE"""),90.608)</f>
        <v>90.608000000000004</v>
      </c>
      <c r="G2919" s="2">
        <f ca="1">IFERROR(__xludf.DUMMYFUNCTION("""COMPUTED_VALUE"""),0.6544127)</f>
        <v>0.65441269999999996</v>
      </c>
      <c r="H2919" s="2">
        <f ca="1">IFERROR(__xludf.DUMMYFUNCTION("""COMPUTED_VALUE"""),48.098)</f>
        <v>48.097999999999999</v>
      </c>
      <c r="I2919" s="2">
        <f ca="1">IFERROR(__xludf.DUMMYFUNCTION("""COMPUTED_VALUE"""),52.572)</f>
        <v>52.572000000000003</v>
      </c>
      <c r="J2919" s="2">
        <f ca="1">IFERROR(__xludf.DUMMYFUNCTION("""COMPUTED_VALUE"""),51.889)</f>
        <v>51.889000000000003</v>
      </c>
      <c r="K2919" s="2">
        <f ca="1">IFERROR(__xludf.DUMMYFUNCTION("""COMPUTED_VALUE"""),70.076)</f>
        <v>70.075999999999993</v>
      </c>
      <c r="M2919" s="2">
        <f ca="1">IFERROR(__xludf.DUMMYFUNCTION("""COMPUTED_VALUE"""),19.196)</f>
        <v>19.196000000000002</v>
      </c>
      <c r="U2919" s="3" t="e">
        <f ca="1"/>
        <v>#NAME?</v>
      </c>
    </row>
    <row r="2920" spans="3:21" ht="12.5" x14ac:dyDescent="0.25">
      <c r="C2920" s="4">
        <f ca="1">IFERROR(__xludf.DUMMYFUNCTION("""COMPUTED_VALUE"""),43326.9986111111)</f>
        <v>43326.998611111099</v>
      </c>
      <c r="D2920" s="2">
        <f ca="1">IFERROR(__xludf.DUMMYFUNCTION("""COMPUTED_VALUE"""),69.95)</f>
        <v>69.95</v>
      </c>
      <c r="E2920" s="2">
        <f ca="1">IFERROR(__xludf.DUMMYFUNCTION("""COMPUTED_VALUE"""),79.338)</f>
        <v>79.337999999999994</v>
      </c>
      <c r="F2920" s="2">
        <f ca="1">IFERROR(__xludf.DUMMYFUNCTION("""COMPUTED_VALUE"""),90.591)</f>
        <v>90.590999999999994</v>
      </c>
      <c r="G2920" s="2">
        <f ca="1">IFERROR(__xludf.DUMMYFUNCTION("""COMPUTED_VALUE"""),0.6548494)</f>
        <v>0.65484940000000003</v>
      </c>
      <c r="H2920" s="2">
        <f ca="1">IFERROR(__xludf.DUMMYFUNCTION("""COMPUTED_VALUE"""),48.098)</f>
        <v>48.097999999999999</v>
      </c>
      <c r="I2920" s="2">
        <f ca="1">IFERROR(__xludf.DUMMYFUNCTION("""COMPUTED_VALUE"""),52.478)</f>
        <v>52.478000000000002</v>
      </c>
      <c r="J2920" s="2">
        <f ca="1">IFERROR(__xludf.DUMMYFUNCTION("""COMPUTED_VALUE"""),51.809)</f>
        <v>51.808999999999997</v>
      </c>
      <c r="K2920" s="2">
        <f ca="1">IFERROR(__xludf.DUMMYFUNCTION("""COMPUTED_VALUE"""),70.784)</f>
        <v>70.784000000000006</v>
      </c>
      <c r="M2920" s="2">
        <f ca="1">IFERROR(__xludf.DUMMYFUNCTION("""COMPUTED_VALUE"""),19.292)</f>
        <v>19.292000000000002</v>
      </c>
      <c r="U2920" s="3" t="e">
        <f ca="1"/>
        <v>#NAME?</v>
      </c>
    </row>
    <row r="2921" spans="3:21" ht="12.5" x14ac:dyDescent="0.25">
      <c r="C2921" s="4">
        <f ca="1">IFERROR(__xludf.DUMMYFUNCTION("""COMPUTED_VALUE"""),43327.9986111111)</f>
        <v>43327.998611111099</v>
      </c>
      <c r="D2921" s="2">
        <f ca="1">IFERROR(__xludf.DUMMYFUNCTION("""COMPUTED_VALUE"""),70.66)</f>
        <v>70.66</v>
      </c>
      <c r="E2921" s="2">
        <f ca="1">IFERROR(__xludf.DUMMYFUNCTION("""COMPUTED_VALUE"""),78.74)</f>
        <v>78.739999999999995</v>
      </c>
      <c r="F2921" s="2">
        <f ca="1">IFERROR(__xludf.DUMMYFUNCTION("""COMPUTED_VALUE"""),90.949)</f>
        <v>90.948999999999998</v>
      </c>
      <c r="G2921" s="2">
        <f ca="1">IFERROR(__xludf.DUMMYFUNCTION("""COMPUTED_VALUE"""),0.6522836)</f>
        <v>0.65228359999999996</v>
      </c>
      <c r="H2921" s="2">
        <f ca="1">IFERROR(__xludf.DUMMYFUNCTION("""COMPUTED_VALUE"""),48.2)</f>
        <v>48.2</v>
      </c>
      <c r="I2921" s="2">
        <f ca="1">IFERROR(__xludf.DUMMYFUNCTION("""COMPUTED_VALUE"""),52.434)</f>
        <v>52.433999999999997</v>
      </c>
      <c r="J2921" s="2">
        <f ca="1">IFERROR(__xludf.DUMMYFUNCTION("""COMPUTED_VALUE"""),50.71)</f>
        <v>50.71</v>
      </c>
      <c r="K2921" s="2">
        <f ca="1">IFERROR(__xludf.DUMMYFUNCTION("""COMPUTED_VALUE"""),71.191)</f>
        <v>71.191000000000003</v>
      </c>
      <c r="M2921" s="2">
        <f ca="1">IFERROR(__xludf.DUMMYFUNCTION("""COMPUTED_VALUE"""),19.263)</f>
        <v>19.263000000000002</v>
      </c>
      <c r="U2921" s="3" t="e">
        <f ca="1"/>
        <v>#NAME?</v>
      </c>
    </row>
    <row r="2922" spans="3:21" ht="12.5" x14ac:dyDescent="0.25">
      <c r="C2922" s="4">
        <f ca="1">IFERROR(__xludf.DUMMYFUNCTION("""COMPUTED_VALUE"""),43328.9986111111)</f>
        <v>43328.998611111099</v>
      </c>
      <c r="D2922" s="2">
        <f ca="1">IFERROR(__xludf.DUMMYFUNCTION("""COMPUTED_VALUE"""),70.005)</f>
        <v>70.004999999999995</v>
      </c>
      <c r="E2922" s="2">
        <f ca="1">IFERROR(__xludf.DUMMYFUNCTION("""COMPUTED_VALUE"""),78.383)</f>
        <v>78.382999999999996</v>
      </c>
      <c r="F2922" s="2">
        <f ca="1">IFERROR(__xludf.DUMMYFUNCTION("""COMPUTED_VALUE"""),89.577)</f>
        <v>89.576999999999998</v>
      </c>
      <c r="G2922" s="2">
        <f ca="1">IFERROR(__xludf.DUMMYFUNCTION("""COMPUTED_VALUE"""),0.6520806)</f>
        <v>0.65208060000000001</v>
      </c>
      <c r="H2922" s="2">
        <f ca="1">IFERROR(__xludf.DUMMYFUNCTION("""COMPUTED_VALUE"""),48.144)</f>
        <v>48.143999999999998</v>
      </c>
      <c r="I2922" s="2">
        <f ca="1">IFERROR(__xludf.DUMMYFUNCTION("""COMPUTED_VALUE"""),52.69)</f>
        <v>52.69</v>
      </c>
      <c r="J2922" s="2">
        <f ca="1">IFERROR(__xludf.DUMMYFUNCTION("""COMPUTED_VALUE"""),51.947)</f>
        <v>51.947000000000003</v>
      </c>
      <c r="K2922" s="2">
        <f ca="1">IFERROR(__xludf.DUMMYFUNCTION("""COMPUTED_VALUE"""),71.175)</f>
        <v>71.174999999999997</v>
      </c>
      <c r="M2922" s="2">
        <f ca="1">IFERROR(__xludf.DUMMYFUNCTION("""COMPUTED_VALUE"""),19.439)</f>
        <v>19.439</v>
      </c>
      <c r="U2922" s="3" t="e">
        <f ca="1"/>
        <v>#NAME?</v>
      </c>
    </row>
    <row r="2923" spans="3:21" ht="12.5" x14ac:dyDescent="0.25">
      <c r="C2923" s="4">
        <f ca="1">IFERROR(__xludf.DUMMYFUNCTION("""COMPUTED_VALUE"""),43329.9986111111)</f>
        <v>43329.998611111099</v>
      </c>
      <c r="D2923" s="2">
        <f ca="1">IFERROR(__xludf.DUMMYFUNCTION("""COMPUTED_VALUE"""),69.78)</f>
        <v>69.78</v>
      </c>
      <c r="E2923" s="2">
        <f ca="1">IFERROR(__xludf.DUMMYFUNCTION("""COMPUTED_VALUE"""),78.536)</f>
        <v>78.536000000000001</v>
      </c>
      <c r="F2923" s="2">
        <f ca="1">IFERROR(__xludf.DUMMYFUNCTION("""COMPUTED_VALUE"""),89.705)</f>
        <v>89.704999999999998</v>
      </c>
      <c r="G2923" s="2">
        <f ca="1">IFERROR(__xludf.DUMMYFUNCTION("""COMPUTED_VALUE"""),0.6503334)</f>
        <v>0.65033339999999995</v>
      </c>
      <c r="H2923" s="2">
        <f ca="1">IFERROR(__xludf.DUMMYFUNCTION("""COMPUTED_VALUE"""),48.221)</f>
        <v>48.220999999999997</v>
      </c>
      <c r="I2923" s="2">
        <f ca="1">IFERROR(__xludf.DUMMYFUNCTION("""COMPUTED_VALUE"""),52.759)</f>
        <v>52.759</v>
      </c>
      <c r="J2923" s="2">
        <f ca="1">IFERROR(__xludf.DUMMYFUNCTION("""COMPUTED_VALUE"""),52.034)</f>
        <v>52.033999999999999</v>
      </c>
      <c r="K2923" s="2">
        <f ca="1">IFERROR(__xludf.DUMMYFUNCTION("""COMPUTED_VALUE"""),71.042)</f>
        <v>71.042000000000002</v>
      </c>
      <c r="M2923" s="2">
        <f ca="1">IFERROR(__xludf.DUMMYFUNCTION("""COMPUTED_VALUE"""),19.431)</f>
        <v>19.431000000000001</v>
      </c>
      <c r="U2923" s="3" t="e">
        <f ca="1"/>
        <v>#NAME?</v>
      </c>
    </row>
    <row r="2924" spans="3:21" ht="12.5" x14ac:dyDescent="0.25">
      <c r="C2924" s="4">
        <f ca="1">IFERROR(__xludf.DUMMYFUNCTION("""COMPUTED_VALUE"""),43330.9986111111)</f>
        <v>43330.998611111099</v>
      </c>
      <c r="D2924" s="2">
        <f ca="1">IFERROR(__xludf.DUMMYFUNCTION("""COMPUTED_VALUE"""),69.78)</f>
        <v>69.78</v>
      </c>
      <c r="E2924" s="2">
        <f ca="1">IFERROR(__xludf.DUMMYFUNCTION("""COMPUTED_VALUE"""),78.68)</f>
        <v>78.680000000000007</v>
      </c>
      <c r="F2924" s="2">
        <f ca="1">IFERROR(__xludf.DUMMYFUNCTION("""COMPUTED_VALUE"""),89.744)</f>
        <v>89.744</v>
      </c>
      <c r="G2924" s="2">
        <f ca="1">IFERROR(__xludf.DUMMYFUNCTION("""COMPUTED_VALUE"""),0.6528121)</f>
        <v>0.65281210000000001</v>
      </c>
      <c r="H2924" s="2">
        <f ca="1">IFERROR(__xludf.DUMMYFUNCTION("""COMPUTED_VALUE"""),48.608)</f>
        <v>48.607999999999997</v>
      </c>
      <c r="I2924" s="2">
        <f ca="1">IFERROR(__xludf.DUMMYFUNCTION("""COMPUTED_VALUE"""),52.675)</f>
        <v>52.674999999999997</v>
      </c>
      <c r="J2924" s="2">
        <f ca="1">IFERROR(__xludf.DUMMYFUNCTION("""COMPUTED_VALUE"""),51.89)</f>
        <v>51.89</v>
      </c>
      <c r="K2924" s="2">
        <f ca="1">IFERROR(__xludf.DUMMYFUNCTION("""COMPUTED_VALUE"""),70.737)</f>
        <v>70.736999999999995</v>
      </c>
      <c r="M2924" s="2">
        <f ca="1">IFERROR(__xludf.DUMMYFUNCTION("""COMPUTED_VALUE"""),19.732)</f>
        <v>19.731999999999999</v>
      </c>
      <c r="U2924" s="3" t="e">
        <f ca="1"/>
        <v>#NAME?</v>
      </c>
    </row>
    <row r="2925" spans="3:21" ht="12.5" x14ac:dyDescent="0.25">
      <c r="C2925" s="4">
        <f ca="1">IFERROR(__xludf.DUMMYFUNCTION("""COMPUTED_VALUE"""),43331.9986111111)</f>
        <v>43331.998611111099</v>
      </c>
      <c r="D2925" s="2">
        <f ca="1">IFERROR(__xludf.DUMMYFUNCTION("""COMPUTED_VALUE"""),69.785)</f>
        <v>69.784999999999997</v>
      </c>
      <c r="E2925" s="2">
        <f ca="1">IFERROR(__xludf.DUMMYFUNCTION("""COMPUTED_VALUE"""),79.088)</f>
        <v>79.087999999999994</v>
      </c>
      <c r="F2925" s="2">
        <f ca="1">IFERROR(__xludf.DUMMYFUNCTION("""COMPUTED_VALUE"""),90.265)</f>
        <v>90.265000000000001</v>
      </c>
      <c r="G2925" s="2">
        <f ca="1">IFERROR(__xludf.DUMMYFUNCTION("""COMPUTED_VALUE"""),0.6509633)</f>
        <v>0.65096330000000002</v>
      </c>
      <c r="H2925" s="2">
        <f ca="1">IFERROR(__xludf.DUMMYFUNCTION("""COMPUTED_VALUE"""),48.444)</f>
        <v>48.444000000000003</v>
      </c>
      <c r="I2925" s="2">
        <f ca="1">IFERROR(__xludf.DUMMYFUNCTION("""COMPUTED_VALUE"""),52.675)</f>
        <v>52.674999999999997</v>
      </c>
      <c r="J2925" s="2">
        <f ca="1">IFERROR(__xludf.DUMMYFUNCTION("""COMPUTED_VALUE"""),51.542)</f>
        <v>51.542000000000002</v>
      </c>
      <c r="K2925" s="2">
        <f ca="1">IFERROR(__xludf.DUMMYFUNCTION("""COMPUTED_VALUE"""),70.639)</f>
        <v>70.638999999999996</v>
      </c>
      <c r="M2925" s="2">
        <f ca="1">IFERROR(__xludf.DUMMYFUNCTION("""COMPUTED_VALUE"""),19.675)</f>
        <v>19.675000000000001</v>
      </c>
      <c r="U2925" s="3" t="e">
        <f ca="1"/>
        <v>#NAME?</v>
      </c>
    </row>
    <row r="2926" spans="3:21" ht="12.5" x14ac:dyDescent="0.25">
      <c r="C2926" s="4">
        <f ca="1">IFERROR(__xludf.DUMMYFUNCTION("""COMPUTED_VALUE"""),43332.9986111111)</f>
        <v>43332.998611111099</v>
      </c>
      <c r="D2926" s="2">
        <f ca="1">IFERROR(__xludf.DUMMYFUNCTION("""COMPUTED_VALUE"""),69.74)</f>
        <v>69.739999999999995</v>
      </c>
      <c r="E2926" s="2">
        <f ca="1">IFERROR(__xludf.DUMMYFUNCTION("""COMPUTED_VALUE"""),78.389)</f>
        <v>78.388999999999996</v>
      </c>
      <c r="F2926" s="2">
        <f ca="1">IFERROR(__xludf.DUMMYFUNCTION("""COMPUTED_VALUE"""),90.312)</f>
        <v>90.311999999999998</v>
      </c>
      <c r="G2926" s="2">
        <f ca="1">IFERROR(__xludf.DUMMYFUNCTION("""COMPUTED_VALUE"""),0.6485289)</f>
        <v>0.64852889999999996</v>
      </c>
      <c r="H2926" s="2">
        <f ca="1">IFERROR(__xludf.DUMMYFUNCTION("""COMPUTED_VALUE"""),48.465)</f>
        <v>48.465000000000003</v>
      </c>
      <c r="I2926" s="2">
        <f ca="1">IFERROR(__xludf.DUMMYFUNCTION("""COMPUTED_VALUE"""),52.677)</f>
        <v>52.677</v>
      </c>
      <c r="J2926" s="2">
        <f ca="1">IFERROR(__xludf.DUMMYFUNCTION("""COMPUTED_VALUE"""),51.655)</f>
        <v>51.655000000000001</v>
      </c>
      <c r="K2926" s="2">
        <f ca="1">IFERROR(__xludf.DUMMYFUNCTION("""COMPUTED_VALUE"""),70.558)</f>
        <v>70.558000000000007</v>
      </c>
      <c r="M2926" s="2">
        <f ca="1">IFERROR(__xludf.DUMMYFUNCTION("""COMPUTED_VALUE"""),19.553)</f>
        <v>19.553000000000001</v>
      </c>
      <c r="U2926" s="3" t="e">
        <f ca="1"/>
        <v>#NAME?</v>
      </c>
    </row>
    <row r="2927" spans="3:21" ht="12.5" x14ac:dyDescent="0.25">
      <c r="C2927" s="4">
        <f ca="1">IFERROR(__xludf.DUMMYFUNCTION("""COMPUTED_VALUE"""),43333.9986111111)</f>
        <v>43333.998611111099</v>
      </c>
      <c r="D2927" s="2">
        <f ca="1">IFERROR(__xludf.DUMMYFUNCTION("""COMPUTED_VALUE"""),69.81)</f>
        <v>69.81</v>
      </c>
      <c r="E2927" s="2">
        <f ca="1">IFERROR(__xludf.DUMMYFUNCTION("""COMPUTED_VALUE"""),78.757)</f>
        <v>78.757000000000005</v>
      </c>
      <c r="F2927" s="2">
        <f ca="1">IFERROR(__xludf.DUMMYFUNCTION("""COMPUTED_VALUE"""),90.268)</f>
        <v>90.268000000000001</v>
      </c>
      <c r="G2927" s="2">
        <f ca="1">IFERROR(__xludf.DUMMYFUNCTION("""COMPUTED_VALUE"""),0.6504091)</f>
        <v>0.65040909999999996</v>
      </c>
      <c r="H2927" s="2">
        <f ca="1">IFERROR(__xludf.DUMMYFUNCTION("""COMPUTED_VALUE"""),48.452)</f>
        <v>48.451999999999998</v>
      </c>
      <c r="I2927" s="2">
        <f ca="1">IFERROR(__xludf.DUMMYFUNCTION("""COMPUTED_VALUE"""),52.449)</f>
        <v>52.448999999999998</v>
      </c>
      <c r="J2927" s="2">
        <f ca="1">IFERROR(__xludf.DUMMYFUNCTION("""COMPUTED_VALUE"""),51.979)</f>
        <v>51.978999999999999</v>
      </c>
      <c r="K2927" s="2">
        <f ca="1">IFERROR(__xludf.DUMMYFUNCTION("""COMPUTED_VALUE"""),69.694)</f>
        <v>69.694000000000003</v>
      </c>
      <c r="M2927" s="2">
        <f ca="1">IFERROR(__xludf.DUMMYFUNCTION("""COMPUTED_VALUE"""),19.475)</f>
        <v>19.475000000000001</v>
      </c>
      <c r="U2927" s="3" t="e">
        <f ca="1"/>
        <v>#NAME?</v>
      </c>
    </row>
    <row r="2928" spans="3:21" ht="12.5" x14ac:dyDescent="0.25">
      <c r="C2928" s="4">
        <f ca="1">IFERROR(__xludf.DUMMYFUNCTION("""COMPUTED_VALUE"""),43334.9986111111)</f>
        <v>43334.998611111099</v>
      </c>
      <c r="D2928" s="2">
        <f ca="1">IFERROR(__xludf.DUMMYFUNCTION("""COMPUTED_VALUE"""),69.79)</f>
        <v>69.790000000000006</v>
      </c>
      <c r="E2928" s="2">
        <f ca="1">IFERROR(__xludf.DUMMYFUNCTION("""COMPUTED_VALUE"""),78.238)</f>
        <v>78.238</v>
      </c>
      <c r="F2928" s="2">
        <f ca="1">IFERROR(__xludf.DUMMYFUNCTION("""COMPUTED_VALUE"""),90.659)</f>
        <v>90.659000000000006</v>
      </c>
      <c r="G2928" s="2">
        <f ca="1">IFERROR(__xludf.DUMMYFUNCTION("""COMPUTED_VALUE"""),0.6515159)</f>
        <v>0.65151590000000004</v>
      </c>
      <c r="H2928" s="2">
        <f ca="1">IFERROR(__xludf.DUMMYFUNCTION("""COMPUTED_VALUE"""),48.398)</f>
        <v>48.398000000000003</v>
      </c>
      <c r="I2928" s="2">
        <f ca="1">IFERROR(__xludf.DUMMYFUNCTION("""COMPUTED_VALUE"""),52.479)</f>
        <v>52.478999999999999</v>
      </c>
      <c r="J2928" s="2">
        <f ca="1">IFERROR(__xludf.DUMMYFUNCTION("""COMPUTED_VALUE"""),51.983)</f>
        <v>51.982999999999997</v>
      </c>
      <c r="K2928" s="2">
        <f ca="1">IFERROR(__xludf.DUMMYFUNCTION("""COMPUTED_VALUE"""),69.84)</f>
        <v>69.84</v>
      </c>
      <c r="M2928" s="2">
        <f ca="1">IFERROR(__xludf.DUMMYFUNCTION("""COMPUTED_VALUE"""),19.595)</f>
        <v>19.594999999999999</v>
      </c>
      <c r="U2928" s="3" t="e">
        <f ca="1"/>
        <v>#NAME?</v>
      </c>
    </row>
    <row r="2929" spans="3:21" ht="12.5" x14ac:dyDescent="0.25">
      <c r="C2929" s="4">
        <f ca="1">IFERROR(__xludf.DUMMYFUNCTION("""COMPUTED_VALUE"""),43335.9986111111)</f>
        <v>43335.998611111099</v>
      </c>
      <c r="D2929" s="2">
        <f ca="1">IFERROR(__xludf.DUMMYFUNCTION("""COMPUTED_VALUE"""),70.275)</f>
        <v>70.275000000000006</v>
      </c>
      <c r="E2929" s="2">
        <f ca="1">IFERROR(__xludf.DUMMYFUNCTION("""COMPUTED_VALUE"""),77.746)</f>
        <v>77.745999999999995</v>
      </c>
      <c r="F2929" s="2">
        <f ca="1">IFERROR(__xludf.DUMMYFUNCTION("""COMPUTED_VALUE"""),90.48)</f>
        <v>90.48</v>
      </c>
      <c r="G2929" s="2">
        <f ca="1">IFERROR(__xludf.DUMMYFUNCTION("""COMPUTED_VALUE"""),0.6573243)</f>
        <v>0.65732429999999997</v>
      </c>
      <c r="H2929" s="2">
        <f ca="1">IFERROR(__xludf.DUMMYFUNCTION("""COMPUTED_VALUE"""),48.248)</f>
        <v>48.247999999999998</v>
      </c>
      <c r="I2929" s="2">
        <f ca="1">IFERROR(__xludf.DUMMYFUNCTION("""COMPUTED_VALUE"""),52.443)</f>
        <v>52.442999999999998</v>
      </c>
      <c r="J2929" s="2">
        <f ca="1">IFERROR(__xludf.DUMMYFUNCTION("""COMPUTED_VALUE"""),51.651)</f>
        <v>51.651000000000003</v>
      </c>
      <c r="K2929" s="2">
        <f ca="1">IFERROR(__xludf.DUMMYFUNCTION("""COMPUTED_VALUE"""),69.712)</f>
        <v>69.712000000000003</v>
      </c>
      <c r="M2929" s="2">
        <f ca="1">IFERROR(__xludf.DUMMYFUNCTION("""COMPUTED_VALUE"""),19.579)</f>
        <v>19.579000000000001</v>
      </c>
      <c r="U2929" s="3" t="e">
        <f ca="1"/>
        <v>#NAME?</v>
      </c>
    </row>
    <row r="2930" spans="3:21" ht="12.5" x14ac:dyDescent="0.25">
      <c r="C2930" s="4">
        <f ca="1">IFERROR(__xludf.DUMMYFUNCTION("""COMPUTED_VALUE"""),43336.9986111111)</f>
        <v>43336.998611111099</v>
      </c>
      <c r="D2930" s="2">
        <f ca="1">IFERROR(__xludf.DUMMYFUNCTION("""COMPUTED_VALUE"""),69.77)</f>
        <v>69.77</v>
      </c>
      <c r="E2930" s="2">
        <f ca="1">IFERROR(__xludf.DUMMYFUNCTION("""COMPUTED_VALUE"""),78.084)</f>
        <v>78.084000000000003</v>
      </c>
      <c r="F2930" s="2">
        <f ca="1">IFERROR(__xludf.DUMMYFUNCTION("""COMPUTED_VALUE"""),90.856)</f>
        <v>90.855999999999995</v>
      </c>
      <c r="G2930" s="2">
        <f ca="1">IFERROR(__xludf.DUMMYFUNCTION("""COMPUTED_VALUE"""),0.6534603)</f>
        <v>0.65346029999999999</v>
      </c>
      <c r="H2930" s="2">
        <f ca="1">IFERROR(__xludf.DUMMYFUNCTION("""COMPUTED_VALUE"""),48.091)</f>
        <v>48.091000000000001</v>
      </c>
      <c r="I2930" s="2">
        <f ca="1">IFERROR(__xludf.DUMMYFUNCTION("""COMPUTED_VALUE"""),52.493)</f>
        <v>52.493000000000002</v>
      </c>
      <c r="J2930" s="2">
        <f ca="1">IFERROR(__xludf.DUMMYFUNCTION("""COMPUTED_VALUE"""),51.715)</f>
        <v>51.715000000000003</v>
      </c>
      <c r="K2930" s="2">
        <f ca="1">IFERROR(__xludf.DUMMYFUNCTION("""COMPUTED_VALUE"""),69.515)</f>
        <v>69.515000000000001</v>
      </c>
      <c r="M2930" s="2">
        <f ca="1">IFERROR(__xludf.DUMMYFUNCTION("""COMPUTED_VALUE"""),19.49)</f>
        <v>19.489999999999998</v>
      </c>
      <c r="U2930" s="3" t="e">
        <f ca="1"/>
        <v>#NAME?</v>
      </c>
    </row>
    <row r="2931" spans="3:21" ht="12.5" x14ac:dyDescent="0.25">
      <c r="C2931" s="4">
        <f ca="1">IFERROR(__xludf.DUMMYFUNCTION("""COMPUTED_VALUE"""),43337.9986111111)</f>
        <v>43337.998611111099</v>
      </c>
      <c r="D2931" s="2">
        <f ca="1">IFERROR(__xludf.DUMMYFUNCTION("""COMPUTED_VALUE"""),69.77)</f>
        <v>69.77</v>
      </c>
      <c r="E2931" s="2">
        <f ca="1">IFERROR(__xludf.DUMMYFUNCTION("""COMPUTED_VALUE"""),77.67)</f>
        <v>77.67</v>
      </c>
      <c r="F2931" s="2">
        <f ca="1">IFERROR(__xludf.DUMMYFUNCTION("""COMPUTED_VALUE"""),90.084)</f>
        <v>90.084000000000003</v>
      </c>
      <c r="G2931" s="2">
        <f ca="1">IFERROR(__xludf.DUMMYFUNCTION("""COMPUTED_VALUE"""),0.6505733)</f>
        <v>0.65057330000000002</v>
      </c>
      <c r="H2931" s="2">
        <f ca="1">IFERROR(__xludf.DUMMYFUNCTION("""COMPUTED_VALUE"""),48.024)</f>
        <v>48.024000000000001</v>
      </c>
      <c r="I2931" s="2">
        <f ca="1">IFERROR(__xludf.DUMMYFUNCTION("""COMPUTED_VALUE"""),52.244)</f>
        <v>52.244</v>
      </c>
      <c r="J2931" s="2">
        <f ca="1">IFERROR(__xludf.DUMMYFUNCTION("""COMPUTED_VALUE"""),51.555)</f>
        <v>51.555</v>
      </c>
      <c r="K2931" s="2">
        <f ca="1">IFERROR(__xludf.DUMMYFUNCTION("""COMPUTED_VALUE"""),68.941)</f>
        <v>68.941000000000003</v>
      </c>
      <c r="M2931" s="2">
        <f ca="1">IFERROR(__xludf.DUMMYFUNCTION("""COMPUTED_VALUE"""),19.21)</f>
        <v>19.21</v>
      </c>
      <c r="U2931" s="3" t="e">
        <f ca="1"/>
        <v>#NAME?</v>
      </c>
    </row>
    <row r="2932" spans="3:21" ht="12.5" x14ac:dyDescent="0.25">
      <c r="C2932" s="4">
        <f ca="1">IFERROR(__xludf.DUMMYFUNCTION("""COMPUTED_VALUE"""),43338.9986111111)</f>
        <v>43338.998611111099</v>
      </c>
      <c r="D2932" s="2">
        <f ca="1">IFERROR(__xludf.DUMMYFUNCTION("""COMPUTED_VALUE"""),69.765)</f>
        <v>69.765000000000001</v>
      </c>
      <c r="E2932" s="2">
        <f ca="1">IFERROR(__xludf.DUMMYFUNCTION("""COMPUTED_VALUE"""),77.423)</f>
        <v>77.423000000000002</v>
      </c>
      <c r="F2932" s="2">
        <f ca="1">IFERROR(__xludf.DUMMYFUNCTION("""COMPUTED_VALUE"""),89.901)</f>
        <v>89.900999999999996</v>
      </c>
      <c r="G2932" s="2">
        <f ca="1">IFERROR(__xludf.DUMMYFUNCTION("""COMPUTED_VALUE"""),0.6477)</f>
        <v>0.64770000000000005</v>
      </c>
      <c r="H2932" s="2">
        <f ca="1">IFERROR(__xludf.DUMMYFUNCTION("""COMPUTED_VALUE"""),47.551)</f>
        <v>47.551000000000002</v>
      </c>
      <c r="I2932" s="2">
        <f ca="1">IFERROR(__xludf.DUMMYFUNCTION("""COMPUTED_VALUE"""),52.266)</f>
        <v>52.265999999999998</v>
      </c>
      <c r="J2932" s="2">
        <f ca="1">IFERROR(__xludf.DUMMYFUNCTION("""COMPUTED_VALUE"""),51.343)</f>
        <v>51.343000000000004</v>
      </c>
      <c r="K2932" s="2">
        <f ca="1">IFERROR(__xludf.DUMMYFUNCTION("""COMPUTED_VALUE"""),68.899)</f>
        <v>68.899000000000001</v>
      </c>
      <c r="M2932" s="2">
        <f ca="1">IFERROR(__xludf.DUMMYFUNCTION("""COMPUTED_VALUE"""),19.242)</f>
        <v>19.242000000000001</v>
      </c>
      <c r="U2932" s="3" t="e">
        <f ca="1"/>
        <v>#NAME?</v>
      </c>
    </row>
    <row r="2933" spans="3:21" ht="12.5" x14ac:dyDescent="0.25">
      <c r="C2933" s="4">
        <f ca="1">IFERROR(__xludf.DUMMYFUNCTION("""COMPUTED_VALUE"""),43339.9986111111)</f>
        <v>43339.998611111099</v>
      </c>
      <c r="D2933" s="2">
        <f ca="1">IFERROR(__xludf.DUMMYFUNCTION("""COMPUTED_VALUE"""),69.945)</f>
        <v>69.944999999999993</v>
      </c>
      <c r="E2933" s="2">
        <f ca="1">IFERROR(__xludf.DUMMYFUNCTION("""COMPUTED_VALUE"""),77.064)</f>
        <v>77.063999999999993</v>
      </c>
      <c r="F2933" s="2">
        <f ca="1">IFERROR(__xludf.DUMMYFUNCTION("""COMPUTED_VALUE"""),89.919)</f>
        <v>89.918999999999997</v>
      </c>
      <c r="G2933" s="2">
        <f ca="1">IFERROR(__xludf.DUMMYFUNCTION("""COMPUTED_VALUE"""),0.6512388)</f>
        <v>0.65123880000000001</v>
      </c>
      <c r="H2933" s="2">
        <f ca="1">IFERROR(__xludf.DUMMYFUNCTION("""COMPUTED_VALUE"""),47.544)</f>
        <v>47.543999999999997</v>
      </c>
      <c r="I2933" s="2">
        <f ca="1">IFERROR(__xludf.DUMMYFUNCTION("""COMPUTED_VALUE"""),52.266)</f>
        <v>52.265999999999998</v>
      </c>
      <c r="J2933" s="2">
        <f ca="1">IFERROR(__xludf.DUMMYFUNCTION("""COMPUTED_VALUE"""),51.546)</f>
        <v>51.545999999999999</v>
      </c>
      <c r="K2933" s="2">
        <f ca="1">IFERROR(__xludf.DUMMYFUNCTION("""COMPUTED_VALUE"""),68.93)</f>
        <v>68.930000000000007</v>
      </c>
      <c r="M2933" s="2">
        <f ca="1">IFERROR(__xludf.DUMMYFUNCTION("""COMPUTED_VALUE"""),19.046)</f>
        <v>19.045999999999999</v>
      </c>
      <c r="U2933" s="3" t="e">
        <f ca="1"/>
        <v>#NAME?</v>
      </c>
    </row>
    <row r="2934" spans="3:21" ht="12.5" x14ac:dyDescent="0.25">
      <c r="C2934" s="4">
        <f ca="1">IFERROR(__xludf.DUMMYFUNCTION("""COMPUTED_VALUE"""),43340.9986111111)</f>
        <v>43340.998611111099</v>
      </c>
      <c r="D2934" s="2">
        <f ca="1">IFERROR(__xludf.DUMMYFUNCTION("""COMPUTED_VALUE"""),70.54)</f>
        <v>70.540000000000006</v>
      </c>
      <c r="E2934" s="2">
        <f ca="1">IFERROR(__xludf.DUMMYFUNCTION("""COMPUTED_VALUE"""),77.064)</f>
        <v>77.063999999999993</v>
      </c>
      <c r="F2934" s="2">
        <f ca="1">IFERROR(__xludf.DUMMYFUNCTION("""COMPUTED_VALUE"""),89.927)</f>
        <v>89.927000000000007</v>
      </c>
      <c r="G2934" s="2">
        <f ca="1">IFERROR(__xludf.DUMMYFUNCTION("""COMPUTED_VALUE"""),0.6495288)</f>
        <v>0.64952880000000002</v>
      </c>
      <c r="H2934" s="2">
        <f ca="1">IFERROR(__xludf.DUMMYFUNCTION("""COMPUTED_VALUE"""),47.544)</f>
        <v>47.543999999999997</v>
      </c>
      <c r="I2934" s="2">
        <f ca="1">IFERROR(__xludf.DUMMYFUNCTION("""COMPUTED_VALUE"""),52.164)</f>
        <v>52.164000000000001</v>
      </c>
      <c r="J2934" s="2">
        <f ca="1">IFERROR(__xludf.DUMMYFUNCTION("""COMPUTED_VALUE"""),51.445)</f>
        <v>51.445</v>
      </c>
      <c r="K2934" s="2">
        <f ca="1">IFERROR(__xludf.DUMMYFUNCTION("""COMPUTED_VALUE"""),69.169)</f>
        <v>69.168999999999997</v>
      </c>
      <c r="M2934" s="2">
        <f ca="1">IFERROR(__xludf.DUMMYFUNCTION("""COMPUTED_VALUE"""),19.147)</f>
        <v>19.146999999999998</v>
      </c>
      <c r="U2934" s="3" t="e">
        <f ca="1"/>
        <v>#NAME?</v>
      </c>
    </row>
    <row r="2935" spans="3:21" ht="12.5" x14ac:dyDescent="0.25">
      <c r="C2935" s="4">
        <f ca="1">IFERROR(__xludf.DUMMYFUNCTION("""COMPUTED_VALUE"""),43341.9986111111)</f>
        <v>43341.998611111099</v>
      </c>
      <c r="D2935" s="2">
        <f ca="1">IFERROR(__xludf.DUMMYFUNCTION("""COMPUTED_VALUE"""),70.91)</f>
        <v>70.91</v>
      </c>
      <c r="E2935" s="2">
        <f ca="1">IFERROR(__xludf.DUMMYFUNCTION("""COMPUTED_VALUE"""),76.916)</f>
        <v>76.915999999999997</v>
      </c>
      <c r="F2935" s="2">
        <f ca="1">IFERROR(__xludf.DUMMYFUNCTION("""COMPUTED_VALUE"""),90.223)</f>
        <v>90.222999999999999</v>
      </c>
      <c r="G2935" s="2">
        <f ca="1">IFERROR(__xludf.DUMMYFUNCTION("""COMPUTED_VALUE"""),0.6526963)</f>
        <v>0.65269630000000001</v>
      </c>
      <c r="H2935" s="2">
        <f ca="1">IFERROR(__xludf.DUMMYFUNCTION("""COMPUTED_VALUE"""),47.395)</f>
        <v>47.395000000000003</v>
      </c>
      <c r="I2935" s="2">
        <f ca="1">IFERROR(__xludf.DUMMYFUNCTION("""COMPUTED_VALUE"""),52.303)</f>
        <v>52.302999999999997</v>
      </c>
      <c r="J2935" s="2">
        <f ca="1">IFERROR(__xludf.DUMMYFUNCTION("""COMPUTED_VALUE"""),51.296)</f>
        <v>51.295999999999999</v>
      </c>
      <c r="K2935" s="2">
        <f ca="1">IFERROR(__xludf.DUMMYFUNCTION("""COMPUTED_VALUE"""),69.026)</f>
        <v>69.025999999999996</v>
      </c>
      <c r="M2935" s="2">
        <f ca="1">IFERROR(__xludf.DUMMYFUNCTION("""COMPUTED_VALUE"""),19.095)</f>
        <v>19.094999999999999</v>
      </c>
      <c r="U2935" s="3" t="e">
        <f ca="1"/>
        <v>#NAME?</v>
      </c>
    </row>
    <row r="2936" spans="3:21" ht="12.5" x14ac:dyDescent="0.25">
      <c r="C2936" s="4">
        <f ca="1">IFERROR(__xludf.DUMMYFUNCTION("""COMPUTED_VALUE"""),43342.9986111111)</f>
        <v>43342.998611111099</v>
      </c>
      <c r="D2936" s="2">
        <f ca="1">IFERROR(__xludf.DUMMYFUNCTION("""COMPUTED_VALUE"""),71.405)</f>
        <v>71.405000000000001</v>
      </c>
      <c r="E2936" s="2">
        <f ca="1">IFERROR(__xludf.DUMMYFUNCTION("""COMPUTED_VALUE"""),77.672)</f>
        <v>77.671999999999997</v>
      </c>
      <c r="F2936" s="2">
        <f ca="1">IFERROR(__xludf.DUMMYFUNCTION("""COMPUTED_VALUE"""),89.844)</f>
        <v>89.843999999999994</v>
      </c>
      <c r="G2936" s="2">
        <f ca="1">IFERROR(__xludf.DUMMYFUNCTION("""COMPUTED_VALUE"""),0.6556579)</f>
        <v>0.65565790000000002</v>
      </c>
      <c r="H2936" s="2">
        <f ca="1">IFERROR(__xludf.DUMMYFUNCTION("""COMPUTED_VALUE"""),47.276)</f>
        <v>47.276000000000003</v>
      </c>
      <c r="I2936" s="2">
        <f ca="1">IFERROR(__xludf.DUMMYFUNCTION("""COMPUTED_VALUE"""),52.139)</f>
        <v>52.139000000000003</v>
      </c>
      <c r="J2936" s="2">
        <f ca="1">IFERROR(__xludf.DUMMYFUNCTION("""COMPUTED_VALUE"""),50.986)</f>
        <v>50.985999999999997</v>
      </c>
      <c r="K2936" s="2">
        <f ca="1">IFERROR(__xludf.DUMMYFUNCTION("""COMPUTED_VALUE"""),69.598)</f>
        <v>69.597999999999999</v>
      </c>
      <c r="M2936" s="2">
        <f ca="1">IFERROR(__xludf.DUMMYFUNCTION("""COMPUTED_VALUE"""),19.088)</f>
        <v>19.088000000000001</v>
      </c>
      <c r="U2936" s="3" t="e">
        <f ca="1"/>
        <v>#NAME?</v>
      </c>
    </row>
    <row r="2937" spans="3:21" ht="12.5" x14ac:dyDescent="0.25">
      <c r="C2937" s="4">
        <f ca="1">IFERROR(__xludf.DUMMYFUNCTION("""COMPUTED_VALUE"""),43343.9986111111)</f>
        <v>43343.998611111099</v>
      </c>
      <c r="D2937" s="2">
        <f ca="1">IFERROR(__xludf.DUMMYFUNCTION("""COMPUTED_VALUE"""),70.78)</f>
        <v>70.78</v>
      </c>
      <c r="E2937" s="2">
        <f ca="1">IFERROR(__xludf.DUMMYFUNCTION("""COMPUTED_VALUE"""),77.904)</f>
        <v>77.903999999999996</v>
      </c>
      <c r="F2937" s="2">
        <f ca="1">IFERROR(__xludf.DUMMYFUNCTION("""COMPUTED_VALUE"""),89.665)</f>
        <v>89.665000000000006</v>
      </c>
      <c r="G2937" s="2">
        <f ca="1">IFERROR(__xludf.DUMMYFUNCTION("""COMPUTED_VALUE"""),0.6579092)</f>
        <v>0.65790919999999997</v>
      </c>
      <c r="H2937" s="2">
        <f ca="1">IFERROR(__xludf.DUMMYFUNCTION("""COMPUTED_VALUE"""),47.111)</f>
        <v>47.110999999999997</v>
      </c>
      <c r="I2937" s="2">
        <f ca="1">IFERROR(__xludf.DUMMYFUNCTION("""COMPUTED_VALUE"""),52.173)</f>
        <v>52.173000000000002</v>
      </c>
      <c r="J2937" s="2">
        <f ca="1">IFERROR(__xludf.DUMMYFUNCTION("""COMPUTED_VALUE"""),50.98)</f>
        <v>50.98</v>
      </c>
      <c r="K2937" s="2">
        <f ca="1">IFERROR(__xludf.DUMMYFUNCTION("""COMPUTED_VALUE"""),69.555)</f>
        <v>69.555000000000007</v>
      </c>
      <c r="M2937" s="2">
        <f ca="1">IFERROR(__xludf.DUMMYFUNCTION("""COMPUTED_VALUE"""),19.087)</f>
        <v>19.087</v>
      </c>
      <c r="U2937" s="3" t="e">
        <f ca="1"/>
        <v>#NAME?</v>
      </c>
    </row>
    <row r="2938" spans="3:21" ht="12.5" x14ac:dyDescent="0.25">
      <c r="C2938" s="4">
        <f ca="1">IFERROR(__xludf.DUMMYFUNCTION("""COMPUTED_VALUE"""),43344.9986111111)</f>
        <v>43344.998611111099</v>
      </c>
      <c r="D2938" s="2">
        <f ca="1">IFERROR(__xludf.DUMMYFUNCTION("""COMPUTED_VALUE"""),70.995)</f>
        <v>70.995000000000005</v>
      </c>
      <c r="E2938" s="2">
        <f ca="1">IFERROR(__xludf.DUMMYFUNCTION("""COMPUTED_VALUE"""),77.879)</f>
        <v>77.879000000000005</v>
      </c>
      <c r="F2938" s="2">
        <f ca="1">IFERROR(__xludf.DUMMYFUNCTION("""COMPUTED_VALUE"""),89.308)</f>
        <v>89.308000000000007</v>
      </c>
      <c r="G2938" s="2">
        <f ca="1">IFERROR(__xludf.DUMMYFUNCTION("""COMPUTED_VALUE"""),0.6624426)</f>
        <v>0.66244259999999999</v>
      </c>
      <c r="H2938" s="2">
        <f ca="1">IFERROR(__xludf.DUMMYFUNCTION("""COMPUTED_VALUE"""),46.904)</f>
        <v>46.904000000000003</v>
      </c>
      <c r="I2938" s="2">
        <f ca="1">IFERROR(__xludf.DUMMYFUNCTION("""COMPUTED_VALUE"""),52.74)</f>
        <v>52.74</v>
      </c>
      <c r="J2938" s="2">
        <f ca="1">IFERROR(__xludf.DUMMYFUNCTION("""COMPUTED_VALUE"""),51.053)</f>
        <v>51.052999999999997</v>
      </c>
      <c r="K2938" s="2">
        <f ca="1">IFERROR(__xludf.DUMMYFUNCTION("""COMPUTED_VALUE"""),69.45)</f>
        <v>69.45</v>
      </c>
      <c r="M2938" s="2">
        <f ca="1">IFERROR(__xludf.DUMMYFUNCTION("""COMPUTED_VALUE"""),19.105)</f>
        <v>19.105</v>
      </c>
      <c r="U2938" s="3" t="e">
        <f ca="1"/>
        <v>#NAME?</v>
      </c>
    </row>
    <row r="2939" spans="3:21" ht="12.5" x14ac:dyDescent="0.25">
      <c r="C2939" s="4">
        <f ca="1">IFERROR(__xludf.DUMMYFUNCTION("""COMPUTED_VALUE"""),43345.9986111111)</f>
        <v>43345.998611111099</v>
      </c>
      <c r="D2939" s="2">
        <f ca="1">IFERROR(__xludf.DUMMYFUNCTION("""COMPUTED_VALUE"""),70.995)</f>
        <v>70.995000000000005</v>
      </c>
      <c r="E2939" s="2">
        <f ca="1">IFERROR(__xludf.DUMMYFUNCTION("""COMPUTED_VALUE"""),77.686)</f>
        <v>77.686000000000007</v>
      </c>
      <c r="F2939" s="2">
        <f ca="1">IFERROR(__xludf.DUMMYFUNCTION("""COMPUTED_VALUE"""),89.087)</f>
        <v>89.087000000000003</v>
      </c>
      <c r="G2939" s="2">
        <f ca="1">IFERROR(__xludf.DUMMYFUNCTION("""COMPUTED_VALUE"""),0.6626978)</f>
        <v>0.6626978</v>
      </c>
      <c r="H2939" s="2">
        <f ca="1">IFERROR(__xludf.DUMMYFUNCTION("""COMPUTED_VALUE"""),47.349)</f>
        <v>47.348999999999997</v>
      </c>
      <c r="I2939" s="2">
        <f ca="1">IFERROR(__xludf.DUMMYFUNCTION("""COMPUTED_VALUE"""),52.745)</f>
        <v>52.744999999999997</v>
      </c>
      <c r="J2939" s="2">
        <f ca="1">IFERROR(__xludf.DUMMYFUNCTION("""COMPUTED_VALUE"""),51.287)</f>
        <v>51.286999999999999</v>
      </c>
      <c r="K2939" s="2">
        <f ca="1">IFERROR(__xludf.DUMMYFUNCTION("""COMPUTED_VALUE"""),69.683)</f>
        <v>69.683000000000007</v>
      </c>
      <c r="M2939" s="2">
        <f ca="1">IFERROR(__xludf.DUMMYFUNCTION("""COMPUTED_VALUE"""),19.05)</f>
        <v>19.05</v>
      </c>
      <c r="U2939" s="3" t="e">
        <f ca="1"/>
        <v>#NAME?</v>
      </c>
    </row>
    <row r="2940" spans="3:21" ht="12.5" x14ac:dyDescent="0.25">
      <c r="C2940" s="4">
        <f ca="1">IFERROR(__xludf.DUMMYFUNCTION("""COMPUTED_VALUE"""),43346.9986111111)</f>
        <v>43346.998611111099</v>
      </c>
      <c r="D2940" s="2">
        <f ca="1">IFERROR(__xludf.DUMMYFUNCTION("""COMPUTED_VALUE"""),71.07)</f>
        <v>71.069999999999993</v>
      </c>
      <c r="E2940" s="2">
        <f ca="1">IFERROR(__xludf.DUMMYFUNCTION("""COMPUTED_VALUE"""),77.686)</f>
        <v>77.686000000000007</v>
      </c>
      <c r="F2940" s="2">
        <f ca="1">IFERROR(__xludf.DUMMYFUNCTION("""COMPUTED_VALUE"""),89.078)</f>
        <v>89.078000000000003</v>
      </c>
      <c r="G2940" s="2">
        <f ca="1">IFERROR(__xludf.DUMMYFUNCTION("""COMPUTED_VALUE"""),0.6581947)</f>
        <v>0.65819470000000002</v>
      </c>
      <c r="H2940" s="2">
        <f ca="1">IFERROR(__xludf.DUMMYFUNCTION("""COMPUTED_VALUE"""),47.349)</f>
        <v>47.348999999999997</v>
      </c>
      <c r="I2940" s="2">
        <f ca="1">IFERROR(__xludf.DUMMYFUNCTION("""COMPUTED_VALUE"""),52.745)</f>
        <v>52.744999999999997</v>
      </c>
      <c r="J2940" s="2">
        <f ca="1">IFERROR(__xludf.DUMMYFUNCTION("""COMPUTED_VALUE"""),51.354)</f>
        <v>51.353999999999999</v>
      </c>
      <c r="K2940" s="2">
        <f ca="1">IFERROR(__xludf.DUMMYFUNCTION("""COMPUTED_VALUE"""),69.992)</f>
        <v>69.992000000000004</v>
      </c>
      <c r="M2940" s="2">
        <f ca="1">IFERROR(__xludf.DUMMYFUNCTION("""COMPUTED_VALUE"""),19.03)</f>
        <v>19.03</v>
      </c>
      <c r="U2940" s="3" t="e">
        <f ca="1"/>
        <v>#NAME?</v>
      </c>
    </row>
    <row r="2941" spans="3:21" ht="12.5" x14ac:dyDescent="0.25">
      <c r="C2941" s="4">
        <f ca="1">IFERROR(__xludf.DUMMYFUNCTION("""COMPUTED_VALUE"""),43347.9986111111)</f>
        <v>43347.998611111099</v>
      </c>
      <c r="D2941" s="2">
        <f ca="1">IFERROR(__xludf.DUMMYFUNCTION("""COMPUTED_VALUE"""),71.75)</f>
        <v>71.75</v>
      </c>
      <c r="E2941" s="2">
        <f ca="1">IFERROR(__xludf.DUMMYFUNCTION("""COMPUTED_VALUE"""),77.794)</f>
        <v>77.793999999999997</v>
      </c>
      <c r="F2941" s="2">
        <f ca="1">IFERROR(__xludf.DUMMYFUNCTION("""COMPUTED_VALUE"""),89.064)</f>
        <v>89.063999999999993</v>
      </c>
      <c r="G2941" s="2">
        <f ca="1">IFERROR(__xludf.DUMMYFUNCTION("""COMPUTED_VALUE"""),0.6581126)</f>
        <v>0.65811260000000005</v>
      </c>
      <c r="H2941" s="2">
        <f ca="1">IFERROR(__xludf.DUMMYFUNCTION("""COMPUTED_VALUE"""),47.349)</f>
        <v>47.348999999999997</v>
      </c>
      <c r="I2941" s="2">
        <f ca="1">IFERROR(__xludf.DUMMYFUNCTION("""COMPUTED_VALUE"""),53.541)</f>
        <v>53.540999999999997</v>
      </c>
      <c r="J2941" s="2">
        <f ca="1">IFERROR(__xludf.DUMMYFUNCTION("""COMPUTED_VALUE"""),51.405)</f>
        <v>51.405000000000001</v>
      </c>
      <c r="K2941" s="2">
        <f ca="1">IFERROR(__xludf.DUMMYFUNCTION("""COMPUTED_VALUE"""),70.082)</f>
        <v>70.081999999999994</v>
      </c>
      <c r="M2941" s="2">
        <f ca="1">IFERROR(__xludf.DUMMYFUNCTION("""COMPUTED_VALUE"""),19.039)</f>
        <v>19.039000000000001</v>
      </c>
      <c r="U2941" s="3" t="e">
        <f ca="1"/>
        <v>#NAME?</v>
      </c>
    </row>
    <row r="2942" spans="3:21" ht="12.5" x14ac:dyDescent="0.25">
      <c r="C2942" s="4">
        <f ca="1">IFERROR(__xludf.DUMMYFUNCTION("""COMPUTED_VALUE"""),43348.9986111111)</f>
        <v>43348.998611111099</v>
      </c>
      <c r="D2942" s="2">
        <f ca="1">IFERROR(__xludf.DUMMYFUNCTION("""COMPUTED_VALUE"""),71.89)</f>
        <v>71.89</v>
      </c>
      <c r="E2942" s="2">
        <f ca="1">IFERROR(__xludf.DUMMYFUNCTION("""COMPUTED_VALUE"""),77.974)</f>
        <v>77.974000000000004</v>
      </c>
      <c r="F2942" s="2">
        <f ca="1">IFERROR(__xludf.DUMMYFUNCTION("""COMPUTED_VALUE"""),89.071)</f>
        <v>89.070999999999998</v>
      </c>
      <c r="G2942" s="2">
        <f ca="1">IFERROR(__xludf.DUMMYFUNCTION("""COMPUTED_VALUE"""),0.661348)</f>
        <v>0.66134800000000005</v>
      </c>
      <c r="H2942" s="2">
        <f ca="1">IFERROR(__xludf.DUMMYFUNCTION("""COMPUTED_VALUE"""),47.859)</f>
        <v>47.859000000000002</v>
      </c>
      <c r="I2942" s="2">
        <f ca="1">IFERROR(__xludf.DUMMYFUNCTION("""COMPUTED_VALUE"""),53.436)</f>
        <v>53.436</v>
      </c>
      <c r="J2942" s="2">
        <f ca="1">IFERROR(__xludf.DUMMYFUNCTION("""COMPUTED_VALUE"""),51.315)</f>
        <v>51.314999999999998</v>
      </c>
      <c r="K2942" s="2">
        <f ca="1">IFERROR(__xludf.DUMMYFUNCTION("""COMPUTED_VALUE"""),70.079)</f>
        <v>70.078999999999994</v>
      </c>
      <c r="M2942" s="2">
        <f ca="1">IFERROR(__xludf.DUMMYFUNCTION("""COMPUTED_VALUE"""),18.987)</f>
        <v>18.986999999999998</v>
      </c>
      <c r="U2942" s="3" t="e">
        <f ca="1"/>
        <v>#NAME?</v>
      </c>
    </row>
    <row r="2943" spans="3:21" ht="12.5" x14ac:dyDescent="0.25">
      <c r="C2943" s="4">
        <f ca="1">IFERROR(__xludf.DUMMYFUNCTION("""COMPUTED_VALUE"""),43349.9986111111)</f>
        <v>43349.998611111099</v>
      </c>
      <c r="D2943" s="2">
        <f ca="1">IFERROR(__xludf.DUMMYFUNCTION("""COMPUTED_VALUE"""),71.9389)</f>
        <v>71.938900000000004</v>
      </c>
      <c r="E2943" s="2">
        <f ca="1">IFERROR(__xludf.DUMMYFUNCTION("""COMPUTED_VALUE"""),78.049)</f>
        <v>78.049000000000007</v>
      </c>
      <c r="F2943" s="2">
        <f ca="1">IFERROR(__xludf.DUMMYFUNCTION("""COMPUTED_VALUE"""),88.784)</f>
        <v>88.784000000000006</v>
      </c>
      <c r="G2943" s="2">
        <f ca="1">IFERROR(__xludf.DUMMYFUNCTION("""COMPUTED_VALUE"""),0.661714)</f>
        <v>0.66171400000000002</v>
      </c>
      <c r="H2943" s="2">
        <f ca="1">IFERROR(__xludf.DUMMYFUNCTION("""COMPUTED_VALUE"""),47.989)</f>
        <v>47.988999999999997</v>
      </c>
      <c r="I2943" s="2">
        <f ca="1">IFERROR(__xludf.DUMMYFUNCTION("""COMPUTED_VALUE"""),53.423)</f>
        <v>53.423000000000002</v>
      </c>
      <c r="J2943" s="2">
        <f ca="1">IFERROR(__xludf.DUMMYFUNCTION("""COMPUTED_VALUE"""),51.318)</f>
        <v>51.317999999999998</v>
      </c>
      <c r="K2943" s="2">
        <f ca="1">IFERROR(__xludf.DUMMYFUNCTION("""COMPUTED_VALUE"""),70.074)</f>
        <v>70.073999999999998</v>
      </c>
      <c r="M2943" s="2">
        <f ca="1">IFERROR(__xludf.DUMMYFUNCTION("""COMPUTED_VALUE"""),18.905)</f>
        <v>18.905000000000001</v>
      </c>
      <c r="U2943" s="3" t="e">
        <f ca="1"/>
        <v>#NAME?</v>
      </c>
    </row>
    <row r="2944" spans="3:21" ht="12.5" x14ac:dyDescent="0.25">
      <c r="C2944" s="4">
        <f ca="1">IFERROR(__xludf.DUMMYFUNCTION("""COMPUTED_VALUE"""),43350.9986111111)</f>
        <v>43350.998611111099</v>
      </c>
      <c r="D2944" s="2">
        <f ca="1">IFERROR(__xludf.DUMMYFUNCTION("""COMPUTED_VALUE"""),72.1)</f>
        <v>72.099999999999994</v>
      </c>
      <c r="E2944" s="2">
        <f ca="1">IFERROR(__xludf.DUMMYFUNCTION("""COMPUTED_VALUE"""),78.084)</f>
        <v>78.084000000000003</v>
      </c>
      <c r="F2944" s="2">
        <f ca="1">IFERROR(__xludf.DUMMYFUNCTION("""COMPUTED_VALUE"""),88.157)</f>
        <v>88.156999999999996</v>
      </c>
      <c r="G2944" s="2">
        <f ca="1">IFERROR(__xludf.DUMMYFUNCTION("""COMPUTED_VALUE"""),0.6607667)</f>
        <v>0.66076670000000004</v>
      </c>
      <c r="H2944" s="2">
        <f ca="1">IFERROR(__xludf.DUMMYFUNCTION("""COMPUTED_VALUE"""),48.052)</f>
        <v>48.052</v>
      </c>
      <c r="I2944" s="2">
        <f ca="1">IFERROR(__xludf.DUMMYFUNCTION("""COMPUTED_VALUE"""),53.231)</f>
        <v>53.231000000000002</v>
      </c>
      <c r="J2944" s="2">
        <f ca="1">IFERROR(__xludf.DUMMYFUNCTION("""COMPUTED_VALUE"""),51.332)</f>
        <v>51.332000000000001</v>
      </c>
      <c r="K2944" s="2">
        <f ca="1">IFERROR(__xludf.DUMMYFUNCTION("""COMPUTED_VALUE"""),69.976)</f>
        <v>69.975999999999999</v>
      </c>
      <c r="M2944" s="2">
        <f ca="1">IFERROR(__xludf.DUMMYFUNCTION("""COMPUTED_VALUE"""),19.05)</f>
        <v>19.05</v>
      </c>
      <c r="U2944" s="3" t="e">
        <f ca="1"/>
        <v>#NAME?</v>
      </c>
    </row>
    <row r="2945" spans="3:21" ht="12.5" x14ac:dyDescent="0.25">
      <c r="C2945" s="4">
        <f ca="1">IFERROR(__xludf.DUMMYFUNCTION("""COMPUTED_VALUE"""),43351.9986111111)</f>
        <v>43351.998611111099</v>
      </c>
      <c r="D2945" s="2">
        <f ca="1">IFERROR(__xludf.DUMMYFUNCTION("""COMPUTED_VALUE"""),72.095)</f>
        <v>72.094999999999999</v>
      </c>
      <c r="E2945" s="2">
        <f ca="1">IFERROR(__xludf.DUMMYFUNCTION("""COMPUTED_VALUE"""),78.241)</f>
        <v>78.241</v>
      </c>
      <c r="F2945" s="2">
        <f ca="1">IFERROR(__xludf.DUMMYFUNCTION("""COMPUTED_VALUE"""),88.623)</f>
        <v>88.623000000000005</v>
      </c>
      <c r="G2945" s="2">
        <f ca="1">IFERROR(__xludf.DUMMYFUNCTION("""COMPUTED_VALUE"""),0.660094)</f>
        <v>0.66009399999999996</v>
      </c>
      <c r="H2945" s="2">
        <f ca="1">IFERROR(__xludf.DUMMYFUNCTION("""COMPUTED_VALUE"""),47.967)</f>
        <v>47.966999999999999</v>
      </c>
      <c r="I2945" s="2">
        <f ca="1">IFERROR(__xludf.DUMMYFUNCTION("""COMPUTED_VALUE"""),53.593)</f>
        <v>53.593000000000004</v>
      </c>
      <c r="J2945" s="2">
        <f ca="1">IFERROR(__xludf.DUMMYFUNCTION("""COMPUTED_VALUE"""),51.458)</f>
        <v>51.457999999999998</v>
      </c>
      <c r="K2945" s="2">
        <f ca="1">IFERROR(__xludf.DUMMYFUNCTION("""COMPUTED_VALUE"""),69.988)</f>
        <v>69.988</v>
      </c>
      <c r="M2945" s="2">
        <f ca="1">IFERROR(__xludf.DUMMYFUNCTION("""COMPUTED_VALUE"""),19.106)</f>
        <v>19.106000000000002</v>
      </c>
      <c r="U2945" s="3" t="e">
        <f ca="1"/>
        <v>#NAME?</v>
      </c>
    </row>
    <row r="2946" spans="3:21" ht="12.5" x14ac:dyDescent="0.25">
      <c r="C2946" s="4">
        <f ca="1">IFERROR(__xludf.DUMMYFUNCTION("""COMPUTED_VALUE"""),43352.9986111111)</f>
        <v>43352.998611111099</v>
      </c>
      <c r="D2946" s="2">
        <f ca="1">IFERROR(__xludf.DUMMYFUNCTION("""COMPUTED_VALUE"""),72.095)</f>
        <v>72.094999999999999</v>
      </c>
      <c r="E2946" s="2">
        <f ca="1">IFERROR(__xludf.DUMMYFUNCTION("""COMPUTED_VALUE"""),78.241)</f>
        <v>78.241</v>
      </c>
      <c r="F2946" s="2">
        <f ca="1">IFERROR(__xludf.DUMMYFUNCTION("""COMPUTED_VALUE"""),88.229)</f>
        <v>88.228999999999999</v>
      </c>
      <c r="G2946" s="2">
        <f ca="1">IFERROR(__xludf.DUMMYFUNCTION("""COMPUTED_VALUE"""),0.6600585)</f>
        <v>0.66005849999999999</v>
      </c>
      <c r="H2946" s="2">
        <f ca="1">IFERROR(__xludf.DUMMYFUNCTION("""COMPUTED_VALUE"""),48.068)</f>
        <v>48.067999999999998</v>
      </c>
      <c r="I2946" s="2">
        <f ca="1">IFERROR(__xludf.DUMMYFUNCTION("""COMPUTED_VALUE"""),53.615)</f>
        <v>53.615000000000002</v>
      </c>
      <c r="J2946" s="2">
        <f ca="1">IFERROR(__xludf.DUMMYFUNCTION("""COMPUTED_VALUE"""),51.429)</f>
        <v>51.429000000000002</v>
      </c>
      <c r="K2946" s="2">
        <f ca="1">IFERROR(__xludf.DUMMYFUNCTION("""COMPUTED_VALUE"""),69.714)</f>
        <v>69.713999999999999</v>
      </c>
      <c r="M2946" s="2">
        <f ca="1">IFERROR(__xludf.DUMMYFUNCTION("""COMPUTED_VALUE"""),18.94)</f>
        <v>18.940000000000001</v>
      </c>
      <c r="U2946" s="3" t="e">
        <f ca="1"/>
        <v>#NAME?</v>
      </c>
    </row>
    <row r="2947" spans="3:21" ht="12.5" x14ac:dyDescent="0.25">
      <c r="C2947" s="4">
        <f ca="1">IFERROR(__xludf.DUMMYFUNCTION("""COMPUTED_VALUE"""),43353.9986111111)</f>
        <v>43353.998611111099</v>
      </c>
      <c r="D2947" s="2">
        <f ca="1">IFERROR(__xludf.DUMMYFUNCTION("""COMPUTED_VALUE"""),72.445)</f>
        <v>72.444999999999993</v>
      </c>
      <c r="E2947" s="2">
        <f ca="1">IFERROR(__xludf.DUMMYFUNCTION("""COMPUTED_VALUE"""),78.462)</f>
        <v>78.462000000000003</v>
      </c>
      <c r="F2947" s="2">
        <f ca="1">IFERROR(__xludf.DUMMYFUNCTION("""COMPUTED_VALUE"""),88.224)</f>
        <v>88.224000000000004</v>
      </c>
      <c r="G2947" s="2">
        <f ca="1">IFERROR(__xludf.DUMMYFUNCTION("""COMPUTED_VALUE"""),0.6571307)</f>
        <v>0.65713069999999996</v>
      </c>
      <c r="H2947" s="2">
        <f ca="1">IFERROR(__xludf.DUMMYFUNCTION("""COMPUTED_VALUE"""),48.069)</f>
        <v>48.069000000000003</v>
      </c>
      <c r="I2947" s="2">
        <f ca="1">IFERROR(__xludf.DUMMYFUNCTION("""COMPUTED_VALUE"""),53.615)</f>
        <v>53.615000000000002</v>
      </c>
      <c r="J2947" s="2">
        <f ca="1">IFERROR(__xludf.DUMMYFUNCTION("""COMPUTED_VALUE"""),51.567)</f>
        <v>51.567</v>
      </c>
      <c r="K2947" s="2">
        <f ca="1">IFERROR(__xludf.DUMMYFUNCTION("""COMPUTED_VALUE"""),69.256)</f>
        <v>69.256</v>
      </c>
      <c r="M2947" s="2">
        <f ca="1">IFERROR(__xludf.DUMMYFUNCTION("""COMPUTED_VALUE"""),18.93)</f>
        <v>18.93</v>
      </c>
      <c r="U2947" s="3" t="e">
        <f ca="1"/>
        <v>#NAME?</v>
      </c>
    </row>
    <row r="2948" spans="3:21" ht="12.5" x14ac:dyDescent="0.25">
      <c r="C2948" s="4">
        <f ca="1">IFERROR(__xludf.DUMMYFUNCTION("""COMPUTED_VALUE"""),43354.9986111111)</f>
        <v>43354.998611111099</v>
      </c>
      <c r="D2948" s="2">
        <f ca="1">IFERROR(__xludf.DUMMYFUNCTION("""COMPUTED_VALUE"""),72.99)</f>
        <v>72.989999999999995</v>
      </c>
      <c r="E2948" s="2">
        <f ca="1">IFERROR(__xludf.DUMMYFUNCTION("""COMPUTED_VALUE"""),78.813)</f>
        <v>78.813000000000002</v>
      </c>
      <c r="F2948" s="2">
        <f ca="1">IFERROR(__xludf.DUMMYFUNCTION("""COMPUTED_VALUE"""),88.214)</f>
        <v>88.213999999999999</v>
      </c>
      <c r="G2948" s="2">
        <f ca="1">IFERROR(__xludf.DUMMYFUNCTION("""COMPUTED_VALUE"""),0.6545474)</f>
        <v>0.6545474</v>
      </c>
      <c r="H2948" s="2">
        <f ca="1">IFERROR(__xludf.DUMMYFUNCTION("""COMPUTED_VALUE"""),48.069)</f>
        <v>48.069000000000003</v>
      </c>
      <c r="I2948" s="2">
        <f ca="1">IFERROR(__xludf.DUMMYFUNCTION("""COMPUTED_VALUE"""),53.796)</f>
        <v>53.795999999999999</v>
      </c>
      <c r="J2948" s="2">
        <f ca="1">IFERROR(__xludf.DUMMYFUNCTION("""COMPUTED_VALUE"""),51.602)</f>
        <v>51.601999999999997</v>
      </c>
      <c r="K2948" s="2">
        <f ca="1">IFERROR(__xludf.DUMMYFUNCTION("""COMPUTED_VALUE"""),69.236)</f>
        <v>69.236000000000004</v>
      </c>
      <c r="M2948" s="2">
        <f ca="1">IFERROR(__xludf.DUMMYFUNCTION("""COMPUTED_VALUE"""),19.004)</f>
        <v>19.004000000000001</v>
      </c>
      <c r="U2948" s="3" t="e">
        <f ca="1"/>
        <v>#NAME?</v>
      </c>
    </row>
    <row r="2949" spans="3:21" ht="12.5" x14ac:dyDescent="0.25">
      <c r="C2949" s="4">
        <f ca="1">IFERROR(__xludf.DUMMYFUNCTION("""COMPUTED_VALUE"""),43355.9986111111)</f>
        <v>43355.998611111099</v>
      </c>
      <c r="D2949" s="2">
        <f ca="1">IFERROR(__xludf.DUMMYFUNCTION("""COMPUTED_VALUE"""),71.9252)</f>
        <v>71.925200000000004</v>
      </c>
      <c r="E2949" s="2">
        <f ca="1">IFERROR(__xludf.DUMMYFUNCTION("""COMPUTED_VALUE"""),78.949)</f>
        <v>78.948999999999998</v>
      </c>
      <c r="F2949" s="2">
        <f ca="1">IFERROR(__xludf.DUMMYFUNCTION("""COMPUTED_VALUE"""),89.271)</f>
        <v>89.271000000000001</v>
      </c>
      <c r="G2949" s="2">
        <f ca="1">IFERROR(__xludf.DUMMYFUNCTION("""COMPUTED_VALUE"""),0.6509533)</f>
        <v>0.65095329999999996</v>
      </c>
      <c r="H2949" s="2">
        <f ca="1">IFERROR(__xludf.DUMMYFUNCTION("""COMPUTED_VALUE"""),48.109)</f>
        <v>48.109000000000002</v>
      </c>
      <c r="I2949" s="2">
        <f ca="1">IFERROR(__xludf.DUMMYFUNCTION("""COMPUTED_VALUE"""),53.991)</f>
        <v>53.991</v>
      </c>
      <c r="J2949" s="2">
        <f ca="1">IFERROR(__xludf.DUMMYFUNCTION("""COMPUTED_VALUE"""),51.60165)</f>
        <v>51.601649999999999</v>
      </c>
      <c r="K2949" s="2">
        <f ca="1">IFERROR(__xludf.DUMMYFUNCTION("""COMPUTED_VALUE"""),69.451)</f>
        <v>69.450999999999993</v>
      </c>
      <c r="M2949" s="2">
        <f ca="1">IFERROR(__xludf.DUMMYFUNCTION("""COMPUTED_VALUE"""),19.147)</f>
        <v>19.146999999999998</v>
      </c>
      <c r="U2949" s="3" t="e">
        <f ca="1"/>
        <v>#NAME?</v>
      </c>
    </row>
    <row r="2950" spans="3:21" ht="12.5" x14ac:dyDescent="0.25">
      <c r="C2950" s="4">
        <f ca="1">IFERROR(__xludf.DUMMYFUNCTION("""COMPUTED_VALUE"""),43356.9986111111)</f>
        <v>43356.998611111099</v>
      </c>
      <c r="D2950" s="2">
        <f ca="1">IFERROR(__xludf.DUMMYFUNCTION("""COMPUTED_VALUE"""),72.0275)</f>
        <v>72.027500000000003</v>
      </c>
      <c r="E2950" s="2">
        <f ca="1">IFERROR(__xludf.DUMMYFUNCTION("""COMPUTED_VALUE"""),79.056)</f>
        <v>79.055999999999997</v>
      </c>
      <c r="F2950" s="2">
        <f ca="1">IFERROR(__xludf.DUMMYFUNCTION("""COMPUTED_VALUE"""),88.969)</f>
        <v>88.968999999999994</v>
      </c>
      <c r="G2950" s="2">
        <f ca="1">IFERROR(__xludf.DUMMYFUNCTION("""COMPUTED_VALUE"""),0.6522222)</f>
        <v>0.65222219999999997</v>
      </c>
      <c r="H2950" s="2">
        <f ca="1">IFERROR(__xludf.DUMMYFUNCTION("""COMPUTED_VALUE"""),48.494)</f>
        <v>48.494</v>
      </c>
      <c r="I2950" s="2">
        <f ca="1">IFERROR(__xludf.DUMMYFUNCTION("""COMPUTED_VALUE"""),53.487)</f>
        <v>53.487000000000002</v>
      </c>
      <c r="J2950" s="2">
        <f ca="1">IFERROR(__xludf.DUMMYFUNCTION("""COMPUTED_VALUE"""),51.98018)</f>
        <v>51.980179999999997</v>
      </c>
      <c r="K2950" s="2">
        <f ca="1">IFERROR(__xludf.DUMMYFUNCTION("""COMPUTED_VALUE"""),69.203)</f>
        <v>69.203000000000003</v>
      </c>
      <c r="M2950" s="2">
        <f ca="1">IFERROR(__xludf.DUMMYFUNCTION("""COMPUTED_VALUE"""),19.245)</f>
        <v>19.245000000000001</v>
      </c>
      <c r="U2950" s="3" t="e">
        <f ca="1"/>
        <v>#NAME?</v>
      </c>
    </row>
    <row r="2951" spans="3:21" ht="12.5" x14ac:dyDescent="0.25">
      <c r="C2951" s="4">
        <f ca="1">IFERROR(__xludf.DUMMYFUNCTION("""COMPUTED_VALUE"""),43357.9986111111)</f>
        <v>43357.998611111099</v>
      </c>
      <c r="D2951" s="2">
        <f ca="1">IFERROR(__xludf.DUMMYFUNCTION("""COMPUTED_VALUE"""),72.1)</f>
        <v>72.099999999999994</v>
      </c>
      <c r="E2951" s="2">
        <f ca="1">IFERROR(__xludf.DUMMYFUNCTION("""COMPUTED_VALUE"""),79.335)</f>
        <v>79.334999999999994</v>
      </c>
      <c r="F2951" s="2">
        <f ca="1">IFERROR(__xludf.DUMMYFUNCTION("""COMPUTED_VALUE"""),89.713)</f>
        <v>89.712999999999994</v>
      </c>
      <c r="G2951" s="2">
        <f ca="1">IFERROR(__xludf.DUMMYFUNCTION("""COMPUTED_VALUE"""),0.6545048)</f>
        <v>0.6545048</v>
      </c>
      <c r="H2951" s="2">
        <f ca="1">IFERROR(__xludf.DUMMYFUNCTION("""COMPUTED_VALUE"""),48.081)</f>
        <v>48.081000000000003</v>
      </c>
      <c r="I2951" s="2">
        <f ca="1">IFERROR(__xludf.DUMMYFUNCTION("""COMPUTED_VALUE"""),53.866)</f>
        <v>53.866</v>
      </c>
      <c r="J2951" s="2">
        <f ca="1">IFERROR(__xludf.DUMMYFUNCTION("""COMPUTED_VALUE"""),52.09038)</f>
        <v>52.090380000000003</v>
      </c>
      <c r="K2951" s="2">
        <f ca="1">IFERROR(__xludf.DUMMYFUNCTION("""COMPUTED_VALUE"""),69.638)</f>
        <v>69.638000000000005</v>
      </c>
      <c r="M2951" s="2">
        <f ca="1">IFERROR(__xludf.DUMMYFUNCTION("""COMPUTED_VALUE"""),19.166)</f>
        <v>19.166</v>
      </c>
      <c r="U2951" s="3" t="e">
        <f ca="1"/>
        <v>#NAME?</v>
      </c>
    </row>
    <row r="2952" spans="3:21" ht="12.5" x14ac:dyDescent="0.25">
      <c r="C2952" s="4">
        <f ca="1">IFERROR(__xludf.DUMMYFUNCTION("""COMPUTED_VALUE"""),43359.9986111111)</f>
        <v>43359.998611111099</v>
      </c>
      <c r="D2952" s="2">
        <f ca="1">IFERROR(__xludf.DUMMYFUNCTION("""COMPUTED_VALUE"""),72.095)</f>
        <v>72.094999999999999</v>
      </c>
      <c r="E2952" s="2">
        <f ca="1">IFERROR(__xludf.DUMMYFUNCTION("""COMPUTED_VALUE"""),79.001)</f>
        <v>79.001000000000005</v>
      </c>
      <c r="F2952" s="2">
        <f ca="1">IFERROR(__xludf.DUMMYFUNCTION("""COMPUTED_VALUE"""),88.991)</f>
        <v>88.991</v>
      </c>
      <c r="G2952" s="2">
        <f ca="1">IFERROR(__xludf.DUMMYFUNCTION("""COMPUTED_VALUE"""),0.6543149)</f>
        <v>0.65431490000000003</v>
      </c>
      <c r="H2952" s="2">
        <f ca="1">IFERROR(__xludf.DUMMYFUNCTION("""COMPUTED_VALUE"""),48.582)</f>
        <v>48.582000000000001</v>
      </c>
      <c r="I2952" s="2">
        <f ca="1">IFERROR(__xludf.DUMMYFUNCTION("""COMPUTED_VALUE"""),53.576)</f>
        <v>53.576000000000001</v>
      </c>
      <c r="J2952" s="2">
        <f ca="1">IFERROR(__xludf.DUMMYFUNCTION("""COMPUTED_VALUE"""),51.99486)</f>
        <v>51.994860000000003</v>
      </c>
      <c r="K2952" s="2">
        <f ca="1">IFERROR(__xludf.DUMMYFUNCTION("""COMPUTED_VALUE"""),70.895)</f>
        <v>70.894999999999996</v>
      </c>
      <c r="M2952" s="2">
        <f ca="1">IFERROR(__xludf.DUMMYFUNCTION("""COMPUTED_VALUE"""),19.162)</f>
        <v>19.161999999999999</v>
      </c>
      <c r="U2952" s="3" t="e">
        <f ca="1"/>
        <v>#NAME?</v>
      </c>
    </row>
    <row r="2953" spans="3:21" ht="12.5" x14ac:dyDescent="0.25">
      <c r="C2953" s="4">
        <f ca="1">IFERROR(__xludf.DUMMYFUNCTION("""COMPUTED_VALUE"""),43360.9986111111)</f>
        <v>43360.998611111099</v>
      </c>
      <c r="D2953" s="2">
        <f ca="1">IFERROR(__xludf.DUMMYFUNCTION("""COMPUTED_VALUE"""),72.5348)</f>
        <v>72.534800000000004</v>
      </c>
      <c r="E2953" s="2">
        <f ca="1">IFERROR(__xludf.DUMMYFUNCTION("""COMPUTED_VALUE"""),78.727)</f>
        <v>78.727000000000004</v>
      </c>
      <c r="F2953" s="2">
        <f ca="1">IFERROR(__xludf.DUMMYFUNCTION("""COMPUTED_VALUE"""),88.98)</f>
        <v>88.98</v>
      </c>
      <c r="G2953" s="2">
        <f ca="1">IFERROR(__xludf.DUMMYFUNCTION("""COMPUTED_VALUE"""),0.6563403)</f>
        <v>0.65634029999999999</v>
      </c>
      <c r="H2953" s="2">
        <f ca="1">IFERROR(__xludf.DUMMYFUNCTION("""COMPUTED_VALUE"""),48.222)</f>
        <v>48.222000000000001</v>
      </c>
      <c r="I2953" s="2">
        <f ca="1">IFERROR(__xludf.DUMMYFUNCTION("""COMPUTED_VALUE"""),53.564)</f>
        <v>53.564</v>
      </c>
      <c r="J2953" s="2">
        <f ca="1">IFERROR(__xludf.DUMMYFUNCTION("""COMPUTED_VALUE"""),52.05162)</f>
        <v>52.05162</v>
      </c>
      <c r="K2953" s="2">
        <f ca="1">IFERROR(__xludf.DUMMYFUNCTION("""COMPUTED_VALUE"""),72.894)</f>
        <v>72.894000000000005</v>
      </c>
      <c r="M2953" s="2">
        <f ca="1">IFERROR(__xludf.DUMMYFUNCTION("""COMPUTED_VALUE"""),19.16)</f>
        <v>19.16</v>
      </c>
      <c r="U2953" s="3" t="e">
        <f ca="1"/>
        <v>#NAME?</v>
      </c>
    </row>
    <row r="2954" spans="3:21" ht="12.5" x14ac:dyDescent="0.25">
      <c r="C2954" s="4">
        <f ca="1">IFERROR(__xludf.DUMMYFUNCTION("""COMPUTED_VALUE"""),43361.9986111111)</f>
        <v>43361.998611111099</v>
      </c>
      <c r="D2954" s="2">
        <f ca="1">IFERROR(__xludf.DUMMYFUNCTION("""COMPUTED_VALUE"""),73.12)</f>
        <v>73.12</v>
      </c>
      <c r="E2954" s="2">
        <f ca="1">IFERROR(__xludf.DUMMYFUNCTION("""COMPUTED_VALUE"""),78.651)</f>
        <v>78.650999999999996</v>
      </c>
      <c r="F2954" s="2">
        <f ca="1">IFERROR(__xludf.DUMMYFUNCTION("""COMPUTED_VALUE"""),88.975)</f>
        <v>88.974999999999994</v>
      </c>
      <c r="G2954" s="2">
        <f ca="1">IFERROR(__xludf.DUMMYFUNCTION("""COMPUTED_VALUE"""),0.6595964)</f>
        <v>0.65959639999999997</v>
      </c>
      <c r="H2954" s="2">
        <f ca="1">IFERROR(__xludf.DUMMYFUNCTION("""COMPUTED_VALUE"""),48.183)</f>
        <v>48.183</v>
      </c>
      <c r="I2954" s="2">
        <f ca="1">IFERROR(__xludf.DUMMYFUNCTION("""COMPUTED_VALUE"""),53.564)</f>
        <v>53.564</v>
      </c>
      <c r="J2954" s="2">
        <f ca="1">IFERROR(__xludf.DUMMYFUNCTION("""COMPUTED_VALUE"""),52.0687)</f>
        <v>52.0687</v>
      </c>
      <c r="K2954" s="2">
        <f ca="1">IFERROR(__xludf.DUMMYFUNCTION("""COMPUTED_VALUE"""),72.723)</f>
        <v>72.722999999999999</v>
      </c>
      <c r="M2954" s="2">
        <f ca="1">IFERROR(__xludf.DUMMYFUNCTION("""COMPUTED_VALUE"""),19.259)</f>
        <v>19.259</v>
      </c>
      <c r="U2954" s="3" t="e">
        <f ca="1"/>
        <v>#NAME?</v>
      </c>
    </row>
    <row r="2955" spans="3:21" ht="12.5" x14ac:dyDescent="0.25">
      <c r="C2955" s="4">
        <f ca="1">IFERROR(__xludf.DUMMYFUNCTION("""COMPUTED_VALUE"""),43362.9986111111)</f>
        <v>43362.998611111099</v>
      </c>
      <c r="D2955" s="2">
        <f ca="1">IFERROR(__xludf.DUMMYFUNCTION("""COMPUTED_VALUE"""),72.345)</f>
        <v>72.344999999999999</v>
      </c>
      <c r="E2955" s="2">
        <f ca="1">IFERROR(__xludf.DUMMYFUNCTION("""COMPUTED_VALUE"""),78.72)</f>
        <v>78.72</v>
      </c>
      <c r="F2955" s="2">
        <f ca="1">IFERROR(__xludf.DUMMYFUNCTION("""COMPUTED_VALUE"""),89.018)</f>
        <v>89.018000000000001</v>
      </c>
      <c r="G2955" s="2">
        <f ca="1">IFERROR(__xludf.DUMMYFUNCTION("""COMPUTED_VALUE"""),0.6561983)</f>
        <v>0.65619830000000001</v>
      </c>
      <c r="H2955" s="2">
        <f ca="1">IFERROR(__xludf.DUMMYFUNCTION("""COMPUTED_VALUE"""),48.183)</f>
        <v>48.183</v>
      </c>
      <c r="I2955" s="2">
        <f ca="1">IFERROR(__xludf.DUMMYFUNCTION("""COMPUTED_VALUE"""),53.549)</f>
        <v>53.548999999999999</v>
      </c>
      <c r="J2955" s="2">
        <f ca="1">IFERROR(__xludf.DUMMYFUNCTION("""COMPUTED_VALUE"""),52.04385)</f>
        <v>52.043849999999999</v>
      </c>
      <c r="K2955" s="2">
        <f ca="1">IFERROR(__xludf.DUMMYFUNCTION("""COMPUTED_VALUE"""),72.936)</f>
        <v>72.936000000000007</v>
      </c>
      <c r="M2955" s="2">
        <f ca="1">IFERROR(__xludf.DUMMYFUNCTION("""COMPUTED_VALUE"""),19.354)</f>
        <v>19.353999999999999</v>
      </c>
      <c r="U2955" s="3" t="e">
        <f ca="1"/>
        <v>#NAME?</v>
      </c>
    </row>
    <row r="2956" spans="3:21" ht="12.5" x14ac:dyDescent="0.25">
      <c r="C2956" s="4">
        <f ca="1">IFERROR(__xludf.DUMMYFUNCTION("""COMPUTED_VALUE"""),43363.9986111111)</f>
        <v>43363.998611111099</v>
      </c>
      <c r="D2956" s="2">
        <f ca="1">IFERROR(__xludf.DUMMYFUNCTION("""COMPUTED_VALUE"""),71.72)</f>
        <v>71.72</v>
      </c>
      <c r="E2956" s="2">
        <f ca="1">IFERROR(__xludf.DUMMYFUNCTION("""COMPUTED_VALUE"""),78.389)</f>
        <v>78.388999999999996</v>
      </c>
      <c r="F2956" s="2">
        <f ca="1">IFERROR(__xludf.DUMMYFUNCTION("""COMPUTED_VALUE"""),89.25)</f>
        <v>89.25</v>
      </c>
      <c r="G2956" s="2">
        <f ca="1">IFERROR(__xludf.DUMMYFUNCTION("""COMPUTED_VALUE"""),0.6544763)</f>
        <v>0.65447630000000001</v>
      </c>
      <c r="H2956" s="2">
        <f ca="1">IFERROR(__xludf.DUMMYFUNCTION("""COMPUTED_VALUE"""),48.22)</f>
        <v>48.22</v>
      </c>
      <c r="I2956" s="2">
        <f ca="1">IFERROR(__xludf.DUMMYFUNCTION("""COMPUTED_VALUE"""),53.669)</f>
        <v>53.668999999999997</v>
      </c>
      <c r="J2956" s="2">
        <f ca="1">IFERROR(__xludf.DUMMYFUNCTION("""COMPUTED_VALUE"""),51.9054)</f>
        <v>51.9054</v>
      </c>
      <c r="K2956" s="2">
        <f ca="1">IFERROR(__xludf.DUMMYFUNCTION("""COMPUTED_VALUE"""),72.294)</f>
        <v>72.293999999999997</v>
      </c>
      <c r="M2956" s="2">
        <f ca="1">IFERROR(__xludf.DUMMYFUNCTION("""COMPUTED_VALUE"""),19.319)</f>
        <v>19.318999999999999</v>
      </c>
      <c r="U2956" s="3" t="e">
        <f ca="1"/>
        <v>#NAME?</v>
      </c>
    </row>
    <row r="2957" spans="3:21" ht="12.5" x14ac:dyDescent="0.25">
      <c r="C2957" s="4">
        <f ca="1">IFERROR(__xludf.DUMMYFUNCTION("""COMPUTED_VALUE"""),43364.9986111111)</f>
        <v>43364.998611111099</v>
      </c>
      <c r="D2957" s="2">
        <f ca="1">IFERROR(__xludf.DUMMYFUNCTION("""COMPUTED_VALUE"""),72.21)</f>
        <v>72.209999999999994</v>
      </c>
      <c r="E2957" s="2">
        <f ca="1">IFERROR(__xludf.DUMMYFUNCTION("""COMPUTED_VALUE"""),78.436)</f>
        <v>78.436000000000007</v>
      </c>
      <c r="F2957" s="2">
        <f ca="1">IFERROR(__xludf.DUMMYFUNCTION("""COMPUTED_VALUE"""),90.076)</f>
        <v>90.075999999999993</v>
      </c>
      <c r="G2957" s="2">
        <f ca="1">IFERROR(__xludf.DUMMYFUNCTION("""COMPUTED_VALUE"""),0.6557748)</f>
        <v>0.65577479999999999</v>
      </c>
      <c r="H2957" s="2">
        <f ca="1">IFERROR(__xludf.DUMMYFUNCTION("""COMPUTED_VALUE"""),48.427)</f>
        <v>48.427</v>
      </c>
      <c r="I2957" s="2">
        <f ca="1">IFERROR(__xludf.DUMMYFUNCTION("""COMPUTED_VALUE"""),53.705)</f>
        <v>53.704999999999998</v>
      </c>
      <c r="J2957" s="2">
        <f ca="1">IFERROR(__xludf.DUMMYFUNCTION("""COMPUTED_VALUE"""),51.84982)</f>
        <v>51.849820000000001</v>
      </c>
      <c r="K2957" s="2">
        <f ca="1">IFERROR(__xludf.DUMMYFUNCTION("""COMPUTED_VALUE"""),72.813)</f>
        <v>72.813000000000002</v>
      </c>
      <c r="M2957" s="2">
        <f ca="1">IFERROR(__xludf.DUMMYFUNCTION("""COMPUTED_VALUE"""),19.335)</f>
        <v>19.335000000000001</v>
      </c>
      <c r="U2957" s="3" t="e">
        <f ca="1"/>
        <v>#NAME?</v>
      </c>
    </row>
    <row r="2958" spans="3:21" ht="12.5" x14ac:dyDescent="0.25">
      <c r="C2958" s="4">
        <f ca="1">IFERROR(__xludf.DUMMYFUNCTION("""COMPUTED_VALUE"""),43365.9986111111)</f>
        <v>43365.998611111099</v>
      </c>
      <c r="D2958" s="2">
        <f ca="1">IFERROR(__xludf.DUMMYFUNCTION("""COMPUTED_VALUE"""),72.23)</f>
        <v>72.23</v>
      </c>
      <c r="E2958" s="2">
        <f ca="1">IFERROR(__xludf.DUMMYFUNCTION("""COMPUTED_VALUE"""),78.693)</f>
        <v>78.692999999999998</v>
      </c>
      <c r="F2958" s="2">
        <f ca="1">IFERROR(__xludf.DUMMYFUNCTION("""COMPUTED_VALUE"""),90.11)</f>
        <v>90.11</v>
      </c>
      <c r="G2958" s="2">
        <f ca="1">IFERROR(__xludf.DUMMYFUNCTION("""COMPUTED_VALUE"""),0.6530009)</f>
        <v>0.6530009</v>
      </c>
      <c r="H2958" s="2">
        <f ca="1">IFERROR(__xludf.DUMMYFUNCTION("""COMPUTED_VALUE"""),48.42)</f>
        <v>48.42</v>
      </c>
      <c r="I2958" s="2">
        <f ca="1">IFERROR(__xludf.DUMMYFUNCTION("""COMPUTED_VALUE"""),54.044)</f>
        <v>54.043999999999997</v>
      </c>
      <c r="J2958" s="2">
        <f ca="1">IFERROR(__xludf.DUMMYFUNCTION("""COMPUTED_VALUE"""),51.98682)</f>
        <v>51.986820000000002</v>
      </c>
      <c r="K2958" s="2">
        <f ca="1">IFERROR(__xludf.DUMMYFUNCTION("""COMPUTED_VALUE"""),73.477)</f>
        <v>73.477000000000004</v>
      </c>
      <c r="M2958" s="2">
        <f ca="1">IFERROR(__xludf.DUMMYFUNCTION("""COMPUTED_VALUE"""),19.399)</f>
        <v>19.399000000000001</v>
      </c>
      <c r="U2958" s="3" t="e">
        <f ca="1"/>
        <v>#NAME?</v>
      </c>
    </row>
    <row r="2959" spans="3:21" ht="12.5" x14ac:dyDescent="0.25">
      <c r="C2959" s="4">
        <f ca="1">IFERROR(__xludf.DUMMYFUNCTION("""COMPUTED_VALUE"""),43366.9986111111)</f>
        <v>43366.998611111099</v>
      </c>
      <c r="D2959" s="2">
        <f ca="1">IFERROR(__xludf.DUMMYFUNCTION("""COMPUTED_VALUE"""),72.23)</f>
        <v>72.23</v>
      </c>
      <c r="E2959" s="2">
        <f ca="1">IFERROR(__xludf.DUMMYFUNCTION("""COMPUTED_VALUE"""),79.05)</f>
        <v>79.05</v>
      </c>
      <c r="F2959" s="2">
        <f ca="1">IFERROR(__xludf.DUMMYFUNCTION("""COMPUTED_VALUE"""),90.015)</f>
        <v>90.015000000000001</v>
      </c>
      <c r="G2959" s="2">
        <f ca="1">IFERROR(__xludf.DUMMYFUNCTION("""COMPUTED_VALUE"""),0.650329)</f>
        <v>0.65032900000000005</v>
      </c>
      <c r="H2959" s="2">
        <f ca="1">IFERROR(__xludf.DUMMYFUNCTION("""COMPUTED_VALUE"""),48.537)</f>
        <v>48.536999999999999</v>
      </c>
      <c r="I2959" s="2">
        <f ca="1">IFERROR(__xludf.DUMMYFUNCTION("""COMPUTED_VALUE"""),53.776)</f>
        <v>53.776000000000003</v>
      </c>
      <c r="J2959" s="2">
        <f ca="1">IFERROR(__xludf.DUMMYFUNCTION("""COMPUTED_VALUE"""),51.89469)</f>
        <v>51.894689999999997</v>
      </c>
      <c r="K2959" s="2">
        <f ca="1">IFERROR(__xludf.DUMMYFUNCTION("""COMPUTED_VALUE"""),73.09)</f>
        <v>73.09</v>
      </c>
      <c r="M2959" s="2">
        <f ca="1">IFERROR(__xludf.DUMMYFUNCTION("""COMPUTED_VALUE"""),19.398)</f>
        <v>19.398</v>
      </c>
      <c r="U2959" s="3" t="e">
        <f ca="1"/>
        <v>#NAME?</v>
      </c>
    </row>
    <row r="2960" spans="3:21" ht="12.5" x14ac:dyDescent="0.25">
      <c r="C2960" s="4">
        <f ca="1">IFERROR(__xludf.DUMMYFUNCTION("""COMPUTED_VALUE"""),43367.9986111111)</f>
        <v>43367.998611111099</v>
      </c>
      <c r="D2960" s="2">
        <f ca="1">IFERROR(__xludf.DUMMYFUNCTION("""COMPUTED_VALUE"""),73.3)</f>
        <v>73.3</v>
      </c>
      <c r="E2960" s="2">
        <f ca="1">IFERROR(__xludf.DUMMYFUNCTION("""COMPUTED_VALUE"""),79.201)</f>
        <v>79.200999999999993</v>
      </c>
      <c r="F2960" s="2">
        <f ca="1">IFERROR(__xludf.DUMMYFUNCTION("""COMPUTED_VALUE"""),89.656)</f>
        <v>89.656000000000006</v>
      </c>
      <c r="G2960" s="2">
        <f ca="1">IFERROR(__xludf.DUMMYFUNCTION("""COMPUTED_VALUE"""),0.6507398)</f>
        <v>0.65073979999999998</v>
      </c>
      <c r="H2960" s="2">
        <f ca="1">IFERROR(__xludf.DUMMYFUNCTION("""COMPUTED_VALUE"""),48.266)</f>
        <v>48.265999999999998</v>
      </c>
      <c r="I2960" s="2">
        <f ca="1">IFERROR(__xludf.DUMMYFUNCTION("""COMPUTED_VALUE"""),52.793)</f>
        <v>52.792999999999999</v>
      </c>
      <c r="J2960" s="2">
        <f ca="1">IFERROR(__xludf.DUMMYFUNCTION("""COMPUTED_VALUE"""),51.88218)</f>
        <v>51.882179999999998</v>
      </c>
      <c r="K2960" s="2">
        <f ca="1">IFERROR(__xludf.DUMMYFUNCTION("""COMPUTED_VALUE"""),73.146)</f>
        <v>73.146000000000001</v>
      </c>
      <c r="M2960" s="2">
        <f ca="1">IFERROR(__xludf.DUMMYFUNCTION("""COMPUTED_VALUE"""),19.375)</f>
        <v>19.375</v>
      </c>
      <c r="U2960" s="3" t="e">
        <f ca="1"/>
        <v>#NAME?</v>
      </c>
    </row>
    <row r="2961" spans="3:21" ht="12.5" x14ac:dyDescent="0.25">
      <c r="C2961" s="4">
        <f ca="1">IFERROR(__xludf.DUMMYFUNCTION("""COMPUTED_VALUE"""),43368.9986111111)</f>
        <v>43368.998611111099</v>
      </c>
      <c r="D2961" s="2">
        <f ca="1">IFERROR(__xludf.DUMMYFUNCTION("""COMPUTED_VALUE"""),73.09)</f>
        <v>73.09</v>
      </c>
      <c r="E2961" s="2">
        <f ca="1">IFERROR(__xludf.DUMMYFUNCTION("""COMPUTED_VALUE"""),78.938)</f>
        <v>78.938000000000002</v>
      </c>
      <c r="F2961" s="2">
        <f ca="1">IFERROR(__xludf.DUMMYFUNCTION("""COMPUTED_VALUE"""),89.638)</f>
        <v>89.638000000000005</v>
      </c>
      <c r="G2961" s="2">
        <f ca="1">IFERROR(__xludf.DUMMYFUNCTION("""COMPUTED_VALUE"""),0.6442976)</f>
        <v>0.64429760000000003</v>
      </c>
      <c r="H2961" s="2">
        <f ca="1">IFERROR(__xludf.DUMMYFUNCTION("""COMPUTED_VALUE"""),47.751)</f>
        <v>47.750999999999998</v>
      </c>
      <c r="I2961" s="2">
        <f ca="1">IFERROR(__xludf.DUMMYFUNCTION("""COMPUTED_VALUE"""),53.77)</f>
        <v>53.77</v>
      </c>
      <c r="J2961" s="2">
        <f ca="1">IFERROR(__xludf.DUMMYFUNCTION("""COMPUTED_VALUE"""),51.97705)</f>
        <v>51.977049999999998</v>
      </c>
      <c r="K2961" s="2">
        <f ca="1">IFERROR(__xludf.DUMMYFUNCTION("""COMPUTED_VALUE"""),73.46)</f>
        <v>73.459999999999994</v>
      </c>
      <c r="M2961" s="2">
        <f ca="1">IFERROR(__xludf.DUMMYFUNCTION("""COMPUTED_VALUE"""),19.389)</f>
        <v>19.388999999999999</v>
      </c>
      <c r="U2961" s="3" t="e">
        <f ca="1"/>
        <v>#NAME?</v>
      </c>
    </row>
    <row r="2962" spans="3:21" ht="12.5" x14ac:dyDescent="0.25">
      <c r="C2962" s="4">
        <f ca="1">IFERROR(__xludf.DUMMYFUNCTION("""COMPUTED_VALUE"""),43369.9986111111)</f>
        <v>43369.998611111099</v>
      </c>
      <c r="D2962" s="2">
        <f ca="1">IFERROR(__xludf.DUMMYFUNCTION("""COMPUTED_VALUE"""),72.77)</f>
        <v>72.77</v>
      </c>
      <c r="E2962" s="2">
        <f ca="1">IFERROR(__xludf.DUMMYFUNCTION("""COMPUTED_VALUE"""),78.694)</f>
        <v>78.694000000000003</v>
      </c>
      <c r="F2962" s="2">
        <f ca="1">IFERROR(__xludf.DUMMYFUNCTION("""COMPUTED_VALUE"""),89.651)</f>
        <v>89.650999999999996</v>
      </c>
      <c r="G2962" s="2">
        <f ca="1">IFERROR(__xludf.DUMMYFUNCTION("""COMPUTED_VALUE"""),0.6471)</f>
        <v>0.64710000000000001</v>
      </c>
      <c r="H2962" s="2">
        <f ca="1">IFERROR(__xludf.DUMMYFUNCTION("""COMPUTED_VALUE"""),48.241)</f>
        <v>48.241</v>
      </c>
      <c r="I2962" s="2">
        <f ca="1">IFERROR(__xludf.DUMMYFUNCTION("""COMPUTED_VALUE"""),54.291)</f>
        <v>54.290999999999997</v>
      </c>
      <c r="J2962" s="2">
        <f ca="1">IFERROR(__xludf.DUMMYFUNCTION("""COMPUTED_VALUE"""),52.06721)</f>
        <v>52.067210000000003</v>
      </c>
      <c r="K2962" s="2">
        <f ca="1">IFERROR(__xludf.DUMMYFUNCTION("""COMPUTED_VALUE"""),72.622)</f>
        <v>72.622</v>
      </c>
      <c r="M2962" s="2">
        <f ca="1">IFERROR(__xludf.DUMMYFUNCTION("""COMPUTED_VALUE"""),19.369)</f>
        <v>19.369</v>
      </c>
      <c r="U2962" s="3" t="e">
        <f ca="1"/>
        <v>#NAME?</v>
      </c>
    </row>
    <row r="2963" spans="3:21" ht="12.5" x14ac:dyDescent="0.25">
      <c r="C2963" s="4">
        <f ca="1">IFERROR(__xludf.DUMMYFUNCTION("""COMPUTED_VALUE"""),43370.9986111111)</f>
        <v>43370.998611111099</v>
      </c>
      <c r="D2963" s="2">
        <f ca="1">IFERROR(__xludf.DUMMYFUNCTION("""COMPUTED_VALUE"""),72.95)</f>
        <v>72.95</v>
      </c>
      <c r="E2963" s="2">
        <f ca="1">IFERROR(__xludf.DUMMYFUNCTION("""COMPUTED_VALUE"""),78.293)</f>
        <v>78.293000000000006</v>
      </c>
      <c r="F2963" s="2">
        <f ca="1">IFERROR(__xludf.DUMMYFUNCTION("""COMPUTED_VALUE"""),90.196)</f>
        <v>90.195999999999998</v>
      </c>
      <c r="G2963" s="2">
        <f ca="1">IFERROR(__xludf.DUMMYFUNCTION("""COMPUTED_VALUE"""),0.6465353)</f>
        <v>0.64653530000000003</v>
      </c>
      <c r="H2963" s="2">
        <f ca="1">IFERROR(__xludf.DUMMYFUNCTION("""COMPUTED_VALUE"""),48.704)</f>
        <v>48.704000000000001</v>
      </c>
      <c r="I2963" s="2">
        <f ca="1">IFERROR(__xludf.DUMMYFUNCTION("""COMPUTED_VALUE"""),53.797)</f>
        <v>53.796999999999997</v>
      </c>
      <c r="J2963" s="2">
        <f ca="1">IFERROR(__xludf.DUMMYFUNCTION("""COMPUTED_VALUE"""),52.17904)</f>
        <v>52.179040000000001</v>
      </c>
      <c r="K2963" s="2">
        <f ca="1">IFERROR(__xludf.DUMMYFUNCTION("""COMPUTED_VALUE"""),72.735)</f>
        <v>72.734999999999999</v>
      </c>
      <c r="M2963" s="2">
        <f ca="1">IFERROR(__xludf.DUMMYFUNCTION("""COMPUTED_VALUE"""),19.355)</f>
        <v>19.355</v>
      </c>
      <c r="U2963" s="3" t="e">
        <f ca="1"/>
        <v>#NAME?</v>
      </c>
    </row>
    <row r="2964" spans="3:21" ht="12.5" x14ac:dyDescent="0.25">
      <c r="C2964" s="4">
        <f ca="1">IFERROR(__xludf.DUMMYFUNCTION("""COMPUTED_VALUE"""),43371.9986111111)</f>
        <v>43371.998611111099</v>
      </c>
      <c r="D2964" s="2">
        <f ca="1">IFERROR(__xludf.DUMMYFUNCTION("""COMPUTED_VALUE"""),72.51)</f>
        <v>72.510000000000005</v>
      </c>
      <c r="E2964" s="2">
        <f ca="1">IFERROR(__xludf.DUMMYFUNCTION("""COMPUTED_VALUE"""),78.528)</f>
        <v>78.528000000000006</v>
      </c>
      <c r="F2964" s="2">
        <f ca="1">IFERROR(__xludf.DUMMYFUNCTION("""COMPUTED_VALUE"""),90.778)</f>
        <v>90.778000000000006</v>
      </c>
      <c r="G2964" s="2">
        <f ca="1">IFERROR(__xludf.DUMMYFUNCTION("""COMPUTED_VALUE"""),0.647904)</f>
        <v>0.64790400000000004</v>
      </c>
      <c r="H2964" s="2">
        <f ca="1">IFERROR(__xludf.DUMMYFUNCTION("""COMPUTED_VALUE"""),48.273)</f>
        <v>48.273000000000003</v>
      </c>
      <c r="I2964" s="2">
        <f ca="1">IFERROR(__xludf.DUMMYFUNCTION("""COMPUTED_VALUE"""),53.924)</f>
        <v>53.923999999999999</v>
      </c>
      <c r="J2964" s="2">
        <f ca="1">IFERROR(__xludf.DUMMYFUNCTION("""COMPUTED_VALUE"""),52.07456)</f>
        <v>52.074559999999998</v>
      </c>
      <c r="K2964" s="2">
        <f ca="1">IFERROR(__xludf.DUMMYFUNCTION("""COMPUTED_VALUE"""),73.088)</f>
        <v>73.087999999999994</v>
      </c>
      <c r="M2964" s="2">
        <f ca="1">IFERROR(__xludf.DUMMYFUNCTION("""COMPUTED_VALUE"""),19.316)</f>
        <v>19.315999999999999</v>
      </c>
      <c r="U2964" s="3" t="e">
        <f ca="1"/>
        <v>#NAME?</v>
      </c>
    </row>
    <row r="2965" spans="3:21" ht="12.5" x14ac:dyDescent="0.25">
      <c r="C2965" s="4">
        <f ca="1">IFERROR(__xludf.DUMMYFUNCTION("""COMPUTED_VALUE"""),43372.9986111111)</f>
        <v>43372.998611111099</v>
      </c>
      <c r="D2965" s="2">
        <f ca="1">IFERROR(__xludf.DUMMYFUNCTION("""COMPUTED_VALUE"""),72.51)</f>
        <v>72.510000000000005</v>
      </c>
      <c r="E2965" s="2">
        <f ca="1">IFERROR(__xludf.DUMMYFUNCTION("""COMPUTED_VALUE"""),78.441)</f>
        <v>78.441000000000003</v>
      </c>
      <c r="F2965" s="2">
        <f ca="1">IFERROR(__xludf.DUMMYFUNCTION("""COMPUTED_VALUE"""),92.415)</f>
        <v>92.415000000000006</v>
      </c>
      <c r="G2965" s="2">
        <f ca="1">IFERROR(__xludf.DUMMYFUNCTION("""COMPUTED_VALUE"""),0.6474129)</f>
        <v>0.64741289999999996</v>
      </c>
      <c r="H2965" s="2">
        <f ca="1">IFERROR(__xludf.DUMMYFUNCTION("""COMPUTED_VALUE"""),48.352)</f>
        <v>48.351999999999997</v>
      </c>
      <c r="I2965" s="2">
        <f ca="1">IFERROR(__xludf.DUMMYFUNCTION("""COMPUTED_VALUE"""),53.914)</f>
        <v>53.914000000000001</v>
      </c>
      <c r="J2965" s="2">
        <f ca="1">IFERROR(__xludf.DUMMYFUNCTION("""COMPUTED_VALUE"""),52.0704)</f>
        <v>52.070399999999999</v>
      </c>
      <c r="K2965" s="2">
        <f ca="1">IFERROR(__xludf.DUMMYFUNCTION("""COMPUTED_VALUE"""),72.664)</f>
        <v>72.664000000000001</v>
      </c>
      <c r="M2965" s="2">
        <f ca="1">IFERROR(__xludf.DUMMYFUNCTION("""COMPUTED_VALUE"""),19.297)</f>
        <v>19.297000000000001</v>
      </c>
      <c r="U2965" s="3" t="e">
        <f ca="1"/>
        <v>#NAME?</v>
      </c>
    </row>
    <row r="2966" spans="3:21" ht="12.5" x14ac:dyDescent="0.25">
      <c r="C2966" s="4">
        <f ca="1">IFERROR(__xludf.DUMMYFUNCTION("""COMPUTED_VALUE"""),43373.9986111111)</f>
        <v>43373.998611111099</v>
      </c>
      <c r="D2966" s="2">
        <f ca="1">IFERROR(__xludf.DUMMYFUNCTION("""COMPUTED_VALUE"""),72.505)</f>
        <v>72.504999999999995</v>
      </c>
      <c r="E2966" s="2">
        <f ca="1">IFERROR(__xludf.DUMMYFUNCTION("""COMPUTED_VALUE"""),78.552)</f>
        <v>78.552000000000007</v>
      </c>
      <c r="F2966" s="2">
        <f ca="1">IFERROR(__xludf.DUMMYFUNCTION("""COMPUTED_VALUE"""),92.906)</f>
        <v>92.906000000000006</v>
      </c>
      <c r="G2966" s="2">
        <f ca="1">IFERROR(__xludf.DUMMYFUNCTION("""COMPUTED_VALUE"""),0.6500758)</f>
        <v>0.65007579999999998</v>
      </c>
      <c r="H2966" s="2">
        <f ca="1">IFERROR(__xludf.DUMMYFUNCTION("""COMPUTED_VALUE"""),48.24)</f>
        <v>48.24</v>
      </c>
      <c r="I2966" s="2">
        <f ca="1">IFERROR(__xludf.DUMMYFUNCTION("""COMPUTED_VALUE"""),53.622)</f>
        <v>53.622</v>
      </c>
      <c r="J2966" s="2">
        <f ca="1">IFERROR(__xludf.DUMMYFUNCTION("""COMPUTED_VALUE"""),52.03783)</f>
        <v>52.03783</v>
      </c>
      <c r="K2966" s="2">
        <f ca="1">IFERROR(__xludf.DUMMYFUNCTION("""COMPUTED_VALUE"""),73.047)</f>
        <v>73.046999999999997</v>
      </c>
      <c r="M2966" s="2">
        <f ca="1">IFERROR(__xludf.DUMMYFUNCTION("""COMPUTED_VALUE"""),19.301)</f>
        <v>19.300999999999998</v>
      </c>
      <c r="U2966" s="3" t="e">
        <f ca="1"/>
        <v>#NAME?</v>
      </c>
    </row>
    <row r="2967" spans="3:21" ht="12.5" x14ac:dyDescent="0.25">
      <c r="C2967" s="4">
        <f ca="1">IFERROR(__xludf.DUMMYFUNCTION("""COMPUTED_VALUE"""),43374.9986111111)</f>
        <v>43374.998611111099</v>
      </c>
      <c r="D2967" s="2">
        <f ca="1">IFERROR(__xludf.DUMMYFUNCTION("""COMPUTED_VALUE"""),73.755)</f>
        <v>73.754999999999995</v>
      </c>
      <c r="E2967" s="2">
        <f ca="1">IFERROR(__xludf.DUMMYFUNCTION("""COMPUTED_VALUE"""),78.894)</f>
        <v>78.894000000000005</v>
      </c>
      <c r="F2967" s="2">
        <f ca="1">IFERROR(__xludf.DUMMYFUNCTION("""COMPUTED_VALUE"""),91.708)</f>
        <v>91.707999999999998</v>
      </c>
      <c r="G2967" s="2">
        <f ca="1">IFERROR(__xludf.DUMMYFUNCTION("""COMPUTED_VALUE"""),0.6485773)</f>
        <v>0.64857730000000002</v>
      </c>
      <c r="H2967" s="2">
        <f ca="1">IFERROR(__xludf.DUMMYFUNCTION("""COMPUTED_VALUE"""),48.106)</f>
        <v>48.106000000000002</v>
      </c>
      <c r="I2967" s="2">
        <f ca="1">IFERROR(__xludf.DUMMYFUNCTION("""COMPUTED_VALUE"""),53.624)</f>
        <v>53.624000000000002</v>
      </c>
      <c r="J2967" s="2">
        <f ca="1">IFERROR(__xludf.DUMMYFUNCTION("""COMPUTED_VALUE"""),52.14498)</f>
        <v>52.144979999999997</v>
      </c>
      <c r="K2967" s="2">
        <f ca="1">IFERROR(__xludf.DUMMYFUNCTION("""COMPUTED_VALUE"""),73.279)</f>
        <v>73.278999999999996</v>
      </c>
      <c r="M2967" s="2">
        <f ca="1">IFERROR(__xludf.DUMMYFUNCTION("""COMPUTED_VALUE"""),19.351)</f>
        <v>19.350999999999999</v>
      </c>
      <c r="U2967" s="3" t="e">
        <f ca="1"/>
        <v>#NAME?</v>
      </c>
    </row>
    <row r="2968" spans="3:21" ht="12.5" x14ac:dyDescent="0.25">
      <c r="C2968" s="4">
        <f ca="1">IFERROR(__xludf.DUMMYFUNCTION("""COMPUTED_VALUE"""),43375.9986111111)</f>
        <v>43375.998611111099</v>
      </c>
      <c r="D2968" s="2">
        <f ca="1">IFERROR(__xludf.DUMMYFUNCTION("""COMPUTED_VALUE"""),73.28)</f>
        <v>73.28</v>
      </c>
      <c r="E2968" s="2">
        <f ca="1">IFERROR(__xludf.DUMMYFUNCTION("""COMPUTED_VALUE"""),78.979)</f>
        <v>78.978999999999999</v>
      </c>
      <c r="F2968" s="2">
        <f ca="1">IFERROR(__xludf.DUMMYFUNCTION("""COMPUTED_VALUE"""),92.017)</f>
        <v>92.016999999999996</v>
      </c>
      <c r="G2968" s="2">
        <f ca="1">IFERROR(__xludf.DUMMYFUNCTION("""COMPUTED_VALUE"""),0.6505453)</f>
        <v>0.65054529999999999</v>
      </c>
      <c r="H2968" s="2">
        <f ca="1">IFERROR(__xludf.DUMMYFUNCTION("""COMPUTED_VALUE"""),48.089)</f>
        <v>48.088999999999999</v>
      </c>
      <c r="I2968" s="2">
        <f ca="1">IFERROR(__xludf.DUMMYFUNCTION("""COMPUTED_VALUE"""),53.624)</f>
        <v>53.624000000000002</v>
      </c>
      <c r="J2968" s="2">
        <f ca="1">IFERROR(__xludf.DUMMYFUNCTION("""COMPUTED_VALUE"""),52.2879)</f>
        <v>52.2879</v>
      </c>
      <c r="K2968" s="2">
        <f ca="1">IFERROR(__xludf.DUMMYFUNCTION("""COMPUTED_VALUE"""),71.955)</f>
        <v>71.954999999999998</v>
      </c>
      <c r="M2968" s="2">
        <f ca="1">IFERROR(__xludf.DUMMYFUNCTION("""COMPUTED_VALUE"""),19.442)</f>
        <v>19.442</v>
      </c>
      <c r="U2968" s="3" t="e">
        <f ca="1"/>
        <v>#NAME?</v>
      </c>
    </row>
    <row r="2969" spans="3:21" ht="12.5" x14ac:dyDescent="0.25">
      <c r="C2969" s="4">
        <f ca="1">IFERROR(__xludf.DUMMYFUNCTION("""COMPUTED_VALUE"""),43376.9986111111)</f>
        <v>43376.998611111099</v>
      </c>
      <c r="D2969" s="2">
        <f ca="1">IFERROR(__xludf.DUMMYFUNCTION("""COMPUTED_VALUE"""),73.85)</f>
        <v>73.849999999999994</v>
      </c>
      <c r="E2969" s="2">
        <f ca="1">IFERROR(__xludf.DUMMYFUNCTION("""COMPUTED_VALUE"""),79.354)</f>
        <v>79.353999999999999</v>
      </c>
      <c r="F2969" s="2">
        <f ca="1">IFERROR(__xludf.DUMMYFUNCTION("""COMPUTED_VALUE"""),91.759)</f>
        <v>91.759</v>
      </c>
      <c r="G2969" s="2">
        <f ca="1">IFERROR(__xludf.DUMMYFUNCTION("""COMPUTED_VALUE"""),0.6509935)</f>
        <v>0.6509935</v>
      </c>
      <c r="H2969" s="2">
        <f ca="1">IFERROR(__xludf.DUMMYFUNCTION("""COMPUTED_VALUE"""),48.089)</f>
        <v>48.088999999999999</v>
      </c>
      <c r="I2969" s="2">
        <f ca="1">IFERROR(__xludf.DUMMYFUNCTION("""COMPUTED_VALUE"""),53.923)</f>
        <v>53.923000000000002</v>
      </c>
      <c r="J2969" s="2">
        <f ca="1">IFERROR(__xludf.DUMMYFUNCTION("""COMPUTED_VALUE"""),52.43879)</f>
        <v>52.438789999999997</v>
      </c>
      <c r="K2969" s="2">
        <f ca="1">IFERROR(__xludf.DUMMYFUNCTION("""COMPUTED_VALUE"""),73.484)</f>
        <v>73.483999999999995</v>
      </c>
      <c r="M2969" s="2">
        <f ca="1">IFERROR(__xludf.DUMMYFUNCTION("""COMPUTED_VALUE"""),19.388)</f>
        <v>19.388000000000002</v>
      </c>
      <c r="U2969" s="3" t="e">
        <f ca="1"/>
        <v>#NAME?</v>
      </c>
    </row>
    <row r="2970" spans="3:21" ht="12.5" x14ac:dyDescent="0.25">
      <c r="C2970" s="4">
        <f ca="1">IFERROR(__xludf.DUMMYFUNCTION("""COMPUTED_VALUE"""),43377.9986111111)</f>
        <v>43377.998611111099</v>
      </c>
      <c r="D2970" s="2">
        <f ca="1">IFERROR(__xludf.DUMMYFUNCTION("""COMPUTED_VALUE"""),74.22)</f>
        <v>74.22</v>
      </c>
      <c r="E2970" s="2">
        <f ca="1">IFERROR(__xludf.DUMMYFUNCTION("""COMPUTED_VALUE"""),79.226)</f>
        <v>79.225999999999999</v>
      </c>
      <c r="F2970" s="2">
        <f ca="1">IFERROR(__xludf.DUMMYFUNCTION("""COMPUTED_VALUE"""),91.479)</f>
        <v>91.478999999999999</v>
      </c>
      <c r="G2970" s="2">
        <f ca="1">IFERROR(__xludf.DUMMYFUNCTION("""COMPUTED_VALUE"""),0.6512888)</f>
        <v>0.6512888</v>
      </c>
      <c r="H2970" s="2">
        <f ca="1">IFERROR(__xludf.DUMMYFUNCTION("""COMPUTED_VALUE"""),48.27)</f>
        <v>48.27</v>
      </c>
      <c r="I2970" s="2">
        <f ca="1">IFERROR(__xludf.DUMMYFUNCTION("""COMPUTED_VALUE"""),54.044)</f>
        <v>54.043999999999997</v>
      </c>
      <c r="J2970" s="2">
        <f ca="1">IFERROR(__xludf.DUMMYFUNCTION("""COMPUTED_VALUE"""),52.54521)</f>
        <v>52.545209999999997</v>
      </c>
      <c r="K2970" s="2">
        <f ca="1">IFERROR(__xludf.DUMMYFUNCTION("""COMPUTED_VALUE"""),72.855)</f>
        <v>72.855000000000004</v>
      </c>
      <c r="M2970" s="2">
        <f ca="1">IFERROR(__xludf.DUMMYFUNCTION("""COMPUTED_VALUE"""),19.313)</f>
        <v>19.312999999999999</v>
      </c>
      <c r="U2970" s="3" t="e">
        <f ca="1"/>
        <v>#NAME?</v>
      </c>
    </row>
    <row r="2971" spans="3:21" ht="12.5" x14ac:dyDescent="0.25">
      <c r="C2971" s="4">
        <f ca="1">IFERROR(__xludf.DUMMYFUNCTION("""COMPUTED_VALUE"""),43378.9986111111)</f>
        <v>43378.998611111099</v>
      </c>
      <c r="D2971" s="2">
        <f ca="1">IFERROR(__xludf.DUMMYFUNCTION("""COMPUTED_VALUE"""),74.055)</f>
        <v>74.055000000000007</v>
      </c>
      <c r="E2971" s="2">
        <f ca="1">IFERROR(__xludf.DUMMYFUNCTION("""COMPUTED_VALUE"""),79.116)</f>
        <v>79.116</v>
      </c>
      <c r="F2971" s="2">
        <f ca="1">IFERROR(__xludf.DUMMYFUNCTION("""COMPUTED_VALUE"""),92.271)</f>
        <v>92.271000000000001</v>
      </c>
      <c r="G2971" s="2">
        <f ca="1">IFERROR(__xludf.DUMMYFUNCTION("""COMPUTED_VALUE"""),0.6418434)</f>
        <v>0.64184339999999995</v>
      </c>
      <c r="H2971" s="2">
        <f ca="1">IFERROR(__xludf.DUMMYFUNCTION("""COMPUTED_VALUE"""),48.763)</f>
        <v>48.762999999999998</v>
      </c>
      <c r="I2971" s="2">
        <f ca="1">IFERROR(__xludf.DUMMYFUNCTION("""COMPUTED_VALUE"""),54.357)</f>
        <v>54.356999999999999</v>
      </c>
      <c r="J2971" s="2">
        <f ca="1">IFERROR(__xludf.DUMMYFUNCTION("""COMPUTED_VALUE"""),52.65019)</f>
        <v>52.650190000000002</v>
      </c>
      <c r="K2971" s="2">
        <f ca="1">IFERROR(__xludf.DUMMYFUNCTION("""COMPUTED_VALUE"""),73.116)</f>
        <v>73.116</v>
      </c>
      <c r="M2971" s="2">
        <f ca="1">IFERROR(__xludf.DUMMYFUNCTION("""COMPUTED_VALUE"""),19.459)</f>
        <v>19.459</v>
      </c>
      <c r="U2971" s="3" t="e">
        <f ca="1"/>
        <v>#NAME?</v>
      </c>
    </row>
    <row r="2972" spans="3:21" ht="12.5" x14ac:dyDescent="0.25">
      <c r="C2972" s="4">
        <f ca="1">IFERROR(__xludf.DUMMYFUNCTION("""COMPUTED_VALUE"""),43379.9986111111)</f>
        <v>43379.998611111099</v>
      </c>
      <c r="D2972" s="2">
        <f ca="1">IFERROR(__xludf.DUMMYFUNCTION("""COMPUTED_VALUE"""),73.763)</f>
        <v>73.763000000000005</v>
      </c>
      <c r="E2972" s="2">
        <f ca="1">IFERROR(__xludf.DUMMYFUNCTION("""COMPUTED_VALUE"""),79.115)</f>
        <v>79.114999999999995</v>
      </c>
      <c r="F2972" s="2">
        <f ca="1">IFERROR(__xludf.DUMMYFUNCTION("""COMPUTED_VALUE"""),92.833)</f>
        <v>92.832999999999998</v>
      </c>
      <c r="G2972" s="2">
        <f ca="1">IFERROR(__xludf.DUMMYFUNCTION("""COMPUTED_VALUE"""),0.6517278)</f>
        <v>0.65172779999999997</v>
      </c>
      <c r="H2972" s="2">
        <f ca="1">IFERROR(__xludf.DUMMYFUNCTION("""COMPUTED_VALUE"""),48.872)</f>
        <v>48.872</v>
      </c>
      <c r="I2972" s="2">
        <f ca="1">IFERROR(__xludf.DUMMYFUNCTION("""COMPUTED_VALUE"""),54.315)</f>
        <v>54.314999999999998</v>
      </c>
      <c r="J2972" s="2">
        <f ca="1">IFERROR(__xludf.DUMMYFUNCTION("""COMPUTED_VALUE"""),52.90267)</f>
        <v>52.902670000000001</v>
      </c>
      <c r="K2972" s="2">
        <f ca="1">IFERROR(__xludf.DUMMYFUNCTION("""COMPUTED_VALUE"""),72.642)</f>
        <v>72.641999999999996</v>
      </c>
      <c r="M2972" s="2">
        <f ca="1">IFERROR(__xludf.DUMMYFUNCTION("""COMPUTED_VALUE"""),19.454)</f>
        <v>19.454000000000001</v>
      </c>
      <c r="U2972" s="3" t="e">
        <f ca="1"/>
        <v>#NAME?</v>
      </c>
    </row>
    <row r="2973" spans="3:21" ht="12.5" x14ac:dyDescent="0.25">
      <c r="C2973" s="4">
        <f ca="1">IFERROR(__xludf.DUMMYFUNCTION("""COMPUTED_VALUE"""),43380.9986111111)</f>
        <v>43380.998611111099</v>
      </c>
      <c r="D2973" s="2">
        <f ca="1">IFERROR(__xludf.DUMMYFUNCTION("""COMPUTED_VALUE"""),73.763)</f>
        <v>73.763000000000005</v>
      </c>
      <c r="E2973" s="2">
        <f ca="1">IFERROR(__xludf.DUMMYFUNCTION("""COMPUTED_VALUE"""),79.115)</f>
        <v>79.114999999999995</v>
      </c>
      <c r="F2973" s="2">
        <f ca="1">IFERROR(__xludf.DUMMYFUNCTION("""COMPUTED_VALUE"""),93.003)</f>
        <v>93.003</v>
      </c>
      <c r="G2973" s="2">
        <f ca="1">IFERROR(__xludf.DUMMYFUNCTION("""COMPUTED_VALUE"""),0.6542049)</f>
        <v>0.65420489999999998</v>
      </c>
      <c r="H2973" s="2">
        <f ca="1">IFERROR(__xludf.DUMMYFUNCTION("""COMPUTED_VALUE"""),48.955)</f>
        <v>48.954999999999998</v>
      </c>
      <c r="I2973" s="2">
        <f ca="1">IFERROR(__xludf.DUMMYFUNCTION("""COMPUTED_VALUE"""),54.338)</f>
        <v>54.338000000000001</v>
      </c>
      <c r="J2973" s="2">
        <f ca="1">IFERROR(__xludf.DUMMYFUNCTION("""COMPUTED_VALUE"""),52.79519)</f>
        <v>52.795189999999998</v>
      </c>
      <c r="K2973" s="2">
        <f ca="1">IFERROR(__xludf.DUMMYFUNCTION("""COMPUTED_VALUE"""),72.125)</f>
        <v>72.125</v>
      </c>
      <c r="M2973" s="2">
        <f ca="1">IFERROR(__xludf.DUMMYFUNCTION("""COMPUTED_VALUE"""),19.517)</f>
        <v>19.516999999999999</v>
      </c>
      <c r="U2973" s="3" t="e">
        <f ca="1"/>
        <v>#NAME?</v>
      </c>
    </row>
    <row r="2974" spans="3:21" ht="12.5" x14ac:dyDescent="0.25">
      <c r="C2974" s="4">
        <f ca="1">IFERROR(__xludf.DUMMYFUNCTION("""COMPUTED_VALUE"""),43381.9986111111)</f>
        <v>43381.998611111099</v>
      </c>
      <c r="D2974" s="2">
        <f ca="1">IFERROR(__xludf.DUMMYFUNCTION("""COMPUTED_VALUE"""),73.89)</f>
        <v>73.89</v>
      </c>
      <c r="E2974" s="2">
        <f ca="1">IFERROR(__xludf.DUMMYFUNCTION("""COMPUTED_VALUE"""),79.581)</f>
        <v>79.581000000000003</v>
      </c>
      <c r="F2974" s="2">
        <f ca="1">IFERROR(__xludf.DUMMYFUNCTION("""COMPUTED_VALUE"""),93.14)</f>
        <v>93.14</v>
      </c>
      <c r="G2974" s="2">
        <f ca="1">IFERROR(__xludf.DUMMYFUNCTION("""COMPUTED_VALUE"""),0.6559974)</f>
        <v>0.65599739999999995</v>
      </c>
      <c r="H2974" s="2">
        <f ca="1">IFERROR(__xludf.DUMMYFUNCTION("""COMPUTED_VALUE"""),48.981)</f>
        <v>48.981000000000002</v>
      </c>
      <c r="I2974" s="2">
        <f ca="1">IFERROR(__xludf.DUMMYFUNCTION("""COMPUTED_VALUE"""),53.702)</f>
        <v>53.701999999999998</v>
      </c>
      <c r="J2974" s="2">
        <f ca="1">IFERROR(__xludf.DUMMYFUNCTION("""COMPUTED_VALUE"""),52.62766)</f>
        <v>52.627659999999999</v>
      </c>
      <c r="K2974" s="2">
        <f ca="1">IFERROR(__xludf.DUMMYFUNCTION("""COMPUTED_VALUE"""),72.584)</f>
        <v>72.584000000000003</v>
      </c>
      <c r="M2974" s="2">
        <f ca="1">IFERROR(__xludf.DUMMYFUNCTION("""COMPUTED_VALUE"""),19.542)</f>
        <v>19.542000000000002</v>
      </c>
      <c r="U2974" s="3" t="e">
        <f ca="1"/>
        <v>#NAME?</v>
      </c>
    </row>
    <row r="2975" spans="3:21" ht="12.5" x14ac:dyDescent="0.25">
      <c r="C2975" s="4">
        <f ca="1">IFERROR(__xludf.DUMMYFUNCTION("""COMPUTED_VALUE"""),43382.9986111111)</f>
        <v>43382.998611111099</v>
      </c>
      <c r="D2975" s="2">
        <f ca="1">IFERROR(__xludf.DUMMYFUNCTION("""COMPUTED_VALUE"""),74.55)</f>
        <v>74.55</v>
      </c>
      <c r="E2975" s="2">
        <f ca="1">IFERROR(__xludf.DUMMYFUNCTION("""COMPUTED_VALUE"""),79.497)</f>
        <v>79.497</v>
      </c>
      <c r="F2975" s="2">
        <f ca="1">IFERROR(__xludf.DUMMYFUNCTION("""COMPUTED_VALUE"""),93.154)</f>
        <v>93.153999999999996</v>
      </c>
      <c r="H2975" s="2">
        <f ca="1">IFERROR(__xludf.DUMMYFUNCTION("""COMPUTED_VALUE"""),47.962)</f>
        <v>47.962000000000003</v>
      </c>
      <c r="I2975" s="2">
        <f ca="1">IFERROR(__xludf.DUMMYFUNCTION("""COMPUTED_VALUE"""),54.349)</f>
        <v>54.348999999999997</v>
      </c>
      <c r="J2975" s="2">
        <f ca="1">IFERROR(__xludf.DUMMYFUNCTION("""COMPUTED_VALUE"""),52.62255)</f>
        <v>52.622549999999997</v>
      </c>
      <c r="K2975" s="2">
        <f ca="1">IFERROR(__xludf.DUMMYFUNCTION("""COMPUTED_VALUE"""),73.063)</f>
        <v>73.063000000000002</v>
      </c>
      <c r="M2975" s="2">
        <f ca="1">IFERROR(__xludf.DUMMYFUNCTION("""COMPUTED_VALUE"""),19.57)</f>
        <v>19.57</v>
      </c>
      <c r="U2975" s="3" t="e">
        <f ca="1"/>
        <v>#NAME?</v>
      </c>
    </row>
    <row r="2976" spans="3:21" ht="12.5" x14ac:dyDescent="0.25">
      <c r="C2976" s="4">
        <f ca="1">IFERROR(__xludf.DUMMYFUNCTION("""COMPUTED_VALUE"""),43383.9986111111)</f>
        <v>43383.998611111099</v>
      </c>
      <c r="D2976" s="2">
        <f ca="1">IFERROR(__xludf.DUMMYFUNCTION("""COMPUTED_VALUE"""),74.6)</f>
        <v>74.599999999999994</v>
      </c>
      <c r="E2976" s="2">
        <f ca="1">IFERROR(__xludf.DUMMYFUNCTION("""COMPUTED_VALUE"""),79.404)</f>
        <v>79.403999999999996</v>
      </c>
      <c r="F2976" s="2">
        <f ca="1">IFERROR(__xludf.DUMMYFUNCTION("""COMPUTED_VALUE"""),93.201)</f>
        <v>93.200999999999993</v>
      </c>
      <c r="H2976" s="2">
        <f ca="1">IFERROR(__xludf.DUMMYFUNCTION("""COMPUTED_VALUE"""),49.016)</f>
        <v>49.015999999999998</v>
      </c>
      <c r="I2976" s="2">
        <f ca="1">IFERROR(__xludf.DUMMYFUNCTION("""COMPUTED_VALUE"""),54.449)</f>
        <v>54.448999999999998</v>
      </c>
      <c r="J2976" s="2">
        <f ca="1">IFERROR(__xludf.DUMMYFUNCTION("""COMPUTED_VALUE"""),52.62255)</f>
        <v>52.622549999999997</v>
      </c>
      <c r="K2976" s="2">
        <f ca="1">IFERROR(__xludf.DUMMYFUNCTION("""COMPUTED_VALUE"""),73.284)</f>
        <v>73.284000000000006</v>
      </c>
      <c r="M2976" s="2">
        <f ca="1">IFERROR(__xludf.DUMMYFUNCTION("""COMPUTED_VALUE"""),19.406)</f>
        <v>19.405999999999999</v>
      </c>
      <c r="U2976" s="3" t="e">
        <f ca="1"/>
        <v>#NAME?</v>
      </c>
    </row>
    <row r="2977" spans="3:21" ht="12.5" x14ac:dyDescent="0.25">
      <c r="C2977" s="4">
        <f ca="1">IFERROR(__xludf.DUMMYFUNCTION("""COMPUTED_VALUE"""),43384.9986111111)</f>
        <v>43384.998611111099</v>
      </c>
      <c r="D2977" s="2">
        <f ca="1">IFERROR(__xludf.DUMMYFUNCTION("""COMPUTED_VALUE"""),74.16)</f>
        <v>74.16</v>
      </c>
      <c r="E2977" s="2">
        <f ca="1">IFERROR(__xludf.DUMMYFUNCTION("""COMPUTED_VALUE"""),79.315)</f>
        <v>79.314999999999998</v>
      </c>
      <c r="F2977" s="2">
        <f ca="1">IFERROR(__xludf.DUMMYFUNCTION("""COMPUTED_VALUE"""),94.386)</f>
        <v>94.385999999999996</v>
      </c>
      <c r="H2977" s="2">
        <f ca="1">IFERROR(__xludf.DUMMYFUNCTION("""COMPUTED_VALUE"""),49.224)</f>
        <v>49.223999999999997</v>
      </c>
      <c r="I2977" s="2">
        <f ca="1">IFERROR(__xludf.DUMMYFUNCTION("""COMPUTED_VALUE"""),54.618)</f>
        <v>54.618000000000002</v>
      </c>
      <c r="J2977" s="2">
        <f ca="1">IFERROR(__xludf.DUMMYFUNCTION("""COMPUTED_VALUE"""),52.82877)</f>
        <v>52.828769999999999</v>
      </c>
      <c r="K2977" s="2">
        <f ca="1">IFERROR(__xludf.DUMMYFUNCTION("""COMPUTED_VALUE"""),72.861)</f>
        <v>72.861000000000004</v>
      </c>
      <c r="M2977" s="2">
        <f ca="1">IFERROR(__xludf.DUMMYFUNCTION("""COMPUTED_VALUE"""),19.367)</f>
        <v>19.367000000000001</v>
      </c>
      <c r="U2977" s="3" t="e">
        <f ca="1"/>
        <v>#NAME?</v>
      </c>
    </row>
    <row r="2978" spans="3:21" ht="12.5" x14ac:dyDescent="0.25">
      <c r="C2978" s="4">
        <f ca="1">IFERROR(__xludf.DUMMYFUNCTION("""COMPUTED_VALUE"""),43385.9986111111)</f>
        <v>43385.998611111099</v>
      </c>
      <c r="D2978" s="2">
        <f ca="1">IFERROR(__xludf.DUMMYFUNCTION("""COMPUTED_VALUE"""),73.676)</f>
        <v>73.676000000000002</v>
      </c>
      <c r="E2978" s="2">
        <f ca="1">IFERROR(__xludf.DUMMYFUNCTION("""COMPUTED_VALUE"""),79.048)</f>
        <v>79.048000000000002</v>
      </c>
      <c r="F2978" s="2">
        <f ca="1">IFERROR(__xludf.DUMMYFUNCTION("""COMPUTED_VALUE"""),95.026)</f>
        <v>95.025999999999996</v>
      </c>
      <c r="H2978" s="2">
        <f ca="1">IFERROR(__xludf.DUMMYFUNCTION("""COMPUTED_VALUE"""),49.249)</f>
        <v>49.249000000000002</v>
      </c>
      <c r="I2978" s="2">
        <f ca="1">IFERROR(__xludf.DUMMYFUNCTION("""COMPUTED_VALUE"""),54.224)</f>
        <v>54.223999999999997</v>
      </c>
      <c r="J2978" s="2">
        <f ca="1">IFERROR(__xludf.DUMMYFUNCTION("""COMPUTED_VALUE"""),52.71038)</f>
        <v>52.710380000000001</v>
      </c>
      <c r="K2978" s="2">
        <f ca="1">IFERROR(__xludf.DUMMYFUNCTION("""COMPUTED_VALUE"""),72.476)</f>
        <v>72.475999999999999</v>
      </c>
      <c r="M2978" s="2">
        <f ca="1">IFERROR(__xludf.DUMMYFUNCTION("""COMPUTED_VALUE"""),19.372)</f>
        <v>19.372</v>
      </c>
      <c r="U2978" s="3" t="e">
        <f ca="1"/>
        <v>#NAME?</v>
      </c>
    </row>
    <row r="2979" spans="3:21" ht="12.5" x14ac:dyDescent="0.25">
      <c r="C2979" s="4">
        <f ca="1">IFERROR(__xludf.DUMMYFUNCTION("""COMPUTED_VALUE"""),43386.9986111111)</f>
        <v>43386.998611111099</v>
      </c>
      <c r="D2979" s="2">
        <f ca="1">IFERROR(__xludf.DUMMYFUNCTION("""COMPUTED_VALUE"""),73.6759)</f>
        <v>73.675899999999999</v>
      </c>
      <c r="E2979" s="2">
        <f ca="1">IFERROR(__xludf.DUMMYFUNCTION("""COMPUTED_VALUE"""),79.048)</f>
        <v>79.048000000000002</v>
      </c>
      <c r="F2979" s="2">
        <f ca="1">IFERROR(__xludf.DUMMYFUNCTION("""COMPUTED_VALUE"""),93.855)</f>
        <v>93.855000000000004</v>
      </c>
      <c r="H2979" s="2">
        <f ca="1">IFERROR(__xludf.DUMMYFUNCTION("""COMPUTED_VALUE"""),49.142)</f>
        <v>49.142000000000003</v>
      </c>
      <c r="I2979" s="2">
        <f ca="1">IFERROR(__xludf.DUMMYFUNCTION("""COMPUTED_VALUE"""),53.662)</f>
        <v>53.661999999999999</v>
      </c>
      <c r="J2979" s="2">
        <f ca="1">IFERROR(__xludf.DUMMYFUNCTION("""COMPUTED_VALUE"""),52.61906)</f>
        <v>52.619059999999998</v>
      </c>
      <c r="K2979" s="2">
        <f ca="1">IFERROR(__xludf.DUMMYFUNCTION("""COMPUTED_VALUE"""),71.607)</f>
        <v>71.606999999999999</v>
      </c>
      <c r="M2979" s="2">
        <f ca="1">IFERROR(__xludf.DUMMYFUNCTION("""COMPUTED_VALUE"""),19.377)</f>
        <v>19.376999999999999</v>
      </c>
      <c r="U2979" s="3" t="e">
        <f ca="1"/>
        <v>#NAME?</v>
      </c>
    </row>
    <row r="2980" spans="3:21" ht="12.5" x14ac:dyDescent="0.25">
      <c r="C2980" s="4">
        <f ca="1">IFERROR(__xludf.DUMMYFUNCTION("""COMPUTED_VALUE"""),43387.9986111111)</f>
        <v>43387.998611111099</v>
      </c>
      <c r="D2980" s="2">
        <f ca="1">IFERROR(__xludf.DUMMYFUNCTION("""COMPUTED_VALUE"""),73.676)</f>
        <v>73.676000000000002</v>
      </c>
      <c r="E2980" s="2">
        <f ca="1">IFERROR(__xludf.DUMMYFUNCTION("""COMPUTED_VALUE"""),79.048)</f>
        <v>79.048000000000002</v>
      </c>
      <c r="F2980" s="2">
        <f ca="1">IFERROR(__xludf.DUMMYFUNCTION("""COMPUTED_VALUE"""),94.438)</f>
        <v>94.438000000000002</v>
      </c>
      <c r="H2980" s="2">
        <f ca="1">IFERROR(__xludf.DUMMYFUNCTION("""COMPUTED_VALUE"""),48.66)</f>
        <v>48.66</v>
      </c>
      <c r="I2980" s="2">
        <f ca="1">IFERROR(__xludf.DUMMYFUNCTION("""COMPUTED_VALUE"""),53.37)</f>
        <v>53.37</v>
      </c>
      <c r="J2980" s="2">
        <f ca="1">IFERROR(__xludf.DUMMYFUNCTION("""COMPUTED_VALUE"""),52.58569)</f>
        <v>52.58569</v>
      </c>
      <c r="K2980" s="2">
        <f ca="1">IFERROR(__xludf.DUMMYFUNCTION("""COMPUTED_VALUE"""),72.251)</f>
        <v>72.251000000000005</v>
      </c>
      <c r="M2980" s="2">
        <f ca="1">IFERROR(__xludf.DUMMYFUNCTION("""COMPUTED_VALUE"""),19.388)</f>
        <v>19.388000000000002</v>
      </c>
      <c r="U2980" s="3" t="e">
        <f ca="1"/>
        <v>#NAME?</v>
      </c>
    </row>
    <row r="2981" spans="3:21" ht="12.5" x14ac:dyDescent="0.25">
      <c r="C2981" s="4">
        <f ca="1">IFERROR(__xludf.DUMMYFUNCTION("""COMPUTED_VALUE"""),43388.9986111111)</f>
        <v>43388.998611111099</v>
      </c>
      <c r="D2981" s="2">
        <f ca="1">IFERROR(__xludf.DUMMYFUNCTION("""COMPUTED_VALUE"""),74.08)</f>
        <v>74.08</v>
      </c>
      <c r="E2981" s="2">
        <f ca="1">IFERROR(__xludf.DUMMYFUNCTION("""COMPUTED_VALUE"""),78.857)</f>
        <v>78.856999999999999</v>
      </c>
      <c r="F2981" s="2">
        <f ca="1">IFERROR(__xludf.DUMMYFUNCTION("""COMPUTED_VALUE"""),94.236)</f>
        <v>94.236000000000004</v>
      </c>
      <c r="H2981" s="2">
        <f ca="1">IFERROR(__xludf.DUMMYFUNCTION("""COMPUTED_VALUE"""),48.789)</f>
        <v>48.789000000000001</v>
      </c>
      <c r="I2981" s="2">
        <f ca="1">IFERROR(__xludf.DUMMYFUNCTION("""COMPUTED_VALUE"""),53.368)</f>
        <v>53.368000000000002</v>
      </c>
      <c r="J2981" s="2">
        <f ca="1">IFERROR(__xludf.DUMMYFUNCTION("""COMPUTED_VALUE"""),52.57565)</f>
        <v>52.575650000000003</v>
      </c>
      <c r="K2981" s="2">
        <f ca="1">IFERROR(__xludf.DUMMYFUNCTION("""COMPUTED_VALUE"""),72.404)</f>
        <v>72.403999999999996</v>
      </c>
      <c r="M2981" s="2">
        <f ca="1">IFERROR(__xludf.DUMMYFUNCTION("""COMPUTED_VALUE"""),19.275)</f>
        <v>19.274999999999999</v>
      </c>
      <c r="U2981" s="3" t="e">
        <f ca="1"/>
        <v>#NAME?</v>
      </c>
    </row>
    <row r="2982" spans="3:21" ht="12.5" x14ac:dyDescent="0.25">
      <c r="C2982" s="4">
        <f ca="1">IFERROR(__xludf.DUMMYFUNCTION("""COMPUTED_VALUE"""),43389.9986111111)</f>
        <v>43389.998611111099</v>
      </c>
      <c r="D2982" s="2">
        <f ca="1">IFERROR(__xludf.DUMMYFUNCTION("""COMPUTED_VALUE"""),73.4555)</f>
        <v>73.455500000000001</v>
      </c>
      <c r="E2982" s="2">
        <f ca="1">IFERROR(__xludf.DUMMYFUNCTION("""COMPUTED_VALUE"""),78.709)</f>
        <v>78.709000000000003</v>
      </c>
      <c r="F2982" s="2">
        <f ca="1">IFERROR(__xludf.DUMMYFUNCTION("""COMPUTED_VALUE"""),94.229)</f>
        <v>94.228999999999999</v>
      </c>
      <c r="H2982" s="2">
        <f ca="1">IFERROR(__xludf.DUMMYFUNCTION("""COMPUTED_VALUE"""),48.793)</f>
        <v>48.792999999999999</v>
      </c>
      <c r="I2982" s="2">
        <f ca="1">IFERROR(__xludf.DUMMYFUNCTION("""COMPUTED_VALUE"""),53.368)</f>
        <v>53.368000000000002</v>
      </c>
      <c r="J2982" s="2">
        <f ca="1">IFERROR(__xludf.DUMMYFUNCTION("""COMPUTED_VALUE"""),52.57565)</f>
        <v>52.575650000000003</v>
      </c>
      <c r="K2982" s="2">
        <f ca="1">IFERROR(__xludf.DUMMYFUNCTION("""COMPUTED_VALUE"""),71.944)</f>
        <v>71.944000000000003</v>
      </c>
      <c r="M2982" s="2">
        <f ca="1">IFERROR(__xludf.DUMMYFUNCTION("""COMPUTED_VALUE"""),19.367)</f>
        <v>19.367000000000001</v>
      </c>
      <c r="U2982" s="3" t="e">
        <f ca="1"/>
        <v>#NAME?</v>
      </c>
    </row>
    <row r="2983" spans="3:21" ht="12.5" x14ac:dyDescent="0.25">
      <c r="C2983" s="4">
        <f ca="1">IFERROR(__xludf.DUMMYFUNCTION("""COMPUTED_VALUE"""),43390.9986111111)</f>
        <v>43390.998611111099</v>
      </c>
      <c r="D2983" s="2">
        <f ca="1">IFERROR(__xludf.DUMMYFUNCTION("""COMPUTED_VALUE"""),73.92)</f>
        <v>73.92</v>
      </c>
      <c r="E2983" s="2">
        <f ca="1">IFERROR(__xludf.DUMMYFUNCTION("""COMPUTED_VALUE"""),78.338)</f>
        <v>78.337999999999994</v>
      </c>
      <c r="F2983" s="2">
        <f ca="1">IFERROR(__xludf.DUMMYFUNCTION("""COMPUTED_VALUE"""),94.246)</f>
        <v>94.245999999999995</v>
      </c>
      <c r="H2983" s="2">
        <f ca="1">IFERROR(__xludf.DUMMYFUNCTION("""COMPUTED_VALUE"""),48.793)</f>
        <v>48.792999999999999</v>
      </c>
      <c r="I2983" s="2">
        <f ca="1">IFERROR(__xludf.DUMMYFUNCTION("""COMPUTED_VALUE"""),54.005)</f>
        <v>54.005000000000003</v>
      </c>
      <c r="J2983" s="2">
        <f ca="1">IFERROR(__xludf.DUMMYFUNCTION("""COMPUTED_VALUE"""),52.57565)</f>
        <v>52.575650000000003</v>
      </c>
      <c r="K2983" s="2">
        <f ca="1">IFERROR(__xludf.DUMMYFUNCTION("""COMPUTED_VALUE"""),71.553)</f>
        <v>71.552999999999997</v>
      </c>
      <c r="M2983" s="2">
        <f ca="1">IFERROR(__xludf.DUMMYFUNCTION("""COMPUTED_VALUE"""),19.336)</f>
        <v>19.335999999999999</v>
      </c>
      <c r="U2983" s="3" t="e">
        <f ca="1"/>
        <v>#NAME?</v>
      </c>
    </row>
    <row r="2984" spans="3:21" ht="12.5" x14ac:dyDescent="0.25">
      <c r="C2984" s="4">
        <f ca="1">IFERROR(__xludf.DUMMYFUNCTION("""COMPUTED_VALUE"""),43391.9986111111)</f>
        <v>43391.998611111099</v>
      </c>
      <c r="D2984" s="2">
        <f ca="1">IFERROR(__xludf.DUMMYFUNCTION("""COMPUTED_VALUE"""),74.16)</f>
        <v>74.16</v>
      </c>
      <c r="E2984" s="2">
        <f ca="1">IFERROR(__xludf.DUMMYFUNCTION("""COMPUTED_VALUE"""),78.658)</f>
        <v>78.658000000000001</v>
      </c>
      <c r="F2984" s="2">
        <f ca="1">IFERROR(__xludf.DUMMYFUNCTION("""COMPUTED_VALUE"""),95.365)</f>
        <v>95.364999999999995</v>
      </c>
      <c r="H2984" s="2">
        <f ca="1">IFERROR(__xludf.DUMMYFUNCTION("""COMPUTED_VALUE"""),49.072)</f>
        <v>49.072000000000003</v>
      </c>
      <c r="I2984" s="2">
        <f ca="1">IFERROR(__xludf.DUMMYFUNCTION("""COMPUTED_VALUE"""),53.931)</f>
        <v>53.930999999999997</v>
      </c>
      <c r="J2984" s="2">
        <f ca="1">IFERROR(__xludf.DUMMYFUNCTION("""COMPUTED_VALUE"""),52.45924)</f>
        <v>52.459240000000001</v>
      </c>
      <c r="K2984" s="2">
        <f ca="1">IFERROR(__xludf.DUMMYFUNCTION("""COMPUTED_VALUE"""),71.634)</f>
        <v>71.634</v>
      </c>
      <c r="M2984" s="2">
        <f ca="1">IFERROR(__xludf.DUMMYFUNCTION("""COMPUTED_VALUE"""),19.42)</f>
        <v>19.420000000000002</v>
      </c>
      <c r="U2984" s="3" t="e">
        <f ca="1"/>
        <v>#NAME?</v>
      </c>
    </row>
    <row r="2985" spans="3:21" ht="12.5" x14ac:dyDescent="0.25">
      <c r="C2985" s="4">
        <f ca="1">IFERROR(__xludf.DUMMYFUNCTION("""COMPUTED_VALUE"""),43392.9986111111)</f>
        <v>43392.998611111099</v>
      </c>
      <c r="D2985" s="2">
        <f ca="1">IFERROR(__xludf.DUMMYFUNCTION("""COMPUTED_VALUE"""),73.44)</f>
        <v>73.44</v>
      </c>
      <c r="E2985" s="2">
        <f ca="1">IFERROR(__xludf.DUMMYFUNCTION("""COMPUTED_VALUE"""),78.98)</f>
        <v>78.98</v>
      </c>
      <c r="F2985" s="2">
        <f ca="1">IFERROR(__xludf.DUMMYFUNCTION("""COMPUTED_VALUE"""),96.311)</f>
        <v>96.311000000000007</v>
      </c>
      <c r="H2985" s="2">
        <f ca="1">IFERROR(__xludf.DUMMYFUNCTION("""COMPUTED_VALUE"""),49.034)</f>
        <v>49.033999999999999</v>
      </c>
      <c r="I2985" s="2">
        <f ca="1">IFERROR(__xludf.DUMMYFUNCTION("""COMPUTED_VALUE"""),53.456)</f>
        <v>53.456000000000003</v>
      </c>
      <c r="J2985" s="2">
        <f ca="1">IFERROR(__xludf.DUMMYFUNCTION("""COMPUTED_VALUE"""),52.33398)</f>
        <v>52.333979999999997</v>
      </c>
      <c r="K2985" s="2">
        <f ca="1">IFERROR(__xludf.DUMMYFUNCTION("""COMPUTED_VALUE"""),72.002)</f>
        <v>72.001999999999995</v>
      </c>
      <c r="M2985" s="2">
        <f ca="1">IFERROR(__xludf.DUMMYFUNCTION("""COMPUTED_VALUE"""),19.418)</f>
        <v>19.417999999999999</v>
      </c>
      <c r="U2985" s="3" t="e">
        <f ca="1"/>
        <v>#NAME?</v>
      </c>
    </row>
    <row r="2986" spans="3:21" ht="12.5" x14ac:dyDescent="0.25">
      <c r="C2986" s="4">
        <f ca="1">IFERROR(__xludf.DUMMYFUNCTION("""COMPUTED_VALUE"""),43393.9986111111)</f>
        <v>43393.998611111099</v>
      </c>
      <c r="D2986" s="2">
        <f ca="1">IFERROR(__xludf.DUMMYFUNCTION("""COMPUTED_VALUE"""),73.44)</f>
        <v>73.44</v>
      </c>
      <c r="E2986" s="2">
        <f ca="1">IFERROR(__xludf.DUMMYFUNCTION("""COMPUTED_VALUE"""),78.979)</f>
        <v>78.978999999999999</v>
      </c>
      <c r="F2986" s="2">
        <f ca="1">IFERROR(__xludf.DUMMYFUNCTION("""COMPUTED_VALUE"""),95.058)</f>
        <v>95.058000000000007</v>
      </c>
      <c r="H2986" s="2">
        <f ca="1">IFERROR(__xludf.DUMMYFUNCTION("""COMPUTED_VALUE"""),48.524)</f>
        <v>48.524000000000001</v>
      </c>
      <c r="I2986" s="2">
        <f ca="1">IFERROR(__xludf.DUMMYFUNCTION("""COMPUTED_VALUE"""),53.785)</f>
        <v>53.784999999999997</v>
      </c>
      <c r="J2986" s="2">
        <f ca="1">IFERROR(__xludf.DUMMYFUNCTION("""COMPUTED_VALUE"""),52.11936)</f>
        <v>52.11936</v>
      </c>
      <c r="K2986" s="2">
        <f ca="1">IFERROR(__xludf.DUMMYFUNCTION("""COMPUTED_VALUE"""),71.942)</f>
        <v>71.941999999999993</v>
      </c>
      <c r="M2986" s="2">
        <f ca="1">IFERROR(__xludf.DUMMYFUNCTION("""COMPUTED_VALUE"""),19.517)</f>
        <v>19.516999999999999</v>
      </c>
      <c r="U2986" s="3" t="e">
        <f ca="1"/>
        <v>#NAME?</v>
      </c>
    </row>
    <row r="2987" spans="3:21" ht="12.5" x14ac:dyDescent="0.25">
      <c r="C2987" s="4">
        <f ca="1">IFERROR(__xludf.DUMMYFUNCTION("""COMPUTED_VALUE"""),43394.9986111111)</f>
        <v>43394.998611111099</v>
      </c>
      <c r="D2987" s="2">
        <f ca="1">IFERROR(__xludf.DUMMYFUNCTION("""COMPUTED_VALUE"""),73.465)</f>
        <v>73.465000000000003</v>
      </c>
      <c r="E2987" s="2">
        <f ca="1">IFERROR(__xludf.DUMMYFUNCTION("""COMPUTED_VALUE"""),78.979)</f>
        <v>78.978999999999999</v>
      </c>
      <c r="F2987" s="2">
        <f ca="1">IFERROR(__xludf.DUMMYFUNCTION("""COMPUTED_VALUE"""),95.195)</f>
        <v>95.194999999999993</v>
      </c>
      <c r="H2987" s="2">
        <f ca="1">IFERROR(__xludf.DUMMYFUNCTION("""COMPUTED_VALUE"""),48.449)</f>
        <v>48.448999999999998</v>
      </c>
      <c r="I2987" s="2">
        <f ca="1">IFERROR(__xludf.DUMMYFUNCTION("""COMPUTED_VALUE"""),53.533)</f>
        <v>53.533000000000001</v>
      </c>
      <c r="J2987" s="2">
        <f ca="1">IFERROR(__xludf.DUMMYFUNCTION("""COMPUTED_VALUE"""),52.3072)</f>
        <v>52.307200000000002</v>
      </c>
      <c r="K2987" s="2">
        <f ca="1">IFERROR(__xludf.DUMMYFUNCTION("""COMPUTED_VALUE"""),71.285)</f>
        <v>71.284999999999997</v>
      </c>
      <c r="M2987" s="2">
        <f ca="1">IFERROR(__xludf.DUMMYFUNCTION("""COMPUTED_VALUE"""),19.41)</f>
        <v>19.41</v>
      </c>
      <c r="U2987" s="3" t="e">
        <f ca="1"/>
        <v>#NAME?</v>
      </c>
    </row>
    <row r="2988" spans="3:21" ht="12.5" x14ac:dyDescent="0.25">
      <c r="C2988" s="4">
        <f ca="1">IFERROR(__xludf.DUMMYFUNCTION("""COMPUTED_VALUE"""),43395.9986111111)</f>
        <v>43395.998611111099</v>
      </c>
      <c r="D2988" s="2">
        <f ca="1">IFERROR(__xludf.DUMMYFUNCTION("""COMPUTED_VALUE"""),73.8595)</f>
        <v>73.859499999999997</v>
      </c>
      <c r="E2988" s="2">
        <f ca="1">IFERROR(__xludf.DUMMYFUNCTION("""COMPUTED_VALUE"""),79.259)</f>
        <v>79.259</v>
      </c>
      <c r="F2988" s="2">
        <f ca="1">IFERROR(__xludf.DUMMYFUNCTION("""COMPUTED_VALUE"""),94.422)</f>
        <v>94.421999999999997</v>
      </c>
      <c r="H2988" s="2">
        <f ca="1">IFERROR(__xludf.DUMMYFUNCTION("""COMPUTED_VALUE"""),48.042)</f>
        <v>48.042000000000002</v>
      </c>
      <c r="I2988" s="2">
        <f ca="1">IFERROR(__xludf.DUMMYFUNCTION("""COMPUTED_VALUE"""),53.524)</f>
        <v>53.524000000000001</v>
      </c>
      <c r="J2988" s="2">
        <f ca="1">IFERROR(__xludf.DUMMYFUNCTION("""COMPUTED_VALUE"""),52.40859)</f>
        <v>52.408589999999997</v>
      </c>
      <c r="K2988" s="2">
        <f ca="1">IFERROR(__xludf.DUMMYFUNCTION("""COMPUTED_VALUE"""),71.809)</f>
        <v>71.808999999999997</v>
      </c>
      <c r="M2988" s="2">
        <f ca="1">IFERROR(__xludf.DUMMYFUNCTION("""COMPUTED_VALUE"""),19.412)</f>
        <v>19.411999999999999</v>
      </c>
      <c r="U2988" s="3" t="e">
        <f ca="1"/>
        <v>#NAME?</v>
      </c>
    </row>
    <row r="2989" spans="3:21" ht="12.5" x14ac:dyDescent="0.25">
      <c r="C2989" s="4">
        <f ca="1">IFERROR(__xludf.DUMMYFUNCTION("""COMPUTED_VALUE"""),43396.9986111111)</f>
        <v>43396.998611111099</v>
      </c>
      <c r="D2989" s="2">
        <f ca="1">IFERROR(__xludf.DUMMYFUNCTION("""COMPUTED_VALUE"""),73.2213)</f>
        <v>73.221299999999999</v>
      </c>
      <c r="E2989" s="2">
        <f ca="1">IFERROR(__xludf.DUMMYFUNCTION("""COMPUTED_VALUE"""),79.422)</f>
        <v>79.421999999999997</v>
      </c>
      <c r="F2989" s="2">
        <f ca="1">IFERROR(__xludf.DUMMYFUNCTION("""COMPUTED_VALUE"""),94.426)</f>
        <v>94.426000000000002</v>
      </c>
      <c r="H2989" s="2">
        <f ca="1">IFERROR(__xludf.DUMMYFUNCTION("""COMPUTED_VALUE"""),48.036)</f>
        <v>48.036000000000001</v>
      </c>
      <c r="I2989" s="2">
        <f ca="1">IFERROR(__xludf.DUMMYFUNCTION("""COMPUTED_VALUE"""),53.524)</f>
        <v>53.524000000000001</v>
      </c>
      <c r="J2989" s="2">
        <f ca="1">IFERROR(__xludf.DUMMYFUNCTION("""COMPUTED_VALUE"""),52.40759)</f>
        <v>52.407589999999999</v>
      </c>
      <c r="K2989" s="2">
        <f ca="1">IFERROR(__xludf.DUMMYFUNCTION("""COMPUTED_VALUE"""),71.647)</f>
        <v>71.647000000000006</v>
      </c>
      <c r="M2989" s="2">
        <f ca="1">IFERROR(__xludf.DUMMYFUNCTION("""COMPUTED_VALUE"""),19.377)</f>
        <v>19.376999999999999</v>
      </c>
      <c r="U2989" s="3" t="e">
        <f ca="1"/>
        <v>#NAME?</v>
      </c>
    </row>
    <row r="2990" spans="3:21" ht="12.5" x14ac:dyDescent="0.25">
      <c r="C2990" s="4">
        <f ca="1">IFERROR(__xludf.DUMMYFUNCTION("""COMPUTED_VALUE"""),43397.9986111111)</f>
        <v>43397.998611111099</v>
      </c>
      <c r="D2990" s="2">
        <f ca="1">IFERROR(__xludf.DUMMYFUNCTION("""COMPUTED_VALUE"""),73.2205)</f>
        <v>73.220500000000001</v>
      </c>
      <c r="E2990" s="2">
        <f ca="1">IFERROR(__xludf.DUMMYFUNCTION("""COMPUTED_VALUE"""),79.149)</f>
        <v>79.149000000000001</v>
      </c>
      <c r="F2990" s="2">
        <f ca="1">IFERROR(__xludf.DUMMYFUNCTION("""COMPUTED_VALUE"""),94.496)</f>
        <v>94.495999999999995</v>
      </c>
      <c r="H2990" s="2">
        <f ca="1">IFERROR(__xludf.DUMMYFUNCTION("""COMPUTED_VALUE"""),48.036)</f>
        <v>48.036000000000001</v>
      </c>
      <c r="I2990" s="2">
        <f ca="1">IFERROR(__xludf.DUMMYFUNCTION("""COMPUTED_VALUE"""),53.328)</f>
        <v>53.328000000000003</v>
      </c>
      <c r="J2990" s="2">
        <f ca="1">IFERROR(__xludf.DUMMYFUNCTION("""COMPUTED_VALUE"""),52.40759)</f>
        <v>52.407589999999999</v>
      </c>
      <c r="K2990" s="2">
        <f ca="1">IFERROR(__xludf.DUMMYFUNCTION("""COMPUTED_VALUE"""),71.444)</f>
        <v>71.444000000000003</v>
      </c>
      <c r="M2990" s="2">
        <f ca="1">IFERROR(__xludf.DUMMYFUNCTION("""COMPUTED_VALUE"""),19.335)</f>
        <v>19.335000000000001</v>
      </c>
      <c r="U2990" s="3" t="e">
        <f ca="1"/>
        <v>#NAME?</v>
      </c>
    </row>
    <row r="2991" spans="3:21" ht="12.5" x14ac:dyDescent="0.25">
      <c r="C2991" s="4">
        <f ca="1">IFERROR(__xludf.DUMMYFUNCTION("""COMPUTED_VALUE"""),43398.9986111111)</f>
        <v>43398.998611111099</v>
      </c>
      <c r="D2991" s="2">
        <f ca="1">IFERROR(__xludf.DUMMYFUNCTION("""COMPUTED_VALUE"""),73.2202)</f>
        <v>73.220200000000006</v>
      </c>
      <c r="E2991" s="2">
        <f ca="1">IFERROR(__xludf.DUMMYFUNCTION("""COMPUTED_VALUE"""),79.029)</f>
        <v>79.028999999999996</v>
      </c>
      <c r="F2991" s="2">
        <f ca="1">IFERROR(__xludf.DUMMYFUNCTION("""COMPUTED_VALUE"""),96.125)</f>
        <v>96.125</v>
      </c>
      <c r="H2991" s="2">
        <f ca="1">IFERROR(__xludf.DUMMYFUNCTION("""COMPUTED_VALUE"""),47.915)</f>
        <v>47.914999999999999</v>
      </c>
      <c r="I2991" s="2">
        <f ca="1">IFERROR(__xludf.DUMMYFUNCTION("""COMPUTED_VALUE"""),53.544)</f>
        <v>53.543999999999997</v>
      </c>
      <c r="J2991" s="2">
        <f ca="1">IFERROR(__xludf.DUMMYFUNCTION("""COMPUTED_VALUE"""),52.3611)</f>
        <v>52.3611</v>
      </c>
      <c r="K2991" s="2">
        <f ca="1">IFERROR(__xludf.DUMMYFUNCTION("""COMPUTED_VALUE"""),71.891)</f>
        <v>71.891000000000005</v>
      </c>
      <c r="M2991" s="2">
        <f ca="1">IFERROR(__xludf.DUMMYFUNCTION("""COMPUTED_VALUE"""),19.335)</f>
        <v>19.335000000000001</v>
      </c>
      <c r="U2991" s="3" t="e">
        <f ca="1"/>
        <v>#NAME?</v>
      </c>
    </row>
    <row r="2992" spans="3:21" ht="12.5" x14ac:dyDescent="0.25">
      <c r="C2992" s="4">
        <f ca="1">IFERROR(__xludf.DUMMYFUNCTION("""COMPUTED_VALUE"""),43399.9986111111)</f>
        <v>43399.998611111099</v>
      </c>
      <c r="D2992" s="2">
        <f ca="1">IFERROR(__xludf.DUMMYFUNCTION("""COMPUTED_VALUE"""),73.08)</f>
        <v>73.08</v>
      </c>
      <c r="E2992" s="2">
        <f ca="1">IFERROR(__xludf.DUMMYFUNCTION("""COMPUTED_VALUE"""),78.76)</f>
        <v>78.760000000000005</v>
      </c>
      <c r="F2992" s="2">
        <f ca="1">IFERROR(__xludf.DUMMYFUNCTION("""COMPUTED_VALUE"""),96.31)</f>
        <v>96.31</v>
      </c>
      <c r="H2992" s="2">
        <f ca="1">IFERROR(__xludf.DUMMYFUNCTION("""COMPUTED_VALUE"""),48.208)</f>
        <v>48.207999999999998</v>
      </c>
      <c r="I2992" s="2">
        <f ca="1">IFERROR(__xludf.DUMMYFUNCTION("""COMPUTED_VALUE"""),53.485)</f>
        <v>53.484999999999999</v>
      </c>
      <c r="J2992" s="2">
        <f ca="1">IFERROR(__xludf.DUMMYFUNCTION("""COMPUTED_VALUE"""),52.5415)</f>
        <v>52.541499999999999</v>
      </c>
      <c r="K2992" s="2">
        <f ca="1">IFERROR(__xludf.DUMMYFUNCTION("""COMPUTED_VALUE"""),71.542)</f>
        <v>71.542000000000002</v>
      </c>
      <c r="M2992" s="2">
        <f ca="1">IFERROR(__xludf.DUMMYFUNCTION("""COMPUTED_VALUE"""),19.338)</f>
        <v>19.338000000000001</v>
      </c>
      <c r="U2992" s="3" t="e">
        <f ca="1"/>
        <v>#NAME?</v>
      </c>
    </row>
    <row r="2993" spans="3:21" ht="12.5" x14ac:dyDescent="0.25">
      <c r="C2993" s="4">
        <f ca="1">IFERROR(__xludf.DUMMYFUNCTION("""COMPUTED_VALUE"""),43400.9986111111)</f>
        <v>43400.998611111099</v>
      </c>
      <c r="D2993" s="2">
        <f ca="1">IFERROR(__xludf.DUMMYFUNCTION("""COMPUTED_VALUE"""),73.125)</f>
        <v>73.125</v>
      </c>
      <c r="E2993" s="2">
        <f ca="1">IFERROR(__xludf.DUMMYFUNCTION("""COMPUTED_VALUE"""),78.76)</f>
        <v>78.760000000000005</v>
      </c>
      <c r="F2993" s="2">
        <f ca="1">IFERROR(__xludf.DUMMYFUNCTION("""COMPUTED_VALUE"""),95.876)</f>
        <v>95.876000000000005</v>
      </c>
      <c r="H2993" s="2">
        <f ca="1">IFERROR(__xludf.DUMMYFUNCTION("""COMPUTED_VALUE"""),47.913)</f>
        <v>47.912999999999997</v>
      </c>
      <c r="I2993" s="2">
        <f ca="1">IFERROR(__xludf.DUMMYFUNCTION("""COMPUTED_VALUE"""),53.418)</f>
        <v>53.417999999999999</v>
      </c>
      <c r="J2993" s="2">
        <f ca="1">IFERROR(__xludf.DUMMYFUNCTION("""COMPUTED_VALUE"""),52.40771)</f>
        <v>52.407710000000002</v>
      </c>
      <c r="K2993" s="2">
        <f ca="1">IFERROR(__xludf.DUMMYFUNCTION("""COMPUTED_VALUE"""),71.349)</f>
        <v>71.349000000000004</v>
      </c>
      <c r="M2993" s="2">
        <f ca="1">IFERROR(__xludf.DUMMYFUNCTION("""COMPUTED_VALUE"""),19.357)</f>
        <v>19.356999999999999</v>
      </c>
      <c r="U2993" s="3" t="e">
        <f ca="1"/>
        <v>#NAME?</v>
      </c>
    </row>
    <row r="2994" spans="3:21" ht="12.5" x14ac:dyDescent="0.25">
      <c r="C2994" s="4">
        <f ca="1">IFERROR(__xludf.DUMMYFUNCTION("""COMPUTED_VALUE"""),43401.9986111111)</f>
        <v>43401.998611111099</v>
      </c>
      <c r="D2994" s="2">
        <f ca="1">IFERROR(__xludf.DUMMYFUNCTION("""COMPUTED_VALUE"""),73.125)</f>
        <v>73.125</v>
      </c>
      <c r="E2994" s="2">
        <f ca="1">IFERROR(__xludf.DUMMYFUNCTION("""COMPUTED_VALUE"""),78.76)</f>
        <v>78.760000000000005</v>
      </c>
      <c r="F2994" s="2">
        <f ca="1">IFERROR(__xludf.DUMMYFUNCTION("""COMPUTED_VALUE"""),95.369)</f>
        <v>95.369</v>
      </c>
      <c r="H2994" s="2">
        <f ca="1">IFERROR(__xludf.DUMMYFUNCTION("""COMPUTED_VALUE"""),47.869)</f>
        <v>47.869</v>
      </c>
      <c r="I2994" s="2">
        <f ca="1">IFERROR(__xludf.DUMMYFUNCTION("""COMPUTED_VALUE"""),53.166)</f>
        <v>53.165999999999997</v>
      </c>
      <c r="J2994" s="2">
        <f ca="1">IFERROR(__xludf.DUMMYFUNCTION("""COMPUTED_VALUE"""),52.3066)</f>
        <v>52.306600000000003</v>
      </c>
      <c r="K2994" s="2">
        <f ca="1">IFERROR(__xludf.DUMMYFUNCTION("""COMPUTED_VALUE"""),71.059)</f>
        <v>71.058999999999997</v>
      </c>
      <c r="M2994" s="2">
        <f ca="1">IFERROR(__xludf.DUMMYFUNCTION("""COMPUTED_VALUE"""),19.309)</f>
        <v>19.309000000000001</v>
      </c>
      <c r="U2994" s="3" t="e">
        <f ca="1"/>
        <v>#NAME?</v>
      </c>
    </row>
    <row r="2995" spans="3:21" ht="12.5" x14ac:dyDescent="0.25">
      <c r="C2995" s="4">
        <f ca="1">IFERROR(__xludf.DUMMYFUNCTION("""COMPUTED_VALUE"""),43402.9986111111)</f>
        <v>43402.998611111099</v>
      </c>
      <c r="D2995" s="2">
        <f ca="1">IFERROR(__xludf.DUMMYFUNCTION("""COMPUTED_VALUE"""),73.5906)</f>
        <v>73.590599999999995</v>
      </c>
      <c r="E2995" s="2">
        <f ca="1">IFERROR(__xludf.DUMMYFUNCTION("""COMPUTED_VALUE"""),78.445)</f>
        <v>78.444999999999993</v>
      </c>
      <c r="F2995" s="2">
        <f ca="1">IFERROR(__xludf.DUMMYFUNCTION("""COMPUTED_VALUE"""),94.476)</f>
        <v>94.475999999999999</v>
      </c>
      <c r="H2995" s="2">
        <f ca="1">IFERROR(__xludf.DUMMYFUNCTION("""COMPUTED_VALUE"""),47.652)</f>
        <v>47.652000000000001</v>
      </c>
      <c r="I2995" s="2">
        <f ca="1">IFERROR(__xludf.DUMMYFUNCTION("""COMPUTED_VALUE"""),53.166)</f>
        <v>53.165999999999997</v>
      </c>
      <c r="J2995" s="2">
        <f ca="1">IFERROR(__xludf.DUMMYFUNCTION("""COMPUTED_VALUE"""),52.32822)</f>
        <v>52.328220000000002</v>
      </c>
      <c r="K2995" s="2">
        <f ca="1">IFERROR(__xludf.DUMMYFUNCTION("""COMPUTED_VALUE"""),71.089)</f>
        <v>71.088999999999999</v>
      </c>
      <c r="M2995" s="2">
        <f ca="1">IFERROR(__xludf.DUMMYFUNCTION("""COMPUTED_VALUE"""),19.451)</f>
        <v>19.451000000000001</v>
      </c>
      <c r="U2995" s="3" t="e">
        <f ca="1"/>
        <v>#NAME?</v>
      </c>
    </row>
    <row r="2996" spans="3:21" ht="12.5" x14ac:dyDescent="0.25">
      <c r="C2996" s="4">
        <f ca="1">IFERROR(__xludf.DUMMYFUNCTION("""COMPUTED_VALUE"""),43403.9986111111)</f>
        <v>43403.998611111099</v>
      </c>
      <c r="D2996" s="2">
        <f ca="1">IFERROR(__xludf.DUMMYFUNCTION("""COMPUTED_VALUE"""),73.65)</f>
        <v>73.650000000000006</v>
      </c>
      <c r="E2996" s="2">
        <f ca="1">IFERROR(__xludf.DUMMYFUNCTION("""COMPUTED_VALUE"""),78.47)</f>
        <v>78.47</v>
      </c>
      <c r="F2996" s="2">
        <f ca="1">IFERROR(__xludf.DUMMYFUNCTION("""COMPUTED_VALUE"""),94.495)</f>
        <v>94.495000000000005</v>
      </c>
      <c r="H2996" s="2">
        <f ca="1">IFERROR(__xludf.DUMMYFUNCTION("""COMPUTED_VALUE"""),47.644)</f>
        <v>47.643999999999998</v>
      </c>
      <c r="I2996" s="2">
        <f ca="1">IFERROR(__xludf.DUMMYFUNCTION("""COMPUTED_VALUE"""),53.196)</f>
        <v>53.195999999999998</v>
      </c>
      <c r="J2996" s="2">
        <f ca="1">IFERROR(__xludf.DUMMYFUNCTION("""COMPUTED_VALUE"""),52.32822)</f>
        <v>52.328220000000002</v>
      </c>
      <c r="K2996" s="2">
        <f ca="1">IFERROR(__xludf.DUMMYFUNCTION("""COMPUTED_VALUE"""),70.734)</f>
        <v>70.733999999999995</v>
      </c>
      <c r="M2996" s="2">
        <f ca="1">IFERROR(__xludf.DUMMYFUNCTION("""COMPUTED_VALUE"""),19.357)</f>
        <v>19.356999999999999</v>
      </c>
      <c r="U2996" s="3" t="e">
        <f ca="1"/>
        <v>#NAME?</v>
      </c>
    </row>
    <row r="2997" spans="3:21" ht="12.5" x14ac:dyDescent="0.25">
      <c r="C2997" s="4">
        <f ca="1">IFERROR(__xludf.DUMMYFUNCTION("""COMPUTED_VALUE"""),43404.9986111111)</f>
        <v>43404.998611111099</v>
      </c>
      <c r="D2997" s="2">
        <f ca="1">IFERROR(__xludf.DUMMYFUNCTION("""COMPUTED_VALUE"""),74.07)</f>
        <v>74.069999999999993</v>
      </c>
      <c r="E2997" s="2">
        <f ca="1">IFERROR(__xludf.DUMMYFUNCTION("""COMPUTED_VALUE"""),78.638)</f>
        <v>78.638000000000005</v>
      </c>
      <c r="F2997" s="2">
        <f ca="1">IFERROR(__xludf.DUMMYFUNCTION("""COMPUTED_VALUE"""),94.474)</f>
        <v>94.474000000000004</v>
      </c>
      <c r="H2997" s="2">
        <f ca="1">IFERROR(__xludf.DUMMYFUNCTION("""COMPUTED_VALUE"""),47.652)</f>
        <v>47.652000000000001</v>
      </c>
      <c r="I2997" s="2">
        <f ca="1">IFERROR(__xludf.DUMMYFUNCTION("""COMPUTED_VALUE"""),53.288)</f>
        <v>53.287999999999997</v>
      </c>
      <c r="J2997" s="2">
        <f ca="1">IFERROR(__xludf.DUMMYFUNCTION("""COMPUTED_VALUE"""),52.32822)</f>
        <v>52.328220000000002</v>
      </c>
      <c r="K2997" s="2">
        <f ca="1">IFERROR(__xludf.DUMMYFUNCTION("""COMPUTED_VALUE"""),71.557)</f>
        <v>71.557000000000002</v>
      </c>
      <c r="M2997" s="2">
        <f ca="1">IFERROR(__xludf.DUMMYFUNCTION("""COMPUTED_VALUE"""),19.332)</f>
        <v>19.332000000000001</v>
      </c>
      <c r="U2997" s="3" t="e">
        <f ca="1"/>
        <v>#NAME?</v>
      </c>
    </row>
    <row r="2998" spans="3:21" ht="12.5" x14ac:dyDescent="0.25">
      <c r="C2998" s="4">
        <f ca="1">IFERROR(__xludf.DUMMYFUNCTION("""COMPUTED_VALUE"""),43405.9986111111)</f>
        <v>43405.998611111099</v>
      </c>
      <c r="D2998" s="2">
        <f ca="1">IFERROR(__xludf.DUMMYFUNCTION("""COMPUTED_VALUE"""),73.31)</f>
        <v>73.31</v>
      </c>
      <c r="E2998" s="2">
        <f ca="1">IFERROR(__xludf.DUMMYFUNCTION("""COMPUTED_VALUE"""),78.853)</f>
        <v>78.852999999999994</v>
      </c>
      <c r="F2998" s="2">
        <f ca="1">IFERROR(__xludf.DUMMYFUNCTION("""COMPUTED_VALUE"""),96.211)</f>
        <v>96.210999999999999</v>
      </c>
      <c r="H2998" s="2">
        <f ca="1">IFERROR(__xludf.DUMMYFUNCTION("""COMPUTED_VALUE"""),47.639)</f>
        <v>47.639000000000003</v>
      </c>
      <c r="I2998" s="2">
        <f ca="1">IFERROR(__xludf.DUMMYFUNCTION("""COMPUTED_VALUE"""),53.74)</f>
        <v>53.74</v>
      </c>
      <c r="J2998" s="2">
        <f ca="1">IFERROR(__xludf.DUMMYFUNCTION("""COMPUTED_VALUE"""),52.12985)</f>
        <v>52.129849999999998</v>
      </c>
      <c r="K2998" s="2">
        <f ca="1">IFERROR(__xludf.DUMMYFUNCTION("""COMPUTED_VALUE"""),71.299)</f>
        <v>71.299000000000007</v>
      </c>
      <c r="M2998" s="2">
        <f ca="1">IFERROR(__xludf.DUMMYFUNCTION("""COMPUTED_VALUE"""),19.329)</f>
        <v>19.329000000000001</v>
      </c>
      <c r="U2998" s="3" t="e">
        <f ca="1"/>
        <v>#NAME?</v>
      </c>
    </row>
    <row r="2999" spans="3:21" ht="12.5" x14ac:dyDescent="0.25">
      <c r="C2999" s="4">
        <f ca="1">IFERROR(__xludf.DUMMYFUNCTION("""COMPUTED_VALUE"""),43406.9986111111)</f>
        <v>43406.998611111099</v>
      </c>
      <c r="D2999" s="2">
        <f ca="1">IFERROR(__xludf.DUMMYFUNCTION("""COMPUTED_VALUE"""),72.905)</f>
        <v>72.905000000000001</v>
      </c>
      <c r="E2999" s="2">
        <f ca="1">IFERROR(__xludf.DUMMYFUNCTION("""COMPUTED_VALUE"""),78.645)</f>
        <v>78.644999999999996</v>
      </c>
      <c r="F2999" s="2">
        <f ca="1">IFERROR(__xludf.DUMMYFUNCTION("""COMPUTED_VALUE"""),95.144)</f>
        <v>95.144000000000005</v>
      </c>
      <c r="H2999" s="2">
        <f ca="1">IFERROR(__xludf.DUMMYFUNCTION("""COMPUTED_VALUE"""),47.662)</f>
        <v>47.661999999999999</v>
      </c>
      <c r="I2999" s="2">
        <f ca="1">IFERROR(__xludf.DUMMYFUNCTION("""COMPUTED_VALUE"""),53.324)</f>
        <v>53.323999999999998</v>
      </c>
      <c r="J2999" s="2">
        <f ca="1">IFERROR(__xludf.DUMMYFUNCTION("""COMPUTED_VALUE"""),52.07338)</f>
        <v>52.07338</v>
      </c>
      <c r="K2999" s="2">
        <f ca="1">IFERROR(__xludf.DUMMYFUNCTION("""COMPUTED_VALUE"""),71.093)</f>
        <v>71.093000000000004</v>
      </c>
      <c r="M2999" s="2">
        <f ca="1">IFERROR(__xludf.DUMMYFUNCTION("""COMPUTED_VALUE"""),19.299)</f>
        <v>19.298999999999999</v>
      </c>
      <c r="U2999" s="3" t="e">
        <f ca="1"/>
        <v>#NAME?</v>
      </c>
    </row>
    <row r="3000" spans="3:21" ht="12.5" x14ac:dyDescent="0.25">
      <c r="C3000" s="4">
        <f ca="1">IFERROR(__xludf.DUMMYFUNCTION("""COMPUTED_VALUE"""),43407.9986111111)</f>
        <v>43407.998611111099</v>
      </c>
      <c r="D3000" s="2">
        <f ca="1">IFERROR(__xludf.DUMMYFUNCTION("""COMPUTED_VALUE"""),72.905)</f>
        <v>72.905000000000001</v>
      </c>
      <c r="E3000" s="2">
        <f ca="1">IFERROR(__xludf.DUMMYFUNCTION("""COMPUTED_VALUE"""),78.645)</f>
        <v>78.644999999999996</v>
      </c>
      <c r="F3000" s="2">
        <f ca="1">IFERROR(__xludf.DUMMYFUNCTION("""COMPUTED_VALUE"""),95.599)</f>
        <v>95.599000000000004</v>
      </c>
      <c r="H3000" s="2">
        <f ca="1">IFERROR(__xludf.DUMMYFUNCTION("""COMPUTED_VALUE"""),47.68)</f>
        <v>47.68</v>
      </c>
      <c r="I3000" s="2">
        <f ca="1">IFERROR(__xludf.DUMMYFUNCTION("""COMPUTED_VALUE"""),53.214)</f>
        <v>53.213999999999999</v>
      </c>
      <c r="J3000" s="2">
        <f ca="1">IFERROR(__xludf.DUMMYFUNCTION("""COMPUTED_VALUE"""),52.04626)</f>
        <v>52.046259999999997</v>
      </c>
      <c r="K3000" s="2">
        <f ca="1">IFERROR(__xludf.DUMMYFUNCTION("""COMPUTED_VALUE"""),71.108)</f>
        <v>71.108000000000004</v>
      </c>
      <c r="M3000" s="2">
        <f ca="1">IFERROR(__xludf.DUMMYFUNCTION("""COMPUTED_VALUE"""),19.257)</f>
        <v>19.257000000000001</v>
      </c>
      <c r="U3000" s="3" t="e">
        <f ca="1"/>
        <v>#NAME?</v>
      </c>
    </row>
    <row r="3001" spans="3:21" ht="12.5" x14ac:dyDescent="0.25">
      <c r="C3001" s="4">
        <f ca="1">IFERROR(__xludf.DUMMYFUNCTION("""COMPUTED_VALUE"""),43408.9986111111)</f>
        <v>43408.998611111099</v>
      </c>
      <c r="D3001" s="2">
        <f ca="1">IFERROR(__xludf.DUMMYFUNCTION("""COMPUTED_VALUE"""),72.905)</f>
        <v>72.905000000000001</v>
      </c>
      <c r="E3001" s="2">
        <f ca="1">IFERROR(__xludf.DUMMYFUNCTION("""COMPUTED_VALUE"""),78.645)</f>
        <v>78.644999999999996</v>
      </c>
      <c r="F3001" s="2">
        <f ca="1">IFERROR(__xludf.DUMMYFUNCTION("""COMPUTED_VALUE"""),96.671)</f>
        <v>96.671000000000006</v>
      </c>
      <c r="H3001" s="2">
        <f ca="1">IFERROR(__xludf.DUMMYFUNCTION("""COMPUTED_VALUE"""),47.878)</f>
        <v>47.878</v>
      </c>
      <c r="I3001" s="2">
        <f ca="1">IFERROR(__xludf.DUMMYFUNCTION("""COMPUTED_VALUE"""),53.155)</f>
        <v>53.155000000000001</v>
      </c>
      <c r="J3001" s="2">
        <f ca="1">IFERROR(__xludf.DUMMYFUNCTION("""COMPUTED_VALUE"""),52.1399)</f>
        <v>52.139899999999997</v>
      </c>
      <c r="K3001" s="2">
        <f ca="1">IFERROR(__xludf.DUMMYFUNCTION("""COMPUTED_VALUE"""),71.081)</f>
        <v>71.081000000000003</v>
      </c>
      <c r="M3001" s="2">
        <f ca="1">IFERROR(__xludf.DUMMYFUNCTION("""COMPUTED_VALUE"""),19.154)</f>
        <v>19.154</v>
      </c>
      <c r="U3001" s="3" t="e">
        <f ca="1"/>
        <v>#NAME?</v>
      </c>
    </row>
    <row r="3002" spans="3:21" ht="12.5" x14ac:dyDescent="0.25">
      <c r="C3002" s="4">
        <f ca="1">IFERROR(__xludf.DUMMYFUNCTION("""COMPUTED_VALUE"""),43409.9986111111)</f>
        <v>43409.998611111099</v>
      </c>
      <c r="D3002" s="2">
        <f ca="1">IFERROR(__xludf.DUMMYFUNCTION("""COMPUTED_VALUE"""),72.86)</f>
        <v>72.86</v>
      </c>
      <c r="E3002" s="2">
        <f ca="1">IFERROR(__xludf.DUMMYFUNCTION("""COMPUTED_VALUE"""),78.892)</f>
        <v>78.891999999999996</v>
      </c>
      <c r="F3002" s="2">
        <f ca="1">IFERROR(__xludf.DUMMYFUNCTION("""COMPUTED_VALUE"""),97.172)</f>
        <v>97.171999999999997</v>
      </c>
      <c r="H3002" s="2">
        <f ca="1">IFERROR(__xludf.DUMMYFUNCTION("""COMPUTED_VALUE"""),47.907)</f>
        <v>47.906999999999996</v>
      </c>
      <c r="I3002" s="2">
        <f ca="1">IFERROR(__xludf.DUMMYFUNCTION("""COMPUTED_VALUE"""),53.155)</f>
        <v>53.155000000000001</v>
      </c>
      <c r="J3002" s="2">
        <f ca="1">IFERROR(__xludf.DUMMYFUNCTION("""COMPUTED_VALUE"""),52.24555)</f>
        <v>52.245550000000001</v>
      </c>
      <c r="K3002" s="2">
        <f ca="1">IFERROR(__xludf.DUMMYFUNCTION("""COMPUTED_VALUE"""),71.263)</f>
        <v>71.263000000000005</v>
      </c>
      <c r="M3002" s="2">
        <f ca="1">IFERROR(__xludf.DUMMYFUNCTION("""COMPUTED_VALUE"""),19.083)</f>
        <v>19.082999999999998</v>
      </c>
      <c r="U3002" s="3" t="e">
        <f ca="1"/>
        <v>#NAME?</v>
      </c>
    </row>
    <row r="3003" spans="3:21" ht="12.5" x14ac:dyDescent="0.25">
      <c r="C3003" s="4">
        <f ca="1">IFERROR(__xludf.DUMMYFUNCTION("""COMPUTED_VALUE"""),43410.9986111111)</f>
        <v>43410.998611111099</v>
      </c>
      <c r="D3003" s="2">
        <f ca="1">IFERROR(__xludf.DUMMYFUNCTION("""COMPUTED_VALUE"""),73.23)</f>
        <v>73.23</v>
      </c>
      <c r="E3003" s="2">
        <f ca="1">IFERROR(__xludf.DUMMYFUNCTION("""COMPUTED_VALUE"""),79.135)</f>
        <v>79.135000000000005</v>
      </c>
      <c r="F3003" s="2">
        <f ca="1">IFERROR(__xludf.DUMMYFUNCTION("""COMPUTED_VALUE"""),96.777)</f>
        <v>96.777000000000001</v>
      </c>
      <c r="H3003" s="2">
        <f ca="1">IFERROR(__xludf.DUMMYFUNCTION("""COMPUTED_VALUE"""),47.907)</f>
        <v>47.906999999999996</v>
      </c>
      <c r="I3003" s="2">
        <f ca="1">IFERROR(__xludf.DUMMYFUNCTION("""COMPUTED_VALUE"""),53.145)</f>
        <v>53.145000000000003</v>
      </c>
      <c r="J3003" s="2">
        <f ca="1">IFERROR(__xludf.DUMMYFUNCTION("""COMPUTED_VALUE"""),52.24555)</f>
        <v>52.245550000000001</v>
      </c>
      <c r="K3003" s="2">
        <f ca="1">IFERROR(__xludf.DUMMYFUNCTION("""COMPUTED_VALUE"""),71.681)</f>
        <v>71.680999999999997</v>
      </c>
      <c r="M3003" s="2">
        <f ca="1">IFERROR(__xludf.DUMMYFUNCTION("""COMPUTED_VALUE"""),19.057)</f>
        <v>19.056999999999999</v>
      </c>
      <c r="U3003" s="3" t="e">
        <f ca="1"/>
        <v>#NAME?</v>
      </c>
    </row>
    <row r="3004" spans="3:21" ht="12.5" x14ac:dyDescent="0.25">
      <c r="C3004" s="4">
        <f ca="1">IFERROR(__xludf.DUMMYFUNCTION("""COMPUTED_VALUE"""),43411.9986111111)</f>
        <v>43411.998611111099</v>
      </c>
      <c r="D3004" s="2">
        <f ca="1">IFERROR(__xludf.DUMMYFUNCTION("""COMPUTED_VALUE"""),72.38)</f>
        <v>72.38</v>
      </c>
      <c r="E3004" s="2">
        <f ca="1">IFERROR(__xludf.DUMMYFUNCTION("""COMPUTED_VALUE"""),78.84)</f>
        <v>78.84</v>
      </c>
      <c r="F3004" s="2">
        <f ca="1">IFERROR(__xludf.DUMMYFUNCTION("""COMPUTED_VALUE"""),96.803)</f>
        <v>96.802999999999997</v>
      </c>
      <c r="H3004" s="2">
        <f ca="1">IFERROR(__xludf.DUMMYFUNCTION("""COMPUTED_VALUE"""),47.9)</f>
        <v>47.9</v>
      </c>
      <c r="I3004" s="2">
        <f ca="1">IFERROR(__xludf.DUMMYFUNCTION("""COMPUTED_VALUE"""),53.295)</f>
        <v>53.295000000000002</v>
      </c>
      <c r="J3004" s="2">
        <f ca="1">IFERROR(__xludf.DUMMYFUNCTION("""COMPUTED_VALUE"""),52.24555)</f>
        <v>52.245550000000001</v>
      </c>
      <c r="K3004" s="2">
        <f ca="1">IFERROR(__xludf.DUMMYFUNCTION("""COMPUTED_VALUE"""),71.55)</f>
        <v>71.55</v>
      </c>
      <c r="M3004" s="2">
        <f ca="1">IFERROR(__xludf.DUMMYFUNCTION("""COMPUTED_VALUE"""),19.059)</f>
        <v>19.059000000000001</v>
      </c>
      <c r="U3004" s="3" t="e">
        <f ca="1"/>
        <v>#NAME?</v>
      </c>
    </row>
    <row r="3005" spans="3:21" ht="12.5" x14ac:dyDescent="0.25">
      <c r="C3005" s="4">
        <f ca="1">IFERROR(__xludf.DUMMYFUNCTION("""COMPUTED_VALUE"""),43412.9986111111)</f>
        <v>43412.998611111099</v>
      </c>
      <c r="D3005" s="2">
        <f ca="1">IFERROR(__xludf.DUMMYFUNCTION("""COMPUTED_VALUE"""),72.9)</f>
        <v>72.900000000000006</v>
      </c>
      <c r="E3005" s="2">
        <f ca="1">IFERROR(__xludf.DUMMYFUNCTION("""COMPUTED_VALUE"""),79.097)</f>
        <v>79.096999999999994</v>
      </c>
      <c r="F3005" s="2">
        <f ca="1">IFERROR(__xludf.DUMMYFUNCTION("""COMPUTED_VALUE"""),96.74)</f>
        <v>96.74</v>
      </c>
      <c r="H3005" s="2">
        <f ca="1">IFERROR(__xludf.DUMMYFUNCTION("""COMPUTED_VALUE"""),47.736)</f>
        <v>47.735999999999997</v>
      </c>
      <c r="I3005" s="2">
        <f ca="1">IFERROR(__xludf.DUMMYFUNCTION("""COMPUTED_VALUE"""),53.402)</f>
        <v>53.402000000000001</v>
      </c>
      <c r="J3005" s="2">
        <f ca="1">IFERROR(__xludf.DUMMYFUNCTION("""COMPUTED_VALUE"""),52.24687)</f>
        <v>52.246870000000001</v>
      </c>
      <c r="K3005" s="2">
        <f ca="1">IFERROR(__xludf.DUMMYFUNCTION("""COMPUTED_VALUE"""),71.192)</f>
        <v>71.191999999999993</v>
      </c>
      <c r="M3005" s="2">
        <f ca="1">IFERROR(__xludf.DUMMYFUNCTION("""COMPUTED_VALUE"""),18.997)</f>
        <v>18.997</v>
      </c>
      <c r="U3005" s="3" t="e">
        <f ca="1"/>
        <v>#NAME?</v>
      </c>
    </row>
    <row r="3006" spans="3:21" ht="12.5" x14ac:dyDescent="0.25">
      <c r="C3006" s="4">
        <f ca="1">IFERROR(__xludf.DUMMYFUNCTION("""COMPUTED_VALUE"""),43413.9986111111)</f>
        <v>43413.998611111099</v>
      </c>
      <c r="D3006" s="2">
        <f ca="1">IFERROR(__xludf.DUMMYFUNCTION("""COMPUTED_VALUE"""),72.47)</f>
        <v>72.47</v>
      </c>
      <c r="E3006" s="2">
        <f ca="1">IFERROR(__xludf.DUMMYFUNCTION("""COMPUTED_VALUE"""),78.624)</f>
        <v>78.623999999999995</v>
      </c>
      <c r="F3006" s="2">
        <f ca="1">IFERROR(__xludf.DUMMYFUNCTION("""COMPUTED_VALUE"""),98.006)</f>
        <v>98.006</v>
      </c>
      <c r="H3006" s="2">
        <f ca="1">IFERROR(__xludf.DUMMYFUNCTION("""COMPUTED_VALUE"""),47.855)</f>
        <v>47.854999999999997</v>
      </c>
      <c r="I3006" s="2">
        <f ca="1">IFERROR(__xludf.DUMMYFUNCTION("""COMPUTED_VALUE"""),53.267)</f>
        <v>53.267000000000003</v>
      </c>
      <c r="J3006" s="2">
        <f ca="1">IFERROR(__xludf.DUMMYFUNCTION("""COMPUTED_VALUE"""),52.36914)</f>
        <v>52.369140000000002</v>
      </c>
      <c r="K3006" s="2">
        <f ca="1">IFERROR(__xludf.DUMMYFUNCTION("""COMPUTED_VALUE"""),71.118)</f>
        <v>71.117999999999995</v>
      </c>
      <c r="M3006" s="2">
        <f ca="1">IFERROR(__xludf.DUMMYFUNCTION("""COMPUTED_VALUE"""),18.995)</f>
        <v>18.995000000000001</v>
      </c>
      <c r="U3006" s="3" t="e">
        <f ca="1"/>
        <v>#NAME?</v>
      </c>
    </row>
    <row r="3007" spans="3:21" ht="12.5" x14ac:dyDescent="0.25">
      <c r="C3007" s="4">
        <f ca="1">IFERROR(__xludf.DUMMYFUNCTION("""COMPUTED_VALUE"""),43414.9986111111)</f>
        <v>43414.998611111099</v>
      </c>
      <c r="D3007" s="2">
        <f ca="1">IFERROR(__xludf.DUMMYFUNCTION("""COMPUTED_VALUE"""),72.47)</f>
        <v>72.47</v>
      </c>
      <c r="E3007" s="2">
        <f ca="1">IFERROR(__xludf.DUMMYFUNCTION("""COMPUTED_VALUE"""),78.624)</f>
        <v>78.623999999999995</v>
      </c>
      <c r="F3007" s="2">
        <f ca="1">IFERROR(__xludf.DUMMYFUNCTION("""COMPUTED_VALUE"""),98.513)</f>
        <v>98.513000000000005</v>
      </c>
      <c r="H3007" s="2">
        <f ca="1">IFERROR(__xludf.DUMMYFUNCTION("""COMPUTED_VALUE"""),47.725)</f>
        <v>47.725000000000001</v>
      </c>
      <c r="I3007" s="2">
        <f ca="1">IFERROR(__xludf.DUMMYFUNCTION("""COMPUTED_VALUE"""),53.373)</f>
        <v>53.372999999999998</v>
      </c>
      <c r="J3007" s="2">
        <f ca="1">IFERROR(__xludf.DUMMYFUNCTION("""COMPUTED_VALUE"""),52.33513)</f>
        <v>52.335129999999999</v>
      </c>
      <c r="K3007" s="2">
        <f ca="1">IFERROR(__xludf.DUMMYFUNCTION("""COMPUTED_VALUE"""),71.12495)</f>
        <v>71.124949999999998</v>
      </c>
      <c r="M3007" s="2">
        <f ca="1">IFERROR(__xludf.DUMMYFUNCTION("""COMPUTED_VALUE"""),18.928)</f>
        <v>18.928000000000001</v>
      </c>
      <c r="U3007" s="3" t="e">
        <f ca="1"/>
        <v>#NAME?</v>
      </c>
    </row>
    <row r="3008" spans="3:21" ht="12.5" x14ac:dyDescent="0.25">
      <c r="C3008" s="4">
        <f ca="1">IFERROR(__xludf.DUMMYFUNCTION("""COMPUTED_VALUE"""),43415.9986111111)</f>
        <v>43415.998611111099</v>
      </c>
      <c r="D3008" s="2">
        <f ca="1">IFERROR(__xludf.DUMMYFUNCTION("""COMPUTED_VALUE"""),72.47)</f>
        <v>72.47</v>
      </c>
      <c r="E3008" s="2">
        <f ca="1">IFERROR(__xludf.DUMMYFUNCTION("""COMPUTED_VALUE"""),78.624)</f>
        <v>78.623999999999995</v>
      </c>
      <c r="F3008" s="2">
        <f ca="1">IFERROR(__xludf.DUMMYFUNCTION("""COMPUTED_VALUE"""),98.148)</f>
        <v>98.147999999999996</v>
      </c>
      <c r="H3008" s="2">
        <f ca="1">IFERROR(__xludf.DUMMYFUNCTION("""COMPUTED_VALUE"""),47.969)</f>
        <v>47.969000000000001</v>
      </c>
      <c r="I3008" s="2">
        <f ca="1">IFERROR(__xludf.DUMMYFUNCTION("""COMPUTED_VALUE"""),53.707)</f>
        <v>53.707000000000001</v>
      </c>
      <c r="J3008" s="2">
        <f ca="1">IFERROR(__xludf.DUMMYFUNCTION("""COMPUTED_VALUE"""),52.48884)</f>
        <v>52.488840000000003</v>
      </c>
      <c r="K3008" s="2">
        <f ca="1">IFERROR(__xludf.DUMMYFUNCTION("""COMPUTED_VALUE"""),71.33233)</f>
        <v>71.332329999999999</v>
      </c>
      <c r="M3008" s="2">
        <f ca="1">IFERROR(__xludf.DUMMYFUNCTION("""COMPUTED_VALUE"""),18.879)</f>
        <v>18.879000000000001</v>
      </c>
      <c r="U3008" s="3" t="e">
        <f ca="1"/>
        <v>#NAME?</v>
      </c>
    </row>
    <row r="3009" spans="3:21" ht="12.5" x14ac:dyDescent="0.25">
      <c r="C3009" s="4">
        <f ca="1">IFERROR(__xludf.DUMMYFUNCTION("""COMPUTED_VALUE"""),43416.9986111111)</f>
        <v>43416.998611111099</v>
      </c>
      <c r="D3009" s="2">
        <f ca="1">IFERROR(__xludf.DUMMYFUNCTION("""COMPUTED_VALUE"""),73.18)</f>
        <v>73.180000000000007</v>
      </c>
      <c r="E3009" s="2">
        <f ca="1">IFERROR(__xludf.DUMMYFUNCTION("""COMPUTED_VALUE"""),78.917)</f>
        <v>78.917000000000002</v>
      </c>
      <c r="F3009" s="2">
        <f ca="1">IFERROR(__xludf.DUMMYFUNCTION("""COMPUTED_VALUE"""),96.913)</f>
        <v>96.912999999999997</v>
      </c>
      <c r="H3009" s="2">
        <f ca="1">IFERROR(__xludf.DUMMYFUNCTION("""COMPUTED_VALUE"""),48.147)</f>
        <v>48.146999999999998</v>
      </c>
      <c r="I3009" s="2">
        <f ca="1">IFERROR(__xludf.DUMMYFUNCTION("""COMPUTED_VALUE"""),53.673)</f>
        <v>53.673000000000002</v>
      </c>
      <c r="J3009" s="2">
        <f ca="1">IFERROR(__xludf.DUMMYFUNCTION("""COMPUTED_VALUE"""),52.3849)</f>
        <v>52.384900000000002</v>
      </c>
      <c r="K3009" s="2">
        <f ca="1">IFERROR(__xludf.DUMMYFUNCTION("""COMPUTED_VALUE"""),71.52626)</f>
        <v>71.526259999999994</v>
      </c>
      <c r="M3009" s="2">
        <f ca="1">IFERROR(__xludf.DUMMYFUNCTION("""COMPUTED_VALUE"""),18.775)</f>
        <v>18.774999999999999</v>
      </c>
      <c r="U3009" s="3" t="e">
        <f ca="1"/>
        <v>#NAME?</v>
      </c>
    </row>
    <row r="3010" spans="3:21" ht="12.5" x14ac:dyDescent="0.25">
      <c r="C3010" s="4">
        <f ca="1">IFERROR(__xludf.DUMMYFUNCTION("""COMPUTED_VALUE"""),43417.9986111111)</f>
        <v>43417.998611111099</v>
      </c>
      <c r="D3010" s="2">
        <f ca="1">IFERROR(__xludf.DUMMYFUNCTION("""COMPUTED_VALUE"""),72.55)</f>
        <v>72.55</v>
      </c>
      <c r="E3010" s="2">
        <f ca="1">IFERROR(__xludf.DUMMYFUNCTION("""COMPUTED_VALUE"""),78.959)</f>
        <v>78.959000000000003</v>
      </c>
      <c r="F3010" s="2">
        <f ca="1">IFERROR(__xludf.DUMMYFUNCTION("""COMPUTED_VALUE"""),96.913)</f>
        <v>96.912999999999997</v>
      </c>
      <c r="H3010" s="2">
        <f ca="1">IFERROR(__xludf.DUMMYFUNCTION("""COMPUTED_VALUE"""),48.126)</f>
        <v>48.125999999999998</v>
      </c>
      <c r="I3010" s="2">
        <f ca="1">IFERROR(__xludf.DUMMYFUNCTION("""COMPUTED_VALUE"""),53.68901)</f>
        <v>53.689010000000003</v>
      </c>
      <c r="J3010" s="2">
        <f ca="1">IFERROR(__xludf.DUMMYFUNCTION("""COMPUTED_VALUE"""),52.3849)</f>
        <v>52.384900000000002</v>
      </c>
      <c r="K3010" s="2">
        <f ca="1">IFERROR(__xludf.DUMMYFUNCTION("""COMPUTED_VALUE"""),71.68612)</f>
        <v>71.686120000000003</v>
      </c>
      <c r="M3010" s="2">
        <f ca="1">IFERROR(__xludf.DUMMYFUNCTION("""COMPUTED_VALUE"""),18.774)</f>
        <v>18.774000000000001</v>
      </c>
      <c r="U3010" s="3" t="e">
        <f ca="1"/>
        <v>#NAME?</v>
      </c>
    </row>
    <row r="3011" spans="3:21" ht="12.5" x14ac:dyDescent="0.25">
      <c r="C3011" s="4">
        <f ca="1">IFERROR(__xludf.DUMMYFUNCTION("""COMPUTED_VALUE"""),43418.9986111111)</f>
        <v>43418.998611111099</v>
      </c>
      <c r="D3011" s="2">
        <f ca="1">IFERROR(__xludf.DUMMYFUNCTION("""COMPUTED_VALUE"""),72.4)</f>
        <v>72.400000000000006</v>
      </c>
      <c r="E3011" s="2">
        <f ca="1">IFERROR(__xludf.DUMMYFUNCTION("""COMPUTED_VALUE"""),78.959)</f>
        <v>78.959000000000003</v>
      </c>
      <c r="F3011" s="2">
        <f ca="1">IFERROR(__xludf.DUMMYFUNCTION("""COMPUTED_VALUE"""),96.536)</f>
        <v>96.536000000000001</v>
      </c>
      <c r="H3011" s="2">
        <f ca="1">IFERROR(__xludf.DUMMYFUNCTION("""COMPUTED_VALUE"""),48.15127)</f>
        <v>48.151269999999997</v>
      </c>
      <c r="I3011" s="2">
        <f ca="1">IFERROR(__xludf.DUMMYFUNCTION("""COMPUTED_VALUE"""),53.80448)</f>
        <v>53.804479999999998</v>
      </c>
      <c r="J3011" s="2">
        <f ca="1">IFERROR(__xludf.DUMMYFUNCTION("""COMPUTED_VALUE"""),52.3849)</f>
        <v>52.384900000000002</v>
      </c>
      <c r="K3011" s="2">
        <f ca="1">IFERROR(__xludf.DUMMYFUNCTION("""COMPUTED_VALUE"""),71.95642)</f>
        <v>71.956419999999994</v>
      </c>
      <c r="M3011" s="2">
        <f ca="1">IFERROR(__xludf.DUMMYFUNCTION("""COMPUTED_VALUE"""),18.737)</f>
        <v>18.736999999999998</v>
      </c>
      <c r="U3011" s="3" t="e">
        <f ca="1"/>
        <v>#NAME?</v>
      </c>
    </row>
    <row r="3012" spans="3:21" ht="12.5" x14ac:dyDescent="0.25">
      <c r="C3012" s="4">
        <f ca="1">IFERROR(__xludf.DUMMYFUNCTION("""COMPUTED_VALUE"""),43419.9986111111)</f>
        <v>43419.998611111099</v>
      </c>
      <c r="D3012" s="2">
        <f ca="1">IFERROR(__xludf.DUMMYFUNCTION("""COMPUTED_VALUE"""),71.8917)</f>
        <v>71.8917</v>
      </c>
      <c r="E3012" s="2">
        <f ca="1">IFERROR(__xludf.DUMMYFUNCTION("""COMPUTED_VALUE"""),78.959)</f>
        <v>78.959000000000003</v>
      </c>
      <c r="F3012" s="2">
        <f ca="1">IFERROR(__xludf.DUMMYFUNCTION("""COMPUTED_VALUE"""),97.453)</f>
        <v>97.453000000000003</v>
      </c>
      <c r="H3012" s="2">
        <f ca="1">IFERROR(__xludf.DUMMYFUNCTION("""COMPUTED_VALUE"""),48.21221)</f>
        <v>48.212209999999999</v>
      </c>
      <c r="I3012" s="2">
        <f ca="1">IFERROR(__xludf.DUMMYFUNCTION("""COMPUTED_VALUE"""),54.09024)</f>
        <v>54.090240000000001</v>
      </c>
      <c r="J3012" s="2">
        <f ca="1">IFERROR(__xludf.DUMMYFUNCTION("""COMPUTED_VALUE"""),52.48356)</f>
        <v>52.483559999999997</v>
      </c>
      <c r="K3012" s="2">
        <f ca="1">IFERROR(__xludf.DUMMYFUNCTION("""COMPUTED_VALUE"""),72.15553)</f>
        <v>72.155529999999999</v>
      </c>
      <c r="M3012" s="2">
        <f ca="1">IFERROR(__xludf.DUMMYFUNCTION("""COMPUTED_VALUE"""),18.784)</f>
        <v>18.783999999999999</v>
      </c>
      <c r="U3012" s="3" t="e">
        <f ca="1"/>
        <v>#NAME?</v>
      </c>
    </row>
    <row r="3013" spans="3:21" ht="12.5" x14ac:dyDescent="0.25">
      <c r="C3013" s="4">
        <f ca="1">IFERROR(__xludf.DUMMYFUNCTION("""COMPUTED_VALUE"""),43420.9986111111)</f>
        <v>43420.998611111099</v>
      </c>
      <c r="D3013" s="2">
        <f ca="1">IFERROR(__xludf.DUMMYFUNCTION("""COMPUTED_VALUE"""),71.775)</f>
        <v>71.775000000000006</v>
      </c>
      <c r="E3013" s="2">
        <f ca="1">IFERROR(__xludf.DUMMYFUNCTION("""COMPUTED_VALUE"""),79.777)</f>
        <v>79.777000000000001</v>
      </c>
      <c r="F3013" s="2">
        <f ca="1">IFERROR(__xludf.DUMMYFUNCTION("""COMPUTED_VALUE"""),96.843)</f>
        <v>96.843000000000004</v>
      </c>
      <c r="H3013" s="2">
        <f ca="1">IFERROR(__xludf.DUMMYFUNCTION("""COMPUTED_VALUE"""),48.23155)</f>
        <v>48.231549999999999</v>
      </c>
      <c r="I3013" s="2">
        <f ca="1">IFERROR(__xludf.DUMMYFUNCTION("""COMPUTED_VALUE"""),53.9933)</f>
        <v>53.993299999999998</v>
      </c>
      <c r="J3013" s="2">
        <f ca="1">IFERROR(__xludf.DUMMYFUNCTION("""COMPUTED_VALUE"""),52.52734)</f>
        <v>52.527340000000002</v>
      </c>
      <c r="K3013" s="2">
        <f ca="1">IFERROR(__xludf.DUMMYFUNCTION("""COMPUTED_VALUE"""),71.83966)</f>
        <v>71.839659999999995</v>
      </c>
      <c r="M3013" s="2">
        <f ca="1">IFERROR(__xludf.DUMMYFUNCTION("""COMPUTED_VALUE"""),18.723)</f>
        <v>18.722999999999999</v>
      </c>
      <c r="U3013" s="3" t="e">
        <f ca="1"/>
        <v>#NAME?</v>
      </c>
    </row>
    <row r="3014" spans="3:21" ht="12.5" x14ac:dyDescent="0.25">
      <c r="C3014" s="4">
        <f ca="1">IFERROR(__xludf.DUMMYFUNCTION("""COMPUTED_VALUE"""),43421.9986111111)</f>
        <v>43421.998611111099</v>
      </c>
      <c r="D3014" s="2">
        <f ca="1">IFERROR(__xludf.DUMMYFUNCTION("""COMPUTED_VALUE"""),71.973)</f>
        <v>71.972999999999999</v>
      </c>
      <c r="E3014" s="2">
        <f ca="1">IFERROR(__xludf.DUMMYFUNCTION("""COMPUTED_VALUE"""),79.777)</f>
        <v>79.777000000000001</v>
      </c>
      <c r="F3014" s="2">
        <f ca="1">IFERROR(__xludf.DUMMYFUNCTION("""COMPUTED_VALUE"""),96.823)</f>
        <v>96.822999999999993</v>
      </c>
      <c r="H3014" s="2">
        <f ca="1">IFERROR(__xludf.DUMMYFUNCTION("""COMPUTED_VALUE"""),48.16313)</f>
        <v>48.163130000000002</v>
      </c>
      <c r="I3014" s="2">
        <f ca="1">IFERROR(__xludf.DUMMYFUNCTION("""COMPUTED_VALUE"""),54.09237)</f>
        <v>54.092370000000003</v>
      </c>
      <c r="J3014" s="2">
        <f ca="1">IFERROR(__xludf.DUMMYFUNCTION("""COMPUTED_VALUE"""),52.51934)</f>
        <v>52.51934</v>
      </c>
      <c r="K3014" s="2">
        <f ca="1">IFERROR(__xludf.DUMMYFUNCTION("""COMPUTED_VALUE"""),71.49883)</f>
        <v>71.498829999999998</v>
      </c>
      <c r="M3014" s="2">
        <f ca="1">IFERROR(__xludf.DUMMYFUNCTION("""COMPUTED_VALUE"""),18.728)</f>
        <v>18.728000000000002</v>
      </c>
      <c r="U3014" s="3" t="e">
        <f ca="1"/>
        <v>#NAME?</v>
      </c>
    </row>
    <row r="3015" spans="3:21" ht="12.5" x14ac:dyDescent="0.25">
      <c r="C3015" s="4">
        <f ca="1">IFERROR(__xludf.DUMMYFUNCTION("""COMPUTED_VALUE"""),43422.9986111111)</f>
        <v>43422.998611111099</v>
      </c>
      <c r="D3015" s="2">
        <f ca="1">IFERROR(__xludf.DUMMYFUNCTION("""COMPUTED_VALUE"""),71.775)</f>
        <v>71.775000000000006</v>
      </c>
      <c r="E3015" s="2">
        <f ca="1">IFERROR(__xludf.DUMMYFUNCTION("""COMPUTED_VALUE"""),79.777)</f>
        <v>79.777000000000001</v>
      </c>
      <c r="F3015" s="2">
        <f ca="1">IFERROR(__xludf.DUMMYFUNCTION("""COMPUTED_VALUE"""),96.574)</f>
        <v>96.573999999999998</v>
      </c>
      <c r="H3015" s="2">
        <f ca="1">IFERROR(__xludf.DUMMYFUNCTION("""COMPUTED_VALUE"""),48.49124)</f>
        <v>48.491239999999998</v>
      </c>
      <c r="I3015" s="2">
        <f ca="1">IFERROR(__xludf.DUMMYFUNCTION("""COMPUTED_VALUE"""),54.10262)</f>
        <v>54.102620000000002</v>
      </c>
      <c r="J3015" s="2">
        <f ca="1">IFERROR(__xludf.DUMMYFUNCTION("""COMPUTED_VALUE"""),52.55134)</f>
        <v>52.551340000000003</v>
      </c>
      <c r="K3015" s="2">
        <f ca="1">IFERROR(__xludf.DUMMYFUNCTION("""COMPUTED_VALUE"""),71.33263)</f>
        <v>71.332629999999995</v>
      </c>
      <c r="M3015" s="2">
        <f ca="1">IFERROR(__xludf.DUMMYFUNCTION("""COMPUTED_VALUE"""),18.829)</f>
        <v>18.829000000000001</v>
      </c>
      <c r="U3015" s="3" t="e">
        <f ca="1"/>
        <v>#NAME?</v>
      </c>
    </row>
    <row r="3016" spans="3:21" ht="12.5" x14ac:dyDescent="0.25">
      <c r="C3016" s="4">
        <f ca="1">IFERROR(__xludf.DUMMYFUNCTION("""COMPUTED_VALUE"""),43423.9986111111)</f>
        <v>43423.998611111099</v>
      </c>
      <c r="D3016" s="2">
        <f ca="1">IFERROR(__xludf.DUMMYFUNCTION("""COMPUTED_VALUE"""),71.69)</f>
        <v>71.69</v>
      </c>
      <c r="E3016" s="2">
        <f ca="1">IFERROR(__xludf.DUMMYFUNCTION("""COMPUTED_VALUE"""),79.813)</f>
        <v>79.813000000000002</v>
      </c>
      <c r="F3016" s="2">
        <f ca="1">IFERROR(__xludf.DUMMYFUNCTION("""COMPUTED_VALUE"""),95.964)</f>
        <v>95.963999999999999</v>
      </c>
      <c r="H3016" s="2">
        <f ca="1">IFERROR(__xludf.DUMMYFUNCTION("""COMPUTED_VALUE"""),48.65715)</f>
        <v>48.657150000000001</v>
      </c>
      <c r="I3016" s="2">
        <f ca="1">IFERROR(__xludf.DUMMYFUNCTION("""COMPUTED_VALUE"""),54.10328)</f>
        <v>54.103279999999998</v>
      </c>
      <c r="J3016" s="2">
        <f ca="1">IFERROR(__xludf.DUMMYFUNCTION("""COMPUTED_VALUE"""),52.79263)</f>
        <v>52.792630000000003</v>
      </c>
      <c r="K3016" s="2">
        <f ca="1">IFERROR(__xludf.DUMMYFUNCTION("""COMPUTED_VALUE"""),71.44348)</f>
        <v>71.443479999999994</v>
      </c>
      <c r="M3016" s="2">
        <f ca="1">IFERROR(__xludf.DUMMYFUNCTION("""COMPUTED_VALUE"""),18.827)</f>
        <v>18.827000000000002</v>
      </c>
      <c r="U3016" s="3" t="e">
        <f ca="1"/>
        <v>#NAME?</v>
      </c>
    </row>
    <row r="3017" spans="3:21" ht="12.5" x14ac:dyDescent="0.25">
      <c r="C3017" s="4">
        <f ca="1">IFERROR(__xludf.DUMMYFUNCTION("""COMPUTED_VALUE"""),43424.9986111111)</f>
        <v>43424.998611111099</v>
      </c>
      <c r="D3017" s="2">
        <f ca="1">IFERROR(__xludf.DUMMYFUNCTION("""COMPUTED_VALUE"""),71.415)</f>
        <v>71.415000000000006</v>
      </c>
      <c r="E3017" s="2">
        <f ca="1">IFERROR(__xludf.DUMMYFUNCTION("""COMPUTED_VALUE"""),79.933)</f>
        <v>79.933000000000007</v>
      </c>
      <c r="F3017" s="2">
        <f ca="1">IFERROR(__xludf.DUMMYFUNCTION("""COMPUTED_VALUE"""),95.972)</f>
        <v>95.971999999999994</v>
      </c>
      <c r="H3017" s="2">
        <f ca="1">IFERROR(__xludf.DUMMYFUNCTION("""COMPUTED_VALUE"""),48.69042)</f>
        <v>48.690420000000003</v>
      </c>
      <c r="I3017" s="2">
        <f ca="1">IFERROR(__xludf.DUMMYFUNCTION("""COMPUTED_VALUE"""),54.10328)</f>
        <v>54.103279999999998</v>
      </c>
      <c r="J3017" s="2">
        <f ca="1">IFERROR(__xludf.DUMMYFUNCTION("""COMPUTED_VALUE"""),52.79263)</f>
        <v>52.792630000000003</v>
      </c>
      <c r="K3017" s="2">
        <f ca="1">IFERROR(__xludf.DUMMYFUNCTION("""COMPUTED_VALUE"""),71.13017)</f>
        <v>71.130170000000007</v>
      </c>
      <c r="M3017" s="2">
        <f ca="1">IFERROR(__xludf.DUMMYFUNCTION("""COMPUTED_VALUE"""),18.83)</f>
        <v>18.829999999999998</v>
      </c>
      <c r="U3017" s="3" t="e">
        <f ca="1"/>
        <v>#NAME?</v>
      </c>
    </row>
    <row r="3018" spans="3:21" ht="12.5" x14ac:dyDescent="0.25">
      <c r="C3018" s="4">
        <f ca="1">IFERROR(__xludf.DUMMYFUNCTION("""COMPUTED_VALUE"""),43425.9986111111)</f>
        <v>43425.998611111099</v>
      </c>
      <c r="D3018" s="2">
        <f ca="1">IFERROR(__xludf.DUMMYFUNCTION("""COMPUTED_VALUE"""),71.295)</f>
        <v>71.295000000000002</v>
      </c>
      <c r="F3018" s="2">
        <f ca="1">IFERROR(__xludf.DUMMYFUNCTION("""COMPUTED_VALUE"""),96.005)</f>
        <v>96.004999999999995</v>
      </c>
      <c r="H3018" s="2">
        <f ca="1">IFERROR(__xludf.DUMMYFUNCTION("""COMPUTED_VALUE"""),48.69042)</f>
        <v>48.690420000000003</v>
      </c>
      <c r="I3018" s="2">
        <f ca="1">IFERROR(__xludf.DUMMYFUNCTION("""COMPUTED_VALUE"""),54.12751)</f>
        <v>54.127510000000001</v>
      </c>
      <c r="J3018" s="2">
        <f ca="1">IFERROR(__xludf.DUMMYFUNCTION("""COMPUTED_VALUE"""),52.79263)</f>
        <v>52.792630000000003</v>
      </c>
      <c r="K3018" s="2">
        <f ca="1">IFERROR(__xludf.DUMMYFUNCTION("""COMPUTED_VALUE"""),71.04388)</f>
        <v>71.043880000000001</v>
      </c>
      <c r="M3018" s="2">
        <f ca="1">IFERROR(__xludf.DUMMYFUNCTION("""COMPUTED_VALUE"""),18.761)</f>
        <v>18.760999999999999</v>
      </c>
      <c r="U3018" s="3" t="e">
        <f ca="1"/>
        <v>#NAME?</v>
      </c>
    </row>
    <row r="3019" spans="3:21" ht="12.5" x14ac:dyDescent="0.25">
      <c r="C3019" s="4">
        <f ca="1">IFERROR(__xludf.DUMMYFUNCTION("""COMPUTED_VALUE"""),43426.9986111111)</f>
        <v>43426.998611111099</v>
      </c>
      <c r="D3019" s="2">
        <f ca="1">IFERROR(__xludf.DUMMYFUNCTION("""COMPUTED_VALUE"""),70.835)</f>
        <v>70.834999999999994</v>
      </c>
      <c r="F3019" s="2">
        <f ca="1">IFERROR(__xludf.DUMMYFUNCTION("""COMPUTED_VALUE"""),95.76)</f>
        <v>95.76</v>
      </c>
      <c r="H3019" s="2">
        <f ca="1">IFERROR(__xludf.DUMMYFUNCTION("""COMPUTED_VALUE"""),48.65912)</f>
        <v>48.659120000000001</v>
      </c>
      <c r="I3019" s="2">
        <f ca="1">IFERROR(__xludf.DUMMYFUNCTION("""COMPUTED_VALUE"""),54.02177)</f>
        <v>54.021769999999997</v>
      </c>
      <c r="J3019" s="2">
        <f ca="1">IFERROR(__xludf.DUMMYFUNCTION("""COMPUTED_VALUE"""),52.84229)</f>
        <v>52.842289999999998</v>
      </c>
      <c r="K3019" s="2">
        <f ca="1">IFERROR(__xludf.DUMMYFUNCTION("""COMPUTED_VALUE"""),71.23053)</f>
        <v>71.230530000000002</v>
      </c>
      <c r="M3019" s="2">
        <f ca="1">IFERROR(__xludf.DUMMYFUNCTION("""COMPUTED_VALUE"""),18.904)</f>
        <v>18.904</v>
      </c>
      <c r="U3019" s="3" t="e">
        <f ca="1"/>
        <v>#NAME?</v>
      </c>
    </row>
    <row r="3020" spans="3:21" ht="12.5" x14ac:dyDescent="0.25">
      <c r="C3020" s="4">
        <f ca="1">IFERROR(__xludf.DUMMYFUNCTION("""COMPUTED_VALUE"""),43427.9986111111)</f>
        <v>43427.998611111099</v>
      </c>
      <c r="D3020" s="2">
        <f ca="1">IFERROR(__xludf.DUMMYFUNCTION("""COMPUTED_VALUE"""),70.67)</f>
        <v>70.67</v>
      </c>
      <c r="F3020" s="2">
        <f ca="1">IFERROR(__xludf.DUMMYFUNCTION("""COMPUTED_VALUE"""),95.068)</f>
        <v>95.067999999999998</v>
      </c>
      <c r="H3020" s="2">
        <f ca="1">IFERROR(__xludf.DUMMYFUNCTION("""COMPUTED_VALUE"""),48.5328)</f>
        <v>48.532800000000002</v>
      </c>
      <c r="I3020" s="2">
        <f ca="1">IFERROR(__xludf.DUMMYFUNCTION("""COMPUTED_VALUE"""),54.03042)</f>
        <v>54.030419999999999</v>
      </c>
      <c r="J3020" s="2">
        <f ca="1">IFERROR(__xludf.DUMMYFUNCTION("""COMPUTED_VALUE"""),52.98642)</f>
        <v>52.986420000000003</v>
      </c>
      <c r="K3020" s="2">
        <f ca="1">IFERROR(__xludf.DUMMYFUNCTION("""COMPUTED_VALUE"""),71.66785)</f>
        <v>71.667850000000001</v>
      </c>
      <c r="M3020" s="2">
        <f ca="1">IFERROR(__xludf.DUMMYFUNCTION("""COMPUTED_VALUE"""),18.884)</f>
        <v>18.884</v>
      </c>
      <c r="U3020" s="3" t="e">
        <f ca="1"/>
        <v>#NAME?</v>
      </c>
    </row>
    <row r="3021" spans="3:21" ht="12.5" x14ac:dyDescent="0.25">
      <c r="C3021" s="4">
        <f ca="1">IFERROR(__xludf.DUMMYFUNCTION("""COMPUTED_VALUE"""),43428.9986111111)</f>
        <v>43428.998611111099</v>
      </c>
      <c r="D3021" s="2">
        <f ca="1">IFERROR(__xludf.DUMMYFUNCTION("""COMPUTED_VALUE"""),70.648)</f>
        <v>70.647999999999996</v>
      </c>
      <c r="F3021" s="2">
        <f ca="1">IFERROR(__xludf.DUMMYFUNCTION("""COMPUTED_VALUE"""),94.325)</f>
        <v>94.325000000000003</v>
      </c>
      <c r="H3021" s="2">
        <f ca="1">IFERROR(__xludf.DUMMYFUNCTION("""COMPUTED_VALUE"""),48.39987)</f>
        <v>48.39987</v>
      </c>
      <c r="I3021" s="2">
        <f ca="1">IFERROR(__xludf.DUMMYFUNCTION("""COMPUTED_VALUE"""),54.23336)</f>
        <v>54.233359999999998</v>
      </c>
      <c r="K3021" s="2">
        <f ca="1">IFERROR(__xludf.DUMMYFUNCTION("""COMPUTED_VALUE"""),71.95839)</f>
        <v>71.958389999999994</v>
      </c>
      <c r="M3021" s="2">
        <f ca="1">IFERROR(__xludf.DUMMYFUNCTION("""COMPUTED_VALUE"""),18.834)</f>
        <v>18.834</v>
      </c>
      <c r="U3021" s="3" t="e">
        <f ca="1"/>
        <v>#NAME?</v>
      </c>
    </row>
    <row r="3022" spans="3:21" ht="12.5" x14ac:dyDescent="0.25">
      <c r="C3022" s="4">
        <f ca="1">IFERROR(__xludf.DUMMYFUNCTION("""COMPUTED_VALUE"""),43429.9986111111)</f>
        <v>43429.998611111099</v>
      </c>
      <c r="D3022" s="2">
        <f ca="1">IFERROR(__xludf.DUMMYFUNCTION("""COMPUTED_VALUE"""),70.67)</f>
        <v>70.67</v>
      </c>
      <c r="F3022" s="2">
        <f ca="1">IFERROR(__xludf.DUMMYFUNCTION("""COMPUTED_VALUE"""),93.884)</f>
        <v>93.884</v>
      </c>
      <c r="H3022" s="2">
        <f ca="1">IFERROR(__xludf.DUMMYFUNCTION("""COMPUTED_VALUE"""),48.32131)</f>
        <v>48.321309999999997</v>
      </c>
      <c r="I3022" s="2">
        <f ca="1">IFERROR(__xludf.DUMMYFUNCTION("""COMPUTED_VALUE"""),54.17721)</f>
        <v>54.177210000000002</v>
      </c>
      <c r="K3022" s="2">
        <f ca="1">IFERROR(__xludf.DUMMYFUNCTION("""COMPUTED_VALUE"""),71.72921)</f>
        <v>71.729209999999995</v>
      </c>
      <c r="M3022" s="2">
        <f ca="1">IFERROR(__xludf.DUMMYFUNCTION("""COMPUTED_VALUE"""),18.868)</f>
        <v>18.867999999999999</v>
      </c>
      <c r="U3022" s="3" t="e">
        <f ca="1"/>
        <v>#NAME?</v>
      </c>
    </row>
    <row r="3023" spans="3:21" ht="12.5" x14ac:dyDescent="0.25">
      <c r="C3023" s="4">
        <f ca="1">IFERROR(__xludf.DUMMYFUNCTION("""COMPUTED_VALUE"""),43430.9986111111)</f>
        <v>43430.998611111099</v>
      </c>
      <c r="D3023" s="2">
        <f ca="1">IFERROR(__xludf.DUMMYFUNCTION("""COMPUTED_VALUE"""),70.81)</f>
        <v>70.81</v>
      </c>
      <c r="F3023" s="2">
        <f ca="1">IFERROR(__xludf.DUMMYFUNCTION("""COMPUTED_VALUE"""),93.752)</f>
        <v>93.751999999999995</v>
      </c>
      <c r="H3023" s="2">
        <f ca="1">IFERROR(__xludf.DUMMYFUNCTION("""COMPUTED_VALUE"""),48.26314)</f>
        <v>48.26314</v>
      </c>
      <c r="I3023" s="2">
        <f ca="1">IFERROR(__xludf.DUMMYFUNCTION("""COMPUTED_VALUE"""),54.17424)</f>
        <v>54.174239999999998</v>
      </c>
      <c r="K3023" s="2">
        <f ca="1">IFERROR(__xludf.DUMMYFUNCTION("""COMPUTED_VALUE"""),71.53675)</f>
        <v>71.536749999999998</v>
      </c>
      <c r="M3023" s="2">
        <f ca="1">IFERROR(__xludf.DUMMYFUNCTION("""COMPUTED_VALUE"""),18.905)</f>
        <v>18.905000000000001</v>
      </c>
      <c r="U3023" s="3" t="e">
        <f ca="1"/>
        <v>#NAME?</v>
      </c>
    </row>
    <row r="3024" spans="3:21" ht="12.5" x14ac:dyDescent="0.25">
      <c r="C3024" s="4">
        <f ca="1">IFERROR(__xludf.DUMMYFUNCTION("""COMPUTED_VALUE"""),43431.9986111111)</f>
        <v>43431.998611111099</v>
      </c>
      <c r="D3024" s="2">
        <f ca="1">IFERROR(__xludf.DUMMYFUNCTION("""COMPUTED_VALUE"""),70.88)</f>
        <v>70.88</v>
      </c>
      <c r="F3024" s="2">
        <f ca="1">IFERROR(__xludf.DUMMYFUNCTION("""COMPUTED_VALUE"""),93.841)</f>
        <v>93.840999999999994</v>
      </c>
      <c r="H3024" s="2">
        <f ca="1">IFERROR(__xludf.DUMMYFUNCTION("""COMPUTED_VALUE"""),48.25984)</f>
        <v>48.259839999999997</v>
      </c>
      <c r="I3024" s="2">
        <f ca="1">IFERROR(__xludf.DUMMYFUNCTION("""COMPUTED_VALUE"""),54.17424)</f>
        <v>54.174239999999998</v>
      </c>
      <c r="K3024" s="2">
        <f ca="1">IFERROR(__xludf.DUMMYFUNCTION("""COMPUTED_VALUE"""),71.22402)</f>
        <v>71.224019999999996</v>
      </c>
      <c r="M3024" s="2">
        <f ca="1">IFERROR(__xludf.DUMMYFUNCTION("""COMPUTED_VALUE"""),18.932)</f>
        <v>18.931999999999999</v>
      </c>
      <c r="U3024" s="3" t="e">
        <f ca="1"/>
        <v>#NAME?</v>
      </c>
    </row>
    <row r="3025" spans="3:21" ht="12.5" x14ac:dyDescent="0.25">
      <c r="C3025" s="4">
        <f ca="1">IFERROR(__xludf.DUMMYFUNCTION("""COMPUTED_VALUE"""),43432.9986111111)</f>
        <v>43432.998611111099</v>
      </c>
      <c r="D3025" s="2">
        <f ca="1">IFERROR(__xludf.DUMMYFUNCTION("""COMPUTED_VALUE"""),70.6)</f>
        <v>70.599999999999994</v>
      </c>
      <c r="F3025" s="2">
        <f ca="1">IFERROR(__xludf.DUMMYFUNCTION("""COMPUTED_VALUE"""),93.845)</f>
        <v>93.844999999999999</v>
      </c>
      <c r="H3025" s="2">
        <f ca="1">IFERROR(__xludf.DUMMYFUNCTION("""COMPUTED_VALUE"""),48.25984)</f>
        <v>48.259839999999997</v>
      </c>
      <c r="I3025" s="2">
        <f ca="1">IFERROR(__xludf.DUMMYFUNCTION("""COMPUTED_VALUE"""),54.13486)</f>
        <v>54.134860000000003</v>
      </c>
      <c r="K3025" s="2">
        <f ca="1">IFERROR(__xludf.DUMMYFUNCTION("""COMPUTED_VALUE"""),71.47193)</f>
        <v>71.47193</v>
      </c>
      <c r="M3025" s="2">
        <f ca="1">IFERROR(__xludf.DUMMYFUNCTION("""COMPUTED_VALUE"""),18.818)</f>
        <v>18.818000000000001</v>
      </c>
      <c r="U3025" s="3" t="e">
        <f ca="1"/>
        <v>#NAME?</v>
      </c>
    </row>
    <row r="3026" spans="3:21" ht="12.5" x14ac:dyDescent="0.25">
      <c r="C3026" s="4">
        <f ca="1">IFERROR(__xludf.DUMMYFUNCTION("""COMPUTED_VALUE"""),43433.9986111111)</f>
        <v>43433.998611111099</v>
      </c>
      <c r="D3026" s="2">
        <f ca="1">IFERROR(__xludf.DUMMYFUNCTION("""COMPUTED_VALUE"""),69.92)</f>
        <v>69.92</v>
      </c>
      <c r="F3026" s="2">
        <f ca="1">IFERROR(__xludf.DUMMYFUNCTION("""COMPUTED_VALUE"""),94.206)</f>
        <v>94.206000000000003</v>
      </c>
      <c r="H3026" s="2">
        <f ca="1">IFERROR(__xludf.DUMMYFUNCTION("""COMPUTED_VALUE"""),48.3397)</f>
        <v>48.339700000000001</v>
      </c>
      <c r="I3026" s="2">
        <f ca="1">IFERROR(__xludf.DUMMYFUNCTION("""COMPUTED_VALUE"""),54.09197)</f>
        <v>54.091970000000003</v>
      </c>
      <c r="K3026" s="2">
        <f ca="1">IFERROR(__xludf.DUMMYFUNCTION("""COMPUTED_VALUE"""),71.34405)</f>
        <v>71.344049999999996</v>
      </c>
      <c r="M3026" s="2">
        <f ca="1">IFERROR(__xludf.DUMMYFUNCTION("""COMPUTED_VALUE"""),18.743)</f>
        <v>18.742999999999999</v>
      </c>
      <c r="U3026" s="3" t="e">
        <f ca="1"/>
        <v>#NAME?</v>
      </c>
    </row>
    <row r="3027" spans="3:21" ht="12.5" x14ac:dyDescent="0.25">
      <c r="C3027" s="4">
        <f ca="1">IFERROR(__xludf.DUMMYFUNCTION("""COMPUTED_VALUE"""),43434.9986111111)</f>
        <v>43434.998611111099</v>
      </c>
      <c r="D3027" s="2">
        <f ca="1">IFERROR(__xludf.DUMMYFUNCTION("""COMPUTED_VALUE"""),69.7)</f>
        <v>69.7</v>
      </c>
      <c r="F3027" s="2">
        <f ca="1">IFERROR(__xludf.DUMMYFUNCTION("""COMPUTED_VALUE"""),93.591)</f>
        <v>93.590999999999994</v>
      </c>
      <c r="H3027" s="2">
        <f ca="1">IFERROR(__xludf.DUMMYFUNCTION("""COMPUTED_VALUE"""),48.54985)</f>
        <v>48.549849999999999</v>
      </c>
      <c r="I3027" s="2">
        <f ca="1">IFERROR(__xludf.DUMMYFUNCTION("""COMPUTED_VALUE"""),53.83869)</f>
        <v>53.83869</v>
      </c>
      <c r="K3027" s="2">
        <f ca="1">IFERROR(__xludf.DUMMYFUNCTION("""COMPUTED_VALUE"""),71.49215)</f>
        <v>71.492149999999995</v>
      </c>
      <c r="M3027" s="2">
        <f ca="1">IFERROR(__xludf.DUMMYFUNCTION("""COMPUTED_VALUE"""),18.778)</f>
        <v>18.777999999999999</v>
      </c>
      <c r="U3027" s="3" t="e">
        <f ca="1"/>
        <v>#NAME?</v>
      </c>
    </row>
    <row r="3028" spans="3:21" ht="12.5" x14ac:dyDescent="0.25">
      <c r="C3028" s="4">
        <f ca="1">IFERROR(__xludf.DUMMYFUNCTION("""COMPUTED_VALUE"""),43435.9986111111)</f>
        <v>43435.998611111099</v>
      </c>
      <c r="D3028" s="2">
        <f ca="1">IFERROR(__xludf.DUMMYFUNCTION("""COMPUTED_VALUE"""),69.643)</f>
        <v>69.643000000000001</v>
      </c>
      <c r="F3028" s="2">
        <f ca="1">IFERROR(__xludf.DUMMYFUNCTION("""COMPUTED_VALUE"""),94.591)</f>
        <v>94.590999999999994</v>
      </c>
      <c r="H3028" s="2">
        <f ca="1">IFERROR(__xludf.DUMMYFUNCTION("""COMPUTED_VALUE"""),48.89968)</f>
        <v>48.899679999999996</v>
      </c>
      <c r="I3028" s="2">
        <f ca="1">IFERROR(__xludf.DUMMYFUNCTION("""COMPUTED_VALUE"""),53.91252)</f>
        <v>53.912520000000001</v>
      </c>
      <c r="K3028" s="2">
        <f ca="1">IFERROR(__xludf.DUMMYFUNCTION("""COMPUTED_VALUE"""),71.98719)</f>
        <v>71.987189999999998</v>
      </c>
      <c r="M3028" s="2">
        <f ca="1">IFERROR(__xludf.DUMMYFUNCTION("""COMPUTED_VALUE"""),18.843)</f>
        <v>18.843</v>
      </c>
      <c r="U3028" s="3" t="e">
        <f ca="1"/>
        <v>#NAME?</v>
      </c>
    </row>
    <row r="3029" spans="3:21" ht="12.5" x14ac:dyDescent="0.25">
      <c r="C3029" s="4">
        <f ca="1">IFERROR(__xludf.DUMMYFUNCTION("""COMPUTED_VALUE"""),43436.9986111111)</f>
        <v>43436.998611111099</v>
      </c>
      <c r="D3029" s="2">
        <f ca="1">IFERROR(__xludf.DUMMYFUNCTION("""COMPUTED_VALUE"""),69.76)</f>
        <v>69.760000000000005</v>
      </c>
      <c r="F3029" s="2">
        <f ca="1">IFERROR(__xludf.DUMMYFUNCTION("""COMPUTED_VALUE"""),95.294)</f>
        <v>95.293999999999997</v>
      </c>
      <c r="H3029" s="2">
        <f ca="1">IFERROR(__xludf.DUMMYFUNCTION("""COMPUTED_VALUE"""),48.933)</f>
        <v>48.933</v>
      </c>
      <c r="I3029" s="2">
        <f ca="1">IFERROR(__xludf.DUMMYFUNCTION("""COMPUTED_VALUE"""),53.7908)</f>
        <v>53.790799999999997</v>
      </c>
      <c r="K3029" s="2">
        <f ca="1">IFERROR(__xludf.DUMMYFUNCTION("""COMPUTED_VALUE"""),72.23853)</f>
        <v>72.238529999999997</v>
      </c>
      <c r="M3029" s="2">
        <f ca="1">IFERROR(__xludf.DUMMYFUNCTION("""COMPUTED_VALUE"""),18.847)</f>
        <v>18.847000000000001</v>
      </c>
      <c r="U3029" s="3" t="e">
        <f ca="1"/>
        <v>#NAME?</v>
      </c>
    </row>
    <row r="3030" spans="3:21" ht="12.5" x14ac:dyDescent="0.25">
      <c r="C3030" s="4">
        <f ca="1">IFERROR(__xludf.DUMMYFUNCTION("""COMPUTED_VALUE"""),43437.9986111111)</f>
        <v>43437.998611111099</v>
      </c>
      <c r="D3030" s="2">
        <f ca="1">IFERROR(__xludf.DUMMYFUNCTION("""COMPUTED_VALUE"""),70.485)</f>
        <v>70.484999999999999</v>
      </c>
      <c r="F3030" s="2">
        <f ca="1">IFERROR(__xludf.DUMMYFUNCTION("""COMPUTED_VALUE"""),94.645)</f>
        <v>94.644999999999996</v>
      </c>
      <c r="H3030" s="2">
        <f ca="1">IFERROR(__xludf.DUMMYFUNCTION("""COMPUTED_VALUE"""),48.81258)</f>
        <v>48.812579999999997</v>
      </c>
      <c r="I3030" s="2">
        <f ca="1">IFERROR(__xludf.DUMMYFUNCTION("""COMPUTED_VALUE"""),53.79231)</f>
        <v>53.792310000000001</v>
      </c>
      <c r="K3030" s="2">
        <f ca="1">IFERROR(__xludf.DUMMYFUNCTION("""COMPUTED_VALUE"""),72.82455)</f>
        <v>72.824550000000002</v>
      </c>
      <c r="M3030" s="2">
        <f ca="1">IFERROR(__xludf.DUMMYFUNCTION("""COMPUTED_VALUE"""),18.943)</f>
        <v>18.943000000000001</v>
      </c>
      <c r="U3030" s="3" t="e">
        <f ca="1"/>
        <v>#NAME?</v>
      </c>
    </row>
    <row r="3031" spans="3:21" ht="12.5" x14ac:dyDescent="0.25">
      <c r="C3031" s="4">
        <f ca="1">IFERROR(__xludf.DUMMYFUNCTION("""COMPUTED_VALUE"""),43438.9986111111)</f>
        <v>43438.998611111099</v>
      </c>
      <c r="D3031" s="2">
        <f ca="1">IFERROR(__xludf.DUMMYFUNCTION("""COMPUTED_VALUE"""),70.63)</f>
        <v>70.63</v>
      </c>
      <c r="F3031" s="2">
        <f ca="1">IFERROR(__xludf.DUMMYFUNCTION("""COMPUTED_VALUE"""),94.807)</f>
        <v>94.807000000000002</v>
      </c>
      <c r="H3031" s="2">
        <f ca="1">IFERROR(__xludf.DUMMYFUNCTION("""COMPUTED_VALUE"""),48.87011)</f>
        <v>48.870109999999997</v>
      </c>
      <c r="I3031" s="2">
        <f ca="1">IFERROR(__xludf.DUMMYFUNCTION("""COMPUTED_VALUE"""),53.79231)</f>
        <v>53.792310000000001</v>
      </c>
      <c r="K3031" s="2">
        <f ca="1">IFERROR(__xludf.DUMMYFUNCTION("""COMPUTED_VALUE"""),72.71275)</f>
        <v>72.71275</v>
      </c>
      <c r="M3031" s="2">
        <f ca="1">IFERROR(__xludf.DUMMYFUNCTION("""COMPUTED_VALUE"""),18.951)</f>
        <v>18.951000000000001</v>
      </c>
      <c r="U3031" s="3" t="e">
        <f ca="1"/>
        <v>#NAME?</v>
      </c>
    </row>
    <row r="3032" spans="3:21" ht="12.5" x14ac:dyDescent="0.25">
      <c r="C3032" s="4">
        <f ca="1">IFERROR(__xludf.DUMMYFUNCTION("""COMPUTED_VALUE"""),43439.9986111111)</f>
        <v>43439.998611111099</v>
      </c>
      <c r="D3032" s="2">
        <f ca="1">IFERROR(__xludf.DUMMYFUNCTION("""COMPUTED_VALUE"""),70.87)</f>
        <v>70.87</v>
      </c>
      <c r="F3032" s="2">
        <f ca="1">IFERROR(__xludf.DUMMYFUNCTION("""COMPUTED_VALUE"""),94.645)</f>
        <v>94.644999999999996</v>
      </c>
      <c r="H3032" s="2">
        <f ca="1">IFERROR(__xludf.DUMMYFUNCTION("""COMPUTED_VALUE"""),48.87011)</f>
        <v>48.870109999999997</v>
      </c>
      <c r="I3032" s="2">
        <f ca="1">IFERROR(__xludf.DUMMYFUNCTION("""COMPUTED_VALUE"""),53.7711)</f>
        <v>53.771099999999997</v>
      </c>
      <c r="K3032" s="2">
        <f ca="1">IFERROR(__xludf.DUMMYFUNCTION("""COMPUTED_VALUE"""),72.3271)</f>
        <v>72.327100000000002</v>
      </c>
      <c r="M3032" s="2">
        <f ca="1">IFERROR(__xludf.DUMMYFUNCTION("""COMPUTED_VALUE"""),18.919)</f>
        <v>18.919</v>
      </c>
      <c r="U3032" s="3" t="e">
        <f ca="1"/>
        <v>#NAME?</v>
      </c>
    </row>
    <row r="3033" spans="3:21" ht="12.5" x14ac:dyDescent="0.25">
      <c r="C3033" s="4">
        <f ca="1">IFERROR(__xludf.DUMMYFUNCTION("""COMPUTED_VALUE"""),43440.9986111111)</f>
        <v>43440.998611111099</v>
      </c>
      <c r="D3033" s="2">
        <f ca="1">IFERROR(__xludf.DUMMYFUNCTION("""COMPUTED_VALUE"""),70.75)</f>
        <v>70.75</v>
      </c>
      <c r="F3033" s="2">
        <f ca="1">IFERROR(__xludf.DUMMYFUNCTION("""COMPUTED_VALUE"""),95.181)</f>
        <v>95.180999999999997</v>
      </c>
      <c r="H3033" s="2">
        <f ca="1">IFERROR(__xludf.DUMMYFUNCTION("""COMPUTED_VALUE"""),48.71849)</f>
        <v>48.718490000000003</v>
      </c>
      <c r="I3033" s="2">
        <f ca="1">IFERROR(__xludf.DUMMYFUNCTION("""COMPUTED_VALUE"""),53.74793)</f>
        <v>53.747929999999997</v>
      </c>
      <c r="K3033" s="2">
        <f ca="1">IFERROR(__xludf.DUMMYFUNCTION("""COMPUTED_VALUE"""),72.32049)</f>
        <v>72.320490000000007</v>
      </c>
      <c r="M3033" s="2">
        <f ca="1">IFERROR(__xludf.DUMMYFUNCTION("""COMPUTED_VALUE"""),18.902)</f>
        <v>18.902000000000001</v>
      </c>
      <c r="U3033" s="3" t="e">
        <f ca="1"/>
        <v>#NAME?</v>
      </c>
    </row>
    <row r="3034" spans="3:21" ht="12.5" x14ac:dyDescent="0.25">
      <c r="C3034" s="4">
        <f ca="1">IFERROR(__xludf.DUMMYFUNCTION("""COMPUTED_VALUE"""),43441.9986111111)</f>
        <v>43441.998611111099</v>
      </c>
      <c r="D3034" s="2">
        <f ca="1">IFERROR(__xludf.DUMMYFUNCTION("""COMPUTED_VALUE"""),71.37)</f>
        <v>71.37</v>
      </c>
      <c r="F3034" s="2">
        <f ca="1">IFERROR(__xludf.DUMMYFUNCTION("""COMPUTED_VALUE"""),95.989)</f>
        <v>95.989000000000004</v>
      </c>
      <c r="H3034" s="2">
        <f ca="1">IFERROR(__xludf.DUMMYFUNCTION("""COMPUTED_VALUE"""),48.71482)</f>
        <v>48.714820000000003</v>
      </c>
      <c r="I3034" s="2">
        <f ca="1">IFERROR(__xludf.DUMMYFUNCTION("""COMPUTED_VALUE"""),53.79938)</f>
        <v>53.799379999999999</v>
      </c>
      <c r="K3034" s="2">
        <f ca="1">IFERROR(__xludf.DUMMYFUNCTION("""COMPUTED_VALUE"""),72.64023)</f>
        <v>72.640230000000003</v>
      </c>
      <c r="M3034" s="2">
        <f ca="1">IFERROR(__xludf.DUMMYFUNCTION("""COMPUTED_VALUE"""),18.829)</f>
        <v>18.829000000000001</v>
      </c>
      <c r="U3034" s="3" t="e">
        <f ca="1"/>
        <v>#NAME?</v>
      </c>
    </row>
    <row r="3035" spans="3:21" ht="12.5" x14ac:dyDescent="0.25">
      <c r="C3035" s="4">
        <f ca="1">IFERROR(__xludf.DUMMYFUNCTION("""COMPUTED_VALUE"""),43442.9986111111)</f>
        <v>43442.998611111099</v>
      </c>
      <c r="D3035" s="2">
        <f ca="1">IFERROR(__xludf.DUMMYFUNCTION("""COMPUTED_VALUE"""),71.365)</f>
        <v>71.364999999999995</v>
      </c>
      <c r="F3035" s="2">
        <f ca="1">IFERROR(__xludf.DUMMYFUNCTION("""COMPUTED_VALUE"""),95.037)</f>
        <v>95.037000000000006</v>
      </c>
      <c r="H3035" s="2">
        <f ca="1">IFERROR(__xludf.DUMMYFUNCTION("""COMPUTED_VALUE"""),48.79455)</f>
        <v>48.794550000000001</v>
      </c>
      <c r="I3035" s="2">
        <f ca="1">IFERROR(__xludf.DUMMYFUNCTION("""COMPUTED_VALUE"""),53.87246)</f>
        <v>53.872459999999997</v>
      </c>
      <c r="K3035" s="2">
        <f ca="1">IFERROR(__xludf.DUMMYFUNCTION("""COMPUTED_VALUE"""),72.45806)</f>
        <v>72.458060000000003</v>
      </c>
      <c r="M3035" s="2">
        <f ca="1">IFERROR(__xludf.DUMMYFUNCTION("""COMPUTED_VALUE"""),18.827)</f>
        <v>18.827000000000002</v>
      </c>
      <c r="U3035" s="3" t="e">
        <f ca="1"/>
        <v>#NAME?</v>
      </c>
    </row>
    <row r="3036" spans="3:21" ht="12.5" x14ac:dyDescent="0.25">
      <c r="C3036" s="4">
        <f ca="1">IFERROR(__xludf.DUMMYFUNCTION("""COMPUTED_VALUE"""),43443.9986111111)</f>
        <v>43443.998611111099</v>
      </c>
      <c r="D3036" s="2">
        <f ca="1">IFERROR(__xludf.DUMMYFUNCTION("""COMPUTED_VALUE"""),71.365)</f>
        <v>71.364999999999995</v>
      </c>
      <c r="F3036" s="2">
        <f ca="1">IFERROR(__xludf.DUMMYFUNCTION("""COMPUTED_VALUE"""),95.239)</f>
        <v>95.239000000000004</v>
      </c>
      <c r="H3036" s="2">
        <f ca="1">IFERROR(__xludf.DUMMYFUNCTION("""COMPUTED_VALUE"""),48.96809)</f>
        <v>48.968089999999997</v>
      </c>
      <c r="I3036" s="2">
        <f ca="1">IFERROR(__xludf.DUMMYFUNCTION("""COMPUTED_VALUE"""),53.89503)</f>
        <v>53.895029999999998</v>
      </c>
      <c r="K3036" s="2">
        <f ca="1">IFERROR(__xludf.DUMMYFUNCTION("""COMPUTED_VALUE"""),72.35978)</f>
        <v>72.359780000000001</v>
      </c>
      <c r="M3036" s="2">
        <f ca="1">IFERROR(__xludf.DUMMYFUNCTION("""COMPUTED_VALUE"""),18.83)</f>
        <v>18.829999999999998</v>
      </c>
      <c r="U3036" s="3" t="e">
        <f ca="1"/>
        <v>#NAME?</v>
      </c>
    </row>
    <row r="3037" spans="3:21" ht="12.5" x14ac:dyDescent="0.25">
      <c r="C3037" s="4">
        <f ca="1">IFERROR(__xludf.DUMMYFUNCTION("""COMPUTED_VALUE"""),43444.9986111111)</f>
        <v>43444.998611111099</v>
      </c>
      <c r="D3037" s="2">
        <f ca="1">IFERROR(__xludf.DUMMYFUNCTION("""COMPUTED_VALUE"""),72.73)</f>
        <v>72.73</v>
      </c>
      <c r="F3037" s="2">
        <f ca="1">IFERROR(__xludf.DUMMYFUNCTION("""COMPUTED_VALUE"""),94.052)</f>
        <v>94.052000000000007</v>
      </c>
      <c r="H3037" s="2">
        <f ca="1">IFERROR(__xludf.DUMMYFUNCTION("""COMPUTED_VALUE"""),48.91798)</f>
        <v>48.91798</v>
      </c>
      <c r="I3037" s="2">
        <f ca="1">IFERROR(__xludf.DUMMYFUNCTION("""COMPUTED_VALUE"""),53.89439)</f>
        <v>53.894390000000001</v>
      </c>
      <c r="K3037" s="2">
        <f ca="1">IFERROR(__xludf.DUMMYFUNCTION("""COMPUTED_VALUE"""),72.19315)</f>
        <v>72.193150000000003</v>
      </c>
      <c r="M3037" s="2">
        <f ca="1">IFERROR(__xludf.DUMMYFUNCTION("""COMPUTED_VALUE"""),19.003)</f>
        <v>19.003</v>
      </c>
      <c r="U3037" s="3" t="e">
        <f ca="1"/>
        <v>#NAME?</v>
      </c>
    </row>
    <row r="3038" spans="3:21" ht="12.5" x14ac:dyDescent="0.25">
      <c r="C3038" s="4">
        <f ca="1">IFERROR(__xludf.DUMMYFUNCTION("""COMPUTED_VALUE"""),43445.9986111111)</f>
        <v>43445.998611111099</v>
      </c>
      <c r="D3038" s="2">
        <f ca="1">IFERROR(__xludf.DUMMYFUNCTION("""COMPUTED_VALUE"""),72.62)</f>
        <v>72.62</v>
      </c>
      <c r="F3038" s="2">
        <f ca="1">IFERROR(__xludf.DUMMYFUNCTION("""COMPUTED_VALUE"""),94.052)</f>
        <v>94.052000000000007</v>
      </c>
      <c r="H3038" s="2">
        <f ca="1">IFERROR(__xludf.DUMMYFUNCTION("""COMPUTED_VALUE"""),48.88792)</f>
        <v>48.887920000000001</v>
      </c>
      <c r="I3038" s="2">
        <f ca="1">IFERROR(__xludf.DUMMYFUNCTION("""COMPUTED_VALUE"""),54.02256)</f>
        <v>54.022559999999999</v>
      </c>
      <c r="K3038" s="2">
        <f ca="1">IFERROR(__xludf.DUMMYFUNCTION("""COMPUTED_VALUE"""),71.91848)</f>
        <v>71.918480000000002</v>
      </c>
      <c r="M3038" s="2">
        <f ca="1">IFERROR(__xludf.DUMMYFUNCTION("""COMPUTED_VALUE"""),19.023)</f>
        <v>19.023</v>
      </c>
      <c r="U3038" s="3" t="e">
        <f ca="1"/>
        <v>#NAME?</v>
      </c>
    </row>
    <row r="3039" spans="3:21" ht="12.5" x14ac:dyDescent="0.25">
      <c r="C3039" s="4">
        <f ca="1">IFERROR(__xludf.DUMMYFUNCTION("""COMPUTED_VALUE"""),43446.9986111111)</f>
        <v>43446.998611111099</v>
      </c>
      <c r="D3039" s="2">
        <f ca="1">IFERROR(__xludf.DUMMYFUNCTION("""COMPUTED_VALUE"""),72.15)</f>
        <v>72.150000000000006</v>
      </c>
      <c r="F3039" s="2">
        <f ca="1">IFERROR(__xludf.DUMMYFUNCTION("""COMPUTED_VALUE"""),93.595)</f>
        <v>93.594999999999999</v>
      </c>
      <c r="H3039" s="2">
        <f ca="1">IFERROR(__xludf.DUMMYFUNCTION("""COMPUTED_VALUE"""),48.96447)</f>
        <v>48.964469999999999</v>
      </c>
      <c r="I3039" s="2">
        <f ca="1">IFERROR(__xludf.DUMMYFUNCTION("""COMPUTED_VALUE"""),54.18436)</f>
        <v>54.184359999999998</v>
      </c>
      <c r="K3039" s="2">
        <f ca="1">IFERROR(__xludf.DUMMYFUNCTION("""COMPUTED_VALUE"""),71.8505)</f>
        <v>71.850499999999997</v>
      </c>
      <c r="M3039" s="2">
        <f ca="1">IFERROR(__xludf.DUMMYFUNCTION("""COMPUTED_VALUE"""),18.902)</f>
        <v>18.902000000000001</v>
      </c>
      <c r="U3039" s="3" t="e">
        <f ca="1"/>
        <v>#NAME?</v>
      </c>
    </row>
    <row r="3040" spans="3:21" ht="12.5" x14ac:dyDescent="0.25">
      <c r="C3040" s="4">
        <f ca="1">IFERROR(__xludf.DUMMYFUNCTION("""COMPUTED_VALUE"""),43447.9986111111)</f>
        <v>43447.998611111099</v>
      </c>
      <c r="D3040" s="2">
        <f ca="1">IFERROR(__xludf.DUMMYFUNCTION("""COMPUTED_VALUE"""),71.547)</f>
        <v>71.546999999999997</v>
      </c>
      <c r="F3040" s="2">
        <f ca="1">IFERROR(__xludf.DUMMYFUNCTION("""COMPUTED_VALUE"""),94.061)</f>
        <v>94.061000000000007</v>
      </c>
      <c r="H3040" s="2">
        <f ca="1">IFERROR(__xludf.DUMMYFUNCTION("""COMPUTED_VALUE"""),49.08033)</f>
        <v>49.080329999999996</v>
      </c>
      <c r="I3040" s="2">
        <f ca="1">IFERROR(__xludf.DUMMYFUNCTION("""COMPUTED_VALUE"""),54.38558)</f>
        <v>54.385579999999997</v>
      </c>
      <c r="K3040" s="2">
        <f ca="1">IFERROR(__xludf.DUMMYFUNCTION("""COMPUTED_VALUE"""),71.57869)</f>
        <v>71.578689999999995</v>
      </c>
      <c r="M3040" s="2">
        <f ca="1">IFERROR(__xludf.DUMMYFUNCTION("""COMPUTED_VALUE"""),18.894)</f>
        <v>18.893999999999998</v>
      </c>
      <c r="U3040" s="3" t="e">
        <f ca="1"/>
        <v>#NAME?</v>
      </c>
    </row>
    <row r="3041" spans="3:21" ht="12.5" x14ac:dyDescent="0.25">
      <c r="C3041" s="4">
        <f ca="1">IFERROR(__xludf.DUMMYFUNCTION("""COMPUTED_VALUE"""),43448.9986111111)</f>
        <v>43448.998611111099</v>
      </c>
      <c r="D3041" s="2">
        <f ca="1">IFERROR(__xludf.DUMMYFUNCTION("""COMPUTED_VALUE"""),71.91)</f>
        <v>71.91</v>
      </c>
      <c r="F3041" s="2">
        <f ca="1">IFERROR(__xludf.DUMMYFUNCTION("""COMPUTED_VALUE"""),94.459)</f>
        <v>94.459000000000003</v>
      </c>
      <c r="H3041" s="2">
        <f ca="1">IFERROR(__xludf.DUMMYFUNCTION("""COMPUTED_VALUE"""),49.29524)</f>
        <v>49.29524</v>
      </c>
      <c r="I3041" s="2">
        <f ca="1">IFERROR(__xludf.DUMMYFUNCTION("""COMPUTED_VALUE"""),54.26511)</f>
        <v>54.26511</v>
      </c>
      <c r="K3041" s="2">
        <f ca="1">IFERROR(__xludf.DUMMYFUNCTION("""COMPUTED_VALUE"""),71.29576)</f>
        <v>71.295760000000001</v>
      </c>
      <c r="M3041" s="2">
        <f ca="1">IFERROR(__xludf.DUMMYFUNCTION("""COMPUTED_VALUE"""),18.882)</f>
        <v>18.882000000000001</v>
      </c>
      <c r="U3041" s="3" t="e">
        <f ca="1"/>
        <v>#NAME?</v>
      </c>
    </row>
    <row r="3042" spans="3:21" ht="12.5" x14ac:dyDescent="0.25">
      <c r="C3042" s="4">
        <f ca="1">IFERROR(__xludf.DUMMYFUNCTION("""COMPUTED_VALUE"""),43449.9986111111)</f>
        <v>43449.998611111099</v>
      </c>
      <c r="D3042" s="2">
        <f ca="1">IFERROR(__xludf.DUMMYFUNCTION("""COMPUTED_VALUE"""),71.959)</f>
        <v>71.959000000000003</v>
      </c>
      <c r="F3042" s="2">
        <f ca="1">IFERROR(__xludf.DUMMYFUNCTION("""COMPUTED_VALUE"""),94.11)</f>
        <v>94.11</v>
      </c>
      <c r="H3042" s="2">
        <f ca="1">IFERROR(__xludf.DUMMYFUNCTION("""COMPUTED_VALUE"""),48.7827)</f>
        <v>48.782699999999998</v>
      </c>
      <c r="I3042" s="2">
        <f ca="1">IFERROR(__xludf.DUMMYFUNCTION("""COMPUTED_VALUE"""),54.13544)</f>
        <v>54.135440000000003</v>
      </c>
      <c r="K3042" s="2">
        <f ca="1">IFERROR(__xludf.DUMMYFUNCTION("""COMPUTED_VALUE"""),71.53816)</f>
        <v>71.538160000000005</v>
      </c>
      <c r="M3042" s="2">
        <f ca="1">IFERROR(__xludf.DUMMYFUNCTION("""COMPUTED_VALUE"""),18.89)</f>
        <v>18.89</v>
      </c>
      <c r="U3042" s="3" t="e">
        <f ca="1"/>
        <v>#NAME?</v>
      </c>
    </row>
    <row r="3043" spans="3:21" ht="12.5" x14ac:dyDescent="0.25">
      <c r="C3043" s="4">
        <f ca="1">IFERROR(__xludf.DUMMYFUNCTION("""COMPUTED_VALUE"""),43450.9986111111)</f>
        <v>43450.998611111099</v>
      </c>
      <c r="D3043" s="2">
        <f ca="1">IFERROR(__xludf.DUMMYFUNCTION("""COMPUTED_VALUE"""),71.91)</f>
        <v>71.91</v>
      </c>
      <c r="F3043" s="2">
        <f ca="1">IFERROR(__xludf.DUMMYFUNCTION("""COMPUTED_VALUE"""),91.768)</f>
        <v>91.768000000000001</v>
      </c>
      <c r="H3043" s="2">
        <f ca="1">IFERROR(__xludf.DUMMYFUNCTION("""COMPUTED_VALUE"""),48.82432)</f>
        <v>48.82432</v>
      </c>
      <c r="I3043" s="2">
        <f ca="1">IFERROR(__xludf.DUMMYFUNCTION("""COMPUTED_VALUE"""),54.14544)</f>
        <v>54.145440000000001</v>
      </c>
      <c r="K3043" s="2">
        <f ca="1">IFERROR(__xludf.DUMMYFUNCTION("""COMPUTED_VALUE"""),71.65699)</f>
        <v>71.656989999999993</v>
      </c>
      <c r="M3043" s="2">
        <f ca="1">IFERROR(__xludf.DUMMYFUNCTION("""COMPUTED_VALUE"""),18.978)</f>
        <v>18.978000000000002</v>
      </c>
      <c r="U3043" s="3" t="e">
        <f ca="1"/>
        <v>#NAME?</v>
      </c>
    </row>
    <row r="3044" spans="3:21" ht="12.5" x14ac:dyDescent="0.25">
      <c r="C3044" s="4">
        <f ca="1">IFERROR(__xludf.DUMMYFUNCTION("""COMPUTED_VALUE"""),43451.9986111111)</f>
        <v>43451.998611111099</v>
      </c>
      <c r="D3044" s="2">
        <f ca="1">IFERROR(__xludf.DUMMYFUNCTION("""COMPUTED_VALUE"""),71.59)</f>
        <v>71.59</v>
      </c>
      <c r="F3044" s="2">
        <f ca="1">IFERROR(__xludf.DUMMYFUNCTION("""COMPUTED_VALUE"""),92.159)</f>
        <v>92.159000000000006</v>
      </c>
      <c r="H3044" s="2">
        <f ca="1">IFERROR(__xludf.DUMMYFUNCTION("""COMPUTED_VALUE"""),48.82532)</f>
        <v>48.825319999999998</v>
      </c>
      <c r="I3044" s="2">
        <f ca="1">IFERROR(__xludf.DUMMYFUNCTION("""COMPUTED_VALUE"""),54.14544)</f>
        <v>54.145440000000001</v>
      </c>
      <c r="K3044" s="2">
        <f ca="1">IFERROR(__xludf.DUMMYFUNCTION("""COMPUTED_VALUE"""),71.65374)</f>
        <v>71.653739999999999</v>
      </c>
      <c r="M3044" s="2">
        <f ca="1">IFERROR(__xludf.DUMMYFUNCTION("""COMPUTED_VALUE"""),19.085)</f>
        <v>19.085000000000001</v>
      </c>
      <c r="U3044" s="3" t="e">
        <f ca="1"/>
        <v>#NAME?</v>
      </c>
    </row>
    <row r="3045" spans="3:21" ht="12.5" x14ac:dyDescent="0.25">
      <c r="C3045" s="4">
        <f ca="1">IFERROR(__xludf.DUMMYFUNCTION("""COMPUTED_VALUE"""),43452.9986111111)</f>
        <v>43452.998611111099</v>
      </c>
      <c r="D3045" s="2">
        <f ca="1">IFERROR(__xludf.DUMMYFUNCTION("""COMPUTED_VALUE"""),70.57)</f>
        <v>70.569999999999993</v>
      </c>
      <c r="F3045" s="2">
        <f ca="1">IFERROR(__xludf.DUMMYFUNCTION("""COMPUTED_VALUE"""),92.413)</f>
        <v>92.412999999999997</v>
      </c>
      <c r="H3045" s="2">
        <f ca="1">IFERROR(__xludf.DUMMYFUNCTION("""COMPUTED_VALUE"""),48.82532)</f>
        <v>48.825319999999998</v>
      </c>
      <c r="I3045" s="2">
        <f ca="1">IFERROR(__xludf.DUMMYFUNCTION("""COMPUTED_VALUE"""),54.42552)</f>
        <v>54.425519999999999</v>
      </c>
      <c r="K3045" s="2">
        <f ca="1">IFERROR(__xludf.DUMMYFUNCTION("""COMPUTED_VALUE"""),72.16845)</f>
        <v>72.168450000000007</v>
      </c>
      <c r="M3045" s="2">
        <f ca="1">IFERROR(__xludf.DUMMYFUNCTION("""COMPUTED_VALUE"""),19.081)</f>
        <v>19.081</v>
      </c>
      <c r="U3045" s="3" t="e">
        <f ca="1"/>
        <v>#NAME?</v>
      </c>
    </row>
    <row r="3046" spans="3:21" ht="12.5" x14ac:dyDescent="0.25">
      <c r="C3046" s="4">
        <f ca="1">IFERROR(__xludf.DUMMYFUNCTION("""COMPUTED_VALUE"""),43453.9986111111)</f>
        <v>43453.998611111099</v>
      </c>
      <c r="D3046" s="2">
        <f ca="1">IFERROR(__xludf.DUMMYFUNCTION("""COMPUTED_VALUE"""),70.6855)</f>
        <v>70.685500000000005</v>
      </c>
      <c r="F3046" s="2">
        <f ca="1">IFERROR(__xludf.DUMMYFUNCTION("""COMPUTED_VALUE"""),92.132)</f>
        <v>92.132000000000005</v>
      </c>
      <c r="H3046" s="2">
        <f ca="1">IFERROR(__xludf.DUMMYFUNCTION("""COMPUTED_VALUE"""),48.91874)</f>
        <v>48.91874</v>
      </c>
      <c r="I3046" s="2">
        <f ca="1">IFERROR(__xludf.DUMMYFUNCTION("""COMPUTED_VALUE"""),54.06948)</f>
        <v>54.069479999999999</v>
      </c>
      <c r="K3046" s="2">
        <f ca="1">IFERROR(__xludf.DUMMYFUNCTION("""COMPUTED_VALUE"""),72.59349)</f>
        <v>72.593490000000003</v>
      </c>
      <c r="M3046" s="2">
        <f ca="1">IFERROR(__xludf.DUMMYFUNCTION("""COMPUTED_VALUE"""),19.098)</f>
        <v>19.097999999999999</v>
      </c>
      <c r="U3046" s="3" t="e">
        <f ca="1"/>
        <v>#NAME?</v>
      </c>
    </row>
    <row r="3047" spans="3:21" ht="12.5" x14ac:dyDescent="0.25">
      <c r="C3047" s="4">
        <f ca="1">IFERROR(__xludf.DUMMYFUNCTION("""COMPUTED_VALUE"""),43454.9986111111)</f>
        <v>43454.998611111099</v>
      </c>
      <c r="D3047" s="2">
        <f ca="1">IFERROR(__xludf.DUMMYFUNCTION("""COMPUTED_VALUE"""),70.3)</f>
        <v>70.3</v>
      </c>
      <c r="F3047" s="2">
        <f ca="1">IFERROR(__xludf.DUMMYFUNCTION("""COMPUTED_VALUE"""),92.17)</f>
        <v>92.17</v>
      </c>
      <c r="H3047" s="2">
        <f ca="1">IFERROR(__xludf.DUMMYFUNCTION("""COMPUTED_VALUE"""),48.96914)</f>
        <v>48.969140000000003</v>
      </c>
      <c r="I3047" s="2">
        <f ca="1">IFERROR(__xludf.DUMMYFUNCTION("""COMPUTED_VALUE"""),53.87486)</f>
        <v>53.874859999999998</v>
      </c>
      <c r="K3047" s="2">
        <f ca="1">IFERROR(__xludf.DUMMYFUNCTION("""COMPUTED_VALUE"""),72.2614)</f>
        <v>72.261399999999995</v>
      </c>
      <c r="M3047" s="2">
        <f ca="1">IFERROR(__xludf.DUMMYFUNCTION("""COMPUTED_VALUE"""),19.013)</f>
        <v>19.013000000000002</v>
      </c>
      <c r="U3047" s="3" t="e">
        <f ca="1"/>
        <v>#NAME?</v>
      </c>
    </row>
    <row r="3048" spans="3:21" ht="12.5" x14ac:dyDescent="0.25">
      <c r="C3048" s="4">
        <f ca="1">IFERROR(__xludf.DUMMYFUNCTION("""COMPUTED_VALUE"""),43455.9986111111)</f>
        <v>43455.998611111099</v>
      </c>
      <c r="D3048" s="2">
        <f ca="1">IFERROR(__xludf.DUMMYFUNCTION("""COMPUTED_VALUE"""),70.13)</f>
        <v>70.13</v>
      </c>
      <c r="F3048" s="2">
        <f ca="1">IFERROR(__xludf.DUMMYFUNCTION("""COMPUTED_VALUE"""),91.324)</f>
        <v>91.323999999999998</v>
      </c>
      <c r="H3048" s="2">
        <f ca="1">IFERROR(__xludf.DUMMYFUNCTION("""COMPUTED_VALUE"""),48.72084)</f>
        <v>48.720840000000003</v>
      </c>
      <c r="I3048" s="2">
        <f ca="1">IFERROR(__xludf.DUMMYFUNCTION("""COMPUTED_VALUE"""),53.97653)</f>
        <v>53.976529999999997</v>
      </c>
      <c r="K3048" s="2">
        <f ca="1">IFERROR(__xludf.DUMMYFUNCTION("""COMPUTED_VALUE"""),72.08538)</f>
        <v>72.085380000000001</v>
      </c>
      <c r="M3048" s="2">
        <f ca="1">IFERROR(__xludf.DUMMYFUNCTION("""COMPUTED_VALUE"""),19.012)</f>
        <v>19.012</v>
      </c>
      <c r="U3048" s="3" t="e">
        <f ca="1"/>
        <v>#NAME?</v>
      </c>
    </row>
    <row r="3049" spans="3:21" ht="12.5" x14ac:dyDescent="0.25">
      <c r="C3049" s="4">
        <f ca="1">IFERROR(__xludf.DUMMYFUNCTION("""COMPUTED_VALUE"""),43456.9986111111)</f>
        <v>43456.998611111099</v>
      </c>
      <c r="D3049" s="2">
        <f ca="1">IFERROR(__xludf.DUMMYFUNCTION("""COMPUTED_VALUE"""),70.13)</f>
        <v>70.13</v>
      </c>
      <c r="F3049" s="2">
        <f ca="1">IFERROR(__xludf.DUMMYFUNCTION("""COMPUTED_VALUE"""),91.065)</f>
        <v>91.064999999999998</v>
      </c>
      <c r="H3049" s="2">
        <f ca="1">IFERROR(__xludf.DUMMYFUNCTION("""COMPUTED_VALUE"""),48.6625)</f>
        <v>48.662500000000001</v>
      </c>
      <c r="I3049" s="2">
        <f ca="1">IFERROR(__xludf.DUMMYFUNCTION("""COMPUTED_VALUE"""),53.92262)</f>
        <v>53.922620000000002</v>
      </c>
      <c r="K3049" s="2">
        <f ca="1">IFERROR(__xludf.DUMMYFUNCTION("""COMPUTED_VALUE"""),71.88681)</f>
        <v>71.886809999999997</v>
      </c>
      <c r="M3049" s="2">
        <f ca="1">IFERROR(__xludf.DUMMYFUNCTION("""COMPUTED_VALUE"""),19.015)</f>
        <v>19.015000000000001</v>
      </c>
      <c r="U3049" s="3" t="e">
        <f ca="1"/>
        <v>#NAME?</v>
      </c>
    </row>
    <row r="3050" spans="3:21" ht="12.5" x14ac:dyDescent="0.25">
      <c r="C3050" s="4">
        <f ca="1">IFERROR(__xludf.DUMMYFUNCTION("""COMPUTED_VALUE"""),43457.9986111111)</f>
        <v>43457.998611111099</v>
      </c>
      <c r="D3050" s="2">
        <f ca="1">IFERROR(__xludf.DUMMYFUNCTION("""COMPUTED_VALUE"""),70.14)</f>
        <v>70.14</v>
      </c>
      <c r="F3050" s="2">
        <f ca="1">IFERROR(__xludf.DUMMYFUNCTION("""COMPUTED_VALUE"""),91.206)</f>
        <v>91.206000000000003</v>
      </c>
      <c r="H3050" s="2">
        <f ca="1">IFERROR(__xludf.DUMMYFUNCTION("""COMPUTED_VALUE"""),48.6675)</f>
        <v>48.667499999999997</v>
      </c>
      <c r="I3050" s="2">
        <f ca="1">IFERROR(__xludf.DUMMYFUNCTION("""COMPUTED_VALUE"""),53.92262)</f>
        <v>53.922620000000002</v>
      </c>
      <c r="K3050" s="2">
        <f ca="1">IFERROR(__xludf.DUMMYFUNCTION("""COMPUTED_VALUE"""),71.76675)</f>
        <v>71.766750000000002</v>
      </c>
      <c r="M3050" s="2">
        <f ca="1">IFERROR(__xludf.DUMMYFUNCTION("""COMPUTED_VALUE"""),19.009)</f>
        <v>19.009</v>
      </c>
      <c r="U3050" s="3" t="e">
        <f ca="1"/>
        <v>#NAME?</v>
      </c>
    </row>
    <row r="3051" spans="3:21" ht="12.5" x14ac:dyDescent="0.25">
      <c r="C3051" s="4">
        <f ca="1">IFERROR(__xludf.DUMMYFUNCTION("""COMPUTED_VALUE"""),43458.9986111111)</f>
        <v>43458.998611111099</v>
      </c>
      <c r="D3051" s="2">
        <f ca="1">IFERROR(__xludf.DUMMYFUNCTION("""COMPUTED_VALUE"""),70.24)</f>
        <v>70.239999999999995</v>
      </c>
      <c r="F3051" s="2">
        <f ca="1">IFERROR(__xludf.DUMMYFUNCTION("""COMPUTED_VALUE"""),90.613)</f>
        <v>90.613</v>
      </c>
      <c r="H3051" s="2">
        <f ca="1">IFERROR(__xludf.DUMMYFUNCTION("""COMPUTED_VALUE"""),48.6675)</f>
        <v>48.667499999999997</v>
      </c>
      <c r="I3051" s="2">
        <f ca="1">IFERROR(__xludf.DUMMYFUNCTION("""COMPUTED_VALUE"""),53.92262)</f>
        <v>53.922620000000002</v>
      </c>
      <c r="K3051" s="2">
        <f ca="1">IFERROR(__xludf.DUMMYFUNCTION("""COMPUTED_VALUE"""),71.85108)</f>
        <v>71.851079999999996</v>
      </c>
      <c r="M3051" s="2">
        <f ca="1">IFERROR(__xludf.DUMMYFUNCTION("""COMPUTED_VALUE"""),18.934)</f>
        <v>18.934000000000001</v>
      </c>
      <c r="U3051" s="3" t="e">
        <f ca="1"/>
        <v>#NAME?</v>
      </c>
    </row>
    <row r="3052" spans="3:21" ht="12.5" x14ac:dyDescent="0.25">
      <c r="C3052" s="4">
        <f ca="1">IFERROR(__xludf.DUMMYFUNCTION("""COMPUTED_VALUE"""),43459.9986111111)</f>
        <v>43459.998611111099</v>
      </c>
      <c r="D3052" s="2">
        <f ca="1">IFERROR(__xludf.DUMMYFUNCTION("""COMPUTED_VALUE"""),70.24)</f>
        <v>70.239999999999995</v>
      </c>
      <c r="F3052" s="2">
        <f ca="1">IFERROR(__xludf.DUMMYFUNCTION("""COMPUTED_VALUE"""),90.588)</f>
        <v>90.587999999999994</v>
      </c>
      <c r="H3052" s="2">
        <f ca="1">IFERROR(__xludf.DUMMYFUNCTION("""COMPUTED_VALUE"""),48.6675)</f>
        <v>48.667499999999997</v>
      </c>
      <c r="I3052" s="2">
        <f ca="1">IFERROR(__xludf.DUMMYFUNCTION("""COMPUTED_VALUE"""),53.83131)</f>
        <v>53.831310000000002</v>
      </c>
      <c r="K3052" s="2">
        <f ca="1">IFERROR(__xludf.DUMMYFUNCTION("""COMPUTED_VALUE"""),71.88347)</f>
        <v>71.883470000000003</v>
      </c>
      <c r="M3052" s="2">
        <f ca="1">IFERROR(__xludf.DUMMYFUNCTION("""COMPUTED_VALUE"""),18.959)</f>
        <v>18.959</v>
      </c>
      <c r="U3052" s="3" t="e">
        <f ca="1"/>
        <v>#NAME?</v>
      </c>
    </row>
    <row r="3053" spans="3:21" ht="12.5" x14ac:dyDescent="0.25">
      <c r="C3053" s="4">
        <f ca="1">IFERROR(__xludf.DUMMYFUNCTION("""COMPUTED_VALUE"""),43460.9986111111)</f>
        <v>43460.998611111099</v>
      </c>
      <c r="D3053" s="2">
        <f ca="1">IFERROR(__xludf.DUMMYFUNCTION("""COMPUTED_VALUE"""),70.15)</f>
        <v>70.150000000000006</v>
      </c>
      <c r="F3053" s="2">
        <f ca="1">IFERROR(__xludf.DUMMYFUNCTION("""COMPUTED_VALUE"""),90.613)</f>
        <v>90.613</v>
      </c>
      <c r="H3053" s="2">
        <f ca="1">IFERROR(__xludf.DUMMYFUNCTION("""COMPUTED_VALUE"""),48.52038)</f>
        <v>48.520380000000003</v>
      </c>
      <c r="I3053" s="2">
        <f ca="1">IFERROR(__xludf.DUMMYFUNCTION("""COMPUTED_VALUE"""),53.81205)</f>
        <v>53.812049999999999</v>
      </c>
      <c r="K3053" s="2">
        <f ca="1">IFERROR(__xludf.DUMMYFUNCTION("""COMPUTED_VALUE"""),71.56646)</f>
        <v>71.566460000000006</v>
      </c>
      <c r="M3053" s="2">
        <f ca="1">IFERROR(__xludf.DUMMYFUNCTION("""COMPUTED_VALUE"""),18.891)</f>
        <v>18.890999999999998</v>
      </c>
      <c r="U3053" s="3" t="e">
        <f ca="1"/>
        <v>#NAME?</v>
      </c>
    </row>
    <row r="3054" spans="3:21" ht="12.5" x14ac:dyDescent="0.25">
      <c r="C3054" s="4">
        <f ca="1">IFERROR(__xludf.DUMMYFUNCTION("""COMPUTED_VALUE"""),43461.9986111111)</f>
        <v>43461.998611111099</v>
      </c>
      <c r="D3054" s="2">
        <f ca="1">IFERROR(__xludf.DUMMYFUNCTION("""COMPUTED_VALUE"""),69.99)</f>
        <v>69.989999999999995</v>
      </c>
      <c r="F3054" s="2">
        <f ca="1">IFERROR(__xludf.DUMMYFUNCTION("""COMPUTED_VALUE"""),90.734)</f>
        <v>90.733999999999995</v>
      </c>
      <c r="H3054" s="2">
        <f ca="1">IFERROR(__xludf.DUMMYFUNCTION("""COMPUTED_VALUE"""),48.4721)</f>
        <v>48.472099999999998</v>
      </c>
      <c r="I3054" s="2">
        <f ca="1">IFERROR(__xludf.DUMMYFUNCTION("""COMPUTED_VALUE"""),53.58002)</f>
        <v>53.580019999999998</v>
      </c>
      <c r="K3054" s="2">
        <f ca="1">IFERROR(__xludf.DUMMYFUNCTION("""COMPUTED_VALUE"""),71.86386)</f>
        <v>71.863860000000003</v>
      </c>
      <c r="M3054" s="2">
        <f ca="1">IFERROR(__xludf.DUMMYFUNCTION("""COMPUTED_VALUE"""),18.834)</f>
        <v>18.834</v>
      </c>
      <c r="U3054" s="3" t="e">
        <f ca="1"/>
        <v>#NAME?</v>
      </c>
    </row>
    <row r="3055" spans="3:21" ht="12.5" x14ac:dyDescent="0.25">
      <c r="C3055" s="4">
        <f ca="1">IFERROR(__xludf.DUMMYFUNCTION("""COMPUTED_VALUE"""),43462.9986111111)</f>
        <v>43462.998611111099</v>
      </c>
      <c r="D3055" s="2">
        <f ca="1">IFERROR(__xludf.DUMMYFUNCTION("""COMPUTED_VALUE"""),69.85)</f>
        <v>69.849999999999994</v>
      </c>
      <c r="F3055" s="2">
        <f ca="1">IFERROR(__xludf.DUMMYFUNCTION("""COMPUTED_VALUE"""),90.305)</f>
        <v>90.305000000000007</v>
      </c>
      <c r="H3055" s="2">
        <f ca="1">IFERROR(__xludf.DUMMYFUNCTION("""COMPUTED_VALUE"""),48.16843)</f>
        <v>48.168430000000001</v>
      </c>
      <c r="I3055" s="2">
        <f ca="1">IFERROR(__xludf.DUMMYFUNCTION("""COMPUTED_VALUE"""),53.78693)</f>
        <v>53.786929999999998</v>
      </c>
      <c r="K3055" s="2">
        <f ca="1">IFERROR(__xludf.DUMMYFUNCTION("""COMPUTED_VALUE"""),72.05626)</f>
        <v>72.056259999999995</v>
      </c>
      <c r="M3055" s="2">
        <f ca="1">IFERROR(__xludf.DUMMYFUNCTION("""COMPUTED_VALUE"""),18.832)</f>
        <v>18.832000000000001</v>
      </c>
      <c r="U3055" s="3" t="e">
        <f ca="1"/>
        <v>#NAME?</v>
      </c>
    </row>
    <row r="3056" spans="3:21" ht="12.5" x14ac:dyDescent="0.25">
      <c r="C3056" s="4">
        <f ca="1">IFERROR(__xludf.DUMMYFUNCTION("""COMPUTED_VALUE"""),43463.9986111111)</f>
        <v>43463.998611111099</v>
      </c>
      <c r="D3056" s="2">
        <f ca="1">IFERROR(__xludf.DUMMYFUNCTION("""COMPUTED_VALUE"""),69.635)</f>
        <v>69.635000000000005</v>
      </c>
      <c r="F3056" s="2">
        <f ca="1">IFERROR(__xludf.DUMMYFUNCTION("""COMPUTED_VALUE"""),90.569)</f>
        <v>90.569000000000003</v>
      </c>
      <c r="H3056" s="2">
        <f ca="1">IFERROR(__xludf.DUMMYFUNCTION("""COMPUTED_VALUE"""),48.34691)</f>
        <v>48.346910000000001</v>
      </c>
      <c r="I3056" s="2">
        <f ca="1">IFERROR(__xludf.DUMMYFUNCTION("""COMPUTED_VALUE"""),53.9903)</f>
        <v>53.990299999999998</v>
      </c>
      <c r="K3056" s="2">
        <f ca="1">IFERROR(__xludf.DUMMYFUNCTION("""COMPUTED_VALUE"""),72.41821)</f>
        <v>72.418210000000002</v>
      </c>
      <c r="M3056" s="2">
        <f ca="1">IFERROR(__xludf.DUMMYFUNCTION("""COMPUTED_VALUE"""),18.871)</f>
        <v>18.870999999999999</v>
      </c>
      <c r="U3056" s="3" t="e">
        <f ca="1"/>
        <v>#NAME?</v>
      </c>
    </row>
    <row r="3057" spans="3:21" ht="12.5" x14ac:dyDescent="0.25">
      <c r="C3057" s="4">
        <f ca="1">IFERROR(__xludf.DUMMYFUNCTION("""COMPUTED_VALUE"""),43464.9986111111)</f>
        <v>43464.998611111099</v>
      </c>
      <c r="D3057" s="2">
        <f ca="1">IFERROR(__xludf.DUMMYFUNCTION("""COMPUTED_VALUE"""),69.9225)</f>
        <v>69.922499999999999</v>
      </c>
      <c r="F3057" s="2">
        <f ca="1">IFERROR(__xludf.DUMMYFUNCTION("""COMPUTED_VALUE"""),89.353)</f>
        <v>89.352999999999994</v>
      </c>
      <c r="H3057" s="2">
        <f ca="1">IFERROR(__xludf.DUMMYFUNCTION("""COMPUTED_VALUE"""),48.4885)</f>
        <v>48.488500000000002</v>
      </c>
      <c r="I3057" s="2">
        <f ca="1">IFERROR(__xludf.DUMMYFUNCTION("""COMPUTED_VALUE"""),53.99863)</f>
        <v>53.998629999999999</v>
      </c>
      <c r="K3057" s="2">
        <f ca="1">IFERROR(__xludf.DUMMYFUNCTION("""COMPUTED_VALUE"""),72.36314)</f>
        <v>72.363140000000001</v>
      </c>
      <c r="M3057" s="2">
        <f ca="1">IFERROR(__xludf.DUMMYFUNCTION("""COMPUTED_VALUE"""),18.949)</f>
        <v>18.949000000000002</v>
      </c>
      <c r="U3057" s="3" t="e">
        <f ca="1"/>
        <v>#NAME?</v>
      </c>
    </row>
    <row r="3058" spans="3:21" ht="12.5" x14ac:dyDescent="0.25">
      <c r="C3058" s="4">
        <f ca="1">IFERROR(__xludf.DUMMYFUNCTION("""COMPUTED_VALUE"""),43465.9986111111)</f>
        <v>43465.998611111099</v>
      </c>
      <c r="D3058" s="2">
        <f ca="1">IFERROR(__xludf.DUMMYFUNCTION("""COMPUTED_VALUE"""),69.71)</f>
        <v>69.709999999999994</v>
      </c>
      <c r="F3058" s="2">
        <f ca="1">IFERROR(__xludf.DUMMYFUNCTION("""COMPUTED_VALUE"""),88.871)</f>
        <v>88.870999999999995</v>
      </c>
      <c r="H3058" s="2">
        <f ca="1">IFERROR(__xludf.DUMMYFUNCTION("""COMPUTED_VALUE"""),48.4875)</f>
        <v>48.487499999999997</v>
      </c>
      <c r="I3058" s="2">
        <f ca="1">IFERROR(__xludf.DUMMYFUNCTION("""COMPUTED_VALUE"""),53.99863)</f>
        <v>53.998629999999999</v>
      </c>
      <c r="K3058" s="2">
        <f ca="1">IFERROR(__xludf.DUMMYFUNCTION("""COMPUTED_VALUE"""),72.66939)</f>
        <v>72.669390000000007</v>
      </c>
      <c r="M3058" s="2">
        <f ca="1">IFERROR(__xludf.DUMMYFUNCTION("""COMPUTED_VALUE"""),19.061)</f>
        <v>19.061</v>
      </c>
      <c r="U3058" s="3" t="e">
        <f ca="1"/>
        <v>#NAME?</v>
      </c>
    </row>
    <row r="3059" spans="3:21" ht="12.5" x14ac:dyDescent="0.25">
      <c r="C3059" s="4">
        <f ca="1">IFERROR(__xludf.DUMMYFUNCTION("""COMPUTED_VALUE"""),43466.9986111111)</f>
        <v>43466.998611111099</v>
      </c>
      <c r="D3059" s="2">
        <f ca="1">IFERROR(__xludf.DUMMYFUNCTION("""COMPUTED_VALUE"""),69.71)</f>
        <v>69.709999999999994</v>
      </c>
      <c r="F3059" s="2">
        <f ca="1">IFERROR(__xludf.DUMMYFUNCTION("""COMPUTED_VALUE"""),88.812)</f>
        <v>88.811999999999998</v>
      </c>
      <c r="H3059" s="2">
        <f ca="1">IFERROR(__xludf.DUMMYFUNCTION("""COMPUTED_VALUE"""),48.4875)</f>
        <v>48.487499999999997</v>
      </c>
      <c r="I3059" s="2">
        <f ca="1">IFERROR(__xludf.DUMMYFUNCTION("""COMPUTED_VALUE"""),53.77867)</f>
        <v>53.778669999999998</v>
      </c>
      <c r="K3059" s="2">
        <f ca="1">IFERROR(__xludf.DUMMYFUNCTION("""COMPUTED_VALUE"""),72.22995)</f>
        <v>72.229950000000002</v>
      </c>
      <c r="M3059" s="2">
        <f ca="1">IFERROR(__xludf.DUMMYFUNCTION("""COMPUTED_VALUE"""),19.166)</f>
        <v>19.166</v>
      </c>
      <c r="U3059" s="3" t="e">
        <f ca="1"/>
        <v>#NAME?</v>
      </c>
    </row>
    <row r="3060" spans="3:21" ht="12.5" x14ac:dyDescent="0.25">
      <c r="C3060" s="4">
        <f ca="1">IFERROR(__xludf.DUMMYFUNCTION("""COMPUTED_VALUE"""),43467.9986111111)</f>
        <v>43467.998611111099</v>
      </c>
      <c r="D3060" s="2">
        <f ca="1">IFERROR(__xludf.DUMMYFUNCTION("""COMPUTED_VALUE"""),69.96)</f>
        <v>69.959999999999994</v>
      </c>
      <c r="F3060" s="2">
        <f ca="1">IFERROR(__xludf.DUMMYFUNCTION("""COMPUTED_VALUE"""),89.028)</f>
        <v>89.028000000000006</v>
      </c>
      <c r="H3060" s="2">
        <f ca="1">IFERROR(__xludf.DUMMYFUNCTION("""COMPUTED_VALUE"""),48.78978)</f>
        <v>48.78978</v>
      </c>
      <c r="I3060" s="2">
        <f ca="1">IFERROR(__xludf.DUMMYFUNCTION("""COMPUTED_VALUE"""),53.91451)</f>
        <v>53.91451</v>
      </c>
      <c r="K3060" s="2">
        <f ca="1">IFERROR(__xludf.DUMMYFUNCTION("""COMPUTED_VALUE"""),72.48571)</f>
        <v>72.485709999999997</v>
      </c>
      <c r="M3060" s="2">
        <f ca="1">IFERROR(__xludf.DUMMYFUNCTION("""COMPUTED_VALUE"""),19.033)</f>
        <v>19.033000000000001</v>
      </c>
      <c r="U3060" s="3" t="e">
        <f ca="1"/>
        <v>#NAME?</v>
      </c>
    </row>
    <row r="3061" spans="3:21" ht="12.5" x14ac:dyDescent="0.25">
      <c r="C3061" s="4">
        <f ca="1">IFERROR(__xludf.DUMMYFUNCTION("""COMPUTED_VALUE"""),43468.9986111111)</f>
        <v>43468.998611111099</v>
      </c>
      <c r="D3061" s="2">
        <f ca="1">IFERROR(__xludf.DUMMYFUNCTION("""COMPUTED_VALUE"""),70.3)</f>
        <v>70.3</v>
      </c>
      <c r="F3061" s="2">
        <f ca="1">IFERROR(__xludf.DUMMYFUNCTION("""COMPUTED_VALUE"""),89.71)</f>
        <v>89.71</v>
      </c>
      <c r="H3061" s="2">
        <f ca="1">IFERROR(__xludf.DUMMYFUNCTION("""COMPUTED_VALUE"""),49.08592)</f>
        <v>49.085920000000002</v>
      </c>
      <c r="I3061" s="2">
        <f ca="1">IFERROR(__xludf.DUMMYFUNCTION("""COMPUTED_VALUE"""),54.13082)</f>
        <v>54.13082</v>
      </c>
      <c r="K3061" s="2">
        <f ca="1">IFERROR(__xludf.DUMMYFUNCTION("""COMPUTED_VALUE"""),72.62935)</f>
        <v>72.629350000000002</v>
      </c>
      <c r="M3061" s="2">
        <f ca="1">IFERROR(__xludf.DUMMYFUNCTION("""COMPUTED_VALUE"""),19.038)</f>
        <v>19.038</v>
      </c>
      <c r="U3061" s="3" t="e">
        <f ca="1"/>
        <v>#NAME?</v>
      </c>
    </row>
    <row r="3062" spans="3:21" ht="12.5" x14ac:dyDescent="0.25">
      <c r="C3062" s="4">
        <f ca="1">IFERROR(__xludf.DUMMYFUNCTION("""COMPUTED_VALUE"""),43469.9986111111)</f>
        <v>43469.998611111099</v>
      </c>
      <c r="D3062" s="2">
        <f ca="1">IFERROR(__xludf.DUMMYFUNCTION("""COMPUTED_VALUE"""),69.51)</f>
        <v>69.510000000000005</v>
      </c>
      <c r="F3062" s="2">
        <f ca="1">IFERROR(__xludf.DUMMYFUNCTION("""COMPUTED_VALUE"""),89.826)</f>
        <v>89.825999999999993</v>
      </c>
      <c r="H3062" s="2">
        <f ca="1">IFERROR(__xludf.DUMMYFUNCTION("""COMPUTED_VALUE"""),48.91674)</f>
        <v>48.916739999999997</v>
      </c>
      <c r="I3062" s="2">
        <f ca="1">IFERROR(__xludf.DUMMYFUNCTION("""COMPUTED_VALUE"""),54.00683)</f>
        <v>54.006830000000001</v>
      </c>
      <c r="K3062" s="2">
        <f ca="1">IFERROR(__xludf.DUMMYFUNCTION("""COMPUTED_VALUE"""),72.6494)</f>
        <v>72.6494</v>
      </c>
      <c r="M3062" s="2">
        <f ca="1">IFERROR(__xludf.DUMMYFUNCTION("""COMPUTED_VALUE"""),19.207)</f>
        <v>19.207000000000001</v>
      </c>
      <c r="U3062" s="3" t="e">
        <f ca="1"/>
        <v>#NAME?</v>
      </c>
    </row>
    <row r="3063" spans="3:21" ht="12.5" x14ac:dyDescent="0.25">
      <c r="C3063" s="4">
        <f ca="1">IFERROR(__xludf.DUMMYFUNCTION("""COMPUTED_VALUE"""),43470.9986111111)</f>
        <v>43470.998611111099</v>
      </c>
      <c r="D3063" s="2">
        <f ca="1">IFERROR(__xludf.DUMMYFUNCTION("""COMPUTED_VALUE"""),69.525)</f>
        <v>69.525000000000006</v>
      </c>
      <c r="F3063" s="2">
        <f ca="1">IFERROR(__xludf.DUMMYFUNCTION("""COMPUTED_VALUE"""),90.223)</f>
        <v>90.222999999999999</v>
      </c>
      <c r="H3063" s="2">
        <f ca="1">IFERROR(__xludf.DUMMYFUNCTION("""COMPUTED_VALUE"""),48.62126)</f>
        <v>48.621259999999999</v>
      </c>
      <c r="I3063" s="2">
        <f ca="1">IFERROR(__xludf.DUMMYFUNCTION("""COMPUTED_VALUE"""),53.74573)</f>
        <v>53.745730000000002</v>
      </c>
      <c r="K3063" s="2">
        <f ca="1">IFERROR(__xludf.DUMMYFUNCTION("""COMPUTED_VALUE"""),71.66782)</f>
        <v>71.667820000000006</v>
      </c>
      <c r="M3063" s="2">
        <f ca="1">IFERROR(__xludf.DUMMYFUNCTION("""COMPUTED_VALUE"""),19.142)</f>
        <v>19.141999999999999</v>
      </c>
      <c r="U3063" s="3" t="e">
        <f ca="1"/>
        <v>#NAME?</v>
      </c>
    </row>
    <row r="3064" spans="3:21" ht="12.5" x14ac:dyDescent="0.25">
      <c r="C3064" s="4">
        <f ca="1">IFERROR(__xludf.DUMMYFUNCTION("""COMPUTED_VALUE"""),43471.9986111111)</f>
        <v>43471.998611111099</v>
      </c>
      <c r="D3064" s="2">
        <f ca="1">IFERROR(__xludf.DUMMYFUNCTION("""COMPUTED_VALUE"""),69.525)</f>
        <v>69.525000000000006</v>
      </c>
      <c r="F3064" s="2">
        <f ca="1">IFERROR(__xludf.DUMMYFUNCTION("""COMPUTED_VALUE"""),90.406)</f>
        <v>90.406000000000006</v>
      </c>
      <c r="H3064" s="2">
        <f ca="1">IFERROR(__xludf.DUMMYFUNCTION("""COMPUTED_VALUE"""),48.72551)</f>
        <v>48.72551</v>
      </c>
      <c r="I3064" s="2">
        <f ca="1">IFERROR(__xludf.DUMMYFUNCTION("""COMPUTED_VALUE"""),53.74573)</f>
        <v>53.745730000000002</v>
      </c>
      <c r="K3064" s="2">
        <f ca="1">IFERROR(__xludf.DUMMYFUNCTION("""COMPUTED_VALUE"""),73.24122)</f>
        <v>73.241219999999998</v>
      </c>
      <c r="M3064" s="2">
        <f ca="1">IFERROR(__xludf.DUMMYFUNCTION("""COMPUTED_VALUE"""),19.119)</f>
        <v>19.119</v>
      </c>
      <c r="U3064" s="3" t="e">
        <f ca="1"/>
        <v>#NAME?</v>
      </c>
    </row>
    <row r="3065" spans="3:21" ht="12.5" x14ac:dyDescent="0.25">
      <c r="C3065" s="4">
        <f ca="1">IFERROR(__xludf.DUMMYFUNCTION("""COMPUTED_VALUE"""),43472.9986111111)</f>
        <v>43472.998611111099</v>
      </c>
      <c r="D3065" s="2">
        <f ca="1">IFERROR(__xludf.DUMMYFUNCTION("""COMPUTED_VALUE"""),69.81)</f>
        <v>69.81</v>
      </c>
      <c r="F3065" s="2">
        <f ca="1">IFERROR(__xludf.DUMMYFUNCTION("""COMPUTED_VALUE"""),90.876)</f>
        <v>90.876000000000005</v>
      </c>
      <c r="H3065" s="2">
        <f ca="1">IFERROR(__xludf.DUMMYFUNCTION("""COMPUTED_VALUE"""),48.72551)</f>
        <v>48.72551</v>
      </c>
      <c r="I3065" s="2">
        <f ca="1">IFERROR(__xludf.DUMMYFUNCTION("""COMPUTED_VALUE"""),53.74573)</f>
        <v>53.745730000000002</v>
      </c>
      <c r="K3065" s="2">
        <f ca="1">IFERROR(__xludf.DUMMYFUNCTION("""COMPUTED_VALUE"""),73.538)</f>
        <v>73.537999999999997</v>
      </c>
      <c r="M3065" s="2">
        <f ca="1">IFERROR(__xludf.DUMMYFUNCTION("""COMPUTED_VALUE"""),19.088)</f>
        <v>19.088000000000001</v>
      </c>
      <c r="U3065" s="3" t="e">
        <f ca="1"/>
        <v>#NAME?</v>
      </c>
    </row>
    <row r="3066" spans="3:21" ht="12.5" x14ac:dyDescent="0.25">
      <c r="C3066" s="4">
        <f ca="1">IFERROR(__xludf.DUMMYFUNCTION("""COMPUTED_VALUE"""),43473.9986111111)</f>
        <v>43473.998611111099</v>
      </c>
      <c r="D3066" s="2">
        <f ca="1">IFERROR(__xludf.DUMMYFUNCTION("""COMPUTED_VALUE"""),70.33)</f>
        <v>70.33</v>
      </c>
      <c r="F3066" s="2">
        <f ca="1">IFERROR(__xludf.DUMMYFUNCTION("""COMPUTED_VALUE"""),90.919)</f>
        <v>90.918999999999997</v>
      </c>
      <c r="H3066" s="2">
        <f ca="1">IFERROR(__xludf.DUMMYFUNCTION("""COMPUTED_VALUE"""),48.72551)</f>
        <v>48.72551</v>
      </c>
      <c r="I3066" s="2">
        <f ca="1">IFERROR(__xludf.DUMMYFUNCTION("""COMPUTED_VALUE"""),53.55741)</f>
        <v>53.557409999999997</v>
      </c>
      <c r="K3066" s="2">
        <f ca="1">IFERROR(__xludf.DUMMYFUNCTION("""COMPUTED_VALUE"""),73.64445)</f>
        <v>73.644450000000006</v>
      </c>
      <c r="M3066" s="2">
        <f ca="1">IFERROR(__xludf.DUMMYFUNCTION("""COMPUTED_VALUE"""),19.143)</f>
        <v>19.143000000000001</v>
      </c>
      <c r="U3066" s="3" t="e">
        <f ca="1"/>
        <v>#NAME?</v>
      </c>
    </row>
    <row r="3067" spans="3:21" ht="12.5" x14ac:dyDescent="0.25">
      <c r="C3067" s="4">
        <f ca="1">IFERROR(__xludf.DUMMYFUNCTION("""COMPUTED_VALUE"""),43474.9986111111)</f>
        <v>43474.998611111099</v>
      </c>
      <c r="D3067" s="2">
        <f ca="1">IFERROR(__xludf.DUMMYFUNCTION("""COMPUTED_VALUE"""),70.5505)</f>
        <v>70.5505</v>
      </c>
      <c r="F3067" s="2">
        <f ca="1">IFERROR(__xludf.DUMMYFUNCTION("""COMPUTED_VALUE"""),90.802)</f>
        <v>90.802000000000007</v>
      </c>
      <c r="H3067" s="2">
        <f ca="1">IFERROR(__xludf.DUMMYFUNCTION("""COMPUTED_VALUE"""),48.39103)</f>
        <v>48.391030000000001</v>
      </c>
      <c r="I3067" s="2">
        <f ca="1">IFERROR(__xludf.DUMMYFUNCTION("""COMPUTED_VALUE"""),53.45386)</f>
        <v>53.453859999999999</v>
      </c>
      <c r="M3067" s="2">
        <f ca="1">IFERROR(__xludf.DUMMYFUNCTION("""COMPUTED_VALUE"""),19.151)</f>
        <v>19.151</v>
      </c>
      <c r="U3067" s="3" t="e">
        <f ca="1"/>
        <v>#NAME?</v>
      </c>
    </row>
    <row r="3068" spans="3:21" ht="12.5" x14ac:dyDescent="0.25">
      <c r="C3068" s="4">
        <f ca="1">IFERROR(__xludf.DUMMYFUNCTION("""COMPUTED_VALUE"""),43475.9986111111)</f>
        <v>43475.998611111099</v>
      </c>
      <c r="D3068" s="2">
        <f ca="1">IFERROR(__xludf.DUMMYFUNCTION("""COMPUTED_VALUE"""),70.72)</f>
        <v>70.72</v>
      </c>
      <c r="F3068" s="2">
        <f ca="1">IFERROR(__xludf.DUMMYFUNCTION("""COMPUTED_VALUE"""),91.36)</f>
        <v>91.36</v>
      </c>
      <c r="H3068" s="2">
        <f ca="1">IFERROR(__xludf.DUMMYFUNCTION("""COMPUTED_VALUE"""),48.18116)</f>
        <v>48.181159999999998</v>
      </c>
      <c r="I3068" s="2">
        <f ca="1">IFERROR(__xludf.DUMMYFUNCTION("""COMPUTED_VALUE"""),53.62211)</f>
        <v>53.622109999999999</v>
      </c>
      <c r="M3068" s="2">
        <f ca="1">IFERROR(__xludf.DUMMYFUNCTION("""COMPUTED_VALUE"""),18.946)</f>
        <v>18.946000000000002</v>
      </c>
      <c r="U3068" s="3" t="e">
        <f ca="1"/>
        <v>#NAME?</v>
      </c>
    </row>
    <row r="3069" spans="3:21" ht="12.5" x14ac:dyDescent="0.25">
      <c r="C3069" s="4">
        <f ca="1">IFERROR(__xludf.DUMMYFUNCTION("""COMPUTED_VALUE"""),43476.9986111111)</f>
        <v>43476.998611111099</v>
      </c>
      <c r="D3069" s="2">
        <f ca="1">IFERROR(__xludf.DUMMYFUNCTION("""COMPUTED_VALUE"""),70.38)</f>
        <v>70.38</v>
      </c>
      <c r="F3069" s="2">
        <f ca="1">IFERROR(__xludf.DUMMYFUNCTION("""COMPUTED_VALUE"""),90.741)</f>
        <v>90.741</v>
      </c>
      <c r="H3069" s="2">
        <f ca="1">IFERROR(__xludf.DUMMYFUNCTION("""COMPUTED_VALUE"""),48.52721)</f>
        <v>48.527209999999997</v>
      </c>
      <c r="I3069" s="2">
        <f ca="1">IFERROR(__xludf.DUMMYFUNCTION("""COMPUTED_VALUE"""),53.59046)</f>
        <v>53.59046</v>
      </c>
      <c r="M3069" s="2">
        <f ca="1">IFERROR(__xludf.DUMMYFUNCTION("""COMPUTED_VALUE"""),18.955)</f>
        <v>18.954999999999998</v>
      </c>
      <c r="U3069" s="3" t="e">
        <f ca="1"/>
        <v>#NAME?</v>
      </c>
    </row>
    <row r="3070" spans="3:21" ht="12.5" x14ac:dyDescent="0.25">
      <c r="C3070" s="4">
        <f ca="1">IFERROR(__xludf.DUMMYFUNCTION("""COMPUTED_VALUE"""),43477.9986111111)</f>
        <v>43477.998611111099</v>
      </c>
      <c r="D3070" s="2">
        <f ca="1">IFERROR(__xludf.DUMMYFUNCTION("""COMPUTED_VALUE"""),70.37)</f>
        <v>70.37</v>
      </c>
      <c r="F3070" s="2">
        <f ca="1">IFERROR(__xludf.DUMMYFUNCTION("""COMPUTED_VALUE"""),91.168)</f>
        <v>91.168000000000006</v>
      </c>
      <c r="H3070" s="2">
        <f ca="1">IFERROR(__xludf.DUMMYFUNCTION("""COMPUTED_VALUE"""),48.81934)</f>
        <v>48.819339999999997</v>
      </c>
      <c r="I3070" s="2">
        <f ca="1">IFERROR(__xludf.DUMMYFUNCTION("""COMPUTED_VALUE"""),53.71034)</f>
        <v>53.710340000000002</v>
      </c>
      <c r="M3070" s="2">
        <f ca="1">IFERROR(__xludf.DUMMYFUNCTION("""COMPUTED_VALUE"""),19.047)</f>
        <v>19.047000000000001</v>
      </c>
      <c r="U3070" s="3" t="e">
        <f ca="1"/>
        <v>#NAME?</v>
      </c>
    </row>
    <row r="3071" spans="3:21" ht="12.5" x14ac:dyDescent="0.25">
      <c r="C3071" s="4">
        <f ca="1">IFERROR(__xludf.DUMMYFUNCTION("""COMPUTED_VALUE"""),43478.9986111111)</f>
        <v>43478.998611111099</v>
      </c>
      <c r="D3071" s="2">
        <f ca="1">IFERROR(__xludf.DUMMYFUNCTION("""COMPUTED_VALUE"""),70.37)</f>
        <v>70.37</v>
      </c>
      <c r="F3071" s="2">
        <f ca="1">IFERROR(__xludf.DUMMYFUNCTION("""COMPUTED_VALUE"""),90.534)</f>
        <v>90.534000000000006</v>
      </c>
      <c r="H3071" s="2">
        <f ca="1">IFERROR(__xludf.DUMMYFUNCTION("""COMPUTED_VALUE"""),48.62455)</f>
        <v>48.624549999999999</v>
      </c>
      <c r="I3071" s="2">
        <f ca="1">IFERROR(__xludf.DUMMYFUNCTION("""COMPUTED_VALUE"""),53.71034)</f>
        <v>53.710340000000002</v>
      </c>
      <c r="M3071" s="2">
        <f ca="1">IFERROR(__xludf.DUMMYFUNCTION("""COMPUTED_VALUE"""),19.04)</f>
        <v>19.04</v>
      </c>
      <c r="U3071" s="3" t="e">
        <f ca="1"/>
        <v>#NAME?</v>
      </c>
    </row>
    <row r="3072" spans="3:21" ht="12.5" x14ac:dyDescent="0.25">
      <c r="C3072" s="4">
        <f ca="1">IFERROR(__xludf.DUMMYFUNCTION("""COMPUTED_VALUE"""),43479.9986111111)</f>
        <v>43479.998611111099</v>
      </c>
      <c r="D3072" s="2">
        <f ca="1">IFERROR(__xludf.DUMMYFUNCTION("""COMPUTED_VALUE"""),71.085)</f>
        <v>71.084999999999994</v>
      </c>
      <c r="F3072" s="2">
        <f ca="1">IFERROR(__xludf.DUMMYFUNCTION("""COMPUTED_VALUE"""),90.527)</f>
        <v>90.527000000000001</v>
      </c>
      <c r="H3072" s="2">
        <f ca="1">IFERROR(__xludf.DUMMYFUNCTION("""COMPUTED_VALUE"""),48.62455)</f>
        <v>48.624549999999999</v>
      </c>
      <c r="I3072" s="2">
        <f ca="1">IFERROR(__xludf.DUMMYFUNCTION("""COMPUTED_VALUE"""),53.71034)</f>
        <v>53.710340000000002</v>
      </c>
      <c r="M3072" s="2">
        <f ca="1">IFERROR(__xludf.DUMMYFUNCTION("""COMPUTED_VALUE"""),18.884)</f>
        <v>18.884</v>
      </c>
      <c r="U3072" s="3" t="e">
        <f ca="1"/>
        <v>#NAME?</v>
      </c>
    </row>
    <row r="3073" spans="3:21" ht="12.5" x14ac:dyDescent="0.25">
      <c r="C3073" s="4">
        <f ca="1">IFERROR(__xludf.DUMMYFUNCTION("""COMPUTED_VALUE"""),43480.9986111111)</f>
        <v>43480.998611111099</v>
      </c>
      <c r="D3073" s="2">
        <f ca="1">IFERROR(__xludf.DUMMYFUNCTION("""COMPUTED_VALUE"""),71.0925)</f>
        <v>71.092500000000001</v>
      </c>
      <c r="F3073" s="2">
        <f ca="1">IFERROR(__xludf.DUMMYFUNCTION("""COMPUTED_VALUE"""),90.55)</f>
        <v>90.55</v>
      </c>
      <c r="H3073" s="2">
        <f ca="1">IFERROR(__xludf.DUMMYFUNCTION("""COMPUTED_VALUE"""),48.62455)</f>
        <v>48.624549999999999</v>
      </c>
      <c r="I3073" s="2">
        <f ca="1">IFERROR(__xludf.DUMMYFUNCTION("""COMPUTED_VALUE"""),53.80816)</f>
        <v>53.808160000000001</v>
      </c>
      <c r="M3073" s="2">
        <f ca="1">IFERROR(__xludf.DUMMYFUNCTION("""COMPUTED_VALUE"""),18.883)</f>
        <v>18.882999999999999</v>
      </c>
      <c r="U3073" s="3" t="e">
        <f ca="1"/>
        <v>#NAME?</v>
      </c>
    </row>
    <row r="3074" spans="3:21" ht="12.5" x14ac:dyDescent="0.25">
      <c r="C3074" s="4">
        <f ca="1">IFERROR(__xludf.DUMMYFUNCTION("""COMPUTED_VALUE"""),43481.9986111111)</f>
        <v>43481.998611111099</v>
      </c>
      <c r="D3074" s="2">
        <f ca="1">IFERROR(__xludf.DUMMYFUNCTION("""COMPUTED_VALUE"""),71.365)</f>
        <v>71.364999999999995</v>
      </c>
      <c r="F3074" s="2">
        <f ca="1">IFERROR(__xludf.DUMMYFUNCTION("""COMPUTED_VALUE"""),90.497)</f>
        <v>90.497</v>
      </c>
      <c r="H3074" s="2">
        <f ca="1">IFERROR(__xludf.DUMMYFUNCTION("""COMPUTED_VALUE"""),48.67768)</f>
        <v>48.677680000000002</v>
      </c>
      <c r="I3074" s="2">
        <f ca="1">IFERROR(__xludf.DUMMYFUNCTION("""COMPUTED_VALUE"""),53.92725)</f>
        <v>53.927250000000001</v>
      </c>
      <c r="M3074" s="2">
        <f ca="1">IFERROR(__xludf.DUMMYFUNCTION("""COMPUTED_VALUE"""),18.886)</f>
        <v>18.885999999999999</v>
      </c>
      <c r="U3074" s="3" t="e">
        <f ca="1"/>
        <v>#NAME?</v>
      </c>
    </row>
    <row r="3075" spans="3:21" ht="12.5" x14ac:dyDescent="0.25">
      <c r="C3075" s="4">
        <f ca="1">IFERROR(__xludf.DUMMYFUNCTION("""COMPUTED_VALUE"""),43482.9986111111)</f>
        <v>43482.998611111099</v>
      </c>
      <c r="D3075" s="2">
        <f ca="1">IFERROR(__xludf.DUMMYFUNCTION("""COMPUTED_VALUE"""),71.0302)</f>
        <v>71.030199999999994</v>
      </c>
      <c r="F3075" s="2">
        <f ca="1">IFERROR(__xludf.DUMMYFUNCTION("""COMPUTED_VALUE"""),90.3)</f>
        <v>90.3</v>
      </c>
      <c r="H3075" s="2">
        <f ca="1">IFERROR(__xludf.DUMMYFUNCTION("""COMPUTED_VALUE"""),48.6147)</f>
        <v>48.614699999999999</v>
      </c>
      <c r="I3075" s="2">
        <f ca="1">IFERROR(__xludf.DUMMYFUNCTION("""COMPUTED_VALUE"""),54.07982)</f>
        <v>54.079819999999998</v>
      </c>
      <c r="M3075" s="2">
        <f ca="1">IFERROR(__xludf.DUMMYFUNCTION("""COMPUTED_VALUE"""),18.982)</f>
        <v>18.981999999999999</v>
      </c>
      <c r="U3075" s="3" t="e">
        <f ca="1"/>
        <v>#NAME?</v>
      </c>
    </row>
    <row r="3076" spans="3:21" ht="12.5" x14ac:dyDescent="0.25">
      <c r="C3076" s="4">
        <f ca="1">IFERROR(__xludf.DUMMYFUNCTION("""COMPUTED_VALUE"""),43483.9986111111)</f>
        <v>43483.998611111099</v>
      </c>
      <c r="D3076" s="2">
        <f ca="1">IFERROR(__xludf.DUMMYFUNCTION("""COMPUTED_VALUE"""),71.25)</f>
        <v>71.25</v>
      </c>
      <c r="F3076" s="2">
        <f ca="1">IFERROR(__xludf.DUMMYFUNCTION("""COMPUTED_VALUE"""),89.292)</f>
        <v>89.292000000000002</v>
      </c>
      <c r="H3076" s="2">
        <f ca="1">IFERROR(__xludf.DUMMYFUNCTION("""COMPUTED_VALUE"""),48.61895)</f>
        <v>48.618949999999998</v>
      </c>
      <c r="I3076" s="2">
        <f ca="1">IFERROR(__xludf.DUMMYFUNCTION("""COMPUTED_VALUE"""),54.18085)</f>
        <v>54.18085</v>
      </c>
      <c r="M3076" s="2">
        <f ca="1">IFERROR(__xludf.DUMMYFUNCTION("""COMPUTED_VALUE"""),18.946)</f>
        <v>18.946000000000002</v>
      </c>
      <c r="U3076" s="3" t="e">
        <f ca="1"/>
        <v>#NAME?</v>
      </c>
    </row>
    <row r="3077" spans="3:21" ht="12.5" x14ac:dyDescent="0.25">
      <c r="C3077" s="4">
        <f ca="1">IFERROR(__xludf.DUMMYFUNCTION("""COMPUTED_VALUE"""),43484.9986111111)</f>
        <v>43484.998611111099</v>
      </c>
      <c r="D3077" s="2">
        <f ca="1">IFERROR(__xludf.DUMMYFUNCTION("""COMPUTED_VALUE"""),71.247)</f>
        <v>71.247</v>
      </c>
      <c r="F3077" s="2">
        <f ca="1">IFERROR(__xludf.DUMMYFUNCTION("""COMPUTED_VALUE"""),89.249)</f>
        <v>89.248999999999995</v>
      </c>
      <c r="H3077" s="2">
        <f ca="1">IFERROR(__xludf.DUMMYFUNCTION("""COMPUTED_VALUE"""),48.99528)</f>
        <v>48.995280000000001</v>
      </c>
      <c r="I3077" s="2">
        <f ca="1">IFERROR(__xludf.DUMMYFUNCTION("""COMPUTED_VALUE"""),53.97756)</f>
        <v>53.977559999999997</v>
      </c>
      <c r="M3077" s="2">
        <f ca="1">IFERROR(__xludf.DUMMYFUNCTION("""COMPUTED_VALUE"""),19.004)</f>
        <v>19.004000000000001</v>
      </c>
      <c r="U3077" s="3" t="e">
        <f ca="1"/>
        <v>#NAME?</v>
      </c>
    </row>
    <row r="3078" spans="3:21" ht="12.5" x14ac:dyDescent="0.25">
      <c r="C3078" s="4">
        <f ca="1">IFERROR(__xludf.DUMMYFUNCTION("""COMPUTED_VALUE"""),43485.9986111111)</f>
        <v>43485.998611111099</v>
      </c>
      <c r="D3078" s="2">
        <f ca="1">IFERROR(__xludf.DUMMYFUNCTION("""COMPUTED_VALUE"""),71.23)</f>
        <v>71.23</v>
      </c>
      <c r="F3078" s="2">
        <f ca="1">IFERROR(__xludf.DUMMYFUNCTION("""COMPUTED_VALUE"""),89.078)</f>
        <v>89.078000000000003</v>
      </c>
      <c r="H3078" s="2">
        <f ca="1">IFERROR(__xludf.DUMMYFUNCTION("""COMPUTED_VALUE"""),48.99289)</f>
        <v>48.992890000000003</v>
      </c>
      <c r="I3078" s="2">
        <f ca="1">IFERROR(__xludf.DUMMYFUNCTION("""COMPUTED_VALUE"""),53.97756)</f>
        <v>53.977559999999997</v>
      </c>
      <c r="M3078" s="2">
        <f ca="1">IFERROR(__xludf.DUMMYFUNCTION("""COMPUTED_VALUE"""),19.004)</f>
        <v>19.004000000000001</v>
      </c>
      <c r="U3078" s="3" t="e">
        <f ca="1"/>
        <v>#NAME?</v>
      </c>
    </row>
    <row r="3079" spans="3:21" ht="12.5" x14ac:dyDescent="0.25">
      <c r="C3079" s="4">
        <f ca="1">IFERROR(__xludf.DUMMYFUNCTION("""COMPUTED_VALUE"""),43486.9986111111)</f>
        <v>43486.998611111099</v>
      </c>
      <c r="D3079" s="2">
        <f ca="1">IFERROR(__xludf.DUMMYFUNCTION("""COMPUTED_VALUE"""),71.5)</f>
        <v>71.5</v>
      </c>
      <c r="F3079" s="2">
        <f ca="1">IFERROR(__xludf.DUMMYFUNCTION("""COMPUTED_VALUE"""),88.77)</f>
        <v>88.77</v>
      </c>
      <c r="H3079" s="2">
        <f ca="1">IFERROR(__xludf.DUMMYFUNCTION("""COMPUTED_VALUE"""),48.99289)</f>
        <v>48.992890000000003</v>
      </c>
      <c r="I3079" s="2">
        <f ca="1">IFERROR(__xludf.DUMMYFUNCTION("""COMPUTED_VALUE"""),53.97756)</f>
        <v>53.977559999999997</v>
      </c>
      <c r="M3079" s="2">
        <f ca="1">IFERROR(__xludf.DUMMYFUNCTION("""COMPUTED_VALUE"""),18.943)</f>
        <v>18.943000000000001</v>
      </c>
      <c r="U3079" s="3" t="e">
        <f ca="1"/>
        <v>#NAME?</v>
      </c>
    </row>
    <row r="3080" spans="3:21" ht="12.5" x14ac:dyDescent="0.25">
      <c r="C3080" s="4">
        <f ca="1">IFERROR(__xludf.DUMMYFUNCTION("""COMPUTED_VALUE"""),43487.9986111111)</f>
        <v>43487.998611111099</v>
      </c>
      <c r="D3080" s="2">
        <f ca="1">IFERROR(__xludf.DUMMYFUNCTION("""COMPUTED_VALUE"""),71.2302)</f>
        <v>71.230199999999996</v>
      </c>
      <c r="F3080" s="2">
        <f ca="1">IFERROR(__xludf.DUMMYFUNCTION("""COMPUTED_VALUE"""),88.77)</f>
        <v>88.77</v>
      </c>
      <c r="H3080" s="2">
        <f ca="1">IFERROR(__xludf.DUMMYFUNCTION("""COMPUTED_VALUE"""),48.99289)</f>
        <v>48.992890000000003</v>
      </c>
      <c r="I3080" s="2">
        <f ca="1">IFERROR(__xludf.DUMMYFUNCTION("""COMPUTED_VALUE"""),54.11154)</f>
        <v>54.111539999999998</v>
      </c>
      <c r="M3080" s="2">
        <f ca="1">IFERROR(__xludf.DUMMYFUNCTION("""COMPUTED_VALUE"""),18.942)</f>
        <v>18.942</v>
      </c>
      <c r="U3080" s="3" t="e">
        <f ca="1"/>
        <v>#NAME?</v>
      </c>
    </row>
    <row r="3081" spans="3:21" ht="12.5" x14ac:dyDescent="0.25">
      <c r="C3081" s="4">
        <f ca="1">IFERROR(__xludf.DUMMYFUNCTION("""COMPUTED_VALUE"""),43488.9986111111)</f>
        <v>43488.998611111099</v>
      </c>
      <c r="D3081" s="2">
        <f ca="1">IFERROR(__xludf.DUMMYFUNCTION("""COMPUTED_VALUE"""),71.1573)</f>
        <v>71.157300000000006</v>
      </c>
      <c r="F3081" s="2">
        <f ca="1">IFERROR(__xludf.DUMMYFUNCTION("""COMPUTED_VALUE"""),88.729)</f>
        <v>88.728999999999999</v>
      </c>
      <c r="H3081" s="2">
        <f ca="1">IFERROR(__xludf.DUMMYFUNCTION("""COMPUTED_VALUE"""),49.26338)</f>
        <v>49.263379999999998</v>
      </c>
      <c r="I3081" s="2">
        <f ca="1">IFERROR(__xludf.DUMMYFUNCTION("""COMPUTED_VALUE"""),54.09916)</f>
        <v>54.099159999999998</v>
      </c>
      <c r="M3081" s="2">
        <f ca="1">IFERROR(__xludf.DUMMYFUNCTION("""COMPUTED_VALUE"""),18.867)</f>
        <v>18.867000000000001</v>
      </c>
      <c r="U3081" s="3" t="e">
        <f ca="1"/>
        <v>#NAME?</v>
      </c>
    </row>
    <row r="3082" spans="3:21" ht="12.5" x14ac:dyDescent="0.25">
      <c r="C3082" s="4">
        <f ca="1">IFERROR(__xludf.DUMMYFUNCTION("""COMPUTED_VALUE"""),43489.9986111111)</f>
        <v>43489.998611111099</v>
      </c>
      <c r="D3082" s="2">
        <f ca="1">IFERROR(__xludf.DUMMYFUNCTION("""COMPUTED_VALUE"""),70.99)</f>
        <v>70.989999999999995</v>
      </c>
      <c r="F3082" s="2">
        <f ca="1">IFERROR(__xludf.DUMMYFUNCTION("""COMPUTED_VALUE"""),89.359)</f>
        <v>89.358999999999995</v>
      </c>
      <c r="H3082" s="2">
        <f ca="1">IFERROR(__xludf.DUMMYFUNCTION("""COMPUTED_VALUE"""),49.29508)</f>
        <v>49.295079999999999</v>
      </c>
      <c r="I3082" s="2">
        <f ca="1">IFERROR(__xludf.DUMMYFUNCTION("""COMPUTED_VALUE"""),54.10012)</f>
        <v>54.100119999999997</v>
      </c>
      <c r="M3082" s="2">
        <f ca="1">IFERROR(__xludf.DUMMYFUNCTION("""COMPUTED_VALUE"""),18.935)</f>
        <v>18.934999999999999</v>
      </c>
      <c r="U3082" s="3" t="e">
        <f ca="1"/>
        <v>#NAME?</v>
      </c>
    </row>
    <row r="3083" spans="3:21" ht="12.5" x14ac:dyDescent="0.25">
      <c r="C3083" s="4">
        <f ca="1">IFERROR(__xludf.DUMMYFUNCTION("""COMPUTED_VALUE"""),43490.9986111111)</f>
        <v>43490.998611111099</v>
      </c>
      <c r="D3083" s="2">
        <f ca="1">IFERROR(__xludf.DUMMYFUNCTION("""COMPUTED_VALUE"""),70.97)</f>
        <v>70.97</v>
      </c>
      <c r="F3083" s="2">
        <f ca="1">IFERROR(__xludf.DUMMYFUNCTION("""COMPUTED_VALUE"""),89.147)</f>
        <v>89.147000000000006</v>
      </c>
      <c r="H3083" s="2">
        <f ca="1">IFERROR(__xludf.DUMMYFUNCTION("""COMPUTED_VALUE"""),49.29108)</f>
        <v>49.291080000000001</v>
      </c>
      <c r="I3083" s="2">
        <f ca="1">IFERROR(__xludf.DUMMYFUNCTION("""COMPUTED_VALUE"""),54.10212)</f>
        <v>54.102119999999999</v>
      </c>
      <c r="M3083" s="2">
        <f ca="1">IFERROR(__xludf.DUMMYFUNCTION("""COMPUTED_VALUE"""),18.953)</f>
        <v>18.952999999999999</v>
      </c>
      <c r="U3083" s="3" t="e">
        <f ca="1"/>
        <v>#NAME?</v>
      </c>
    </row>
    <row r="3084" spans="3:21" ht="12.5" x14ac:dyDescent="0.25">
      <c r="C3084" s="4">
        <f ca="1">IFERROR(__xludf.DUMMYFUNCTION("""COMPUTED_VALUE"""),43491.9986111111)</f>
        <v>43491.998611111099</v>
      </c>
      <c r="D3084" s="2">
        <f ca="1">IFERROR(__xludf.DUMMYFUNCTION("""COMPUTED_VALUE"""),70.893)</f>
        <v>70.893000000000001</v>
      </c>
      <c r="F3084" s="2">
        <f ca="1">IFERROR(__xludf.DUMMYFUNCTION("""COMPUTED_VALUE"""),88.687)</f>
        <v>88.686999999999998</v>
      </c>
      <c r="H3084" s="2">
        <f ca="1">IFERROR(__xludf.DUMMYFUNCTION("""COMPUTED_VALUE"""),49.28469)</f>
        <v>49.284689999999998</v>
      </c>
      <c r="I3084" s="2">
        <f ca="1">IFERROR(__xludf.DUMMYFUNCTION("""COMPUTED_VALUE"""),54.57202)</f>
        <v>54.572020000000002</v>
      </c>
      <c r="M3084" s="2">
        <f ca="1">IFERROR(__xludf.DUMMYFUNCTION("""COMPUTED_VALUE"""),18.88)</f>
        <v>18.88</v>
      </c>
      <c r="U3084" s="3" t="e">
        <f ca="1"/>
        <v>#NAME?</v>
      </c>
    </row>
    <row r="3085" spans="3:21" ht="12.5" x14ac:dyDescent="0.25">
      <c r="C3085" s="4">
        <f ca="1">IFERROR(__xludf.DUMMYFUNCTION("""COMPUTED_VALUE"""),43492.9986111111)</f>
        <v>43492.998611111099</v>
      </c>
      <c r="D3085" s="2">
        <f ca="1">IFERROR(__xludf.DUMMYFUNCTION("""COMPUTED_VALUE"""),70.975)</f>
        <v>70.974999999999994</v>
      </c>
      <c r="F3085" s="2">
        <f ca="1">IFERROR(__xludf.DUMMYFUNCTION("""COMPUTED_VALUE"""),88.519)</f>
        <v>88.519000000000005</v>
      </c>
      <c r="H3085" s="2">
        <f ca="1">IFERROR(__xludf.DUMMYFUNCTION("""COMPUTED_VALUE"""),49.85128)</f>
        <v>49.851280000000003</v>
      </c>
      <c r="I3085" s="2">
        <f ca="1">IFERROR(__xludf.DUMMYFUNCTION("""COMPUTED_VALUE"""),54.57202)</f>
        <v>54.572020000000002</v>
      </c>
      <c r="M3085" s="2">
        <f ca="1">IFERROR(__xludf.DUMMYFUNCTION("""COMPUTED_VALUE"""),18.887)</f>
        <v>18.887</v>
      </c>
      <c r="U3085" s="3" t="e">
        <f ca="1"/>
        <v>#NAME?</v>
      </c>
    </row>
    <row r="3086" spans="3:21" ht="12.5" x14ac:dyDescent="0.25">
      <c r="C3086" s="4">
        <f ca="1">IFERROR(__xludf.DUMMYFUNCTION("""COMPUTED_VALUE"""),43493.9986111111)</f>
        <v>43493.998611111099</v>
      </c>
      <c r="D3086" s="2">
        <f ca="1">IFERROR(__xludf.DUMMYFUNCTION("""COMPUTED_VALUE"""),71.0901)</f>
        <v>71.090100000000007</v>
      </c>
      <c r="F3086" s="2">
        <f ca="1">IFERROR(__xludf.DUMMYFUNCTION("""COMPUTED_VALUE"""),88.689)</f>
        <v>88.688999999999993</v>
      </c>
      <c r="H3086" s="2">
        <f ca="1">IFERROR(__xludf.DUMMYFUNCTION("""COMPUTED_VALUE"""),49.85128)</f>
        <v>49.851280000000003</v>
      </c>
      <c r="I3086" s="2">
        <f ca="1">IFERROR(__xludf.DUMMYFUNCTION("""COMPUTED_VALUE"""),54.57202)</f>
        <v>54.572020000000002</v>
      </c>
      <c r="M3086" s="2">
        <f ca="1">IFERROR(__xludf.DUMMYFUNCTION("""COMPUTED_VALUE"""),18.89)</f>
        <v>18.89</v>
      </c>
      <c r="U3086" s="3" t="e">
        <f ca="1"/>
        <v>#NAME?</v>
      </c>
    </row>
    <row r="3087" spans="3:21" ht="12.5" x14ac:dyDescent="0.25">
      <c r="C3087" s="4">
        <f ca="1">IFERROR(__xludf.DUMMYFUNCTION("""COMPUTED_VALUE"""),43494.9986111111)</f>
        <v>43494.998611111099</v>
      </c>
      <c r="D3087" s="2">
        <f ca="1">IFERROR(__xludf.DUMMYFUNCTION("""COMPUTED_VALUE"""),71.62)</f>
        <v>71.62</v>
      </c>
      <c r="F3087" s="2">
        <f ca="1">IFERROR(__xludf.DUMMYFUNCTION("""COMPUTED_VALUE"""),88.69)</f>
        <v>88.69</v>
      </c>
      <c r="H3087" s="2">
        <f ca="1">IFERROR(__xludf.DUMMYFUNCTION("""COMPUTED_VALUE"""),49.85128)</f>
        <v>49.851280000000003</v>
      </c>
      <c r="I3087" s="2">
        <f ca="1">IFERROR(__xludf.DUMMYFUNCTION("""COMPUTED_VALUE"""),54.55061)</f>
        <v>54.550609999999999</v>
      </c>
      <c r="M3087" s="2">
        <f ca="1">IFERROR(__xludf.DUMMYFUNCTION("""COMPUTED_VALUE"""),18.925)</f>
        <v>18.925000000000001</v>
      </c>
      <c r="U3087" s="3" t="e">
        <f ca="1"/>
        <v>#NAME?</v>
      </c>
    </row>
    <row r="3088" spans="3:21" ht="12.5" x14ac:dyDescent="0.25">
      <c r="C3088" s="4">
        <f ca="1">IFERROR(__xludf.DUMMYFUNCTION("""COMPUTED_VALUE"""),43495.9986111111)</f>
        <v>43495.998611111099</v>
      </c>
      <c r="D3088" s="2">
        <f ca="1">IFERROR(__xludf.DUMMYFUNCTION("""COMPUTED_VALUE"""),71.12)</f>
        <v>71.12</v>
      </c>
      <c r="F3088" s="2">
        <f ca="1">IFERROR(__xludf.DUMMYFUNCTION("""COMPUTED_VALUE"""),88.858)</f>
        <v>88.858000000000004</v>
      </c>
      <c r="H3088" s="2">
        <f ca="1">IFERROR(__xludf.DUMMYFUNCTION("""COMPUTED_VALUE"""),49.88344)</f>
        <v>49.88344</v>
      </c>
      <c r="I3088" s="2">
        <f ca="1">IFERROR(__xludf.DUMMYFUNCTION("""COMPUTED_VALUE"""),54.89493)</f>
        <v>54.894930000000002</v>
      </c>
      <c r="M3088" s="2">
        <f ca="1">IFERROR(__xludf.DUMMYFUNCTION("""COMPUTED_VALUE"""),18.959)</f>
        <v>18.959</v>
      </c>
      <c r="U3088" s="3" t="e">
        <f ca="1"/>
        <v>#NAME?</v>
      </c>
    </row>
    <row r="3089" spans="3:21" ht="12.5" x14ac:dyDescent="0.25">
      <c r="C3089" s="4">
        <f ca="1">IFERROR(__xludf.DUMMYFUNCTION("""COMPUTED_VALUE"""),43496.9986111111)</f>
        <v>43496.998611111099</v>
      </c>
      <c r="D3089" s="2">
        <f ca="1">IFERROR(__xludf.DUMMYFUNCTION("""COMPUTED_VALUE"""),71.2)</f>
        <v>71.2</v>
      </c>
      <c r="F3089" s="2">
        <f ca="1">IFERROR(__xludf.DUMMYFUNCTION("""COMPUTED_VALUE"""),88.79)</f>
        <v>88.79</v>
      </c>
      <c r="H3089" s="2">
        <f ca="1">IFERROR(__xludf.DUMMYFUNCTION("""COMPUTED_VALUE"""),50.01586)</f>
        <v>50.015860000000004</v>
      </c>
      <c r="M3089" s="2">
        <f ca="1">IFERROR(__xludf.DUMMYFUNCTION("""COMPUTED_VALUE"""),18.973)</f>
        <v>18.972999999999999</v>
      </c>
      <c r="U3089" s="3" t="e">
        <f ca="1"/>
        <v>#NAME?</v>
      </c>
    </row>
    <row r="3090" spans="3:21" ht="12.5" x14ac:dyDescent="0.25">
      <c r="C3090" s="4">
        <f ca="1">IFERROR(__xludf.DUMMYFUNCTION("""COMPUTED_VALUE"""),43497.9986111111)</f>
        <v>43497.998611111099</v>
      </c>
      <c r="D3090" s="2">
        <f ca="1">IFERROR(__xludf.DUMMYFUNCTION("""COMPUTED_VALUE"""),71.45)</f>
        <v>71.45</v>
      </c>
      <c r="F3090" s="2">
        <f ca="1">IFERROR(__xludf.DUMMYFUNCTION("""COMPUTED_VALUE"""),88.906)</f>
        <v>88.906000000000006</v>
      </c>
      <c r="M3090" s="2">
        <f ca="1">IFERROR(__xludf.DUMMYFUNCTION("""COMPUTED_VALUE"""),19.004)</f>
        <v>19.004000000000001</v>
      </c>
      <c r="U3090" s="3" t="e">
        <f ca="1"/>
        <v>#NAME?</v>
      </c>
    </row>
    <row r="3091" spans="3:21" ht="12.5" x14ac:dyDescent="0.25">
      <c r="C3091" s="4">
        <f ca="1">IFERROR(__xludf.DUMMYFUNCTION("""COMPUTED_VALUE"""),43498.9986111111)</f>
        <v>43498.998611111099</v>
      </c>
      <c r="D3091" s="2">
        <f ca="1">IFERROR(__xludf.DUMMYFUNCTION("""COMPUTED_VALUE"""),71.4517)</f>
        <v>71.451700000000002</v>
      </c>
      <c r="F3091" s="2">
        <f ca="1">IFERROR(__xludf.DUMMYFUNCTION("""COMPUTED_VALUE"""),87.647)</f>
        <v>87.647000000000006</v>
      </c>
      <c r="M3091" s="2">
        <f ca="1">IFERROR(__xludf.DUMMYFUNCTION("""COMPUTED_VALUE"""),19.008)</f>
        <v>19.007999999999999</v>
      </c>
      <c r="U3091" s="3" t="e">
        <f ca="1"/>
        <v>#NAME?</v>
      </c>
    </row>
    <row r="3092" spans="3:21" ht="12.5" x14ac:dyDescent="0.25">
      <c r="C3092" s="4">
        <f ca="1">IFERROR(__xludf.DUMMYFUNCTION("""COMPUTED_VALUE"""),43499.9986111111)</f>
        <v>43499.998611111099</v>
      </c>
      <c r="D3092" s="2">
        <f ca="1">IFERROR(__xludf.DUMMYFUNCTION("""COMPUTED_VALUE"""),71.4517)</f>
        <v>71.451700000000002</v>
      </c>
      <c r="F3092" s="2">
        <f ca="1">IFERROR(__xludf.DUMMYFUNCTION("""COMPUTED_VALUE"""),88.819)</f>
        <v>88.819000000000003</v>
      </c>
      <c r="M3092" s="2">
        <f ca="1">IFERROR(__xludf.DUMMYFUNCTION("""COMPUTED_VALUE"""),19.019)</f>
        <v>19.018999999999998</v>
      </c>
      <c r="U3092" s="3" t="e">
        <f ca="1"/>
        <v>#NAME?</v>
      </c>
    </row>
    <row r="3093" spans="3:21" ht="12.5" x14ac:dyDescent="0.25">
      <c r="C3093" s="4">
        <f ca="1">IFERROR(__xludf.DUMMYFUNCTION("""COMPUTED_VALUE"""),43500.9986111111)</f>
        <v>43500.998611111099</v>
      </c>
      <c r="D3093" s="2">
        <f ca="1">IFERROR(__xludf.DUMMYFUNCTION("""COMPUTED_VALUE"""),71.685)</f>
        <v>71.685000000000002</v>
      </c>
      <c r="F3093" s="2">
        <f ca="1">IFERROR(__xludf.DUMMYFUNCTION("""COMPUTED_VALUE"""),88.442)</f>
        <v>88.441999999999993</v>
      </c>
      <c r="M3093" s="2">
        <f ca="1">IFERROR(__xludf.DUMMYFUNCTION("""COMPUTED_VALUE"""),19.011)</f>
        <v>19.010999999999999</v>
      </c>
      <c r="U3093" s="3" t="e">
        <f ca="1"/>
        <v>#NAME?</v>
      </c>
    </row>
    <row r="3094" spans="3:21" ht="12.5" x14ac:dyDescent="0.25">
      <c r="C3094" s="4">
        <f ca="1">IFERROR(__xludf.DUMMYFUNCTION("""COMPUTED_VALUE"""),43501.9986111111)</f>
        <v>43501.998611111099</v>
      </c>
      <c r="D3094" s="2">
        <f ca="1">IFERROR(__xludf.DUMMYFUNCTION("""COMPUTED_VALUE"""),71.77)</f>
        <v>71.77</v>
      </c>
      <c r="F3094" s="2">
        <f ca="1">IFERROR(__xludf.DUMMYFUNCTION("""COMPUTED_VALUE"""),88.505)</f>
        <v>88.504999999999995</v>
      </c>
      <c r="M3094" s="2">
        <f ca="1">IFERROR(__xludf.DUMMYFUNCTION("""COMPUTED_VALUE"""),19.003)</f>
        <v>19.003</v>
      </c>
      <c r="U3094" s="3" t="e">
        <f ca="1"/>
        <v>#NAME?</v>
      </c>
    </row>
    <row r="3095" spans="3:21" ht="12.5" x14ac:dyDescent="0.25">
      <c r="C3095" s="4">
        <f ca="1">IFERROR(__xludf.DUMMYFUNCTION("""COMPUTED_VALUE"""),43502.9986111111)</f>
        <v>43502.998611111099</v>
      </c>
      <c r="D3095" s="2">
        <f ca="1">IFERROR(__xludf.DUMMYFUNCTION("""COMPUTED_VALUE"""),71.5405)</f>
        <v>71.540499999999994</v>
      </c>
      <c r="F3095" s="2">
        <f ca="1">IFERROR(__xludf.DUMMYFUNCTION("""COMPUTED_VALUE"""),88.507)</f>
        <v>88.507000000000005</v>
      </c>
      <c r="M3095" s="2">
        <f ca="1">IFERROR(__xludf.DUMMYFUNCTION("""COMPUTED_VALUE"""),18.991)</f>
        <v>18.991</v>
      </c>
      <c r="U3095" s="3" t="e">
        <f ca="1"/>
        <v>#NAME?</v>
      </c>
    </row>
    <row r="3096" spans="3:21" ht="12.5" x14ac:dyDescent="0.25">
      <c r="C3096" s="4">
        <f ca="1">IFERROR(__xludf.DUMMYFUNCTION("""COMPUTED_VALUE"""),43503.9986111111)</f>
        <v>43503.998611111099</v>
      </c>
      <c r="D3096" s="2">
        <f ca="1">IFERROR(__xludf.DUMMYFUNCTION("""COMPUTED_VALUE"""),71.58)</f>
        <v>71.58</v>
      </c>
      <c r="F3096" s="2">
        <f ca="1">IFERROR(__xludf.DUMMYFUNCTION("""COMPUTED_VALUE"""),89.277)</f>
        <v>89.277000000000001</v>
      </c>
      <c r="M3096" s="2">
        <f ca="1">IFERROR(__xludf.DUMMYFUNCTION("""COMPUTED_VALUE"""),18.957)</f>
        <v>18.957000000000001</v>
      </c>
      <c r="U3096" s="3" t="e">
        <f ca="1"/>
        <v>#NAME?</v>
      </c>
    </row>
    <row r="3097" spans="3:21" ht="12.5" x14ac:dyDescent="0.25">
      <c r="C3097" s="4">
        <f ca="1">IFERROR(__xludf.DUMMYFUNCTION("""COMPUTED_VALUE"""),43504.9986111111)</f>
        <v>43504.998611111099</v>
      </c>
      <c r="D3097" s="2">
        <f ca="1">IFERROR(__xludf.DUMMYFUNCTION("""COMPUTED_VALUE"""),71.1)</f>
        <v>71.099999999999994</v>
      </c>
      <c r="F3097" s="2">
        <f ca="1">IFERROR(__xludf.DUMMYFUNCTION("""COMPUTED_VALUE"""),89.532)</f>
        <v>89.531999999999996</v>
      </c>
      <c r="M3097" s="2">
        <f ca="1">IFERROR(__xludf.DUMMYFUNCTION("""COMPUTED_VALUE"""),18.921)</f>
        <v>18.920999999999999</v>
      </c>
      <c r="U3097" s="3" t="e">
        <f ca="1"/>
        <v>#NAME?</v>
      </c>
    </row>
    <row r="3098" spans="3:21" ht="12.5" x14ac:dyDescent="0.25">
      <c r="C3098" s="4">
        <f ca="1">IFERROR(__xludf.DUMMYFUNCTION("""COMPUTED_VALUE"""),43505.9986111111)</f>
        <v>43505.998611111099</v>
      </c>
      <c r="D3098" s="2">
        <f ca="1">IFERROR(__xludf.DUMMYFUNCTION("""COMPUTED_VALUE"""),71.168)</f>
        <v>71.168000000000006</v>
      </c>
      <c r="F3098" s="2">
        <f ca="1">IFERROR(__xludf.DUMMYFUNCTION("""COMPUTED_VALUE"""),90.287)</f>
        <v>90.287000000000006</v>
      </c>
      <c r="M3098" s="2">
        <f ca="1">IFERROR(__xludf.DUMMYFUNCTION("""COMPUTED_VALUE"""),18.937)</f>
        <v>18.937000000000001</v>
      </c>
      <c r="U3098" s="3" t="e">
        <f ca="1"/>
        <v>#NAME?</v>
      </c>
    </row>
    <row r="3099" spans="3:21" ht="12.5" x14ac:dyDescent="0.25">
      <c r="C3099" s="4">
        <f ca="1">IFERROR(__xludf.DUMMYFUNCTION("""COMPUTED_VALUE"""),43506.9986111111)</f>
        <v>43506.998611111099</v>
      </c>
      <c r="D3099" s="2">
        <f ca="1">IFERROR(__xludf.DUMMYFUNCTION("""COMPUTED_VALUE"""),71.15)</f>
        <v>71.150000000000006</v>
      </c>
      <c r="F3099" s="2">
        <f ca="1">IFERROR(__xludf.DUMMYFUNCTION("""COMPUTED_VALUE"""),90.175)</f>
        <v>90.174999999999997</v>
      </c>
      <c r="M3099" s="2">
        <f ca="1">IFERROR(__xludf.DUMMYFUNCTION("""COMPUTED_VALUE"""),18.942)</f>
        <v>18.942</v>
      </c>
      <c r="U3099" s="3" t="e">
        <f ca="1"/>
        <v>#NAME?</v>
      </c>
    </row>
    <row r="3100" spans="3:21" ht="12.5" x14ac:dyDescent="0.25">
      <c r="C3100" s="4">
        <f ca="1">IFERROR(__xludf.DUMMYFUNCTION("""COMPUTED_VALUE"""),43507.9986111111)</f>
        <v>43507.998611111099</v>
      </c>
      <c r="D3100" s="2">
        <f ca="1">IFERROR(__xludf.DUMMYFUNCTION("""COMPUTED_VALUE"""),71.23)</f>
        <v>71.23</v>
      </c>
      <c r="F3100" s="2">
        <f ca="1">IFERROR(__xludf.DUMMYFUNCTION("""COMPUTED_VALUE"""),90.358)</f>
        <v>90.358000000000004</v>
      </c>
      <c r="M3100" s="2">
        <f ca="1">IFERROR(__xludf.DUMMYFUNCTION("""COMPUTED_VALUE"""),18.946)</f>
        <v>18.946000000000002</v>
      </c>
      <c r="U3100" s="3" t="e">
        <f ca="1"/>
        <v>#NAME?</v>
      </c>
    </row>
    <row r="3101" spans="3:21" ht="12.5" x14ac:dyDescent="0.25">
      <c r="C3101" s="4">
        <f ca="1">IFERROR(__xludf.DUMMYFUNCTION("""COMPUTED_VALUE"""),43508.9986111111)</f>
        <v>43508.998611111099</v>
      </c>
      <c r="D3101" s="2">
        <f ca="1">IFERROR(__xludf.DUMMYFUNCTION("""COMPUTED_VALUE"""),70.81)</f>
        <v>70.81</v>
      </c>
      <c r="F3101" s="2">
        <f ca="1">IFERROR(__xludf.DUMMYFUNCTION("""COMPUTED_VALUE"""),90.439)</f>
        <v>90.438999999999993</v>
      </c>
      <c r="M3101" s="2">
        <f ca="1">IFERROR(__xludf.DUMMYFUNCTION("""COMPUTED_VALUE"""),18.87)</f>
        <v>18.87</v>
      </c>
      <c r="U3101" s="3" t="e">
        <f ca="1"/>
        <v>#NAME?</v>
      </c>
    </row>
    <row r="3102" spans="3:21" ht="12.5" x14ac:dyDescent="0.25">
      <c r="C3102" s="4">
        <f ca="1">IFERROR(__xludf.DUMMYFUNCTION("""COMPUTED_VALUE"""),43509.9986111111)</f>
        <v>43509.998611111099</v>
      </c>
      <c r="D3102" s="2">
        <f ca="1">IFERROR(__xludf.DUMMYFUNCTION("""COMPUTED_VALUE"""),70.8651)</f>
        <v>70.865099999999998</v>
      </c>
      <c r="F3102" s="2">
        <f ca="1">IFERROR(__xludf.DUMMYFUNCTION("""COMPUTED_VALUE"""),90.519)</f>
        <v>90.519000000000005</v>
      </c>
      <c r="M3102" s="2">
        <f ca="1">IFERROR(__xludf.DUMMYFUNCTION("""COMPUTED_VALUE"""),18.838)</f>
        <v>18.838000000000001</v>
      </c>
      <c r="U3102" s="3" t="e">
        <f ca="1"/>
        <v>#NAME?</v>
      </c>
    </row>
    <row r="3103" spans="3:21" ht="12.5" x14ac:dyDescent="0.25">
      <c r="C3103" s="4">
        <f ca="1">IFERROR(__xludf.DUMMYFUNCTION("""COMPUTED_VALUE"""),43510.9986111111)</f>
        <v>43510.998611111099</v>
      </c>
      <c r="D3103" s="2">
        <f ca="1">IFERROR(__xludf.DUMMYFUNCTION("""COMPUTED_VALUE"""),71.01)</f>
        <v>71.010000000000005</v>
      </c>
      <c r="F3103" s="2">
        <f ca="1">IFERROR(__xludf.DUMMYFUNCTION("""COMPUTED_VALUE"""),91.554)</f>
        <v>91.554000000000002</v>
      </c>
      <c r="M3103" s="2">
        <f ca="1">IFERROR(__xludf.DUMMYFUNCTION("""COMPUTED_VALUE"""),18.871)</f>
        <v>18.870999999999999</v>
      </c>
      <c r="U3103" s="3" t="e">
        <f ca="1"/>
        <v>#NAME?</v>
      </c>
    </row>
    <row r="3104" spans="3:21" ht="12.5" x14ac:dyDescent="0.25">
      <c r="C3104" s="4">
        <f ca="1">IFERROR(__xludf.DUMMYFUNCTION("""COMPUTED_VALUE"""),43511.9986111111)</f>
        <v>43511.998611111099</v>
      </c>
      <c r="D3104" s="2">
        <f ca="1">IFERROR(__xludf.DUMMYFUNCTION("""COMPUTED_VALUE"""),71.32)</f>
        <v>71.319999999999993</v>
      </c>
      <c r="F3104" s="2">
        <f ca="1">IFERROR(__xludf.DUMMYFUNCTION("""COMPUTED_VALUE"""),91.498)</f>
        <v>91.498000000000005</v>
      </c>
      <c r="M3104" s="2">
        <f ca="1">IFERROR(__xludf.DUMMYFUNCTION("""COMPUTED_VALUE"""),18.77)</f>
        <v>18.77</v>
      </c>
      <c r="U3104" s="3" t="e">
        <f ca="1"/>
        <v>#NAME?</v>
      </c>
    </row>
    <row r="3105" spans="3:21" ht="12.5" x14ac:dyDescent="0.25">
      <c r="C3105" s="4">
        <f ca="1">IFERROR(__xludf.DUMMYFUNCTION("""COMPUTED_VALUE"""),43512.9986111111)</f>
        <v>43512.998611111099</v>
      </c>
      <c r="D3105" s="2">
        <f ca="1">IFERROR(__xludf.DUMMYFUNCTION("""COMPUTED_VALUE"""),71.32)</f>
        <v>71.319999999999993</v>
      </c>
      <c r="F3105" s="2">
        <f ca="1">IFERROR(__xludf.DUMMYFUNCTION("""COMPUTED_VALUE"""),91.953)</f>
        <v>91.953000000000003</v>
      </c>
      <c r="M3105" s="2">
        <f ca="1">IFERROR(__xludf.DUMMYFUNCTION("""COMPUTED_VALUE"""),18.77)</f>
        <v>18.77</v>
      </c>
      <c r="U3105" s="3" t="e">
        <f ca="1"/>
        <v>#NAME?</v>
      </c>
    </row>
    <row r="3106" spans="3:21" ht="12.5" x14ac:dyDescent="0.25">
      <c r="C3106" s="4">
        <f ca="1">IFERROR(__xludf.DUMMYFUNCTION("""COMPUTED_VALUE"""),43513.9986111111)</f>
        <v>43513.998611111099</v>
      </c>
      <c r="D3106" s="2">
        <f ca="1">IFERROR(__xludf.DUMMYFUNCTION("""COMPUTED_VALUE"""),71.32)</f>
        <v>71.319999999999993</v>
      </c>
      <c r="F3106" s="2">
        <f ca="1">IFERROR(__xludf.DUMMYFUNCTION("""COMPUTED_VALUE"""),92.235)</f>
        <v>92.234999999999999</v>
      </c>
      <c r="M3106" s="2">
        <f ca="1">IFERROR(__xludf.DUMMYFUNCTION("""COMPUTED_VALUE"""),18.828)</f>
        <v>18.827999999999999</v>
      </c>
      <c r="U3106" s="3" t="e">
        <f ca="1"/>
        <v>#NAME?</v>
      </c>
    </row>
    <row r="3107" spans="3:21" ht="12.5" x14ac:dyDescent="0.25">
      <c r="C3107" s="4">
        <f ca="1">IFERROR(__xludf.DUMMYFUNCTION("""COMPUTED_VALUE"""),43515.9986111111)</f>
        <v>43515.998611111099</v>
      </c>
      <c r="D3107" s="2">
        <f ca="1">IFERROR(__xludf.DUMMYFUNCTION("""COMPUTED_VALUE"""),71.6)</f>
        <v>71.599999999999994</v>
      </c>
      <c r="F3107" s="2">
        <f ca="1">IFERROR(__xludf.DUMMYFUNCTION("""COMPUTED_VALUE"""),91.722)</f>
        <v>91.721999999999994</v>
      </c>
      <c r="M3107" s="2">
        <f ca="1">IFERROR(__xludf.DUMMYFUNCTION("""COMPUTED_VALUE"""),18.805)</f>
        <v>18.805</v>
      </c>
      <c r="U3107" s="3" t="e">
        <f ca="1"/>
        <v>#NAME?</v>
      </c>
    </row>
    <row r="3108" spans="3:21" ht="12.5" x14ac:dyDescent="0.25">
      <c r="C3108" s="4">
        <f ca="1">IFERROR(__xludf.DUMMYFUNCTION("""COMPUTED_VALUE"""),43516.9986111111)</f>
        <v>43516.998611111099</v>
      </c>
      <c r="D3108" s="2">
        <f ca="1">IFERROR(__xludf.DUMMYFUNCTION("""COMPUTED_VALUE"""),71.3)</f>
        <v>71.3</v>
      </c>
      <c r="F3108" s="2">
        <f ca="1">IFERROR(__xludf.DUMMYFUNCTION("""COMPUTED_VALUE"""),91.72)</f>
        <v>91.72</v>
      </c>
      <c r="M3108" s="2">
        <f ca="1">IFERROR(__xludf.DUMMYFUNCTION("""COMPUTED_VALUE"""),18.784)</f>
        <v>18.783999999999999</v>
      </c>
      <c r="U3108" s="3" t="e">
        <f ca="1"/>
        <v>#NAME?</v>
      </c>
    </row>
    <row r="3109" spans="3:21" ht="12.5" x14ac:dyDescent="0.25">
      <c r="C3109" s="4">
        <f ca="1">IFERROR(__xludf.DUMMYFUNCTION("""COMPUTED_VALUE"""),43517.9986111111)</f>
        <v>43517.998611111099</v>
      </c>
      <c r="D3109" s="2">
        <f ca="1">IFERROR(__xludf.DUMMYFUNCTION("""COMPUTED_VALUE"""),71.185)</f>
        <v>71.185000000000002</v>
      </c>
      <c r="F3109" s="2">
        <f ca="1">IFERROR(__xludf.DUMMYFUNCTION("""COMPUTED_VALUE"""),91.605)</f>
        <v>91.605000000000004</v>
      </c>
      <c r="M3109" s="2">
        <f ca="1">IFERROR(__xludf.DUMMYFUNCTION("""COMPUTED_VALUE"""),18.724)</f>
        <v>18.724</v>
      </c>
      <c r="U3109" s="3" t="e">
        <f ca="1"/>
        <v>#NAME?</v>
      </c>
    </row>
    <row r="3110" spans="3:21" ht="12.5" x14ac:dyDescent="0.25">
      <c r="C3110" s="4">
        <f ca="1">IFERROR(__xludf.DUMMYFUNCTION("""COMPUTED_VALUE"""),43518.9986111111)</f>
        <v>43518.998611111099</v>
      </c>
      <c r="D3110" s="2">
        <f ca="1">IFERROR(__xludf.DUMMYFUNCTION("""COMPUTED_VALUE"""),71.01)</f>
        <v>71.010000000000005</v>
      </c>
      <c r="F3110" s="2">
        <f ca="1">IFERROR(__xludf.DUMMYFUNCTION("""COMPUTED_VALUE"""),92.187)</f>
        <v>92.186999999999998</v>
      </c>
      <c r="M3110" s="2">
        <f ca="1">IFERROR(__xludf.DUMMYFUNCTION("""COMPUTED_VALUE"""),18.63)</f>
        <v>18.63</v>
      </c>
      <c r="U3110" s="3" t="e">
        <f ca="1"/>
        <v>#NAME?</v>
      </c>
    </row>
    <row r="3111" spans="3:21" ht="12.5" x14ac:dyDescent="0.25">
      <c r="C3111" s="4">
        <f ca="1">IFERROR(__xludf.DUMMYFUNCTION("""COMPUTED_VALUE"""),43519.9986111111)</f>
        <v>43519.998611111099</v>
      </c>
      <c r="D3111" s="2">
        <f ca="1">IFERROR(__xludf.DUMMYFUNCTION("""COMPUTED_VALUE"""),71.028)</f>
        <v>71.028000000000006</v>
      </c>
      <c r="F3111" s="2">
        <f ca="1">IFERROR(__xludf.DUMMYFUNCTION("""COMPUTED_VALUE"""),92.291)</f>
        <v>92.290999999999997</v>
      </c>
      <c r="M3111" s="2">
        <f ca="1">IFERROR(__xludf.DUMMYFUNCTION("""COMPUTED_VALUE"""),18.634)</f>
        <v>18.634</v>
      </c>
      <c r="U3111" s="3" t="e">
        <f ca="1"/>
        <v>#NAME?</v>
      </c>
    </row>
    <row r="3112" spans="3:21" ht="12.5" x14ac:dyDescent="0.25">
      <c r="C3112" s="4">
        <f ca="1">IFERROR(__xludf.DUMMYFUNCTION("""COMPUTED_VALUE"""),43520.9986111111)</f>
        <v>43520.998611111099</v>
      </c>
      <c r="D3112" s="2">
        <f ca="1">IFERROR(__xludf.DUMMYFUNCTION("""COMPUTED_VALUE"""),71.031)</f>
        <v>71.031000000000006</v>
      </c>
      <c r="F3112" s="2">
        <f ca="1">IFERROR(__xludf.DUMMYFUNCTION("""COMPUTED_VALUE"""),93.065)</f>
        <v>93.064999999999998</v>
      </c>
      <c r="M3112" s="2">
        <f ca="1">IFERROR(__xludf.DUMMYFUNCTION("""COMPUTED_VALUE"""),18.662)</f>
        <v>18.661999999999999</v>
      </c>
      <c r="U3112" s="3" t="e">
        <f ca="1"/>
        <v>#NAME?</v>
      </c>
    </row>
    <row r="3113" spans="3:21" ht="12.5" x14ac:dyDescent="0.25">
      <c r="C3113" s="4">
        <f ca="1">IFERROR(__xludf.DUMMYFUNCTION("""COMPUTED_VALUE"""),43521.9986111111)</f>
        <v>43521.998611111099</v>
      </c>
      <c r="D3113" s="2">
        <f ca="1">IFERROR(__xludf.DUMMYFUNCTION("""COMPUTED_VALUE"""),71.09)</f>
        <v>71.09</v>
      </c>
      <c r="F3113" s="2">
        <f ca="1">IFERROR(__xludf.DUMMYFUNCTION("""COMPUTED_VALUE"""),92.81)</f>
        <v>92.81</v>
      </c>
      <c r="M3113" s="2">
        <f ca="1">IFERROR(__xludf.DUMMYFUNCTION("""COMPUTED_VALUE"""),18.718)</f>
        <v>18.718</v>
      </c>
      <c r="U3113" s="3" t="e">
        <f ca="1"/>
        <v>#NAME?</v>
      </c>
    </row>
    <row r="3114" spans="3:21" ht="12.5" x14ac:dyDescent="0.25">
      <c r="C3114" s="4">
        <f ca="1">IFERROR(__xludf.DUMMYFUNCTION("""COMPUTED_VALUE"""),43522.9986111111)</f>
        <v>43522.998611111099</v>
      </c>
      <c r="D3114" s="2">
        <f ca="1">IFERROR(__xludf.DUMMYFUNCTION("""COMPUTED_VALUE"""),70.94)</f>
        <v>70.94</v>
      </c>
      <c r="F3114" s="2">
        <f ca="1">IFERROR(__xludf.DUMMYFUNCTION("""COMPUTED_VALUE"""),93.682)</f>
        <v>93.682000000000002</v>
      </c>
      <c r="M3114" s="2">
        <f ca="1">IFERROR(__xludf.DUMMYFUNCTION("""COMPUTED_VALUE"""),18.61)</f>
        <v>18.61</v>
      </c>
      <c r="U3114" s="3" t="e">
        <f ca="1"/>
        <v>#NAME?</v>
      </c>
    </row>
    <row r="3115" spans="3:21" ht="12.5" x14ac:dyDescent="0.25">
      <c r="C3115" s="4">
        <f ca="1">IFERROR(__xludf.DUMMYFUNCTION("""COMPUTED_VALUE"""),43523.9986111111)</f>
        <v>43523.998611111099</v>
      </c>
      <c r="D3115" s="2">
        <f ca="1">IFERROR(__xludf.DUMMYFUNCTION("""COMPUTED_VALUE"""),71.19)</f>
        <v>71.19</v>
      </c>
      <c r="F3115" s="2">
        <f ca="1">IFERROR(__xludf.DUMMYFUNCTION("""COMPUTED_VALUE"""),93.575)</f>
        <v>93.575000000000003</v>
      </c>
      <c r="M3115" s="2">
        <f ca="1">IFERROR(__xludf.DUMMYFUNCTION("""COMPUTED_VALUE"""),18.696)</f>
        <v>18.696000000000002</v>
      </c>
      <c r="U3115" s="3" t="e">
        <f ca="1"/>
        <v>#NAME?</v>
      </c>
    </row>
    <row r="3116" spans="3:21" ht="12.5" x14ac:dyDescent="0.25">
      <c r="C3116" s="4">
        <f ca="1">IFERROR(__xludf.DUMMYFUNCTION("""COMPUTED_VALUE"""),43524.9986111111)</f>
        <v>43524.998611111099</v>
      </c>
      <c r="D3116" s="2">
        <f ca="1">IFERROR(__xludf.DUMMYFUNCTION("""COMPUTED_VALUE"""),70.816)</f>
        <v>70.816000000000003</v>
      </c>
      <c r="F3116" s="2">
        <f ca="1">IFERROR(__xludf.DUMMYFUNCTION("""COMPUTED_VALUE"""),93.744)</f>
        <v>93.744</v>
      </c>
      <c r="M3116" s="2">
        <f ca="1">IFERROR(__xludf.DUMMYFUNCTION("""COMPUTED_VALUE"""),18.633)</f>
        <v>18.632999999999999</v>
      </c>
      <c r="U3116" s="3" t="e">
        <f ca="1"/>
        <v>#NAME?</v>
      </c>
    </row>
    <row r="3117" spans="3:21" ht="12.5" x14ac:dyDescent="0.25">
      <c r="C3117" s="4">
        <f ca="1">IFERROR(__xludf.DUMMYFUNCTION("""COMPUTED_VALUE"""),43525.9986111111)</f>
        <v>43525.998611111099</v>
      </c>
      <c r="D3117" s="2">
        <f ca="1">IFERROR(__xludf.DUMMYFUNCTION("""COMPUTED_VALUE"""),70.992)</f>
        <v>70.992000000000004</v>
      </c>
      <c r="F3117" s="2">
        <f ca="1">IFERROR(__xludf.DUMMYFUNCTION("""COMPUTED_VALUE"""),93.531)</f>
        <v>93.531000000000006</v>
      </c>
      <c r="M3117" s="2">
        <f ca="1">IFERROR(__xludf.DUMMYFUNCTION("""COMPUTED_VALUE"""),18.665)</f>
        <v>18.664999999999999</v>
      </c>
      <c r="U3117" s="3" t="e">
        <f ca="1"/>
        <v>#NAME?</v>
      </c>
    </row>
    <row r="3118" spans="3:21" ht="12.5" x14ac:dyDescent="0.25">
      <c r="C3118" s="4">
        <f ca="1">IFERROR(__xludf.DUMMYFUNCTION("""COMPUTED_VALUE"""),43527.9986111111)</f>
        <v>43527.998611111099</v>
      </c>
      <c r="D3118" s="2">
        <f ca="1">IFERROR(__xludf.DUMMYFUNCTION("""COMPUTED_VALUE"""),70.99)</f>
        <v>70.989999999999995</v>
      </c>
      <c r="F3118" s="2">
        <f ca="1">IFERROR(__xludf.DUMMYFUNCTION("""COMPUTED_VALUE"""),93.708)</f>
        <v>93.707999999999998</v>
      </c>
      <c r="M3118" s="2">
        <f ca="1">IFERROR(__xludf.DUMMYFUNCTION("""COMPUTED_VALUE"""),18.714)</f>
        <v>18.713999999999999</v>
      </c>
      <c r="U3118" s="3" t="e">
        <f ca="1"/>
        <v>#NAME?</v>
      </c>
    </row>
    <row r="3119" spans="3:21" ht="12.5" x14ac:dyDescent="0.25">
      <c r="C3119" s="4">
        <f ca="1">IFERROR(__xludf.DUMMYFUNCTION("""COMPUTED_VALUE"""),43528.9986111111)</f>
        <v>43528.998611111099</v>
      </c>
      <c r="D3119" s="2">
        <f ca="1">IFERROR(__xludf.DUMMYFUNCTION("""COMPUTED_VALUE"""),70.9)</f>
        <v>70.900000000000006</v>
      </c>
      <c r="F3119" s="2">
        <f ca="1">IFERROR(__xludf.DUMMYFUNCTION("""COMPUTED_VALUE"""),93.309)</f>
        <v>93.308999999999997</v>
      </c>
      <c r="M3119" s="2">
        <f ca="1">IFERROR(__xludf.DUMMYFUNCTION("""COMPUTED_VALUE"""),18.684)</f>
        <v>18.684000000000001</v>
      </c>
      <c r="U3119" s="3" t="e">
        <f ca="1"/>
        <v>#NAME?</v>
      </c>
    </row>
    <row r="3120" spans="3:21" ht="12.5" x14ac:dyDescent="0.25">
      <c r="C3120" s="4">
        <f ca="1">IFERROR(__xludf.DUMMYFUNCTION("""COMPUTED_VALUE"""),43529.9986111111)</f>
        <v>43529.998611111099</v>
      </c>
      <c r="D3120" s="2">
        <f ca="1">IFERROR(__xludf.DUMMYFUNCTION("""COMPUTED_VALUE"""),70.7425)</f>
        <v>70.742500000000007</v>
      </c>
      <c r="F3120" s="2">
        <f ca="1">IFERROR(__xludf.DUMMYFUNCTION("""COMPUTED_VALUE"""),93.304)</f>
        <v>93.304000000000002</v>
      </c>
      <c r="M3120" s="2">
        <f ca="1">IFERROR(__xludf.DUMMYFUNCTION("""COMPUTED_VALUE"""),18.738)</f>
        <v>18.738</v>
      </c>
      <c r="U3120" s="3" t="e">
        <f ca="1"/>
        <v>#NAME?</v>
      </c>
    </row>
    <row r="3121" spans="3:21" ht="12.5" x14ac:dyDescent="0.25">
      <c r="C3121" s="4">
        <f ca="1">IFERROR(__xludf.DUMMYFUNCTION("""COMPUTED_VALUE"""),43530.9986111111)</f>
        <v>43530.998611111099</v>
      </c>
      <c r="D3121" s="2">
        <f ca="1">IFERROR(__xludf.DUMMYFUNCTION("""COMPUTED_VALUE"""),70.365)</f>
        <v>70.364999999999995</v>
      </c>
      <c r="F3121" s="2">
        <f ca="1">IFERROR(__xludf.DUMMYFUNCTION("""COMPUTED_VALUE"""),93.528)</f>
        <v>93.528000000000006</v>
      </c>
      <c r="M3121" s="2">
        <f ca="1">IFERROR(__xludf.DUMMYFUNCTION("""COMPUTED_VALUE"""),18.74)</f>
        <v>18.739999999999998</v>
      </c>
      <c r="U3121" s="3" t="e">
        <f ca="1"/>
        <v>#NAME?</v>
      </c>
    </row>
    <row r="3122" spans="3:21" ht="12.5" x14ac:dyDescent="0.25">
      <c r="C3122" s="4">
        <f ca="1">IFERROR(__xludf.DUMMYFUNCTION("""COMPUTED_VALUE"""),43531.9986111111)</f>
        <v>43531.998611111099</v>
      </c>
      <c r="D3122" s="2">
        <f ca="1">IFERROR(__xludf.DUMMYFUNCTION("""COMPUTED_VALUE"""),70.4875)</f>
        <v>70.487499999999997</v>
      </c>
      <c r="F3122" s="2">
        <f ca="1">IFERROR(__xludf.DUMMYFUNCTION("""COMPUTED_VALUE"""),93.494)</f>
        <v>93.494</v>
      </c>
      <c r="M3122" s="2">
        <f ca="1">IFERROR(__xludf.DUMMYFUNCTION("""COMPUTED_VALUE"""),18.764)</f>
        <v>18.763999999999999</v>
      </c>
      <c r="U3122" s="3" t="e">
        <f ca="1"/>
        <v>#NAME?</v>
      </c>
    </row>
    <row r="3123" spans="3:21" ht="12.5" x14ac:dyDescent="0.25">
      <c r="C3123" s="4">
        <f ca="1">IFERROR(__xludf.DUMMYFUNCTION("""COMPUTED_VALUE"""),43532.9986111111)</f>
        <v>43532.998611111099</v>
      </c>
      <c r="D3123" s="2">
        <f ca="1">IFERROR(__xludf.DUMMYFUNCTION("""COMPUTED_VALUE"""),69.9869)</f>
        <v>69.986900000000006</v>
      </c>
      <c r="F3123" s="2">
        <f ca="1">IFERROR(__xludf.DUMMYFUNCTION("""COMPUTED_VALUE"""),93.537)</f>
        <v>93.537000000000006</v>
      </c>
      <c r="M3123" s="2">
        <f ca="1">IFERROR(__xludf.DUMMYFUNCTION("""COMPUTED_VALUE"""),18.742)</f>
        <v>18.742000000000001</v>
      </c>
      <c r="U3123" s="3" t="e">
        <f ca="1"/>
        <v>#NAME?</v>
      </c>
    </row>
    <row r="3124" spans="3:21" ht="12.5" x14ac:dyDescent="0.25">
      <c r="C3124" s="4">
        <f ca="1">IFERROR(__xludf.DUMMYFUNCTION("""COMPUTED_VALUE"""),43533.9986111111)</f>
        <v>43533.998611111099</v>
      </c>
      <c r="D3124" s="2">
        <f ca="1">IFERROR(__xludf.DUMMYFUNCTION("""COMPUTED_VALUE"""),69.9869)</f>
        <v>69.986900000000006</v>
      </c>
      <c r="F3124" s="2">
        <f ca="1">IFERROR(__xludf.DUMMYFUNCTION("""COMPUTED_VALUE"""),93.425)</f>
        <v>93.424999999999997</v>
      </c>
      <c r="M3124" s="2">
        <f ca="1">IFERROR(__xludf.DUMMYFUNCTION("""COMPUTED_VALUE"""),18.746)</f>
        <v>18.745999999999999</v>
      </c>
      <c r="U3124" s="3" t="e">
        <f ca="1"/>
        <v>#NAME?</v>
      </c>
    </row>
    <row r="3125" spans="3:21" ht="12.5" x14ac:dyDescent="0.25">
      <c r="C3125" s="4">
        <f ca="1">IFERROR(__xludf.DUMMYFUNCTION("""COMPUTED_VALUE"""),43534.9986111111)</f>
        <v>43534.998611111099</v>
      </c>
      <c r="D3125" s="2">
        <f ca="1">IFERROR(__xludf.DUMMYFUNCTION("""COMPUTED_VALUE"""),69.9869)</f>
        <v>69.986900000000006</v>
      </c>
      <c r="F3125" s="2">
        <f ca="1">IFERROR(__xludf.DUMMYFUNCTION("""COMPUTED_VALUE"""),92.984)</f>
        <v>92.983999999999995</v>
      </c>
      <c r="M3125" s="2">
        <f ca="1">IFERROR(__xludf.DUMMYFUNCTION("""COMPUTED_VALUE"""),18.829)</f>
        <v>18.829000000000001</v>
      </c>
      <c r="U3125" s="3" t="e">
        <f ca="1"/>
        <v>#NAME?</v>
      </c>
    </row>
    <row r="3126" spans="3:21" ht="12.5" x14ac:dyDescent="0.25">
      <c r="C3126" s="4">
        <f ca="1">IFERROR(__xludf.DUMMYFUNCTION("""COMPUTED_VALUE"""),43535.9986111111)</f>
        <v>43535.998611111099</v>
      </c>
      <c r="D3126" s="2">
        <f ca="1">IFERROR(__xludf.DUMMYFUNCTION("""COMPUTED_VALUE"""),69.7901)</f>
        <v>69.790099999999995</v>
      </c>
      <c r="F3126" s="2">
        <f ca="1">IFERROR(__xludf.DUMMYFUNCTION("""COMPUTED_VALUE"""),92.537)</f>
        <v>92.537000000000006</v>
      </c>
      <c r="M3126" s="2">
        <f ca="1">IFERROR(__xludf.DUMMYFUNCTION("""COMPUTED_VALUE"""),18.788)</f>
        <v>18.788</v>
      </c>
      <c r="U3126" s="3" t="e">
        <f ca="1"/>
        <v>#NAME?</v>
      </c>
    </row>
    <row r="3127" spans="3:21" ht="12.5" x14ac:dyDescent="0.25">
      <c r="C3127" s="4">
        <f ca="1">IFERROR(__xludf.DUMMYFUNCTION("""COMPUTED_VALUE"""),43536.9986111111)</f>
        <v>43536.998611111099</v>
      </c>
      <c r="D3127" s="2">
        <f ca="1">IFERROR(__xludf.DUMMYFUNCTION("""COMPUTED_VALUE"""),69.845)</f>
        <v>69.844999999999999</v>
      </c>
      <c r="F3127" s="2">
        <f ca="1">IFERROR(__xludf.DUMMYFUNCTION("""COMPUTED_VALUE"""),92.69)</f>
        <v>92.69</v>
      </c>
      <c r="M3127" s="2">
        <f ca="1">IFERROR(__xludf.DUMMYFUNCTION("""COMPUTED_VALUE"""),18.774)</f>
        <v>18.774000000000001</v>
      </c>
      <c r="U3127" s="3" t="e">
        <f ca="1"/>
        <v>#NAME?</v>
      </c>
    </row>
    <row r="3128" spans="3:21" ht="12.5" x14ac:dyDescent="0.25">
      <c r="C3128" s="4">
        <f ca="1">IFERROR(__xludf.DUMMYFUNCTION("""COMPUTED_VALUE"""),43537.9986111111)</f>
        <v>43537.998611111099</v>
      </c>
      <c r="D3128" s="2">
        <f ca="1">IFERROR(__xludf.DUMMYFUNCTION("""COMPUTED_VALUE"""),69.7263)</f>
        <v>69.726299999999995</v>
      </c>
      <c r="F3128" s="2">
        <f ca="1">IFERROR(__xludf.DUMMYFUNCTION("""COMPUTED_VALUE"""),92.019)</f>
        <v>92.019000000000005</v>
      </c>
      <c r="M3128" s="2">
        <f ca="1">IFERROR(__xludf.DUMMYFUNCTION("""COMPUTED_VALUE"""),18.791)</f>
        <v>18.791</v>
      </c>
      <c r="U3128" s="3" t="e">
        <f ca="1"/>
        <v>#NAME?</v>
      </c>
    </row>
    <row r="3129" spans="3:21" ht="12.5" x14ac:dyDescent="0.25">
      <c r="C3129" s="4">
        <f ca="1">IFERROR(__xludf.DUMMYFUNCTION("""COMPUTED_VALUE"""),43538.9986111111)</f>
        <v>43538.998611111099</v>
      </c>
      <c r="D3129" s="2">
        <f ca="1">IFERROR(__xludf.DUMMYFUNCTION("""COMPUTED_VALUE"""),69.3373)</f>
        <v>69.337299999999999</v>
      </c>
      <c r="F3129" s="2">
        <f ca="1">IFERROR(__xludf.DUMMYFUNCTION("""COMPUTED_VALUE"""),92.12)</f>
        <v>92.12</v>
      </c>
      <c r="M3129" s="2">
        <f ca="1">IFERROR(__xludf.DUMMYFUNCTION("""COMPUTED_VALUE"""),18.747)</f>
        <v>18.747</v>
      </c>
      <c r="U3129" s="3" t="e">
        <f ca="1"/>
        <v>#NAME?</v>
      </c>
    </row>
    <row r="3130" spans="3:21" ht="12.5" x14ac:dyDescent="0.25">
      <c r="C3130" s="4">
        <f ca="1">IFERROR(__xludf.DUMMYFUNCTION("""COMPUTED_VALUE"""),43539.9986111111)</f>
        <v>43539.998611111099</v>
      </c>
      <c r="D3130" s="2">
        <f ca="1">IFERROR(__xludf.DUMMYFUNCTION("""COMPUTED_VALUE"""),68.953)</f>
        <v>68.953000000000003</v>
      </c>
      <c r="F3130" s="2">
        <f ca="1">IFERROR(__xludf.DUMMYFUNCTION("""COMPUTED_VALUE"""),92.047)</f>
        <v>92.046999999999997</v>
      </c>
      <c r="M3130" s="2">
        <f ca="1">IFERROR(__xludf.DUMMYFUNCTION("""COMPUTED_VALUE"""),18.747)</f>
        <v>18.747</v>
      </c>
      <c r="U3130" s="3" t="e">
        <f ca="1"/>
        <v>#NAME?</v>
      </c>
    </row>
    <row r="3131" spans="3:21" ht="12.5" x14ac:dyDescent="0.25">
      <c r="C3131" s="4">
        <f ca="1">IFERROR(__xludf.DUMMYFUNCTION("""COMPUTED_VALUE"""),43540.9986111111)</f>
        <v>43540.998611111099</v>
      </c>
      <c r="D3131" s="2">
        <f ca="1">IFERROR(__xludf.DUMMYFUNCTION("""COMPUTED_VALUE"""),68.953)</f>
        <v>68.953000000000003</v>
      </c>
      <c r="F3131" s="2">
        <f ca="1">IFERROR(__xludf.DUMMYFUNCTION("""COMPUTED_VALUE"""),91.614)</f>
        <v>91.614000000000004</v>
      </c>
      <c r="M3131" s="2">
        <f ca="1">IFERROR(__xludf.DUMMYFUNCTION("""COMPUTED_VALUE"""),18.713)</f>
        <v>18.713000000000001</v>
      </c>
      <c r="U3131" s="3" t="e">
        <f ca="1"/>
        <v>#NAME?</v>
      </c>
    </row>
    <row r="3132" spans="3:21" ht="12.5" x14ac:dyDescent="0.25">
      <c r="C3132" s="4">
        <f ca="1">IFERROR(__xludf.DUMMYFUNCTION("""COMPUTED_VALUE"""),43541.9986111111)</f>
        <v>43541.998611111099</v>
      </c>
      <c r="D3132" s="2">
        <f ca="1">IFERROR(__xludf.DUMMYFUNCTION("""COMPUTED_VALUE"""),68.953)</f>
        <v>68.953000000000003</v>
      </c>
      <c r="F3132" s="2">
        <f ca="1">IFERROR(__xludf.DUMMYFUNCTION("""COMPUTED_VALUE"""),91.333)</f>
        <v>91.332999999999998</v>
      </c>
      <c r="M3132" s="2">
        <f ca="1">IFERROR(__xludf.DUMMYFUNCTION("""COMPUTED_VALUE"""),18.803)</f>
        <v>18.803000000000001</v>
      </c>
      <c r="U3132" s="3" t="e">
        <f ca="1"/>
        <v>#NAME?</v>
      </c>
    </row>
    <row r="3133" spans="3:21" ht="12.5" x14ac:dyDescent="0.25">
      <c r="C3133" s="4">
        <f ca="1">IFERROR(__xludf.DUMMYFUNCTION("""COMPUTED_VALUE"""),43542.9986111111)</f>
        <v>43542.998611111099</v>
      </c>
      <c r="D3133" s="2">
        <f ca="1">IFERROR(__xludf.DUMMYFUNCTION("""COMPUTED_VALUE"""),68.618)</f>
        <v>68.617999999999995</v>
      </c>
      <c r="F3133" s="2">
        <f ca="1">IFERROR(__xludf.DUMMYFUNCTION("""COMPUTED_VALUE"""),91.082)</f>
        <v>91.081999999999994</v>
      </c>
      <c r="M3133" s="2">
        <f ca="1">IFERROR(__xludf.DUMMYFUNCTION("""COMPUTED_VALUE"""),18.782)</f>
        <v>18.782</v>
      </c>
      <c r="U3133" s="3" t="e">
        <f ca="1"/>
        <v>#NAME?</v>
      </c>
    </row>
    <row r="3134" spans="3:21" ht="12.5" x14ac:dyDescent="0.25">
      <c r="C3134" s="4">
        <f ca="1">IFERROR(__xludf.DUMMYFUNCTION("""COMPUTED_VALUE"""),43543.9986111111)</f>
        <v>43543.998611111099</v>
      </c>
      <c r="D3134" s="2">
        <f ca="1">IFERROR(__xludf.DUMMYFUNCTION("""COMPUTED_VALUE"""),69.3175)</f>
        <v>69.317499999999995</v>
      </c>
      <c r="F3134" s="2">
        <f ca="1">IFERROR(__xludf.DUMMYFUNCTION("""COMPUTED_VALUE"""),90.875)</f>
        <v>90.875</v>
      </c>
      <c r="M3134" s="2">
        <f ca="1">IFERROR(__xludf.DUMMYFUNCTION("""COMPUTED_VALUE"""),18.784)</f>
        <v>18.783999999999999</v>
      </c>
      <c r="U3134" s="3" t="e">
        <f ca="1"/>
        <v>#NAME?</v>
      </c>
    </row>
    <row r="3135" spans="3:21" ht="12.5" x14ac:dyDescent="0.25">
      <c r="C3135" s="4">
        <f ca="1">IFERROR(__xludf.DUMMYFUNCTION("""COMPUTED_VALUE"""),43544.9986111111)</f>
        <v>43544.998611111099</v>
      </c>
      <c r="D3135" s="2">
        <f ca="1">IFERROR(__xludf.DUMMYFUNCTION("""COMPUTED_VALUE"""),68.825)</f>
        <v>68.825000000000003</v>
      </c>
      <c r="F3135" s="2">
        <f ca="1">IFERROR(__xludf.DUMMYFUNCTION("""COMPUTED_VALUE"""),91.929)</f>
        <v>91.929000000000002</v>
      </c>
      <c r="M3135" s="2">
        <f ca="1">IFERROR(__xludf.DUMMYFUNCTION("""COMPUTED_VALUE"""),18.953)</f>
        <v>18.952999999999999</v>
      </c>
      <c r="U3135" s="3" t="e">
        <f ca="1"/>
        <v>#NAME?</v>
      </c>
    </row>
    <row r="3136" spans="3:21" ht="12.5" x14ac:dyDescent="0.25">
      <c r="C3136" s="4">
        <f ca="1">IFERROR(__xludf.DUMMYFUNCTION("""COMPUTED_VALUE"""),43545.9986111111)</f>
        <v>43545.998611111099</v>
      </c>
      <c r="D3136" s="2">
        <f ca="1">IFERROR(__xludf.DUMMYFUNCTION("""COMPUTED_VALUE"""),68.93)</f>
        <v>68.930000000000007</v>
      </c>
      <c r="F3136" s="2">
        <f ca="1">IFERROR(__xludf.DUMMYFUNCTION("""COMPUTED_VALUE"""),91.975)</f>
        <v>91.974999999999994</v>
      </c>
      <c r="M3136" s="2">
        <f ca="1">IFERROR(__xludf.DUMMYFUNCTION("""COMPUTED_VALUE"""),18.966)</f>
        <v>18.966000000000001</v>
      </c>
      <c r="U3136" s="3" t="e">
        <f ca="1"/>
        <v>#NAME?</v>
      </c>
    </row>
    <row r="3137" spans="3:21" ht="12.5" x14ac:dyDescent="0.25">
      <c r="C3137" s="4">
        <f ca="1">IFERROR(__xludf.DUMMYFUNCTION("""COMPUTED_VALUE"""),43546.9986111111)</f>
        <v>43546.998611111099</v>
      </c>
      <c r="D3137" s="2">
        <f ca="1">IFERROR(__xludf.DUMMYFUNCTION("""COMPUTED_VALUE"""),69.16)</f>
        <v>69.16</v>
      </c>
      <c r="F3137" s="2">
        <f ca="1">IFERROR(__xludf.DUMMYFUNCTION("""COMPUTED_VALUE"""),92.016)</f>
        <v>92.016000000000005</v>
      </c>
      <c r="M3137" s="2">
        <f ca="1">IFERROR(__xludf.DUMMYFUNCTION("""COMPUTED_VALUE"""),19.468)</f>
        <v>19.468</v>
      </c>
      <c r="U3137" s="3" t="e">
        <f ca="1"/>
        <v>#NAME?</v>
      </c>
    </row>
    <row r="3138" spans="3:21" ht="12.5" x14ac:dyDescent="0.25">
      <c r="C3138" s="4">
        <f ca="1">IFERROR(__xludf.DUMMYFUNCTION("""COMPUTED_VALUE"""),43547.9986111111)</f>
        <v>43547.998611111099</v>
      </c>
      <c r="D3138" s="2">
        <f ca="1">IFERROR(__xludf.DUMMYFUNCTION("""COMPUTED_VALUE"""),69.163)</f>
        <v>69.162999999999997</v>
      </c>
      <c r="F3138" s="2">
        <f ca="1">IFERROR(__xludf.DUMMYFUNCTION("""COMPUTED_VALUE"""),93.512)</f>
        <v>93.512</v>
      </c>
      <c r="M3138" s="2">
        <f ca="1">IFERROR(__xludf.DUMMYFUNCTION("""COMPUTED_VALUE"""),19.335)</f>
        <v>19.335000000000001</v>
      </c>
      <c r="U3138" s="3" t="e">
        <f ca="1"/>
        <v>#NAME?</v>
      </c>
    </row>
    <row r="3139" spans="3:21" ht="12.5" x14ac:dyDescent="0.25">
      <c r="C3139" s="4">
        <f ca="1">IFERROR(__xludf.DUMMYFUNCTION("""COMPUTED_VALUE"""),43548.9986111111)</f>
        <v>43548.998611111099</v>
      </c>
      <c r="D3139" s="2">
        <f ca="1">IFERROR(__xludf.DUMMYFUNCTION("""COMPUTED_VALUE"""),69.1605)</f>
        <v>69.160499999999999</v>
      </c>
      <c r="F3139" s="2">
        <f ca="1">IFERROR(__xludf.DUMMYFUNCTION("""COMPUTED_VALUE"""),93.034)</f>
        <v>93.034000000000006</v>
      </c>
      <c r="M3139" s="2">
        <f ca="1">IFERROR(__xludf.DUMMYFUNCTION("""COMPUTED_VALUE"""),19.39)</f>
        <v>19.39</v>
      </c>
      <c r="U3139" s="3" t="e">
        <f ca="1"/>
        <v>#NAME?</v>
      </c>
    </row>
    <row r="3140" spans="3:21" ht="12.5" x14ac:dyDescent="0.25">
      <c r="C3140" s="4">
        <f ca="1">IFERROR(__xludf.DUMMYFUNCTION("""COMPUTED_VALUE"""),43549.9986111111)</f>
        <v>43549.998611111099</v>
      </c>
      <c r="D3140" s="2">
        <f ca="1">IFERROR(__xludf.DUMMYFUNCTION("""COMPUTED_VALUE"""),68.9234)</f>
        <v>68.923400000000001</v>
      </c>
      <c r="F3140" s="2">
        <f ca="1">IFERROR(__xludf.DUMMYFUNCTION("""COMPUTED_VALUE"""),92.81)</f>
        <v>92.81</v>
      </c>
      <c r="M3140" s="2">
        <f ca="1">IFERROR(__xludf.DUMMYFUNCTION("""COMPUTED_VALUE"""),19.166)</f>
        <v>19.166</v>
      </c>
      <c r="U3140" s="3" t="e">
        <f ca="1"/>
        <v>#NAME?</v>
      </c>
    </row>
    <row r="3141" spans="3:21" ht="12.5" x14ac:dyDescent="0.25">
      <c r="C3141" s="4">
        <f ca="1">IFERROR(__xludf.DUMMYFUNCTION("""COMPUTED_VALUE"""),43550.9986111111)</f>
        <v>43550.998611111099</v>
      </c>
      <c r="D3141" s="2">
        <f ca="1">IFERROR(__xludf.DUMMYFUNCTION("""COMPUTED_VALUE"""),69.4275)</f>
        <v>69.427499999999995</v>
      </c>
      <c r="F3141" s="2">
        <f ca="1">IFERROR(__xludf.DUMMYFUNCTION("""COMPUTED_VALUE"""),92.714)</f>
        <v>92.713999999999999</v>
      </c>
      <c r="M3141" s="2">
        <f ca="1">IFERROR(__xludf.DUMMYFUNCTION("""COMPUTED_VALUE"""),19.342)</f>
        <v>19.341999999999999</v>
      </c>
      <c r="U3141" s="3" t="e">
        <f ca="1"/>
        <v>#NAME?</v>
      </c>
    </row>
    <row r="3142" spans="3:21" ht="12.5" x14ac:dyDescent="0.25">
      <c r="C3142" s="4">
        <f ca="1">IFERROR(__xludf.DUMMYFUNCTION("""COMPUTED_VALUE"""),43551.9986111111)</f>
        <v>43551.998611111099</v>
      </c>
      <c r="D3142" s="2">
        <f ca="1">IFERROR(__xludf.DUMMYFUNCTION("""COMPUTED_VALUE"""),69.37)</f>
        <v>69.37</v>
      </c>
      <c r="F3142" s="2">
        <f ca="1">IFERROR(__xludf.DUMMYFUNCTION("""COMPUTED_VALUE"""),92.716)</f>
        <v>92.715999999999994</v>
      </c>
      <c r="M3142" s="2">
        <f ca="1">IFERROR(__xludf.DUMMYFUNCTION("""COMPUTED_VALUE"""),19.34)</f>
        <v>19.34</v>
      </c>
      <c r="U3142" s="3" t="e">
        <f ca="1"/>
        <v>#NAME?</v>
      </c>
    </row>
    <row r="3143" spans="3:21" ht="12.5" x14ac:dyDescent="0.25">
      <c r="C3143" s="4">
        <f ca="1">IFERROR(__xludf.DUMMYFUNCTION("""COMPUTED_VALUE"""),43552.9986111111)</f>
        <v>43552.998611111099</v>
      </c>
      <c r="D3143" s="2">
        <f ca="1">IFERROR(__xludf.DUMMYFUNCTION("""COMPUTED_VALUE"""),69.5)</f>
        <v>69.5</v>
      </c>
      <c r="F3143" s="2">
        <f ca="1">IFERROR(__xludf.DUMMYFUNCTION("""COMPUTED_VALUE"""),92.792)</f>
        <v>92.792000000000002</v>
      </c>
      <c r="M3143" s="2">
        <f ca="1">IFERROR(__xludf.DUMMYFUNCTION("""COMPUTED_VALUE"""),19.485)</f>
        <v>19.484999999999999</v>
      </c>
      <c r="U3143" s="3" t="e">
        <f ca="1"/>
        <v>#NAME?</v>
      </c>
    </row>
    <row r="3144" spans="3:21" ht="12.5" x14ac:dyDescent="0.25">
      <c r="C3144" s="4">
        <f ca="1">IFERROR(__xludf.DUMMYFUNCTION("""COMPUTED_VALUE"""),43553.9986111111)</f>
        <v>43553.998611111099</v>
      </c>
      <c r="D3144" s="2">
        <f ca="1">IFERROR(__xludf.DUMMYFUNCTION("""COMPUTED_VALUE"""),69.43)</f>
        <v>69.430000000000007</v>
      </c>
      <c r="F3144" s="2">
        <f ca="1">IFERROR(__xludf.DUMMYFUNCTION("""COMPUTED_VALUE"""),93.263)</f>
        <v>93.263000000000005</v>
      </c>
      <c r="M3144" s="2">
        <f ca="1">IFERROR(__xludf.DUMMYFUNCTION("""COMPUTED_VALUE"""),19.358)</f>
        <v>19.358000000000001</v>
      </c>
      <c r="U3144" s="3" t="e">
        <f ca="1"/>
        <v>#NAME?</v>
      </c>
    </row>
    <row r="3145" spans="3:21" ht="12.5" x14ac:dyDescent="0.25">
      <c r="C3145" s="4">
        <f ca="1">IFERROR(__xludf.DUMMYFUNCTION("""COMPUTED_VALUE"""),43554.9986111111)</f>
        <v>43554.998611111099</v>
      </c>
      <c r="D3145" s="2">
        <f ca="1">IFERROR(__xludf.DUMMYFUNCTION("""COMPUTED_VALUE"""),69.43)</f>
        <v>69.430000000000007</v>
      </c>
      <c r="F3145" s="2">
        <f ca="1">IFERROR(__xludf.DUMMYFUNCTION("""COMPUTED_VALUE"""),94.048)</f>
        <v>94.048000000000002</v>
      </c>
      <c r="M3145" s="2">
        <f ca="1">IFERROR(__xludf.DUMMYFUNCTION("""COMPUTED_VALUE"""),19.578)</f>
        <v>19.577999999999999</v>
      </c>
      <c r="U3145" s="3" t="e">
        <f ca="1"/>
        <v>#NAME?</v>
      </c>
    </row>
    <row r="3146" spans="3:21" ht="12.5" x14ac:dyDescent="0.25">
      <c r="C3146" s="4">
        <f ca="1">IFERROR(__xludf.DUMMYFUNCTION("""COMPUTED_VALUE"""),43555.9986111111)</f>
        <v>43555.998611111099</v>
      </c>
      <c r="D3146" s="2">
        <f ca="1">IFERROR(__xludf.DUMMYFUNCTION("""COMPUTED_VALUE"""),69.43)</f>
        <v>69.430000000000007</v>
      </c>
      <c r="F3146" s="2">
        <f ca="1">IFERROR(__xludf.DUMMYFUNCTION("""COMPUTED_VALUE"""),94.785)</f>
        <v>94.784999999999997</v>
      </c>
      <c r="M3146" s="2">
        <f ca="1">IFERROR(__xludf.DUMMYFUNCTION("""COMPUTED_VALUE"""),19.528)</f>
        <v>19.527999999999999</v>
      </c>
      <c r="U3146" s="3" t="e">
        <f ca="1"/>
        <v>#NAME?</v>
      </c>
    </row>
    <row r="3147" spans="3:21" ht="12.5" x14ac:dyDescent="0.25">
      <c r="C3147" s="4">
        <f ca="1">IFERROR(__xludf.DUMMYFUNCTION("""COMPUTED_VALUE"""),43556.9986111111)</f>
        <v>43556.998611111099</v>
      </c>
      <c r="D3147" s="2">
        <f ca="1">IFERROR(__xludf.DUMMYFUNCTION("""COMPUTED_VALUE"""),69.1953)</f>
        <v>69.195300000000003</v>
      </c>
      <c r="F3147" s="2">
        <f ca="1">IFERROR(__xludf.DUMMYFUNCTION("""COMPUTED_VALUE"""),93.929)</f>
        <v>93.929000000000002</v>
      </c>
      <c r="M3147" s="2">
        <f ca="1">IFERROR(__xludf.DUMMYFUNCTION("""COMPUTED_VALUE"""),19.363)</f>
        <v>19.363</v>
      </c>
      <c r="U3147" s="3" t="e">
        <f ca="1"/>
        <v>#NAME?</v>
      </c>
    </row>
    <row r="3148" spans="3:21" ht="12.5" x14ac:dyDescent="0.25">
      <c r="C3148" s="4">
        <f ca="1">IFERROR(__xludf.DUMMYFUNCTION("""COMPUTED_VALUE"""),43557.9986111111)</f>
        <v>43557.998611111099</v>
      </c>
      <c r="D3148" s="2">
        <f ca="1">IFERROR(__xludf.DUMMYFUNCTION("""COMPUTED_VALUE"""),68.9102)</f>
        <v>68.910200000000003</v>
      </c>
      <c r="F3148" s="2">
        <f ca="1">IFERROR(__xludf.DUMMYFUNCTION("""COMPUTED_VALUE"""),93.765)</f>
        <v>93.765000000000001</v>
      </c>
      <c r="M3148" s="2">
        <f ca="1">IFERROR(__xludf.DUMMYFUNCTION("""COMPUTED_VALUE"""),19.367)</f>
        <v>19.367000000000001</v>
      </c>
      <c r="U3148" s="3" t="e">
        <f ca="1"/>
        <v>#NAME?</v>
      </c>
    </row>
    <row r="3149" spans="3:21" ht="12.5" x14ac:dyDescent="0.25">
      <c r="C3149" s="4">
        <f ca="1">IFERROR(__xludf.DUMMYFUNCTION("""COMPUTED_VALUE"""),43558.9986111111)</f>
        <v>43558.998611111099</v>
      </c>
      <c r="D3149" s="2">
        <f ca="1">IFERROR(__xludf.DUMMYFUNCTION("""COMPUTED_VALUE"""),68.85)</f>
        <v>68.849999999999994</v>
      </c>
      <c r="F3149" s="2">
        <f ca="1">IFERROR(__xludf.DUMMYFUNCTION("""COMPUTED_VALUE"""),93.927)</f>
        <v>93.927000000000007</v>
      </c>
      <c r="M3149" s="2">
        <f ca="1">IFERROR(__xludf.DUMMYFUNCTION("""COMPUTED_VALUE"""),19.447)</f>
        <v>19.446999999999999</v>
      </c>
      <c r="U3149" s="3" t="e">
        <f ca="1"/>
        <v>#NAME?</v>
      </c>
    </row>
    <row r="3150" spans="3:21" ht="12.5" x14ac:dyDescent="0.25">
      <c r="C3150" s="4">
        <f ca="1">IFERROR(__xludf.DUMMYFUNCTION("""COMPUTED_VALUE"""),43559.9986111111)</f>
        <v>43559.998611111099</v>
      </c>
      <c r="D3150" s="2">
        <f ca="1">IFERROR(__xludf.DUMMYFUNCTION("""COMPUTED_VALUE"""),68.9704)</f>
        <v>68.970399999999998</v>
      </c>
      <c r="F3150" s="2">
        <f ca="1">IFERROR(__xludf.DUMMYFUNCTION("""COMPUTED_VALUE"""),93.438)</f>
        <v>93.438000000000002</v>
      </c>
      <c r="M3150" s="2">
        <f ca="1">IFERROR(__xludf.DUMMYFUNCTION("""COMPUTED_VALUE"""),19.473)</f>
        <v>19.472999999999999</v>
      </c>
      <c r="U3150" s="3" t="e">
        <f ca="1"/>
        <v>#NAME?</v>
      </c>
    </row>
    <row r="3151" spans="3:21" ht="12.5" x14ac:dyDescent="0.25">
      <c r="C3151" s="4">
        <f ca="1">IFERROR(__xludf.DUMMYFUNCTION("""COMPUTED_VALUE"""),43560.9986111111)</f>
        <v>43560.998611111099</v>
      </c>
      <c r="D3151" s="2">
        <f ca="1">IFERROR(__xludf.DUMMYFUNCTION("""COMPUTED_VALUE"""),69.21)</f>
        <v>69.209999999999994</v>
      </c>
      <c r="F3151" s="2">
        <f ca="1">IFERROR(__xludf.DUMMYFUNCTION("""COMPUTED_VALUE"""),93.093)</f>
        <v>93.093000000000004</v>
      </c>
      <c r="M3151" s="2">
        <f ca="1">IFERROR(__xludf.DUMMYFUNCTION("""COMPUTED_VALUE"""),19.444)</f>
        <v>19.443999999999999</v>
      </c>
      <c r="U3151" s="3" t="e">
        <f ca="1"/>
        <v>#NAME?</v>
      </c>
    </row>
    <row r="3152" spans="3:21" ht="12.5" x14ac:dyDescent="0.25">
      <c r="C3152" s="4">
        <f ca="1">IFERROR(__xludf.DUMMYFUNCTION("""COMPUTED_VALUE"""),43561.9986111111)</f>
        <v>43561.998611111099</v>
      </c>
      <c r="D3152" s="2">
        <f ca="1">IFERROR(__xludf.DUMMYFUNCTION("""COMPUTED_VALUE"""),69.21)</f>
        <v>69.209999999999994</v>
      </c>
      <c r="F3152" s="2">
        <f ca="1">IFERROR(__xludf.DUMMYFUNCTION("""COMPUTED_VALUE"""),92.683)</f>
        <v>92.683000000000007</v>
      </c>
      <c r="M3152" s="2">
        <f ca="1">IFERROR(__xludf.DUMMYFUNCTION("""COMPUTED_VALUE"""),19.577)</f>
        <v>19.577000000000002</v>
      </c>
      <c r="U3152" s="3" t="e">
        <f ca="1"/>
        <v>#NAME?</v>
      </c>
    </row>
    <row r="3153" spans="3:21" ht="12.5" x14ac:dyDescent="0.25">
      <c r="C3153" s="4">
        <f ca="1">IFERROR(__xludf.DUMMYFUNCTION("""COMPUTED_VALUE"""),43562.9986111111)</f>
        <v>43562.998611111099</v>
      </c>
      <c r="D3153" s="2">
        <f ca="1">IFERROR(__xludf.DUMMYFUNCTION("""COMPUTED_VALUE"""),69.16)</f>
        <v>69.16</v>
      </c>
      <c r="F3153" s="2">
        <f ca="1">IFERROR(__xludf.DUMMYFUNCTION("""COMPUTED_VALUE"""),92.262)</f>
        <v>92.262</v>
      </c>
      <c r="M3153" s="2">
        <f ca="1">IFERROR(__xludf.DUMMYFUNCTION("""COMPUTED_VALUE"""),19.516)</f>
        <v>19.515999999999998</v>
      </c>
      <c r="U3153" s="3" t="e">
        <f ca="1"/>
        <v>#NAME?</v>
      </c>
    </row>
    <row r="3154" spans="3:21" ht="12.5" x14ac:dyDescent="0.25">
      <c r="C3154" s="4">
        <f ca="1">IFERROR(__xludf.DUMMYFUNCTION("""COMPUTED_VALUE"""),43563.9986111111)</f>
        <v>43563.998611111099</v>
      </c>
      <c r="D3154" s="2">
        <f ca="1">IFERROR(__xludf.DUMMYFUNCTION("""COMPUTED_VALUE"""),69.5525)</f>
        <v>69.552499999999995</v>
      </c>
      <c r="F3154" s="2">
        <f ca="1">IFERROR(__xludf.DUMMYFUNCTION("""COMPUTED_VALUE"""),91.101)</f>
        <v>91.100999999999999</v>
      </c>
      <c r="M3154" s="2">
        <f ca="1">IFERROR(__xludf.DUMMYFUNCTION("""COMPUTED_VALUE"""),19.541)</f>
        <v>19.541</v>
      </c>
      <c r="U3154" s="3" t="e">
        <f ca="1"/>
        <v>#NAME?</v>
      </c>
    </row>
    <row r="3155" spans="3:21" ht="12.5" x14ac:dyDescent="0.25">
      <c r="C3155" s="4">
        <f ca="1">IFERROR(__xludf.DUMMYFUNCTION("""COMPUTED_VALUE"""),43564.9986111111)</f>
        <v>43564.998611111099</v>
      </c>
      <c r="D3155" s="2">
        <f ca="1">IFERROR(__xludf.DUMMYFUNCTION("""COMPUTED_VALUE"""),69.2618)</f>
        <v>69.261799999999994</v>
      </c>
      <c r="F3155" s="2">
        <f ca="1">IFERROR(__xludf.DUMMYFUNCTION("""COMPUTED_VALUE"""),91.101)</f>
        <v>91.100999999999999</v>
      </c>
      <c r="M3155" s="2">
        <f ca="1">IFERROR(__xludf.DUMMYFUNCTION("""COMPUTED_VALUE"""),19.468)</f>
        <v>19.468</v>
      </c>
      <c r="U3155" s="3" t="e">
        <f ca="1"/>
        <v>#NAME?</v>
      </c>
    </row>
    <row r="3156" spans="3:21" ht="12.5" x14ac:dyDescent="0.25">
      <c r="C3156" s="4">
        <f ca="1">IFERROR(__xludf.DUMMYFUNCTION("""COMPUTED_VALUE"""),43565.9986111111)</f>
        <v>43565.998611111099</v>
      </c>
      <c r="D3156" s="2">
        <f ca="1">IFERROR(__xludf.DUMMYFUNCTION("""COMPUTED_VALUE"""),69.1402)</f>
        <v>69.140199999999993</v>
      </c>
      <c r="F3156" s="2">
        <f ca="1">IFERROR(__xludf.DUMMYFUNCTION("""COMPUTED_VALUE"""),90.893)</f>
        <v>90.893000000000001</v>
      </c>
      <c r="M3156" s="2">
        <f ca="1">IFERROR(__xludf.DUMMYFUNCTION("""COMPUTED_VALUE"""),19.645)</f>
        <v>19.645</v>
      </c>
      <c r="U3156" s="3" t="e">
        <f ca="1"/>
        <v>#NAME?</v>
      </c>
    </row>
    <row r="3157" spans="3:21" ht="12.5" x14ac:dyDescent="0.25">
      <c r="C3157" s="4">
        <f ca="1">IFERROR(__xludf.DUMMYFUNCTION("""COMPUTED_VALUE"""),43566.9986111111)</f>
        <v>43566.998611111099</v>
      </c>
      <c r="D3157" s="2">
        <f ca="1">IFERROR(__xludf.DUMMYFUNCTION("""COMPUTED_VALUE"""),69.43)</f>
        <v>69.430000000000007</v>
      </c>
      <c r="F3157" s="2">
        <f ca="1">IFERROR(__xludf.DUMMYFUNCTION("""COMPUTED_VALUE"""),92.401)</f>
        <v>92.400999999999996</v>
      </c>
      <c r="M3157" s="2">
        <f ca="1">IFERROR(__xludf.DUMMYFUNCTION("""COMPUTED_VALUE"""),19.472)</f>
        <v>19.472000000000001</v>
      </c>
      <c r="U3157" s="3" t="e">
        <f ca="1"/>
        <v>#NAME?</v>
      </c>
    </row>
    <row r="3158" spans="3:21" ht="12.5" x14ac:dyDescent="0.25">
      <c r="C3158" s="4">
        <f ca="1">IFERROR(__xludf.DUMMYFUNCTION("""COMPUTED_VALUE"""),43567.9986111111)</f>
        <v>43567.998611111099</v>
      </c>
      <c r="D3158" s="2">
        <f ca="1">IFERROR(__xludf.DUMMYFUNCTION("""COMPUTED_VALUE"""),69.1538)</f>
        <v>69.153800000000004</v>
      </c>
      <c r="F3158" s="2">
        <f ca="1">IFERROR(__xludf.DUMMYFUNCTION("""COMPUTED_VALUE"""),91.311)</f>
        <v>91.311000000000007</v>
      </c>
      <c r="M3158" s="2">
        <f ca="1">IFERROR(__xludf.DUMMYFUNCTION("""COMPUTED_VALUE"""),19.55)</f>
        <v>19.55</v>
      </c>
      <c r="U3158" s="3" t="e">
        <f ca="1"/>
        <v>#NAME?</v>
      </c>
    </row>
    <row r="3159" spans="3:21" ht="12.5" x14ac:dyDescent="0.25">
      <c r="C3159" s="4">
        <f ca="1">IFERROR(__xludf.DUMMYFUNCTION("""COMPUTED_VALUE"""),43568.9986111111)</f>
        <v>43568.998611111099</v>
      </c>
      <c r="D3159" s="2">
        <f ca="1">IFERROR(__xludf.DUMMYFUNCTION("""COMPUTED_VALUE"""),69.183)</f>
        <v>69.183000000000007</v>
      </c>
      <c r="F3159" s="2">
        <f ca="1">IFERROR(__xludf.DUMMYFUNCTION("""COMPUTED_VALUE"""),92.745)</f>
        <v>92.745000000000005</v>
      </c>
      <c r="M3159" s="2">
        <f ca="1">IFERROR(__xludf.DUMMYFUNCTION("""COMPUTED_VALUE"""),19.593)</f>
        <v>19.593</v>
      </c>
      <c r="U3159" s="3" t="e">
        <f ca="1"/>
        <v>#NAME?</v>
      </c>
    </row>
    <row r="3160" spans="3:21" ht="12.5" x14ac:dyDescent="0.25">
      <c r="C3160" s="4">
        <f ca="1">IFERROR(__xludf.DUMMYFUNCTION("""COMPUTED_VALUE"""),43569.9986111111)</f>
        <v>43569.998611111099</v>
      </c>
      <c r="D3160" s="2">
        <f ca="1">IFERROR(__xludf.DUMMYFUNCTION("""COMPUTED_VALUE"""),69.161)</f>
        <v>69.161000000000001</v>
      </c>
      <c r="F3160" s="2">
        <f ca="1">IFERROR(__xludf.DUMMYFUNCTION("""COMPUTED_VALUE"""),91.886)</f>
        <v>91.885999999999996</v>
      </c>
      <c r="M3160" s="2">
        <f ca="1">IFERROR(__xludf.DUMMYFUNCTION("""COMPUTED_VALUE"""),19.486)</f>
        <v>19.486000000000001</v>
      </c>
      <c r="U3160" s="3" t="e">
        <f ca="1"/>
        <v>#NAME?</v>
      </c>
    </row>
    <row r="3161" spans="3:21" ht="12.5" x14ac:dyDescent="0.25">
      <c r="C3161" s="4">
        <f ca="1">IFERROR(__xludf.DUMMYFUNCTION("""COMPUTED_VALUE"""),43570.9986111111)</f>
        <v>43570.998611111099</v>
      </c>
      <c r="D3161" s="2">
        <f ca="1">IFERROR(__xludf.DUMMYFUNCTION("""COMPUTED_VALUE"""),69.81)</f>
        <v>69.81</v>
      </c>
      <c r="F3161" s="2">
        <f ca="1">IFERROR(__xludf.DUMMYFUNCTION("""COMPUTED_VALUE"""),91.717)</f>
        <v>91.716999999999999</v>
      </c>
      <c r="M3161" s="2">
        <f ca="1">IFERROR(__xludf.DUMMYFUNCTION("""COMPUTED_VALUE"""),19.53)</f>
        <v>19.53</v>
      </c>
      <c r="U3161" s="3" t="e">
        <f ca="1"/>
        <v>#NAME?</v>
      </c>
    </row>
    <row r="3162" spans="3:21" ht="12.5" x14ac:dyDescent="0.25">
      <c r="C3162" s="4">
        <f ca="1">IFERROR(__xludf.DUMMYFUNCTION("""COMPUTED_VALUE"""),43571.9986111111)</f>
        <v>43571.998611111099</v>
      </c>
      <c r="D3162" s="2">
        <f ca="1">IFERROR(__xludf.DUMMYFUNCTION("""COMPUTED_VALUE"""),69.885)</f>
        <v>69.885000000000005</v>
      </c>
      <c r="F3162" s="2">
        <f ca="1">IFERROR(__xludf.DUMMYFUNCTION("""COMPUTED_VALUE"""),91.728)</f>
        <v>91.727999999999994</v>
      </c>
      <c r="M3162" s="2">
        <f ca="1">IFERROR(__xludf.DUMMYFUNCTION("""COMPUTED_VALUE"""),19.588)</f>
        <v>19.588000000000001</v>
      </c>
      <c r="U3162" s="3" t="e">
        <f ca="1"/>
        <v>#NAME?</v>
      </c>
    </row>
    <row r="3163" spans="3:21" ht="12.5" x14ac:dyDescent="0.25">
      <c r="C3163" s="4">
        <f ca="1">IFERROR(__xludf.DUMMYFUNCTION("""COMPUTED_VALUE"""),43572.9986111111)</f>
        <v>43572.998611111099</v>
      </c>
      <c r="D3163" s="2">
        <f ca="1">IFERROR(__xludf.DUMMYFUNCTION("""COMPUTED_VALUE"""),69.401)</f>
        <v>69.400999999999996</v>
      </c>
      <c r="F3163" s="2">
        <f ca="1">IFERROR(__xludf.DUMMYFUNCTION("""COMPUTED_VALUE"""),91.707)</f>
        <v>91.706999999999994</v>
      </c>
      <c r="M3163" s="2">
        <f ca="1">IFERROR(__xludf.DUMMYFUNCTION("""COMPUTED_VALUE"""),19.724)</f>
        <v>19.724</v>
      </c>
      <c r="U3163" s="3" t="e">
        <f ca="1"/>
        <v>#NAME?</v>
      </c>
    </row>
    <row r="3164" spans="3:21" ht="12.5" x14ac:dyDescent="0.25">
      <c r="C3164" s="4">
        <f ca="1">IFERROR(__xludf.DUMMYFUNCTION("""COMPUTED_VALUE"""),43573.9986111111)</f>
        <v>43573.998611111099</v>
      </c>
      <c r="D3164" s="2">
        <f ca="1">IFERROR(__xludf.DUMMYFUNCTION("""COMPUTED_VALUE"""),69.381)</f>
        <v>69.381</v>
      </c>
      <c r="F3164" s="2">
        <f ca="1">IFERROR(__xludf.DUMMYFUNCTION("""COMPUTED_VALUE"""),90.988)</f>
        <v>90.988</v>
      </c>
      <c r="M3164" s="2">
        <f ca="1">IFERROR(__xludf.DUMMYFUNCTION("""COMPUTED_VALUE"""),19.676)</f>
        <v>19.675999999999998</v>
      </c>
      <c r="U3164" s="3" t="e">
        <f ca="1"/>
        <v>#NAME?</v>
      </c>
    </row>
    <row r="3165" spans="3:21" ht="12.5" x14ac:dyDescent="0.25">
      <c r="C3165" s="4">
        <f ca="1">IFERROR(__xludf.DUMMYFUNCTION("""COMPUTED_VALUE"""),43574.9986111111)</f>
        <v>43574.998611111099</v>
      </c>
      <c r="D3165" s="2">
        <f ca="1">IFERROR(__xludf.DUMMYFUNCTION("""COMPUTED_VALUE"""),69.355)</f>
        <v>69.355000000000004</v>
      </c>
      <c r="F3165" s="2">
        <f ca="1">IFERROR(__xludf.DUMMYFUNCTION("""COMPUTED_VALUE"""),91.968)</f>
        <v>91.968000000000004</v>
      </c>
      <c r="M3165" s="2">
        <f ca="1">IFERROR(__xludf.DUMMYFUNCTION("""COMPUTED_VALUE"""),19.572)</f>
        <v>19.571999999999999</v>
      </c>
      <c r="U3165" s="3" t="e">
        <f ca="1"/>
        <v>#NAME?</v>
      </c>
    </row>
    <row r="3166" spans="3:21" ht="12.5" x14ac:dyDescent="0.25">
      <c r="C3166" s="4">
        <f ca="1">IFERROR(__xludf.DUMMYFUNCTION("""COMPUTED_VALUE"""),43575.9986111111)</f>
        <v>43575.998611111099</v>
      </c>
      <c r="D3166" s="2">
        <f ca="1">IFERROR(__xludf.DUMMYFUNCTION("""COMPUTED_VALUE"""),69.355)</f>
        <v>69.355000000000004</v>
      </c>
      <c r="F3166" s="2">
        <f ca="1">IFERROR(__xludf.DUMMYFUNCTION("""COMPUTED_VALUE"""),90.846)</f>
        <v>90.846000000000004</v>
      </c>
      <c r="M3166" s="2">
        <f ca="1">IFERROR(__xludf.DUMMYFUNCTION("""COMPUTED_VALUE"""),19.489)</f>
        <v>19.489000000000001</v>
      </c>
      <c r="U3166" s="3" t="e">
        <f ca="1"/>
        <v>#NAME?</v>
      </c>
    </row>
    <row r="3167" spans="3:21" ht="12.5" x14ac:dyDescent="0.25">
      <c r="C3167" s="4">
        <f ca="1">IFERROR(__xludf.DUMMYFUNCTION("""COMPUTED_VALUE"""),43576.9986111111)</f>
        <v>43576.998611111099</v>
      </c>
      <c r="D3167" s="2">
        <f ca="1">IFERROR(__xludf.DUMMYFUNCTION("""COMPUTED_VALUE"""),69.36)</f>
        <v>69.36</v>
      </c>
      <c r="F3167" s="2">
        <f ca="1">IFERROR(__xludf.DUMMYFUNCTION("""COMPUTED_VALUE"""),90.469)</f>
        <v>90.468999999999994</v>
      </c>
      <c r="M3167" s="2">
        <f ca="1">IFERROR(__xludf.DUMMYFUNCTION("""COMPUTED_VALUE"""),19.51)</f>
        <v>19.510000000000002</v>
      </c>
      <c r="U3167" s="3" t="e">
        <f ca="1"/>
        <v>#NAME?</v>
      </c>
    </row>
    <row r="3168" spans="3:21" ht="12.5" x14ac:dyDescent="0.25">
      <c r="C3168" s="4">
        <f ca="1">IFERROR(__xludf.DUMMYFUNCTION("""COMPUTED_VALUE"""),43577.9986111111)</f>
        <v>43577.998611111099</v>
      </c>
      <c r="D3168" s="2">
        <f ca="1">IFERROR(__xludf.DUMMYFUNCTION("""COMPUTED_VALUE"""),70.0625)</f>
        <v>70.0625</v>
      </c>
      <c r="F3168" s="2">
        <f ca="1">IFERROR(__xludf.DUMMYFUNCTION("""COMPUTED_VALUE"""),91.385)</f>
        <v>91.385000000000005</v>
      </c>
      <c r="M3168" s="2">
        <f ca="1">IFERROR(__xludf.DUMMYFUNCTION("""COMPUTED_VALUE"""),19.504)</f>
        <v>19.504000000000001</v>
      </c>
      <c r="U3168" s="3" t="e">
        <f ca="1"/>
        <v>#NAME?</v>
      </c>
    </row>
    <row r="3169" spans="3:21" ht="12.5" x14ac:dyDescent="0.25">
      <c r="C3169" s="4">
        <f ca="1">IFERROR(__xludf.DUMMYFUNCTION("""COMPUTED_VALUE"""),43578.9986111111)</f>
        <v>43578.998611111099</v>
      </c>
      <c r="D3169" s="2">
        <f ca="1">IFERROR(__xludf.DUMMYFUNCTION("""COMPUTED_VALUE"""),69.758)</f>
        <v>69.757999999999996</v>
      </c>
      <c r="F3169" s="2">
        <f ca="1">IFERROR(__xludf.DUMMYFUNCTION("""COMPUTED_VALUE"""),91.371)</f>
        <v>91.370999999999995</v>
      </c>
      <c r="M3169" s="2">
        <f ca="1">IFERROR(__xludf.DUMMYFUNCTION("""COMPUTED_VALUE"""),19.624)</f>
        <v>19.623999999999999</v>
      </c>
      <c r="U3169" s="3" t="e">
        <f ca="1"/>
        <v>#NAME?</v>
      </c>
    </row>
    <row r="3170" spans="3:21" ht="12.5" x14ac:dyDescent="0.25">
      <c r="C3170" s="4">
        <f ca="1">IFERROR(__xludf.DUMMYFUNCTION("""COMPUTED_VALUE"""),43579.9986111111)</f>
        <v>43579.998611111099</v>
      </c>
      <c r="D3170" s="2">
        <f ca="1">IFERROR(__xludf.DUMMYFUNCTION("""COMPUTED_VALUE"""),70.0958)</f>
        <v>70.095799999999997</v>
      </c>
      <c r="F3170" s="2">
        <f ca="1">IFERROR(__xludf.DUMMYFUNCTION("""COMPUTED_VALUE"""),91.37)</f>
        <v>91.37</v>
      </c>
      <c r="M3170" s="2">
        <f ca="1">IFERROR(__xludf.DUMMYFUNCTION("""COMPUTED_VALUE"""),19.563)</f>
        <v>19.562999999999999</v>
      </c>
      <c r="U3170" s="3" t="e">
        <f ca="1"/>
        <v>#NAME?</v>
      </c>
    </row>
    <row r="3171" spans="3:21" ht="12.5" x14ac:dyDescent="0.25">
      <c r="C3171" s="4">
        <f ca="1">IFERROR(__xludf.DUMMYFUNCTION("""COMPUTED_VALUE"""),43580.9986111111)</f>
        <v>43580.998611111099</v>
      </c>
      <c r="D3171" s="2">
        <f ca="1">IFERROR(__xludf.DUMMYFUNCTION("""COMPUTED_VALUE"""),70.16)</f>
        <v>70.16</v>
      </c>
      <c r="F3171" s="2">
        <f ca="1">IFERROR(__xludf.DUMMYFUNCTION("""COMPUTED_VALUE"""),91.018)</f>
        <v>91.018000000000001</v>
      </c>
      <c r="M3171" s="2">
        <f ca="1">IFERROR(__xludf.DUMMYFUNCTION("""COMPUTED_VALUE"""),19.559)</f>
        <v>19.559000000000001</v>
      </c>
      <c r="U3171" s="3" t="e">
        <f ca="1"/>
        <v>#NAME?</v>
      </c>
    </row>
    <row r="3172" spans="3:21" ht="12.5" x14ac:dyDescent="0.25">
      <c r="C3172" s="4">
        <f ca="1">IFERROR(__xludf.DUMMYFUNCTION("""COMPUTED_VALUE"""),43581.9986111111)</f>
        <v>43581.998611111099</v>
      </c>
      <c r="D3172" s="2">
        <f ca="1">IFERROR(__xludf.DUMMYFUNCTION("""COMPUTED_VALUE"""),69.8443)</f>
        <v>69.844300000000004</v>
      </c>
      <c r="F3172" s="2">
        <f ca="1">IFERROR(__xludf.DUMMYFUNCTION("""COMPUTED_VALUE"""),91.718)</f>
        <v>91.718000000000004</v>
      </c>
      <c r="M3172" s="2">
        <f ca="1">IFERROR(__xludf.DUMMYFUNCTION("""COMPUTED_VALUE"""),19.404)</f>
        <v>19.404</v>
      </c>
      <c r="U3172" s="3" t="e">
        <f ca="1"/>
        <v>#NAME?</v>
      </c>
    </row>
    <row r="3173" spans="3:21" ht="12.5" x14ac:dyDescent="0.25">
      <c r="C3173" s="4">
        <f ca="1">IFERROR(__xludf.DUMMYFUNCTION("""COMPUTED_VALUE"""),43582.9986111111)</f>
        <v>43582.998611111099</v>
      </c>
      <c r="D3173" s="2">
        <f ca="1">IFERROR(__xludf.DUMMYFUNCTION("""COMPUTED_VALUE"""),69.843)</f>
        <v>69.843000000000004</v>
      </c>
      <c r="F3173" s="2">
        <f ca="1">IFERROR(__xludf.DUMMYFUNCTION("""COMPUTED_VALUE"""),91.192)</f>
        <v>91.191999999999993</v>
      </c>
      <c r="M3173" s="2">
        <f ca="1">IFERROR(__xludf.DUMMYFUNCTION("""COMPUTED_VALUE"""),19.321)</f>
        <v>19.321000000000002</v>
      </c>
      <c r="U3173" s="3" t="e">
        <f ca="1"/>
        <v>#NAME?</v>
      </c>
    </row>
    <row r="3174" spans="3:21" ht="12.5" x14ac:dyDescent="0.25">
      <c r="C3174" s="4">
        <f ca="1">IFERROR(__xludf.DUMMYFUNCTION("""COMPUTED_VALUE"""),43583.9986111111)</f>
        <v>43583.998611111099</v>
      </c>
      <c r="D3174" s="2">
        <f ca="1">IFERROR(__xludf.DUMMYFUNCTION("""COMPUTED_VALUE"""),69.842)</f>
        <v>69.841999999999999</v>
      </c>
      <c r="F3174" s="2">
        <f ca="1">IFERROR(__xludf.DUMMYFUNCTION("""COMPUTED_VALUE"""),90.743)</f>
        <v>90.742999999999995</v>
      </c>
      <c r="M3174" s="2">
        <f ca="1">IFERROR(__xludf.DUMMYFUNCTION("""COMPUTED_VALUE"""),19.337)</f>
        <v>19.337</v>
      </c>
      <c r="U3174" s="3" t="e">
        <f ca="1"/>
        <v>#NAME?</v>
      </c>
    </row>
    <row r="3175" spans="3:21" ht="12.5" x14ac:dyDescent="0.25">
      <c r="C3175" s="4">
        <f ca="1">IFERROR(__xludf.DUMMYFUNCTION("""COMPUTED_VALUE"""),43584.9986111111)</f>
        <v>43584.998611111099</v>
      </c>
      <c r="D3175" s="2">
        <f ca="1">IFERROR(__xludf.DUMMYFUNCTION("""COMPUTED_VALUE"""),69.8118)</f>
        <v>69.811800000000005</v>
      </c>
      <c r="F3175" s="2">
        <f ca="1">IFERROR(__xludf.DUMMYFUNCTION("""COMPUTED_VALUE"""),90.565)</f>
        <v>90.564999999999998</v>
      </c>
      <c r="M3175" s="2">
        <f ca="1">IFERROR(__xludf.DUMMYFUNCTION("""COMPUTED_VALUE"""),19.482)</f>
        <v>19.481999999999999</v>
      </c>
      <c r="U3175" s="3" t="e">
        <f ca="1"/>
        <v>#NAME?</v>
      </c>
    </row>
    <row r="3176" spans="3:21" ht="12.5" x14ac:dyDescent="0.25">
      <c r="C3176" s="4">
        <f ca="1">IFERROR(__xludf.DUMMYFUNCTION("""COMPUTED_VALUE"""),43585.9986111111)</f>
        <v>43585.998611111099</v>
      </c>
      <c r="D3176" s="2">
        <f ca="1">IFERROR(__xludf.DUMMYFUNCTION("""COMPUTED_VALUE"""),69.556)</f>
        <v>69.555999999999997</v>
      </c>
      <c r="F3176" s="2">
        <f ca="1">IFERROR(__xludf.DUMMYFUNCTION("""COMPUTED_VALUE"""),90.565)</f>
        <v>90.564999999999998</v>
      </c>
      <c r="M3176" s="2">
        <f ca="1">IFERROR(__xludf.DUMMYFUNCTION("""COMPUTED_VALUE"""),19.52)</f>
        <v>19.52</v>
      </c>
      <c r="U3176" s="3" t="e">
        <f ca="1"/>
        <v>#NAME?</v>
      </c>
    </row>
    <row r="3177" spans="3:21" ht="12.5" x14ac:dyDescent="0.25">
      <c r="C3177" s="4">
        <f ca="1">IFERROR(__xludf.DUMMYFUNCTION("""COMPUTED_VALUE"""),43586.9986111111)</f>
        <v>43586.998611111099</v>
      </c>
      <c r="D3177" s="2">
        <f ca="1">IFERROR(__xludf.DUMMYFUNCTION("""COMPUTED_VALUE"""),69.6329)</f>
        <v>69.632900000000006</v>
      </c>
      <c r="F3177" s="2">
        <f ca="1">IFERROR(__xludf.DUMMYFUNCTION("""COMPUTED_VALUE"""),90.565)</f>
        <v>90.564999999999998</v>
      </c>
      <c r="M3177" s="2">
        <f ca="1">IFERROR(__xludf.DUMMYFUNCTION("""COMPUTED_VALUE"""),19.364)</f>
        <v>19.364000000000001</v>
      </c>
      <c r="U3177" s="3" t="e">
        <f ca="1"/>
        <v>#NAME?</v>
      </c>
    </row>
    <row r="3178" spans="3:21" ht="12.5" x14ac:dyDescent="0.25">
      <c r="C3178" s="4">
        <f ca="1">IFERROR(__xludf.DUMMYFUNCTION("""COMPUTED_VALUE"""),43587.9986111111)</f>
        <v>43587.998611111099</v>
      </c>
      <c r="D3178" s="2">
        <f ca="1">IFERROR(__xludf.DUMMYFUNCTION("""COMPUTED_VALUE"""),69.4244)</f>
        <v>69.424400000000006</v>
      </c>
      <c r="F3178" s="2">
        <f ca="1">IFERROR(__xludf.DUMMYFUNCTION("""COMPUTED_VALUE"""),90.44)</f>
        <v>90.44</v>
      </c>
      <c r="M3178" s="2">
        <f ca="1">IFERROR(__xludf.DUMMYFUNCTION("""COMPUTED_VALUE"""),19.431)</f>
        <v>19.431000000000001</v>
      </c>
      <c r="U3178" s="3" t="e">
        <f ca="1"/>
        <v>#NAME?</v>
      </c>
    </row>
    <row r="3179" spans="3:21" ht="12.5" x14ac:dyDescent="0.25">
      <c r="C3179" s="4">
        <f ca="1">IFERROR(__xludf.DUMMYFUNCTION("""COMPUTED_VALUE"""),43588.9986111111)</f>
        <v>43588.998611111099</v>
      </c>
      <c r="D3179" s="2">
        <f ca="1">IFERROR(__xludf.DUMMYFUNCTION("""COMPUTED_VALUE"""),69.168)</f>
        <v>69.168000000000006</v>
      </c>
      <c r="F3179" s="2">
        <f ca="1">IFERROR(__xludf.DUMMYFUNCTION("""COMPUTED_VALUE"""),90.445)</f>
        <v>90.444999999999993</v>
      </c>
      <c r="M3179" s="2">
        <f ca="1">IFERROR(__xludf.DUMMYFUNCTION("""COMPUTED_VALUE"""),19.383)</f>
        <v>19.382999999999999</v>
      </c>
      <c r="U3179" s="3" t="e">
        <f ca="1"/>
        <v>#NAME?</v>
      </c>
    </row>
    <row r="3180" spans="3:21" ht="12.5" x14ac:dyDescent="0.25">
      <c r="C3180" s="4">
        <f ca="1">IFERROR(__xludf.DUMMYFUNCTION("""COMPUTED_VALUE"""),43589.9986111111)</f>
        <v>43589.998611111099</v>
      </c>
      <c r="D3180" s="2">
        <f ca="1">IFERROR(__xludf.DUMMYFUNCTION("""COMPUTED_VALUE"""),69.168)</f>
        <v>69.168000000000006</v>
      </c>
      <c r="F3180" s="2">
        <f ca="1">IFERROR(__xludf.DUMMYFUNCTION("""COMPUTED_VALUE"""),90.705)</f>
        <v>90.704999999999998</v>
      </c>
      <c r="M3180" s="2">
        <f ca="1">IFERROR(__xludf.DUMMYFUNCTION("""COMPUTED_VALUE"""),19.382)</f>
        <v>19.382000000000001</v>
      </c>
      <c r="U3180" s="3" t="e">
        <f ca="1"/>
        <v>#NAME?</v>
      </c>
    </row>
    <row r="3181" spans="3:21" ht="12.5" x14ac:dyDescent="0.25">
      <c r="C3181" s="4">
        <f ca="1">IFERROR(__xludf.DUMMYFUNCTION("""COMPUTED_VALUE"""),43590.9986111111)</f>
        <v>43590.998611111099</v>
      </c>
      <c r="D3181" s="2">
        <f ca="1">IFERROR(__xludf.DUMMYFUNCTION("""COMPUTED_VALUE"""),69.168)</f>
        <v>69.168000000000006</v>
      </c>
      <c r="F3181" s="2">
        <f ca="1">IFERROR(__xludf.DUMMYFUNCTION("""COMPUTED_VALUE"""),90.169)</f>
        <v>90.168999999999997</v>
      </c>
      <c r="M3181" s="2">
        <f ca="1">IFERROR(__xludf.DUMMYFUNCTION("""COMPUTED_VALUE"""),19.336)</f>
        <v>19.335999999999999</v>
      </c>
      <c r="U3181" s="3" t="e">
        <f ca="1"/>
        <v>#NAME?</v>
      </c>
    </row>
    <row r="3182" spans="3:21" ht="12.5" x14ac:dyDescent="0.25">
      <c r="C3182" s="4">
        <f ca="1">IFERROR(__xludf.DUMMYFUNCTION("""COMPUTED_VALUE"""),43591.9986111111)</f>
        <v>43591.998611111099</v>
      </c>
      <c r="D3182" s="2">
        <f ca="1">IFERROR(__xludf.DUMMYFUNCTION("""COMPUTED_VALUE"""),69.4003)</f>
        <v>69.400300000000001</v>
      </c>
      <c r="F3182" s="2">
        <f ca="1">IFERROR(__xludf.DUMMYFUNCTION("""COMPUTED_VALUE"""),90.235)</f>
        <v>90.234999999999999</v>
      </c>
      <c r="M3182" s="2">
        <f ca="1">IFERROR(__xludf.DUMMYFUNCTION("""COMPUTED_VALUE"""),19.318)</f>
        <v>19.318000000000001</v>
      </c>
      <c r="U3182" s="3" t="e">
        <f ca="1"/>
        <v>#NAME?</v>
      </c>
    </row>
    <row r="3183" spans="3:21" ht="12.5" x14ac:dyDescent="0.25">
      <c r="C3183" s="4">
        <f ca="1">IFERROR(__xludf.DUMMYFUNCTION("""COMPUTED_VALUE"""),43592.9986111111)</f>
        <v>43592.998611111099</v>
      </c>
      <c r="D3183" s="2">
        <f ca="1">IFERROR(__xludf.DUMMYFUNCTION("""COMPUTED_VALUE"""),69.91)</f>
        <v>69.91</v>
      </c>
      <c r="F3183" s="2">
        <f ca="1">IFERROR(__xludf.DUMMYFUNCTION("""COMPUTED_VALUE"""),90.224)</f>
        <v>90.224000000000004</v>
      </c>
      <c r="M3183" s="2">
        <f ca="1">IFERROR(__xludf.DUMMYFUNCTION("""COMPUTED_VALUE"""),19.411)</f>
        <v>19.411000000000001</v>
      </c>
      <c r="U3183" s="3" t="e">
        <f ca="1"/>
        <v>#NAME?</v>
      </c>
    </row>
    <row r="3184" spans="3:21" ht="12.5" x14ac:dyDescent="0.25">
      <c r="C3184" s="4">
        <f ca="1">IFERROR(__xludf.DUMMYFUNCTION("""COMPUTED_VALUE"""),43593.9986111111)</f>
        <v>43593.998611111099</v>
      </c>
      <c r="D3184" s="2">
        <f ca="1">IFERROR(__xludf.DUMMYFUNCTION("""COMPUTED_VALUE"""),70.01)</f>
        <v>70.010000000000005</v>
      </c>
      <c r="F3184" s="2">
        <f ca="1">IFERROR(__xludf.DUMMYFUNCTION("""COMPUTED_VALUE"""),90.152)</f>
        <v>90.152000000000001</v>
      </c>
      <c r="M3184" s="2">
        <f ca="1">IFERROR(__xludf.DUMMYFUNCTION("""COMPUTED_VALUE"""),19.393)</f>
        <v>19.393000000000001</v>
      </c>
      <c r="U3184" s="3" t="e">
        <f ca="1"/>
        <v>#NAME?</v>
      </c>
    </row>
    <row r="3185" spans="3:21" ht="12.5" x14ac:dyDescent="0.25">
      <c r="C3185" s="4">
        <f ca="1">IFERROR(__xludf.DUMMYFUNCTION("""COMPUTED_VALUE"""),43594.9986111111)</f>
        <v>43594.998611111099</v>
      </c>
      <c r="D3185" s="2">
        <f ca="1">IFERROR(__xludf.DUMMYFUNCTION("""COMPUTED_VALUE"""),70.41)</f>
        <v>70.41</v>
      </c>
      <c r="F3185" s="2">
        <f ca="1">IFERROR(__xludf.DUMMYFUNCTION("""COMPUTED_VALUE"""),90.823)</f>
        <v>90.822999999999993</v>
      </c>
      <c r="M3185" s="2">
        <f ca="1">IFERROR(__xludf.DUMMYFUNCTION("""COMPUTED_VALUE"""),19.245)</f>
        <v>19.245000000000001</v>
      </c>
      <c r="U3185" s="3" t="e">
        <f ca="1"/>
        <v>#NAME?</v>
      </c>
    </row>
    <row r="3186" spans="3:21" ht="12.5" x14ac:dyDescent="0.25">
      <c r="C3186" s="4">
        <f ca="1">IFERROR(__xludf.DUMMYFUNCTION("""COMPUTED_VALUE"""),43595.9986111111)</f>
        <v>43595.998611111099</v>
      </c>
      <c r="D3186" s="2">
        <f ca="1">IFERROR(__xludf.DUMMYFUNCTION("""COMPUTED_VALUE"""),69.924)</f>
        <v>69.924000000000007</v>
      </c>
      <c r="F3186" s="2">
        <f ca="1">IFERROR(__xludf.DUMMYFUNCTION("""COMPUTED_VALUE"""),90.441)</f>
        <v>90.441000000000003</v>
      </c>
      <c r="M3186" s="2">
        <f ca="1">IFERROR(__xludf.DUMMYFUNCTION("""COMPUTED_VALUE"""),19.23)</f>
        <v>19.23</v>
      </c>
      <c r="U3186" s="3" t="e">
        <f ca="1"/>
        <v>#NAME?</v>
      </c>
    </row>
    <row r="3187" spans="3:21" ht="12.5" x14ac:dyDescent="0.25">
      <c r="C3187" s="4">
        <f ca="1">IFERROR(__xludf.DUMMYFUNCTION("""COMPUTED_VALUE"""),43596.9986111111)</f>
        <v>43596.998611111099</v>
      </c>
      <c r="D3187" s="2">
        <f ca="1">IFERROR(__xludf.DUMMYFUNCTION("""COMPUTED_VALUE"""),69.924)</f>
        <v>69.924000000000007</v>
      </c>
      <c r="F3187" s="2">
        <f ca="1">IFERROR(__xludf.DUMMYFUNCTION("""COMPUTED_VALUE"""),90.531)</f>
        <v>90.531000000000006</v>
      </c>
      <c r="M3187" s="2">
        <f ca="1">IFERROR(__xludf.DUMMYFUNCTION("""COMPUTED_VALUE"""),19.195)</f>
        <v>19.195</v>
      </c>
      <c r="U3187" s="3" t="e">
        <f ca="1"/>
        <v>#NAME?</v>
      </c>
    </row>
    <row r="3188" spans="3:21" ht="12.5" x14ac:dyDescent="0.25">
      <c r="C3188" s="4">
        <f ca="1">IFERROR(__xludf.DUMMYFUNCTION("""COMPUTED_VALUE"""),43597.9986111111)</f>
        <v>43597.998611111099</v>
      </c>
      <c r="D3188" s="2">
        <f ca="1">IFERROR(__xludf.DUMMYFUNCTION("""COMPUTED_VALUE"""),69.9225)</f>
        <v>69.922499999999999</v>
      </c>
      <c r="F3188" s="2">
        <f ca="1">IFERROR(__xludf.DUMMYFUNCTION("""COMPUTED_VALUE"""),90.682)</f>
        <v>90.682000000000002</v>
      </c>
      <c r="M3188" s="2">
        <f ca="1">IFERROR(__xludf.DUMMYFUNCTION("""COMPUTED_VALUE"""),19.307)</f>
        <v>19.306999999999999</v>
      </c>
      <c r="U3188" s="3" t="e">
        <f ca="1"/>
        <v>#NAME?</v>
      </c>
    </row>
    <row r="3189" spans="3:21" ht="12.5" x14ac:dyDescent="0.25">
      <c r="C3189" s="4">
        <f ca="1">IFERROR(__xludf.DUMMYFUNCTION("""COMPUTED_VALUE"""),43598.9986111111)</f>
        <v>43598.998611111099</v>
      </c>
      <c r="D3189" s="2">
        <f ca="1">IFERROR(__xludf.DUMMYFUNCTION("""COMPUTED_VALUE"""),70.617)</f>
        <v>70.617000000000004</v>
      </c>
      <c r="F3189" s="2">
        <f ca="1">IFERROR(__xludf.DUMMYFUNCTION("""COMPUTED_VALUE"""),90.411)</f>
        <v>90.411000000000001</v>
      </c>
      <c r="M3189" s="2">
        <f ca="1">IFERROR(__xludf.DUMMYFUNCTION("""COMPUTED_VALUE"""),19.354)</f>
        <v>19.353999999999999</v>
      </c>
      <c r="U3189" s="3" t="e">
        <f ca="1"/>
        <v>#NAME?</v>
      </c>
    </row>
    <row r="3190" spans="3:21" ht="12.5" x14ac:dyDescent="0.25">
      <c r="C3190" s="4">
        <f ca="1">IFERROR(__xludf.DUMMYFUNCTION("""COMPUTED_VALUE"""),43599.9986111111)</f>
        <v>43599.998611111099</v>
      </c>
      <c r="D3190" s="2">
        <f ca="1">IFERROR(__xludf.DUMMYFUNCTION("""COMPUTED_VALUE"""),70.307)</f>
        <v>70.307000000000002</v>
      </c>
      <c r="F3190" s="2">
        <f ca="1">IFERROR(__xludf.DUMMYFUNCTION("""COMPUTED_VALUE"""),90.512)</f>
        <v>90.512</v>
      </c>
      <c r="M3190" s="2">
        <f ca="1">IFERROR(__xludf.DUMMYFUNCTION("""COMPUTED_VALUE"""),19.365)</f>
        <v>19.364999999999998</v>
      </c>
      <c r="U3190" s="3" t="e">
        <f ca="1"/>
        <v>#NAME?</v>
      </c>
    </row>
    <row r="3191" spans="3:21" ht="12.5" x14ac:dyDescent="0.25">
      <c r="C3191" s="4">
        <f ca="1">IFERROR(__xludf.DUMMYFUNCTION("""COMPUTED_VALUE"""),43600.9986111111)</f>
        <v>43600.998611111099</v>
      </c>
      <c r="D3191" s="2">
        <f ca="1">IFERROR(__xludf.DUMMYFUNCTION("""COMPUTED_VALUE"""),70.2092)</f>
        <v>70.209199999999996</v>
      </c>
      <c r="F3191" s="2">
        <f ca="1">IFERROR(__xludf.DUMMYFUNCTION("""COMPUTED_VALUE"""),90.454)</f>
        <v>90.453999999999994</v>
      </c>
      <c r="M3191" s="2">
        <f ca="1">IFERROR(__xludf.DUMMYFUNCTION("""COMPUTED_VALUE"""),19.332)</f>
        <v>19.332000000000001</v>
      </c>
      <c r="U3191" s="3" t="e">
        <f ca="1"/>
        <v>#NAME?</v>
      </c>
    </row>
    <row r="3192" spans="3:21" ht="12.5" x14ac:dyDescent="0.25">
      <c r="C3192" s="4">
        <f ca="1">IFERROR(__xludf.DUMMYFUNCTION("""COMPUTED_VALUE"""),43601.9986111111)</f>
        <v>43601.998611111099</v>
      </c>
      <c r="D3192" s="2">
        <f ca="1">IFERROR(__xludf.DUMMYFUNCTION("""COMPUTED_VALUE"""),70.235)</f>
        <v>70.234999999999999</v>
      </c>
      <c r="F3192" s="2">
        <f ca="1">IFERROR(__xludf.DUMMYFUNCTION("""COMPUTED_VALUE"""),91.45)</f>
        <v>91.45</v>
      </c>
      <c r="M3192" s="2">
        <f ca="1">IFERROR(__xludf.DUMMYFUNCTION("""COMPUTED_VALUE"""),19.278)</f>
        <v>19.277999999999999</v>
      </c>
      <c r="U3192" s="3" t="e">
        <f ca="1"/>
        <v>#NAME?</v>
      </c>
    </row>
    <row r="3193" spans="3:21" ht="12.5" x14ac:dyDescent="0.25">
      <c r="C3193" s="4">
        <f ca="1">IFERROR(__xludf.DUMMYFUNCTION("""COMPUTED_VALUE"""),43602.9986111111)</f>
        <v>43602.998611111099</v>
      </c>
      <c r="D3193" s="2">
        <f ca="1">IFERROR(__xludf.DUMMYFUNCTION("""COMPUTED_VALUE"""),70.3405)</f>
        <v>70.340500000000006</v>
      </c>
      <c r="F3193" s="2">
        <f ca="1">IFERROR(__xludf.DUMMYFUNCTION("""COMPUTED_VALUE"""),91.161)</f>
        <v>91.161000000000001</v>
      </c>
      <c r="M3193" s="2">
        <f ca="1">IFERROR(__xludf.DUMMYFUNCTION("""COMPUTED_VALUE"""),19.276)</f>
        <v>19.276</v>
      </c>
      <c r="U3193" s="3" t="e">
        <f ca="1"/>
        <v>#NAME?</v>
      </c>
    </row>
    <row r="3194" spans="3:21" ht="12.5" x14ac:dyDescent="0.25">
      <c r="C3194" s="4">
        <f ca="1">IFERROR(__xludf.DUMMYFUNCTION("""COMPUTED_VALUE"""),43603.9986111111)</f>
        <v>43603.998611111099</v>
      </c>
      <c r="D3194" s="2">
        <f ca="1">IFERROR(__xludf.DUMMYFUNCTION("""COMPUTED_VALUE"""),70.3405)</f>
        <v>70.340500000000006</v>
      </c>
      <c r="F3194" s="2">
        <f ca="1">IFERROR(__xludf.DUMMYFUNCTION("""COMPUTED_VALUE"""),90.484)</f>
        <v>90.483999999999995</v>
      </c>
      <c r="M3194" s="2">
        <f ca="1">IFERROR(__xludf.DUMMYFUNCTION("""COMPUTED_VALUE"""),19.281)</f>
        <v>19.280999999999999</v>
      </c>
      <c r="U3194" s="3" t="e">
        <f ca="1"/>
        <v>#NAME?</v>
      </c>
    </row>
    <row r="3195" spans="3:21" ht="12.5" x14ac:dyDescent="0.25">
      <c r="C3195" s="4">
        <f ca="1">IFERROR(__xludf.DUMMYFUNCTION("""COMPUTED_VALUE"""),43604.9986111111)</f>
        <v>43604.998611111099</v>
      </c>
      <c r="D3195" s="2">
        <f ca="1">IFERROR(__xludf.DUMMYFUNCTION("""COMPUTED_VALUE"""),70.2815)</f>
        <v>70.281499999999994</v>
      </c>
      <c r="F3195" s="2">
        <f ca="1">IFERROR(__xludf.DUMMYFUNCTION("""COMPUTED_VALUE"""),90.14)</f>
        <v>90.14</v>
      </c>
      <c r="M3195" s="2">
        <f ca="1">IFERROR(__xludf.DUMMYFUNCTION("""COMPUTED_VALUE"""),19.429)</f>
        <v>19.428999999999998</v>
      </c>
      <c r="U3195" s="3" t="e">
        <f ca="1"/>
        <v>#NAME?</v>
      </c>
    </row>
    <row r="3196" spans="3:21" ht="12.5" x14ac:dyDescent="0.25">
      <c r="C3196" s="4">
        <f ca="1">IFERROR(__xludf.DUMMYFUNCTION("""COMPUTED_VALUE"""),43605.9986111111)</f>
        <v>43605.998611111099</v>
      </c>
      <c r="D3196" s="2">
        <f ca="1">IFERROR(__xludf.DUMMYFUNCTION("""COMPUTED_VALUE"""),70.1275)</f>
        <v>70.127499999999998</v>
      </c>
      <c r="F3196" s="2">
        <f ca="1">IFERROR(__xludf.DUMMYFUNCTION("""COMPUTED_VALUE"""),90.078)</f>
        <v>90.078000000000003</v>
      </c>
      <c r="M3196" s="2">
        <f ca="1">IFERROR(__xludf.DUMMYFUNCTION("""COMPUTED_VALUE"""),19.483)</f>
        <v>19.483000000000001</v>
      </c>
      <c r="U3196" s="3" t="e">
        <f ca="1"/>
        <v>#NAME?</v>
      </c>
    </row>
    <row r="3197" spans="3:21" ht="12.5" x14ac:dyDescent="0.25">
      <c r="C3197" s="4">
        <f ca="1">IFERROR(__xludf.DUMMYFUNCTION("""COMPUTED_VALUE"""),43606.9986111111)</f>
        <v>43606.998611111099</v>
      </c>
      <c r="D3197" s="2">
        <f ca="1">IFERROR(__xludf.DUMMYFUNCTION("""COMPUTED_VALUE"""),69.97)</f>
        <v>69.97</v>
      </c>
      <c r="F3197" s="2">
        <f ca="1">IFERROR(__xludf.DUMMYFUNCTION("""COMPUTED_VALUE"""),90.142)</f>
        <v>90.141999999999996</v>
      </c>
      <c r="M3197" s="2">
        <f ca="1">IFERROR(__xludf.DUMMYFUNCTION("""COMPUTED_VALUE"""),19.438)</f>
        <v>19.437999999999999</v>
      </c>
      <c r="U3197" s="3" t="e">
        <f ca="1"/>
        <v>#NAME?</v>
      </c>
    </row>
    <row r="3198" spans="3:21" ht="12.5" x14ac:dyDescent="0.25">
      <c r="C3198" s="4">
        <f ca="1">IFERROR(__xludf.DUMMYFUNCTION("""COMPUTED_VALUE"""),43607.9986111111)</f>
        <v>43607.998611111099</v>
      </c>
      <c r="D3198" s="2">
        <f ca="1">IFERROR(__xludf.DUMMYFUNCTION("""COMPUTED_VALUE"""),69.9725)</f>
        <v>69.972499999999997</v>
      </c>
      <c r="F3198" s="2">
        <f ca="1">IFERROR(__xludf.DUMMYFUNCTION("""COMPUTED_VALUE"""),90.132)</f>
        <v>90.132000000000005</v>
      </c>
      <c r="M3198" s="2">
        <f ca="1">IFERROR(__xludf.DUMMYFUNCTION("""COMPUTED_VALUE"""),19.384)</f>
        <v>19.384</v>
      </c>
      <c r="U3198" s="3" t="e">
        <f ca="1"/>
        <v>#NAME?</v>
      </c>
    </row>
    <row r="3199" spans="3:21" ht="12.5" x14ac:dyDescent="0.25">
      <c r="C3199" s="4">
        <f ca="1">IFERROR(__xludf.DUMMYFUNCTION("""COMPUTED_VALUE"""),43608.9986111111)</f>
        <v>43608.998611111099</v>
      </c>
      <c r="D3199" s="2">
        <f ca="1">IFERROR(__xludf.DUMMYFUNCTION("""COMPUTED_VALUE"""),69.945)</f>
        <v>69.944999999999993</v>
      </c>
      <c r="F3199" s="2">
        <f ca="1">IFERROR(__xludf.DUMMYFUNCTION("""COMPUTED_VALUE"""),90.955)</f>
        <v>90.954999999999998</v>
      </c>
      <c r="M3199" s="2">
        <f ca="1">IFERROR(__xludf.DUMMYFUNCTION("""COMPUTED_VALUE"""),19.297)</f>
        <v>19.297000000000001</v>
      </c>
      <c r="U3199" s="3" t="e">
        <f ca="1"/>
        <v>#NAME?</v>
      </c>
    </row>
    <row r="3200" spans="3:21" ht="12.5" x14ac:dyDescent="0.25">
      <c r="C3200" s="4">
        <f ca="1">IFERROR(__xludf.DUMMYFUNCTION("""COMPUTED_VALUE"""),43609.9986111111)</f>
        <v>43609.998611111099</v>
      </c>
      <c r="D3200" s="2">
        <f ca="1">IFERROR(__xludf.DUMMYFUNCTION("""COMPUTED_VALUE"""),69.36)</f>
        <v>69.36</v>
      </c>
      <c r="F3200" s="2">
        <f ca="1">IFERROR(__xludf.DUMMYFUNCTION("""COMPUTED_VALUE"""),90.243)</f>
        <v>90.242999999999995</v>
      </c>
      <c r="M3200" s="2">
        <f ca="1">IFERROR(__xludf.DUMMYFUNCTION("""COMPUTED_VALUE"""),19.30812)</f>
        <v>19.308119999999999</v>
      </c>
      <c r="U3200" s="3" t="e">
        <f ca="1"/>
        <v>#NAME?</v>
      </c>
    </row>
    <row r="3201" spans="3:21" ht="12.5" x14ac:dyDescent="0.25">
      <c r="C3201" s="4">
        <f ca="1">IFERROR(__xludf.DUMMYFUNCTION("""COMPUTED_VALUE"""),43610.9986111111)</f>
        <v>43610.998611111099</v>
      </c>
      <c r="D3201" s="2">
        <f ca="1">IFERROR(__xludf.DUMMYFUNCTION("""COMPUTED_VALUE"""),69.373)</f>
        <v>69.373000000000005</v>
      </c>
      <c r="F3201" s="2">
        <f ca="1">IFERROR(__xludf.DUMMYFUNCTION("""COMPUTED_VALUE"""),90.458)</f>
        <v>90.457999999999998</v>
      </c>
      <c r="M3201" s="2">
        <f ca="1">IFERROR(__xludf.DUMMYFUNCTION("""COMPUTED_VALUE"""),19.44981)</f>
        <v>19.449809999999999</v>
      </c>
      <c r="U3201" s="3" t="e">
        <f ca="1"/>
        <v>#NAME?</v>
      </c>
    </row>
    <row r="3202" spans="3:21" ht="12.5" x14ac:dyDescent="0.25">
      <c r="C3202" s="4">
        <f ca="1">IFERROR(__xludf.DUMMYFUNCTION("""COMPUTED_VALUE"""),43611.9986111111)</f>
        <v>43611.998611111099</v>
      </c>
      <c r="D3202" s="2">
        <f ca="1">IFERROR(__xludf.DUMMYFUNCTION("""COMPUTED_VALUE"""),69.36)</f>
        <v>69.36</v>
      </c>
      <c r="F3202" s="2">
        <f ca="1">IFERROR(__xludf.DUMMYFUNCTION("""COMPUTED_VALUE"""),90.483)</f>
        <v>90.483000000000004</v>
      </c>
      <c r="M3202" s="2">
        <f ca="1">IFERROR(__xludf.DUMMYFUNCTION("""COMPUTED_VALUE"""),19.53895)</f>
        <v>19.53895</v>
      </c>
      <c r="U3202" s="3" t="e">
        <f ca="1"/>
        <v>#NAME?</v>
      </c>
    </row>
    <row r="3203" spans="3:21" ht="12.5" x14ac:dyDescent="0.25">
      <c r="C3203" s="4">
        <f ca="1">IFERROR(__xludf.DUMMYFUNCTION("""COMPUTED_VALUE"""),43612.9986111111)</f>
        <v>43612.998611111099</v>
      </c>
      <c r="D3203" s="2">
        <f ca="1">IFERROR(__xludf.DUMMYFUNCTION("""COMPUTED_VALUE"""),69.72)</f>
        <v>69.72</v>
      </c>
      <c r="F3203" s="2">
        <f ca="1">IFERROR(__xludf.DUMMYFUNCTION("""COMPUTED_VALUE"""),90.211)</f>
        <v>90.210999999999999</v>
      </c>
      <c r="M3203" s="2">
        <f ca="1">IFERROR(__xludf.DUMMYFUNCTION("""COMPUTED_VALUE"""),19.42314)</f>
        <v>19.42314</v>
      </c>
      <c r="U3203" s="3" t="e">
        <f ca="1"/>
        <v>#NAME?</v>
      </c>
    </row>
    <row r="3204" spans="3:21" ht="12.5" x14ac:dyDescent="0.25">
      <c r="C3204" s="4">
        <f ca="1">IFERROR(__xludf.DUMMYFUNCTION("""COMPUTED_VALUE"""),43613.9986111111)</f>
        <v>43613.998611111099</v>
      </c>
      <c r="D3204" s="2">
        <f ca="1">IFERROR(__xludf.DUMMYFUNCTION("""COMPUTED_VALUE"""),69.875)</f>
        <v>69.875</v>
      </c>
      <c r="F3204" s="2">
        <f ca="1">IFERROR(__xludf.DUMMYFUNCTION("""COMPUTED_VALUE"""),90.206)</f>
        <v>90.206000000000003</v>
      </c>
      <c r="M3204" s="2">
        <f ca="1">IFERROR(__xludf.DUMMYFUNCTION("""COMPUTED_VALUE"""),19.44165)</f>
        <v>19.441649999999999</v>
      </c>
      <c r="U3204" s="3" t="e">
        <f ca="1"/>
        <v>#NAME?</v>
      </c>
    </row>
    <row r="3205" spans="3:21" ht="12.5" x14ac:dyDescent="0.25">
      <c r="C3205" s="4">
        <f ca="1">IFERROR(__xludf.DUMMYFUNCTION("""COMPUTED_VALUE"""),43614.9986111111)</f>
        <v>43614.998611111099</v>
      </c>
      <c r="D3205" s="2">
        <f ca="1">IFERROR(__xludf.DUMMYFUNCTION("""COMPUTED_VALUE"""),69.815)</f>
        <v>69.814999999999998</v>
      </c>
      <c r="F3205" s="2">
        <f ca="1">IFERROR(__xludf.DUMMYFUNCTION("""COMPUTED_VALUE"""),90.227)</f>
        <v>90.227000000000004</v>
      </c>
      <c r="M3205" s="2">
        <f ca="1">IFERROR(__xludf.DUMMYFUNCTION("""COMPUTED_VALUE"""),19.34858)</f>
        <v>19.348579999999998</v>
      </c>
      <c r="U3205" s="3" t="e">
        <f ca="1"/>
        <v>#NAME?</v>
      </c>
    </row>
    <row r="3206" spans="3:21" ht="12.5" x14ac:dyDescent="0.25">
      <c r="C3206" s="4">
        <f ca="1">IFERROR(__xludf.DUMMYFUNCTION("""COMPUTED_VALUE"""),43615.9986111111)</f>
        <v>43615.998611111099</v>
      </c>
      <c r="D3206" s="2">
        <f ca="1">IFERROR(__xludf.DUMMYFUNCTION("""COMPUTED_VALUE"""),69.98)</f>
        <v>69.98</v>
      </c>
      <c r="F3206" s="2">
        <f ca="1">IFERROR(__xludf.DUMMYFUNCTION("""COMPUTED_VALUE"""),90.266)</f>
        <v>90.266000000000005</v>
      </c>
      <c r="M3206" s="2">
        <f ca="1">IFERROR(__xludf.DUMMYFUNCTION("""COMPUTED_VALUE"""),19.3531)</f>
        <v>19.353100000000001</v>
      </c>
      <c r="U3206" s="3" t="e">
        <f ca="1"/>
        <v>#NAME?</v>
      </c>
    </row>
    <row r="3207" spans="3:21" ht="12.5" x14ac:dyDescent="0.25">
      <c r="C3207" s="4">
        <f ca="1">IFERROR(__xludf.DUMMYFUNCTION("""COMPUTED_VALUE"""),43616.9986111111)</f>
        <v>43616.998611111099</v>
      </c>
      <c r="D3207" s="2">
        <f ca="1">IFERROR(__xludf.DUMMYFUNCTION("""COMPUTED_VALUE"""),69.5696)</f>
        <v>69.569599999999994</v>
      </c>
      <c r="F3207" s="2">
        <f ca="1">IFERROR(__xludf.DUMMYFUNCTION("""COMPUTED_VALUE"""),90.686)</f>
        <v>90.686000000000007</v>
      </c>
      <c r="M3207" s="2">
        <f ca="1">IFERROR(__xludf.DUMMYFUNCTION("""COMPUTED_VALUE"""),19.35523)</f>
        <v>19.355229999999999</v>
      </c>
      <c r="U3207" s="3" t="e">
        <f ca="1"/>
        <v>#NAME?</v>
      </c>
    </row>
    <row r="3208" spans="3:21" ht="12.5" x14ac:dyDescent="0.25">
      <c r="C3208" s="4">
        <f ca="1">IFERROR(__xludf.DUMMYFUNCTION("""COMPUTED_VALUE"""),43617.9986111111)</f>
        <v>43617.998611111099</v>
      </c>
      <c r="D3208" s="2">
        <f ca="1">IFERROR(__xludf.DUMMYFUNCTION("""COMPUTED_VALUE"""),69.5693)</f>
        <v>69.569299999999998</v>
      </c>
      <c r="F3208" s="2">
        <f ca="1">IFERROR(__xludf.DUMMYFUNCTION("""COMPUTED_VALUE"""),90.892)</f>
        <v>90.891999999999996</v>
      </c>
      <c r="M3208" s="2">
        <f ca="1">IFERROR(__xludf.DUMMYFUNCTION("""COMPUTED_VALUE"""),19.34707)</f>
        <v>19.347069999999999</v>
      </c>
      <c r="U3208" s="3" t="e">
        <f ca="1"/>
        <v>#NAME?</v>
      </c>
    </row>
    <row r="3209" spans="3:21" ht="12.5" x14ac:dyDescent="0.25">
      <c r="C3209" s="4">
        <f ca="1">IFERROR(__xludf.DUMMYFUNCTION("""COMPUTED_VALUE"""),43618.9986111111)</f>
        <v>43618.998611111099</v>
      </c>
      <c r="D3209" s="2">
        <f ca="1">IFERROR(__xludf.DUMMYFUNCTION("""COMPUTED_VALUE"""),69.5696)</f>
        <v>69.569599999999994</v>
      </c>
      <c r="F3209" s="2">
        <f ca="1">IFERROR(__xludf.DUMMYFUNCTION("""COMPUTED_VALUE"""),90.473)</f>
        <v>90.472999999999999</v>
      </c>
      <c r="M3209" s="2">
        <f ca="1">IFERROR(__xludf.DUMMYFUNCTION("""COMPUTED_VALUE"""),19.25011)</f>
        <v>19.250109999999999</v>
      </c>
      <c r="U3209" s="3" t="e">
        <f ca="1"/>
        <v>#NAME?</v>
      </c>
    </row>
    <row r="3210" spans="3:21" ht="12.5" x14ac:dyDescent="0.25">
      <c r="C3210" s="4">
        <f ca="1">IFERROR(__xludf.DUMMYFUNCTION("""COMPUTED_VALUE"""),43619.9986111111)</f>
        <v>43619.998611111099</v>
      </c>
      <c r="D3210" s="2">
        <f ca="1">IFERROR(__xludf.DUMMYFUNCTION("""COMPUTED_VALUE"""),69.1619)</f>
        <v>69.161900000000003</v>
      </c>
      <c r="F3210" s="2">
        <f ca="1">IFERROR(__xludf.DUMMYFUNCTION("""COMPUTED_VALUE"""),91.106)</f>
        <v>91.105999999999995</v>
      </c>
      <c r="M3210" s="2">
        <f ca="1">IFERROR(__xludf.DUMMYFUNCTION("""COMPUTED_VALUE"""),19.38267)</f>
        <v>19.382670000000001</v>
      </c>
      <c r="U3210" s="3" t="e">
        <f ca="1"/>
        <v>#NAME?</v>
      </c>
    </row>
    <row r="3211" spans="3:21" ht="12.5" x14ac:dyDescent="0.25">
      <c r="C3211" s="4">
        <f ca="1">IFERROR(__xludf.DUMMYFUNCTION("""COMPUTED_VALUE"""),43620.9986111111)</f>
        <v>43620.998611111099</v>
      </c>
      <c r="D3211" s="2">
        <f ca="1">IFERROR(__xludf.DUMMYFUNCTION("""COMPUTED_VALUE"""),69.56)</f>
        <v>69.56</v>
      </c>
      <c r="F3211" s="2">
        <f ca="1">IFERROR(__xludf.DUMMYFUNCTION("""COMPUTED_VALUE"""),91.105)</f>
        <v>91.105000000000004</v>
      </c>
      <c r="M3211" s="2">
        <f ca="1">IFERROR(__xludf.DUMMYFUNCTION("""COMPUTED_VALUE"""),19.26111)</f>
        <v>19.261109999999999</v>
      </c>
      <c r="U3211" s="3" t="e">
        <f ca="1"/>
        <v>#NAME?</v>
      </c>
    </row>
    <row r="3212" spans="3:21" ht="12.5" x14ac:dyDescent="0.25">
      <c r="C3212" s="4">
        <f ca="1">IFERROR(__xludf.DUMMYFUNCTION("""COMPUTED_VALUE"""),43621.9986111111)</f>
        <v>43621.998611111099</v>
      </c>
      <c r="D3212" s="2">
        <f ca="1">IFERROR(__xludf.DUMMYFUNCTION("""COMPUTED_VALUE"""),69.625)</f>
        <v>69.625</v>
      </c>
      <c r="F3212" s="2">
        <f ca="1">IFERROR(__xludf.DUMMYFUNCTION("""COMPUTED_VALUE"""),91.066)</f>
        <v>91.066000000000003</v>
      </c>
      <c r="M3212" s="2">
        <f ca="1">IFERROR(__xludf.DUMMYFUNCTION("""COMPUTED_VALUE"""),19.28574)</f>
        <v>19.285740000000001</v>
      </c>
      <c r="U3212" s="3" t="e">
        <f ca="1"/>
        <v>#NAME?</v>
      </c>
    </row>
    <row r="3213" spans="3:21" ht="12.5" x14ac:dyDescent="0.25">
      <c r="C3213" s="4">
        <f ca="1">IFERROR(__xludf.DUMMYFUNCTION("""COMPUTED_VALUE"""),43622.9986111111)</f>
        <v>43622.998611111099</v>
      </c>
      <c r="D3213" s="2">
        <f ca="1">IFERROR(__xludf.DUMMYFUNCTION("""COMPUTED_VALUE"""),69.36)</f>
        <v>69.36</v>
      </c>
      <c r="F3213" s="2">
        <f ca="1">IFERROR(__xludf.DUMMYFUNCTION("""COMPUTED_VALUE"""),90.886)</f>
        <v>90.885999999999996</v>
      </c>
      <c r="M3213" s="2">
        <f ca="1">IFERROR(__xludf.DUMMYFUNCTION("""COMPUTED_VALUE"""),19.25624)</f>
        <v>19.256239999999998</v>
      </c>
      <c r="U3213" s="3" t="e">
        <f ca="1"/>
        <v>#NAME?</v>
      </c>
    </row>
    <row r="3214" spans="3:21" ht="12.5" x14ac:dyDescent="0.25">
      <c r="C3214" s="4">
        <f ca="1">IFERROR(__xludf.DUMMYFUNCTION("""COMPUTED_VALUE"""),43623.9986111111)</f>
        <v>43623.998611111099</v>
      </c>
      <c r="D3214" s="2">
        <f ca="1">IFERROR(__xludf.DUMMYFUNCTION("""COMPUTED_VALUE"""),69.374)</f>
        <v>69.373999999999995</v>
      </c>
      <c r="F3214" s="2">
        <f ca="1">IFERROR(__xludf.DUMMYFUNCTION("""COMPUTED_VALUE"""),91.367)</f>
        <v>91.367000000000004</v>
      </c>
      <c r="M3214" s="2">
        <f ca="1">IFERROR(__xludf.DUMMYFUNCTION("""COMPUTED_VALUE"""),19.29688)</f>
        <v>19.296880000000002</v>
      </c>
      <c r="U3214" s="3" t="e">
        <f ca="1"/>
        <v>#NAME?</v>
      </c>
    </row>
    <row r="3215" spans="3:21" ht="12.5" x14ac:dyDescent="0.25">
      <c r="C3215" s="4">
        <f ca="1">IFERROR(__xludf.DUMMYFUNCTION("""COMPUTED_VALUE"""),43624.9986111111)</f>
        <v>43624.998611111099</v>
      </c>
      <c r="D3215" s="2">
        <f ca="1">IFERROR(__xludf.DUMMYFUNCTION("""COMPUTED_VALUE"""),69.374)</f>
        <v>69.373999999999995</v>
      </c>
      <c r="F3215" s="2">
        <f ca="1">IFERROR(__xludf.DUMMYFUNCTION("""COMPUTED_VALUE"""),91.111)</f>
        <v>91.111000000000004</v>
      </c>
      <c r="M3215" s="2">
        <f ca="1">IFERROR(__xludf.DUMMYFUNCTION("""COMPUTED_VALUE"""),19.33708)</f>
        <v>19.33708</v>
      </c>
      <c r="U3215" s="3" t="e">
        <f ca="1"/>
        <v>#NAME?</v>
      </c>
    </row>
    <row r="3216" spans="3:21" ht="12.5" x14ac:dyDescent="0.25">
      <c r="C3216" s="4">
        <f ca="1">IFERROR(__xludf.DUMMYFUNCTION("""COMPUTED_VALUE"""),43625.9986111111)</f>
        <v>43625.998611111099</v>
      </c>
      <c r="D3216" s="2">
        <f ca="1">IFERROR(__xludf.DUMMYFUNCTION("""COMPUTED_VALUE"""),69.345)</f>
        <v>69.344999999999999</v>
      </c>
      <c r="F3216" s="2">
        <f ca="1">IFERROR(__xludf.DUMMYFUNCTION("""COMPUTED_VALUE"""),91.596)</f>
        <v>91.596000000000004</v>
      </c>
      <c r="M3216" s="2">
        <f ca="1">IFERROR(__xludf.DUMMYFUNCTION("""COMPUTED_VALUE"""),19.34361)</f>
        <v>19.343610000000002</v>
      </c>
      <c r="U3216" s="3" t="e">
        <f ca="1"/>
        <v>#NAME?</v>
      </c>
    </row>
    <row r="3217" spans="3:21" ht="12.5" x14ac:dyDescent="0.25">
      <c r="C3217" s="4">
        <f ca="1">IFERROR(__xludf.DUMMYFUNCTION("""COMPUTED_VALUE"""),43626.9986111111)</f>
        <v>43626.998611111099</v>
      </c>
      <c r="D3217" s="2">
        <f ca="1">IFERROR(__xludf.DUMMYFUNCTION("""COMPUTED_VALUE"""),69.5235)</f>
        <v>69.523499999999999</v>
      </c>
      <c r="F3217" s="2">
        <f ca="1">IFERROR(__xludf.DUMMYFUNCTION("""COMPUTED_VALUE"""),90.917)</f>
        <v>90.917000000000002</v>
      </c>
      <c r="M3217" s="2">
        <f ca="1">IFERROR(__xludf.DUMMYFUNCTION("""COMPUTED_VALUE"""),19.24747)</f>
        <v>19.24747</v>
      </c>
      <c r="U3217" s="3" t="e">
        <f ca="1"/>
        <v>#NAME?</v>
      </c>
    </row>
    <row r="3218" spans="3:21" ht="12.5" x14ac:dyDescent="0.25">
      <c r="C3218" s="4">
        <f ca="1">IFERROR(__xludf.DUMMYFUNCTION("""COMPUTED_VALUE"""),43627.9986111111)</f>
        <v>43627.998611111099</v>
      </c>
      <c r="D3218" s="2">
        <f ca="1">IFERROR(__xludf.DUMMYFUNCTION("""COMPUTED_VALUE"""),69.3865)</f>
        <v>69.386499999999998</v>
      </c>
      <c r="F3218" s="2">
        <f ca="1">IFERROR(__xludf.DUMMYFUNCTION("""COMPUTED_VALUE"""),90.947)</f>
        <v>90.947000000000003</v>
      </c>
      <c r="M3218" s="2">
        <f ca="1">IFERROR(__xludf.DUMMYFUNCTION("""COMPUTED_VALUE"""),19.19904)</f>
        <v>19.19904</v>
      </c>
      <c r="U3218" s="3" t="e">
        <f ca="1"/>
        <v>#NAME?</v>
      </c>
    </row>
    <row r="3219" spans="3:21" ht="12.5" x14ac:dyDescent="0.25">
      <c r="C3219" s="4">
        <f ca="1">IFERROR(__xludf.DUMMYFUNCTION("""COMPUTED_VALUE"""),43628.9986111111)</f>
        <v>43628.998611111099</v>
      </c>
      <c r="D3219" s="2">
        <f ca="1">IFERROR(__xludf.DUMMYFUNCTION("""COMPUTED_VALUE"""),69.7)</f>
        <v>69.7</v>
      </c>
      <c r="F3219" s="2">
        <f ca="1">IFERROR(__xludf.DUMMYFUNCTION("""COMPUTED_VALUE"""),90.946)</f>
        <v>90.945999999999998</v>
      </c>
      <c r="M3219" s="2">
        <f ca="1">IFERROR(__xludf.DUMMYFUNCTION("""COMPUTED_VALUE"""),19.26769)</f>
        <v>19.267690000000002</v>
      </c>
      <c r="U3219" s="3" t="e">
        <f ca="1"/>
        <v>#NAME?</v>
      </c>
    </row>
    <row r="3220" spans="3:21" ht="12.5" x14ac:dyDescent="0.25">
      <c r="C3220" s="4">
        <f ca="1">IFERROR(__xludf.DUMMYFUNCTION("""COMPUTED_VALUE"""),43629.9986111111)</f>
        <v>43629.998611111099</v>
      </c>
      <c r="D3220" s="2">
        <f ca="1">IFERROR(__xludf.DUMMYFUNCTION("""COMPUTED_VALUE"""),69.8)</f>
        <v>69.8</v>
      </c>
      <c r="F3220" s="2">
        <f ca="1">IFERROR(__xludf.DUMMYFUNCTION("""COMPUTED_VALUE"""),91.511)</f>
        <v>91.510999999999996</v>
      </c>
      <c r="M3220" s="2">
        <f ca="1">IFERROR(__xludf.DUMMYFUNCTION("""COMPUTED_VALUE"""),19.26283)</f>
        <v>19.262830000000001</v>
      </c>
      <c r="U3220" s="3" t="e">
        <f ca="1"/>
        <v>#NAME?</v>
      </c>
    </row>
    <row r="3221" spans="3:21" ht="12.5" x14ac:dyDescent="0.25">
      <c r="C3221" s="4">
        <f ca="1">IFERROR(__xludf.DUMMYFUNCTION("""COMPUTED_VALUE"""),43630.9986111111)</f>
        <v>43630.998611111099</v>
      </c>
      <c r="D3221" s="2">
        <f ca="1">IFERROR(__xludf.DUMMYFUNCTION("""COMPUTED_VALUE"""),69.859)</f>
        <v>69.858999999999995</v>
      </c>
      <c r="F3221" s="2">
        <f ca="1">IFERROR(__xludf.DUMMYFUNCTION("""COMPUTED_VALUE"""),90.742)</f>
        <v>90.742000000000004</v>
      </c>
      <c r="M3221" s="2">
        <f ca="1">IFERROR(__xludf.DUMMYFUNCTION("""COMPUTED_VALUE"""),19.32679)</f>
        <v>19.326789999999999</v>
      </c>
      <c r="U3221" s="3" t="e">
        <f ca="1"/>
        <v>#NAME?</v>
      </c>
    </row>
    <row r="3222" spans="3:21" ht="12.5" x14ac:dyDescent="0.25">
      <c r="C3222" s="4">
        <f ca="1">IFERROR(__xludf.DUMMYFUNCTION("""COMPUTED_VALUE"""),43631.9986111111)</f>
        <v>43631.998611111099</v>
      </c>
      <c r="D3222" s="2">
        <f ca="1">IFERROR(__xludf.DUMMYFUNCTION("""COMPUTED_VALUE"""),69.826)</f>
        <v>69.825999999999993</v>
      </c>
      <c r="F3222" s="2">
        <f ca="1">IFERROR(__xludf.DUMMYFUNCTION("""COMPUTED_VALUE"""),90.197)</f>
        <v>90.197000000000003</v>
      </c>
      <c r="M3222" s="2">
        <f ca="1">IFERROR(__xludf.DUMMYFUNCTION("""COMPUTED_VALUE"""),19.33686)</f>
        <v>19.336860000000001</v>
      </c>
      <c r="U3222" s="3" t="e">
        <f ca="1"/>
        <v>#NAME?</v>
      </c>
    </row>
    <row r="3223" spans="3:21" ht="12.5" x14ac:dyDescent="0.25">
      <c r="C3223" s="4">
        <f ca="1">IFERROR(__xludf.DUMMYFUNCTION("""COMPUTED_VALUE"""),43632.9986111111)</f>
        <v>43632.998611111099</v>
      </c>
      <c r="D3223" s="2">
        <f ca="1">IFERROR(__xludf.DUMMYFUNCTION("""COMPUTED_VALUE"""),69.7705)</f>
        <v>69.770499999999998</v>
      </c>
      <c r="F3223" s="2">
        <f ca="1">IFERROR(__xludf.DUMMYFUNCTION("""COMPUTED_VALUE"""),89.884)</f>
        <v>89.884</v>
      </c>
      <c r="M3223" s="2">
        <f ca="1">IFERROR(__xludf.DUMMYFUNCTION("""COMPUTED_VALUE"""),19.4307)</f>
        <v>19.430700000000002</v>
      </c>
      <c r="U3223" s="3" t="e">
        <f ca="1"/>
        <v>#NAME?</v>
      </c>
    </row>
    <row r="3224" spans="3:21" ht="12.5" x14ac:dyDescent="0.25">
      <c r="C3224" s="4">
        <f ca="1">IFERROR(__xludf.DUMMYFUNCTION("""COMPUTED_VALUE"""),43633.9986111111)</f>
        <v>43633.998611111099</v>
      </c>
      <c r="D3224" s="2">
        <f ca="1">IFERROR(__xludf.DUMMYFUNCTION("""COMPUTED_VALUE"""),70.1125)</f>
        <v>70.112499999999997</v>
      </c>
      <c r="F3224" s="2">
        <f ca="1">IFERROR(__xludf.DUMMYFUNCTION("""COMPUTED_VALUE"""),89.458)</f>
        <v>89.457999999999998</v>
      </c>
      <c r="M3224" s="2">
        <f ca="1">IFERROR(__xludf.DUMMYFUNCTION("""COMPUTED_VALUE"""),19.4322)</f>
        <v>19.432200000000002</v>
      </c>
      <c r="U3224" s="3" t="e">
        <f ca="1"/>
        <v>#NAME?</v>
      </c>
    </row>
    <row r="3225" spans="3:21" ht="12.5" x14ac:dyDescent="0.25">
      <c r="C3225" s="4">
        <f ca="1">IFERROR(__xludf.DUMMYFUNCTION("""COMPUTED_VALUE"""),43634.9986111111)</f>
        <v>43634.998611111099</v>
      </c>
      <c r="D3225" s="2">
        <f ca="1">IFERROR(__xludf.DUMMYFUNCTION("""COMPUTED_VALUE"""),69.765)</f>
        <v>69.765000000000001</v>
      </c>
      <c r="F3225" s="2">
        <f ca="1">IFERROR(__xludf.DUMMYFUNCTION("""COMPUTED_VALUE"""),89.463)</f>
        <v>89.462999999999994</v>
      </c>
      <c r="M3225" s="2">
        <f ca="1">IFERROR(__xludf.DUMMYFUNCTION("""COMPUTED_VALUE"""),19.5301)</f>
        <v>19.530100000000001</v>
      </c>
      <c r="U3225" s="3" t="e">
        <f ca="1"/>
        <v>#NAME?</v>
      </c>
    </row>
    <row r="3226" spans="3:21" ht="12.5" x14ac:dyDescent="0.25">
      <c r="C3226" s="4">
        <f ca="1">IFERROR(__xludf.DUMMYFUNCTION("""COMPUTED_VALUE"""),43635.9986111111)</f>
        <v>43635.998611111099</v>
      </c>
      <c r="D3226" s="2">
        <f ca="1">IFERROR(__xludf.DUMMYFUNCTION("""COMPUTED_VALUE"""),69.87)</f>
        <v>69.87</v>
      </c>
      <c r="F3226" s="2">
        <f ca="1">IFERROR(__xludf.DUMMYFUNCTION("""COMPUTED_VALUE"""),89.447)</f>
        <v>89.447000000000003</v>
      </c>
      <c r="M3226" s="2">
        <f ca="1">IFERROR(__xludf.DUMMYFUNCTION("""COMPUTED_VALUE"""),19.53908)</f>
        <v>19.539079999999998</v>
      </c>
      <c r="U3226" s="3" t="e">
        <f ca="1"/>
        <v>#NAME?</v>
      </c>
    </row>
    <row r="3227" spans="3:21" ht="12.5" x14ac:dyDescent="0.25">
      <c r="C3227" s="4">
        <f ca="1">IFERROR(__xludf.DUMMYFUNCTION("""COMPUTED_VALUE"""),43636.9986111111)</f>
        <v>43636.998611111099</v>
      </c>
      <c r="D3227" s="2">
        <f ca="1">IFERROR(__xludf.DUMMYFUNCTION("""COMPUTED_VALUE"""),69.78)</f>
        <v>69.78</v>
      </c>
      <c r="F3227" s="2">
        <f ca="1">IFERROR(__xludf.DUMMYFUNCTION("""COMPUTED_VALUE"""),89.279)</f>
        <v>89.278999999999996</v>
      </c>
      <c r="M3227" s="2">
        <f ca="1">IFERROR(__xludf.DUMMYFUNCTION("""COMPUTED_VALUE"""),19.64044)</f>
        <v>19.640440000000002</v>
      </c>
      <c r="U3227" s="3" t="e">
        <f ca="1"/>
        <v>#NAME?</v>
      </c>
    </row>
    <row r="3228" spans="3:21" ht="12.5" x14ac:dyDescent="0.25">
      <c r="C3228" s="4">
        <f ca="1">IFERROR(__xludf.DUMMYFUNCTION("""COMPUTED_VALUE"""),43637.9986111111)</f>
        <v>43637.998611111099</v>
      </c>
      <c r="D3228" s="2">
        <f ca="1">IFERROR(__xludf.DUMMYFUNCTION("""COMPUTED_VALUE"""),69.551)</f>
        <v>69.551000000000002</v>
      </c>
      <c r="F3228" s="2">
        <f ca="1">IFERROR(__xludf.DUMMYFUNCTION("""COMPUTED_VALUE"""),88.907)</f>
        <v>88.906999999999996</v>
      </c>
      <c r="M3228" s="2">
        <f ca="1">IFERROR(__xludf.DUMMYFUNCTION("""COMPUTED_VALUE"""),19.64577)</f>
        <v>19.645769999999999</v>
      </c>
      <c r="U3228" s="3" t="e">
        <f ca="1"/>
        <v>#NAME?</v>
      </c>
    </row>
    <row r="3229" spans="3:21" ht="12.5" x14ac:dyDescent="0.25">
      <c r="C3229" s="4">
        <f ca="1">IFERROR(__xludf.DUMMYFUNCTION("""COMPUTED_VALUE"""),43638.9986111111)</f>
        <v>43638.998611111099</v>
      </c>
      <c r="D3229" s="2">
        <f ca="1">IFERROR(__xludf.DUMMYFUNCTION("""COMPUTED_VALUE"""),69.551)</f>
        <v>69.551000000000002</v>
      </c>
      <c r="F3229" s="2">
        <f ca="1">IFERROR(__xludf.DUMMYFUNCTION("""COMPUTED_VALUE"""),88.62)</f>
        <v>88.62</v>
      </c>
      <c r="M3229" s="2">
        <f ca="1">IFERROR(__xludf.DUMMYFUNCTION("""COMPUTED_VALUE"""),19.50794)</f>
        <v>19.507940000000001</v>
      </c>
      <c r="U3229" s="3" t="e">
        <f ca="1"/>
        <v>#NAME?</v>
      </c>
    </row>
    <row r="3230" spans="3:21" ht="12.5" x14ac:dyDescent="0.25">
      <c r="C3230" s="4">
        <f ca="1">IFERROR(__xludf.DUMMYFUNCTION("""COMPUTED_VALUE"""),43639.9986111111)</f>
        <v>43639.998611111099</v>
      </c>
      <c r="D3230" s="2">
        <f ca="1">IFERROR(__xludf.DUMMYFUNCTION("""COMPUTED_VALUE"""),69.5699)</f>
        <v>69.569900000000004</v>
      </c>
      <c r="F3230" s="2">
        <f ca="1">IFERROR(__xludf.DUMMYFUNCTION("""COMPUTED_VALUE"""),88.573)</f>
        <v>88.572999999999993</v>
      </c>
      <c r="M3230" s="2">
        <f ca="1">IFERROR(__xludf.DUMMYFUNCTION("""COMPUTED_VALUE"""),19.50098)</f>
        <v>19.500979999999998</v>
      </c>
      <c r="U3230" s="3" t="e">
        <f ca="1"/>
        <v>#NAME?</v>
      </c>
    </row>
    <row r="3231" spans="3:21" ht="12.5" x14ac:dyDescent="0.25">
      <c r="C3231" s="4">
        <f ca="1">IFERROR(__xludf.DUMMYFUNCTION("""COMPUTED_VALUE"""),43640.9986111111)</f>
        <v>43640.998611111099</v>
      </c>
      <c r="D3231" s="2">
        <f ca="1">IFERROR(__xludf.DUMMYFUNCTION("""COMPUTED_VALUE"""),69.6025)</f>
        <v>69.602500000000006</v>
      </c>
      <c r="F3231" s="2">
        <f ca="1">IFERROR(__xludf.DUMMYFUNCTION("""COMPUTED_VALUE"""),88.178)</f>
        <v>88.177999999999997</v>
      </c>
      <c r="M3231" s="2">
        <f ca="1">IFERROR(__xludf.DUMMYFUNCTION("""COMPUTED_VALUE"""),19.50682)</f>
        <v>19.506820000000001</v>
      </c>
      <c r="U3231" s="3" t="e">
        <f ca="1"/>
        <v>#NAME?</v>
      </c>
    </row>
    <row r="3232" spans="3:21" ht="12.5" x14ac:dyDescent="0.25">
      <c r="C3232" s="4">
        <f ca="1">IFERROR(__xludf.DUMMYFUNCTION("""COMPUTED_VALUE"""),43641.9986111111)</f>
        <v>43641.998611111099</v>
      </c>
      <c r="D3232" s="2">
        <f ca="1">IFERROR(__xludf.DUMMYFUNCTION("""COMPUTED_VALUE"""),69.6375)</f>
        <v>69.637500000000003</v>
      </c>
      <c r="F3232" s="2">
        <f ca="1">IFERROR(__xludf.DUMMYFUNCTION("""COMPUTED_VALUE"""),88.204)</f>
        <v>88.203999999999994</v>
      </c>
      <c r="M3232" s="2">
        <f ca="1">IFERROR(__xludf.DUMMYFUNCTION("""COMPUTED_VALUE"""),19.58127)</f>
        <v>19.58127</v>
      </c>
      <c r="U3232" s="3" t="e">
        <f ca="1"/>
        <v>#NAME?</v>
      </c>
    </row>
    <row r="3233" spans="3:21" ht="12.5" x14ac:dyDescent="0.25">
      <c r="C3233" s="4">
        <f ca="1">IFERROR(__xludf.DUMMYFUNCTION("""COMPUTED_VALUE"""),43642.9986111111)</f>
        <v>43642.998611111099</v>
      </c>
      <c r="D3233" s="2">
        <f ca="1">IFERROR(__xludf.DUMMYFUNCTION("""COMPUTED_VALUE"""),69.6025)</f>
        <v>69.602500000000006</v>
      </c>
      <c r="F3233" s="2">
        <f ca="1">IFERROR(__xludf.DUMMYFUNCTION("""COMPUTED_VALUE"""),88.178)</f>
        <v>88.177999999999997</v>
      </c>
      <c r="M3233" s="2">
        <f ca="1">IFERROR(__xludf.DUMMYFUNCTION("""COMPUTED_VALUE"""),19.61788)</f>
        <v>19.61788</v>
      </c>
      <c r="U3233" s="3" t="e">
        <f ca="1"/>
        <v>#NAME?</v>
      </c>
    </row>
    <row r="3234" spans="3:21" ht="12.5" x14ac:dyDescent="0.25">
      <c r="C3234" s="4">
        <f ca="1">IFERROR(__xludf.DUMMYFUNCTION("""COMPUTED_VALUE"""),43643.9986111111)</f>
        <v>43643.998611111099</v>
      </c>
      <c r="D3234" s="2">
        <f ca="1">IFERROR(__xludf.DUMMYFUNCTION("""COMPUTED_VALUE"""),69.325)</f>
        <v>69.325000000000003</v>
      </c>
      <c r="F3234" s="2">
        <f ca="1">IFERROR(__xludf.DUMMYFUNCTION("""COMPUTED_VALUE"""),88.398)</f>
        <v>88.397999999999996</v>
      </c>
      <c r="M3234" s="2">
        <f ca="1">IFERROR(__xludf.DUMMYFUNCTION("""COMPUTED_VALUE"""),19.52711)</f>
        <v>19.52711</v>
      </c>
      <c r="U3234" s="3" t="e">
        <f ca="1"/>
        <v>#NAME?</v>
      </c>
    </row>
    <row r="3235" spans="3:21" ht="12.5" x14ac:dyDescent="0.25">
      <c r="C3235" s="4">
        <f ca="1">IFERROR(__xludf.DUMMYFUNCTION("""COMPUTED_VALUE"""),43644.9986111111)</f>
        <v>43644.998611111099</v>
      </c>
      <c r="D3235" s="2">
        <f ca="1">IFERROR(__xludf.DUMMYFUNCTION("""COMPUTED_VALUE"""),68.9403)</f>
        <v>68.940299999999993</v>
      </c>
      <c r="F3235" s="2">
        <f ca="1">IFERROR(__xludf.DUMMYFUNCTION("""COMPUTED_VALUE"""),88.449)</f>
        <v>88.448999999999998</v>
      </c>
      <c r="M3235" s="2">
        <f ca="1">IFERROR(__xludf.DUMMYFUNCTION("""COMPUTED_VALUE"""),19.5282)</f>
        <v>19.528199999999998</v>
      </c>
      <c r="U3235" s="3" t="e">
        <f ca="1"/>
        <v>#NAME?</v>
      </c>
    </row>
    <row r="3236" spans="3:21" ht="12.5" x14ac:dyDescent="0.25">
      <c r="C3236" s="4">
        <f ca="1">IFERROR(__xludf.DUMMYFUNCTION("""COMPUTED_VALUE"""),43645.9986111111)</f>
        <v>43645.998611111099</v>
      </c>
      <c r="D3236" s="2">
        <f ca="1">IFERROR(__xludf.DUMMYFUNCTION("""COMPUTED_VALUE"""),68.9405)</f>
        <v>68.9405</v>
      </c>
      <c r="F3236" s="2">
        <f ca="1">IFERROR(__xludf.DUMMYFUNCTION("""COMPUTED_VALUE"""),88.161)</f>
        <v>88.161000000000001</v>
      </c>
      <c r="M3236" s="2">
        <f ca="1">IFERROR(__xludf.DUMMYFUNCTION("""COMPUTED_VALUE"""),19.53836)</f>
        <v>19.538360000000001</v>
      </c>
      <c r="U3236" s="3" t="e">
        <f ca="1"/>
        <v>#NAME?</v>
      </c>
    </row>
    <row r="3237" spans="3:21" ht="12.5" x14ac:dyDescent="0.25">
      <c r="C3237" s="4">
        <f ca="1">IFERROR(__xludf.DUMMYFUNCTION("""COMPUTED_VALUE"""),43646.9986111111)</f>
        <v>43646.998611111099</v>
      </c>
      <c r="D3237" s="2">
        <f ca="1">IFERROR(__xludf.DUMMYFUNCTION("""COMPUTED_VALUE"""),68.9405)</f>
        <v>68.9405</v>
      </c>
      <c r="F3237" s="2">
        <f ca="1">IFERROR(__xludf.DUMMYFUNCTION("""COMPUTED_VALUE"""),88.239)</f>
        <v>88.239000000000004</v>
      </c>
      <c r="M3237" s="2">
        <f ca="1">IFERROR(__xludf.DUMMYFUNCTION("""COMPUTED_VALUE"""),19.54529)</f>
        <v>19.545290000000001</v>
      </c>
      <c r="U3237" s="3" t="e">
        <f ca="1"/>
        <v>#NAME?</v>
      </c>
    </row>
    <row r="3238" spans="3:21" ht="12.5" x14ac:dyDescent="0.25">
      <c r="C3238" s="4">
        <f ca="1">IFERROR(__xludf.DUMMYFUNCTION("""COMPUTED_VALUE"""),43647.9986111111)</f>
        <v>43647.998611111099</v>
      </c>
      <c r="D3238" s="2">
        <f ca="1">IFERROR(__xludf.DUMMYFUNCTION("""COMPUTED_VALUE"""),69.1675)</f>
        <v>69.167500000000004</v>
      </c>
      <c r="F3238" s="2">
        <f ca="1">IFERROR(__xludf.DUMMYFUNCTION("""COMPUTED_VALUE"""),87.922)</f>
        <v>87.921999999999997</v>
      </c>
      <c r="M3238" s="2">
        <f ca="1">IFERROR(__xludf.DUMMYFUNCTION("""COMPUTED_VALUE"""),19.5512)</f>
        <v>19.551200000000001</v>
      </c>
      <c r="U3238" s="3" t="e">
        <f ca="1"/>
        <v>#NAME?</v>
      </c>
    </row>
    <row r="3239" spans="3:21" ht="12.5" x14ac:dyDescent="0.25">
      <c r="C3239" s="4">
        <f ca="1">IFERROR(__xludf.DUMMYFUNCTION("""COMPUTED_VALUE"""),43648.9986111111)</f>
        <v>43648.998611111099</v>
      </c>
      <c r="D3239" s="2">
        <f ca="1">IFERROR(__xludf.DUMMYFUNCTION("""COMPUTED_VALUE"""),69.0825)</f>
        <v>69.082499999999996</v>
      </c>
      <c r="F3239" s="2">
        <f ca="1">IFERROR(__xludf.DUMMYFUNCTION("""COMPUTED_VALUE"""),87.857)</f>
        <v>87.856999999999999</v>
      </c>
      <c r="M3239" s="2">
        <f ca="1">IFERROR(__xludf.DUMMYFUNCTION("""COMPUTED_VALUE"""),19.48451)</f>
        <v>19.48451</v>
      </c>
      <c r="U3239" s="3" t="e">
        <f ca="1"/>
        <v>#NAME?</v>
      </c>
    </row>
    <row r="3240" spans="3:21" ht="12.5" x14ac:dyDescent="0.25">
      <c r="C3240" s="4">
        <f ca="1">IFERROR(__xludf.DUMMYFUNCTION("""COMPUTED_VALUE"""),43649.9986111111)</f>
        <v>43649.998611111099</v>
      </c>
      <c r="D3240" s="2">
        <f ca="1">IFERROR(__xludf.DUMMYFUNCTION("""COMPUTED_VALUE"""),69.0075)</f>
        <v>69.007499999999993</v>
      </c>
      <c r="F3240" s="2">
        <f ca="1">IFERROR(__xludf.DUMMYFUNCTION("""COMPUTED_VALUE"""),87.907)</f>
        <v>87.906999999999996</v>
      </c>
      <c r="M3240" s="2">
        <f ca="1">IFERROR(__xludf.DUMMYFUNCTION("""COMPUTED_VALUE"""),19.38868)</f>
        <v>19.388680000000001</v>
      </c>
      <c r="U3240" s="3" t="e">
        <f ca="1"/>
        <v>#NAME?</v>
      </c>
    </row>
    <row r="3241" spans="3:21" ht="12.5" x14ac:dyDescent="0.25">
      <c r="C3241" s="4">
        <f ca="1">IFERROR(__xludf.DUMMYFUNCTION("""COMPUTED_VALUE"""),43650.9986111111)</f>
        <v>43650.998611111099</v>
      </c>
      <c r="D3241" s="2">
        <f ca="1">IFERROR(__xludf.DUMMYFUNCTION("""COMPUTED_VALUE"""),68.74)</f>
        <v>68.739999999999995</v>
      </c>
      <c r="F3241" s="2">
        <f ca="1">IFERROR(__xludf.DUMMYFUNCTION("""COMPUTED_VALUE"""),87.58)</f>
        <v>87.58</v>
      </c>
      <c r="M3241" s="2">
        <f ca="1">IFERROR(__xludf.DUMMYFUNCTION("""COMPUTED_VALUE"""),19.47556)</f>
        <v>19.475560000000002</v>
      </c>
      <c r="U3241" s="3" t="e">
        <f ca="1"/>
        <v>#NAME?</v>
      </c>
    </row>
    <row r="3242" spans="3:21" ht="12.5" x14ac:dyDescent="0.25">
      <c r="C3242" s="4">
        <f ca="1">IFERROR(__xludf.DUMMYFUNCTION("""COMPUTED_VALUE"""),43651.9986111111)</f>
        <v>43651.998611111099</v>
      </c>
      <c r="D3242" s="2">
        <f ca="1">IFERROR(__xludf.DUMMYFUNCTION("""COMPUTED_VALUE"""),68.44)</f>
        <v>68.44</v>
      </c>
      <c r="F3242" s="2">
        <f ca="1">IFERROR(__xludf.DUMMYFUNCTION("""COMPUTED_VALUE"""),88.349)</f>
        <v>88.349000000000004</v>
      </c>
      <c r="M3242" s="2">
        <f ca="1">IFERROR(__xludf.DUMMYFUNCTION("""COMPUTED_VALUE"""),19.53021)</f>
        <v>19.53021</v>
      </c>
      <c r="U3242" s="3" t="e">
        <f ca="1"/>
        <v>#NAME?</v>
      </c>
    </row>
    <row r="3243" spans="3:21" ht="12.5" x14ac:dyDescent="0.25">
      <c r="C3243" s="4">
        <f ca="1">IFERROR(__xludf.DUMMYFUNCTION("""COMPUTED_VALUE"""),43652.9986111111)</f>
        <v>43652.998611111099</v>
      </c>
      <c r="D3243" s="2">
        <f ca="1">IFERROR(__xludf.DUMMYFUNCTION("""COMPUTED_VALUE"""),68.44)</f>
        <v>68.44</v>
      </c>
      <c r="F3243" s="2">
        <f ca="1">IFERROR(__xludf.DUMMYFUNCTION("""COMPUTED_VALUE"""),88.323)</f>
        <v>88.322999999999993</v>
      </c>
      <c r="M3243" s="2">
        <f ca="1">IFERROR(__xludf.DUMMYFUNCTION("""COMPUTED_VALUE"""),19.53021)</f>
        <v>19.53021</v>
      </c>
      <c r="U3243" s="3" t="e">
        <f ca="1"/>
        <v>#NAME?</v>
      </c>
    </row>
    <row r="3244" spans="3:21" ht="12.5" x14ac:dyDescent="0.25">
      <c r="C3244" s="4">
        <f ca="1">IFERROR(__xludf.DUMMYFUNCTION("""COMPUTED_VALUE"""),43653.9986111111)</f>
        <v>43653.998611111099</v>
      </c>
      <c r="D3244" s="2">
        <f ca="1">IFERROR(__xludf.DUMMYFUNCTION("""COMPUTED_VALUE"""),68.44)</f>
        <v>68.44</v>
      </c>
      <c r="F3244" s="2">
        <f ca="1">IFERROR(__xludf.DUMMYFUNCTION("""COMPUTED_VALUE"""),88.058)</f>
        <v>88.058000000000007</v>
      </c>
      <c r="M3244" s="2">
        <f ca="1">IFERROR(__xludf.DUMMYFUNCTION("""COMPUTED_VALUE"""),19.53276)</f>
        <v>19.53276</v>
      </c>
      <c r="U3244" s="3" t="e">
        <f ca="1"/>
        <v>#NAME?</v>
      </c>
    </row>
    <row r="3245" spans="3:21" ht="12.5" x14ac:dyDescent="0.25">
      <c r="C3245" s="4">
        <f ca="1">IFERROR(__xludf.DUMMYFUNCTION("""COMPUTED_VALUE"""),43654.9986111111)</f>
        <v>43654.998611111099</v>
      </c>
      <c r="D3245" s="2">
        <f ca="1">IFERROR(__xludf.DUMMYFUNCTION("""COMPUTED_VALUE"""),68.85)</f>
        <v>68.849999999999994</v>
      </c>
      <c r="F3245" s="2">
        <f ca="1">IFERROR(__xludf.DUMMYFUNCTION("""COMPUTED_VALUE"""),88.363)</f>
        <v>88.363</v>
      </c>
      <c r="M3245" s="2">
        <f ca="1">IFERROR(__xludf.DUMMYFUNCTION("""COMPUTED_VALUE"""),19.54507)</f>
        <v>19.545069999999999</v>
      </c>
      <c r="U3245" s="3" t="e">
        <f ca="1"/>
        <v>#NAME?</v>
      </c>
    </row>
    <row r="3246" spans="3:21" ht="12.5" x14ac:dyDescent="0.25">
      <c r="C3246" s="4">
        <f ca="1">IFERROR(__xludf.DUMMYFUNCTION("""COMPUTED_VALUE"""),43655.9986111111)</f>
        <v>43655.998611111099</v>
      </c>
      <c r="D3246" s="2">
        <f ca="1">IFERROR(__xludf.DUMMYFUNCTION("""COMPUTED_VALUE"""),68.765)</f>
        <v>68.765000000000001</v>
      </c>
      <c r="F3246" s="2">
        <f ca="1">IFERROR(__xludf.DUMMYFUNCTION("""COMPUTED_VALUE"""),88.352)</f>
        <v>88.352000000000004</v>
      </c>
      <c r="M3246" s="2">
        <f ca="1">IFERROR(__xludf.DUMMYFUNCTION("""COMPUTED_VALUE"""),19.59066)</f>
        <v>19.59066</v>
      </c>
      <c r="U3246" s="3" t="e">
        <f ca="1"/>
        <v>#NAME?</v>
      </c>
    </row>
    <row r="3247" spans="3:21" ht="12.5" x14ac:dyDescent="0.25">
      <c r="C3247" s="4">
        <f ca="1">IFERROR(__xludf.DUMMYFUNCTION("""COMPUTED_VALUE"""),43656.9986111111)</f>
        <v>43656.998611111099</v>
      </c>
      <c r="D3247" s="2">
        <f ca="1">IFERROR(__xludf.DUMMYFUNCTION("""COMPUTED_VALUE"""),68.3676)</f>
        <v>68.367599999999996</v>
      </c>
      <c r="F3247" s="2">
        <f ca="1">IFERROR(__xludf.DUMMYFUNCTION("""COMPUTED_VALUE"""),88.236)</f>
        <v>88.236000000000004</v>
      </c>
      <c r="M3247" s="2">
        <f ca="1">IFERROR(__xludf.DUMMYFUNCTION("""COMPUTED_VALUE"""),19.50016)</f>
        <v>19.500160000000001</v>
      </c>
      <c r="U3247" s="3" t="e">
        <f ca="1"/>
        <v>#NAME?</v>
      </c>
    </row>
    <row r="3248" spans="3:21" ht="12.5" x14ac:dyDescent="0.25">
      <c r="C3248" s="4">
        <f ca="1">IFERROR(__xludf.DUMMYFUNCTION("""COMPUTED_VALUE"""),43657.9986111111)</f>
        <v>43657.998611111099</v>
      </c>
      <c r="D3248" s="2">
        <f ca="1">IFERROR(__xludf.DUMMYFUNCTION("""COMPUTED_VALUE"""),68.67)</f>
        <v>68.67</v>
      </c>
      <c r="F3248" s="2">
        <f ca="1">IFERROR(__xludf.DUMMYFUNCTION("""COMPUTED_VALUE"""),88.228)</f>
        <v>88.227999999999994</v>
      </c>
      <c r="M3248" s="2">
        <f ca="1">IFERROR(__xludf.DUMMYFUNCTION("""COMPUTED_VALUE"""),19.43144)</f>
        <v>19.431439999999998</v>
      </c>
      <c r="U3248" s="3" t="e">
        <f ca="1"/>
        <v>#NAME?</v>
      </c>
    </row>
    <row r="3249" spans="3:21" ht="12.5" x14ac:dyDescent="0.25">
      <c r="C3249" s="4">
        <f ca="1">IFERROR(__xludf.DUMMYFUNCTION("""COMPUTED_VALUE"""),43658.9986111111)</f>
        <v>43658.998611111099</v>
      </c>
      <c r="D3249" s="2">
        <f ca="1">IFERROR(__xludf.DUMMYFUNCTION("""COMPUTED_VALUE"""),68.5503)</f>
        <v>68.550299999999993</v>
      </c>
      <c r="F3249" s="2">
        <f ca="1">IFERROR(__xludf.DUMMYFUNCTION("""COMPUTED_VALUE"""),88.3)</f>
        <v>88.3</v>
      </c>
      <c r="M3249" s="2">
        <f ca="1">IFERROR(__xludf.DUMMYFUNCTION("""COMPUTED_VALUE"""),19.40102)</f>
        <v>19.401019999999999</v>
      </c>
      <c r="U3249" s="3" t="e">
        <f ca="1"/>
        <v>#NAME?</v>
      </c>
    </row>
    <row r="3250" spans="3:21" ht="12.5" x14ac:dyDescent="0.25">
      <c r="C3250" s="4">
        <f ca="1">IFERROR(__xludf.DUMMYFUNCTION("""COMPUTED_VALUE"""),43659.9986111111)</f>
        <v>43659.998611111099</v>
      </c>
      <c r="D3250" s="2">
        <f ca="1">IFERROR(__xludf.DUMMYFUNCTION("""COMPUTED_VALUE"""),68.5505)</f>
        <v>68.5505</v>
      </c>
      <c r="F3250" s="2">
        <f ca="1">IFERROR(__xludf.DUMMYFUNCTION("""COMPUTED_VALUE"""),88.471)</f>
        <v>88.471000000000004</v>
      </c>
      <c r="M3250" s="2">
        <f ca="1">IFERROR(__xludf.DUMMYFUNCTION("""COMPUTED_VALUE"""),19.40889)</f>
        <v>19.40889</v>
      </c>
      <c r="U3250" s="3" t="e">
        <f ca="1"/>
        <v>#NAME?</v>
      </c>
    </row>
    <row r="3251" spans="3:21" ht="12.5" x14ac:dyDescent="0.25">
      <c r="C3251" s="4">
        <f ca="1">IFERROR(__xludf.DUMMYFUNCTION("""COMPUTED_VALUE"""),43660.9986111111)</f>
        <v>43660.998611111099</v>
      </c>
      <c r="D3251" s="2">
        <f ca="1">IFERROR(__xludf.DUMMYFUNCTION("""COMPUTED_VALUE"""),68.5503)</f>
        <v>68.550299999999993</v>
      </c>
      <c r="F3251" s="2">
        <f ca="1">IFERROR(__xludf.DUMMYFUNCTION("""COMPUTED_VALUE"""),88.509)</f>
        <v>88.509</v>
      </c>
      <c r="M3251" s="2">
        <f ca="1">IFERROR(__xludf.DUMMYFUNCTION("""COMPUTED_VALUE"""),19.37292)</f>
        <v>19.372920000000001</v>
      </c>
      <c r="U3251" s="3" t="e">
        <f ca="1"/>
        <v>#NAME?</v>
      </c>
    </row>
    <row r="3252" spans="3:21" ht="12.5" x14ac:dyDescent="0.25">
      <c r="C3252" s="4">
        <f ca="1">IFERROR(__xludf.DUMMYFUNCTION("""COMPUTED_VALUE"""),43661.9986111111)</f>
        <v>43661.998611111099</v>
      </c>
      <c r="D3252" s="2">
        <f ca="1">IFERROR(__xludf.DUMMYFUNCTION("""COMPUTED_VALUE"""),68.7475)</f>
        <v>68.747500000000002</v>
      </c>
      <c r="F3252" s="2">
        <f ca="1">IFERROR(__xludf.DUMMYFUNCTION("""COMPUTED_VALUE"""),87.945)</f>
        <v>87.944999999999993</v>
      </c>
      <c r="M3252" s="2">
        <f ca="1">IFERROR(__xludf.DUMMYFUNCTION("""COMPUTED_VALUE"""),19.32938)</f>
        <v>19.32938</v>
      </c>
      <c r="U3252" s="3" t="e">
        <f ca="1"/>
        <v>#NAME?</v>
      </c>
    </row>
    <row r="3253" spans="3:21" ht="12.5" x14ac:dyDescent="0.25">
      <c r="C3253" s="4">
        <f ca="1">IFERROR(__xludf.DUMMYFUNCTION("""COMPUTED_VALUE"""),43662.9986111111)</f>
        <v>43662.998611111099</v>
      </c>
      <c r="D3253" s="2">
        <f ca="1">IFERROR(__xludf.DUMMYFUNCTION("""COMPUTED_VALUE"""),68.895)</f>
        <v>68.894999999999996</v>
      </c>
      <c r="F3253" s="2">
        <f ca="1">IFERROR(__xludf.DUMMYFUNCTION("""COMPUTED_VALUE"""),87.904)</f>
        <v>87.903999999999996</v>
      </c>
      <c r="M3253" s="2">
        <f ca="1">IFERROR(__xludf.DUMMYFUNCTION("""COMPUTED_VALUE"""),19.31237)</f>
        <v>19.312370000000001</v>
      </c>
      <c r="U3253" s="3" t="e">
        <f ca="1"/>
        <v>#NAME?</v>
      </c>
    </row>
    <row r="3254" spans="3:21" ht="12.5" x14ac:dyDescent="0.25">
      <c r="C3254" s="4">
        <f ca="1">IFERROR(__xludf.DUMMYFUNCTION("""COMPUTED_VALUE"""),43663.9986111111)</f>
        <v>43663.998611111099</v>
      </c>
      <c r="D3254" s="2">
        <f ca="1">IFERROR(__xludf.DUMMYFUNCTION("""COMPUTED_VALUE"""),68.786)</f>
        <v>68.786000000000001</v>
      </c>
      <c r="F3254" s="2">
        <f ca="1">IFERROR(__xludf.DUMMYFUNCTION("""COMPUTED_VALUE"""),87.852)</f>
        <v>87.852000000000004</v>
      </c>
      <c r="M3254" s="2">
        <f ca="1">IFERROR(__xludf.DUMMYFUNCTION("""COMPUTED_VALUE"""),19.20143)</f>
        <v>19.201429999999998</v>
      </c>
      <c r="U3254" s="3" t="e">
        <f ca="1"/>
        <v>#NAME?</v>
      </c>
    </row>
    <row r="3255" spans="3:21" ht="12.5" x14ac:dyDescent="0.25">
      <c r="C3255" s="4">
        <f ca="1">IFERROR(__xludf.DUMMYFUNCTION("""COMPUTED_VALUE"""),43664.9986111111)</f>
        <v>43664.998611111099</v>
      </c>
      <c r="D3255" s="2">
        <f ca="1">IFERROR(__xludf.DUMMYFUNCTION("""COMPUTED_VALUE"""),68.85)</f>
        <v>68.849999999999994</v>
      </c>
      <c r="F3255" s="2">
        <f ca="1">IFERROR(__xludf.DUMMYFUNCTION("""COMPUTED_VALUE"""),87.928)</f>
        <v>87.927999999999997</v>
      </c>
      <c r="M3255" s="2">
        <f ca="1">IFERROR(__xludf.DUMMYFUNCTION("""COMPUTED_VALUE"""),19.24047)</f>
        <v>19.240469999999998</v>
      </c>
      <c r="U3255" s="3" t="e">
        <f ca="1"/>
        <v>#NAME?</v>
      </c>
    </row>
    <row r="3256" spans="3:21" ht="12.5" x14ac:dyDescent="0.25">
      <c r="C3256" s="4">
        <f ca="1">IFERROR(__xludf.DUMMYFUNCTION("""COMPUTED_VALUE"""),43665.9986111111)</f>
        <v>43665.998611111099</v>
      </c>
      <c r="D3256" s="2">
        <f ca="1">IFERROR(__xludf.DUMMYFUNCTION("""COMPUTED_VALUE"""),68.9136)</f>
        <v>68.913600000000002</v>
      </c>
      <c r="F3256" s="2">
        <f ca="1">IFERROR(__xludf.DUMMYFUNCTION("""COMPUTED_VALUE"""),87.674)</f>
        <v>87.674000000000007</v>
      </c>
      <c r="M3256" s="2">
        <f ca="1">IFERROR(__xludf.DUMMYFUNCTION("""COMPUTED_VALUE"""),19.2433)</f>
        <v>19.243300000000001</v>
      </c>
      <c r="U3256" s="3" t="e">
        <f ca="1"/>
        <v>#NAME?</v>
      </c>
    </row>
    <row r="3257" spans="3:21" ht="12.5" x14ac:dyDescent="0.25">
      <c r="C3257" s="4">
        <f ca="1">IFERROR(__xludf.DUMMYFUNCTION("""COMPUTED_VALUE"""),43666.9986111111)</f>
        <v>43666.998611111099</v>
      </c>
      <c r="D3257" s="2">
        <f ca="1">IFERROR(__xludf.DUMMYFUNCTION("""COMPUTED_VALUE"""),68.853)</f>
        <v>68.852999999999994</v>
      </c>
      <c r="F3257" s="2">
        <f ca="1">IFERROR(__xludf.DUMMYFUNCTION("""COMPUTED_VALUE"""),88.413)</f>
        <v>88.412999999999997</v>
      </c>
      <c r="M3257" s="2">
        <f ca="1">IFERROR(__xludf.DUMMYFUNCTION("""COMPUTED_VALUE"""),19.34707)</f>
        <v>19.347069999999999</v>
      </c>
      <c r="U3257" s="3" t="e">
        <f ca="1"/>
        <v>#NAME?</v>
      </c>
    </row>
    <row r="3258" spans="3:21" ht="12.5" x14ac:dyDescent="0.25">
      <c r="C3258" s="4">
        <f ca="1">IFERROR(__xludf.DUMMYFUNCTION("""COMPUTED_VALUE"""),43667.9986111111)</f>
        <v>43667.998611111099</v>
      </c>
      <c r="D3258" s="2">
        <f ca="1">IFERROR(__xludf.DUMMYFUNCTION("""COMPUTED_VALUE"""),68.83)</f>
        <v>68.83</v>
      </c>
      <c r="F3258" s="2">
        <f ca="1">IFERROR(__xludf.DUMMYFUNCTION("""COMPUTED_VALUE"""),88.666)</f>
        <v>88.665999999999997</v>
      </c>
      <c r="M3258" s="2">
        <f ca="1">IFERROR(__xludf.DUMMYFUNCTION("""COMPUTED_VALUE"""),19.38517)</f>
        <v>19.385169999999999</v>
      </c>
      <c r="U3258" s="3" t="e">
        <f ca="1"/>
        <v>#NAME?</v>
      </c>
    </row>
    <row r="3259" spans="3:21" ht="12.5" x14ac:dyDescent="0.25">
      <c r="C3259" s="4">
        <f ca="1">IFERROR(__xludf.DUMMYFUNCTION("""COMPUTED_VALUE"""),43668.9986111111)</f>
        <v>43668.998611111099</v>
      </c>
      <c r="D3259" s="2">
        <f ca="1">IFERROR(__xludf.DUMMYFUNCTION("""COMPUTED_VALUE"""),69.16)</f>
        <v>69.16</v>
      </c>
      <c r="F3259" s="2">
        <f ca="1">IFERROR(__xludf.DUMMYFUNCTION("""COMPUTED_VALUE"""),88.63)</f>
        <v>88.63</v>
      </c>
      <c r="M3259" s="2">
        <f ca="1">IFERROR(__xludf.DUMMYFUNCTION("""COMPUTED_VALUE"""),19.32388)</f>
        <v>19.323879999999999</v>
      </c>
      <c r="U3259" s="3" t="e">
        <f ca="1"/>
        <v>#NAME?</v>
      </c>
    </row>
    <row r="3260" spans="3:21" ht="12.5" x14ac:dyDescent="0.25">
      <c r="C3260" s="4">
        <f ca="1">IFERROR(__xludf.DUMMYFUNCTION("""COMPUTED_VALUE"""),43669.9986111111)</f>
        <v>43669.998611111099</v>
      </c>
      <c r="D3260" s="2">
        <f ca="1">IFERROR(__xludf.DUMMYFUNCTION("""COMPUTED_VALUE"""),69.02)</f>
        <v>69.02</v>
      </c>
      <c r="F3260" s="2">
        <f ca="1">IFERROR(__xludf.DUMMYFUNCTION("""COMPUTED_VALUE"""),88.645)</f>
        <v>88.644999999999996</v>
      </c>
      <c r="M3260" s="2">
        <f ca="1">IFERROR(__xludf.DUMMYFUNCTION("""COMPUTED_VALUE"""),19.37306)</f>
        <v>19.373059999999999</v>
      </c>
      <c r="U3260" s="3" t="e">
        <f ca="1"/>
        <v>#NAME?</v>
      </c>
    </row>
    <row r="3261" spans="3:21" ht="12.5" x14ac:dyDescent="0.25">
      <c r="C3261" s="4">
        <f ca="1">IFERROR(__xludf.DUMMYFUNCTION("""COMPUTED_VALUE"""),43670.9986111111)</f>
        <v>43670.998611111099</v>
      </c>
      <c r="D3261" s="2">
        <f ca="1">IFERROR(__xludf.DUMMYFUNCTION("""COMPUTED_VALUE"""),69.185)</f>
        <v>69.185000000000002</v>
      </c>
      <c r="F3261" s="2">
        <f ca="1">IFERROR(__xludf.DUMMYFUNCTION("""COMPUTED_VALUE"""),88.669)</f>
        <v>88.668999999999997</v>
      </c>
      <c r="M3261" s="2">
        <f ca="1">IFERROR(__xludf.DUMMYFUNCTION("""COMPUTED_VALUE"""),19.33972)</f>
        <v>19.33972</v>
      </c>
      <c r="U3261" s="3" t="e">
        <f ca="1"/>
        <v>#NAME?</v>
      </c>
    </row>
    <row r="3262" spans="3:21" ht="12.5" x14ac:dyDescent="0.25">
      <c r="C3262" s="4">
        <f ca="1">IFERROR(__xludf.DUMMYFUNCTION("""COMPUTED_VALUE"""),43671.9986111111)</f>
        <v>43671.998611111099</v>
      </c>
      <c r="D3262" s="2">
        <f ca="1">IFERROR(__xludf.DUMMYFUNCTION("""COMPUTED_VALUE"""),69.1505)</f>
        <v>69.150499999999994</v>
      </c>
      <c r="F3262" s="2">
        <f ca="1">IFERROR(__xludf.DUMMYFUNCTION("""COMPUTED_VALUE"""),88.667)</f>
        <v>88.667000000000002</v>
      </c>
      <c r="M3262" s="2">
        <f ca="1">IFERROR(__xludf.DUMMYFUNCTION("""COMPUTED_VALUE"""),19.36336)</f>
        <v>19.36336</v>
      </c>
      <c r="U3262" s="3" t="e">
        <f ca="1"/>
        <v>#NAME?</v>
      </c>
    </row>
    <row r="3263" spans="3:21" ht="12.5" x14ac:dyDescent="0.25">
      <c r="C3263" s="4">
        <f ca="1">IFERROR(__xludf.DUMMYFUNCTION("""COMPUTED_VALUE"""),43672.9986111111)</f>
        <v>43672.998611111099</v>
      </c>
      <c r="D3263" s="2">
        <f ca="1">IFERROR(__xludf.DUMMYFUNCTION("""COMPUTED_VALUE"""),68.8225)</f>
        <v>68.822500000000005</v>
      </c>
      <c r="F3263" s="2">
        <f ca="1">IFERROR(__xludf.DUMMYFUNCTION("""COMPUTED_VALUE"""),88.363)</f>
        <v>88.363</v>
      </c>
      <c r="M3263" s="2">
        <f ca="1">IFERROR(__xludf.DUMMYFUNCTION("""COMPUTED_VALUE"""),19.38395)</f>
        <v>19.383949999999999</v>
      </c>
      <c r="U3263" s="3" t="e">
        <f ca="1"/>
        <v>#NAME?</v>
      </c>
    </row>
    <row r="3264" spans="3:21" ht="12.5" x14ac:dyDescent="0.25">
      <c r="C3264" s="4">
        <f ca="1">IFERROR(__xludf.DUMMYFUNCTION("""COMPUTED_VALUE"""),43673.9986111111)</f>
        <v>43673.998611111099</v>
      </c>
      <c r="D3264" s="2">
        <f ca="1">IFERROR(__xludf.DUMMYFUNCTION("""COMPUTED_VALUE"""),68.8225)</f>
        <v>68.822500000000005</v>
      </c>
      <c r="F3264" s="2">
        <f ca="1">IFERROR(__xludf.DUMMYFUNCTION("""COMPUTED_VALUE"""),88.373)</f>
        <v>88.373000000000005</v>
      </c>
      <c r="M3264" s="2">
        <f ca="1">IFERROR(__xludf.DUMMYFUNCTION("""COMPUTED_VALUE"""),19.39574)</f>
        <v>19.39574</v>
      </c>
      <c r="U3264" s="3" t="e">
        <f ca="1"/>
        <v>#NAME?</v>
      </c>
    </row>
    <row r="3265" spans="3:21" ht="12.5" x14ac:dyDescent="0.25">
      <c r="C3265" s="4">
        <f ca="1">IFERROR(__xludf.DUMMYFUNCTION("""COMPUTED_VALUE"""),43674.9986111111)</f>
        <v>43674.998611111099</v>
      </c>
      <c r="D3265" s="2">
        <f ca="1">IFERROR(__xludf.DUMMYFUNCTION("""COMPUTED_VALUE"""),68.87)</f>
        <v>68.87</v>
      </c>
      <c r="F3265" s="2">
        <f ca="1">IFERROR(__xludf.DUMMYFUNCTION("""COMPUTED_VALUE"""),87.864)</f>
        <v>87.864000000000004</v>
      </c>
      <c r="M3265" s="2">
        <f ca="1">IFERROR(__xludf.DUMMYFUNCTION("""COMPUTED_VALUE"""),19.36478)</f>
        <v>19.36478</v>
      </c>
      <c r="U3265" s="3" t="e">
        <f ca="1"/>
        <v>#NAME?</v>
      </c>
    </row>
    <row r="3266" spans="3:21" ht="12.5" x14ac:dyDescent="0.25">
      <c r="C3266" s="4">
        <f ca="1">IFERROR(__xludf.DUMMYFUNCTION("""COMPUTED_VALUE"""),43675.9986111111)</f>
        <v>43675.998611111099</v>
      </c>
      <c r="D3266" s="2">
        <f ca="1">IFERROR(__xludf.DUMMYFUNCTION("""COMPUTED_VALUE"""),68.95)</f>
        <v>68.95</v>
      </c>
      <c r="F3266" s="2">
        <f ca="1">IFERROR(__xludf.DUMMYFUNCTION("""COMPUTED_VALUE"""),87.52)</f>
        <v>87.52</v>
      </c>
      <c r="M3266" s="2">
        <f ca="1">IFERROR(__xludf.DUMMYFUNCTION("""COMPUTED_VALUE"""),19.41004)</f>
        <v>19.410039999999999</v>
      </c>
      <c r="U3266" s="3" t="e">
        <f ca="1"/>
        <v>#NAME?</v>
      </c>
    </row>
    <row r="3267" spans="3:21" ht="12.5" x14ac:dyDescent="0.25">
      <c r="C3267" s="4">
        <f ca="1">IFERROR(__xludf.DUMMYFUNCTION("""COMPUTED_VALUE"""),43676.9986111111)</f>
        <v>43676.998611111099</v>
      </c>
      <c r="D3267" s="2">
        <f ca="1">IFERROR(__xludf.DUMMYFUNCTION("""COMPUTED_VALUE"""),69.0775)</f>
        <v>69.077500000000001</v>
      </c>
      <c r="F3267" s="2">
        <f ca="1">IFERROR(__xludf.DUMMYFUNCTION("""COMPUTED_VALUE"""),87.528)</f>
        <v>87.528000000000006</v>
      </c>
      <c r="M3267" s="2">
        <f ca="1">IFERROR(__xludf.DUMMYFUNCTION("""COMPUTED_VALUE"""),19.4657)</f>
        <v>19.465699999999998</v>
      </c>
      <c r="U3267" s="3" t="e">
        <f ca="1"/>
        <v>#NAME?</v>
      </c>
    </row>
    <row r="3268" spans="3:21" ht="12.5" x14ac:dyDescent="0.25">
      <c r="C3268" s="4">
        <f ca="1">IFERROR(__xludf.DUMMYFUNCTION("""COMPUTED_VALUE"""),43677.9986111111)</f>
        <v>43677.998611111099</v>
      </c>
      <c r="D3268" s="2">
        <f ca="1">IFERROR(__xludf.DUMMYFUNCTION("""COMPUTED_VALUE"""),69.405)</f>
        <v>69.405000000000001</v>
      </c>
      <c r="F3268" s="2">
        <f ca="1">IFERROR(__xludf.DUMMYFUNCTION("""COMPUTED_VALUE"""),87.494)</f>
        <v>87.494</v>
      </c>
      <c r="M3268" s="2">
        <f ca="1">IFERROR(__xludf.DUMMYFUNCTION("""COMPUTED_VALUE"""),19.43877)</f>
        <v>19.438770000000002</v>
      </c>
      <c r="U3268" s="3" t="e">
        <f ca="1"/>
        <v>#NAME?</v>
      </c>
    </row>
    <row r="3269" spans="3:21" ht="12.5" x14ac:dyDescent="0.25">
      <c r="C3269" s="4">
        <f ca="1">IFERROR(__xludf.DUMMYFUNCTION("""COMPUTED_VALUE"""),43678.9986111111)</f>
        <v>43678.998611111099</v>
      </c>
      <c r="D3269" s="2">
        <f ca="1">IFERROR(__xludf.DUMMYFUNCTION("""COMPUTED_VALUE"""),69.2972)</f>
        <v>69.297200000000004</v>
      </c>
      <c r="F3269" s="2">
        <f ca="1">IFERROR(__xludf.DUMMYFUNCTION("""COMPUTED_VALUE"""),87.461)</f>
        <v>87.460999999999999</v>
      </c>
      <c r="M3269" s="2">
        <f ca="1">IFERROR(__xludf.DUMMYFUNCTION("""COMPUTED_VALUE"""),19.47295)</f>
        <v>19.472950000000001</v>
      </c>
      <c r="U3269" s="3" t="e">
        <f ca="1"/>
        <v>#NAME?</v>
      </c>
    </row>
    <row r="3270" spans="3:21" ht="12.5" x14ac:dyDescent="0.25">
      <c r="C3270" s="4">
        <f ca="1">IFERROR(__xludf.DUMMYFUNCTION("""COMPUTED_VALUE"""),43679.9986111111)</f>
        <v>43679.998611111099</v>
      </c>
      <c r="D3270" s="2">
        <f ca="1">IFERROR(__xludf.DUMMYFUNCTION("""COMPUTED_VALUE"""),69.6569)</f>
        <v>69.656899999999993</v>
      </c>
      <c r="F3270" s="2">
        <f ca="1">IFERROR(__xludf.DUMMYFUNCTION("""COMPUTED_VALUE"""),87.039)</f>
        <v>87.039000000000001</v>
      </c>
      <c r="M3270" s="2">
        <f ca="1">IFERROR(__xludf.DUMMYFUNCTION("""COMPUTED_VALUE"""),19.44777)</f>
        <v>19.447769999999998</v>
      </c>
      <c r="U3270" s="3" t="e">
        <f ca="1"/>
        <v>#NAME?</v>
      </c>
    </row>
    <row r="3271" spans="3:21" ht="12.5" x14ac:dyDescent="0.25">
      <c r="C3271" s="4">
        <f ca="1">IFERROR(__xludf.DUMMYFUNCTION("""COMPUTED_VALUE"""),43680.9986111111)</f>
        <v>43680.998611111099</v>
      </c>
      <c r="D3271" s="2">
        <f ca="1">IFERROR(__xludf.DUMMYFUNCTION("""COMPUTED_VALUE"""),69.6569)</f>
        <v>69.656899999999993</v>
      </c>
      <c r="F3271" s="2">
        <f ca="1">IFERROR(__xludf.DUMMYFUNCTION("""COMPUTED_VALUE"""),86.824)</f>
        <v>86.823999999999998</v>
      </c>
      <c r="U3271" s="3" t="e">
        <f ca="1"/>
        <v>#NAME?</v>
      </c>
    </row>
    <row r="3272" spans="3:21" ht="12.5" x14ac:dyDescent="0.25">
      <c r="C3272" s="4">
        <f ca="1">IFERROR(__xludf.DUMMYFUNCTION("""COMPUTED_VALUE"""),43681.9986111111)</f>
        <v>43681.998611111099</v>
      </c>
      <c r="D3272" s="2">
        <f ca="1">IFERROR(__xludf.DUMMYFUNCTION("""COMPUTED_VALUE"""),69.6569)</f>
        <v>69.656899999999993</v>
      </c>
      <c r="F3272" s="2">
        <f ca="1">IFERROR(__xludf.DUMMYFUNCTION("""COMPUTED_VALUE"""),86.488)</f>
        <v>86.488</v>
      </c>
      <c r="U3272" s="3" t="e">
        <f ca="1"/>
        <v>#NAME?</v>
      </c>
    </row>
    <row r="3273" spans="3:21" ht="12.5" x14ac:dyDescent="0.25">
      <c r="C3273" s="4">
        <f ca="1">IFERROR(__xludf.DUMMYFUNCTION("""COMPUTED_VALUE"""),43682.9986111111)</f>
        <v>43682.998611111099</v>
      </c>
      <c r="D3273" s="2">
        <f ca="1">IFERROR(__xludf.DUMMYFUNCTION("""COMPUTED_VALUE"""),71.52)</f>
        <v>71.52</v>
      </c>
      <c r="F3273" s="2">
        <f ca="1">IFERROR(__xludf.DUMMYFUNCTION("""COMPUTED_VALUE"""),85.701)</f>
        <v>85.700999999999993</v>
      </c>
      <c r="U3273" s="3" t="e">
        <f ca="1"/>
        <v>#NAME?</v>
      </c>
    </row>
    <row r="3274" spans="3:21" ht="12.5" x14ac:dyDescent="0.25">
      <c r="C3274" s="4">
        <f ca="1">IFERROR(__xludf.DUMMYFUNCTION("""COMPUTED_VALUE"""),43683.9986111111)</f>
        <v>43683.998611111099</v>
      </c>
      <c r="D3274" s="2">
        <f ca="1">IFERROR(__xludf.DUMMYFUNCTION("""COMPUTED_VALUE"""),71.23)</f>
        <v>71.23</v>
      </c>
      <c r="F3274" s="2">
        <f ca="1">IFERROR(__xludf.DUMMYFUNCTION("""COMPUTED_VALUE"""),85.701)</f>
        <v>85.700999999999993</v>
      </c>
      <c r="U3274" s="3" t="e">
        <f ca="1"/>
        <v>#NAME?</v>
      </c>
    </row>
    <row r="3275" spans="3:21" ht="12.5" x14ac:dyDescent="0.25">
      <c r="C3275" s="4">
        <f ca="1">IFERROR(__xludf.DUMMYFUNCTION("""COMPUTED_VALUE"""),43684.9986111111)</f>
        <v>43684.998611111099</v>
      </c>
      <c r="D3275" s="2">
        <f ca="1">IFERROR(__xludf.DUMMYFUNCTION("""COMPUTED_VALUE"""),71.1651)</f>
        <v>71.165099999999995</v>
      </c>
      <c r="F3275" s="2">
        <f ca="1">IFERROR(__xludf.DUMMYFUNCTION("""COMPUTED_VALUE"""),85.721)</f>
        <v>85.721000000000004</v>
      </c>
      <c r="U3275" s="3" t="e">
        <f ca="1"/>
        <v>#NAME?</v>
      </c>
    </row>
    <row r="3276" spans="3:21" ht="12.5" x14ac:dyDescent="0.25">
      <c r="C3276" s="4">
        <f ca="1">IFERROR(__xludf.DUMMYFUNCTION("""COMPUTED_VALUE"""),43685.9986111111)</f>
        <v>43685.998611111099</v>
      </c>
      <c r="D3276" s="2">
        <f ca="1">IFERROR(__xludf.DUMMYFUNCTION("""COMPUTED_VALUE"""),70.4709)</f>
        <v>70.4709</v>
      </c>
      <c r="F3276" s="2">
        <f ca="1">IFERROR(__xludf.DUMMYFUNCTION("""COMPUTED_VALUE"""),86.181)</f>
        <v>86.180999999999997</v>
      </c>
      <c r="U3276" s="3" t="e">
        <f ca="1"/>
        <v>#NAME?</v>
      </c>
    </row>
    <row r="3277" spans="3:21" ht="12.5" x14ac:dyDescent="0.25">
      <c r="C3277" s="4">
        <f ca="1">IFERROR(__xludf.DUMMYFUNCTION("""COMPUTED_VALUE"""),43686.9986111111)</f>
        <v>43686.998611111099</v>
      </c>
      <c r="D3277" s="2">
        <f ca="1">IFERROR(__xludf.DUMMYFUNCTION("""COMPUTED_VALUE"""),71.0321)</f>
        <v>71.0321</v>
      </c>
      <c r="F3277" s="2">
        <f ca="1">IFERROR(__xludf.DUMMYFUNCTION("""COMPUTED_VALUE"""),85.678)</f>
        <v>85.677999999999997</v>
      </c>
      <c r="U3277" s="3" t="e">
        <f ca="1"/>
        <v>#NAME?</v>
      </c>
    </row>
    <row r="3278" spans="3:21" ht="12.5" x14ac:dyDescent="0.25">
      <c r="C3278" s="4">
        <f ca="1">IFERROR(__xludf.DUMMYFUNCTION("""COMPUTED_VALUE"""),43687.9986111111)</f>
        <v>43687.998611111099</v>
      </c>
      <c r="D3278" s="2">
        <f ca="1">IFERROR(__xludf.DUMMYFUNCTION("""COMPUTED_VALUE"""),71.032)</f>
        <v>71.031999999999996</v>
      </c>
      <c r="F3278" s="2">
        <f ca="1">IFERROR(__xludf.DUMMYFUNCTION("""COMPUTED_VALUE"""),85.515)</f>
        <v>85.515000000000001</v>
      </c>
      <c r="U3278" s="3" t="e">
        <f ca="1"/>
        <v>#NAME?</v>
      </c>
    </row>
    <row r="3279" spans="3:21" ht="12.5" x14ac:dyDescent="0.25">
      <c r="C3279" s="4">
        <f ca="1">IFERROR(__xludf.DUMMYFUNCTION("""COMPUTED_VALUE"""),43688.9986111111)</f>
        <v>43688.998611111099</v>
      </c>
      <c r="D3279" s="2">
        <f ca="1">IFERROR(__xludf.DUMMYFUNCTION("""COMPUTED_VALUE"""),71.035)</f>
        <v>71.034999999999997</v>
      </c>
      <c r="F3279" s="2">
        <f ca="1">IFERROR(__xludf.DUMMYFUNCTION("""COMPUTED_VALUE"""),85.988)</f>
        <v>85.988</v>
      </c>
      <c r="U3279" s="3" t="e">
        <f ca="1"/>
        <v>#NAME?</v>
      </c>
    </row>
    <row r="3280" spans="3:21" ht="12.5" x14ac:dyDescent="0.25">
      <c r="C3280" s="4">
        <f ca="1">IFERROR(__xludf.DUMMYFUNCTION("""COMPUTED_VALUE"""),43689.9986111111)</f>
        <v>43689.998611111099</v>
      </c>
      <c r="D3280" s="2">
        <f ca="1">IFERROR(__xludf.DUMMYFUNCTION("""COMPUTED_VALUE"""),71.58)</f>
        <v>71.58</v>
      </c>
      <c r="F3280" s="2">
        <f ca="1">IFERROR(__xludf.DUMMYFUNCTION("""COMPUTED_VALUE"""),86.181)</f>
        <v>86.180999999999997</v>
      </c>
      <c r="U3280" s="3" t="e">
        <f ca="1"/>
        <v>#NAME?</v>
      </c>
    </row>
    <row r="3281" spans="3:21" ht="12.5" x14ac:dyDescent="0.25">
      <c r="C3281" s="4">
        <f ca="1">IFERROR(__xludf.DUMMYFUNCTION("""COMPUTED_VALUE"""),43690.9986111111)</f>
        <v>43690.998611111099</v>
      </c>
      <c r="D3281" s="2">
        <f ca="1">IFERROR(__xludf.DUMMYFUNCTION("""COMPUTED_VALUE"""),71.08)</f>
        <v>71.08</v>
      </c>
      <c r="F3281" s="2">
        <f ca="1">IFERROR(__xludf.DUMMYFUNCTION("""COMPUTED_VALUE"""),86.182)</f>
        <v>86.182000000000002</v>
      </c>
      <c r="U3281" s="3" t="e">
        <f ca="1"/>
        <v>#NAME?</v>
      </c>
    </row>
    <row r="3282" spans="3:21" ht="12.5" x14ac:dyDescent="0.25">
      <c r="C3282" s="4">
        <f ca="1">IFERROR(__xludf.DUMMYFUNCTION("""COMPUTED_VALUE"""),43691.9986111111)</f>
        <v>43691.998611111099</v>
      </c>
      <c r="D3282" s="2">
        <f ca="1">IFERROR(__xludf.DUMMYFUNCTION("""COMPUTED_VALUE"""),71.6352)</f>
        <v>71.635199999999998</v>
      </c>
      <c r="F3282" s="2">
        <f ca="1">IFERROR(__xludf.DUMMYFUNCTION("""COMPUTED_VALUE"""),86.181)</f>
        <v>86.180999999999997</v>
      </c>
      <c r="U3282" s="3" t="e">
        <f ca="1"/>
        <v>#NAME?</v>
      </c>
    </row>
    <row r="3283" spans="3:21" ht="12.5" x14ac:dyDescent="0.25">
      <c r="C3283" s="4">
        <f ca="1">IFERROR(__xludf.DUMMYFUNCTION("""COMPUTED_VALUE"""),43692.9986111111)</f>
        <v>43692.998611111099</v>
      </c>
      <c r="D3283" s="2">
        <f ca="1">IFERROR(__xludf.DUMMYFUNCTION("""COMPUTED_VALUE"""),71.72)</f>
        <v>71.72</v>
      </c>
      <c r="F3283" s="2">
        <f ca="1">IFERROR(__xludf.DUMMYFUNCTION("""COMPUTED_VALUE"""),86.063)</f>
        <v>86.063000000000002</v>
      </c>
      <c r="U3283" s="3" t="e">
        <f ca="1"/>
        <v>#NAME?</v>
      </c>
    </row>
    <row r="3284" spans="3:21" ht="12.5" x14ac:dyDescent="0.25">
      <c r="C3284" s="4">
        <f ca="1">IFERROR(__xludf.DUMMYFUNCTION("""COMPUTED_VALUE"""),43693.9986111111)</f>
        <v>43693.998611111099</v>
      </c>
      <c r="D3284" s="2">
        <f ca="1">IFERROR(__xludf.DUMMYFUNCTION("""COMPUTED_VALUE"""),70.993)</f>
        <v>70.992999999999995</v>
      </c>
      <c r="F3284" s="2">
        <f ca="1">IFERROR(__xludf.DUMMYFUNCTION("""COMPUTED_VALUE"""),85.504)</f>
        <v>85.504000000000005</v>
      </c>
      <c r="U3284" s="3" t="e">
        <f ca="1"/>
        <v>#NAME?</v>
      </c>
    </row>
    <row r="3285" spans="3:21" ht="12.5" x14ac:dyDescent="0.25">
      <c r="C3285" s="4">
        <f ca="1">IFERROR(__xludf.DUMMYFUNCTION("""COMPUTED_VALUE"""),43694.9986111111)</f>
        <v>43694.998611111099</v>
      </c>
      <c r="D3285" s="2">
        <f ca="1">IFERROR(__xludf.DUMMYFUNCTION("""COMPUTED_VALUE"""),70.993)</f>
        <v>70.992999999999995</v>
      </c>
      <c r="F3285" s="2">
        <f ca="1">IFERROR(__xludf.DUMMYFUNCTION("""COMPUTED_VALUE"""),85.517)</f>
        <v>85.516999999999996</v>
      </c>
      <c r="U3285" s="3" t="e">
        <f ca="1"/>
        <v>#NAME?</v>
      </c>
    </row>
    <row r="3286" spans="3:21" ht="12.5" x14ac:dyDescent="0.25">
      <c r="C3286" s="4">
        <f ca="1">IFERROR(__xludf.DUMMYFUNCTION("""COMPUTED_VALUE"""),43695.9986111111)</f>
        <v>43695.998611111099</v>
      </c>
      <c r="D3286" s="2">
        <f ca="1">IFERROR(__xludf.DUMMYFUNCTION("""COMPUTED_VALUE"""),71.132)</f>
        <v>71.132000000000005</v>
      </c>
      <c r="F3286" s="2">
        <f ca="1">IFERROR(__xludf.DUMMYFUNCTION("""COMPUTED_VALUE"""),86.349)</f>
        <v>86.349000000000004</v>
      </c>
      <c r="U3286" s="3" t="e">
        <f ca="1"/>
        <v>#NAME?</v>
      </c>
    </row>
    <row r="3287" spans="3:21" ht="12.5" x14ac:dyDescent="0.25">
      <c r="C3287" s="4">
        <f ca="1">IFERROR(__xludf.DUMMYFUNCTION("""COMPUTED_VALUE"""),43696.9986111111)</f>
        <v>43696.998611111099</v>
      </c>
      <c r="D3287" s="2">
        <f ca="1">IFERROR(__xludf.DUMMYFUNCTION("""COMPUTED_VALUE"""),71.995)</f>
        <v>71.995000000000005</v>
      </c>
      <c r="F3287" s="2">
        <f ca="1">IFERROR(__xludf.DUMMYFUNCTION("""COMPUTED_VALUE"""),86.176)</f>
        <v>86.176000000000002</v>
      </c>
      <c r="U3287" s="3" t="e">
        <f ca="1"/>
        <v>#NAME?</v>
      </c>
    </row>
    <row r="3288" spans="3:21" ht="12.5" x14ac:dyDescent="0.25">
      <c r="C3288" s="4">
        <f ca="1">IFERROR(__xludf.DUMMYFUNCTION("""COMPUTED_VALUE"""),43697.9986111111)</f>
        <v>43697.998611111099</v>
      </c>
      <c r="D3288" s="2">
        <f ca="1">IFERROR(__xludf.DUMMYFUNCTION("""COMPUTED_VALUE"""),71.81)</f>
        <v>71.81</v>
      </c>
      <c r="F3288" s="2">
        <f ca="1">IFERROR(__xludf.DUMMYFUNCTION("""COMPUTED_VALUE"""),86.083)</f>
        <v>86.082999999999998</v>
      </c>
      <c r="U3288" s="3" t="e">
        <f ca="1"/>
        <v>#NAME?</v>
      </c>
    </row>
    <row r="3289" spans="3:21" ht="12.5" x14ac:dyDescent="0.25">
      <c r="C3289" s="4">
        <f ca="1">IFERROR(__xludf.DUMMYFUNCTION("""COMPUTED_VALUE"""),43698.9986111111)</f>
        <v>43698.998611111099</v>
      </c>
      <c r="D3289" s="2">
        <f ca="1">IFERROR(__xludf.DUMMYFUNCTION("""COMPUTED_VALUE"""),71.4378)</f>
        <v>71.437799999999996</v>
      </c>
      <c r="F3289" s="2">
        <f ca="1">IFERROR(__xludf.DUMMYFUNCTION("""COMPUTED_VALUE"""),86.071)</f>
        <v>86.070999999999998</v>
      </c>
      <c r="U3289" s="3" t="e">
        <f ca="1"/>
        <v>#NAME?</v>
      </c>
    </row>
    <row r="3290" spans="3:21" ht="12.5" x14ac:dyDescent="0.25">
      <c r="C3290" s="4">
        <f ca="1">IFERROR(__xludf.DUMMYFUNCTION("""COMPUTED_VALUE"""),43699.9986111111)</f>
        <v>43699.998611111099</v>
      </c>
      <c r="D3290" s="2">
        <f ca="1">IFERROR(__xludf.DUMMYFUNCTION("""COMPUTED_VALUE"""),71.9204)</f>
        <v>71.920400000000001</v>
      </c>
      <c r="F3290" s="2">
        <f ca="1">IFERROR(__xludf.DUMMYFUNCTION("""COMPUTED_VALUE"""),86.268)</f>
        <v>86.268000000000001</v>
      </c>
      <c r="U3290" s="3" t="e">
        <f ca="1"/>
        <v>#NAME?</v>
      </c>
    </row>
    <row r="3291" spans="3:21" ht="12.5" x14ac:dyDescent="0.25">
      <c r="C3291" s="4">
        <f ca="1">IFERROR(__xludf.DUMMYFUNCTION("""COMPUTED_VALUE"""),43700.9986111111)</f>
        <v>43700.998611111099</v>
      </c>
      <c r="D3291" s="2">
        <f ca="1">IFERROR(__xludf.DUMMYFUNCTION("""COMPUTED_VALUE"""),71.7271)</f>
        <v>71.727099999999993</v>
      </c>
      <c r="F3291" s="2">
        <f ca="1">IFERROR(__xludf.DUMMYFUNCTION("""COMPUTED_VALUE"""),85.842)</f>
        <v>85.841999999999999</v>
      </c>
      <c r="U3291" s="3" t="e">
        <f ca="1"/>
        <v>#NAME?</v>
      </c>
    </row>
    <row r="3292" spans="3:21" ht="12.5" x14ac:dyDescent="0.25">
      <c r="C3292" s="4">
        <f ca="1">IFERROR(__xludf.DUMMYFUNCTION("""COMPUTED_VALUE"""),43701.9986111111)</f>
        <v>43701.998611111099</v>
      </c>
      <c r="D3292" s="2">
        <f ca="1">IFERROR(__xludf.DUMMYFUNCTION("""COMPUTED_VALUE"""),71.505)</f>
        <v>71.504999999999995</v>
      </c>
      <c r="F3292" s="2">
        <f ca="1">IFERROR(__xludf.DUMMYFUNCTION("""COMPUTED_VALUE"""),86.372)</f>
        <v>86.372</v>
      </c>
      <c r="U3292" s="3" t="e">
        <f ca="1"/>
        <v>#NAME?</v>
      </c>
    </row>
    <row r="3293" spans="3:21" ht="12.5" x14ac:dyDescent="0.25">
      <c r="C3293" s="4">
        <f ca="1">IFERROR(__xludf.DUMMYFUNCTION("""COMPUTED_VALUE"""),43702.9986111111)</f>
        <v>43702.998611111099</v>
      </c>
      <c r="D3293" s="2">
        <f ca="1">IFERROR(__xludf.DUMMYFUNCTION("""COMPUTED_VALUE"""),71.5025)</f>
        <v>71.502499999999998</v>
      </c>
      <c r="F3293" s="2">
        <f ca="1">IFERROR(__xludf.DUMMYFUNCTION("""COMPUTED_VALUE"""),86.113)</f>
        <v>86.113</v>
      </c>
      <c r="U3293" s="3" t="e">
        <f ca="1"/>
        <v>#NAME?</v>
      </c>
    </row>
    <row r="3294" spans="3:21" ht="12.5" x14ac:dyDescent="0.25">
      <c r="C3294" s="4">
        <f ca="1">IFERROR(__xludf.DUMMYFUNCTION("""COMPUTED_VALUE"""),43703.9986111111)</f>
        <v>43703.998611111099</v>
      </c>
      <c r="D3294" s="2">
        <f ca="1">IFERROR(__xludf.DUMMYFUNCTION("""COMPUTED_VALUE"""),72.16)</f>
        <v>72.16</v>
      </c>
      <c r="F3294" s="2">
        <f ca="1">IFERROR(__xludf.DUMMYFUNCTION("""COMPUTED_VALUE"""),85.229)</f>
        <v>85.228999999999999</v>
      </c>
      <c r="U3294" s="3" t="e">
        <f ca="1"/>
        <v>#NAME?</v>
      </c>
    </row>
    <row r="3295" spans="3:21" ht="12.5" x14ac:dyDescent="0.25">
      <c r="C3295" s="4">
        <f ca="1">IFERROR(__xludf.DUMMYFUNCTION("""COMPUTED_VALUE"""),43704.9986111111)</f>
        <v>43704.998611111099</v>
      </c>
      <c r="D3295" s="2">
        <f ca="1">IFERROR(__xludf.DUMMYFUNCTION("""COMPUTED_VALUE"""),71.535)</f>
        <v>71.534999999999997</v>
      </c>
      <c r="F3295" s="2">
        <f ca="1">IFERROR(__xludf.DUMMYFUNCTION("""COMPUTED_VALUE"""),85.228)</f>
        <v>85.227999999999994</v>
      </c>
      <c r="U3295" s="3" t="e">
        <f ca="1"/>
        <v>#NAME?</v>
      </c>
    </row>
    <row r="3296" spans="3:21" ht="12.5" x14ac:dyDescent="0.25">
      <c r="C3296" s="4">
        <f ca="1">IFERROR(__xludf.DUMMYFUNCTION("""COMPUTED_VALUE"""),43705.9986111111)</f>
        <v>43705.998611111099</v>
      </c>
      <c r="D3296" s="2">
        <f ca="1">IFERROR(__xludf.DUMMYFUNCTION("""COMPUTED_VALUE"""),72.085)</f>
        <v>72.084999999999994</v>
      </c>
      <c r="F3296" s="2">
        <f ca="1">IFERROR(__xludf.DUMMYFUNCTION("""COMPUTED_VALUE"""),85.254)</f>
        <v>85.254000000000005</v>
      </c>
      <c r="U3296" s="3" t="e">
        <f ca="1"/>
        <v>#NAME?</v>
      </c>
    </row>
    <row r="3297" spans="3:21" ht="12.5" x14ac:dyDescent="0.25">
      <c r="C3297" s="4">
        <f ca="1">IFERROR(__xludf.DUMMYFUNCTION("""COMPUTED_VALUE"""),43706.9986111111)</f>
        <v>43706.998611111099</v>
      </c>
      <c r="D3297" s="2">
        <f ca="1">IFERROR(__xludf.DUMMYFUNCTION("""COMPUTED_VALUE"""),71.6802)</f>
        <v>71.680199999999999</v>
      </c>
      <c r="F3297" s="2">
        <f ca="1">IFERROR(__xludf.DUMMYFUNCTION("""COMPUTED_VALUE"""),84.239)</f>
        <v>84.239000000000004</v>
      </c>
      <c r="U3297" s="3" t="e">
        <f ca="1"/>
        <v>#NAME?</v>
      </c>
    </row>
    <row r="3298" spans="3:21" ht="12.5" x14ac:dyDescent="0.25">
      <c r="C3298" s="4">
        <f ca="1">IFERROR(__xludf.DUMMYFUNCTION("""COMPUTED_VALUE"""),43707.9986111111)</f>
        <v>43707.998611111099</v>
      </c>
      <c r="D3298" s="2">
        <f ca="1">IFERROR(__xludf.DUMMYFUNCTION("""COMPUTED_VALUE"""),71.7299)</f>
        <v>71.729900000000001</v>
      </c>
      <c r="F3298" s="2">
        <f ca="1">IFERROR(__xludf.DUMMYFUNCTION("""COMPUTED_VALUE"""),84.026)</f>
        <v>84.025999999999996</v>
      </c>
      <c r="U3298" s="3" t="e">
        <f ca="1"/>
        <v>#NAME?</v>
      </c>
    </row>
    <row r="3299" spans="3:21" ht="12.5" x14ac:dyDescent="0.25">
      <c r="C3299" s="4">
        <f ca="1">IFERROR(__xludf.DUMMYFUNCTION("""COMPUTED_VALUE"""),43708.9986111111)</f>
        <v>43708.998611111099</v>
      </c>
      <c r="D3299" s="2">
        <f ca="1">IFERROR(__xludf.DUMMYFUNCTION("""COMPUTED_VALUE"""),71.7299)</f>
        <v>71.729900000000001</v>
      </c>
      <c r="F3299" s="2">
        <f ca="1">IFERROR(__xludf.DUMMYFUNCTION("""COMPUTED_VALUE"""),84.351)</f>
        <v>84.350999999999999</v>
      </c>
      <c r="U3299" s="3" t="e">
        <f ca="1"/>
        <v>#NAME?</v>
      </c>
    </row>
    <row r="3300" spans="3:21" ht="12.5" x14ac:dyDescent="0.25">
      <c r="C3300" s="4">
        <f ca="1">IFERROR(__xludf.DUMMYFUNCTION("""COMPUTED_VALUE"""),43709.9986111111)</f>
        <v>43709.998611111099</v>
      </c>
      <c r="D3300" s="2">
        <f ca="1">IFERROR(__xludf.DUMMYFUNCTION("""COMPUTED_VALUE"""),71.7299)</f>
        <v>71.729900000000001</v>
      </c>
      <c r="F3300" s="2">
        <f ca="1">IFERROR(__xludf.DUMMYFUNCTION("""COMPUTED_VALUE"""),84.027)</f>
        <v>84.027000000000001</v>
      </c>
      <c r="U3300" s="3" t="e">
        <f ca="1"/>
        <v>#NAME?</v>
      </c>
    </row>
    <row r="3301" spans="3:21" ht="12.5" x14ac:dyDescent="0.25">
      <c r="C3301" s="4">
        <f ca="1">IFERROR(__xludf.DUMMYFUNCTION("""COMPUTED_VALUE"""),43710.9986111111)</f>
        <v>43710.998611111099</v>
      </c>
      <c r="D3301" s="2">
        <f ca="1">IFERROR(__xludf.DUMMYFUNCTION("""COMPUTED_VALUE"""),71.9621)</f>
        <v>71.962100000000007</v>
      </c>
      <c r="F3301" s="2">
        <f ca="1">IFERROR(__xludf.DUMMYFUNCTION("""COMPUTED_VALUE"""),84.71)</f>
        <v>84.71</v>
      </c>
      <c r="U3301" s="3" t="e">
        <f ca="1"/>
        <v>#NAME?</v>
      </c>
    </row>
    <row r="3302" spans="3:21" ht="12.5" x14ac:dyDescent="0.25">
      <c r="C3302" s="4">
        <f ca="1">IFERROR(__xludf.DUMMYFUNCTION("""COMPUTED_VALUE"""),43711.9986111111)</f>
        <v>43711.998611111099</v>
      </c>
      <c r="D3302" s="2">
        <f ca="1">IFERROR(__xludf.DUMMYFUNCTION("""COMPUTED_VALUE"""),72.46)</f>
        <v>72.459999999999994</v>
      </c>
      <c r="F3302" s="2">
        <f ca="1">IFERROR(__xludf.DUMMYFUNCTION("""COMPUTED_VALUE"""),84.685)</f>
        <v>84.685000000000002</v>
      </c>
      <c r="U3302" s="3" t="e">
        <f ca="1"/>
        <v>#NAME?</v>
      </c>
    </row>
    <row r="3303" spans="3:21" ht="12.5" x14ac:dyDescent="0.25">
      <c r="C3303" s="4">
        <f ca="1">IFERROR(__xludf.DUMMYFUNCTION("""COMPUTED_VALUE"""),43712.9986111111)</f>
        <v>43712.998611111099</v>
      </c>
      <c r="D3303" s="2">
        <f ca="1">IFERROR(__xludf.DUMMYFUNCTION("""COMPUTED_VALUE"""),71.9557)</f>
        <v>71.955699999999993</v>
      </c>
      <c r="F3303" s="2">
        <f ca="1">IFERROR(__xludf.DUMMYFUNCTION("""COMPUTED_VALUE"""),84.621)</f>
        <v>84.620999999999995</v>
      </c>
      <c r="U3303" s="3" t="e">
        <f ca="1"/>
        <v>#NAME?</v>
      </c>
    </row>
    <row r="3304" spans="3:21" ht="12.5" x14ac:dyDescent="0.25">
      <c r="C3304" s="4">
        <f ca="1">IFERROR(__xludf.DUMMYFUNCTION("""COMPUTED_VALUE"""),43713.9986111111)</f>
        <v>43713.998611111099</v>
      </c>
      <c r="D3304" s="2">
        <f ca="1">IFERROR(__xludf.DUMMYFUNCTION("""COMPUTED_VALUE"""),72.22)</f>
        <v>72.22</v>
      </c>
      <c r="F3304" s="2">
        <f ca="1">IFERROR(__xludf.DUMMYFUNCTION("""COMPUTED_VALUE"""),86.952)</f>
        <v>86.951999999999998</v>
      </c>
      <c r="U3304" s="3" t="e">
        <f ca="1"/>
        <v>#NAME?</v>
      </c>
    </row>
    <row r="3305" spans="3:21" ht="12.5" x14ac:dyDescent="0.25">
      <c r="C3305" s="4">
        <f ca="1">IFERROR(__xludf.DUMMYFUNCTION("""COMPUTED_VALUE"""),43714.9986111111)</f>
        <v>43714.998611111099</v>
      </c>
      <c r="D3305" s="2">
        <f ca="1">IFERROR(__xludf.DUMMYFUNCTION("""COMPUTED_VALUE"""),71.67)</f>
        <v>71.67</v>
      </c>
      <c r="F3305" s="2">
        <f ca="1">IFERROR(__xludf.DUMMYFUNCTION("""COMPUTED_VALUE"""),86.665)</f>
        <v>86.665000000000006</v>
      </c>
      <c r="U3305" s="3" t="e">
        <f ca="1"/>
        <v>#NAME?</v>
      </c>
    </row>
    <row r="3306" spans="3:21" ht="12.5" x14ac:dyDescent="0.25">
      <c r="C3306" s="4">
        <f ca="1">IFERROR(__xludf.DUMMYFUNCTION("""COMPUTED_VALUE"""),43715.9986111111)</f>
        <v>43715.998611111099</v>
      </c>
      <c r="D3306" s="2">
        <f ca="1">IFERROR(__xludf.DUMMYFUNCTION("""COMPUTED_VALUE"""),71.638)</f>
        <v>71.638000000000005</v>
      </c>
      <c r="F3306" s="2">
        <f ca="1">IFERROR(__xludf.DUMMYFUNCTION("""COMPUTED_VALUE"""),86.407)</f>
        <v>86.406999999999996</v>
      </c>
      <c r="U3306" s="3" t="e">
        <f ca="1"/>
        <v>#NAME?</v>
      </c>
    </row>
    <row r="3307" spans="3:21" ht="12.5" x14ac:dyDescent="0.25">
      <c r="C3307" s="4">
        <f ca="1">IFERROR(__xludf.DUMMYFUNCTION("""COMPUTED_VALUE"""),43716.9986111111)</f>
        <v>43716.998611111099</v>
      </c>
      <c r="D3307" s="2">
        <f ca="1">IFERROR(__xludf.DUMMYFUNCTION("""COMPUTED_VALUE"""),71.67)</f>
        <v>71.67</v>
      </c>
      <c r="F3307" s="2">
        <f ca="1">IFERROR(__xludf.DUMMYFUNCTION("""COMPUTED_VALUE"""),85.574)</f>
        <v>85.573999999999998</v>
      </c>
      <c r="U3307" s="3" t="e">
        <f ca="1"/>
        <v>#NAME?</v>
      </c>
    </row>
    <row r="3308" spans="3:21" ht="12.5" x14ac:dyDescent="0.25">
      <c r="C3308" s="4">
        <f ca="1">IFERROR(__xludf.DUMMYFUNCTION("""COMPUTED_VALUE"""),43717.9986111111)</f>
        <v>43717.998611111099</v>
      </c>
      <c r="D3308" s="2">
        <f ca="1">IFERROR(__xludf.DUMMYFUNCTION("""COMPUTED_VALUE"""),72.0925)</f>
        <v>72.092500000000001</v>
      </c>
      <c r="F3308" s="2">
        <f ca="1">IFERROR(__xludf.DUMMYFUNCTION("""COMPUTED_VALUE"""),85.502)</f>
        <v>85.501999999999995</v>
      </c>
      <c r="U3308" s="3" t="e">
        <f ca="1"/>
        <v>#NAME?</v>
      </c>
    </row>
    <row r="3309" spans="3:21" ht="12.5" x14ac:dyDescent="0.25">
      <c r="C3309" s="4">
        <f ca="1">IFERROR(__xludf.DUMMYFUNCTION("""COMPUTED_VALUE"""),43718.9986111111)</f>
        <v>43718.998611111099</v>
      </c>
      <c r="D3309" s="2">
        <f ca="1">IFERROR(__xludf.DUMMYFUNCTION("""COMPUTED_VALUE"""),71.859)</f>
        <v>71.858999999999995</v>
      </c>
      <c r="F3309" s="2">
        <f ca="1">IFERROR(__xludf.DUMMYFUNCTION("""COMPUTED_VALUE"""),85.501)</f>
        <v>85.501000000000005</v>
      </c>
      <c r="U3309" s="3" t="e">
        <f ca="1"/>
        <v>#NAME?</v>
      </c>
    </row>
    <row r="3310" spans="3:21" ht="12.5" x14ac:dyDescent="0.25">
      <c r="C3310" s="4">
        <f ca="1">IFERROR(__xludf.DUMMYFUNCTION("""COMPUTED_VALUE"""),43719.9986111111)</f>
        <v>43719.998611111099</v>
      </c>
      <c r="D3310" s="2">
        <f ca="1">IFERROR(__xludf.DUMMYFUNCTION("""COMPUTED_VALUE"""),71.5601)</f>
        <v>71.560100000000006</v>
      </c>
      <c r="F3310" s="2">
        <f ca="1">IFERROR(__xludf.DUMMYFUNCTION("""COMPUTED_VALUE"""),85.471)</f>
        <v>85.471000000000004</v>
      </c>
      <c r="U3310" s="3" t="e">
        <f ca="1"/>
        <v>#NAME?</v>
      </c>
    </row>
    <row r="3311" spans="3:21" ht="12.5" x14ac:dyDescent="0.25">
      <c r="C3311" s="4">
        <f ca="1">IFERROR(__xludf.DUMMYFUNCTION("""COMPUTED_VALUE"""),43720.9986111111)</f>
        <v>43720.998611111099</v>
      </c>
      <c r="D3311" s="2">
        <f ca="1">IFERROR(__xludf.DUMMYFUNCTION("""COMPUTED_VALUE"""),71.285)</f>
        <v>71.284999999999997</v>
      </c>
      <c r="F3311" s="2">
        <f ca="1">IFERROR(__xludf.DUMMYFUNCTION("""COMPUTED_VALUE"""),86.46)</f>
        <v>86.46</v>
      </c>
      <c r="U3311" s="3" t="e">
        <f ca="1"/>
        <v>#NAME?</v>
      </c>
    </row>
    <row r="3312" spans="3:21" ht="12.5" x14ac:dyDescent="0.25">
      <c r="C3312" s="4">
        <f ca="1">IFERROR(__xludf.DUMMYFUNCTION("""COMPUTED_VALUE"""),43721.9986111111)</f>
        <v>43721.998611111099</v>
      </c>
      <c r="D3312" s="2">
        <f ca="1">IFERROR(__xludf.DUMMYFUNCTION("""COMPUTED_VALUE"""),71.0207)</f>
        <v>71.020700000000005</v>
      </c>
      <c r="F3312" s="2">
        <f ca="1">IFERROR(__xludf.DUMMYFUNCTION("""COMPUTED_VALUE"""),85.728)</f>
        <v>85.727999999999994</v>
      </c>
      <c r="U3312" s="3" t="e">
        <f ca="1"/>
        <v>#NAME?</v>
      </c>
    </row>
    <row r="3313" spans="3:21" ht="12.5" x14ac:dyDescent="0.25">
      <c r="C3313" s="4">
        <f ca="1">IFERROR(__xludf.DUMMYFUNCTION("""COMPUTED_VALUE"""),43722.9986111111)</f>
        <v>43722.998611111099</v>
      </c>
      <c r="D3313" s="2">
        <f ca="1">IFERROR(__xludf.DUMMYFUNCTION("""COMPUTED_VALUE"""),71.0207)</f>
        <v>71.020700000000005</v>
      </c>
      <c r="F3313" s="2">
        <f ca="1">IFERROR(__xludf.DUMMYFUNCTION("""COMPUTED_VALUE"""),86.392)</f>
        <v>86.391999999999996</v>
      </c>
      <c r="U3313" s="3" t="e">
        <f ca="1"/>
        <v>#NAME?</v>
      </c>
    </row>
    <row r="3314" spans="3:21" ht="12.5" x14ac:dyDescent="0.25">
      <c r="C3314" s="4">
        <f ca="1">IFERROR(__xludf.DUMMYFUNCTION("""COMPUTED_VALUE"""),43723.9986111111)</f>
        <v>43723.998611111099</v>
      </c>
      <c r="D3314" s="2">
        <f ca="1">IFERROR(__xludf.DUMMYFUNCTION("""COMPUTED_VALUE"""),71.0207)</f>
        <v>71.020700000000005</v>
      </c>
      <c r="F3314" s="2">
        <f ca="1">IFERROR(__xludf.DUMMYFUNCTION("""COMPUTED_VALUE"""),86.708)</f>
        <v>86.707999999999998</v>
      </c>
      <c r="U3314" s="3" t="e">
        <f ca="1"/>
        <v>#NAME?</v>
      </c>
    </row>
    <row r="3315" spans="3:21" ht="12.5" x14ac:dyDescent="0.25">
      <c r="C3315" s="4">
        <f ca="1">IFERROR(__xludf.DUMMYFUNCTION("""COMPUTED_VALUE"""),43724.9986111111)</f>
        <v>43724.998611111099</v>
      </c>
      <c r="D3315" s="2">
        <f ca="1">IFERROR(__xludf.DUMMYFUNCTION("""COMPUTED_VALUE"""),71.7491)</f>
        <v>71.749099999999999</v>
      </c>
      <c r="F3315" s="2">
        <f ca="1">IFERROR(__xludf.DUMMYFUNCTION("""COMPUTED_VALUE"""),86.236)</f>
        <v>86.236000000000004</v>
      </c>
      <c r="U3315" s="3" t="e">
        <f ca="1"/>
        <v>#NAME?</v>
      </c>
    </row>
    <row r="3316" spans="3:21" ht="12.5" x14ac:dyDescent="0.25">
      <c r="C3316" s="4">
        <f ca="1">IFERROR(__xludf.DUMMYFUNCTION("""COMPUTED_VALUE"""),43725.9986111111)</f>
        <v>43725.998611111099</v>
      </c>
      <c r="D3316" s="2">
        <f ca="1">IFERROR(__xludf.DUMMYFUNCTION("""COMPUTED_VALUE"""),71.71)</f>
        <v>71.709999999999994</v>
      </c>
      <c r="F3316" s="2">
        <f ca="1">IFERROR(__xludf.DUMMYFUNCTION("""COMPUTED_VALUE"""),86.231)</f>
        <v>86.230999999999995</v>
      </c>
      <c r="U3316" s="3" t="e">
        <f ca="1"/>
        <v>#NAME?</v>
      </c>
    </row>
    <row r="3317" spans="3:21" ht="12.5" x14ac:dyDescent="0.25">
      <c r="C3317" s="4">
        <f ca="1">IFERROR(__xludf.DUMMYFUNCTION("""COMPUTED_VALUE"""),43726.9986111111)</f>
        <v>43726.998611111099</v>
      </c>
      <c r="D3317" s="2">
        <f ca="1">IFERROR(__xludf.DUMMYFUNCTION("""COMPUTED_VALUE"""),71.5425)</f>
        <v>71.542500000000004</v>
      </c>
      <c r="F3317" s="2">
        <f ca="1">IFERROR(__xludf.DUMMYFUNCTION("""COMPUTED_VALUE"""),86.483)</f>
        <v>86.483000000000004</v>
      </c>
      <c r="U3317" s="3" t="e">
        <f ca="1"/>
        <v>#NAME?</v>
      </c>
    </row>
    <row r="3318" spans="3:21" ht="12.5" x14ac:dyDescent="0.25">
      <c r="C3318" s="4">
        <f ca="1">IFERROR(__xludf.DUMMYFUNCTION("""COMPUTED_VALUE"""),43727.9986111111)</f>
        <v>43727.998611111099</v>
      </c>
      <c r="D3318" s="2">
        <f ca="1">IFERROR(__xludf.DUMMYFUNCTION("""COMPUTED_VALUE"""),71.7175)</f>
        <v>71.717500000000001</v>
      </c>
      <c r="F3318" s="2">
        <f ca="1">IFERROR(__xludf.DUMMYFUNCTION("""COMPUTED_VALUE"""),87.302)</f>
        <v>87.302000000000007</v>
      </c>
      <c r="U3318" s="3" t="e">
        <f ca="1"/>
        <v>#NAME?</v>
      </c>
    </row>
    <row r="3319" spans="3:21" ht="12.5" x14ac:dyDescent="0.25">
      <c r="C3319" s="4">
        <f ca="1">IFERROR(__xludf.DUMMYFUNCTION("""COMPUTED_VALUE"""),43728.9986111111)</f>
        <v>43728.998611111099</v>
      </c>
      <c r="D3319" s="2">
        <f ca="1">IFERROR(__xludf.DUMMYFUNCTION("""COMPUTED_VALUE"""),71.1597)</f>
        <v>71.159700000000001</v>
      </c>
      <c r="F3319" s="2">
        <f ca="1">IFERROR(__xludf.DUMMYFUNCTION("""COMPUTED_VALUE"""),87.343)</f>
        <v>87.343000000000004</v>
      </c>
      <c r="U3319" s="3" t="e">
        <f ca="1"/>
        <v>#NAME?</v>
      </c>
    </row>
    <row r="3320" spans="3:21" ht="12.5" x14ac:dyDescent="0.25">
      <c r="C3320" s="4">
        <f ca="1">IFERROR(__xludf.DUMMYFUNCTION("""COMPUTED_VALUE"""),43729.9986111111)</f>
        <v>43729.998611111099</v>
      </c>
      <c r="D3320" s="2">
        <f ca="1">IFERROR(__xludf.DUMMYFUNCTION("""COMPUTED_VALUE"""),71.167)</f>
        <v>71.167000000000002</v>
      </c>
      <c r="F3320" s="2">
        <f ca="1">IFERROR(__xludf.DUMMYFUNCTION("""COMPUTED_VALUE"""),86.662)</f>
        <v>86.662000000000006</v>
      </c>
      <c r="U3320" s="3" t="e">
        <f ca="1"/>
        <v>#NAME?</v>
      </c>
    </row>
    <row r="3321" spans="3:21" ht="12.5" x14ac:dyDescent="0.25">
      <c r="C3321" s="4">
        <f ca="1">IFERROR(__xludf.DUMMYFUNCTION("""COMPUTED_VALUE"""),43730.9986111111)</f>
        <v>43730.998611111099</v>
      </c>
      <c r="D3321" s="2">
        <f ca="1">IFERROR(__xludf.DUMMYFUNCTION("""COMPUTED_VALUE"""),71.1916)</f>
        <v>71.191599999999994</v>
      </c>
      <c r="F3321" s="2">
        <f ca="1">IFERROR(__xludf.DUMMYFUNCTION("""COMPUTED_VALUE"""),88.137)</f>
        <v>88.137</v>
      </c>
      <c r="U3321" s="3" t="e">
        <f ca="1"/>
        <v>#NAME?</v>
      </c>
    </row>
    <row r="3322" spans="3:21" ht="12.5" x14ac:dyDescent="0.25">
      <c r="C3322" s="4">
        <f ca="1">IFERROR(__xludf.DUMMYFUNCTION("""COMPUTED_VALUE"""),43731.9986111111)</f>
        <v>43731.998611111099</v>
      </c>
      <c r="D3322" s="2">
        <f ca="1">IFERROR(__xludf.DUMMYFUNCTION("""COMPUTED_VALUE"""),70.7896)</f>
        <v>70.789599999999993</v>
      </c>
      <c r="F3322" s="2">
        <f ca="1">IFERROR(__xludf.DUMMYFUNCTION("""COMPUTED_VALUE"""),88.095)</f>
        <v>88.094999999999999</v>
      </c>
      <c r="U3322" s="3" t="e">
        <f ca="1"/>
        <v>#NAME?</v>
      </c>
    </row>
    <row r="3323" spans="3:21" ht="12.5" x14ac:dyDescent="0.25">
      <c r="C3323" s="4">
        <f ca="1">IFERROR(__xludf.DUMMYFUNCTION("""COMPUTED_VALUE"""),43732.9986111111)</f>
        <v>43732.998611111099</v>
      </c>
      <c r="D3323" s="2">
        <f ca="1">IFERROR(__xludf.DUMMYFUNCTION("""COMPUTED_VALUE"""),71.285)</f>
        <v>71.284999999999997</v>
      </c>
      <c r="F3323" s="2">
        <f ca="1">IFERROR(__xludf.DUMMYFUNCTION("""COMPUTED_VALUE"""),87.794)</f>
        <v>87.793999999999997</v>
      </c>
      <c r="U3323" s="3" t="e">
        <f ca="1"/>
        <v>#NAME?</v>
      </c>
    </row>
    <row r="3324" spans="3:21" ht="12.5" x14ac:dyDescent="0.25">
      <c r="C3324" s="4">
        <f ca="1">IFERROR(__xludf.DUMMYFUNCTION("""COMPUTED_VALUE"""),43733.9986111111)</f>
        <v>43733.998611111099</v>
      </c>
      <c r="D3324" s="2">
        <f ca="1">IFERROR(__xludf.DUMMYFUNCTION("""COMPUTED_VALUE"""),71.31)</f>
        <v>71.31</v>
      </c>
      <c r="F3324" s="2">
        <f ca="1">IFERROR(__xludf.DUMMYFUNCTION("""COMPUTED_VALUE"""),87.731)</f>
        <v>87.730999999999995</v>
      </c>
      <c r="U3324" s="3" t="e">
        <f ca="1"/>
        <v>#NAME?</v>
      </c>
    </row>
    <row r="3325" spans="3:21" ht="12.5" x14ac:dyDescent="0.25">
      <c r="C3325" s="4">
        <f ca="1">IFERROR(__xludf.DUMMYFUNCTION("""COMPUTED_VALUE"""),43734.9986111111)</f>
        <v>43734.998611111099</v>
      </c>
      <c r="D3325" s="2">
        <f ca="1">IFERROR(__xludf.DUMMYFUNCTION("""COMPUTED_VALUE"""),71.215)</f>
        <v>71.215000000000003</v>
      </c>
      <c r="F3325" s="2">
        <f ca="1">IFERROR(__xludf.DUMMYFUNCTION("""COMPUTED_VALUE"""),88.19)</f>
        <v>88.19</v>
      </c>
      <c r="U3325" s="3" t="e">
        <f ca="1"/>
        <v>#NAME?</v>
      </c>
    </row>
    <row r="3326" spans="3:21" ht="12.5" x14ac:dyDescent="0.25">
      <c r="C3326" s="4">
        <f ca="1">IFERROR(__xludf.DUMMYFUNCTION("""COMPUTED_VALUE"""),43735.9986111111)</f>
        <v>43735.998611111099</v>
      </c>
      <c r="D3326" s="2">
        <f ca="1">IFERROR(__xludf.DUMMYFUNCTION("""COMPUTED_VALUE"""),70.64)</f>
        <v>70.64</v>
      </c>
      <c r="F3326" s="2">
        <f ca="1">IFERROR(__xludf.DUMMYFUNCTION("""COMPUTED_VALUE"""),87.872)</f>
        <v>87.872</v>
      </c>
      <c r="U3326" s="3" t="e">
        <f ca="1"/>
        <v>#NAME?</v>
      </c>
    </row>
    <row r="3327" spans="3:21" ht="12.5" x14ac:dyDescent="0.25">
      <c r="C3327" s="4">
        <f ca="1">IFERROR(__xludf.DUMMYFUNCTION("""COMPUTED_VALUE"""),43736.9986111111)</f>
        <v>43736.998611111099</v>
      </c>
      <c r="D3327" s="2">
        <f ca="1">IFERROR(__xludf.DUMMYFUNCTION("""COMPUTED_VALUE"""),70.501)</f>
        <v>70.501000000000005</v>
      </c>
      <c r="F3327" s="2">
        <f ca="1">IFERROR(__xludf.DUMMYFUNCTION("""COMPUTED_VALUE"""),88.08)</f>
        <v>88.08</v>
      </c>
      <c r="U3327" s="3" t="e">
        <f ca="1"/>
        <v>#NAME?</v>
      </c>
    </row>
    <row r="3328" spans="3:21" ht="12.5" x14ac:dyDescent="0.25">
      <c r="C3328" s="4">
        <f ca="1">IFERROR(__xludf.DUMMYFUNCTION("""COMPUTED_VALUE"""),43737.9986111111)</f>
        <v>43737.998611111099</v>
      </c>
      <c r="D3328" s="2">
        <f ca="1">IFERROR(__xludf.DUMMYFUNCTION("""COMPUTED_VALUE"""),70.4987)</f>
        <v>70.498699999999999</v>
      </c>
      <c r="F3328" s="2">
        <f ca="1">IFERROR(__xludf.DUMMYFUNCTION("""COMPUTED_VALUE"""),87.33)</f>
        <v>87.33</v>
      </c>
      <c r="U3328" s="3" t="e">
        <f ca="1"/>
        <v>#NAME?</v>
      </c>
    </row>
    <row r="3329" spans="3:21" ht="12.5" x14ac:dyDescent="0.25">
      <c r="C3329" s="4">
        <f ca="1">IFERROR(__xludf.DUMMYFUNCTION("""COMPUTED_VALUE"""),43738.9986111111)</f>
        <v>43738.998611111099</v>
      </c>
      <c r="D3329" s="2">
        <f ca="1">IFERROR(__xludf.DUMMYFUNCTION("""COMPUTED_VALUE"""),70.9225)</f>
        <v>70.922499999999999</v>
      </c>
      <c r="F3329" s="2">
        <f ca="1">IFERROR(__xludf.DUMMYFUNCTION("""COMPUTED_VALUE"""),87.209)</f>
        <v>87.209000000000003</v>
      </c>
      <c r="U3329" s="3" t="e">
        <f ca="1"/>
        <v>#NAME?</v>
      </c>
    </row>
    <row r="3330" spans="3:21" ht="12.5" x14ac:dyDescent="0.25">
      <c r="C3330" s="4">
        <f ca="1">IFERROR(__xludf.DUMMYFUNCTION("""COMPUTED_VALUE"""),43739.9986111111)</f>
        <v>43739.998611111099</v>
      </c>
      <c r="D3330" s="2">
        <f ca="1">IFERROR(__xludf.DUMMYFUNCTION("""COMPUTED_VALUE"""),71.1)</f>
        <v>71.099999999999994</v>
      </c>
      <c r="F3330" s="2">
        <f ca="1">IFERROR(__xludf.DUMMYFUNCTION("""COMPUTED_VALUE"""),87.196)</f>
        <v>87.195999999999998</v>
      </c>
      <c r="U3330" s="3" t="e">
        <f ca="1"/>
        <v>#NAME?</v>
      </c>
    </row>
    <row r="3331" spans="3:21" ht="12.5" x14ac:dyDescent="0.25">
      <c r="C3331" s="4">
        <f ca="1">IFERROR(__xludf.DUMMYFUNCTION("""COMPUTED_VALUE"""),43740.9986111111)</f>
        <v>43740.998611111099</v>
      </c>
      <c r="D3331" s="2">
        <f ca="1">IFERROR(__xludf.DUMMYFUNCTION("""COMPUTED_VALUE"""),71.1416)</f>
        <v>71.141599999999997</v>
      </c>
      <c r="F3331" s="2">
        <f ca="1">IFERROR(__xludf.DUMMYFUNCTION("""COMPUTED_VALUE"""),87.221)</f>
        <v>87.221000000000004</v>
      </c>
      <c r="U3331" s="3" t="e">
        <f ca="1"/>
        <v>#NAME?</v>
      </c>
    </row>
    <row r="3332" spans="3:21" ht="12.5" x14ac:dyDescent="0.25">
      <c r="C3332" s="4">
        <f ca="1">IFERROR(__xludf.DUMMYFUNCTION("""COMPUTED_VALUE"""),43741.9986111111)</f>
        <v>43741.998611111099</v>
      </c>
      <c r="D3332" s="2">
        <f ca="1">IFERROR(__xludf.DUMMYFUNCTION("""COMPUTED_VALUE"""),71.02)</f>
        <v>71.02</v>
      </c>
      <c r="F3332" s="2">
        <f ca="1">IFERROR(__xludf.DUMMYFUNCTION("""COMPUTED_VALUE"""),86.827)</f>
        <v>86.826999999999998</v>
      </c>
      <c r="U3332" s="3" t="e">
        <f ca="1"/>
        <v>#NAME?</v>
      </c>
    </row>
    <row r="3333" spans="3:21" ht="12.5" x14ac:dyDescent="0.25">
      <c r="C3333" s="4">
        <f ca="1">IFERROR(__xludf.DUMMYFUNCTION("""COMPUTED_VALUE"""),43742.9986111111)</f>
        <v>43742.998611111099</v>
      </c>
      <c r="D3333" s="2">
        <f ca="1">IFERROR(__xludf.DUMMYFUNCTION("""COMPUTED_VALUE"""),70.8225)</f>
        <v>70.822500000000005</v>
      </c>
      <c r="F3333" s="2">
        <f ca="1">IFERROR(__xludf.DUMMYFUNCTION("""COMPUTED_VALUE"""),87.607)</f>
        <v>87.606999999999999</v>
      </c>
      <c r="U3333" s="3" t="e">
        <f ca="1"/>
        <v>#NAME?</v>
      </c>
    </row>
    <row r="3334" spans="3:21" ht="12.5" x14ac:dyDescent="0.25">
      <c r="C3334" s="4">
        <f ca="1">IFERROR(__xludf.DUMMYFUNCTION("""COMPUTED_VALUE"""),43743.9986111111)</f>
        <v>43743.998611111099</v>
      </c>
      <c r="D3334" s="2">
        <f ca="1">IFERROR(__xludf.DUMMYFUNCTION("""COMPUTED_VALUE"""),70.818)</f>
        <v>70.817999999999998</v>
      </c>
      <c r="F3334" s="2">
        <f ca="1">IFERROR(__xludf.DUMMYFUNCTION("""COMPUTED_VALUE"""),88.111)</f>
        <v>88.111000000000004</v>
      </c>
      <c r="U3334" s="3" t="e">
        <f ca="1"/>
        <v>#NAME?</v>
      </c>
    </row>
    <row r="3335" spans="3:21" ht="12.5" x14ac:dyDescent="0.25">
      <c r="C3335" s="4">
        <f ca="1">IFERROR(__xludf.DUMMYFUNCTION("""COMPUTED_VALUE"""),43744.9986111111)</f>
        <v>43744.998611111099</v>
      </c>
      <c r="D3335" s="2">
        <f ca="1">IFERROR(__xludf.DUMMYFUNCTION("""COMPUTED_VALUE"""),70.815)</f>
        <v>70.814999999999998</v>
      </c>
      <c r="F3335" s="2">
        <f ca="1">IFERROR(__xludf.DUMMYFUNCTION("""COMPUTED_VALUE"""),88.999)</f>
        <v>88.998999999999995</v>
      </c>
      <c r="U3335" s="3" t="e">
        <f ca="1"/>
        <v>#NAME?</v>
      </c>
    </row>
    <row r="3336" spans="3:21" ht="12.5" x14ac:dyDescent="0.25">
      <c r="C3336" s="4">
        <f ca="1">IFERROR(__xludf.DUMMYFUNCTION("""COMPUTED_VALUE"""),43745.9986111111)</f>
        <v>43745.998611111099</v>
      </c>
      <c r="D3336" s="2">
        <f ca="1">IFERROR(__xludf.DUMMYFUNCTION("""COMPUTED_VALUE"""),71.36)</f>
        <v>71.36</v>
      </c>
      <c r="F3336" s="2">
        <f ca="1">IFERROR(__xludf.DUMMYFUNCTION("""COMPUTED_VALUE"""),88.036)</f>
        <v>88.036000000000001</v>
      </c>
      <c r="U3336" s="3" t="e">
        <f ca="1"/>
        <v>#NAME?</v>
      </c>
    </row>
    <row r="3337" spans="3:21" ht="12.5" x14ac:dyDescent="0.25">
      <c r="C3337" s="4">
        <f ca="1">IFERROR(__xludf.DUMMYFUNCTION("""COMPUTED_VALUE"""),43746.9986111111)</f>
        <v>43746.998611111099</v>
      </c>
      <c r="D3337" s="2">
        <f ca="1">IFERROR(__xludf.DUMMYFUNCTION("""COMPUTED_VALUE"""),71.21)</f>
        <v>71.209999999999994</v>
      </c>
      <c r="F3337" s="2">
        <f ca="1">IFERROR(__xludf.DUMMYFUNCTION("""COMPUTED_VALUE"""),87.979)</f>
        <v>87.978999999999999</v>
      </c>
      <c r="U3337" s="3" t="e">
        <f ca="1"/>
        <v>#NAME?</v>
      </c>
    </row>
    <row r="3338" spans="3:21" ht="12.5" x14ac:dyDescent="0.25">
      <c r="C3338" s="4">
        <f ca="1">IFERROR(__xludf.DUMMYFUNCTION("""COMPUTED_VALUE"""),43747.9986111111)</f>
        <v>43747.998611111099</v>
      </c>
      <c r="D3338" s="2">
        <f ca="1">IFERROR(__xludf.DUMMYFUNCTION("""COMPUTED_VALUE"""),71.41)</f>
        <v>71.41</v>
      </c>
      <c r="F3338" s="2">
        <f ca="1">IFERROR(__xludf.DUMMYFUNCTION("""COMPUTED_VALUE"""),88.03)</f>
        <v>88.03</v>
      </c>
      <c r="U3338" s="3" t="e">
        <f ca="1"/>
        <v>#NAME?</v>
      </c>
    </row>
    <row r="3339" spans="3:21" ht="12.5" x14ac:dyDescent="0.25">
      <c r="C3339" s="4">
        <f ca="1">IFERROR(__xludf.DUMMYFUNCTION("""COMPUTED_VALUE"""),43748.9986111111)</f>
        <v>43748.998611111099</v>
      </c>
      <c r="D3339" s="2">
        <f ca="1">IFERROR(__xludf.DUMMYFUNCTION("""COMPUTED_VALUE"""),70.98)</f>
        <v>70.98</v>
      </c>
      <c r="F3339" s="2">
        <f ca="1">IFERROR(__xludf.DUMMYFUNCTION("""COMPUTED_VALUE"""),88.995)</f>
        <v>88.995000000000005</v>
      </c>
      <c r="U3339" s="3" t="e">
        <f ca="1"/>
        <v>#NAME?</v>
      </c>
    </row>
    <row r="3340" spans="3:21" ht="12.5" x14ac:dyDescent="0.25">
      <c r="C3340" s="4">
        <f ca="1">IFERROR(__xludf.DUMMYFUNCTION("""COMPUTED_VALUE"""),43749.9986111111)</f>
        <v>43749.998611111099</v>
      </c>
      <c r="D3340" s="2">
        <f ca="1">IFERROR(__xludf.DUMMYFUNCTION("""COMPUTED_VALUE"""),71.03)</f>
        <v>71.03</v>
      </c>
      <c r="F3340" s="2">
        <f ca="1">IFERROR(__xludf.DUMMYFUNCTION("""COMPUTED_VALUE"""),88.781)</f>
        <v>88.781000000000006</v>
      </c>
      <c r="U3340" s="3" t="e">
        <f ca="1"/>
        <v>#NAME?</v>
      </c>
    </row>
    <row r="3341" spans="3:21" ht="12.5" x14ac:dyDescent="0.25">
      <c r="C3341" s="4">
        <f ca="1">IFERROR(__xludf.DUMMYFUNCTION("""COMPUTED_VALUE"""),43750.9986111111)</f>
        <v>43750.998611111099</v>
      </c>
      <c r="D3341" s="2">
        <f ca="1">IFERROR(__xludf.DUMMYFUNCTION("""COMPUTED_VALUE"""),71.03)</f>
        <v>71.03</v>
      </c>
      <c r="F3341" s="2">
        <f ca="1">IFERROR(__xludf.DUMMYFUNCTION("""COMPUTED_VALUE"""),88.27)</f>
        <v>88.27</v>
      </c>
      <c r="U3341" s="3" t="e">
        <f ca="1"/>
        <v>#NAME?</v>
      </c>
    </row>
    <row r="3342" spans="3:21" ht="12.5" x14ac:dyDescent="0.25">
      <c r="C3342" s="4">
        <f ca="1">IFERROR(__xludf.DUMMYFUNCTION("""COMPUTED_VALUE"""),43751.9986111111)</f>
        <v>43751.998611111099</v>
      </c>
      <c r="D3342" s="2">
        <f ca="1">IFERROR(__xludf.DUMMYFUNCTION("""COMPUTED_VALUE"""),70.914)</f>
        <v>70.914000000000001</v>
      </c>
      <c r="F3342" s="2">
        <f ca="1">IFERROR(__xludf.DUMMYFUNCTION("""COMPUTED_VALUE"""),87.887)</f>
        <v>87.887</v>
      </c>
      <c r="U3342" s="3" t="e">
        <f ca="1"/>
        <v>#NAME?</v>
      </c>
    </row>
    <row r="3343" spans="3:21" ht="12.5" x14ac:dyDescent="0.25">
      <c r="C3343" s="4">
        <f ca="1">IFERROR(__xludf.DUMMYFUNCTION("""COMPUTED_VALUE"""),43752.9986111111)</f>
        <v>43752.998611111099</v>
      </c>
      <c r="D3343" s="2">
        <f ca="1">IFERROR(__xludf.DUMMYFUNCTION("""COMPUTED_VALUE"""),71.4525)</f>
        <v>71.452500000000001</v>
      </c>
      <c r="F3343" s="2">
        <f ca="1">IFERROR(__xludf.DUMMYFUNCTION("""COMPUTED_VALUE"""),88.819)</f>
        <v>88.819000000000003</v>
      </c>
      <c r="U3343" s="3" t="e">
        <f ca="1"/>
        <v>#NAME?</v>
      </c>
    </row>
    <row r="3344" spans="3:21" ht="12.5" x14ac:dyDescent="0.25">
      <c r="C3344" s="4">
        <f ca="1">IFERROR(__xludf.DUMMYFUNCTION("""COMPUTED_VALUE"""),43753.9986111111)</f>
        <v>43753.998611111099</v>
      </c>
      <c r="D3344" s="2">
        <f ca="1">IFERROR(__xludf.DUMMYFUNCTION("""COMPUTED_VALUE"""),71.76)</f>
        <v>71.760000000000005</v>
      </c>
      <c r="F3344" s="2">
        <f ca="1">IFERROR(__xludf.DUMMYFUNCTION("""COMPUTED_VALUE"""),88.819)</f>
        <v>88.819000000000003</v>
      </c>
      <c r="U3344" s="3" t="e">
        <f ca="1"/>
        <v>#NAME?</v>
      </c>
    </row>
    <row r="3345" spans="3:21" ht="12.5" x14ac:dyDescent="0.25">
      <c r="C3345" s="4">
        <f ca="1">IFERROR(__xludf.DUMMYFUNCTION("""COMPUTED_VALUE"""),43754.9986111111)</f>
        <v>43754.998611111099</v>
      </c>
      <c r="D3345" s="2">
        <f ca="1">IFERROR(__xludf.DUMMYFUNCTION("""COMPUTED_VALUE"""),71.62)</f>
        <v>71.62</v>
      </c>
      <c r="F3345" s="2">
        <f ca="1">IFERROR(__xludf.DUMMYFUNCTION("""COMPUTED_VALUE"""),88.765)</f>
        <v>88.765000000000001</v>
      </c>
      <c r="U3345" s="3" t="e">
        <f ca="1"/>
        <v>#NAME?</v>
      </c>
    </row>
    <row r="3346" spans="3:21" ht="12.5" x14ac:dyDescent="0.25">
      <c r="C3346" s="4">
        <f ca="1">IFERROR(__xludf.DUMMYFUNCTION("""COMPUTED_VALUE"""),43755.9986111111)</f>
        <v>43755.998611111099</v>
      </c>
      <c r="D3346" s="2">
        <f ca="1">IFERROR(__xludf.DUMMYFUNCTION("""COMPUTED_VALUE"""),71.4225)</f>
        <v>71.422499999999999</v>
      </c>
      <c r="F3346" s="2">
        <f ca="1">IFERROR(__xludf.DUMMYFUNCTION("""COMPUTED_VALUE"""),89.141)</f>
        <v>89.141000000000005</v>
      </c>
      <c r="U3346" s="3" t="e">
        <f ca="1"/>
        <v>#NAME?</v>
      </c>
    </row>
    <row r="3347" spans="3:21" ht="12.5" x14ac:dyDescent="0.25">
      <c r="C3347" s="4">
        <f ca="1">IFERROR(__xludf.DUMMYFUNCTION("""COMPUTED_VALUE"""),43756.9986111111)</f>
        <v>43756.998611111099</v>
      </c>
      <c r="D3347" s="2">
        <f ca="1">IFERROR(__xludf.DUMMYFUNCTION("""COMPUTED_VALUE"""),71.09)</f>
        <v>71.09</v>
      </c>
      <c r="F3347" s="2">
        <f ca="1">IFERROR(__xludf.DUMMYFUNCTION("""COMPUTED_VALUE"""),89.648)</f>
        <v>89.647999999999996</v>
      </c>
      <c r="U3347" s="3" t="e">
        <f ca="1"/>
        <v>#NAME?</v>
      </c>
    </row>
    <row r="3348" spans="3:21" ht="12.5" x14ac:dyDescent="0.25">
      <c r="C3348" s="4">
        <f ca="1">IFERROR(__xludf.DUMMYFUNCTION("""COMPUTED_VALUE"""),43757.9986111111)</f>
        <v>43757.998611111099</v>
      </c>
      <c r="D3348" s="2">
        <f ca="1">IFERROR(__xludf.DUMMYFUNCTION("""COMPUTED_VALUE"""),71.09)</f>
        <v>71.09</v>
      </c>
      <c r="F3348" s="2">
        <f ca="1">IFERROR(__xludf.DUMMYFUNCTION("""COMPUTED_VALUE"""),89.223)</f>
        <v>89.222999999999999</v>
      </c>
      <c r="U3348" s="3" t="e">
        <f ca="1"/>
        <v>#NAME?</v>
      </c>
    </row>
    <row r="3349" spans="3:21" ht="12.5" x14ac:dyDescent="0.25">
      <c r="C3349" s="4">
        <f ca="1">IFERROR(__xludf.DUMMYFUNCTION("""COMPUTED_VALUE"""),43758.9986111111)</f>
        <v>43758.998611111099</v>
      </c>
      <c r="D3349" s="2">
        <f ca="1">IFERROR(__xludf.DUMMYFUNCTION("""COMPUTED_VALUE"""),71.03)</f>
        <v>71.03</v>
      </c>
      <c r="F3349" s="2">
        <f ca="1">IFERROR(__xludf.DUMMYFUNCTION("""COMPUTED_VALUE"""),89.815)</f>
        <v>89.814999999999998</v>
      </c>
      <c r="U3349" s="3" t="e">
        <f ca="1"/>
        <v>#NAME?</v>
      </c>
    </row>
    <row r="3350" spans="3:21" ht="12.5" x14ac:dyDescent="0.25">
      <c r="C3350" s="4">
        <f ca="1">IFERROR(__xludf.DUMMYFUNCTION("""COMPUTED_VALUE"""),43759.9986111111)</f>
        <v>43759.998611111099</v>
      </c>
      <c r="D3350" s="2">
        <f ca="1">IFERROR(__xludf.DUMMYFUNCTION("""COMPUTED_VALUE"""),71.105)</f>
        <v>71.105000000000004</v>
      </c>
      <c r="F3350" s="2">
        <f ca="1">IFERROR(__xludf.DUMMYFUNCTION("""COMPUTED_VALUE"""),88.805)</f>
        <v>88.805000000000007</v>
      </c>
      <c r="U3350" s="3" t="e">
        <f ca="1"/>
        <v>#NAME?</v>
      </c>
    </row>
    <row r="3351" spans="3:21" ht="12.5" x14ac:dyDescent="0.25">
      <c r="C3351" s="4">
        <f ca="1">IFERROR(__xludf.DUMMYFUNCTION("""COMPUTED_VALUE"""),43760.9986111111)</f>
        <v>43760.998611111099</v>
      </c>
      <c r="D3351" s="2">
        <f ca="1">IFERROR(__xludf.DUMMYFUNCTION("""COMPUTED_VALUE"""),71.075)</f>
        <v>71.075000000000003</v>
      </c>
      <c r="F3351" s="2">
        <f ca="1">IFERROR(__xludf.DUMMYFUNCTION("""COMPUTED_VALUE"""),88.752)</f>
        <v>88.751999999999995</v>
      </c>
      <c r="U3351" s="3" t="e">
        <f ca="1"/>
        <v>#NAME?</v>
      </c>
    </row>
    <row r="3352" spans="3:21" ht="12.5" x14ac:dyDescent="0.25">
      <c r="C3352" s="4">
        <f ca="1">IFERROR(__xludf.DUMMYFUNCTION("""COMPUTED_VALUE"""),43761.9986111111)</f>
        <v>43761.998611111099</v>
      </c>
      <c r="D3352" s="2">
        <f ca="1">IFERROR(__xludf.DUMMYFUNCTION("""COMPUTED_VALUE"""),70.715)</f>
        <v>70.715000000000003</v>
      </c>
      <c r="F3352" s="2">
        <f ca="1">IFERROR(__xludf.DUMMYFUNCTION("""COMPUTED_VALUE"""),88.788)</f>
        <v>88.787999999999997</v>
      </c>
      <c r="U3352" s="3" t="e">
        <f ca="1"/>
        <v>#NAME?</v>
      </c>
    </row>
    <row r="3353" spans="3:21" ht="12.5" x14ac:dyDescent="0.25">
      <c r="C3353" s="4">
        <f ca="1">IFERROR(__xludf.DUMMYFUNCTION("""COMPUTED_VALUE"""),43762.9986111111)</f>
        <v>43762.998611111099</v>
      </c>
      <c r="D3353" s="2">
        <f ca="1">IFERROR(__xludf.DUMMYFUNCTION("""COMPUTED_VALUE"""),71.19)</f>
        <v>71.19</v>
      </c>
      <c r="F3353" s="2">
        <f ca="1">IFERROR(__xludf.DUMMYFUNCTION("""COMPUTED_VALUE"""),88.014)</f>
        <v>88.013999999999996</v>
      </c>
      <c r="U3353" s="3" t="e">
        <f ca="1"/>
        <v>#NAME?</v>
      </c>
    </row>
    <row r="3354" spans="3:21" ht="12.5" x14ac:dyDescent="0.25">
      <c r="C3354" s="4">
        <f ca="1">IFERROR(__xludf.DUMMYFUNCTION("""COMPUTED_VALUE"""),43763.9986111111)</f>
        <v>43763.998611111099</v>
      </c>
      <c r="D3354" s="2">
        <f ca="1">IFERROR(__xludf.DUMMYFUNCTION("""COMPUTED_VALUE"""),70.83)</f>
        <v>70.83</v>
      </c>
      <c r="F3354" s="2">
        <f ca="1">IFERROR(__xludf.DUMMYFUNCTION("""COMPUTED_VALUE"""),89.002)</f>
        <v>89.001999999999995</v>
      </c>
      <c r="U3354" s="3" t="e">
        <f ca="1"/>
        <v>#NAME?</v>
      </c>
    </row>
    <row r="3355" spans="3:21" ht="12.5" x14ac:dyDescent="0.25">
      <c r="C3355" s="4">
        <f ca="1">IFERROR(__xludf.DUMMYFUNCTION("""COMPUTED_VALUE"""),43764.9986111111)</f>
        <v>43764.998611111099</v>
      </c>
      <c r="D3355" s="2">
        <f ca="1">IFERROR(__xludf.DUMMYFUNCTION("""COMPUTED_VALUE"""),70.83)</f>
        <v>70.83</v>
      </c>
      <c r="F3355" s="2">
        <f ca="1">IFERROR(__xludf.DUMMYFUNCTION("""COMPUTED_VALUE"""),88.124)</f>
        <v>88.123999999999995</v>
      </c>
      <c r="U3355" s="3" t="e">
        <f ca="1"/>
        <v>#NAME?</v>
      </c>
    </row>
    <row r="3356" spans="3:21" ht="12.5" x14ac:dyDescent="0.25">
      <c r="C3356" s="4">
        <f ca="1">IFERROR(__xludf.DUMMYFUNCTION("""COMPUTED_VALUE"""),43765.9986111111)</f>
        <v>43765.998611111099</v>
      </c>
      <c r="D3356" s="2">
        <f ca="1">IFERROR(__xludf.DUMMYFUNCTION("""COMPUTED_VALUE"""),70.83)</f>
        <v>70.83</v>
      </c>
      <c r="F3356" s="2">
        <f ca="1">IFERROR(__xludf.DUMMYFUNCTION("""COMPUTED_VALUE"""),87.79)</f>
        <v>87.79</v>
      </c>
      <c r="U3356" s="3" t="e">
        <f ca="1"/>
        <v>#NAME?</v>
      </c>
    </row>
    <row r="3357" spans="3:21" ht="12.5" x14ac:dyDescent="0.25">
      <c r="C3357" s="4">
        <f ca="1">IFERROR(__xludf.DUMMYFUNCTION("""COMPUTED_VALUE"""),43766.9986111111)</f>
        <v>43766.998611111099</v>
      </c>
      <c r="D3357" s="2">
        <f ca="1">IFERROR(__xludf.DUMMYFUNCTION("""COMPUTED_VALUE"""),70.735)</f>
        <v>70.734999999999999</v>
      </c>
      <c r="F3357" s="2">
        <f ca="1">IFERROR(__xludf.DUMMYFUNCTION("""COMPUTED_VALUE"""),86.819)</f>
        <v>86.819000000000003</v>
      </c>
      <c r="U3357" s="3" t="e">
        <f ca="1"/>
        <v>#NAME?</v>
      </c>
    </row>
    <row r="3358" spans="3:21" ht="12.5" x14ac:dyDescent="0.25">
      <c r="C3358" s="4">
        <f ca="1">IFERROR(__xludf.DUMMYFUNCTION("""COMPUTED_VALUE"""),43767.9986111111)</f>
        <v>43767.998611111099</v>
      </c>
      <c r="D3358" s="2">
        <f ca="1">IFERROR(__xludf.DUMMYFUNCTION("""COMPUTED_VALUE"""),70.8846)</f>
        <v>70.884600000000006</v>
      </c>
      <c r="F3358" s="2">
        <f ca="1">IFERROR(__xludf.DUMMYFUNCTION("""COMPUTED_VALUE"""),86.648)</f>
        <v>86.647999999999996</v>
      </c>
      <c r="U3358" s="3" t="e">
        <f ca="1"/>
        <v>#NAME?</v>
      </c>
    </row>
    <row r="3359" spans="3:21" ht="12.5" x14ac:dyDescent="0.25">
      <c r="C3359" s="4">
        <f ca="1">IFERROR(__xludf.DUMMYFUNCTION("""COMPUTED_VALUE"""),43768.9986111111)</f>
        <v>43768.998611111099</v>
      </c>
      <c r="D3359" s="2">
        <f ca="1">IFERROR(__xludf.DUMMYFUNCTION("""COMPUTED_VALUE"""),70.99)</f>
        <v>70.989999999999995</v>
      </c>
      <c r="F3359" s="2">
        <f ca="1">IFERROR(__xludf.DUMMYFUNCTION("""COMPUTED_VALUE"""),86.654)</f>
        <v>86.653999999999996</v>
      </c>
      <c r="U3359" s="3" t="e">
        <f ca="1"/>
        <v>#NAME?</v>
      </c>
    </row>
    <row r="3360" spans="3:21" ht="12.5" x14ac:dyDescent="0.25">
      <c r="C3360" s="4">
        <f ca="1">IFERROR(__xludf.DUMMYFUNCTION("""COMPUTED_VALUE"""),43769.9986111111)</f>
        <v>43769.998611111099</v>
      </c>
      <c r="D3360" s="2">
        <f ca="1">IFERROR(__xludf.DUMMYFUNCTION("""COMPUTED_VALUE"""),70.97)</f>
        <v>70.97</v>
      </c>
      <c r="F3360" s="2">
        <f ca="1">IFERROR(__xludf.DUMMYFUNCTION("""COMPUTED_VALUE"""),87.157)</f>
        <v>87.156999999999996</v>
      </c>
      <c r="U3360" s="3" t="e">
        <f ca="1"/>
        <v>#NAME?</v>
      </c>
    </row>
    <row r="3361" spans="3:21" ht="12.5" x14ac:dyDescent="0.25">
      <c r="C3361" s="4">
        <f ca="1">IFERROR(__xludf.DUMMYFUNCTION("""COMPUTED_VALUE"""),43770.9986111111)</f>
        <v>43770.998611111099</v>
      </c>
      <c r="D3361" s="2">
        <f ca="1">IFERROR(__xludf.DUMMYFUNCTION("""COMPUTED_VALUE"""),70.6975)</f>
        <v>70.697500000000005</v>
      </c>
      <c r="F3361" s="2">
        <f ca="1">IFERROR(__xludf.DUMMYFUNCTION("""COMPUTED_VALUE"""),87.379)</f>
        <v>87.379000000000005</v>
      </c>
      <c r="U3361" s="3" t="e">
        <f ca="1"/>
        <v>#NAME?</v>
      </c>
    </row>
    <row r="3362" spans="3:21" ht="12.5" x14ac:dyDescent="0.25">
      <c r="C3362" s="4">
        <f ca="1">IFERROR(__xludf.DUMMYFUNCTION("""COMPUTED_VALUE"""),43771.9986111111)</f>
        <v>43771.998611111099</v>
      </c>
      <c r="D3362" s="2">
        <f ca="1">IFERROR(__xludf.DUMMYFUNCTION("""COMPUTED_VALUE"""),70.5121)</f>
        <v>70.512100000000004</v>
      </c>
      <c r="F3362" s="2">
        <f ca="1">IFERROR(__xludf.DUMMYFUNCTION("""COMPUTED_VALUE"""),87.52)</f>
        <v>87.52</v>
      </c>
      <c r="U3362" s="3" t="e">
        <f ca="1"/>
        <v>#NAME?</v>
      </c>
    </row>
    <row r="3363" spans="3:21" ht="12.5" x14ac:dyDescent="0.25">
      <c r="C3363" s="4">
        <f ca="1">IFERROR(__xludf.DUMMYFUNCTION("""COMPUTED_VALUE"""),43772.9986111111)</f>
        <v>43772.998611111099</v>
      </c>
      <c r="D3363" s="2">
        <f ca="1">IFERROR(__xludf.DUMMYFUNCTION("""COMPUTED_VALUE"""),70.5121)</f>
        <v>70.512100000000004</v>
      </c>
      <c r="F3363" s="2">
        <f ca="1">IFERROR(__xludf.DUMMYFUNCTION("""COMPUTED_VALUE"""),87.646)</f>
        <v>87.646000000000001</v>
      </c>
      <c r="U3363" s="3" t="e">
        <f ca="1"/>
        <v>#NAME?</v>
      </c>
    </row>
    <row r="3364" spans="3:21" ht="12.5" x14ac:dyDescent="0.25">
      <c r="C3364" s="4">
        <f ca="1">IFERROR(__xludf.DUMMYFUNCTION("""COMPUTED_VALUE"""),43773.9986111111)</f>
        <v>43773.998611111099</v>
      </c>
      <c r="D3364" s="2">
        <f ca="1">IFERROR(__xludf.DUMMYFUNCTION("""COMPUTED_VALUE"""),71)</f>
        <v>71</v>
      </c>
      <c r="F3364" s="2">
        <f ca="1">IFERROR(__xludf.DUMMYFUNCTION("""COMPUTED_VALUE"""),87.349)</f>
        <v>87.349000000000004</v>
      </c>
      <c r="U3364" s="3" t="e">
        <f ca="1"/>
        <v>#NAME?</v>
      </c>
    </row>
    <row r="3365" spans="3:21" ht="12.5" x14ac:dyDescent="0.25">
      <c r="C3365" s="4">
        <f ca="1">IFERROR(__xludf.DUMMYFUNCTION("""COMPUTED_VALUE"""),43774.9986111111)</f>
        <v>43774.998611111099</v>
      </c>
      <c r="D3365" s="2">
        <f ca="1">IFERROR(__xludf.DUMMYFUNCTION("""COMPUTED_VALUE"""),70.895)</f>
        <v>70.894999999999996</v>
      </c>
      <c r="F3365" s="2">
        <f ca="1">IFERROR(__xludf.DUMMYFUNCTION("""COMPUTED_VALUE"""),87.343)</f>
        <v>87.343000000000004</v>
      </c>
      <c r="U3365" s="3" t="e">
        <f ca="1"/>
        <v>#NAME?</v>
      </c>
    </row>
    <row r="3366" spans="3:21" ht="12.5" x14ac:dyDescent="0.25">
      <c r="C3366" s="4">
        <f ca="1">IFERROR(__xludf.DUMMYFUNCTION("""COMPUTED_VALUE"""),43775.9986111111)</f>
        <v>43775.998611111099</v>
      </c>
      <c r="D3366" s="2">
        <f ca="1">IFERROR(__xludf.DUMMYFUNCTION("""COMPUTED_VALUE"""),71)</f>
        <v>71</v>
      </c>
      <c r="F3366" s="2">
        <f ca="1">IFERROR(__xludf.DUMMYFUNCTION("""COMPUTED_VALUE"""),87.329)</f>
        <v>87.328999999999994</v>
      </c>
      <c r="U3366" s="3" t="e">
        <f ca="1"/>
        <v>#NAME?</v>
      </c>
    </row>
    <row r="3367" spans="3:21" ht="12.5" x14ac:dyDescent="0.25">
      <c r="C3367" s="4">
        <f ca="1">IFERROR(__xludf.DUMMYFUNCTION("""COMPUTED_VALUE"""),43776.9986111111)</f>
        <v>43776.998611111099</v>
      </c>
      <c r="D3367" s="2">
        <f ca="1">IFERROR(__xludf.DUMMYFUNCTION("""COMPUTED_VALUE"""),71.57)</f>
        <v>71.569999999999993</v>
      </c>
      <c r="F3367" s="2">
        <f ca="1">IFERROR(__xludf.DUMMYFUNCTION("""COMPUTED_VALUE"""),87.687)</f>
        <v>87.686999999999998</v>
      </c>
      <c r="U3367" s="3" t="e">
        <f ca="1"/>
        <v>#NAME?</v>
      </c>
    </row>
    <row r="3368" spans="3:21" ht="12.5" x14ac:dyDescent="0.25">
      <c r="C3368" s="4">
        <f ca="1">IFERROR(__xludf.DUMMYFUNCTION("""COMPUTED_VALUE"""),43777.9986111111)</f>
        <v>43777.998611111099</v>
      </c>
      <c r="D3368" s="2">
        <f ca="1">IFERROR(__xludf.DUMMYFUNCTION("""COMPUTED_VALUE"""),71.3765)</f>
        <v>71.376499999999993</v>
      </c>
      <c r="F3368" s="2">
        <f ca="1">IFERROR(__xludf.DUMMYFUNCTION("""COMPUTED_VALUE"""),87.011)</f>
        <v>87.010999999999996</v>
      </c>
      <c r="U3368" s="3" t="e">
        <f ca="1"/>
        <v>#NAME?</v>
      </c>
    </row>
    <row r="3369" spans="3:21" ht="12.5" x14ac:dyDescent="0.25">
      <c r="C3369" s="4">
        <f ca="1">IFERROR(__xludf.DUMMYFUNCTION("""COMPUTED_VALUE"""),43778.9986111111)</f>
        <v>43778.998611111099</v>
      </c>
      <c r="D3369" s="2">
        <f ca="1">IFERROR(__xludf.DUMMYFUNCTION("""COMPUTED_VALUE"""),71.36127)</f>
        <v>71.361270000000005</v>
      </c>
      <c r="F3369" s="2">
        <f ca="1">IFERROR(__xludf.DUMMYFUNCTION("""COMPUTED_VALUE"""),87.215)</f>
        <v>87.215000000000003</v>
      </c>
      <c r="U3369" s="3" t="e">
        <f ca="1"/>
        <v>#NAME?</v>
      </c>
    </row>
    <row r="3370" spans="3:21" ht="12.5" x14ac:dyDescent="0.25">
      <c r="C3370" s="4">
        <f ca="1">IFERROR(__xludf.DUMMYFUNCTION("""COMPUTED_VALUE"""),43780.9986111111)</f>
        <v>43780.998611111099</v>
      </c>
      <c r="D3370" s="2">
        <f ca="1">IFERROR(__xludf.DUMMYFUNCTION("""COMPUTED_VALUE"""),71.574)</f>
        <v>71.573999999999998</v>
      </c>
      <c r="F3370" s="2">
        <f ca="1">IFERROR(__xludf.DUMMYFUNCTION("""COMPUTED_VALUE"""),88.248)</f>
        <v>88.248000000000005</v>
      </c>
      <c r="U3370" s="3" t="e">
        <f ca="1"/>
        <v>#NAME?</v>
      </c>
    </row>
    <row r="3371" spans="3:21" ht="12.5" x14ac:dyDescent="0.25">
      <c r="C3371" s="4">
        <f ca="1">IFERROR(__xludf.DUMMYFUNCTION("""COMPUTED_VALUE"""),43781.9986111111)</f>
        <v>43781.998611111099</v>
      </c>
      <c r="D3371" s="2">
        <f ca="1">IFERROR(__xludf.DUMMYFUNCTION("""COMPUTED_VALUE"""),71.78)</f>
        <v>71.78</v>
      </c>
      <c r="F3371" s="2">
        <f ca="1">IFERROR(__xludf.DUMMYFUNCTION("""COMPUTED_VALUE"""),89.843)</f>
        <v>89.843000000000004</v>
      </c>
      <c r="U3371" s="3" t="e">
        <f ca="1"/>
        <v>#NAME?</v>
      </c>
    </row>
    <row r="3372" spans="3:21" ht="12.5" x14ac:dyDescent="0.25">
      <c r="C3372" s="4">
        <f ca="1">IFERROR(__xludf.DUMMYFUNCTION("""COMPUTED_VALUE"""),43782.9986111111)</f>
        <v>43782.998611111099</v>
      </c>
      <c r="D3372" s="2">
        <f ca="1">IFERROR(__xludf.DUMMYFUNCTION("""COMPUTED_VALUE"""),72.1415)</f>
        <v>72.141499999999994</v>
      </c>
      <c r="F3372" s="2">
        <f ca="1">IFERROR(__xludf.DUMMYFUNCTION("""COMPUTED_VALUE"""),89.801)</f>
        <v>89.801000000000002</v>
      </c>
      <c r="U3372" s="3" t="e">
        <f ca="1"/>
        <v>#NAME?</v>
      </c>
    </row>
    <row r="3373" spans="3:21" ht="12.5" x14ac:dyDescent="0.25">
      <c r="C3373" s="4">
        <f ca="1">IFERROR(__xludf.DUMMYFUNCTION("""COMPUTED_VALUE"""),43783.9986111111)</f>
        <v>43783.998611111099</v>
      </c>
      <c r="D3373" s="2">
        <f ca="1">IFERROR(__xludf.DUMMYFUNCTION("""COMPUTED_VALUE"""),71.9558)</f>
        <v>71.955799999999996</v>
      </c>
      <c r="F3373" s="2">
        <f ca="1">IFERROR(__xludf.DUMMYFUNCTION("""COMPUTED_VALUE"""),89.54071)</f>
        <v>89.540710000000004</v>
      </c>
      <c r="U3373" s="3" t="e">
        <f ca="1"/>
        <v>#NAME?</v>
      </c>
    </row>
    <row r="3374" spans="3:21" ht="12.5" x14ac:dyDescent="0.25">
      <c r="C3374" s="4">
        <f ca="1">IFERROR(__xludf.DUMMYFUNCTION("""COMPUTED_VALUE"""),43784.9986111111)</f>
        <v>43784.998611111099</v>
      </c>
      <c r="D3374" s="2">
        <f ca="1">IFERROR(__xludf.DUMMYFUNCTION("""COMPUTED_VALUE"""),71.5758)</f>
        <v>71.575800000000001</v>
      </c>
      <c r="F3374" s="2">
        <f ca="1">IFERROR(__xludf.DUMMYFUNCTION("""COMPUTED_VALUE"""),90.09267)</f>
        <v>90.092669999999998</v>
      </c>
      <c r="U3374" s="3" t="e">
        <f ca="1"/>
        <v>#NAME?</v>
      </c>
    </row>
    <row r="3375" spans="3:21" ht="12.5" x14ac:dyDescent="0.25">
      <c r="C3375" s="4">
        <f ca="1">IFERROR(__xludf.DUMMYFUNCTION("""COMPUTED_VALUE"""),43785.9986111111)</f>
        <v>43785.998611111099</v>
      </c>
      <c r="D3375" s="2">
        <f ca="1">IFERROR(__xludf.DUMMYFUNCTION("""COMPUTED_VALUE"""),71.7058)</f>
        <v>71.705799999999996</v>
      </c>
      <c r="F3375" s="2">
        <f ca="1">IFERROR(__xludf.DUMMYFUNCTION("""COMPUTED_VALUE"""),91.55397)</f>
        <v>91.553970000000007</v>
      </c>
      <c r="U3375" s="3" t="e">
        <f ca="1"/>
        <v>#NAME?</v>
      </c>
    </row>
    <row r="3376" spans="3:21" ht="12.5" x14ac:dyDescent="0.25">
      <c r="C3376" s="4">
        <f ca="1">IFERROR(__xludf.DUMMYFUNCTION("""COMPUTED_VALUE"""),43786.9986111111)</f>
        <v>43786.998611111099</v>
      </c>
      <c r="D3376" s="2">
        <f ca="1">IFERROR(__xludf.DUMMYFUNCTION("""COMPUTED_VALUE"""),71.7058)</f>
        <v>71.705799999999996</v>
      </c>
      <c r="F3376" s="2">
        <f ca="1">IFERROR(__xludf.DUMMYFUNCTION("""COMPUTED_VALUE"""),91.82287)</f>
        <v>91.822869999999995</v>
      </c>
      <c r="U3376" s="3" t="e">
        <f ca="1"/>
        <v>#NAME?</v>
      </c>
    </row>
    <row r="3377" spans="3:21" ht="12.5" x14ac:dyDescent="0.25">
      <c r="C3377" s="4">
        <f ca="1">IFERROR(__xludf.DUMMYFUNCTION("""COMPUTED_VALUE"""),43787.9986111111)</f>
        <v>43787.998611111099</v>
      </c>
      <c r="D3377" s="2">
        <f ca="1">IFERROR(__xludf.DUMMYFUNCTION("""COMPUTED_VALUE"""),71.9351)</f>
        <v>71.935100000000006</v>
      </c>
      <c r="F3377" s="2">
        <f ca="1">IFERROR(__xludf.DUMMYFUNCTION("""COMPUTED_VALUE"""),91.92203)</f>
        <v>91.922030000000007</v>
      </c>
      <c r="U3377" s="3" t="e">
        <f ca="1"/>
        <v>#NAME?</v>
      </c>
    </row>
    <row r="3378" spans="3:21" ht="12.5" x14ac:dyDescent="0.25">
      <c r="C3378" s="4">
        <f ca="1">IFERROR(__xludf.DUMMYFUNCTION("""COMPUTED_VALUE"""),43788.9986111111)</f>
        <v>43788.998611111099</v>
      </c>
      <c r="D3378" s="2">
        <f ca="1">IFERROR(__xludf.DUMMYFUNCTION("""COMPUTED_VALUE"""),71.851)</f>
        <v>71.850999999999999</v>
      </c>
      <c r="F3378" s="2">
        <f ca="1">IFERROR(__xludf.DUMMYFUNCTION("""COMPUTED_VALUE"""),92.21689)</f>
        <v>92.216890000000006</v>
      </c>
      <c r="U3378" s="3" t="e">
        <f ca="1"/>
        <v>#NAME?</v>
      </c>
    </row>
    <row r="3379" spans="3:21" ht="12.5" x14ac:dyDescent="0.25">
      <c r="C3379" s="4">
        <f ca="1">IFERROR(__xludf.DUMMYFUNCTION("""COMPUTED_VALUE"""),43789.9986111111)</f>
        <v>43789.998611111099</v>
      </c>
      <c r="D3379" s="2">
        <f ca="1">IFERROR(__xludf.DUMMYFUNCTION("""COMPUTED_VALUE"""),71.7682)</f>
        <v>71.768199999999993</v>
      </c>
      <c r="F3379" s="2">
        <f ca="1">IFERROR(__xludf.DUMMYFUNCTION("""COMPUTED_VALUE"""),92.07816)</f>
        <v>92.078159999999997</v>
      </c>
      <c r="U3379" s="3" t="e">
        <f ca="1"/>
        <v>#NAME?</v>
      </c>
    </row>
    <row r="3380" spans="3:21" ht="12.5" x14ac:dyDescent="0.25">
      <c r="C3380" s="4">
        <f ca="1">IFERROR(__xludf.DUMMYFUNCTION("""COMPUTED_VALUE"""),43790.9986111111)</f>
        <v>43790.998611111099</v>
      </c>
      <c r="D3380" s="2">
        <f ca="1">IFERROR(__xludf.DUMMYFUNCTION("""COMPUTED_VALUE"""),71.7405)</f>
        <v>71.740499999999997</v>
      </c>
      <c r="F3380" s="2">
        <f ca="1">IFERROR(__xludf.DUMMYFUNCTION("""COMPUTED_VALUE"""),91.5937)</f>
        <v>91.593699999999998</v>
      </c>
      <c r="U3380" s="3" t="e">
        <f ca="1"/>
        <v>#NAME?</v>
      </c>
    </row>
    <row r="3381" spans="3:21" ht="12.5" x14ac:dyDescent="0.25">
      <c r="C3381" s="4">
        <f ca="1">IFERROR(__xludf.DUMMYFUNCTION("""COMPUTED_VALUE"""),43791.9986111111)</f>
        <v>43791.998611111099</v>
      </c>
      <c r="D3381" s="2">
        <f ca="1">IFERROR(__xludf.DUMMYFUNCTION("""COMPUTED_VALUE"""),71.7826)</f>
        <v>71.782600000000002</v>
      </c>
      <c r="F3381" s="2">
        <f ca="1">IFERROR(__xludf.DUMMYFUNCTION("""COMPUTED_VALUE"""),92.21661)</f>
        <v>92.216610000000003</v>
      </c>
      <c r="U3381" s="3" t="e">
        <f ca="1"/>
        <v>#NAME?</v>
      </c>
    </row>
    <row r="3382" spans="3:21" ht="12.5" x14ac:dyDescent="0.25">
      <c r="C3382" s="4">
        <f ca="1">IFERROR(__xludf.DUMMYFUNCTION("""COMPUTED_VALUE"""),43792.9986111111)</f>
        <v>43792.998611111099</v>
      </c>
      <c r="D3382" s="2">
        <f ca="1">IFERROR(__xludf.DUMMYFUNCTION("""COMPUTED_VALUE"""),71.7826)</f>
        <v>71.782600000000002</v>
      </c>
      <c r="F3382" s="2">
        <f ca="1">IFERROR(__xludf.DUMMYFUNCTION("""COMPUTED_VALUE"""),91.56789)</f>
        <v>91.567890000000006</v>
      </c>
      <c r="U3382" s="3" t="e">
        <f ca="1"/>
        <v>#NAME?</v>
      </c>
    </row>
    <row r="3383" spans="3:21" ht="12.5" x14ac:dyDescent="0.25">
      <c r="C3383" s="4">
        <f ca="1">IFERROR(__xludf.DUMMYFUNCTION("""COMPUTED_VALUE"""),43793.9986111111)</f>
        <v>43793.998611111099</v>
      </c>
      <c r="D3383" s="2">
        <f ca="1">IFERROR(__xludf.DUMMYFUNCTION("""COMPUTED_VALUE"""),71.7826)</f>
        <v>71.782600000000002</v>
      </c>
      <c r="F3383" s="2">
        <f ca="1">IFERROR(__xludf.DUMMYFUNCTION("""COMPUTED_VALUE"""),91.36069)</f>
        <v>91.360690000000005</v>
      </c>
      <c r="U3383" s="3" t="e">
        <f ca="1"/>
        <v>#NAME?</v>
      </c>
    </row>
    <row r="3384" spans="3:21" ht="12.5" x14ac:dyDescent="0.25">
      <c r="C3384" s="4">
        <f ca="1">IFERROR(__xludf.DUMMYFUNCTION("""COMPUTED_VALUE"""),43794.9986111111)</f>
        <v>43794.998611111099</v>
      </c>
      <c r="D3384" s="2">
        <f ca="1">IFERROR(__xludf.DUMMYFUNCTION("""COMPUTED_VALUE"""),71.6795)</f>
        <v>71.679500000000004</v>
      </c>
      <c r="F3384" s="2">
        <f ca="1">IFERROR(__xludf.DUMMYFUNCTION("""COMPUTED_VALUE"""),91.39813)</f>
        <v>91.398129999999995</v>
      </c>
      <c r="U3384" s="3" t="e">
        <f ca="1"/>
        <v>#NAME?</v>
      </c>
    </row>
    <row r="3385" spans="3:21" ht="12.5" x14ac:dyDescent="0.25">
      <c r="C3385" s="4">
        <f ca="1">IFERROR(__xludf.DUMMYFUNCTION("""COMPUTED_VALUE"""),43795.9986111111)</f>
        <v>43795.998611111099</v>
      </c>
      <c r="D3385" s="2">
        <f ca="1">IFERROR(__xludf.DUMMYFUNCTION("""COMPUTED_VALUE"""),71.4284)</f>
        <v>71.428399999999996</v>
      </c>
      <c r="F3385" s="2">
        <f ca="1">IFERROR(__xludf.DUMMYFUNCTION("""COMPUTED_VALUE"""),90.85364)</f>
        <v>90.853639999999999</v>
      </c>
      <c r="U3385" s="3" t="e">
        <f ca="1"/>
        <v>#NAME?</v>
      </c>
    </row>
    <row r="3386" spans="3:21" ht="12.5" x14ac:dyDescent="0.25">
      <c r="C3386" s="4">
        <f ca="1">IFERROR(__xludf.DUMMYFUNCTION("""COMPUTED_VALUE"""),43796.9986111111)</f>
        <v>43796.998611111099</v>
      </c>
      <c r="D3386" s="2">
        <f ca="1">IFERROR(__xludf.DUMMYFUNCTION("""COMPUTED_VALUE"""),71.2281)</f>
        <v>71.228099999999998</v>
      </c>
      <c r="F3386" s="2">
        <f ca="1">IFERROR(__xludf.DUMMYFUNCTION("""COMPUTED_VALUE"""),90.85364)</f>
        <v>90.853639999999999</v>
      </c>
      <c r="U3386" s="3" t="e">
        <f ca="1"/>
        <v>#NAME?</v>
      </c>
    </row>
    <row r="3387" spans="3:21" ht="12.5" x14ac:dyDescent="0.25">
      <c r="C3387" s="4">
        <f ca="1">IFERROR(__xludf.DUMMYFUNCTION("""COMPUTED_VALUE"""),43797.9986111111)</f>
        <v>43797.998611111099</v>
      </c>
      <c r="D3387" s="2">
        <f ca="1">IFERROR(__xludf.DUMMYFUNCTION("""COMPUTED_VALUE"""),71.5474)</f>
        <v>71.547399999999996</v>
      </c>
      <c r="F3387" s="2">
        <f ca="1">IFERROR(__xludf.DUMMYFUNCTION("""COMPUTED_VALUE"""),90.85428)</f>
        <v>90.854280000000003</v>
      </c>
      <c r="U3387" s="3" t="e">
        <f ca="1"/>
        <v>#NAME?</v>
      </c>
    </row>
    <row r="3388" spans="3:21" ht="12.5" x14ac:dyDescent="0.25">
      <c r="C3388" s="4">
        <f ca="1">IFERROR(__xludf.DUMMYFUNCTION("""COMPUTED_VALUE"""),43798.9986111111)</f>
        <v>43798.998611111099</v>
      </c>
      <c r="D3388" s="2">
        <f ca="1">IFERROR(__xludf.DUMMYFUNCTION("""COMPUTED_VALUE"""),71.722)</f>
        <v>71.721999999999994</v>
      </c>
      <c r="F3388" s="2">
        <f ca="1">IFERROR(__xludf.DUMMYFUNCTION("""COMPUTED_VALUE"""),90.9541)</f>
        <v>90.954099999999997</v>
      </c>
      <c r="U3388" s="3" t="e">
        <f ca="1"/>
        <v>#NAME?</v>
      </c>
    </row>
    <row r="3389" spans="3:21" ht="12.5" x14ac:dyDescent="0.25">
      <c r="C3389" s="4">
        <f ca="1">IFERROR(__xludf.DUMMYFUNCTION("""COMPUTED_VALUE"""),43799.9986111111)</f>
        <v>43799.998611111099</v>
      </c>
      <c r="D3389" s="2">
        <f ca="1">IFERROR(__xludf.DUMMYFUNCTION("""COMPUTED_VALUE"""),71.723)</f>
        <v>71.722999999999999</v>
      </c>
      <c r="F3389" s="2">
        <f ca="1">IFERROR(__xludf.DUMMYFUNCTION("""COMPUTED_VALUE"""),91.19336)</f>
        <v>91.193359999999998</v>
      </c>
      <c r="U3389" s="3" t="e">
        <f ca="1"/>
        <v>#NAME?</v>
      </c>
    </row>
    <row r="3390" spans="3:21" ht="12.5" x14ac:dyDescent="0.25">
      <c r="C3390" s="4">
        <f ca="1">IFERROR(__xludf.DUMMYFUNCTION("""COMPUTED_VALUE"""),43800.9986111111)</f>
        <v>43800.998611111099</v>
      </c>
      <c r="D3390" s="2">
        <f ca="1">IFERROR(__xludf.DUMMYFUNCTION("""COMPUTED_VALUE"""),71.723)</f>
        <v>71.722999999999999</v>
      </c>
      <c r="F3390" s="2">
        <f ca="1">IFERROR(__xludf.DUMMYFUNCTION("""COMPUTED_VALUE"""),91.58818)</f>
        <v>91.588179999999994</v>
      </c>
      <c r="U3390" s="3" t="e">
        <f ca="1"/>
        <v>#NAME?</v>
      </c>
    </row>
    <row r="3391" spans="3:21" ht="12.5" x14ac:dyDescent="0.25">
      <c r="C3391" s="4">
        <f ca="1">IFERROR(__xludf.DUMMYFUNCTION("""COMPUTED_VALUE"""),43801.9986111111)</f>
        <v>43801.998611111099</v>
      </c>
      <c r="D3391" s="2">
        <f ca="1">IFERROR(__xludf.DUMMYFUNCTION("""COMPUTED_VALUE"""),71.625)</f>
        <v>71.625</v>
      </c>
      <c r="F3391" s="2">
        <f ca="1">IFERROR(__xludf.DUMMYFUNCTION("""COMPUTED_VALUE"""),91.78738)</f>
        <v>91.787379999999999</v>
      </c>
      <c r="U3391" s="3" t="e">
        <f ca="1"/>
        <v>#NAME?</v>
      </c>
    </row>
    <row r="3392" spans="3:21" ht="12.5" x14ac:dyDescent="0.25">
      <c r="C3392" s="4">
        <f ca="1">IFERROR(__xludf.DUMMYFUNCTION("""COMPUTED_VALUE"""),43802.9986111111)</f>
        <v>43802.998611111099</v>
      </c>
      <c r="D3392" s="2">
        <f ca="1">IFERROR(__xludf.DUMMYFUNCTION("""COMPUTED_VALUE"""),71.96)</f>
        <v>71.959999999999994</v>
      </c>
      <c r="F3392" s="2">
        <f ca="1">IFERROR(__xludf.DUMMYFUNCTION("""COMPUTED_VALUE"""),91.4967)</f>
        <v>91.496700000000004</v>
      </c>
      <c r="U3392" s="3" t="e">
        <f ca="1"/>
        <v>#NAME?</v>
      </c>
    </row>
    <row r="3393" spans="3:21" ht="12.5" x14ac:dyDescent="0.25">
      <c r="C3393" s="4">
        <f ca="1">IFERROR(__xludf.DUMMYFUNCTION("""COMPUTED_VALUE"""),43803.9986111111)</f>
        <v>43803.998611111099</v>
      </c>
      <c r="D3393" s="2">
        <f ca="1">IFERROR(__xludf.DUMMYFUNCTION("""COMPUTED_VALUE"""),71.4801)</f>
        <v>71.480099999999993</v>
      </c>
      <c r="F3393" s="2">
        <f ca="1">IFERROR(__xludf.DUMMYFUNCTION("""COMPUTED_VALUE"""),91.21445)</f>
        <v>91.214449999999999</v>
      </c>
      <c r="U3393" s="3" t="e">
        <f ca="1"/>
        <v>#NAME?</v>
      </c>
    </row>
    <row r="3394" spans="3:21" ht="12.5" x14ac:dyDescent="0.25">
      <c r="C3394" s="4">
        <f ca="1">IFERROR(__xludf.DUMMYFUNCTION("""COMPUTED_VALUE"""),43804.9986111111)</f>
        <v>43804.998611111099</v>
      </c>
      <c r="D3394" s="2">
        <f ca="1">IFERROR(__xludf.DUMMYFUNCTION("""COMPUTED_VALUE"""),71.385)</f>
        <v>71.385000000000005</v>
      </c>
      <c r="F3394" s="2">
        <f ca="1">IFERROR(__xludf.DUMMYFUNCTION("""COMPUTED_VALUE"""),91.21935)</f>
        <v>91.219350000000006</v>
      </c>
      <c r="U3394" s="3" t="e">
        <f ca="1"/>
        <v>#NAME?</v>
      </c>
    </row>
    <row r="3395" spans="3:21" ht="12.5" x14ac:dyDescent="0.25">
      <c r="C3395" s="4">
        <f ca="1">IFERROR(__xludf.DUMMYFUNCTION("""COMPUTED_VALUE"""),43805.9986111111)</f>
        <v>43805.998611111099</v>
      </c>
      <c r="D3395" s="2">
        <f ca="1">IFERROR(__xludf.DUMMYFUNCTION("""COMPUTED_VALUE"""),71.2868)</f>
        <v>71.286799999999999</v>
      </c>
      <c r="F3395" s="2">
        <f ca="1">IFERROR(__xludf.DUMMYFUNCTION("""COMPUTED_VALUE"""),91.50664)</f>
        <v>91.506640000000004</v>
      </c>
      <c r="U3395" s="3" t="e">
        <f ca="1"/>
        <v>#NAME?</v>
      </c>
    </row>
    <row r="3396" spans="3:21" ht="12.5" x14ac:dyDescent="0.25">
      <c r="C3396" s="4">
        <f ca="1">IFERROR(__xludf.DUMMYFUNCTION("""COMPUTED_VALUE"""),43806.9986111111)</f>
        <v>43806.998611111099</v>
      </c>
      <c r="D3396" s="2">
        <f ca="1">IFERROR(__xludf.DUMMYFUNCTION("""COMPUTED_VALUE"""),71.2868)</f>
        <v>71.286799999999999</v>
      </c>
      <c r="F3396" s="2">
        <f ca="1">IFERROR(__xludf.DUMMYFUNCTION("""COMPUTED_VALUE"""),91.32247)</f>
        <v>91.322469999999996</v>
      </c>
      <c r="U3396" s="3" t="e">
        <f ca="1"/>
        <v>#NAME?</v>
      </c>
    </row>
    <row r="3397" spans="3:21" ht="12.5" x14ac:dyDescent="0.25">
      <c r="C3397" s="4">
        <f ca="1">IFERROR(__xludf.DUMMYFUNCTION("""COMPUTED_VALUE"""),43807.9986111111)</f>
        <v>43807.998611111099</v>
      </c>
      <c r="D3397" s="2">
        <f ca="1">IFERROR(__xludf.DUMMYFUNCTION("""COMPUTED_VALUE"""),71.2868)</f>
        <v>71.286799999999999</v>
      </c>
      <c r="F3397" s="2">
        <f ca="1">IFERROR(__xludf.DUMMYFUNCTION("""COMPUTED_VALUE"""),91.28076)</f>
        <v>91.280760000000001</v>
      </c>
      <c r="U3397" s="3" t="e">
        <f ca="1"/>
        <v>#NAME?</v>
      </c>
    </row>
    <row r="3398" spans="3:21" ht="12.5" x14ac:dyDescent="0.25">
      <c r="C3398" s="4">
        <f ca="1">IFERROR(__xludf.DUMMYFUNCTION("""COMPUTED_VALUE"""),43808.9986111111)</f>
        <v>43808.998611111099</v>
      </c>
      <c r="D3398" s="2">
        <f ca="1">IFERROR(__xludf.DUMMYFUNCTION("""COMPUTED_VALUE"""),70.9602)</f>
        <v>70.9602</v>
      </c>
      <c r="F3398" s="2">
        <f ca="1">IFERROR(__xludf.DUMMYFUNCTION("""COMPUTED_VALUE"""),91.77994)</f>
        <v>91.779939999999996</v>
      </c>
      <c r="U3398" s="3" t="e">
        <f ca="1"/>
        <v>#NAME?</v>
      </c>
    </row>
    <row r="3399" spans="3:21" ht="12.5" x14ac:dyDescent="0.25">
      <c r="C3399" s="4">
        <f ca="1">IFERROR(__xludf.DUMMYFUNCTION("""COMPUTED_VALUE"""),43809.9986111111)</f>
        <v>43809.998611111099</v>
      </c>
      <c r="D3399" s="2">
        <f ca="1">IFERROR(__xludf.DUMMYFUNCTION("""COMPUTED_VALUE"""),71.01)</f>
        <v>71.010000000000005</v>
      </c>
      <c r="F3399" s="2">
        <f ca="1">IFERROR(__xludf.DUMMYFUNCTION("""COMPUTED_VALUE"""),91.20257)</f>
        <v>91.202569999999994</v>
      </c>
      <c r="U3399" s="3" t="e">
        <f ca="1"/>
        <v>#NAME?</v>
      </c>
    </row>
    <row r="3400" spans="3:21" ht="12.5" x14ac:dyDescent="0.25">
      <c r="C3400" s="4">
        <f ca="1">IFERROR(__xludf.DUMMYFUNCTION("""COMPUTED_VALUE"""),43810.9986111111)</f>
        <v>43810.998611111099</v>
      </c>
      <c r="D3400" s="2">
        <f ca="1">IFERROR(__xludf.DUMMYFUNCTION("""COMPUTED_VALUE"""),70.7293)</f>
        <v>70.729299999999995</v>
      </c>
      <c r="F3400" s="2">
        <f ca="1">IFERROR(__xludf.DUMMYFUNCTION("""COMPUTED_VALUE"""),91.21597)</f>
        <v>91.215969999999999</v>
      </c>
      <c r="U3400" s="3" t="e">
        <f ca="1"/>
        <v>#NAME?</v>
      </c>
    </row>
    <row r="3401" spans="3:21" ht="12.5" x14ac:dyDescent="0.25">
      <c r="C3401" s="4">
        <f ca="1">IFERROR(__xludf.DUMMYFUNCTION("""COMPUTED_VALUE"""),43811.9986111111)</f>
        <v>43811.998611111099</v>
      </c>
      <c r="D3401" s="2">
        <f ca="1">IFERROR(__xludf.DUMMYFUNCTION("""COMPUTED_VALUE"""),70.5599)</f>
        <v>70.559899999999999</v>
      </c>
      <c r="F3401" s="2">
        <f ca="1">IFERROR(__xludf.DUMMYFUNCTION("""COMPUTED_VALUE"""),92.23906)</f>
        <v>92.239059999999995</v>
      </c>
      <c r="U3401" s="3" t="e">
        <f ca="1"/>
        <v>#NAME?</v>
      </c>
    </row>
    <row r="3402" spans="3:21" ht="12.5" x14ac:dyDescent="0.25">
      <c r="C3402" s="4">
        <f ca="1">IFERROR(__xludf.DUMMYFUNCTION("""COMPUTED_VALUE"""),43812.9986111111)</f>
        <v>43812.998611111099</v>
      </c>
      <c r="D3402" s="2">
        <f ca="1">IFERROR(__xludf.DUMMYFUNCTION("""COMPUTED_VALUE"""),70.689)</f>
        <v>70.688999999999993</v>
      </c>
      <c r="F3402" s="2">
        <f ca="1">IFERROR(__xludf.DUMMYFUNCTION("""COMPUTED_VALUE"""),92.25048)</f>
        <v>92.250479999999996</v>
      </c>
      <c r="U3402" s="3" t="e">
        <f ca="1"/>
        <v>#NAME?</v>
      </c>
    </row>
    <row r="3403" spans="3:21" ht="12.5" x14ac:dyDescent="0.25">
      <c r="C3403" s="4">
        <f ca="1">IFERROR(__xludf.DUMMYFUNCTION("""COMPUTED_VALUE"""),43813.9986111111)</f>
        <v>43813.998611111099</v>
      </c>
      <c r="D3403" s="2">
        <f ca="1">IFERROR(__xludf.DUMMYFUNCTION("""COMPUTED_VALUE"""),70.689)</f>
        <v>70.688999999999993</v>
      </c>
      <c r="F3403" s="2">
        <f ca="1">IFERROR(__xludf.DUMMYFUNCTION("""COMPUTED_VALUE"""),92.72778)</f>
        <v>92.727779999999996</v>
      </c>
      <c r="U3403" s="3" t="e">
        <f ca="1"/>
        <v>#NAME?</v>
      </c>
    </row>
    <row r="3404" spans="3:21" ht="12.5" x14ac:dyDescent="0.25">
      <c r="C3404" s="4">
        <f ca="1">IFERROR(__xludf.DUMMYFUNCTION("""COMPUTED_VALUE"""),43814.9986111111)</f>
        <v>43814.998611111099</v>
      </c>
      <c r="D3404" s="2">
        <f ca="1">IFERROR(__xludf.DUMMYFUNCTION("""COMPUTED_VALUE"""),70.689)</f>
        <v>70.688999999999993</v>
      </c>
      <c r="F3404" s="2">
        <f ca="1">IFERROR(__xludf.DUMMYFUNCTION("""COMPUTED_VALUE"""),92.65765)</f>
        <v>92.657650000000004</v>
      </c>
      <c r="U3404" s="3" t="e">
        <f ca="1"/>
        <v>#NAME?</v>
      </c>
    </row>
    <row r="3405" spans="3:21" ht="12.5" x14ac:dyDescent="0.25">
      <c r="C3405" s="4">
        <f ca="1">IFERROR(__xludf.DUMMYFUNCTION("""COMPUTED_VALUE"""),43815.9986111111)</f>
        <v>43815.998611111099</v>
      </c>
      <c r="D3405" s="2">
        <f ca="1">IFERROR(__xludf.DUMMYFUNCTION("""COMPUTED_VALUE"""),70.9205)</f>
        <v>70.920500000000004</v>
      </c>
      <c r="F3405" s="2">
        <f ca="1">IFERROR(__xludf.DUMMYFUNCTION("""COMPUTED_VALUE"""),92.47249)</f>
        <v>92.472489999999993</v>
      </c>
      <c r="U3405" s="3" t="e">
        <f ca="1"/>
        <v>#NAME?</v>
      </c>
    </row>
    <row r="3406" spans="3:21" ht="12.5" x14ac:dyDescent="0.25">
      <c r="C3406" s="4">
        <f ca="1">IFERROR(__xludf.DUMMYFUNCTION("""COMPUTED_VALUE"""),43816.9986111111)</f>
        <v>43816.998611111099</v>
      </c>
      <c r="D3406" s="2">
        <f ca="1">IFERROR(__xludf.DUMMYFUNCTION("""COMPUTED_VALUE"""),71.215)</f>
        <v>71.215000000000003</v>
      </c>
      <c r="F3406" s="2">
        <f ca="1">IFERROR(__xludf.DUMMYFUNCTION("""COMPUTED_VALUE"""),92.39551)</f>
        <v>92.395510000000002</v>
      </c>
      <c r="U3406" s="3" t="e">
        <f ca="1"/>
        <v>#NAME?</v>
      </c>
    </row>
    <row r="3407" spans="3:21" ht="12.5" x14ac:dyDescent="0.25">
      <c r="C3407" s="4">
        <f ca="1">IFERROR(__xludf.DUMMYFUNCTION("""COMPUTED_VALUE"""),43817.9986111111)</f>
        <v>43817.998611111099</v>
      </c>
      <c r="D3407" s="2">
        <f ca="1">IFERROR(__xludf.DUMMYFUNCTION("""COMPUTED_VALUE"""),70.9899)</f>
        <v>70.989900000000006</v>
      </c>
      <c r="F3407" s="2">
        <f ca="1">IFERROR(__xludf.DUMMYFUNCTION("""COMPUTED_VALUE"""),92.39551)</f>
        <v>92.395510000000002</v>
      </c>
      <c r="U3407" s="3" t="e">
        <f ca="1"/>
        <v>#NAME?</v>
      </c>
    </row>
    <row r="3408" spans="3:21" ht="12.5" x14ac:dyDescent="0.25">
      <c r="C3408" s="4">
        <f ca="1">IFERROR(__xludf.DUMMYFUNCTION("""COMPUTED_VALUE"""),43818.9986111111)</f>
        <v>43818.998611111099</v>
      </c>
      <c r="D3408" s="2">
        <f ca="1">IFERROR(__xludf.DUMMYFUNCTION("""COMPUTED_VALUE"""),71.2227)</f>
        <v>71.222700000000003</v>
      </c>
      <c r="F3408" s="2">
        <f ca="1">IFERROR(__xludf.DUMMYFUNCTION("""COMPUTED_VALUE"""),93.15544)</f>
        <v>93.155439999999999</v>
      </c>
      <c r="U3408" s="3" t="e">
        <f ca="1"/>
        <v>#NAME?</v>
      </c>
    </row>
    <row r="3409" spans="3:21" ht="12.5" x14ac:dyDescent="0.25">
      <c r="C3409" s="4">
        <f ca="1">IFERROR(__xludf.DUMMYFUNCTION("""COMPUTED_VALUE"""),43819.9986111111)</f>
        <v>43819.998611111099</v>
      </c>
      <c r="D3409" s="2">
        <f ca="1">IFERROR(__xludf.DUMMYFUNCTION("""COMPUTED_VALUE"""),71.024)</f>
        <v>71.024000000000001</v>
      </c>
      <c r="F3409" s="2">
        <f ca="1">IFERROR(__xludf.DUMMYFUNCTION("""COMPUTED_VALUE"""),93.18593)</f>
        <v>93.185929999999999</v>
      </c>
      <c r="U3409" s="3" t="e">
        <f ca="1"/>
        <v>#NAME?</v>
      </c>
    </row>
    <row r="3410" spans="3:21" ht="12.5" x14ac:dyDescent="0.25">
      <c r="C3410" s="4">
        <f ca="1">IFERROR(__xludf.DUMMYFUNCTION("""COMPUTED_VALUE"""),43820.9986111111)</f>
        <v>43820.998611111099</v>
      </c>
      <c r="D3410" s="2">
        <f ca="1">IFERROR(__xludf.DUMMYFUNCTION("""COMPUTED_VALUE"""),71.024)</f>
        <v>71.024000000000001</v>
      </c>
      <c r="F3410" s="2">
        <f ca="1">IFERROR(__xludf.DUMMYFUNCTION("""COMPUTED_VALUE"""),92.77259)</f>
        <v>92.772589999999994</v>
      </c>
      <c r="U3410" s="3" t="e">
        <f ca="1"/>
        <v>#NAME?</v>
      </c>
    </row>
    <row r="3411" spans="3:21" ht="12.5" x14ac:dyDescent="0.25">
      <c r="C3411" s="4">
        <f ca="1">IFERROR(__xludf.DUMMYFUNCTION("""COMPUTED_VALUE"""),43821.9986111111)</f>
        <v>43821.998611111099</v>
      </c>
      <c r="D3411" s="2">
        <f ca="1">IFERROR(__xludf.DUMMYFUNCTION("""COMPUTED_VALUE"""),71.024)</f>
        <v>71.024000000000001</v>
      </c>
      <c r="F3411" s="2">
        <f ca="1">IFERROR(__xludf.DUMMYFUNCTION("""COMPUTED_VALUE"""),92.67588)</f>
        <v>92.675880000000006</v>
      </c>
      <c r="U3411" s="3" t="e">
        <f ca="1"/>
        <v>#NAME?</v>
      </c>
    </row>
    <row r="3412" spans="3:21" ht="12.5" x14ac:dyDescent="0.25">
      <c r="C3412" s="4">
        <f ca="1">IFERROR(__xludf.DUMMYFUNCTION("""COMPUTED_VALUE"""),43822.9986111111)</f>
        <v>43822.998611111099</v>
      </c>
      <c r="D3412" s="2">
        <f ca="1">IFERROR(__xludf.DUMMYFUNCTION("""COMPUTED_VALUE"""),71.2107)</f>
        <v>71.210700000000003</v>
      </c>
      <c r="F3412" s="2">
        <f ca="1">IFERROR(__xludf.DUMMYFUNCTION("""COMPUTED_VALUE"""),92.11603)</f>
        <v>92.116029999999995</v>
      </c>
      <c r="U3412" s="3" t="e">
        <f ca="1"/>
        <v>#NAME?</v>
      </c>
    </row>
    <row r="3413" spans="3:21" ht="12.5" x14ac:dyDescent="0.25">
      <c r="C3413" s="4">
        <f ca="1">IFERROR(__xludf.DUMMYFUNCTION("""COMPUTED_VALUE"""),43823.9986111111)</f>
        <v>43823.998611111099</v>
      </c>
      <c r="D3413" s="2">
        <f ca="1">IFERROR(__xludf.DUMMYFUNCTION("""COMPUTED_VALUE"""),71.46)</f>
        <v>71.459999999999994</v>
      </c>
      <c r="F3413" s="2">
        <f ca="1">IFERROR(__xludf.DUMMYFUNCTION("""COMPUTED_VALUE"""),92.11603)</f>
        <v>92.116029999999995</v>
      </c>
      <c r="U3413" s="3" t="e">
        <f ca="1"/>
        <v>#NAME?</v>
      </c>
    </row>
    <row r="3414" spans="3:21" ht="12.5" x14ac:dyDescent="0.25">
      <c r="C3414" s="4">
        <f ca="1">IFERROR(__xludf.DUMMYFUNCTION("""COMPUTED_VALUE"""),43824.9986111111)</f>
        <v>43824.998611111099</v>
      </c>
      <c r="D3414" s="2">
        <f ca="1">IFERROR(__xludf.DUMMYFUNCTION("""COMPUTED_VALUE"""),71.54)</f>
        <v>71.540000000000006</v>
      </c>
      <c r="F3414" s="2">
        <f ca="1">IFERROR(__xludf.DUMMYFUNCTION("""COMPUTED_VALUE"""),92.11703)</f>
        <v>92.11703</v>
      </c>
      <c r="U3414" s="3" t="e">
        <f ca="1"/>
        <v>#NAME?</v>
      </c>
    </row>
    <row r="3415" spans="3:21" ht="12.5" x14ac:dyDescent="0.25">
      <c r="C3415" s="4">
        <f ca="1">IFERROR(__xludf.DUMMYFUNCTION("""COMPUTED_VALUE"""),43825.9986111111)</f>
        <v>43825.998611111099</v>
      </c>
      <c r="D3415" s="2">
        <f ca="1">IFERROR(__xludf.DUMMYFUNCTION("""COMPUTED_VALUE"""),71.3003)</f>
        <v>71.300299999999993</v>
      </c>
      <c r="F3415" s="2">
        <f ca="1">IFERROR(__xludf.DUMMYFUNCTION("""COMPUTED_VALUE"""),92.44184)</f>
        <v>92.441839999999999</v>
      </c>
      <c r="U3415" s="3" t="e">
        <f ca="1"/>
        <v>#NAME?</v>
      </c>
    </row>
    <row r="3416" spans="3:21" ht="12.5" x14ac:dyDescent="0.25">
      <c r="C3416" s="4">
        <f ca="1">IFERROR(__xludf.DUMMYFUNCTION("""COMPUTED_VALUE"""),43826.9986111111)</f>
        <v>43826.998611111099</v>
      </c>
      <c r="D3416" s="2">
        <f ca="1">IFERROR(__xludf.DUMMYFUNCTION("""COMPUTED_VALUE"""),71.313)</f>
        <v>71.313000000000002</v>
      </c>
      <c r="F3416" s="2">
        <f ca="1">IFERROR(__xludf.DUMMYFUNCTION("""COMPUTED_VALUE"""),91.84754)</f>
        <v>91.847539999999995</v>
      </c>
      <c r="U3416" s="3" t="e">
        <f ca="1"/>
        <v>#NAME?</v>
      </c>
    </row>
    <row r="3417" spans="3:21" ht="12.5" x14ac:dyDescent="0.25">
      <c r="C3417" s="4">
        <f ca="1">IFERROR(__xludf.DUMMYFUNCTION("""COMPUTED_VALUE"""),43827.9986111111)</f>
        <v>43827.998611111099</v>
      </c>
      <c r="D3417" s="2">
        <f ca="1">IFERROR(__xludf.DUMMYFUNCTION("""COMPUTED_VALUE"""),71.313)</f>
        <v>71.313000000000002</v>
      </c>
      <c r="F3417" s="2">
        <f ca="1">IFERROR(__xludf.DUMMYFUNCTION("""COMPUTED_VALUE"""),92.09559)</f>
        <v>92.095590000000001</v>
      </c>
      <c r="U3417" s="3" t="e">
        <f ca="1"/>
        <v>#NAME?</v>
      </c>
    </row>
    <row r="3418" spans="3:21" ht="12.5" x14ac:dyDescent="0.25">
      <c r="C3418" s="4">
        <f ca="1">IFERROR(__xludf.DUMMYFUNCTION("""COMPUTED_VALUE"""),43828.9986111111)</f>
        <v>43828.998611111099</v>
      </c>
      <c r="D3418" s="2">
        <f ca="1">IFERROR(__xludf.DUMMYFUNCTION("""COMPUTED_VALUE"""),71.313)</f>
        <v>71.313000000000002</v>
      </c>
      <c r="F3418" s="2">
        <f ca="1">IFERROR(__xludf.DUMMYFUNCTION("""COMPUTED_VALUE"""),92.37842)</f>
        <v>92.378420000000006</v>
      </c>
      <c r="U3418" s="3" t="e">
        <f ca="1"/>
        <v>#NAME?</v>
      </c>
    </row>
    <row r="3419" spans="3:21" ht="12.5" x14ac:dyDescent="0.25">
      <c r="C3419" s="4">
        <f ca="1">IFERROR(__xludf.DUMMYFUNCTION("""COMPUTED_VALUE"""),43829.9986111111)</f>
        <v>43829.998611111099</v>
      </c>
      <c r="D3419" s="2">
        <f ca="1">IFERROR(__xludf.DUMMYFUNCTION("""COMPUTED_VALUE"""),71.311)</f>
        <v>71.311000000000007</v>
      </c>
      <c r="F3419" s="2">
        <f ca="1">IFERROR(__xludf.DUMMYFUNCTION("""COMPUTED_VALUE"""),92.77016)</f>
        <v>92.770160000000004</v>
      </c>
      <c r="U3419" s="3" t="e">
        <f ca="1"/>
        <v>#NAME?</v>
      </c>
    </row>
    <row r="3420" spans="3:21" ht="12.5" x14ac:dyDescent="0.25">
      <c r="C3420" s="4">
        <f ca="1">IFERROR(__xludf.DUMMYFUNCTION("""COMPUTED_VALUE"""),43830.9986111111)</f>
        <v>43830.998611111099</v>
      </c>
      <c r="D3420" s="2">
        <f ca="1">IFERROR(__xludf.DUMMYFUNCTION("""COMPUTED_VALUE"""),71.2758)</f>
        <v>71.275800000000004</v>
      </c>
      <c r="F3420" s="2">
        <f ca="1">IFERROR(__xludf.DUMMYFUNCTION("""COMPUTED_VALUE"""),92.77016)</f>
        <v>92.770160000000004</v>
      </c>
      <c r="U3420" s="3" t="e">
        <f ca="1"/>
        <v>#NAME?</v>
      </c>
    </row>
    <row r="3421" spans="3:21" ht="12.5" x14ac:dyDescent="0.25">
      <c r="F3421" s="2">
        <f ca="1">IFERROR(__xludf.DUMMYFUNCTION("""COMPUTED_VALUE"""),92.77016)</f>
        <v>92.770160000000004</v>
      </c>
      <c r="U3421" s="3" t="e">
        <f ca="1"/>
        <v>#NAME?</v>
      </c>
    </row>
    <row r="3422" spans="3:21" ht="12.5" x14ac:dyDescent="0.25">
      <c r="F3422" s="2">
        <f ca="1">IFERROR(__xludf.DUMMYFUNCTION("""COMPUTED_VALUE"""),92.68018)</f>
        <v>92.680179999999993</v>
      </c>
      <c r="U3422" s="3" t="e">
        <f ca="1"/>
        <v>#NAME?</v>
      </c>
    </row>
    <row r="3423" spans="3:21" ht="12.5" x14ac:dyDescent="0.25">
      <c r="F3423" s="2">
        <f ca="1">IFERROR(__xludf.DUMMYFUNCTION("""COMPUTED_VALUE"""),93.59893)</f>
        <v>93.598929999999996</v>
      </c>
      <c r="U3423" s="3" t="e">
        <f ca="1"/>
        <v>#NAME?</v>
      </c>
    </row>
    <row r="3424" spans="3:21" ht="12.5" x14ac:dyDescent="0.25">
      <c r="F3424" s="2">
        <f ca="1">IFERROR(__xludf.DUMMYFUNCTION("""COMPUTED_VALUE"""),93.70741)</f>
        <v>93.707409999999996</v>
      </c>
      <c r="U3424" s="3" t="e">
        <f ca="1"/>
        <v>#NAME?</v>
      </c>
    </row>
    <row r="3425" spans="6:21" ht="12.5" x14ac:dyDescent="0.25">
      <c r="F3425" s="2">
        <f ca="1">IFERROR(__xludf.DUMMYFUNCTION("""COMPUTED_VALUE"""),93.73489)</f>
        <v>93.734889999999993</v>
      </c>
      <c r="U3425" s="3" t="e">
        <f ca="1"/>
        <v>#NAME?</v>
      </c>
    </row>
    <row r="3426" spans="6:21" ht="12.5" x14ac:dyDescent="0.25">
      <c r="F3426" s="2">
        <f ca="1">IFERROR(__xludf.DUMMYFUNCTION("""COMPUTED_VALUE"""),93.6321)</f>
        <v>93.632099999999994</v>
      </c>
      <c r="U3426" s="3" t="e">
        <f ca="1"/>
        <v>#NAME?</v>
      </c>
    </row>
    <row r="3427" spans="6:21" ht="12.5" x14ac:dyDescent="0.25">
      <c r="F3427" s="2">
        <f ca="1">IFERROR(__xludf.DUMMYFUNCTION("""COMPUTED_VALUE"""),93.6321)</f>
        <v>93.632099999999994</v>
      </c>
      <c r="U3427" s="3" t="e">
        <f ca="1"/>
        <v>#NAME?</v>
      </c>
    </row>
    <row r="3428" spans="6:21" ht="12.5" x14ac:dyDescent="0.25">
      <c r="F3428" s="2">
        <f ca="1">IFERROR(__xludf.DUMMYFUNCTION("""COMPUTED_VALUE"""),93.6321)</f>
        <v>93.632099999999994</v>
      </c>
      <c r="U3428" s="3" t="e">
        <f ca="1"/>
        <v>#NAME?</v>
      </c>
    </row>
    <row r="3429" spans="6:21" ht="12.5" x14ac:dyDescent="0.25">
      <c r="F3429" s="2">
        <f ca="1">IFERROR(__xludf.DUMMYFUNCTION("""COMPUTED_VALUE"""),93.2815)</f>
        <v>93.281499999999994</v>
      </c>
      <c r="U3429" s="3" t="e">
        <f ca="1"/>
        <v>#NAME?</v>
      </c>
    </row>
    <row r="3430" spans="6:21" ht="12.5" x14ac:dyDescent="0.25">
      <c r="F3430" s="2">
        <f ca="1">IFERROR(__xludf.DUMMYFUNCTION("""COMPUTED_VALUE"""),92.99147)</f>
        <v>92.991470000000007</v>
      </c>
      <c r="U3430" s="3" t="e">
        <f ca="1"/>
        <v>#NAME?</v>
      </c>
    </row>
    <row r="3431" spans="6:21" ht="12.5" x14ac:dyDescent="0.25">
      <c r="F3431" s="2">
        <f ca="1">IFERROR(__xludf.DUMMYFUNCTION("""COMPUTED_VALUE"""),93.3531)</f>
        <v>93.353099999999998</v>
      </c>
      <c r="U3431" s="3" t="e">
        <f ca="1"/>
        <v>#NAME?</v>
      </c>
    </row>
    <row r="3432" spans="6:21" ht="12.5" x14ac:dyDescent="0.25">
      <c r="F3432" s="2">
        <f ca="1">IFERROR(__xludf.DUMMYFUNCTION("""COMPUTED_VALUE"""),95.06615)</f>
        <v>95.066149999999993</v>
      </c>
      <c r="U3432" s="3" t="e">
        <f ca="1"/>
        <v>#NAME?</v>
      </c>
    </row>
    <row r="3433" spans="6:21" ht="12.5" x14ac:dyDescent="0.25">
      <c r="F3433" s="2">
        <f ca="1">IFERROR(__xludf.DUMMYFUNCTION("""COMPUTED_VALUE"""),94.2781)</f>
        <v>94.278099999999995</v>
      </c>
      <c r="U3433" s="3" t="e">
        <f ca="1"/>
        <v>#NAME?</v>
      </c>
    </row>
    <row r="3434" spans="6:21" ht="12.5" x14ac:dyDescent="0.25">
      <c r="F3434" s="2">
        <f ca="1">IFERROR(__xludf.DUMMYFUNCTION("""COMPUTED_VALUE"""),94.2781)</f>
        <v>94.278099999999995</v>
      </c>
      <c r="U3434" s="3" t="e">
        <f ca="1"/>
        <v>#NAME?</v>
      </c>
    </row>
    <row r="3435" spans="6:21" ht="12.5" x14ac:dyDescent="0.25">
      <c r="F3435" s="2">
        <f ca="1">IFERROR(__xludf.DUMMYFUNCTION("""COMPUTED_VALUE"""),94.2781)</f>
        <v>94.278099999999995</v>
      </c>
      <c r="U3435" s="3" t="e">
        <f ca="1"/>
        <v>#NAME?</v>
      </c>
    </row>
    <row r="3436" spans="6:21" ht="12.5" x14ac:dyDescent="0.25">
      <c r="F3436" s="2">
        <f ca="1">IFERROR(__xludf.DUMMYFUNCTION("""COMPUTED_VALUE"""),94.265)</f>
        <v>94.265000000000001</v>
      </c>
      <c r="U3436" s="3" t="e">
        <f ca="1"/>
        <v>#NAME?</v>
      </c>
    </row>
    <row r="3437" spans="6:21" ht="12.5" x14ac:dyDescent="0.25">
      <c r="F3437" s="2">
        <f ca="1">IFERROR(__xludf.DUMMYFUNCTION("""COMPUTED_VALUE"""),93.2343)</f>
        <v>93.234300000000005</v>
      </c>
      <c r="U3437" s="3" t="e">
        <f ca="1"/>
        <v>#NAME?</v>
      </c>
    </row>
    <row r="3438" spans="6:21" ht="12.5" x14ac:dyDescent="0.25">
      <c r="F3438" s="2">
        <f ca="1">IFERROR(__xludf.DUMMYFUNCTION("""COMPUTED_VALUE"""),92.89453)</f>
        <v>92.894530000000003</v>
      </c>
      <c r="U3438" s="3" t="e">
        <f ca="1"/>
        <v>#NAME?</v>
      </c>
    </row>
    <row r="3439" spans="6:21" ht="12.5" x14ac:dyDescent="0.25">
      <c r="F3439" s="2">
        <f ca="1">IFERROR(__xludf.DUMMYFUNCTION("""COMPUTED_VALUE"""),92.94321)</f>
        <v>92.943209999999993</v>
      </c>
      <c r="U3439" s="3" t="e">
        <f ca="1"/>
        <v>#NAME?</v>
      </c>
    </row>
    <row r="3440" spans="6:21" ht="12.5" x14ac:dyDescent="0.25">
      <c r="F3440" s="2">
        <f ca="1">IFERROR(__xludf.DUMMYFUNCTION("""COMPUTED_VALUE"""),92.3439)</f>
        <v>92.343900000000005</v>
      </c>
      <c r="U3440" s="3" t="e">
        <f ca="1"/>
        <v>#NAME?</v>
      </c>
    </row>
    <row r="3441" spans="6:21" ht="12.5" x14ac:dyDescent="0.25">
      <c r="F3441" s="2">
        <f ca="1">IFERROR(__xludf.DUMMYFUNCTION("""COMPUTED_VALUE"""),92.3439)</f>
        <v>92.343900000000005</v>
      </c>
      <c r="U3441" s="3" t="e">
        <f ca="1"/>
        <v>#NAME?</v>
      </c>
    </row>
    <row r="3442" spans="6:21" ht="12.5" x14ac:dyDescent="0.25">
      <c r="F3442" s="2">
        <f ca="1">IFERROR(__xludf.DUMMYFUNCTION("""COMPUTED_VALUE"""),92.3439)</f>
        <v>92.343900000000005</v>
      </c>
      <c r="U3442" s="3" t="e">
        <f ca="1"/>
        <v>#NAME?</v>
      </c>
    </row>
    <row r="3443" spans="6:21" ht="12.5" x14ac:dyDescent="0.25">
      <c r="F3443" s="2">
        <f ca="1">IFERROR(__xludf.DUMMYFUNCTION("""COMPUTED_VALUE"""),92.15828)</f>
        <v>92.158280000000005</v>
      </c>
      <c r="U3443" s="3" t="e">
        <f ca="1"/>
        <v>#NAME?</v>
      </c>
    </row>
    <row r="3444" spans="6:21" ht="12.5" x14ac:dyDescent="0.25">
      <c r="F3444" s="2">
        <f ca="1">IFERROR(__xludf.DUMMYFUNCTION("""COMPUTED_VALUE"""),92.34441)</f>
        <v>92.344409999999996</v>
      </c>
      <c r="U3444" s="3" t="e">
        <f ca="1"/>
        <v>#NAME?</v>
      </c>
    </row>
    <row r="3445" spans="6:21" ht="12.5" x14ac:dyDescent="0.25">
      <c r="F3445" s="2">
        <f ca="1">IFERROR(__xludf.DUMMYFUNCTION("""COMPUTED_VALUE"""),92.78859)</f>
        <v>92.788589999999999</v>
      </c>
      <c r="U3445" s="3" t="e">
        <f ca="1"/>
        <v>#NAME?</v>
      </c>
    </row>
    <row r="3446" spans="6:21" ht="12.5" x14ac:dyDescent="0.25">
      <c r="F3446" s="2">
        <f ca="1">IFERROR(__xludf.DUMMYFUNCTION("""COMPUTED_VALUE"""),92.89021)</f>
        <v>92.890209999999996</v>
      </c>
      <c r="U3446" s="3" t="e">
        <f ca="1"/>
        <v>#NAME?</v>
      </c>
    </row>
    <row r="3447" spans="6:21" ht="12.5" x14ac:dyDescent="0.25">
      <c r="F3447" s="2">
        <f ca="1">IFERROR(__xludf.DUMMYFUNCTION("""COMPUTED_VALUE"""),93.31175)</f>
        <v>93.311750000000004</v>
      </c>
      <c r="U3447" s="3" t="e">
        <f ca="1"/>
        <v>#NAME?</v>
      </c>
    </row>
    <row r="3448" spans="6:21" ht="12.5" x14ac:dyDescent="0.25">
      <c r="F3448" s="2">
        <f ca="1">IFERROR(__xludf.DUMMYFUNCTION("""COMPUTED_VALUE"""),93.31175)</f>
        <v>93.311750000000004</v>
      </c>
      <c r="U3448" s="3" t="e">
        <f ca="1"/>
        <v>#NAME?</v>
      </c>
    </row>
    <row r="3449" spans="6:21" ht="12.5" x14ac:dyDescent="0.25">
      <c r="F3449" s="2">
        <f ca="1">IFERROR(__xludf.DUMMYFUNCTION("""COMPUTED_VALUE"""),93.31175)</f>
        <v>93.311750000000004</v>
      </c>
      <c r="U3449" s="3" t="e">
        <f ca="1"/>
        <v>#NAME?</v>
      </c>
    </row>
    <row r="3450" spans="6:21" ht="12.5" x14ac:dyDescent="0.25">
      <c r="F3450" s="2">
        <f ca="1">IFERROR(__xludf.DUMMYFUNCTION("""COMPUTED_VALUE"""),93.83526)</f>
        <v>93.835260000000005</v>
      </c>
      <c r="U3450" s="3" t="e">
        <f ca="1"/>
        <v>#NAME?</v>
      </c>
    </row>
    <row r="3451" spans="6:21" ht="12.5" x14ac:dyDescent="0.25">
      <c r="F3451" s="2">
        <f ca="1">IFERROR(__xludf.DUMMYFUNCTION("""COMPUTED_VALUE"""),94.48721)</f>
        <v>94.487210000000005</v>
      </c>
      <c r="U3451" s="3" t="e">
        <f ca="1"/>
        <v>#NAME?</v>
      </c>
    </row>
    <row r="3452" spans="6:21" ht="12.5" x14ac:dyDescent="0.25">
      <c r="U3452" s="3" t="e">
        <f ca="1"/>
        <v>#NAME?</v>
      </c>
    </row>
    <row r="3453" spans="6:21" ht="12.5" x14ac:dyDescent="0.25">
      <c r="U3453" s="3" t="e">
        <f ca="1"/>
        <v>#NAME?</v>
      </c>
    </row>
    <row r="3454" spans="6:21" ht="12.5" x14ac:dyDescent="0.25">
      <c r="U3454" s="3" t="e">
        <f ca="1"/>
        <v>#NAME?</v>
      </c>
    </row>
    <row r="3455" spans="6:21" ht="12.5" x14ac:dyDescent="0.25">
      <c r="U3455" s="3" t="e">
        <f ca="1"/>
        <v>#NAME?</v>
      </c>
    </row>
    <row r="3456" spans="6:21" ht="12.5" x14ac:dyDescent="0.25">
      <c r="U3456" s="3" t="e">
        <f ca="1"/>
        <v>#NAME?</v>
      </c>
    </row>
    <row r="3457" spans="21:21" ht="12.5" x14ac:dyDescent="0.25">
      <c r="U3457" s="3" t="e">
        <f ca="1"/>
        <v>#NAME?</v>
      </c>
    </row>
    <row r="3458" spans="21:21" ht="12.5" x14ac:dyDescent="0.25">
      <c r="U3458" s="3" t="e">
        <f ca="1"/>
        <v>#NAME?</v>
      </c>
    </row>
    <row r="3459" spans="21:21" ht="12.5" x14ac:dyDescent="0.25">
      <c r="U3459" s="3" t="e">
        <f ca="1"/>
        <v>#NAME?</v>
      </c>
    </row>
    <row r="3460" spans="21:21" ht="12.5" x14ac:dyDescent="0.25">
      <c r="U3460" s="3" t="e">
        <f ca="1"/>
        <v>#NAME?</v>
      </c>
    </row>
    <row r="3461" spans="21:21" ht="12.5" x14ac:dyDescent="0.25">
      <c r="U3461" s="3" t="e">
        <f ca="1"/>
        <v>#NAME?</v>
      </c>
    </row>
    <row r="3462" spans="21:21" ht="12.5" x14ac:dyDescent="0.25">
      <c r="U3462" s="3" t="e">
        <f ca="1"/>
        <v>#NAME?</v>
      </c>
    </row>
    <row r="3463" spans="21:21" ht="12.5" x14ac:dyDescent="0.25">
      <c r="U3463" s="3" t="e">
        <f ca="1"/>
        <v>#NAME?</v>
      </c>
    </row>
    <row r="3464" spans="21:21" ht="12.5" x14ac:dyDescent="0.25">
      <c r="U3464" s="3" t="e">
        <f ca="1"/>
        <v>#NAME?</v>
      </c>
    </row>
    <row r="3465" spans="21:21" ht="12.5" x14ac:dyDescent="0.25">
      <c r="U3465" s="3" t="e">
        <f ca="1"/>
        <v>#NAME?</v>
      </c>
    </row>
    <row r="3466" spans="21:21" ht="12.5" x14ac:dyDescent="0.25">
      <c r="U3466" s="3" t="e">
        <f ca="1"/>
        <v>#NAME?</v>
      </c>
    </row>
    <row r="3467" spans="21:21" ht="12.5" x14ac:dyDescent="0.25">
      <c r="U3467" s="3" t="e">
        <f ca="1"/>
        <v>#NAME?</v>
      </c>
    </row>
    <row r="3468" spans="21:21" ht="12.5" x14ac:dyDescent="0.25">
      <c r="U3468" s="3" t="e">
        <f ca="1"/>
        <v>#NAME?</v>
      </c>
    </row>
    <row r="3469" spans="21:21" ht="12.5" x14ac:dyDescent="0.25">
      <c r="U3469" s="3" t="e">
        <f ca="1"/>
        <v>#NAME?</v>
      </c>
    </row>
    <row r="3470" spans="21:21" ht="12.5" x14ac:dyDescent="0.25">
      <c r="U3470" s="3" t="e">
        <f ca="1"/>
        <v>#NAME?</v>
      </c>
    </row>
    <row r="3471" spans="21:21" ht="12.5" x14ac:dyDescent="0.25">
      <c r="U3471" s="3" t="e">
        <f ca="1"/>
        <v>#NAME?</v>
      </c>
    </row>
    <row r="3472" spans="21:21" ht="12.5" x14ac:dyDescent="0.25">
      <c r="U3472" s="3" t="e">
        <f ca="1"/>
        <v>#NAME?</v>
      </c>
    </row>
    <row r="3473" spans="21:21" ht="12.5" x14ac:dyDescent="0.25">
      <c r="U3473" s="3" t="e">
        <f ca="1"/>
        <v>#NAME?</v>
      </c>
    </row>
    <row r="3474" spans="21:21" ht="12.5" x14ac:dyDescent="0.25">
      <c r="U3474" s="3" t="e">
        <f ca="1"/>
        <v>#NAME?</v>
      </c>
    </row>
    <row r="3475" spans="21:21" ht="12.5" x14ac:dyDescent="0.25">
      <c r="U3475" s="3" t="e">
        <f ca="1"/>
        <v>#NAME?</v>
      </c>
    </row>
    <row r="3476" spans="21:21" ht="12.5" x14ac:dyDescent="0.25">
      <c r="U3476" s="3" t="e">
        <f ca="1"/>
        <v>#NAME?</v>
      </c>
    </row>
    <row r="3477" spans="21:21" ht="12.5" x14ac:dyDescent="0.25">
      <c r="U3477" s="3" t="e">
        <f ca="1"/>
        <v>#NAME?</v>
      </c>
    </row>
    <row r="3478" spans="21:21" ht="12.5" x14ac:dyDescent="0.25">
      <c r="U3478" s="3" t="e">
        <f ca="1"/>
        <v>#NAME?</v>
      </c>
    </row>
    <row r="3479" spans="21:21" ht="12.5" x14ac:dyDescent="0.25">
      <c r="U3479" s="3" t="e">
        <f ca="1"/>
        <v>#NAME?</v>
      </c>
    </row>
    <row r="3480" spans="21:21" ht="12.5" x14ac:dyDescent="0.25">
      <c r="U3480" s="3" t="e">
        <f ca="1"/>
        <v>#NAME?</v>
      </c>
    </row>
    <row r="3481" spans="21:21" ht="12.5" x14ac:dyDescent="0.25">
      <c r="U3481" s="3" t="e">
        <f ca="1"/>
        <v>#NAME?</v>
      </c>
    </row>
    <row r="3482" spans="21:21" ht="12.5" x14ac:dyDescent="0.25">
      <c r="U3482" s="3" t="e">
        <f ca="1"/>
        <v>#NAME?</v>
      </c>
    </row>
    <row r="3483" spans="21:21" ht="12.5" x14ac:dyDescent="0.25">
      <c r="U3483" s="3" t="e">
        <f ca="1"/>
        <v>#NAME?</v>
      </c>
    </row>
    <row r="3484" spans="21:21" ht="12.5" x14ac:dyDescent="0.25">
      <c r="U3484" s="3" t="e">
        <f ca="1"/>
        <v>#NAME?</v>
      </c>
    </row>
    <row r="3485" spans="21:21" ht="12.5" x14ac:dyDescent="0.25">
      <c r="U3485" s="3" t="e">
        <f ca="1"/>
        <v>#NAME?</v>
      </c>
    </row>
    <row r="3486" spans="21:21" ht="12.5" x14ac:dyDescent="0.25">
      <c r="U3486" s="3" t="e">
        <f ca="1"/>
        <v>#NAME?</v>
      </c>
    </row>
    <row r="3487" spans="21:21" ht="12.5" x14ac:dyDescent="0.25">
      <c r="U3487" s="3" t="e">
        <f ca="1"/>
        <v>#NAME?</v>
      </c>
    </row>
    <row r="3488" spans="21:21" ht="12.5" x14ac:dyDescent="0.25">
      <c r="U3488" s="3" t="e">
        <f ca="1"/>
        <v>#NAME?</v>
      </c>
    </row>
    <row r="3489" spans="21:21" ht="12.5" x14ac:dyDescent="0.25">
      <c r="U3489" s="3" t="e">
        <f ca="1"/>
        <v>#NAME?</v>
      </c>
    </row>
    <row r="3490" spans="21:21" ht="12.5" x14ac:dyDescent="0.25">
      <c r="U3490" s="3" t="e">
        <f ca="1"/>
        <v>#NAME?</v>
      </c>
    </row>
    <row r="3491" spans="21:21" ht="12.5" x14ac:dyDescent="0.25">
      <c r="U3491" s="3" t="e">
        <f ca="1"/>
        <v>#NAME?</v>
      </c>
    </row>
    <row r="3492" spans="21:21" ht="12.5" x14ac:dyDescent="0.25">
      <c r="U3492" s="3" t="e">
        <f ca="1"/>
        <v>#NAME?</v>
      </c>
    </row>
    <row r="3493" spans="21:21" ht="12.5" x14ac:dyDescent="0.25">
      <c r="U3493" s="3" t="e">
        <f ca="1"/>
        <v>#NAME?</v>
      </c>
    </row>
    <row r="3494" spans="21:21" ht="12.5" x14ac:dyDescent="0.25">
      <c r="U3494" s="3" t="e">
        <f ca="1"/>
        <v>#NAME?</v>
      </c>
    </row>
    <row r="3495" spans="21:21" ht="12.5" x14ac:dyDescent="0.25">
      <c r="U3495" s="3" t="e">
        <f ca="1"/>
        <v>#NAME?</v>
      </c>
    </row>
    <row r="3496" spans="21:21" ht="12.5" x14ac:dyDescent="0.25">
      <c r="U3496" s="3" t="e">
        <f ca="1"/>
        <v>#NAME?</v>
      </c>
    </row>
    <row r="3497" spans="21:21" ht="12.5" x14ac:dyDescent="0.25">
      <c r="U3497" s="3" t="e">
        <f ca="1"/>
        <v>#NAME?</v>
      </c>
    </row>
    <row r="3498" spans="21:21" ht="12.5" x14ac:dyDescent="0.25">
      <c r="U3498" s="3" t="e">
        <f ca="1"/>
        <v>#NAME?</v>
      </c>
    </row>
    <row r="3499" spans="21:21" ht="12.5" x14ac:dyDescent="0.25">
      <c r="U3499" s="3" t="e">
        <f ca="1"/>
        <v>#NAME?</v>
      </c>
    </row>
    <row r="3500" spans="21:21" ht="12.5" x14ac:dyDescent="0.25">
      <c r="U3500" s="3" t="e">
        <f ca="1"/>
        <v>#NAME?</v>
      </c>
    </row>
    <row r="3501" spans="21:21" ht="12.5" x14ac:dyDescent="0.25">
      <c r="U3501" s="3" t="e">
        <f ca="1"/>
        <v>#NAME?</v>
      </c>
    </row>
    <row r="3502" spans="21:21" ht="12.5" x14ac:dyDescent="0.25">
      <c r="U3502" s="3" t="e">
        <f ca="1"/>
        <v>#NAME?</v>
      </c>
    </row>
    <row r="3503" spans="21:21" ht="12.5" x14ac:dyDescent="0.25">
      <c r="U3503" s="3" t="e">
        <f ca="1"/>
        <v>#NAME?</v>
      </c>
    </row>
    <row r="3504" spans="21:21" ht="12.5" x14ac:dyDescent="0.25">
      <c r="U3504" s="3" t="e">
        <f ca="1"/>
        <v>#NAME?</v>
      </c>
    </row>
    <row r="3505" spans="21:21" ht="12.5" x14ac:dyDescent="0.25">
      <c r="U3505" s="3" t="e">
        <f ca="1"/>
        <v>#NAME?</v>
      </c>
    </row>
    <row r="3506" spans="21:21" ht="12.5" x14ac:dyDescent="0.25">
      <c r="U3506" s="3" t="e">
        <f ca="1"/>
        <v>#NAME?</v>
      </c>
    </row>
    <row r="3507" spans="21:21" ht="12.5" x14ac:dyDescent="0.25">
      <c r="U3507" s="3" t="e">
        <f ca="1"/>
        <v>#NAME?</v>
      </c>
    </row>
    <row r="3508" spans="21:21" ht="12.5" x14ac:dyDescent="0.25">
      <c r="U3508" s="3" t="e">
        <f ca="1"/>
        <v>#NAME?</v>
      </c>
    </row>
    <row r="3509" spans="21:21" ht="12.5" x14ac:dyDescent="0.25">
      <c r="U3509" s="3" t="e">
        <f ca="1"/>
        <v>#NAME?</v>
      </c>
    </row>
    <row r="3510" spans="21:21" ht="12.5" x14ac:dyDescent="0.25">
      <c r="U3510" s="3" t="e">
        <f ca="1"/>
        <v>#NAME?</v>
      </c>
    </row>
    <row r="3511" spans="21:21" ht="12.5" x14ac:dyDescent="0.25">
      <c r="U3511" s="3" t="e">
        <f ca="1"/>
        <v>#NAME?</v>
      </c>
    </row>
    <row r="3512" spans="21:21" ht="12.5" x14ac:dyDescent="0.25">
      <c r="U3512" s="3" t="e">
        <f ca="1"/>
        <v>#NAME?</v>
      </c>
    </row>
    <row r="3513" spans="21:21" ht="12.5" x14ac:dyDescent="0.25">
      <c r="U3513" s="3" t="e">
        <f ca="1"/>
        <v>#NAME?</v>
      </c>
    </row>
    <row r="3514" spans="21:21" ht="12.5" x14ac:dyDescent="0.25">
      <c r="U3514" s="3" t="e">
        <f ca="1"/>
        <v>#NAME?</v>
      </c>
    </row>
    <row r="3515" spans="21:21" ht="12.5" x14ac:dyDescent="0.25">
      <c r="U3515" s="3" t="e">
        <f ca="1"/>
        <v>#NAME?</v>
      </c>
    </row>
    <row r="3516" spans="21:21" ht="12.5" x14ac:dyDescent="0.25">
      <c r="U3516" s="3" t="e">
        <f ca="1"/>
        <v>#NAME?</v>
      </c>
    </row>
    <row r="3517" spans="21:21" ht="12.5" x14ac:dyDescent="0.25">
      <c r="U3517" s="3" t="e">
        <f ca="1"/>
        <v>#NAME?</v>
      </c>
    </row>
    <row r="3518" spans="21:21" ht="12.5" x14ac:dyDescent="0.25">
      <c r="U3518" s="3" t="e">
        <f ca="1"/>
        <v>#NAME?</v>
      </c>
    </row>
    <row r="3519" spans="21:21" ht="12.5" x14ac:dyDescent="0.25">
      <c r="U3519" s="3" t="e">
        <f ca="1"/>
        <v>#NAME?</v>
      </c>
    </row>
    <row r="3520" spans="21:21" ht="12.5" x14ac:dyDescent="0.25">
      <c r="U3520" s="3" t="e">
        <f ca="1"/>
        <v>#NAME?</v>
      </c>
    </row>
    <row r="3521" spans="21:21" ht="12.5" x14ac:dyDescent="0.25">
      <c r="U3521" s="3" t="e">
        <f ca="1"/>
        <v>#NAME?</v>
      </c>
    </row>
    <row r="3522" spans="21:21" ht="12.5" x14ac:dyDescent="0.25">
      <c r="U3522" s="3" t="e">
        <f ca="1"/>
        <v>#NAME?</v>
      </c>
    </row>
    <row r="3523" spans="21:21" ht="12.5" x14ac:dyDescent="0.25">
      <c r="U3523" s="3" t="e">
        <f ca="1"/>
        <v>#NAME?</v>
      </c>
    </row>
    <row r="3524" spans="21:21" ht="12.5" x14ac:dyDescent="0.25">
      <c r="U3524" s="3" t="e">
        <f ca="1"/>
        <v>#NAME?</v>
      </c>
    </row>
    <row r="3525" spans="21:21" ht="12.5" x14ac:dyDescent="0.25">
      <c r="U3525" s="3" t="e">
        <f ca="1"/>
        <v>#NAME?</v>
      </c>
    </row>
    <row r="3526" spans="21:21" ht="12.5" x14ac:dyDescent="0.25">
      <c r="U3526" s="3" t="e">
        <f ca="1"/>
        <v>#NAME?</v>
      </c>
    </row>
    <row r="3527" spans="21:21" ht="12.5" x14ac:dyDescent="0.25">
      <c r="U3527" s="3" t="e">
        <f ca="1"/>
        <v>#NAME?</v>
      </c>
    </row>
    <row r="3528" spans="21:21" ht="12.5" x14ac:dyDescent="0.25">
      <c r="U3528" s="3" t="e">
        <f ca="1"/>
        <v>#NAME?</v>
      </c>
    </row>
    <row r="3529" spans="21:21" ht="12.5" x14ac:dyDescent="0.25">
      <c r="U3529" s="3" t="e">
        <f ca="1"/>
        <v>#NAME?</v>
      </c>
    </row>
    <row r="3530" spans="21:21" ht="12.5" x14ac:dyDescent="0.25">
      <c r="U3530" s="3" t="e">
        <f ca="1"/>
        <v>#NAME?</v>
      </c>
    </row>
    <row r="3531" spans="21:21" ht="12.5" x14ac:dyDescent="0.25">
      <c r="U3531" s="3" t="e">
        <f ca="1"/>
        <v>#NAME?</v>
      </c>
    </row>
    <row r="3532" spans="21:21" ht="12.5" x14ac:dyDescent="0.25">
      <c r="U3532" s="3" t="e">
        <f ca="1"/>
        <v>#NAME?</v>
      </c>
    </row>
    <row r="3533" spans="21:21" ht="12.5" x14ac:dyDescent="0.25">
      <c r="U3533" s="3" t="e">
        <f ca="1"/>
        <v>#NAME?</v>
      </c>
    </row>
    <row r="3534" spans="21:21" ht="12.5" x14ac:dyDescent="0.25">
      <c r="U3534" s="3" t="e">
        <f ca="1"/>
        <v>#NAME?</v>
      </c>
    </row>
    <row r="3535" spans="21:21" ht="12.5" x14ac:dyDescent="0.25">
      <c r="U3535" s="3" t="e">
        <f ca="1"/>
        <v>#NAME?</v>
      </c>
    </row>
    <row r="3536" spans="21:21" ht="12.5" x14ac:dyDescent="0.25">
      <c r="U3536" s="3" t="e">
        <f ca="1"/>
        <v>#NAME?</v>
      </c>
    </row>
    <row r="3537" spans="21:21" ht="12.5" x14ac:dyDescent="0.25">
      <c r="U3537" s="3" t="e">
        <f ca="1"/>
        <v>#NAME?</v>
      </c>
    </row>
    <row r="3538" spans="21:21" ht="12.5" x14ac:dyDescent="0.25">
      <c r="U3538" s="3" t="e">
        <f ca="1"/>
        <v>#NAME?</v>
      </c>
    </row>
    <row r="3539" spans="21:21" ht="12.5" x14ac:dyDescent="0.25">
      <c r="U3539" s="3" t="e">
        <f ca="1"/>
        <v>#NAME?</v>
      </c>
    </row>
    <row r="3540" spans="21:21" ht="12.5" x14ac:dyDescent="0.25">
      <c r="U3540" s="3" t="e">
        <f ca="1"/>
        <v>#NAME?</v>
      </c>
    </row>
    <row r="3541" spans="21:21" ht="12.5" x14ac:dyDescent="0.25">
      <c r="U3541" s="3" t="e">
        <f ca="1"/>
        <v>#NAME?</v>
      </c>
    </row>
    <row r="3542" spans="21:21" ht="12.5" x14ac:dyDescent="0.25">
      <c r="U3542" s="3" t="e">
        <f ca="1"/>
        <v>#NAME?</v>
      </c>
    </row>
    <row r="3543" spans="21:21" ht="12.5" x14ac:dyDescent="0.25">
      <c r="U3543" s="3" t="e">
        <f ca="1"/>
        <v>#NAME?</v>
      </c>
    </row>
    <row r="3544" spans="21:21" ht="12.5" x14ac:dyDescent="0.25">
      <c r="U3544" s="3" t="e">
        <f ca="1"/>
        <v>#NAME?</v>
      </c>
    </row>
    <row r="3545" spans="21:21" ht="12.5" x14ac:dyDescent="0.25">
      <c r="U3545" s="3" t="e">
        <f ca="1"/>
        <v>#NAME?</v>
      </c>
    </row>
    <row r="3546" spans="21:21" ht="12.5" x14ac:dyDescent="0.25">
      <c r="U3546" s="3" t="e">
        <f ca="1"/>
        <v>#NAME?</v>
      </c>
    </row>
    <row r="3547" spans="21:21" ht="12.5" x14ac:dyDescent="0.25">
      <c r="U3547" s="3" t="e">
        <f ca="1"/>
        <v>#NAME?</v>
      </c>
    </row>
    <row r="3548" spans="21:21" ht="12.5" x14ac:dyDescent="0.25">
      <c r="U3548" s="3" t="e">
        <f ca="1"/>
        <v>#NAME?</v>
      </c>
    </row>
    <row r="3549" spans="21:21" ht="12.5" x14ac:dyDescent="0.25">
      <c r="U3549" s="3" t="e">
        <f ca="1"/>
        <v>#NAME?</v>
      </c>
    </row>
    <row r="3550" spans="21:21" ht="12.5" x14ac:dyDescent="0.25">
      <c r="U3550" s="3" t="e">
        <f ca="1"/>
        <v>#NAME?</v>
      </c>
    </row>
    <row r="3551" spans="21:21" ht="12.5" x14ac:dyDescent="0.25">
      <c r="U3551" s="3" t="e">
        <f ca="1"/>
        <v>#NAME?</v>
      </c>
    </row>
    <row r="3552" spans="21:21" ht="12.5" x14ac:dyDescent="0.25">
      <c r="U3552" s="3" t="e">
        <f ca="1"/>
        <v>#NAME?</v>
      </c>
    </row>
    <row r="3553" spans="21:21" ht="12.5" x14ac:dyDescent="0.25">
      <c r="U3553" s="3" t="e">
        <f ca="1"/>
        <v>#NAME?</v>
      </c>
    </row>
    <row r="3554" spans="21:21" ht="12.5" x14ac:dyDescent="0.25">
      <c r="U3554" s="3" t="e">
        <f ca="1"/>
        <v>#NAME?</v>
      </c>
    </row>
    <row r="3555" spans="21:21" ht="12.5" x14ac:dyDescent="0.25">
      <c r="U3555" s="3" t="e">
        <f ca="1"/>
        <v>#NAME?</v>
      </c>
    </row>
    <row r="3556" spans="21:21" ht="12.5" x14ac:dyDescent="0.25">
      <c r="U3556" s="3" t="e">
        <f ca="1"/>
        <v>#NAME?</v>
      </c>
    </row>
    <row r="3557" spans="21:21" ht="12.5" x14ac:dyDescent="0.25">
      <c r="U3557" s="3" t="e">
        <f ca="1"/>
        <v>#NAME?</v>
      </c>
    </row>
    <row r="3558" spans="21:21" ht="12.5" x14ac:dyDescent="0.25">
      <c r="U3558" s="3" t="e">
        <f ca="1"/>
        <v>#NAME?</v>
      </c>
    </row>
    <row r="3559" spans="21:21" ht="12.5" x14ac:dyDescent="0.25">
      <c r="U3559" s="3" t="e">
        <f ca="1"/>
        <v>#NAME?</v>
      </c>
    </row>
    <row r="3560" spans="21:21" ht="12.5" x14ac:dyDescent="0.25">
      <c r="U3560" s="3" t="e">
        <f ca="1"/>
        <v>#NAME?</v>
      </c>
    </row>
    <row r="3561" spans="21:21" ht="12.5" x14ac:dyDescent="0.25">
      <c r="U3561" s="3" t="e">
        <f ca="1"/>
        <v>#NAME?</v>
      </c>
    </row>
    <row r="3562" spans="21:21" ht="12.5" x14ac:dyDescent="0.25">
      <c r="U3562" s="3" t="e">
        <f ca="1"/>
        <v>#NAME?</v>
      </c>
    </row>
    <row r="3563" spans="21:21" ht="12.5" x14ac:dyDescent="0.25">
      <c r="U3563" s="3" t="e">
        <f ca="1"/>
        <v>#NAME?</v>
      </c>
    </row>
    <row r="3564" spans="21:21" ht="12.5" x14ac:dyDescent="0.25">
      <c r="U3564" s="3" t="e">
        <f ca="1"/>
        <v>#NAME?</v>
      </c>
    </row>
    <row r="3565" spans="21:21" ht="12.5" x14ac:dyDescent="0.25">
      <c r="U3565" s="3" t="e">
        <f ca="1"/>
        <v>#NAME?</v>
      </c>
    </row>
    <row r="3566" spans="21:21" ht="12.5" x14ac:dyDescent="0.25">
      <c r="U3566" s="3" t="e">
        <f ca="1"/>
        <v>#NAME?</v>
      </c>
    </row>
    <row r="3567" spans="21:21" ht="12.5" x14ac:dyDescent="0.25">
      <c r="U3567" s="3" t="e">
        <f ca="1"/>
        <v>#NAME?</v>
      </c>
    </row>
    <row r="3568" spans="21:21" ht="12.5" x14ac:dyDescent="0.25">
      <c r="U3568" s="3" t="e">
        <f ca="1"/>
        <v>#NAME?</v>
      </c>
    </row>
    <row r="3569" spans="21:21" ht="12.5" x14ac:dyDescent="0.25">
      <c r="U3569" s="3" t="e">
        <f ca="1"/>
        <v>#NAME?</v>
      </c>
    </row>
    <row r="3570" spans="21:21" ht="12.5" x14ac:dyDescent="0.25">
      <c r="U3570" s="3" t="e">
        <f ca="1"/>
        <v>#NAME?</v>
      </c>
    </row>
    <row r="3571" spans="21:21" ht="12.5" x14ac:dyDescent="0.25">
      <c r="U3571" s="3" t="e">
        <f ca="1"/>
        <v>#NAME?</v>
      </c>
    </row>
    <row r="3572" spans="21:21" ht="12.5" x14ac:dyDescent="0.25">
      <c r="U3572" s="3" t="e">
        <f ca="1"/>
        <v>#NAME?</v>
      </c>
    </row>
    <row r="3573" spans="21:21" ht="12.5" x14ac:dyDescent="0.25">
      <c r="U3573" s="3" t="e">
        <f ca="1"/>
        <v>#NAME?</v>
      </c>
    </row>
    <row r="3574" spans="21:21" ht="12.5" x14ac:dyDescent="0.25">
      <c r="U3574" s="3" t="e">
        <f ca="1"/>
        <v>#NAME?</v>
      </c>
    </row>
    <row r="3575" spans="21:21" ht="12.5" x14ac:dyDescent="0.25">
      <c r="U3575" s="3" t="e">
        <f ca="1"/>
        <v>#NAME?</v>
      </c>
    </row>
    <row r="3576" spans="21:21" ht="12.5" x14ac:dyDescent="0.25">
      <c r="U3576" s="3" t="e">
        <f ca="1"/>
        <v>#NAME?</v>
      </c>
    </row>
    <row r="3577" spans="21:21" ht="12.5" x14ac:dyDescent="0.25">
      <c r="U3577" s="3" t="e">
        <f ca="1"/>
        <v>#NAME?</v>
      </c>
    </row>
    <row r="3578" spans="21:21" ht="12.5" x14ac:dyDescent="0.25">
      <c r="U3578" s="3" t="e">
        <f ca="1"/>
        <v>#NAME?</v>
      </c>
    </row>
    <row r="3579" spans="21:21" ht="12.5" x14ac:dyDescent="0.25">
      <c r="U3579" s="3" t="e">
        <f ca="1"/>
        <v>#NAME?</v>
      </c>
    </row>
    <row r="3580" spans="21:21" ht="12.5" x14ac:dyDescent="0.25">
      <c r="U3580" s="3" t="e">
        <f ca="1"/>
        <v>#NAME?</v>
      </c>
    </row>
    <row r="3581" spans="21:21" ht="12.5" x14ac:dyDescent="0.25">
      <c r="U3581" s="3" t="e">
        <f ca="1"/>
        <v>#NAME?</v>
      </c>
    </row>
    <row r="3582" spans="21:21" ht="12.5" x14ac:dyDescent="0.25">
      <c r="U3582" s="3" t="e">
        <f ca="1"/>
        <v>#NAME?</v>
      </c>
    </row>
    <row r="3583" spans="21:21" ht="12.5" x14ac:dyDescent="0.25">
      <c r="U3583" s="3" t="e">
        <f ca="1"/>
        <v>#NAME?</v>
      </c>
    </row>
    <row r="3584" spans="21:21" ht="12.5" x14ac:dyDescent="0.25">
      <c r="U3584" s="3" t="e">
        <f ca="1"/>
        <v>#NAME?</v>
      </c>
    </row>
    <row r="3585" spans="21:21" ht="12.5" x14ac:dyDescent="0.25">
      <c r="U3585" s="3" t="e">
        <f ca="1"/>
        <v>#NAME?</v>
      </c>
    </row>
    <row r="3586" spans="21:21" ht="12.5" x14ac:dyDescent="0.25">
      <c r="U3586" s="3" t="e">
        <f ca="1"/>
        <v>#NAME?</v>
      </c>
    </row>
    <row r="3587" spans="21:21" ht="12.5" x14ac:dyDescent="0.25">
      <c r="U3587" s="3" t="e">
        <f ca="1"/>
        <v>#NAME?</v>
      </c>
    </row>
    <row r="3588" spans="21:21" ht="12.5" x14ac:dyDescent="0.25">
      <c r="U3588" s="3" t="e">
        <f ca="1"/>
        <v>#NAME?</v>
      </c>
    </row>
    <row r="3589" spans="21:21" ht="12.5" x14ac:dyDescent="0.25">
      <c r="U3589" s="3" t="e">
        <f ca="1"/>
        <v>#NAME?</v>
      </c>
    </row>
    <row r="3590" spans="21:21" ht="12.5" x14ac:dyDescent="0.25">
      <c r="U3590" s="3" t="e">
        <f ca="1"/>
        <v>#NAME?</v>
      </c>
    </row>
    <row r="3591" spans="21:21" ht="12.5" x14ac:dyDescent="0.25">
      <c r="U3591" s="3" t="e">
        <f ca="1"/>
        <v>#NAME?</v>
      </c>
    </row>
    <row r="3592" spans="21:21" ht="12.5" x14ac:dyDescent="0.25">
      <c r="U3592" s="3" t="e">
        <f ca="1"/>
        <v>#NAME?</v>
      </c>
    </row>
    <row r="3593" spans="21:21" ht="12.5" x14ac:dyDescent="0.25">
      <c r="U3593" s="3" t="e">
        <f ca="1"/>
        <v>#NAME?</v>
      </c>
    </row>
    <row r="3594" spans="21:21" ht="12.5" x14ac:dyDescent="0.25">
      <c r="U3594" s="3" t="e">
        <f ca="1"/>
        <v>#NAME?</v>
      </c>
    </row>
    <row r="3595" spans="21:21" ht="12.5" x14ac:dyDescent="0.25">
      <c r="U3595" s="3" t="e">
        <f ca="1"/>
        <v>#NAME?</v>
      </c>
    </row>
    <row r="3596" spans="21:21" ht="12.5" x14ac:dyDescent="0.25">
      <c r="U3596" s="3" t="e">
        <f ca="1"/>
        <v>#NAME?</v>
      </c>
    </row>
    <row r="3597" spans="21:21" ht="12.5" x14ac:dyDescent="0.25">
      <c r="U3597" s="3" t="e">
        <f ca="1"/>
        <v>#NAME?</v>
      </c>
    </row>
    <row r="3598" spans="21:21" ht="12.5" x14ac:dyDescent="0.25">
      <c r="U3598" s="3" t="e">
        <f ca="1"/>
        <v>#NAME?</v>
      </c>
    </row>
    <row r="3599" spans="21:21" ht="12.5" x14ac:dyDescent="0.25">
      <c r="U3599" s="3" t="e">
        <f ca="1"/>
        <v>#NAME?</v>
      </c>
    </row>
    <row r="3600" spans="21:21" ht="12.5" x14ac:dyDescent="0.25">
      <c r="U3600" s="3" t="e">
        <f ca="1"/>
        <v>#NAME?</v>
      </c>
    </row>
    <row r="3601" spans="21:21" ht="12.5" x14ac:dyDescent="0.25">
      <c r="U3601" s="3" t="e">
        <f ca="1"/>
        <v>#NAME?</v>
      </c>
    </row>
    <row r="3602" spans="21:21" ht="12.5" x14ac:dyDescent="0.25">
      <c r="U3602" s="3" t="e">
        <f ca="1"/>
        <v>#NAME?</v>
      </c>
    </row>
    <row r="3603" spans="21:21" ht="12.5" x14ac:dyDescent="0.25">
      <c r="U3603" s="3" t="e">
        <f ca="1"/>
        <v>#NAME?</v>
      </c>
    </row>
    <row r="3604" spans="21:21" ht="12.5" x14ac:dyDescent="0.25">
      <c r="U3604" s="3" t="e">
        <f ca="1"/>
        <v>#NAME?</v>
      </c>
    </row>
    <row r="3605" spans="21:21" ht="12.5" x14ac:dyDescent="0.25">
      <c r="U3605" s="3" t="e">
        <f ca="1"/>
        <v>#NAME?</v>
      </c>
    </row>
    <row r="3606" spans="21:21" ht="12.5" x14ac:dyDescent="0.25">
      <c r="U3606" s="3" t="e">
        <f ca="1"/>
        <v>#NAME?</v>
      </c>
    </row>
    <row r="3607" spans="21:21" ht="12.5" x14ac:dyDescent="0.25">
      <c r="U3607" s="3" t="e">
        <f ca="1"/>
        <v>#NAME?</v>
      </c>
    </row>
    <row r="3608" spans="21:21" ht="12.5" x14ac:dyDescent="0.25">
      <c r="U3608" s="3" t="e">
        <f ca="1"/>
        <v>#NAME?</v>
      </c>
    </row>
    <row r="3609" spans="21:21" ht="12.5" x14ac:dyDescent="0.25">
      <c r="U3609" s="3" t="e">
        <f ca="1"/>
        <v>#NAME?</v>
      </c>
    </row>
    <row r="3610" spans="21:21" ht="12.5" x14ac:dyDescent="0.25">
      <c r="U3610" s="3" t="e">
        <f ca="1"/>
        <v>#NAME?</v>
      </c>
    </row>
    <row r="3611" spans="21:21" ht="12.5" x14ac:dyDescent="0.25">
      <c r="U3611" s="3" t="e">
        <f ca="1"/>
        <v>#NAME?</v>
      </c>
    </row>
    <row r="3612" spans="21:21" ht="12.5" x14ac:dyDescent="0.25">
      <c r="U3612" s="3" t="e">
        <f ca="1"/>
        <v>#NAME?</v>
      </c>
    </row>
    <row r="3613" spans="21:21" ht="12.5" x14ac:dyDescent="0.25">
      <c r="U3613" s="3" t="e">
        <f ca="1"/>
        <v>#NAME?</v>
      </c>
    </row>
    <row r="3614" spans="21:21" ht="12.5" x14ac:dyDescent="0.25">
      <c r="U3614" s="3" t="e">
        <f ca="1"/>
        <v>#NAME?</v>
      </c>
    </row>
    <row r="3615" spans="21:21" ht="12.5" x14ac:dyDescent="0.25">
      <c r="U3615" s="3" t="e">
        <f ca="1"/>
        <v>#NAME?</v>
      </c>
    </row>
    <row r="3616" spans="21:21" ht="12.5" x14ac:dyDescent="0.25">
      <c r="U3616" s="3" t="e">
        <f ca="1"/>
        <v>#NAME?</v>
      </c>
    </row>
    <row r="3617" spans="21:21" ht="12.5" x14ac:dyDescent="0.25">
      <c r="U3617" s="3" t="e">
        <f ca="1"/>
        <v>#NAME?</v>
      </c>
    </row>
    <row r="3618" spans="21:21" ht="12.5" x14ac:dyDescent="0.25">
      <c r="U3618" s="3" t="e">
        <f ca="1"/>
        <v>#NAME?</v>
      </c>
    </row>
    <row r="3619" spans="21:21" ht="12.5" x14ac:dyDescent="0.25">
      <c r="U3619" s="3" t="e">
        <f ca="1"/>
        <v>#NAME?</v>
      </c>
    </row>
    <row r="3620" spans="21:21" ht="12.5" x14ac:dyDescent="0.25">
      <c r="U3620" s="3" t="e">
        <f ca="1"/>
        <v>#NAME?</v>
      </c>
    </row>
    <row r="3621" spans="21:21" ht="12.5" x14ac:dyDescent="0.25">
      <c r="U3621" s="3" t="e">
        <f ca="1"/>
        <v>#NAME?</v>
      </c>
    </row>
    <row r="3622" spans="21:21" ht="12.5" x14ac:dyDescent="0.25">
      <c r="U3622" s="3" t="e">
        <f ca="1"/>
        <v>#NAME?</v>
      </c>
    </row>
    <row r="3623" spans="21:21" ht="12.5" x14ac:dyDescent="0.25">
      <c r="U3623" s="3" t="e">
        <f ca="1"/>
        <v>#NAME?</v>
      </c>
    </row>
    <row r="3624" spans="21:21" ht="12.5" x14ac:dyDescent="0.25">
      <c r="U3624" s="3" t="e">
        <f ca="1"/>
        <v>#NAME?</v>
      </c>
    </row>
    <row r="3625" spans="21:21" ht="12.5" x14ac:dyDescent="0.25">
      <c r="U3625" s="3" t="e">
        <f ca="1"/>
        <v>#NAME?</v>
      </c>
    </row>
    <row r="3626" spans="21:21" ht="12.5" x14ac:dyDescent="0.25">
      <c r="U3626" s="3" t="e">
        <f ca="1"/>
        <v>#NAME?</v>
      </c>
    </row>
    <row r="3627" spans="21:21" ht="12.5" x14ac:dyDescent="0.25">
      <c r="U3627" s="3" t="e">
        <f ca="1"/>
        <v>#NAME?</v>
      </c>
    </row>
    <row r="3628" spans="21:21" ht="12.5" x14ac:dyDescent="0.25">
      <c r="U3628" s="3" t="e">
        <f ca="1"/>
        <v>#NAME?</v>
      </c>
    </row>
    <row r="3629" spans="21:21" ht="12.5" x14ac:dyDescent="0.25">
      <c r="U3629" s="3" t="e">
        <f ca="1"/>
        <v>#NAME?</v>
      </c>
    </row>
    <row r="3630" spans="21:21" ht="12.5" x14ac:dyDescent="0.25">
      <c r="U3630" s="3" t="e">
        <f ca="1"/>
        <v>#NAME?</v>
      </c>
    </row>
    <row r="3631" spans="21:21" ht="12.5" x14ac:dyDescent="0.25">
      <c r="U3631" s="3" t="e">
        <f ca="1"/>
        <v>#NAME?</v>
      </c>
    </row>
    <row r="3632" spans="21:21" ht="12.5" x14ac:dyDescent="0.25">
      <c r="U3632" s="3" t="e">
        <f ca="1"/>
        <v>#NAME?</v>
      </c>
    </row>
    <row r="3633" spans="21:21" ht="12.5" x14ac:dyDescent="0.25">
      <c r="U3633" s="3" t="e">
        <f ca="1"/>
        <v>#NAME?</v>
      </c>
    </row>
    <row r="3634" spans="21:21" ht="12.5" x14ac:dyDescent="0.25">
      <c r="U3634" s="3" t="e">
        <f ca="1"/>
        <v>#NAME?</v>
      </c>
    </row>
    <row r="3635" spans="21:21" ht="12.5" x14ac:dyDescent="0.25">
      <c r="U3635" s="3" t="e">
        <f ca="1"/>
        <v>#NAME?</v>
      </c>
    </row>
    <row r="3636" spans="21:21" ht="12.5" x14ac:dyDescent="0.25">
      <c r="U3636" s="3" t="e">
        <f ca="1"/>
        <v>#NAME?</v>
      </c>
    </row>
    <row r="3637" spans="21:21" ht="12.5" x14ac:dyDescent="0.25">
      <c r="U3637" s="3" t="e">
        <f ca="1"/>
        <v>#NAME?</v>
      </c>
    </row>
    <row r="3638" spans="21:21" ht="12.5" x14ac:dyDescent="0.25">
      <c r="U3638" s="3" t="e">
        <f ca="1"/>
        <v>#NAME?</v>
      </c>
    </row>
    <row r="3639" spans="21:21" ht="12.5" x14ac:dyDescent="0.25">
      <c r="U3639" s="3" t="e">
        <f ca="1"/>
        <v>#NAME?</v>
      </c>
    </row>
    <row r="3640" spans="21:21" ht="12.5" x14ac:dyDescent="0.25">
      <c r="U3640" s="3" t="e">
        <f ca="1"/>
        <v>#NAME?</v>
      </c>
    </row>
    <row r="3641" spans="21:21" ht="12.5" x14ac:dyDescent="0.25">
      <c r="U3641" s="3" t="e">
        <f ca="1"/>
        <v>#NAME?</v>
      </c>
    </row>
    <row r="3642" spans="21:21" ht="12.5" x14ac:dyDescent="0.25">
      <c r="U3642" s="3" t="e">
        <f ca="1"/>
        <v>#NAME?</v>
      </c>
    </row>
    <row r="3643" spans="21:21" ht="12.5" x14ac:dyDescent="0.25">
      <c r="U3643" s="3" t="e">
        <f ca="1"/>
        <v>#NAME?</v>
      </c>
    </row>
    <row r="3644" spans="21:21" ht="12.5" x14ac:dyDescent="0.25">
      <c r="U3644" s="3" t="e">
        <f ca="1"/>
        <v>#NAME?</v>
      </c>
    </row>
    <row r="3645" spans="21:21" ht="12.5" x14ac:dyDescent="0.25">
      <c r="U3645" s="3" t="e">
        <f ca="1"/>
        <v>#NAME?</v>
      </c>
    </row>
    <row r="3646" spans="21:21" ht="12.5" x14ac:dyDescent="0.25">
      <c r="U3646" s="3" t="e">
        <f ca="1"/>
        <v>#NAME?</v>
      </c>
    </row>
    <row r="3647" spans="21:21" ht="12.5" x14ac:dyDescent="0.25">
      <c r="U3647" s="3" t="e">
        <f ca="1"/>
        <v>#NAME?</v>
      </c>
    </row>
    <row r="3648" spans="21:21" ht="12.5" x14ac:dyDescent="0.25">
      <c r="U3648" s="3" t="e">
        <f ca="1"/>
        <v>#NAME?</v>
      </c>
    </row>
    <row r="3649" spans="21:21" ht="12.5" x14ac:dyDescent="0.25">
      <c r="U3649" s="3" t="e">
        <f ca="1"/>
        <v>#NAME?</v>
      </c>
    </row>
    <row r="3650" spans="21:21" ht="12.5" x14ac:dyDescent="0.25">
      <c r="U3650" s="3" t="e">
        <f ca="1"/>
        <v>#NAME?</v>
      </c>
    </row>
    <row r="3651" spans="21:21" ht="12.5" x14ac:dyDescent="0.25">
      <c r="U3651" s="3" t="e">
        <f ca="1"/>
        <v>#NAME?</v>
      </c>
    </row>
    <row r="3652" spans="21:21" ht="12.5" x14ac:dyDescent="0.25">
      <c r="U3652" s="3" t="e">
        <f ca="1"/>
        <v>#NAME?</v>
      </c>
    </row>
    <row r="3653" spans="21:21" ht="12.5" x14ac:dyDescent="0.25">
      <c r="U3653" s="3" t="e">
        <f ca="1"/>
        <v>#NAME?</v>
      </c>
    </row>
    <row r="3654" spans="21:21" ht="12.5" x14ac:dyDescent="0.25">
      <c r="U3654" s="3" t="e">
        <f ca="1"/>
        <v>#NAME?</v>
      </c>
    </row>
  </sheetData>
  <conditionalFormatting sqref="T5">
    <cfRule type="notContainsBlanks" dxfId="0" priority="1">
      <formula>LEN(TRIM(T5))&gt;0</formula>
    </cfRule>
  </conditionalFormatting>
  <dataValidations count="1">
    <dataValidation type="list" allowBlank="1" showErrorMessage="1" sqref="B2" xr:uid="{00000000-0002-0000-0000-000000000000}">
      <formula1>"USD,EUR,GBP,JPY,AUD,CAD,SGD,CHF,CNY,AED"</formula1>
    </dataValidation>
  </dataValidations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D9309"/>
  <sheetViews>
    <sheetView tabSelected="1" topLeftCell="A6873" workbookViewId="0">
      <selection activeCell="D1" sqref="D1:D1048576"/>
    </sheetView>
  </sheetViews>
  <sheetFormatPr defaultColWidth="12.6328125" defaultRowHeight="15.75" customHeight="1" x14ac:dyDescent="0.25"/>
  <cols>
    <col min="1" max="1" width="12.6328125" style="7"/>
  </cols>
  <sheetData>
    <row r="1" spans="1:4" ht="15.75" customHeight="1" thickBot="1" x14ac:dyDescent="0.3">
      <c r="A1" s="8" t="s">
        <v>0</v>
      </c>
      <c r="B1" s="5" t="s">
        <v>11</v>
      </c>
      <c r="C1" s="5"/>
      <c r="D1" s="5"/>
    </row>
    <row r="2" spans="1:4" ht="15.75" customHeight="1" thickBot="1" x14ac:dyDescent="0.3">
      <c r="A2" s="9" cm="1">
        <f t="array" aca="1" ref="A2:A8812" ca="1">_xlfn.SEQUENCE(TODAY()-DATE(2001,1,1)+1, 1, DATE(2001,1,1), 1)</f>
        <v>36892</v>
      </c>
      <c r="B2" s="5">
        <v>0</v>
      </c>
      <c r="C2" s="6"/>
      <c r="D2" s="6"/>
    </row>
    <row r="3" spans="1:4" ht="15.75" customHeight="1" thickBot="1" x14ac:dyDescent="0.3">
      <c r="A3" s="9">
        <f ca="1"/>
        <v>36893</v>
      </c>
      <c r="B3" s="6">
        <v>32.31</v>
      </c>
      <c r="C3" s="6"/>
      <c r="D3" s="6"/>
    </row>
    <row r="4" spans="1:4" ht="15.75" customHeight="1" thickBot="1" x14ac:dyDescent="0.3">
      <c r="A4" s="9">
        <f ca="1"/>
        <v>36894</v>
      </c>
      <c r="B4" s="6">
        <v>29.19</v>
      </c>
      <c r="C4" s="6"/>
      <c r="D4" s="6"/>
    </row>
    <row r="5" spans="1:4" ht="15.75" customHeight="1" thickBot="1" x14ac:dyDescent="0.3">
      <c r="A5" s="9">
        <f ca="1"/>
        <v>36895</v>
      </c>
      <c r="B5" s="6">
        <v>31.06</v>
      </c>
      <c r="C5" s="6"/>
      <c r="D5" s="6"/>
    </row>
    <row r="6" spans="1:4" ht="15.75" customHeight="1" thickBot="1" x14ac:dyDescent="0.3">
      <c r="A6" s="9">
        <f ca="1"/>
        <v>36896</v>
      </c>
      <c r="B6" s="6">
        <v>30.88</v>
      </c>
      <c r="C6" s="6"/>
      <c r="D6" s="6"/>
    </row>
    <row r="7" spans="1:4" ht="15.75" customHeight="1" thickBot="1" x14ac:dyDescent="0.3">
      <c r="A7" s="9">
        <f ca="1"/>
        <v>36897</v>
      </c>
      <c r="B7" s="5">
        <f t="shared" ref="B7:B8" si="0">B6</f>
        <v>30.88</v>
      </c>
      <c r="C7" s="6"/>
      <c r="D7" s="6"/>
    </row>
    <row r="8" spans="1:4" ht="15.75" customHeight="1" thickBot="1" x14ac:dyDescent="0.3">
      <c r="A8" s="9">
        <f ca="1"/>
        <v>36898</v>
      </c>
      <c r="B8" s="5">
        <f t="shared" si="0"/>
        <v>30.88</v>
      </c>
      <c r="C8" s="6"/>
      <c r="D8" s="6"/>
    </row>
    <row r="9" spans="1:4" ht="15.75" customHeight="1" thickBot="1" x14ac:dyDescent="0.3">
      <c r="A9" s="9">
        <f ca="1"/>
        <v>36899</v>
      </c>
      <c r="B9" s="6">
        <v>36.06</v>
      </c>
      <c r="C9" s="6"/>
      <c r="D9" s="6"/>
    </row>
    <row r="10" spans="1:4" ht="15.75" customHeight="1" thickBot="1" x14ac:dyDescent="0.3">
      <c r="A10" s="9">
        <f ca="1"/>
        <v>36900</v>
      </c>
      <c r="B10" s="6">
        <v>36</v>
      </c>
      <c r="C10" s="6"/>
      <c r="D10" s="6"/>
    </row>
    <row r="11" spans="1:4" ht="15.75" customHeight="1" thickBot="1" x14ac:dyDescent="0.3">
      <c r="A11" s="9">
        <f ca="1"/>
        <v>36901</v>
      </c>
      <c r="B11" s="6">
        <v>37</v>
      </c>
      <c r="C11" s="6"/>
      <c r="D11" s="6"/>
    </row>
    <row r="12" spans="1:4" ht="15.75" customHeight="1" thickBot="1" x14ac:dyDescent="0.3">
      <c r="A12" s="9">
        <f ca="1"/>
        <v>36902</v>
      </c>
      <c r="B12" s="6">
        <v>41.13</v>
      </c>
      <c r="C12" s="6"/>
      <c r="D12" s="6"/>
    </row>
    <row r="13" spans="1:4" ht="15.75" customHeight="1" thickBot="1" x14ac:dyDescent="0.3">
      <c r="A13" s="9">
        <f ca="1"/>
        <v>36903</v>
      </c>
      <c r="B13" s="6">
        <v>41.5</v>
      </c>
      <c r="C13" s="6"/>
      <c r="D13" s="6"/>
    </row>
    <row r="14" spans="1:4" ht="15.75" customHeight="1" thickBot="1" x14ac:dyDescent="0.3">
      <c r="A14" s="9">
        <f ca="1"/>
        <v>36904</v>
      </c>
      <c r="B14" s="5">
        <f t="shared" ref="B14:B16" si="1">B13</f>
        <v>41.5</v>
      </c>
      <c r="C14" s="6"/>
      <c r="D14" s="6"/>
    </row>
    <row r="15" spans="1:4" ht="15.75" customHeight="1" thickBot="1" x14ac:dyDescent="0.3">
      <c r="A15" s="9">
        <f ca="1"/>
        <v>36905</v>
      </c>
      <c r="B15" s="5">
        <f t="shared" si="1"/>
        <v>41.5</v>
      </c>
      <c r="C15" s="6"/>
      <c r="D15" s="6"/>
    </row>
    <row r="16" spans="1:4" ht="15.75" customHeight="1" thickBot="1" x14ac:dyDescent="0.3">
      <c r="A16" s="9">
        <f ca="1"/>
        <v>36906</v>
      </c>
      <c r="B16" s="5">
        <f t="shared" si="1"/>
        <v>41.5</v>
      </c>
      <c r="C16" s="6"/>
      <c r="D16" s="6"/>
    </row>
    <row r="17" spans="1:4" ht="15.75" customHeight="1" thickBot="1" x14ac:dyDescent="0.3">
      <c r="A17" s="9">
        <f ca="1"/>
        <v>36907</v>
      </c>
      <c r="B17" s="6">
        <v>40.130000000000003</v>
      </c>
      <c r="C17" s="6"/>
      <c r="D17" s="6"/>
    </row>
    <row r="18" spans="1:4" ht="15.75" customHeight="1" thickBot="1" x14ac:dyDescent="0.3">
      <c r="A18" s="9">
        <f ca="1"/>
        <v>36908</v>
      </c>
      <c r="B18" s="6">
        <v>44</v>
      </c>
      <c r="C18" s="6"/>
      <c r="D18" s="6"/>
    </row>
    <row r="19" spans="1:4" ht="15.75" customHeight="1" thickBot="1" x14ac:dyDescent="0.3">
      <c r="A19" s="9">
        <f ca="1"/>
        <v>36909</v>
      </c>
      <c r="B19" s="6">
        <v>43.19</v>
      </c>
      <c r="C19" s="6"/>
      <c r="D19" s="6"/>
    </row>
    <row r="20" spans="1:4" ht="13" thickBot="1" x14ac:dyDescent="0.3">
      <c r="A20" s="9">
        <f ca="1"/>
        <v>36910</v>
      </c>
      <c r="B20" s="6">
        <v>45.31</v>
      </c>
      <c r="C20" s="6"/>
      <c r="D20" s="6"/>
    </row>
    <row r="21" spans="1:4" ht="13" thickBot="1" x14ac:dyDescent="0.3">
      <c r="A21" s="9">
        <f ca="1"/>
        <v>36911</v>
      </c>
      <c r="B21" s="5">
        <f t="shared" ref="B21:B22" si="2">B20</f>
        <v>45.31</v>
      </c>
      <c r="C21" s="6"/>
      <c r="D21" s="6"/>
    </row>
    <row r="22" spans="1:4" ht="13" thickBot="1" x14ac:dyDescent="0.3">
      <c r="A22" s="9">
        <f ca="1"/>
        <v>36912</v>
      </c>
      <c r="B22" s="5">
        <f t="shared" si="2"/>
        <v>45.31</v>
      </c>
      <c r="C22" s="6"/>
      <c r="D22" s="6"/>
    </row>
    <row r="23" spans="1:4" ht="13" thickBot="1" x14ac:dyDescent="0.3">
      <c r="A23" s="9">
        <f ca="1"/>
        <v>36913</v>
      </c>
      <c r="B23" s="6">
        <v>44.13</v>
      </c>
      <c r="C23" s="6"/>
      <c r="D23" s="6"/>
    </row>
    <row r="24" spans="1:4" ht="13" thickBot="1" x14ac:dyDescent="0.3">
      <c r="A24" s="9">
        <f ca="1"/>
        <v>36914</v>
      </c>
      <c r="B24" s="6">
        <v>43.56</v>
      </c>
      <c r="C24" s="6"/>
      <c r="D24" s="6"/>
    </row>
    <row r="25" spans="1:4" ht="13" thickBot="1" x14ac:dyDescent="0.3">
      <c r="A25" s="9">
        <f ca="1"/>
        <v>36915</v>
      </c>
      <c r="B25" s="6">
        <v>45</v>
      </c>
      <c r="C25" s="6"/>
      <c r="D25" s="6"/>
    </row>
    <row r="26" spans="1:4" ht="13" thickBot="1" x14ac:dyDescent="0.3">
      <c r="A26" s="9">
        <f ca="1"/>
        <v>36916</v>
      </c>
      <c r="B26" s="6">
        <v>46.81</v>
      </c>
      <c r="C26" s="6"/>
      <c r="D26" s="6"/>
    </row>
    <row r="27" spans="1:4" ht="13" thickBot="1" x14ac:dyDescent="0.3">
      <c r="A27" s="9">
        <f ca="1"/>
        <v>36917</v>
      </c>
      <c r="B27" s="6">
        <v>45.56</v>
      </c>
      <c r="C27" s="6"/>
      <c r="D27" s="6"/>
    </row>
    <row r="28" spans="1:4" ht="13" thickBot="1" x14ac:dyDescent="0.3">
      <c r="A28" s="9">
        <f ca="1"/>
        <v>36918</v>
      </c>
      <c r="B28" s="5">
        <f t="shared" ref="B28:B29" si="3">B27</f>
        <v>45.56</v>
      </c>
      <c r="C28" s="6"/>
      <c r="D28" s="6"/>
    </row>
    <row r="29" spans="1:4" ht="13" thickBot="1" x14ac:dyDescent="0.3">
      <c r="A29" s="9">
        <f ca="1"/>
        <v>36919</v>
      </c>
      <c r="B29" s="5">
        <f t="shared" si="3"/>
        <v>45.56</v>
      </c>
      <c r="C29" s="6"/>
      <c r="D29" s="6"/>
    </row>
    <row r="30" spans="1:4" ht="13" thickBot="1" x14ac:dyDescent="0.3">
      <c r="A30" s="9">
        <f ca="1"/>
        <v>36920</v>
      </c>
      <c r="B30" s="6">
        <v>45.7</v>
      </c>
      <c r="C30" s="6"/>
      <c r="D30" s="6"/>
    </row>
    <row r="31" spans="1:4" ht="13" thickBot="1" x14ac:dyDescent="0.3">
      <c r="A31" s="9">
        <f ca="1"/>
        <v>36921</v>
      </c>
      <c r="B31" s="6">
        <v>46.99</v>
      </c>
      <c r="C31" s="6"/>
      <c r="D31" s="6"/>
    </row>
    <row r="32" spans="1:4" ht="13" thickBot="1" x14ac:dyDescent="0.3">
      <c r="A32" s="9">
        <f ca="1"/>
        <v>36922</v>
      </c>
      <c r="B32" s="6">
        <v>48.25</v>
      </c>
      <c r="C32" s="6"/>
      <c r="D32" s="6"/>
    </row>
    <row r="33" spans="1:4" ht="13" thickBot="1" x14ac:dyDescent="0.3">
      <c r="A33" s="9">
        <f ca="1"/>
        <v>36923</v>
      </c>
      <c r="B33" s="6">
        <v>47.64</v>
      </c>
      <c r="C33" s="6"/>
      <c r="D33" s="6"/>
    </row>
    <row r="34" spans="1:4" ht="13" thickBot="1" x14ac:dyDescent="0.3">
      <c r="A34" s="9">
        <f ca="1"/>
        <v>36924</v>
      </c>
      <c r="B34" s="6">
        <v>47.51</v>
      </c>
      <c r="C34" s="6"/>
      <c r="D34" s="6"/>
    </row>
    <row r="35" spans="1:4" ht="13" thickBot="1" x14ac:dyDescent="0.3">
      <c r="A35" s="9">
        <f ca="1"/>
        <v>36925</v>
      </c>
      <c r="B35" s="5">
        <f t="shared" ref="B35:B36" si="4">B34</f>
        <v>47.51</v>
      </c>
      <c r="C35" s="6"/>
      <c r="D35" s="6"/>
    </row>
    <row r="36" spans="1:4" ht="13" thickBot="1" x14ac:dyDescent="0.3">
      <c r="A36" s="9">
        <f ca="1"/>
        <v>36926</v>
      </c>
      <c r="B36" s="5">
        <f t="shared" si="4"/>
        <v>47.51</v>
      </c>
      <c r="C36" s="6"/>
      <c r="D36" s="6"/>
    </row>
    <row r="37" spans="1:4" ht="13" thickBot="1" x14ac:dyDescent="0.3">
      <c r="A37" s="9">
        <f ca="1"/>
        <v>36927</v>
      </c>
      <c r="B37" s="6">
        <v>46.46</v>
      </c>
      <c r="C37" s="6"/>
      <c r="D37" s="6"/>
    </row>
    <row r="38" spans="1:4" ht="13" thickBot="1" x14ac:dyDescent="0.3">
      <c r="A38" s="9">
        <f ca="1"/>
        <v>36928</v>
      </c>
      <c r="B38" s="6">
        <v>45.82</v>
      </c>
      <c r="C38" s="6"/>
      <c r="D38" s="6"/>
    </row>
    <row r="39" spans="1:4" ht="13" thickBot="1" x14ac:dyDescent="0.3">
      <c r="A39" s="9">
        <f ca="1"/>
        <v>36929</v>
      </c>
      <c r="B39" s="6">
        <v>44.32</v>
      </c>
      <c r="C39" s="6"/>
      <c r="D39" s="6"/>
    </row>
    <row r="40" spans="1:4" ht="13" thickBot="1" x14ac:dyDescent="0.3">
      <c r="A40" s="9">
        <f ca="1"/>
        <v>36930</v>
      </c>
      <c r="B40" s="6">
        <v>44.08</v>
      </c>
      <c r="C40" s="6"/>
      <c r="D40" s="6"/>
    </row>
    <row r="41" spans="1:4" ht="13" thickBot="1" x14ac:dyDescent="0.3">
      <c r="A41" s="9">
        <f ca="1"/>
        <v>36931</v>
      </c>
      <c r="B41" s="6">
        <v>42.74</v>
      </c>
      <c r="C41" s="6"/>
      <c r="D41" s="6"/>
    </row>
    <row r="42" spans="1:4" ht="13" thickBot="1" x14ac:dyDescent="0.3">
      <c r="A42" s="9">
        <f ca="1"/>
        <v>36932</v>
      </c>
      <c r="B42" s="5">
        <f t="shared" ref="B42:B43" si="5">B41</f>
        <v>42.74</v>
      </c>
      <c r="C42" s="6"/>
      <c r="D42" s="6"/>
    </row>
    <row r="43" spans="1:4" ht="13" thickBot="1" x14ac:dyDescent="0.3">
      <c r="A43" s="9">
        <f ca="1"/>
        <v>36933</v>
      </c>
      <c r="B43" s="5">
        <f t="shared" si="5"/>
        <v>42.74</v>
      </c>
      <c r="C43" s="6"/>
      <c r="D43" s="6"/>
    </row>
    <row r="44" spans="1:4" ht="13" thickBot="1" x14ac:dyDescent="0.3">
      <c r="A44" s="9">
        <f ca="1"/>
        <v>36934</v>
      </c>
      <c r="B44" s="6">
        <v>41.73</v>
      </c>
      <c r="C44" s="6"/>
      <c r="D44" s="6"/>
    </row>
    <row r="45" spans="1:4" ht="13" thickBot="1" x14ac:dyDescent="0.3">
      <c r="A45" s="9">
        <f ca="1"/>
        <v>36935</v>
      </c>
      <c r="B45" s="6">
        <v>42.44</v>
      </c>
      <c r="C45" s="6"/>
      <c r="D45" s="6"/>
    </row>
    <row r="46" spans="1:4" ht="13" thickBot="1" x14ac:dyDescent="0.3">
      <c r="A46" s="9">
        <f ca="1"/>
        <v>36936</v>
      </c>
      <c r="B46" s="6">
        <v>41.05</v>
      </c>
      <c r="C46" s="6"/>
      <c r="D46" s="6"/>
    </row>
    <row r="47" spans="1:4" ht="13" thickBot="1" x14ac:dyDescent="0.3">
      <c r="A47" s="9">
        <f ca="1"/>
        <v>36937</v>
      </c>
      <c r="B47" s="6">
        <v>43.64</v>
      </c>
      <c r="C47" s="6"/>
      <c r="D47" s="6"/>
    </row>
    <row r="48" spans="1:4" ht="13" thickBot="1" x14ac:dyDescent="0.3">
      <c r="A48" s="9">
        <f ca="1"/>
        <v>36938</v>
      </c>
      <c r="B48" s="6">
        <v>42.89</v>
      </c>
      <c r="C48" s="6"/>
      <c r="D48" s="6"/>
    </row>
    <row r="49" spans="1:4" ht="13" thickBot="1" x14ac:dyDescent="0.3">
      <c r="A49" s="9">
        <f ca="1"/>
        <v>36939</v>
      </c>
      <c r="B49" s="5">
        <f t="shared" ref="B49:B51" si="6">B48</f>
        <v>42.89</v>
      </c>
      <c r="C49" s="6"/>
      <c r="D49" s="6"/>
    </row>
    <row r="50" spans="1:4" ht="13" thickBot="1" x14ac:dyDescent="0.3">
      <c r="A50" s="9">
        <f ca="1"/>
        <v>36940</v>
      </c>
      <c r="B50" s="5">
        <f t="shared" si="6"/>
        <v>42.89</v>
      </c>
      <c r="C50" s="6"/>
      <c r="D50" s="6"/>
    </row>
    <row r="51" spans="1:4" ht="13" thickBot="1" x14ac:dyDescent="0.3">
      <c r="A51" s="9">
        <f ca="1"/>
        <v>36941</v>
      </c>
      <c r="B51" s="5">
        <f t="shared" si="6"/>
        <v>42.89</v>
      </c>
      <c r="C51" s="6"/>
      <c r="D51" s="6"/>
    </row>
    <row r="52" spans="1:4" ht="13" thickBot="1" x14ac:dyDescent="0.3">
      <c r="A52" s="9">
        <f ca="1"/>
        <v>36942</v>
      </c>
      <c r="B52" s="6">
        <v>43.8</v>
      </c>
      <c r="C52" s="6"/>
      <c r="D52" s="6"/>
    </row>
    <row r="53" spans="1:4" ht="13" thickBot="1" x14ac:dyDescent="0.3">
      <c r="A53" s="9">
        <f ca="1"/>
        <v>36943</v>
      </c>
      <c r="B53" s="6">
        <v>42.79</v>
      </c>
      <c r="C53" s="6"/>
      <c r="D53" s="6"/>
    </row>
    <row r="54" spans="1:4" ht="13" thickBot="1" x14ac:dyDescent="0.3">
      <c r="A54" s="9">
        <f ca="1"/>
        <v>36944</v>
      </c>
      <c r="B54" s="6">
        <v>40.85</v>
      </c>
      <c r="C54" s="6"/>
      <c r="D54" s="6"/>
    </row>
    <row r="55" spans="1:4" ht="13" thickBot="1" x14ac:dyDescent="0.3">
      <c r="A55" s="9">
        <f ca="1"/>
        <v>36945</v>
      </c>
      <c r="B55" s="6">
        <v>39.24</v>
      </c>
      <c r="C55" s="6"/>
      <c r="D55" s="6"/>
    </row>
    <row r="56" spans="1:4" ht="13" thickBot="1" x14ac:dyDescent="0.3">
      <c r="A56" s="9">
        <f ca="1"/>
        <v>36946</v>
      </c>
      <c r="B56" s="5">
        <f t="shared" ref="B56:B57" si="7">B55</f>
        <v>39.24</v>
      </c>
      <c r="C56" s="6"/>
      <c r="D56" s="6"/>
    </row>
    <row r="57" spans="1:4" ht="13" thickBot="1" x14ac:dyDescent="0.3">
      <c r="A57" s="9">
        <f ca="1"/>
        <v>36947</v>
      </c>
      <c r="B57" s="5">
        <f t="shared" si="7"/>
        <v>39.24</v>
      </c>
      <c r="C57" s="6"/>
      <c r="D57" s="6"/>
    </row>
    <row r="58" spans="1:4" ht="13" thickBot="1" x14ac:dyDescent="0.3">
      <c r="A58" s="9">
        <f ca="1"/>
        <v>36948</v>
      </c>
      <c r="B58" s="6">
        <v>39.200000000000003</v>
      </c>
      <c r="C58" s="6"/>
      <c r="D58" s="6"/>
    </row>
    <row r="59" spans="1:4" ht="13" thickBot="1" x14ac:dyDescent="0.3">
      <c r="A59" s="9">
        <f ca="1"/>
        <v>36949</v>
      </c>
      <c r="B59" s="6">
        <v>39.81</v>
      </c>
      <c r="C59" s="6"/>
      <c r="D59" s="6"/>
    </row>
    <row r="60" spans="1:4" ht="13" thickBot="1" x14ac:dyDescent="0.3">
      <c r="A60" s="9">
        <f ca="1"/>
        <v>36950</v>
      </c>
      <c r="B60" s="6">
        <v>39.799999999999997</v>
      </c>
      <c r="C60" s="6"/>
      <c r="D60" s="6"/>
    </row>
    <row r="61" spans="1:4" ht="13" thickBot="1" x14ac:dyDescent="0.3">
      <c r="A61" s="9">
        <f ca="1"/>
        <v>36951</v>
      </c>
      <c r="B61" s="6">
        <v>37.270000000000003</v>
      </c>
      <c r="C61" s="6"/>
      <c r="D61" s="6"/>
    </row>
    <row r="62" spans="1:4" ht="13" thickBot="1" x14ac:dyDescent="0.3">
      <c r="A62" s="9">
        <f ca="1"/>
        <v>36952</v>
      </c>
      <c r="B62" s="6">
        <v>34.75</v>
      </c>
      <c r="C62" s="6"/>
      <c r="D62" s="6"/>
    </row>
    <row r="63" spans="1:4" ht="13" thickBot="1" x14ac:dyDescent="0.3">
      <c r="A63" s="9">
        <f ca="1"/>
        <v>36953</v>
      </c>
      <c r="B63" s="5">
        <f t="shared" ref="B63:B64" si="8">B62</f>
        <v>34.75</v>
      </c>
      <c r="C63" s="6"/>
      <c r="D63" s="6"/>
    </row>
    <row r="64" spans="1:4" ht="13" thickBot="1" x14ac:dyDescent="0.3">
      <c r="A64" s="9">
        <f ca="1"/>
        <v>36954</v>
      </c>
      <c r="B64" s="5">
        <f t="shared" si="8"/>
        <v>34.75</v>
      </c>
      <c r="C64" s="6"/>
      <c r="D64" s="6"/>
    </row>
    <row r="65" spans="1:4" ht="13" thickBot="1" x14ac:dyDescent="0.3">
      <c r="A65" s="9">
        <f ca="1"/>
        <v>36955</v>
      </c>
      <c r="B65" s="6">
        <v>37.35</v>
      </c>
      <c r="C65" s="6"/>
      <c r="D65" s="6"/>
    </row>
    <row r="66" spans="1:4" ht="13" thickBot="1" x14ac:dyDescent="0.3">
      <c r="A66" s="9">
        <f ca="1"/>
        <v>36956</v>
      </c>
      <c r="B66" s="6">
        <v>38.1</v>
      </c>
      <c r="C66" s="6"/>
      <c r="D66" s="6"/>
    </row>
    <row r="67" spans="1:4" ht="13" thickBot="1" x14ac:dyDescent="0.3">
      <c r="A67" s="9">
        <f ca="1"/>
        <v>36957</v>
      </c>
      <c r="B67" s="6">
        <v>39.21</v>
      </c>
      <c r="C67" s="6"/>
      <c r="D67" s="6"/>
    </row>
    <row r="68" spans="1:4" ht="13" thickBot="1" x14ac:dyDescent="0.3">
      <c r="A68" s="9">
        <f ca="1"/>
        <v>36958</v>
      </c>
      <c r="B68" s="6">
        <v>38.700000000000003</v>
      </c>
      <c r="C68" s="6"/>
      <c r="D68" s="6"/>
    </row>
    <row r="69" spans="1:4" ht="13" thickBot="1" x14ac:dyDescent="0.3">
      <c r="A69" s="9">
        <f ca="1"/>
        <v>36959</v>
      </c>
      <c r="B69" s="6">
        <v>36.6</v>
      </c>
      <c r="C69" s="6"/>
      <c r="D69" s="6"/>
    </row>
    <row r="70" spans="1:4" ht="13" thickBot="1" x14ac:dyDescent="0.3">
      <c r="A70" s="9">
        <f ca="1"/>
        <v>36960</v>
      </c>
      <c r="B70" s="5">
        <f t="shared" ref="B70:B71" si="9">B69</f>
        <v>36.6</v>
      </c>
      <c r="C70" s="6"/>
      <c r="D70" s="6"/>
    </row>
    <row r="71" spans="1:4" ht="13" thickBot="1" x14ac:dyDescent="0.3">
      <c r="A71" s="9">
        <f ca="1"/>
        <v>36961</v>
      </c>
      <c r="B71" s="5">
        <f t="shared" si="9"/>
        <v>36.6</v>
      </c>
      <c r="C71" s="6"/>
      <c r="D71" s="6"/>
    </row>
    <row r="72" spans="1:4" ht="13" thickBot="1" x14ac:dyDescent="0.3">
      <c r="A72" s="9">
        <f ca="1"/>
        <v>36962</v>
      </c>
      <c r="B72" s="6">
        <v>33.299999999999997</v>
      </c>
      <c r="C72" s="6"/>
      <c r="D72" s="6"/>
    </row>
    <row r="73" spans="1:4" ht="13" thickBot="1" x14ac:dyDescent="0.3">
      <c r="A73" s="9">
        <f ca="1"/>
        <v>36963</v>
      </c>
      <c r="B73" s="6">
        <v>33.4</v>
      </c>
      <c r="C73" s="6"/>
      <c r="D73" s="6"/>
    </row>
    <row r="74" spans="1:4" ht="13" thickBot="1" x14ac:dyDescent="0.3">
      <c r="A74" s="9">
        <f ca="1"/>
        <v>36964</v>
      </c>
      <c r="B74" s="6">
        <v>31.08</v>
      </c>
      <c r="C74" s="6"/>
      <c r="D74" s="6"/>
    </row>
    <row r="75" spans="1:4" ht="13" thickBot="1" x14ac:dyDescent="0.3">
      <c r="A75" s="9">
        <f ca="1"/>
        <v>36965</v>
      </c>
      <c r="B75" s="6">
        <v>33.1</v>
      </c>
      <c r="C75" s="6"/>
      <c r="D75" s="6"/>
    </row>
    <row r="76" spans="1:4" ht="13" thickBot="1" x14ac:dyDescent="0.3">
      <c r="A76" s="9">
        <f ca="1"/>
        <v>36966</v>
      </c>
      <c r="B76" s="6">
        <v>29.69</v>
      </c>
      <c r="C76" s="6"/>
      <c r="D76" s="6"/>
    </row>
    <row r="77" spans="1:4" ht="13" thickBot="1" x14ac:dyDescent="0.3">
      <c r="A77" s="9">
        <f ca="1"/>
        <v>36967</v>
      </c>
      <c r="B77" s="5">
        <f t="shared" ref="B77:B78" si="10">B76</f>
        <v>29.69</v>
      </c>
      <c r="C77" s="6"/>
      <c r="D77" s="6"/>
    </row>
    <row r="78" spans="1:4" ht="13" thickBot="1" x14ac:dyDescent="0.3">
      <c r="A78" s="9">
        <f ca="1"/>
        <v>36968</v>
      </c>
      <c r="B78" s="5">
        <f t="shared" si="10"/>
        <v>29.69</v>
      </c>
      <c r="C78" s="6"/>
      <c r="D78" s="6"/>
    </row>
    <row r="79" spans="1:4" ht="13" thickBot="1" x14ac:dyDescent="0.3">
      <c r="A79" s="9">
        <f ca="1"/>
        <v>36969</v>
      </c>
      <c r="B79" s="6">
        <v>29.28</v>
      </c>
      <c r="C79" s="6"/>
      <c r="D79" s="6"/>
    </row>
    <row r="80" spans="1:4" ht="13" thickBot="1" x14ac:dyDescent="0.3">
      <c r="A80" s="9">
        <f ca="1"/>
        <v>36970</v>
      </c>
      <c r="B80" s="6">
        <v>30.78</v>
      </c>
      <c r="C80" s="6"/>
      <c r="D80" s="6"/>
    </row>
    <row r="81" spans="1:4" ht="13" thickBot="1" x14ac:dyDescent="0.3">
      <c r="A81" s="9">
        <f ca="1"/>
        <v>36971</v>
      </c>
      <c r="B81" s="6">
        <v>29.38</v>
      </c>
      <c r="C81" s="6"/>
      <c r="D81" s="6"/>
    </row>
    <row r="82" spans="1:4" ht="13" thickBot="1" x14ac:dyDescent="0.3">
      <c r="A82" s="9">
        <f ca="1"/>
        <v>36972</v>
      </c>
      <c r="B82" s="6">
        <v>28.65</v>
      </c>
      <c r="C82" s="6"/>
      <c r="D82" s="6"/>
    </row>
    <row r="83" spans="1:4" ht="13" thickBot="1" x14ac:dyDescent="0.3">
      <c r="A83" s="9">
        <f ca="1"/>
        <v>36973</v>
      </c>
      <c r="B83" s="6">
        <v>30.05</v>
      </c>
      <c r="C83" s="6"/>
      <c r="D83" s="6"/>
    </row>
    <row r="84" spans="1:4" ht="13" thickBot="1" x14ac:dyDescent="0.3">
      <c r="A84" s="9">
        <f ca="1"/>
        <v>36974</v>
      </c>
      <c r="B84" s="5">
        <f t="shared" ref="B84:B85" si="11">B83</f>
        <v>30.05</v>
      </c>
      <c r="C84" s="6"/>
      <c r="D84" s="6"/>
    </row>
    <row r="85" spans="1:4" ht="13" thickBot="1" x14ac:dyDescent="0.3">
      <c r="A85" s="9">
        <f ca="1"/>
        <v>36975</v>
      </c>
      <c r="B85" s="5">
        <f t="shared" si="11"/>
        <v>30.05</v>
      </c>
      <c r="C85" s="6"/>
      <c r="D85" s="6"/>
    </row>
    <row r="86" spans="1:4" ht="13" thickBot="1" x14ac:dyDescent="0.3">
      <c r="A86" s="9">
        <f ca="1"/>
        <v>36976</v>
      </c>
      <c r="B86" s="6">
        <v>31.35</v>
      </c>
      <c r="C86" s="6"/>
      <c r="D86" s="6"/>
    </row>
    <row r="87" spans="1:4" ht="13" thickBot="1" x14ac:dyDescent="0.3">
      <c r="A87" s="9">
        <f ca="1"/>
        <v>36977</v>
      </c>
      <c r="B87" s="6">
        <v>31.74</v>
      </c>
      <c r="C87" s="6"/>
      <c r="D87" s="6"/>
    </row>
    <row r="88" spans="1:4" ht="13" thickBot="1" x14ac:dyDescent="0.3">
      <c r="A88" s="9">
        <f ca="1"/>
        <v>36978</v>
      </c>
      <c r="B88" s="6">
        <v>30.79</v>
      </c>
      <c r="C88" s="6"/>
      <c r="D88" s="6"/>
    </row>
    <row r="89" spans="1:4" ht="13" thickBot="1" x14ac:dyDescent="0.3">
      <c r="A89" s="9">
        <f ca="1"/>
        <v>36979</v>
      </c>
      <c r="B89" s="6">
        <v>28.8</v>
      </c>
      <c r="C89" s="6"/>
      <c r="D89" s="6"/>
    </row>
    <row r="90" spans="1:4" ht="13" thickBot="1" x14ac:dyDescent="0.3">
      <c r="A90" s="9">
        <f ca="1"/>
        <v>36980</v>
      </c>
      <c r="B90" s="6">
        <v>29</v>
      </c>
      <c r="C90" s="6"/>
      <c r="D90" s="6"/>
    </row>
    <row r="91" spans="1:4" ht="13" thickBot="1" x14ac:dyDescent="0.3">
      <c r="A91" s="9">
        <f ca="1"/>
        <v>36981</v>
      </c>
      <c r="B91" s="5">
        <f t="shared" ref="B91:B92" si="12">B90</f>
        <v>29</v>
      </c>
      <c r="C91" s="6"/>
      <c r="D91" s="6"/>
    </row>
    <row r="92" spans="1:4" ht="13" thickBot="1" x14ac:dyDescent="0.3">
      <c r="A92" s="9">
        <f ca="1"/>
        <v>36982</v>
      </c>
      <c r="B92" s="5">
        <f t="shared" si="12"/>
        <v>29</v>
      </c>
      <c r="C92" s="6"/>
      <c r="D92" s="6"/>
    </row>
    <row r="93" spans="1:4" ht="13" thickBot="1" x14ac:dyDescent="0.3">
      <c r="A93" s="9">
        <f ca="1"/>
        <v>36983</v>
      </c>
      <c r="B93" s="6">
        <v>27.2</v>
      </c>
      <c r="C93" s="6"/>
      <c r="D93" s="6"/>
    </row>
    <row r="94" spans="1:4" ht="13" thickBot="1" x14ac:dyDescent="0.3">
      <c r="A94" s="9">
        <f ca="1"/>
        <v>36984</v>
      </c>
      <c r="B94" s="6">
        <v>25.16</v>
      </c>
      <c r="C94" s="6"/>
      <c r="D94" s="6"/>
    </row>
    <row r="95" spans="1:4" ht="13" thickBot="1" x14ac:dyDescent="0.3">
      <c r="A95" s="9">
        <f ca="1"/>
        <v>36985</v>
      </c>
      <c r="B95" s="6">
        <v>26.14</v>
      </c>
      <c r="C95" s="6"/>
      <c r="D95" s="6"/>
    </row>
    <row r="96" spans="1:4" ht="13" thickBot="1" x14ac:dyDescent="0.3">
      <c r="A96" s="9">
        <f ca="1"/>
        <v>36986</v>
      </c>
      <c r="B96" s="6">
        <v>28.21</v>
      </c>
      <c r="C96" s="6"/>
      <c r="D96" s="6"/>
    </row>
    <row r="97" spans="1:4" ht="13" thickBot="1" x14ac:dyDescent="0.3">
      <c r="A97" s="9">
        <f ca="1"/>
        <v>36987</v>
      </c>
      <c r="B97" s="6">
        <v>28.35</v>
      </c>
      <c r="C97" s="6"/>
      <c r="D97" s="6"/>
    </row>
    <row r="98" spans="1:4" ht="13" thickBot="1" x14ac:dyDescent="0.3">
      <c r="A98" s="9">
        <f ca="1"/>
        <v>36988</v>
      </c>
      <c r="B98" s="5">
        <f t="shared" ref="B98:B99" si="13">B97</f>
        <v>28.35</v>
      </c>
      <c r="C98" s="6"/>
      <c r="D98" s="6"/>
    </row>
    <row r="99" spans="1:4" ht="13" thickBot="1" x14ac:dyDescent="0.3">
      <c r="A99" s="9">
        <f ca="1"/>
        <v>36989</v>
      </c>
      <c r="B99" s="5">
        <f t="shared" si="13"/>
        <v>28.35</v>
      </c>
      <c r="C99" s="6"/>
      <c r="D99" s="6"/>
    </row>
    <row r="100" spans="1:4" ht="13" thickBot="1" x14ac:dyDescent="0.3">
      <c r="A100" s="9">
        <f ca="1"/>
        <v>36990</v>
      </c>
      <c r="B100" s="6">
        <v>28.48</v>
      </c>
      <c r="C100" s="6"/>
      <c r="D100" s="6"/>
    </row>
    <row r="101" spans="1:4" ht="13" thickBot="1" x14ac:dyDescent="0.3">
      <c r="A101" s="9">
        <f ca="1"/>
        <v>36991</v>
      </c>
      <c r="B101" s="6">
        <v>29.22</v>
      </c>
      <c r="C101" s="6"/>
      <c r="D101" s="6"/>
    </row>
    <row r="102" spans="1:4" ht="13" thickBot="1" x14ac:dyDescent="0.3">
      <c r="A102" s="9">
        <f ca="1"/>
        <v>36992</v>
      </c>
      <c r="B102" s="6">
        <v>30.46</v>
      </c>
      <c r="C102" s="6"/>
      <c r="D102" s="6"/>
    </row>
    <row r="103" spans="1:4" ht="13" thickBot="1" x14ac:dyDescent="0.3">
      <c r="A103" s="9">
        <f ca="1"/>
        <v>36993</v>
      </c>
      <c r="B103" s="6">
        <v>29.95</v>
      </c>
      <c r="C103" s="6"/>
      <c r="D103" s="6"/>
    </row>
    <row r="104" spans="1:4" ht="13" thickBot="1" x14ac:dyDescent="0.3">
      <c r="A104" s="9">
        <f ca="1"/>
        <v>36994</v>
      </c>
      <c r="B104" s="5">
        <f t="shared" ref="B104:B106" si="14">B103</f>
        <v>29.95</v>
      </c>
      <c r="C104" s="6"/>
      <c r="D104" s="6"/>
    </row>
    <row r="105" spans="1:4" ht="13" thickBot="1" x14ac:dyDescent="0.3">
      <c r="A105" s="9">
        <f ca="1"/>
        <v>36995</v>
      </c>
      <c r="B105" s="5">
        <f t="shared" si="14"/>
        <v>29.95</v>
      </c>
      <c r="C105" s="6"/>
      <c r="D105" s="6"/>
    </row>
    <row r="106" spans="1:4" ht="13" thickBot="1" x14ac:dyDescent="0.3">
      <c r="A106" s="9">
        <f ca="1"/>
        <v>36996</v>
      </c>
      <c r="B106" s="5">
        <f t="shared" si="14"/>
        <v>29.95</v>
      </c>
      <c r="C106" s="6"/>
      <c r="D106" s="6"/>
    </row>
    <row r="107" spans="1:4" ht="13" thickBot="1" x14ac:dyDescent="0.3">
      <c r="A107" s="9">
        <f ca="1"/>
        <v>36997</v>
      </c>
      <c r="B107" s="6">
        <v>32.049999999999997</v>
      </c>
      <c r="C107" s="6"/>
      <c r="D107" s="6"/>
    </row>
    <row r="108" spans="1:4" ht="13" thickBot="1" x14ac:dyDescent="0.3">
      <c r="A108" s="9">
        <f ca="1"/>
        <v>36998</v>
      </c>
      <c r="B108" s="6">
        <v>29.64</v>
      </c>
      <c r="C108" s="6"/>
      <c r="D108" s="6"/>
    </row>
    <row r="109" spans="1:4" ht="13" thickBot="1" x14ac:dyDescent="0.3">
      <c r="A109" s="9">
        <f ca="1"/>
        <v>36999</v>
      </c>
      <c r="B109" s="6">
        <v>32.79</v>
      </c>
      <c r="C109" s="6"/>
      <c r="D109" s="6"/>
    </row>
    <row r="110" spans="1:4" ht="13" thickBot="1" x14ac:dyDescent="0.3">
      <c r="A110" s="9">
        <f ca="1"/>
        <v>37000</v>
      </c>
      <c r="B110" s="6">
        <v>36.79</v>
      </c>
      <c r="C110" s="6"/>
      <c r="D110" s="6"/>
    </row>
    <row r="111" spans="1:4" ht="13" thickBot="1" x14ac:dyDescent="0.3">
      <c r="A111" s="9">
        <f ca="1"/>
        <v>37001</v>
      </c>
      <c r="B111" s="6">
        <v>37.14</v>
      </c>
      <c r="C111" s="6"/>
      <c r="D111" s="6"/>
    </row>
    <row r="112" spans="1:4" ht="13" thickBot="1" x14ac:dyDescent="0.3">
      <c r="A112" s="9">
        <f ca="1"/>
        <v>37002</v>
      </c>
      <c r="B112" s="5">
        <f t="shared" ref="B112:B113" si="15">B111</f>
        <v>37.14</v>
      </c>
      <c r="C112" s="6"/>
      <c r="D112" s="6"/>
    </row>
    <row r="113" spans="1:4" ht="13" thickBot="1" x14ac:dyDescent="0.3">
      <c r="A113" s="9">
        <f ca="1"/>
        <v>37003</v>
      </c>
      <c r="B113" s="5">
        <f t="shared" si="15"/>
        <v>37.14</v>
      </c>
      <c r="C113" s="6"/>
      <c r="D113" s="6"/>
    </row>
    <row r="114" spans="1:4" ht="13" thickBot="1" x14ac:dyDescent="0.3">
      <c r="A114" s="9">
        <f ca="1"/>
        <v>37004</v>
      </c>
      <c r="B114" s="6">
        <v>35.51</v>
      </c>
      <c r="C114" s="6"/>
      <c r="D114" s="6"/>
    </row>
    <row r="115" spans="1:4" ht="13" thickBot="1" x14ac:dyDescent="0.3">
      <c r="A115" s="9">
        <f ca="1"/>
        <v>37005</v>
      </c>
      <c r="B115" s="6">
        <v>36.39</v>
      </c>
      <c r="C115" s="6"/>
      <c r="D115" s="6"/>
    </row>
    <row r="116" spans="1:4" ht="13" thickBot="1" x14ac:dyDescent="0.3">
      <c r="A116" s="9">
        <f ca="1"/>
        <v>37006</v>
      </c>
      <c r="B116" s="6">
        <v>37.06</v>
      </c>
      <c r="C116" s="6"/>
      <c r="D116" s="6"/>
    </row>
    <row r="117" spans="1:4" ht="13" thickBot="1" x14ac:dyDescent="0.3">
      <c r="A117" s="9">
        <f ca="1"/>
        <v>37007</v>
      </c>
      <c r="B117" s="6">
        <v>38.700000000000003</v>
      </c>
      <c r="C117" s="6"/>
      <c r="D117" s="6"/>
    </row>
    <row r="118" spans="1:4" ht="13" thickBot="1" x14ac:dyDescent="0.3">
      <c r="A118" s="9">
        <f ca="1"/>
        <v>37008</v>
      </c>
      <c r="B118" s="6">
        <v>39.049999999999997</v>
      </c>
      <c r="C118" s="6"/>
      <c r="D118" s="6"/>
    </row>
    <row r="119" spans="1:4" ht="13" thickBot="1" x14ac:dyDescent="0.3">
      <c r="A119" s="9">
        <f ca="1"/>
        <v>37009</v>
      </c>
      <c r="B119" s="5">
        <f t="shared" ref="B119:B120" si="16">B118</f>
        <v>39.049999999999997</v>
      </c>
      <c r="C119" s="6"/>
      <c r="D119" s="6"/>
    </row>
    <row r="120" spans="1:4" ht="13" thickBot="1" x14ac:dyDescent="0.3">
      <c r="A120" s="9">
        <f ca="1"/>
        <v>37010</v>
      </c>
      <c r="B120" s="5">
        <f t="shared" si="16"/>
        <v>39.049999999999997</v>
      </c>
      <c r="C120" s="6"/>
      <c r="D120" s="6"/>
    </row>
    <row r="121" spans="1:4" ht="13" thickBot="1" x14ac:dyDescent="0.3">
      <c r="A121" s="9">
        <f ca="1"/>
        <v>37011</v>
      </c>
      <c r="B121" s="6">
        <v>39.65</v>
      </c>
      <c r="C121" s="6"/>
      <c r="D121" s="6"/>
    </row>
    <row r="122" spans="1:4" ht="13" thickBot="1" x14ac:dyDescent="0.3">
      <c r="A122" s="9">
        <f ca="1"/>
        <v>37012</v>
      </c>
      <c r="B122" s="6">
        <v>39.700000000000003</v>
      </c>
      <c r="C122" s="6"/>
      <c r="D122" s="6"/>
    </row>
    <row r="123" spans="1:4" ht="13" thickBot="1" x14ac:dyDescent="0.3">
      <c r="A123" s="9">
        <f ca="1"/>
        <v>37013</v>
      </c>
      <c r="B123" s="6">
        <v>39.090000000000003</v>
      </c>
      <c r="C123" s="6"/>
      <c r="D123" s="6"/>
    </row>
    <row r="124" spans="1:4" ht="13" thickBot="1" x14ac:dyDescent="0.3">
      <c r="A124" s="9">
        <f ca="1"/>
        <v>37014</v>
      </c>
      <c r="B124" s="6">
        <v>36.94</v>
      </c>
      <c r="C124" s="6"/>
      <c r="D124" s="6"/>
    </row>
    <row r="125" spans="1:4" ht="13" thickBot="1" x14ac:dyDescent="0.3">
      <c r="A125" s="9">
        <f ca="1"/>
        <v>37015</v>
      </c>
      <c r="B125" s="6">
        <v>36.5</v>
      </c>
      <c r="C125" s="6"/>
      <c r="D125" s="6"/>
    </row>
    <row r="126" spans="1:4" ht="13" thickBot="1" x14ac:dyDescent="0.3">
      <c r="A126" s="9">
        <f ca="1"/>
        <v>37016</v>
      </c>
      <c r="B126" s="5">
        <f t="shared" ref="B126:B127" si="17">B125</f>
        <v>36.5</v>
      </c>
      <c r="C126" s="6"/>
      <c r="D126" s="6"/>
    </row>
    <row r="127" spans="1:4" ht="13" thickBot="1" x14ac:dyDescent="0.3">
      <c r="A127" s="9">
        <f ca="1"/>
        <v>37017</v>
      </c>
      <c r="B127" s="5">
        <f t="shared" si="17"/>
        <v>36.5</v>
      </c>
      <c r="C127" s="6"/>
      <c r="D127" s="6"/>
    </row>
    <row r="128" spans="1:4" ht="13" thickBot="1" x14ac:dyDescent="0.3">
      <c r="A128" s="9">
        <f ca="1"/>
        <v>37018</v>
      </c>
      <c r="B128" s="6">
        <v>37.700000000000003</v>
      </c>
      <c r="C128" s="6"/>
      <c r="D128" s="6"/>
    </row>
    <row r="129" spans="1:4" ht="13" thickBot="1" x14ac:dyDescent="0.3">
      <c r="A129" s="9">
        <f ca="1"/>
        <v>37019</v>
      </c>
      <c r="B129" s="6">
        <v>38.51</v>
      </c>
      <c r="C129" s="6"/>
      <c r="D129" s="6"/>
    </row>
    <row r="130" spans="1:4" ht="13" thickBot="1" x14ac:dyDescent="0.3">
      <c r="A130" s="9">
        <f ca="1"/>
        <v>37020</v>
      </c>
      <c r="B130" s="6">
        <v>36.82</v>
      </c>
      <c r="C130" s="6"/>
      <c r="D130" s="6"/>
    </row>
    <row r="131" spans="1:4" ht="13" thickBot="1" x14ac:dyDescent="0.3">
      <c r="A131" s="9">
        <f ca="1"/>
        <v>37021</v>
      </c>
      <c r="B131" s="6">
        <v>38.6</v>
      </c>
      <c r="C131" s="6"/>
      <c r="D131" s="6"/>
    </row>
    <row r="132" spans="1:4" ht="13" thickBot="1" x14ac:dyDescent="0.3">
      <c r="A132" s="9">
        <f ca="1"/>
        <v>37022</v>
      </c>
      <c r="B132" s="6">
        <v>37.619999999999997</v>
      </c>
      <c r="C132" s="6"/>
      <c r="D132" s="6"/>
    </row>
    <row r="133" spans="1:4" ht="13" thickBot="1" x14ac:dyDescent="0.3">
      <c r="A133" s="9">
        <f ca="1"/>
        <v>37023</v>
      </c>
      <c r="B133" s="5">
        <f t="shared" ref="B133:B134" si="18">B132</f>
        <v>37.619999999999997</v>
      </c>
      <c r="C133" s="6"/>
      <c r="D133" s="6"/>
    </row>
    <row r="134" spans="1:4" ht="13" thickBot="1" x14ac:dyDescent="0.3">
      <c r="A134" s="9">
        <f ca="1"/>
        <v>37024</v>
      </c>
      <c r="B134" s="5">
        <f t="shared" si="18"/>
        <v>37.619999999999997</v>
      </c>
      <c r="C134" s="6"/>
      <c r="D134" s="6"/>
    </row>
    <row r="135" spans="1:4" ht="13" thickBot="1" x14ac:dyDescent="0.3">
      <c r="A135" s="9">
        <f ca="1"/>
        <v>37025</v>
      </c>
      <c r="B135" s="6">
        <v>35.979999999999997</v>
      </c>
      <c r="C135" s="6"/>
      <c r="D135" s="6"/>
    </row>
    <row r="136" spans="1:4" ht="13" thickBot="1" x14ac:dyDescent="0.3">
      <c r="A136" s="9">
        <f ca="1"/>
        <v>37026</v>
      </c>
      <c r="B136" s="6">
        <v>36.43</v>
      </c>
      <c r="C136" s="6"/>
      <c r="D136" s="6"/>
    </row>
    <row r="137" spans="1:4" ht="13" thickBot="1" x14ac:dyDescent="0.3">
      <c r="A137" s="9">
        <f ca="1"/>
        <v>37027</v>
      </c>
      <c r="B137" s="6">
        <v>35.130000000000003</v>
      </c>
      <c r="C137" s="6"/>
      <c r="D137" s="6"/>
    </row>
    <row r="138" spans="1:4" ht="13" thickBot="1" x14ac:dyDescent="0.3">
      <c r="A138" s="9">
        <f ca="1"/>
        <v>37028</v>
      </c>
      <c r="B138" s="6">
        <v>37.950000000000003</v>
      </c>
      <c r="C138" s="6"/>
      <c r="D138" s="6"/>
    </row>
    <row r="139" spans="1:4" ht="13" thickBot="1" x14ac:dyDescent="0.3">
      <c r="A139" s="9">
        <f ca="1"/>
        <v>37029</v>
      </c>
      <c r="B139" s="6">
        <v>37.82</v>
      </c>
      <c r="C139" s="6"/>
      <c r="D139" s="6"/>
    </row>
    <row r="140" spans="1:4" ht="13" thickBot="1" x14ac:dyDescent="0.3">
      <c r="A140" s="9">
        <f ca="1"/>
        <v>37030</v>
      </c>
      <c r="B140" s="5">
        <f t="shared" ref="B140:B141" si="19">B139</f>
        <v>37.82</v>
      </c>
      <c r="C140" s="6"/>
      <c r="D140" s="6"/>
    </row>
    <row r="141" spans="1:4" ht="13" thickBot="1" x14ac:dyDescent="0.3">
      <c r="A141" s="9">
        <f ca="1"/>
        <v>37031</v>
      </c>
      <c r="B141" s="5">
        <f t="shared" si="19"/>
        <v>37.82</v>
      </c>
      <c r="C141" s="6"/>
      <c r="D141" s="6"/>
    </row>
    <row r="142" spans="1:4" ht="13" thickBot="1" x14ac:dyDescent="0.3">
      <c r="A142" s="9">
        <f ca="1"/>
        <v>37032</v>
      </c>
      <c r="B142" s="6">
        <v>37.81</v>
      </c>
      <c r="C142" s="6"/>
      <c r="D142" s="6"/>
    </row>
    <row r="143" spans="1:4" ht="13" thickBot="1" x14ac:dyDescent="0.3">
      <c r="A143" s="9">
        <f ca="1"/>
        <v>37033</v>
      </c>
      <c r="B143" s="6">
        <v>39.1</v>
      </c>
      <c r="C143" s="6"/>
      <c r="D143" s="6"/>
    </row>
    <row r="144" spans="1:4" ht="13" thickBot="1" x14ac:dyDescent="0.3">
      <c r="A144" s="9">
        <f ca="1"/>
        <v>37034</v>
      </c>
      <c r="B144" s="6">
        <v>38.6</v>
      </c>
      <c r="C144" s="6"/>
      <c r="D144" s="6"/>
    </row>
    <row r="145" spans="1:4" ht="13" thickBot="1" x14ac:dyDescent="0.3">
      <c r="A145" s="9">
        <f ca="1"/>
        <v>37035</v>
      </c>
      <c r="B145" s="6">
        <v>38.479999999999997</v>
      </c>
      <c r="C145" s="6"/>
      <c r="D145" s="6"/>
    </row>
    <row r="146" spans="1:4" ht="13" thickBot="1" x14ac:dyDescent="0.3">
      <c r="A146" s="9">
        <f ca="1"/>
        <v>37036</v>
      </c>
      <c r="B146" s="6">
        <v>39.17</v>
      </c>
      <c r="C146" s="6"/>
      <c r="D146" s="6"/>
    </row>
    <row r="147" spans="1:4" ht="13" thickBot="1" x14ac:dyDescent="0.3">
      <c r="A147" s="9">
        <f ca="1"/>
        <v>37037</v>
      </c>
      <c r="B147" s="5">
        <f t="shared" ref="B147:B149" si="20">B146</f>
        <v>39.17</v>
      </c>
      <c r="C147" s="6"/>
      <c r="D147" s="6"/>
    </row>
    <row r="148" spans="1:4" ht="13" thickBot="1" x14ac:dyDescent="0.3">
      <c r="A148" s="9">
        <f ca="1"/>
        <v>37038</v>
      </c>
      <c r="B148" s="5">
        <f t="shared" si="20"/>
        <v>39.17</v>
      </c>
      <c r="C148" s="6"/>
      <c r="D148" s="6"/>
    </row>
    <row r="149" spans="1:4" ht="13" thickBot="1" x14ac:dyDescent="0.3">
      <c r="A149" s="9">
        <f ca="1"/>
        <v>37039</v>
      </c>
      <c r="B149" s="5">
        <f t="shared" si="20"/>
        <v>39.17</v>
      </c>
      <c r="C149" s="6"/>
      <c r="D149" s="6"/>
    </row>
    <row r="150" spans="1:4" ht="13" thickBot="1" x14ac:dyDescent="0.3">
      <c r="A150" s="9">
        <f ca="1"/>
        <v>37040</v>
      </c>
      <c r="B150" s="6">
        <v>37.5</v>
      </c>
      <c r="C150" s="6"/>
      <c r="D150" s="6"/>
    </row>
    <row r="151" spans="1:4" ht="13" thickBot="1" x14ac:dyDescent="0.3">
      <c r="A151" s="9">
        <f ca="1"/>
        <v>37041</v>
      </c>
      <c r="B151" s="6">
        <v>35.020000000000003</v>
      </c>
      <c r="C151" s="6"/>
      <c r="D151" s="6"/>
    </row>
    <row r="152" spans="1:4" ht="13" thickBot="1" x14ac:dyDescent="0.3">
      <c r="A152" s="9">
        <f ca="1"/>
        <v>37042</v>
      </c>
      <c r="B152" s="6">
        <v>34.57</v>
      </c>
      <c r="C152" s="6"/>
      <c r="D152" s="6"/>
    </row>
    <row r="153" spans="1:4" ht="13" thickBot="1" x14ac:dyDescent="0.3">
      <c r="A153" s="9">
        <f ca="1"/>
        <v>37043</v>
      </c>
      <c r="B153" s="6">
        <v>34.39</v>
      </c>
      <c r="C153" s="6"/>
      <c r="D153" s="6"/>
    </row>
    <row r="154" spans="1:4" ht="13" thickBot="1" x14ac:dyDescent="0.3">
      <c r="A154" s="9">
        <f ca="1"/>
        <v>37044</v>
      </c>
      <c r="B154" s="5">
        <f t="shared" ref="B154:B155" si="21">B153</f>
        <v>34.39</v>
      </c>
      <c r="C154" s="6"/>
      <c r="D154" s="6"/>
    </row>
    <row r="155" spans="1:4" ht="13" thickBot="1" x14ac:dyDescent="0.3">
      <c r="A155" s="9">
        <f ca="1"/>
        <v>37045</v>
      </c>
      <c r="B155" s="5">
        <f t="shared" si="21"/>
        <v>34.39</v>
      </c>
      <c r="C155" s="6"/>
      <c r="D155" s="6"/>
    </row>
    <row r="156" spans="1:4" ht="13" thickBot="1" x14ac:dyDescent="0.3">
      <c r="A156" s="9">
        <f ca="1"/>
        <v>37046</v>
      </c>
      <c r="B156" s="6">
        <v>36.18</v>
      </c>
      <c r="C156" s="6"/>
      <c r="D156" s="6"/>
    </row>
    <row r="157" spans="1:4" ht="13" thickBot="1" x14ac:dyDescent="0.3">
      <c r="A157" s="9">
        <f ca="1"/>
        <v>37047</v>
      </c>
      <c r="B157" s="6">
        <v>37.229999999999997</v>
      </c>
      <c r="C157" s="6"/>
      <c r="D157" s="6"/>
    </row>
    <row r="158" spans="1:4" ht="13" thickBot="1" x14ac:dyDescent="0.3">
      <c r="A158" s="9">
        <f ca="1"/>
        <v>37048</v>
      </c>
      <c r="B158" s="6">
        <v>37.5</v>
      </c>
      <c r="C158" s="6"/>
      <c r="D158" s="6"/>
    </row>
    <row r="159" spans="1:4" ht="13" thickBot="1" x14ac:dyDescent="0.3">
      <c r="A159" s="9">
        <f ca="1"/>
        <v>37049</v>
      </c>
      <c r="B159" s="6">
        <v>36.64</v>
      </c>
      <c r="C159" s="6"/>
      <c r="D159" s="6"/>
    </row>
    <row r="160" spans="1:4" ht="13" thickBot="1" x14ac:dyDescent="0.3">
      <c r="A160" s="9">
        <f ca="1"/>
        <v>37050</v>
      </c>
      <c r="B160" s="6">
        <v>37.94</v>
      </c>
      <c r="C160" s="6"/>
      <c r="D160" s="6"/>
    </row>
    <row r="161" spans="1:4" ht="13" thickBot="1" x14ac:dyDescent="0.3">
      <c r="A161" s="9">
        <f ca="1"/>
        <v>37051</v>
      </c>
      <c r="B161" s="5">
        <f t="shared" ref="B161:B162" si="22">B160</f>
        <v>37.94</v>
      </c>
      <c r="C161" s="6"/>
      <c r="D161" s="6"/>
    </row>
    <row r="162" spans="1:4" ht="13" thickBot="1" x14ac:dyDescent="0.3">
      <c r="A162" s="9">
        <f ca="1"/>
        <v>37052</v>
      </c>
      <c r="B162" s="5">
        <f t="shared" si="22"/>
        <v>37.94</v>
      </c>
      <c r="C162" s="6"/>
      <c r="D162" s="6"/>
    </row>
    <row r="163" spans="1:4" ht="13" thickBot="1" x14ac:dyDescent="0.3">
      <c r="A163" s="9">
        <f ca="1"/>
        <v>37053</v>
      </c>
      <c r="B163" s="6">
        <v>37.22</v>
      </c>
      <c r="C163" s="6"/>
      <c r="D163" s="6"/>
    </row>
    <row r="164" spans="1:4" ht="13" thickBot="1" x14ac:dyDescent="0.3">
      <c r="A164" s="9">
        <f ca="1"/>
        <v>37054</v>
      </c>
      <c r="B164" s="6">
        <v>35.19</v>
      </c>
      <c r="C164" s="6"/>
      <c r="D164" s="6"/>
    </row>
    <row r="165" spans="1:4" ht="13" thickBot="1" x14ac:dyDescent="0.3">
      <c r="A165" s="9">
        <f ca="1"/>
        <v>37055</v>
      </c>
      <c r="B165" s="6">
        <v>36.44</v>
      </c>
      <c r="C165" s="6"/>
      <c r="D165" s="6"/>
    </row>
    <row r="166" spans="1:4" ht="13" thickBot="1" x14ac:dyDescent="0.3">
      <c r="A166" s="9">
        <f ca="1"/>
        <v>37056</v>
      </c>
      <c r="B166" s="6">
        <v>34.659999999999997</v>
      </c>
      <c r="C166" s="6"/>
      <c r="D166" s="6"/>
    </row>
    <row r="167" spans="1:4" ht="13" thickBot="1" x14ac:dyDescent="0.3">
      <c r="A167" s="9">
        <f ca="1"/>
        <v>37057</v>
      </c>
      <c r="B167" s="6">
        <v>32.99</v>
      </c>
      <c r="C167" s="6"/>
      <c r="D167" s="6"/>
    </row>
    <row r="168" spans="1:4" ht="13" thickBot="1" x14ac:dyDescent="0.3">
      <c r="A168" s="9">
        <f ca="1"/>
        <v>37058</v>
      </c>
      <c r="B168" s="5">
        <f t="shared" ref="B168:B169" si="23">B167</f>
        <v>32.99</v>
      </c>
      <c r="C168" s="6"/>
      <c r="D168" s="6"/>
    </row>
    <row r="169" spans="1:4" ht="13" thickBot="1" x14ac:dyDescent="0.3">
      <c r="A169" s="9">
        <f ca="1"/>
        <v>37059</v>
      </c>
      <c r="B169" s="5">
        <f t="shared" si="23"/>
        <v>32.99</v>
      </c>
      <c r="C169" s="6"/>
      <c r="D169" s="6"/>
    </row>
    <row r="170" spans="1:4" ht="13" thickBot="1" x14ac:dyDescent="0.3">
      <c r="A170" s="9">
        <f ca="1"/>
        <v>37060</v>
      </c>
      <c r="B170" s="6">
        <v>33.4</v>
      </c>
      <c r="C170" s="6"/>
      <c r="D170" s="6"/>
    </row>
    <row r="171" spans="1:4" ht="13" thickBot="1" x14ac:dyDescent="0.3">
      <c r="A171" s="9">
        <f ca="1"/>
        <v>37061</v>
      </c>
      <c r="B171" s="6">
        <v>35.979999999999997</v>
      </c>
      <c r="C171" s="6"/>
      <c r="D171" s="6"/>
    </row>
    <row r="172" spans="1:4" ht="13" thickBot="1" x14ac:dyDescent="0.3">
      <c r="A172" s="9">
        <f ca="1"/>
        <v>37062</v>
      </c>
      <c r="B172" s="6">
        <v>34.700000000000003</v>
      </c>
      <c r="C172" s="6"/>
      <c r="D172" s="6"/>
    </row>
    <row r="173" spans="1:4" ht="13" thickBot="1" x14ac:dyDescent="0.3">
      <c r="A173" s="9">
        <f ca="1"/>
        <v>37063</v>
      </c>
      <c r="B173" s="6">
        <v>35.76</v>
      </c>
      <c r="C173" s="6"/>
      <c r="D173" s="6"/>
    </row>
    <row r="174" spans="1:4" ht="13" thickBot="1" x14ac:dyDescent="0.3">
      <c r="A174" s="9">
        <f ca="1"/>
        <v>37064</v>
      </c>
      <c r="B174" s="6">
        <v>36.51</v>
      </c>
      <c r="C174" s="6"/>
      <c r="D174" s="6"/>
    </row>
    <row r="175" spans="1:4" ht="13" thickBot="1" x14ac:dyDescent="0.3">
      <c r="A175" s="9">
        <f ca="1"/>
        <v>37065</v>
      </c>
      <c r="B175" s="5">
        <f t="shared" ref="B175:B176" si="24">B174</f>
        <v>36.51</v>
      </c>
      <c r="C175" s="6"/>
      <c r="D175" s="6"/>
    </row>
    <row r="176" spans="1:4" ht="13" thickBot="1" x14ac:dyDescent="0.3">
      <c r="A176" s="9">
        <f ca="1"/>
        <v>37066</v>
      </c>
      <c r="B176" s="5">
        <f t="shared" si="24"/>
        <v>36.51</v>
      </c>
      <c r="C176" s="6"/>
      <c r="D176" s="6"/>
    </row>
    <row r="177" spans="1:4" ht="13" thickBot="1" x14ac:dyDescent="0.3">
      <c r="A177" s="9">
        <f ca="1"/>
        <v>37067</v>
      </c>
      <c r="B177" s="6">
        <v>36.15</v>
      </c>
      <c r="C177" s="6"/>
      <c r="D177" s="6"/>
    </row>
    <row r="178" spans="1:4" ht="13" thickBot="1" x14ac:dyDescent="0.3">
      <c r="A178" s="9">
        <f ca="1"/>
        <v>37068</v>
      </c>
      <c r="B178" s="6">
        <v>34.03</v>
      </c>
      <c r="C178" s="6"/>
      <c r="D178" s="6"/>
    </row>
    <row r="179" spans="1:4" ht="13" thickBot="1" x14ac:dyDescent="0.3">
      <c r="A179" s="9">
        <f ca="1"/>
        <v>37069</v>
      </c>
      <c r="B179" s="6">
        <v>35.01</v>
      </c>
      <c r="C179" s="6"/>
      <c r="D179" s="6"/>
    </row>
    <row r="180" spans="1:4" ht="13" thickBot="1" x14ac:dyDescent="0.3">
      <c r="A180" s="9">
        <f ca="1"/>
        <v>37070</v>
      </c>
      <c r="B180" s="6">
        <v>34.07</v>
      </c>
      <c r="C180" s="6"/>
      <c r="D180" s="6"/>
    </row>
    <row r="181" spans="1:4" ht="13" thickBot="1" x14ac:dyDescent="0.3">
      <c r="A181" s="9">
        <f ca="1"/>
        <v>37071</v>
      </c>
      <c r="B181" s="6">
        <v>33.79</v>
      </c>
      <c r="C181" s="6"/>
      <c r="D181" s="6"/>
    </row>
    <row r="182" spans="1:4" ht="13" thickBot="1" x14ac:dyDescent="0.3">
      <c r="A182" s="9">
        <f ca="1"/>
        <v>37072</v>
      </c>
      <c r="B182" s="5">
        <f t="shared" ref="B182:B183" si="25">B181</f>
        <v>33.79</v>
      </c>
      <c r="C182" s="6"/>
      <c r="D182" s="6"/>
    </row>
    <row r="183" spans="1:4" ht="13" thickBot="1" x14ac:dyDescent="0.3">
      <c r="A183" s="9">
        <f ca="1"/>
        <v>37073</v>
      </c>
      <c r="B183" s="5">
        <f t="shared" si="25"/>
        <v>33.79</v>
      </c>
      <c r="C183" s="6"/>
      <c r="D183" s="6"/>
    </row>
    <row r="184" spans="1:4" ht="13" thickBot="1" x14ac:dyDescent="0.3">
      <c r="A184" s="9">
        <f ca="1"/>
        <v>37074</v>
      </c>
      <c r="B184" s="6">
        <v>34.35</v>
      </c>
      <c r="C184" s="6"/>
      <c r="D184" s="6"/>
    </row>
    <row r="185" spans="1:4" ht="13" thickBot="1" x14ac:dyDescent="0.3">
      <c r="A185" s="9">
        <f ca="1"/>
        <v>37075</v>
      </c>
      <c r="B185" s="6">
        <v>33.47</v>
      </c>
      <c r="C185" s="6"/>
      <c r="D185" s="6"/>
    </row>
    <row r="186" spans="1:4" ht="13" thickBot="1" x14ac:dyDescent="0.3">
      <c r="A186" s="9">
        <f ca="1"/>
        <v>37076</v>
      </c>
      <c r="B186" s="5">
        <f>B185</f>
        <v>33.47</v>
      </c>
      <c r="C186" s="6"/>
      <c r="D186" s="6"/>
    </row>
    <row r="187" spans="1:4" ht="13" thickBot="1" x14ac:dyDescent="0.3">
      <c r="A187" s="9">
        <f ca="1"/>
        <v>37077</v>
      </c>
      <c r="B187" s="6">
        <v>31.43</v>
      </c>
      <c r="C187" s="6"/>
      <c r="D187" s="6"/>
    </row>
    <row r="188" spans="1:4" ht="13" thickBot="1" x14ac:dyDescent="0.3">
      <c r="A188" s="9">
        <f ca="1"/>
        <v>37078</v>
      </c>
      <c r="B188" s="6">
        <v>30.29</v>
      </c>
      <c r="C188" s="6"/>
      <c r="D188" s="6"/>
    </row>
    <row r="189" spans="1:4" ht="13" thickBot="1" x14ac:dyDescent="0.3">
      <c r="A189" s="9">
        <f ca="1"/>
        <v>37079</v>
      </c>
      <c r="B189" s="5">
        <f t="shared" ref="B189:B190" si="26">B188</f>
        <v>30.29</v>
      </c>
      <c r="C189" s="6"/>
      <c r="D189" s="6"/>
    </row>
    <row r="190" spans="1:4" ht="13" thickBot="1" x14ac:dyDescent="0.3">
      <c r="A190" s="9">
        <f ca="1"/>
        <v>37080</v>
      </c>
      <c r="B190" s="5">
        <f t="shared" si="26"/>
        <v>30.29</v>
      </c>
      <c r="C190" s="6"/>
      <c r="D190" s="6"/>
    </row>
    <row r="191" spans="1:4" ht="13" thickBot="1" x14ac:dyDescent="0.3">
      <c r="A191" s="9">
        <f ca="1"/>
        <v>37081</v>
      </c>
      <c r="B191" s="6">
        <v>29.58</v>
      </c>
      <c r="C191" s="6"/>
      <c r="D191" s="6"/>
    </row>
    <row r="192" spans="1:4" ht="13" thickBot="1" x14ac:dyDescent="0.3">
      <c r="A192" s="9">
        <f ca="1"/>
        <v>37082</v>
      </c>
      <c r="B192" s="6">
        <v>30.61</v>
      </c>
      <c r="C192" s="6"/>
      <c r="D192" s="6"/>
    </row>
    <row r="193" spans="1:4" ht="13" thickBot="1" x14ac:dyDescent="0.3">
      <c r="A193" s="9">
        <f ca="1"/>
        <v>37083</v>
      </c>
      <c r="B193" s="6">
        <v>29.55</v>
      </c>
      <c r="C193" s="6"/>
      <c r="D193" s="6"/>
    </row>
    <row r="194" spans="1:4" ht="13" thickBot="1" x14ac:dyDescent="0.3">
      <c r="A194" s="9">
        <f ca="1"/>
        <v>37084</v>
      </c>
      <c r="B194" s="6">
        <v>31.99</v>
      </c>
      <c r="C194" s="6"/>
      <c r="D194" s="6"/>
    </row>
    <row r="195" spans="1:4" ht="13" thickBot="1" x14ac:dyDescent="0.3">
      <c r="A195" s="9">
        <f ca="1"/>
        <v>37085</v>
      </c>
      <c r="B195" s="6">
        <v>32.979999999999997</v>
      </c>
      <c r="C195" s="6"/>
      <c r="D195" s="6"/>
    </row>
    <row r="196" spans="1:4" ht="13" thickBot="1" x14ac:dyDescent="0.3">
      <c r="A196" s="9">
        <f ca="1"/>
        <v>37086</v>
      </c>
      <c r="B196" s="5">
        <f t="shared" ref="B196:B197" si="27">B195</f>
        <v>32.979999999999997</v>
      </c>
      <c r="C196" s="6"/>
      <c r="D196" s="6"/>
    </row>
    <row r="197" spans="1:4" ht="13" thickBot="1" x14ac:dyDescent="0.3">
      <c r="A197" s="9">
        <f ca="1"/>
        <v>37087</v>
      </c>
      <c r="B197" s="5">
        <f t="shared" si="27"/>
        <v>32.979999999999997</v>
      </c>
      <c r="C197" s="6"/>
      <c r="D197" s="6"/>
    </row>
    <row r="198" spans="1:4" ht="13" thickBot="1" x14ac:dyDescent="0.3">
      <c r="A198" s="9">
        <f ca="1"/>
        <v>37088</v>
      </c>
      <c r="B198" s="6">
        <v>32.880000000000003</v>
      </c>
      <c r="C198" s="6"/>
      <c r="D198" s="6"/>
    </row>
    <row r="199" spans="1:4" ht="13" thickBot="1" x14ac:dyDescent="0.3">
      <c r="A199" s="9">
        <f ca="1"/>
        <v>37089</v>
      </c>
      <c r="B199" s="6">
        <v>31.26</v>
      </c>
      <c r="C199" s="6"/>
      <c r="D199" s="6"/>
    </row>
    <row r="200" spans="1:4" ht="13" thickBot="1" x14ac:dyDescent="0.3">
      <c r="A200" s="9">
        <f ca="1"/>
        <v>37090</v>
      </c>
      <c r="B200" s="6">
        <v>30.83</v>
      </c>
      <c r="C200" s="6"/>
      <c r="D200" s="6"/>
    </row>
    <row r="201" spans="1:4" ht="13" thickBot="1" x14ac:dyDescent="0.3">
      <c r="A201" s="9">
        <f ca="1"/>
        <v>37091</v>
      </c>
      <c r="B201" s="6">
        <v>33.93</v>
      </c>
      <c r="C201" s="6"/>
      <c r="D201" s="6"/>
    </row>
    <row r="202" spans="1:4" ht="13" thickBot="1" x14ac:dyDescent="0.3">
      <c r="A202" s="9">
        <f ca="1"/>
        <v>37092</v>
      </c>
      <c r="B202" s="6">
        <v>33.58</v>
      </c>
      <c r="C202" s="6"/>
      <c r="D202" s="6"/>
    </row>
    <row r="203" spans="1:4" ht="13" thickBot="1" x14ac:dyDescent="0.3">
      <c r="A203" s="9">
        <f ca="1"/>
        <v>37093</v>
      </c>
      <c r="B203" s="5">
        <f t="shared" ref="B203:B204" si="28">B202</f>
        <v>33.58</v>
      </c>
      <c r="C203" s="6"/>
      <c r="D203" s="6"/>
    </row>
    <row r="204" spans="1:4" ht="13" thickBot="1" x14ac:dyDescent="0.3">
      <c r="A204" s="9">
        <f ca="1"/>
        <v>37094</v>
      </c>
      <c r="B204" s="5">
        <f t="shared" si="28"/>
        <v>33.58</v>
      </c>
      <c r="C204" s="6"/>
      <c r="D204" s="6"/>
    </row>
    <row r="205" spans="1:4" ht="13" thickBot="1" x14ac:dyDescent="0.3">
      <c r="A205" s="9">
        <f ca="1"/>
        <v>37095</v>
      </c>
      <c r="B205" s="6">
        <v>34.71</v>
      </c>
      <c r="C205" s="6"/>
      <c r="D205" s="6"/>
    </row>
    <row r="206" spans="1:4" ht="13" thickBot="1" x14ac:dyDescent="0.3">
      <c r="A206" s="9">
        <f ca="1"/>
        <v>37096</v>
      </c>
      <c r="B206" s="6">
        <v>34.200000000000003</v>
      </c>
      <c r="C206" s="6"/>
      <c r="D206" s="6"/>
    </row>
    <row r="207" spans="1:4" ht="13" thickBot="1" x14ac:dyDescent="0.3">
      <c r="A207" s="9">
        <f ca="1"/>
        <v>37097</v>
      </c>
      <c r="B207" s="6">
        <v>34.18</v>
      </c>
      <c r="C207" s="6"/>
      <c r="D207" s="6"/>
    </row>
    <row r="208" spans="1:4" ht="13" thickBot="1" x14ac:dyDescent="0.3">
      <c r="A208" s="9">
        <f ca="1"/>
        <v>37098</v>
      </c>
      <c r="B208" s="6">
        <v>34.340000000000003</v>
      </c>
      <c r="C208" s="6"/>
      <c r="D208" s="6"/>
    </row>
    <row r="209" spans="1:4" ht="13" thickBot="1" x14ac:dyDescent="0.3">
      <c r="A209" s="9">
        <f ca="1"/>
        <v>37099</v>
      </c>
      <c r="B209" s="6">
        <v>35.22</v>
      </c>
      <c r="C209" s="6"/>
      <c r="D209" s="6"/>
    </row>
    <row r="210" spans="1:4" ht="13" thickBot="1" x14ac:dyDescent="0.3">
      <c r="A210" s="9">
        <f ca="1"/>
        <v>37100</v>
      </c>
      <c r="B210" s="5">
        <f t="shared" ref="B210:B211" si="29">B209</f>
        <v>35.22</v>
      </c>
      <c r="C210" s="6"/>
      <c r="D210" s="6"/>
    </row>
    <row r="211" spans="1:4" ht="13" thickBot="1" x14ac:dyDescent="0.3">
      <c r="A211" s="9">
        <f ca="1"/>
        <v>37101</v>
      </c>
      <c r="B211" s="5">
        <f t="shared" si="29"/>
        <v>35.22</v>
      </c>
      <c r="C211" s="6"/>
      <c r="D211" s="6"/>
    </row>
    <row r="212" spans="1:4" ht="13" thickBot="1" x14ac:dyDescent="0.3">
      <c r="A212" s="9">
        <f ca="1"/>
        <v>37102</v>
      </c>
      <c r="B212" s="6">
        <v>35.83</v>
      </c>
      <c r="C212" s="6"/>
      <c r="D212" s="6"/>
    </row>
    <row r="213" spans="1:4" ht="13" thickBot="1" x14ac:dyDescent="0.3">
      <c r="A213" s="9">
        <f ca="1"/>
        <v>37103</v>
      </c>
      <c r="B213" s="6">
        <v>35.6</v>
      </c>
      <c r="C213" s="6"/>
      <c r="D213" s="6"/>
    </row>
    <row r="214" spans="1:4" ht="13" thickBot="1" x14ac:dyDescent="0.3">
      <c r="A214" s="9">
        <f ca="1"/>
        <v>37104</v>
      </c>
      <c r="B214" s="6">
        <v>36.65</v>
      </c>
      <c r="C214" s="6"/>
      <c r="D214" s="6"/>
    </row>
    <row r="215" spans="1:4" ht="13" thickBot="1" x14ac:dyDescent="0.3">
      <c r="A215" s="9">
        <f ca="1"/>
        <v>37105</v>
      </c>
      <c r="B215" s="6">
        <v>38.74</v>
      </c>
      <c r="C215" s="6"/>
      <c r="D215" s="6"/>
    </row>
    <row r="216" spans="1:4" ht="13" thickBot="1" x14ac:dyDescent="0.3">
      <c r="A216" s="9">
        <f ca="1"/>
        <v>37106</v>
      </c>
      <c r="B216" s="6">
        <v>37.03</v>
      </c>
      <c r="C216" s="6"/>
      <c r="D216" s="6"/>
    </row>
    <row r="217" spans="1:4" ht="13" thickBot="1" x14ac:dyDescent="0.3">
      <c r="A217" s="9">
        <f ca="1"/>
        <v>37107</v>
      </c>
      <c r="B217" s="5">
        <f t="shared" ref="B217:B218" si="30">B216</f>
        <v>37.03</v>
      </c>
      <c r="C217" s="6"/>
      <c r="D217" s="6"/>
    </row>
    <row r="218" spans="1:4" ht="13" thickBot="1" x14ac:dyDescent="0.3">
      <c r="A218" s="9">
        <f ca="1"/>
        <v>37108</v>
      </c>
      <c r="B218" s="5">
        <f t="shared" si="30"/>
        <v>37.03</v>
      </c>
      <c r="C218" s="6"/>
      <c r="D218" s="6"/>
    </row>
    <row r="219" spans="1:4" ht="13" thickBot="1" x14ac:dyDescent="0.3">
      <c r="A219" s="9">
        <f ca="1"/>
        <v>37109</v>
      </c>
      <c r="B219" s="6">
        <v>36.159999999999997</v>
      </c>
      <c r="C219" s="6"/>
      <c r="D219" s="6"/>
    </row>
    <row r="220" spans="1:4" ht="13" thickBot="1" x14ac:dyDescent="0.3">
      <c r="A220" s="9">
        <f ca="1"/>
        <v>37110</v>
      </c>
      <c r="B220" s="6">
        <v>36.5</v>
      </c>
      <c r="C220" s="6"/>
      <c r="D220" s="6"/>
    </row>
    <row r="221" spans="1:4" ht="13" thickBot="1" x14ac:dyDescent="0.3">
      <c r="A221" s="9">
        <f ca="1"/>
        <v>37111</v>
      </c>
      <c r="B221" s="6">
        <v>36.450000000000003</v>
      </c>
      <c r="C221" s="6"/>
      <c r="D221" s="6"/>
    </row>
    <row r="222" spans="1:4" ht="13" thickBot="1" x14ac:dyDescent="0.3">
      <c r="A222" s="9">
        <f ca="1"/>
        <v>37112</v>
      </c>
      <c r="B222" s="6">
        <v>35.159999999999997</v>
      </c>
      <c r="C222" s="6"/>
      <c r="D222" s="6"/>
    </row>
    <row r="223" spans="1:4" ht="13" thickBot="1" x14ac:dyDescent="0.3">
      <c r="A223" s="9">
        <f ca="1"/>
        <v>37113</v>
      </c>
      <c r="B223" s="6">
        <v>35.21</v>
      </c>
      <c r="C223" s="6"/>
      <c r="D223" s="6"/>
    </row>
    <row r="224" spans="1:4" ht="13" thickBot="1" x14ac:dyDescent="0.3">
      <c r="A224" s="9">
        <f ca="1"/>
        <v>37114</v>
      </c>
      <c r="B224" s="5">
        <f t="shared" ref="B224:B225" si="31">B223</f>
        <v>35.21</v>
      </c>
      <c r="C224" s="6"/>
      <c r="D224" s="6"/>
    </row>
    <row r="225" spans="1:4" ht="13" thickBot="1" x14ac:dyDescent="0.3">
      <c r="A225" s="9">
        <f ca="1"/>
        <v>37115</v>
      </c>
      <c r="B225" s="5">
        <f t="shared" si="31"/>
        <v>35.21</v>
      </c>
      <c r="C225" s="6"/>
      <c r="D225" s="6"/>
    </row>
    <row r="226" spans="1:4" ht="13" thickBot="1" x14ac:dyDescent="0.3">
      <c r="A226" s="9">
        <f ca="1"/>
        <v>37116</v>
      </c>
      <c r="B226" s="6">
        <v>35.799999999999997</v>
      </c>
      <c r="C226" s="6"/>
      <c r="D226" s="6"/>
    </row>
    <row r="227" spans="1:4" ht="13" thickBot="1" x14ac:dyDescent="0.3">
      <c r="A227" s="9">
        <f ca="1"/>
        <v>37117</v>
      </c>
      <c r="B227" s="6">
        <v>37.26</v>
      </c>
      <c r="C227" s="6"/>
      <c r="D227" s="6"/>
    </row>
    <row r="228" spans="1:4" ht="13" thickBot="1" x14ac:dyDescent="0.3">
      <c r="A228" s="9">
        <f ca="1"/>
        <v>37118</v>
      </c>
      <c r="B228" s="6">
        <v>37.26</v>
      </c>
      <c r="C228" s="6"/>
      <c r="D228" s="6"/>
    </row>
    <row r="229" spans="1:4" ht="13" thickBot="1" x14ac:dyDescent="0.3">
      <c r="A229" s="9">
        <f ca="1"/>
        <v>37119</v>
      </c>
      <c r="B229" s="6">
        <v>35.75</v>
      </c>
      <c r="C229" s="6"/>
      <c r="D229" s="6"/>
    </row>
    <row r="230" spans="1:4" ht="13" thickBot="1" x14ac:dyDescent="0.3">
      <c r="A230" s="9">
        <f ca="1"/>
        <v>37120</v>
      </c>
      <c r="B230" s="6">
        <v>35.700000000000003</v>
      </c>
      <c r="C230" s="6"/>
      <c r="D230" s="6"/>
    </row>
    <row r="231" spans="1:4" ht="13" thickBot="1" x14ac:dyDescent="0.3">
      <c r="A231" s="9">
        <f ca="1"/>
        <v>37121</v>
      </c>
      <c r="B231" s="5">
        <f t="shared" ref="B231:B232" si="32">B230</f>
        <v>35.700000000000003</v>
      </c>
      <c r="C231" s="6"/>
      <c r="D231" s="6"/>
    </row>
    <row r="232" spans="1:4" ht="13" thickBot="1" x14ac:dyDescent="0.3">
      <c r="A232" s="9">
        <f ca="1"/>
        <v>37122</v>
      </c>
      <c r="B232" s="5">
        <f t="shared" si="32"/>
        <v>35.700000000000003</v>
      </c>
      <c r="C232" s="6"/>
      <c r="D232" s="6"/>
    </row>
    <row r="233" spans="1:4" ht="13" thickBot="1" x14ac:dyDescent="0.3">
      <c r="A233" s="9">
        <f ca="1"/>
        <v>37123</v>
      </c>
      <c r="B233" s="6">
        <v>34.590000000000003</v>
      </c>
      <c r="C233" s="6"/>
      <c r="D233" s="6"/>
    </row>
    <row r="234" spans="1:4" ht="13" thickBot="1" x14ac:dyDescent="0.3">
      <c r="A234" s="9">
        <f ca="1"/>
        <v>37124</v>
      </c>
      <c r="B234" s="6">
        <v>34.79</v>
      </c>
      <c r="C234" s="6"/>
      <c r="D234" s="6"/>
    </row>
    <row r="235" spans="1:4" ht="13" thickBot="1" x14ac:dyDescent="0.3">
      <c r="A235" s="9">
        <f ca="1"/>
        <v>37125</v>
      </c>
      <c r="B235" s="6">
        <v>36.020000000000003</v>
      </c>
      <c r="C235" s="6"/>
      <c r="D235" s="6"/>
    </row>
    <row r="236" spans="1:4" ht="13" thickBot="1" x14ac:dyDescent="0.3">
      <c r="A236" s="9">
        <f ca="1"/>
        <v>37126</v>
      </c>
      <c r="B236" s="6">
        <v>36</v>
      </c>
      <c r="C236" s="6"/>
      <c r="D236" s="6"/>
    </row>
    <row r="237" spans="1:4" ht="13" thickBot="1" x14ac:dyDescent="0.3">
      <c r="A237" s="9">
        <f ca="1"/>
        <v>37127</v>
      </c>
      <c r="B237" s="6">
        <v>35.979999999999997</v>
      </c>
      <c r="C237" s="6"/>
      <c r="D237" s="6"/>
    </row>
    <row r="238" spans="1:4" ht="13" thickBot="1" x14ac:dyDescent="0.3">
      <c r="A238" s="9">
        <f ca="1"/>
        <v>37128</v>
      </c>
      <c r="B238" s="5">
        <f t="shared" ref="B238:B239" si="33">B237</f>
        <v>35.979999999999997</v>
      </c>
      <c r="C238" s="6"/>
      <c r="D238" s="6"/>
    </row>
    <row r="239" spans="1:4" ht="13" thickBot="1" x14ac:dyDescent="0.3">
      <c r="A239" s="9">
        <f ca="1"/>
        <v>37129</v>
      </c>
      <c r="B239" s="5">
        <f t="shared" si="33"/>
        <v>35.979999999999997</v>
      </c>
      <c r="C239" s="6"/>
      <c r="D239" s="6"/>
    </row>
    <row r="240" spans="1:4" ht="13" thickBot="1" x14ac:dyDescent="0.3">
      <c r="A240" s="9">
        <f ca="1"/>
        <v>37130</v>
      </c>
      <c r="B240" s="6">
        <v>36.700000000000003</v>
      </c>
      <c r="C240" s="6"/>
      <c r="D240" s="6"/>
    </row>
    <row r="241" spans="1:4" ht="13" thickBot="1" x14ac:dyDescent="0.3">
      <c r="A241" s="9">
        <f ca="1"/>
        <v>37131</v>
      </c>
      <c r="B241" s="6">
        <v>36.4</v>
      </c>
      <c r="C241" s="6"/>
      <c r="D241" s="6"/>
    </row>
    <row r="242" spans="1:4" ht="13" thickBot="1" x14ac:dyDescent="0.3">
      <c r="A242" s="9">
        <f ca="1"/>
        <v>37132</v>
      </c>
      <c r="B242" s="6">
        <v>36.1</v>
      </c>
      <c r="C242" s="6"/>
      <c r="D242" s="6"/>
    </row>
    <row r="243" spans="1:4" ht="13" thickBot="1" x14ac:dyDescent="0.3">
      <c r="A243" s="9">
        <f ca="1"/>
        <v>37133</v>
      </c>
      <c r="B243" s="6">
        <v>34.5</v>
      </c>
      <c r="C243" s="6"/>
      <c r="D243" s="6"/>
    </row>
    <row r="244" spans="1:4" ht="13" thickBot="1" x14ac:dyDescent="0.3">
      <c r="A244" s="9">
        <f ca="1"/>
        <v>37134</v>
      </c>
      <c r="B244" s="6">
        <v>33.130000000000003</v>
      </c>
      <c r="C244" s="6"/>
      <c r="D244" s="6"/>
    </row>
    <row r="245" spans="1:4" ht="13" thickBot="1" x14ac:dyDescent="0.3">
      <c r="A245" s="9">
        <f ca="1"/>
        <v>37135</v>
      </c>
      <c r="B245" s="5">
        <f t="shared" ref="B245:B247" si="34">B244</f>
        <v>33.130000000000003</v>
      </c>
      <c r="C245" s="6"/>
      <c r="D245" s="6"/>
    </row>
    <row r="246" spans="1:4" ht="13" thickBot="1" x14ac:dyDescent="0.3">
      <c r="A246" s="9">
        <f ca="1"/>
        <v>37136</v>
      </c>
      <c r="B246" s="5">
        <f t="shared" si="34"/>
        <v>33.130000000000003</v>
      </c>
      <c r="C246" s="6"/>
      <c r="D246" s="6"/>
    </row>
    <row r="247" spans="1:4" ht="13" thickBot="1" x14ac:dyDescent="0.3">
      <c r="A247" s="9">
        <f ca="1"/>
        <v>37137</v>
      </c>
      <c r="B247" s="5">
        <f t="shared" si="34"/>
        <v>33.130000000000003</v>
      </c>
      <c r="C247" s="6"/>
      <c r="D247" s="6"/>
    </row>
    <row r="248" spans="1:4" ht="13" thickBot="1" x14ac:dyDescent="0.3">
      <c r="A248" s="9">
        <f ca="1"/>
        <v>37138</v>
      </c>
      <c r="B248" s="6">
        <v>30.61</v>
      </c>
      <c r="C248" s="6"/>
      <c r="D248" s="6"/>
    </row>
    <row r="249" spans="1:4" ht="13" thickBot="1" x14ac:dyDescent="0.3">
      <c r="A249" s="9">
        <f ca="1"/>
        <v>37139</v>
      </c>
      <c r="B249" s="6">
        <v>31.75</v>
      </c>
      <c r="C249" s="6"/>
      <c r="D249" s="6"/>
    </row>
    <row r="250" spans="1:4" ht="13" thickBot="1" x14ac:dyDescent="0.3">
      <c r="A250" s="9">
        <f ca="1"/>
        <v>37140</v>
      </c>
      <c r="B250" s="6">
        <v>28.6</v>
      </c>
      <c r="C250" s="6"/>
      <c r="D250" s="6"/>
    </row>
    <row r="251" spans="1:4" ht="13" thickBot="1" x14ac:dyDescent="0.3">
      <c r="A251" s="9">
        <f ca="1"/>
        <v>37141</v>
      </c>
      <c r="B251" s="6">
        <v>29.02</v>
      </c>
      <c r="C251" s="6"/>
      <c r="D251" s="6"/>
    </row>
    <row r="252" spans="1:4" ht="13" thickBot="1" x14ac:dyDescent="0.3">
      <c r="A252" s="9">
        <f ca="1"/>
        <v>37142</v>
      </c>
      <c r="B252" s="5">
        <f t="shared" ref="B252:B253" si="35">B251</f>
        <v>29.02</v>
      </c>
      <c r="C252" s="6"/>
      <c r="D252" s="6"/>
    </row>
    <row r="253" spans="1:4" ht="13" thickBot="1" x14ac:dyDescent="0.3">
      <c r="A253" s="9">
        <f ca="1"/>
        <v>37143</v>
      </c>
      <c r="B253" s="5">
        <f t="shared" si="35"/>
        <v>29.02</v>
      </c>
      <c r="C253" s="6"/>
      <c r="D253" s="6"/>
    </row>
    <row r="254" spans="1:4" ht="13" thickBot="1" x14ac:dyDescent="0.3">
      <c r="A254" s="9">
        <f ca="1"/>
        <v>37144</v>
      </c>
      <c r="B254" s="6">
        <v>27.7</v>
      </c>
      <c r="C254" s="6"/>
      <c r="D254" s="6"/>
    </row>
    <row r="255" spans="1:4" ht="13" thickBot="1" x14ac:dyDescent="0.3">
      <c r="A255" s="9">
        <f ca="1"/>
        <v>37145</v>
      </c>
      <c r="B255" s="5">
        <f t="shared" ref="B255:B260" si="36">B254</f>
        <v>27.7</v>
      </c>
      <c r="C255" s="6"/>
      <c r="D255" s="6"/>
    </row>
    <row r="256" spans="1:4" ht="13" thickBot="1" x14ac:dyDescent="0.3">
      <c r="A256" s="9">
        <f ca="1"/>
        <v>37146</v>
      </c>
      <c r="B256" s="5">
        <f t="shared" si="36"/>
        <v>27.7</v>
      </c>
      <c r="C256" s="6"/>
      <c r="D256" s="6"/>
    </row>
    <row r="257" spans="1:4" ht="13" thickBot="1" x14ac:dyDescent="0.3">
      <c r="A257" s="9">
        <f ca="1"/>
        <v>37147</v>
      </c>
      <c r="B257" s="5">
        <f t="shared" si="36"/>
        <v>27.7</v>
      </c>
      <c r="C257" s="6"/>
      <c r="D257" s="6"/>
    </row>
    <row r="258" spans="1:4" ht="13" thickBot="1" x14ac:dyDescent="0.3">
      <c r="A258" s="9">
        <f ca="1"/>
        <v>37148</v>
      </c>
      <c r="B258" s="5">
        <f t="shared" si="36"/>
        <v>27.7</v>
      </c>
      <c r="C258" s="6"/>
      <c r="D258" s="6"/>
    </row>
    <row r="259" spans="1:4" ht="13" thickBot="1" x14ac:dyDescent="0.3">
      <c r="A259" s="9">
        <f ca="1"/>
        <v>37149</v>
      </c>
      <c r="B259" s="5">
        <f t="shared" si="36"/>
        <v>27.7</v>
      </c>
      <c r="C259" s="6"/>
      <c r="D259" s="6"/>
    </row>
    <row r="260" spans="1:4" ht="13" thickBot="1" x14ac:dyDescent="0.3">
      <c r="A260" s="9">
        <f ca="1"/>
        <v>37150</v>
      </c>
      <c r="B260" s="5">
        <f t="shared" si="36"/>
        <v>27.7</v>
      </c>
      <c r="C260" s="6"/>
      <c r="D260" s="6"/>
    </row>
    <row r="261" spans="1:4" ht="13" thickBot="1" x14ac:dyDescent="0.3">
      <c r="A261" s="9">
        <f ca="1"/>
        <v>37151</v>
      </c>
      <c r="B261" s="6">
        <v>25.69</v>
      </c>
      <c r="C261" s="6"/>
      <c r="D261" s="6"/>
    </row>
    <row r="262" spans="1:4" ht="13" thickBot="1" x14ac:dyDescent="0.3">
      <c r="A262" s="9">
        <f ca="1"/>
        <v>37152</v>
      </c>
      <c r="B262" s="6">
        <v>25.55</v>
      </c>
      <c r="C262" s="6"/>
      <c r="D262" s="6"/>
    </row>
    <row r="263" spans="1:4" ht="13" thickBot="1" x14ac:dyDescent="0.3">
      <c r="A263" s="9">
        <f ca="1"/>
        <v>37153</v>
      </c>
      <c r="B263" s="6">
        <v>24.15</v>
      </c>
      <c r="C263" s="6"/>
      <c r="D263" s="6"/>
    </row>
    <row r="264" spans="1:4" ht="13" thickBot="1" x14ac:dyDescent="0.3">
      <c r="A264" s="9">
        <f ca="1"/>
        <v>37154</v>
      </c>
      <c r="B264" s="6">
        <v>23.75</v>
      </c>
      <c r="C264" s="6"/>
      <c r="D264" s="6"/>
    </row>
    <row r="265" spans="1:4" ht="13" thickBot="1" x14ac:dyDescent="0.3">
      <c r="A265" s="9">
        <f ca="1"/>
        <v>37155</v>
      </c>
      <c r="B265" s="6">
        <v>21.5</v>
      </c>
      <c r="C265" s="6"/>
      <c r="D265" s="6"/>
    </row>
    <row r="266" spans="1:4" ht="13" thickBot="1" x14ac:dyDescent="0.3">
      <c r="A266" s="9">
        <f ca="1"/>
        <v>37156</v>
      </c>
      <c r="B266" s="5">
        <f t="shared" ref="B266:B267" si="37">B265</f>
        <v>21.5</v>
      </c>
      <c r="C266" s="6"/>
      <c r="D266" s="6"/>
    </row>
    <row r="267" spans="1:4" ht="13" thickBot="1" x14ac:dyDescent="0.3">
      <c r="A267" s="9">
        <f ca="1"/>
        <v>37157</v>
      </c>
      <c r="B267" s="5">
        <f t="shared" si="37"/>
        <v>21.5</v>
      </c>
      <c r="C267" s="6"/>
      <c r="D267" s="6"/>
    </row>
    <row r="268" spans="1:4" ht="13" thickBot="1" x14ac:dyDescent="0.3">
      <c r="A268" s="9">
        <f ca="1"/>
        <v>37158</v>
      </c>
      <c r="B268" s="6">
        <v>24.62</v>
      </c>
      <c r="C268" s="6"/>
      <c r="D268" s="6"/>
    </row>
    <row r="269" spans="1:4" ht="13" thickBot="1" x14ac:dyDescent="0.3">
      <c r="A269" s="9">
        <f ca="1"/>
        <v>37159</v>
      </c>
      <c r="B269" s="6">
        <v>25.52</v>
      </c>
      <c r="C269" s="6"/>
      <c r="D269" s="6"/>
    </row>
    <row r="270" spans="1:4" ht="13" thickBot="1" x14ac:dyDescent="0.3">
      <c r="A270" s="9">
        <f ca="1"/>
        <v>37160</v>
      </c>
      <c r="B270" s="6">
        <v>25.9</v>
      </c>
      <c r="C270" s="6"/>
      <c r="D270" s="6"/>
    </row>
    <row r="271" spans="1:4" ht="13" thickBot="1" x14ac:dyDescent="0.3">
      <c r="A271" s="9">
        <f ca="1"/>
        <v>37161</v>
      </c>
      <c r="B271" s="6">
        <v>24.95</v>
      </c>
      <c r="C271" s="6"/>
      <c r="D271" s="6"/>
    </row>
    <row r="272" spans="1:4" ht="13" thickBot="1" x14ac:dyDescent="0.3">
      <c r="A272" s="9">
        <f ca="1"/>
        <v>37162</v>
      </c>
      <c r="B272" s="6">
        <v>26.38</v>
      </c>
      <c r="C272" s="6"/>
      <c r="D272" s="6"/>
    </row>
    <row r="273" spans="1:4" ht="13" thickBot="1" x14ac:dyDescent="0.3">
      <c r="A273" s="9">
        <f ca="1"/>
        <v>37163</v>
      </c>
      <c r="B273" s="5">
        <f t="shared" ref="B273:B274" si="38">B272</f>
        <v>26.38</v>
      </c>
      <c r="C273" s="6"/>
      <c r="D273" s="6"/>
    </row>
    <row r="274" spans="1:4" ht="13" thickBot="1" x14ac:dyDescent="0.3">
      <c r="A274" s="9">
        <f ca="1"/>
        <v>37164</v>
      </c>
      <c r="B274" s="5">
        <f t="shared" si="38"/>
        <v>26.38</v>
      </c>
      <c r="C274" s="6"/>
      <c r="D274" s="6"/>
    </row>
    <row r="275" spans="1:4" ht="13" thickBot="1" x14ac:dyDescent="0.3">
      <c r="A275" s="9">
        <f ca="1"/>
        <v>37165</v>
      </c>
      <c r="B275" s="6">
        <v>25.79</v>
      </c>
      <c r="C275" s="6"/>
      <c r="D275" s="6"/>
    </row>
    <row r="276" spans="1:4" ht="13" thickBot="1" x14ac:dyDescent="0.3">
      <c r="A276" s="9">
        <f ca="1"/>
        <v>37166</v>
      </c>
      <c r="B276" s="6">
        <v>26.04</v>
      </c>
      <c r="C276" s="6"/>
      <c r="D276" s="6"/>
    </row>
    <row r="277" spans="1:4" ht="13" thickBot="1" x14ac:dyDescent="0.3">
      <c r="A277" s="9">
        <f ca="1"/>
        <v>37167</v>
      </c>
      <c r="B277" s="6">
        <v>26.65</v>
      </c>
      <c r="C277" s="6"/>
      <c r="D277" s="6"/>
    </row>
    <row r="278" spans="1:4" ht="13" thickBot="1" x14ac:dyDescent="0.3">
      <c r="A278" s="9">
        <f ca="1"/>
        <v>37168</v>
      </c>
      <c r="B278" s="6">
        <v>29.04</v>
      </c>
      <c r="C278" s="6"/>
      <c r="D278" s="6"/>
    </row>
    <row r="279" spans="1:4" ht="13" thickBot="1" x14ac:dyDescent="0.3">
      <c r="A279" s="9">
        <f ca="1"/>
        <v>37169</v>
      </c>
      <c r="B279" s="6">
        <v>29.38</v>
      </c>
      <c r="C279" s="6"/>
      <c r="D279" s="6"/>
    </row>
    <row r="280" spans="1:4" ht="13" thickBot="1" x14ac:dyDescent="0.3">
      <c r="A280" s="9">
        <f ca="1"/>
        <v>37170</v>
      </c>
      <c r="B280" s="5">
        <f t="shared" ref="B280:B281" si="39">B279</f>
        <v>29.38</v>
      </c>
      <c r="C280" s="6"/>
      <c r="D280" s="6"/>
    </row>
    <row r="281" spans="1:4" ht="13" thickBot="1" x14ac:dyDescent="0.3">
      <c r="A281" s="9">
        <f ca="1"/>
        <v>37171</v>
      </c>
      <c r="B281" s="5">
        <f t="shared" si="39"/>
        <v>29.38</v>
      </c>
      <c r="C281" s="6"/>
      <c r="D281" s="6"/>
    </row>
    <row r="282" spans="1:4" ht="13" thickBot="1" x14ac:dyDescent="0.3">
      <c r="A282" s="9">
        <f ca="1"/>
        <v>37172</v>
      </c>
      <c r="B282" s="6">
        <v>28.39</v>
      </c>
      <c r="C282" s="6"/>
      <c r="D282" s="6"/>
    </row>
    <row r="283" spans="1:4" ht="13" thickBot="1" x14ac:dyDescent="0.3">
      <c r="A283" s="9">
        <f ca="1"/>
        <v>37173</v>
      </c>
      <c r="B283" s="6">
        <v>28.6</v>
      </c>
      <c r="C283" s="6"/>
      <c r="D283" s="6"/>
    </row>
    <row r="284" spans="1:4" ht="13" thickBot="1" x14ac:dyDescent="0.3">
      <c r="A284" s="9">
        <f ca="1"/>
        <v>37174</v>
      </c>
      <c r="B284" s="6">
        <v>28.4</v>
      </c>
      <c r="C284" s="6"/>
      <c r="D284" s="6"/>
    </row>
    <row r="285" spans="1:4" ht="13" thickBot="1" x14ac:dyDescent="0.3">
      <c r="A285" s="9">
        <f ca="1"/>
        <v>37175</v>
      </c>
      <c r="B285" s="6">
        <v>30.33</v>
      </c>
      <c r="C285" s="6"/>
      <c r="D285" s="6"/>
    </row>
    <row r="286" spans="1:4" ht="13" thickBot="1" x14ac:dyDescent="0.3">
      <c r="A286" s="9">
        <f ca="1"/>
        <v>37176</v>
      </c>
      <c r="B286" s="6">
        <v>30.07</v>
      </c>
      <c r="C286" s="6"/>
      <c r="D286" s="6"/>
    </row>
    <row r="287" spans="1:4" ht="13" thickBot="1" x14ac:dyDescent="0.3">
      <c r="A287" s="9">
        <f ca="1"/>
        <v>37177</v>
      </c>
      <c r="B287" s="5">
        <f t="shared" ref="B287:B288" si="40">B286</f>
        <v>30.07</v>
      </c>
      <c r="C287" s="6"/>
      <c r="D287" s="6"/>
    </row>
    <row r="288" spans="1:4" ht="13" thickBot="1" x14ac:dyDescent="0.3">
      <c r="A288" s="9">
        <f ca="1"/>
        <v>37178</v>
      </c>
      <c r="B288" s="5">
        <f t="shared" si="40"/>
        <v>30.07</v>
      </c>
      <c r="C288" s="6"/>
      <c r="D288" s="6"/>
    </row>
    <row r="289" spans="1:4" ht="13" thickBot="1" x14ac:dyDescent="0.3">
      <c r="A289" s="9">
        <f ca="1"/>
        <v>37179</v>
      </c>
      <c r="B289" s="6">
        <v>29.83</v>
      </c>
      <c r="C289" s="6"/>
      <c r="D289" s="6"/>
    </row>
    <row r="290" spans="1:4" ht="13" thickBot="1" x14ac:dyDescent="0.3">
      <c r="A290" s="9">
        <f ca="1"/>
        <v>37180</v>
      </c>
      <c r="B290" s="6">
        <v>28.84</v>
      </c>
      <c r="C290" s="6"/>
      <c r="D290" s="6"/>
    </row>
    <row r="291" spans="1:4" ht="13" thickBot="1" x14ac:dyDescent="0.3">
      <c r="A291" s="9">
        <f ca="1"/>
        <v>37181</v>
      </c>
      <c r="B291" s="6">
        <v>29.16</v>
      </c>
      <c r="C291" s="6"/>
      <c r="D291" s="6"/>
    </row>
    <row r="292" spans="1:4" ht="13" thickBot="1" x14ac:dyDescent="0.3">
      <c r="A292" s="9">
        <f ca="1"/>
        <v>37182</v>
      </c>
      <c r="B292" s="6">
        <v>24.5</v>
      </c>
      <c r="C292" s="6"/>
      <c r="D292" s="6"/>
    </row>
    <row r="293" spans="1:4" ht="13" thickBot="1" x14ac:dyDescent="0.3">
      <c r="A293" s="9">
        <f ca="1"/>
        <v>37183</v>
      </c>
      <c r="B293" s="6">
        <v>24.95</v>
      </c>
      <c r="C293" s="6"/>
      <c r="D293" s="6"/>
    </row>
    <row r="294" spans="1:4" ht="13" thickBot="1" x14ac:dyDescent="0.3">
      <c r="A294" s="9">
        <f ca="1"/>
        <v>37184</v>
      </c>
      <c r="B294" s="5">
        <f t="shared" ref="B294:B295" si="41">B293</f>
        <v>24.95</v>
      </c>
      <c r="C294" s="6"/>
      <c r="D294" s="6"/>
    </row>
    <row r="295" spans="1:4" ht="13" thickBot="1" x14ac:dyDescent="0.3">
      <c r="A295" s="9">
        <f ca="1"/>
        <v>37185</v>
      </c>
      <c r="B295" s="5">
        <f t="shared" si="41"/>
        <v>24.95</v>
      </c>
      <c r="C295" s="6"/>
      <c r="D295" s="6"/>
    </row>
    <row r="296" spans="1:4" ht="13" thickBot="1" x14ac:dyDescent="0.3">
      <c r="A296" s="9">
        <f ca="1"/>
        <v>37186</v>
      </c>
      <c r="B296" s="6">
        <v>25.29</v>
      </c>
      <c r="C296" s="6"/>
      <c r="D296" s="6"/>
    </row>
    <row r="297" spans="1:4" ht="13" thickBot="1" x14ac:dyDescent="0.3">
      <c r="A297" s="9">
        <f ca="1"/>
        <v>37187</v>
      </c>
      <c r="B297" s="6">
        <v>26.49</v>
      </c>
      <c r="C297" s="6"/>
      <c r="D297" s="6"/>
    </row>
    <row r="298" spans="1:4" ht="13" thickBot="1" x14ac:dyDescent="0.3">
      <c r="A298" s="9">
        <f ca="1"/>
        <v>37188</v>
      </c>
      <c r="B298" s="6">
        <v>26.15</v>
      </c>
      <c r="C298" s="6"/>
      <c r="D298" s="6"/>
    </row>
    <row r="299" spans="1:4" ht="13" thickBot="1" x14ac:dyDescent="0.3">
      <c r="A299" s="9">
        <f ca="1"/>
        <v>37189</v>
      </c>
      <c r="B299" s="6">
        <v>25.75</v>
      </c>
      <c r="C299" s="6"/>
      <c r="D299" s="6"/>
    </row>
    <row r="300" spans="1:4" ht="13" thickBot="1" x14ac:dyDescent="0.3">
      <c r="A300" s="9">
        <f ca="1"/>
        <v>37190</v>
      </c>
      <c r="B300" s="6">
        <v>26.16</v>
      </c>
      <c r="C300" s="6"/>
      <c r="D300" s="6"/>
    </row>
    <row r="301" spans="1:4" ht="13" thickBot="1" x14ac:dyDescent="0.3">
      <c r="A301" s="9">
        <f ca="1"/>
        <v>37191</v>
      </c>
      <c r="B301" s="5">
        <f t="shared" ref="B301:B302" si="42">B300</f>
        <v>26.16</v>
      </c>
      <c r="C301" s="6"/>
      <c r="D301" s="6"/>
    </row>
    <row r="302" spans="1:4" ht="13" thickBot="1" x14ac:dyDescent="0.3">
      <c r="A302" s="9">
        <f ca="1"/>
        <v>37192</v>
      </c>
      <c r="B302" s="5">
        <f t="shared" si="42"/>
        <v>26.16</v>
      </c>
      <c r="C302" s="6"/>
      <c r="D302" s="6"/>
    </row>
    <row r="303" spans="1:4" ht="13" thickBot="1" x14ac:dyDescent="0.3">
      <c r="A303" s="9">
        <f ca="1"/>
        <v>37193</v>
      </c>
      <c r="B303" s="6">
        <v>26</v>
      </c>
      <c r="C303" s="6"/>
      <c r="D303" s="6"/>
    </row>
    <row r="304" spans="1:4" ht="13" thickBot="1" x14ac:dyDescent="0.3">
      <c r="A304" s="9">
        <f ca="1"/>
        <v>37194</v>
      </c>
      <c r="B304" s="6">
        <v>25.01</v>
      </c>
      <c r="C304" s="6"/>
      <c r="D304" s="6"/>
    </row>
    <row r="305" spans="1:4" ht="13" thickBot="1" x14ac:dyDescent="0.3">
      <c r="A305" s="9">
        <f ca="1"/>
        <v>37195</v>
      </c>
      <c r="B305" s="6">
        <v>26.24</v>
      </c>
      <c r="C305" s="6"/>
      <c r="D305" s="6"/>
    </row>
    <row r="306" spans="1:4" ht="13" thickBot="1" x14ac:dyDescent="0.3">
      <c r="A306" s="9">
        <f ca="1"/>
        <v>37196</v>
      </c>
      <c r="B306" s="6">
        <v>26.72</v>
      </c>
      <c r="C306" s="6"/>
      <c r="D306" s="6"/>
    </row>
    <row r="307" spans="1:4" ht="13" thickBot="1" x14ac:dyDescent="0.3">
      <c r="A307" s="9">
        <f ca="1"/>
        <v>37197</v>
      </c>
      <c r="B307" s="6">
        <v>26.9</v>
      </c>
      <c r="C307" s="6"/>
      <c r="D307" s="6"/>
    </row>
    <row r="308" spans="1:4" ht="13" thickBot="1" x14ac:dyDescent="0.3">
      <c r="A308" s="9">
        <f ca="1"/>
        <v>37198</v>
      </c>
      <c r="B308" s="5">
        <f t="shared" ref="B308:B309" si="43">B307</f>
        <v>26.9</v>
      </c>
      <c r="C308" s="6"/>
      <c r="D308" s="6"/>
    </row>
    <row r="309" spans="1:4" ht="13" thickBot="1" x14ac:dyDescent="0.3">
      <c r="A309" s="9">
        <f ca="1"/>
        <v>37199</v>
      </c>
      <c r="B309" s="5">
        <f t="shared" si="43"/>
        <v>26.9</v>
      </c>
      <c r="C309" s="6"/>
      <c r="D309" s="6"/>
    </row>
    <row r="310" spans="1:4" ht="13" thickBot="1" x14ac:dyDescent="0.3">
      <c r="A310" s="9">
        <f ca="1"/>
        <v>37200</v>
      </c>
      <c r="B310" s="6">
        <v>27.49</v>
      </c>
      <c r="C310" s="6"/>
      <c r="D310" s="6"/>
    </row>
    <row r="311" spans="1:4" ht="13" thickBot="1" x14ac:dyDescent="0.3">
      <c r="A311" s="9">
        <f ca="1"/>
        <v>37201</v>
      </c>
      <c r="B311" s="6">
        <v>28.49</v>
      </c>
      <c r="C311" s="6"/>
      <c r="D311" s="6"/>
    </row>
    <row r="312" spans="1:4" ht="13" thickBot="1" x14ac:dyDescent="0.3">
      <c r="A312" s="9">
        <f ca="1"/>
        <v>37202</v>
      </c>
      <c r="B312" s="6">
        <v>29.01</v>
      </c>
      <c r="C312" s="6"/>
      <c r="D312" s="6"/>
    </row>
    <row r="313" spans="1:4" ht="13" thickBot="1" x14ac:dyDescent="0.3">
      <c r="A313" s="9">
        <f ca="1"/>
        <v>37203</v>
      </c>
      <c r="B313" s="6">
        <v>30.02</v>
      </c>
      <c r="C313" s="6"/>
      <c r="D313" s="6"/>
    </row>
    <row r="314" spans="1:4" ht="13" thickBot="1" x14ac:dyDescent="0.3">
      <c r="A314" s="9">
        <f ca="1"/>
        <v>37204</v>
      </c>
      <c r="B314" s="6">
        <v>28.54</v>
      </c>
      <c r="C314" s="6"/>
      <c r="D314" s="6"/>
    </row>
    <row r="315" spans="1:4" ht="13" thickBot="1" x14ac:dyDescent="0.3">
      <c r="A315" s="9">
        <f ca="1"/>
        <v>37205</v>
      </c>
      <c r="B315" s="5">
        <f t="shared" ref="B315:B316" si="44">B314</f>
        <v>28.54</v>
      </c>
      <c r="C315" s="6"/>
      <c r="D315" s="6"/>
    </row>
    <row r="316" spans="1:4" ht="13" thickBot="1" x14ac:dyDescent="0.3">
      <c r="A316" s="9">
        <f ca="1"/>
        <v>37206</v>
      </c>
      <c r="B316" s="5">
        <f t="shared" si="44"/>
        <v>28.54</v>
      </c>
      <c r="C316" s="6"/>
      <c r="D316" s="6"/>
    </row>
    <row r="317" spans="1:4" ht="13" thickBot="1" x14ac:dyDescent="0.3">
      <c r="A317" s="9">
        <f ca="1"/>
        <v>37207</v>
      </c>
      <c r="B317" s="6">
        <v>28.39</v>
      </c>
      <c r="C317" s="6"/>
      <c r="D317" s="6"/>
    </row>
    <row r="318" spans="1:4" ht="13" thickBot="1" x14ac:dyDescent="0.3">
      <c r="A318" s="9">
        <f ca="1"/>
        <v>37208</v>
      </c>
      <c r="B318" s="6">
        <v>28.88</v>
      </c>
      <c r="C318" s="6"/>
      <c r="D318" s="6"/>
    </row>
    <row r="319" spans="1:4" ht="13" thickBot="1" x14ac:dyDescent="0.3">
      <c r="A319" s="9">
        <f ca="1"/>
        <v>37209</v>
      </c>
      <c r="B319" s="6">
        <v>28.7</v>
      </c>
      <c r="C319" s="6"/>
      <c r="D319" s="6"/>
    </row>
    <row r="320" spans="1:4" ht="13" thickBot="1" x14ac:dyDescent="0.3">
      <c r="A320" s="9">
        <f ca="1"/>
        <v>37210</v>
      </c>
      <c r="B320" s="6">
        <v>27.76</v>
      </c>
      <c r="C320" s="6"/>
      <c r="D320" s="6"/>
    </row>
    <row r="321" spans="1:4" ht="13" thickBot="1" x14ac:dyDescent="0.3">
      <c r="A321" s="9">
        <f ca="1"/>
        <v>37211</v>
      </c>
      <c r="B321" s="6">
        <v>28.39</v>
      </c>
      <c r="C321" s="6"/>
      <c r="D321" s="6"/>
    </row>
    <row r="322" spans="1:4" ht="13" thickBot="1" x14ac:dyDescent="0.3">
      <c r="A322" s="9">
        <f ca="1"/>
        <v>37212</v>
      </c>
      <c r="B322" s="5">
        <f t="shared" ref="B322:B323" si="45">B321</f>
        <v>28.39</v>
      </c>
      <c r="C322" s="6"/>
      <c r="D322" s="6"/>
    </row>
    <row r="323" spans="1:4" ht="13" thickBot="1" x14ac:dyDescent="0.3">
      <c r="A323" s="9">
        <f ca="1"/>
        <v>37213</v>
      </c>
      <c r="B323" s="5">
        <f t="shared" si="45"/>
        <v>28.39</v>
      </c>
      <c r="C323" s="6"/>
      <c r="D323" s="6"/>
    </row>
    <row r="324" spans="1:4" ht="13" thickBot="1" x14ac:dyDescent="0.3">
      <c r="A324" s="9">
        <f ca="1"/>
        <v>37214</v>
      </c>
      <c r="B324" s="6">
        <v>28.49</v>
      </c>
      <c r="C324" s="6"/>
      <c r="D324" s="6"/>
    </row>
    <row r="325" spans="1:4" ht="13" thickBot="1" x14ac:dyDescent="0.3">
      <c r="A325" s="9">
        <f ca="1"/>
        <v>37215</v>
      </c>
      <c r="B325" s="6">
        <v>29.33</v>
      </c>
      <c r="C325" s="6"/>
      <c r="D325" s="6"/>
    </row>
    <row r="326" spans="1:4" ht="13" thickBot="1" x14ac:dyDescent="0.3">
      <c r="A326" s="9">
        <f ca="1"/>
        <v>37216</v>
      </c>
      <c r="B326" s="6">
        <v>28.45</v>
      </c>
      <c r="C326" s="6"/>
      <c r="D326" s="6"/>
    </row>
    <row r="327" spans="1:4" ht="13" thickBot="1" x14ac:dyDescent="0.3">
      <c r="A327" s="9">
        <f ca="1"/>
        <v>37217</v>
      </c>
      <c r="B327" s="5">
        <f>B326</f>
        <v>28.45</v>
      </c>
      <c r="C327" s="6"/>
      <c r="D327" s="6"/>
    </row>
    <row r="328" spans="1:4" ht="13" thickBot="1" x14ac:dyDescent="0.3">
      <c r="A328" s="9">
        <f ca="1"/>
        <v>37218</v>
      </c>
      <c r="B328" s="6">
        <v>28.77</v>
      </c>
      <c r="C328" s="6"/>
      <c r="D328" s="6"/>
    </row>
    <row r="329" spans="1:4" ht="13" thickBot="1" x14ac:dyDescent="0.3">
      <c r="A329" s="9">
        <f ca="1"/>
        <v>37219</v>
      </c>
      <c r="B329" s="5">
        <f t="shared" ref="B329:B330" si="46">B328</f>
        <v>28.77</v>
      </c>
      <c r="C329" s="6"/>
      <c r="D329" s="6"/>
    </row>
    <row r="330" spans="1:4" ht="13" thickBot="1" x14ac:dyDescent="0.3">
      <c r="A330" s="9">
        <f ca="1"/>
        <v>37220</v>
      </c>
      <c r="B330" s="5">
        <f t="shared" si="46"/>
        <v>28.77</v>
      </c>
      <c r="C330" s="6"/>
      <c r="D330" s="6"/>
    </row>
    <row r="331" spans="1:4" ht="13" thickBot="1" x14ac:dyDescent="0.3">
      <c r="A331" s="9">
        <f ca="1"/>
        <v>37221</v>
      </c>
      <c r="B331" s="6">
        <v>29.65</v>
      </c>
      <c r="C331" s="6"/>
      <c r="D331" s="6"/>
    </row>
    <row r="332" spans="1:4" ht="13" thickBot="1" x14ac:dyDescent="0.3">
      <c r="A332" s="9">
        <f ca="1"/>
        <v>37222</v>
      </c>
      <c r="B332" s="6">
        <v>28.74</v>
      </c>
      <c r="C332" s="6"/>
      <c r="D332" s="6"/>
    </row>
    <row r="333" spans="1:4" ht="13" thickBot="1" x14ac:dyDescent="0.3">
      <c r="A333" s="9">
        <f ca="1"/>
        <v>37223</v>
      </c>
      <c r="B333" s="6">
        <v>27.82</v>
      </c>
      <c r="C333" s="6"/>
      <c r="D333" s="6"/>
    </row>
    <row r="334" spans="1:4" ht="13" thickBot="1" x14ac:dyDescent="0.3">
      <c r="A334" s="9">
        <f ca="1"/>
        <v>37224</v>
      </c>
      <c r="B334" s="6">
        <v>29.25</v>
      </c>
      <c r="C334" s="6"/>
      <c r="D334" s="6"/>
    </row>
    <row r="335" spans="1:4" ht="13" thickBot="1" x14ac:dyDescent="0.3">
      <c r="A335" s="9">
        <f ca="1"/>
        <v>37225</v>
      </c>
      <c r="B335" s="6">
        <v>30.73</v>
      </c>
      <c r="C335" s="6"/>
      <c r="D335" s="6"/>
    </row>
    <row r="336" spans="1:4" ht="13" thickBot="1" x14ac:dyDescent="0.3">
      <c r="A336" s="9">
        <f ca="1"/>
        <v>37226</v>
      </c>
      <c r="B336" s="5">
        <f t="shared" ref="B336:B337" si="47">B335</f>
        <v>30.73</v>
      </c>
      <c r="C336" s="6"/>
      <c r="D336" s="6"/>
    </row>
    <row r="337" spans="1:4" ht="13" thickBot="1" x14ac:dyDescent="0.3">
      <c r="A337" s="9">
        <f ca="1"/>
        <v>37227</v>
      </c>
      <c r="B337" s="5">
        <f t="shared" si="47"/>
        <v>30.73</v>
      </c>
      <c r="C337" s="6"/>
      <c r="D337" s="6"/>
    </row>
    <row r="338" spans="1:4" ht="13" thickBot="1" x14ac:dyDescent="0.3">
      <c r="A338" s="9">
        <f ca="1"/>
        <v>37228</v>
      </c>
      <c r="B338" s="6">
        <v>30.57</v>
      </c>
      <c r="C338" s="6"/>
      <c r="D338" s="6"/>
    </row>
    <row r="339" spans="1:4" ht="13" thickBot="1" x14ac:dyDescent="0.3">
      <c r="A339" s="9">
        <f ca="1"/>
        <v>37229</v>
      </c>
      <c r="B339" s="6">
        <v>31.99</v>
      </c>
      <c r="C339" s="6"/>
      <c r="D339" s="6"/>
    </row>
    <row r="340" spans="1:4" ht="13" thickBot="1" x14ac:dyDescent="0.3">
      <c r="A340" s="9">
        <f ca="1"/>
        <v>37230</v>
      </c>
      <c r="B340" s="6">
        <v>33.840000000000003</v>
      </c>
      <c r="C340" s="6"/>
      <c r="D340" s="6"/>
    </row>
    <row r="341" spans="1:4" ht="13" thickBot="1" x14ac:dyDescent="0.3">
      <c r="A341" s="9">
        <f ca="1"/>
        <v>37231</v>
      </c>
      <c r="B341" s="6">
        <v>34.22</v>
      </c>
      <c r="C341" s="6"/>
      <c r="D341" s="6"/>
    </row>
    <row r="342" spans="1:4" ht="13" thickBot="1" x14ac:dyDescent="0.3">
      <c r="A342" s="9">
        <f ca="1"/>
        <v>37232</v>
      </c>
      <c r="B342" s="6">
        <v>33.200000000000003</v>
      </c>
      <c r="C342" s="6"/>
      <c r="D342" s="6"/>
    </row>
    <row r="343" spans="1:4" ht="13" thickBot="1" x14ac:dyDescent="0.3">
      <c r="A343" s="9">
        <f ca="1"/>
        <v>37233</v>
      </c>
      <c r="B343" s="5">
        <f t="shared" ref="B343:B344" si="48">B342</f>
        <v>33.200000000000003</v>
      </c>
      <c r="C343" s="6"/>
      <c r="D343" s="6"/>
    </row>
    <row r="344" spans="1:4" ht="13" thickBot="1" x14ac:dyDescent="0.3">
      <c r="A344" s="9">
        <f ca="1"/>
        <v>37234</v>
      </c>
      <c r="B344" s="5">
        <f t="shared" si="48"/>
        <v>33.200000000000003</v>
      </c>
      <c r="C344" s="6"/>
      <c r="D344" s="6"/>
    </row>
    <row r="345" spans="1:4" ht="13" thickBot="1" x14ac:dyDescent="0.3">
      <c r="A345" s="9">
        <f ca="1"/>
        <v>37235</v>
      </c>
      <c r="B345" s="6">
        <v>32.36</v>
      </c>
      <c r="C345" s="6"/>
      <c r="D345" s="6"/>
    </row>
    <row r="346" spans="1:4" ht="13" thickBot="1" x14ac:dyDescent="0.3">
      <c r="A346" s="9">
        <f ca="1"/>
        <v>37236</v>
      </c>
      <c r="B346" s="6">
        <v>32.78</v>
      </c>
      <c r="C346" s="6"/>
      <c r="D346" s="6"/>
    </row>
    <row r="347" spans="1:4" ht="13" thickBot="1" x14ac:dyDescent="0.3">
      <c r="A347" s="9">
        <f ca="1"/>
        <v>37237</v>
      </c>
      <c r="B347" s="6">
        <v>33.35</v>
      </c>
      <c r="C347" s="6"/>
      <c r="D347" s="6"/>
    </row>
    <row r="348" spans="1:4" ht="13" thickBot="1" x14ac:dyDescent="0.3">
      <c r="A348" s="9">
        <f ca="1"/>
        <v>37238</v>
      </c>
      <c r="B348" s="6">
        <v>31.72</v>
      </c>
      <c r="C348" s="6"/>
      <c r="D348" s="6"/>
    </row>
    <row r="349" spans="1:4" ht="13" thickBot="1" x14ac:dyDescent="0.3">
      <c r="A349" s="9">
        <f ca="1"/>
        <v>37239</v>
      </c>
      <c r="B349" s="6">
        <v>32.090000000000003</v>
      </c>
      <c r="C349" s="6"/>
      <c r="D349" s="6"/>
    </row>
    <row r="350" spans="1:4" ht="13" thickBot="1" x14ac:dyDescent="0.3">
      <c r="A350" s="9">
        <f ca="1"/>
        <v>37240</v>
      </c>
      <c r="B350" s="5">
        <f t="shared" ref="B350:B351" si="49">B349</f>
        <v>32.090000000000003</v>
      </c>
      <c r="C350" s="6"/>
      <c r="D350" s="6"/>
    </row>
    <row r="351" spans="1:4" ht="13" thickBot="1" x14ac:dyDescent="0.3">
      <c r="A351" s="9">
        <f ca="1"/>
        <v>37241</v>
      </c>
      <c r="B351" s="5">
        <f t="shared" si="49"/>
        <v>32.090000000000003</v>
      </c>
      <c r="C351" s="6"/>
      <c r="D351" s="6"/>
    </row>
    <row r="352" spans="1:4" ht="13" thickBot="1" x14ac:dyDescent="0.3">
      <c r="A352" s="9">
        <f ca="1"/>
        <v>37242</v>
      </c>
      <c r="B352" s="6">
        <v>32.43</v>
      </c>
      <c r="C352" s="6"/>
      <c r="D352" s="6"/>
    </row>
    <row r="353" spans="1:4" ht="13" thickBot="1" x14ac:dyDescent="0.3">
      <c r="A353" s="9">
        <f ca="1"/>
        <v>37243</v>
      </c>
      <c r="B353" s="6">
        <v>34.159999999999997</v>
      </c>
      <c r="C353" s="6"/>
      <c r="D353" s="6"/>
    </row>
    <row r="354" spans="1:4" ht="13" thickBot="1" x14ac:dyDescent="0.3">
      <c r="A354" s="9">
        <f ca="1"/>
        <v>37244</v>
      </c>
      <c r="B354" s="6">
        <v>32.71</v>
      </c>
      <c r="C354" s="6"/>
      <c r="D354" s="6"/>
    </row>
    <row r="355" spans="1:4" ht="13" thickBot="1" x14ac:dyDescent="0.3">
      <c r="A355" s="9">
        <f ca="1"/>
        <v>37245</v>
      </c>
      <c r="B355" s="6">
        <v>32.75</v>
      </c>
      <c r="C355" s="6"/>
      <c r="D355" s="6"/>
    </row>
    <row r="356" spans="1:4" ht="13" thickBot="1" x14ac:dyDescent="0.3">
      <c r="A356" s="9">
        <f ca="1"/>
        <v>37246</v>
      </c>
      <c r="B356" s="6">
        <v>32.020000000000003</v>
      </c>
      <c r="C356" s="6"/>
      <c r="D356" s="6"/>
    </row>
    <row r="357" spans="1:4" ht="13" thickBot="1" x14ac:dyDescent="0.3">
      <c r="A357" s="9">
        <f ca="1"/>
        <v>37247</v>
      </c>
      <c r="B357" s="5">
        <f t="shared" ref="B357:B358" si="50">B356</f>
        <v>32.020000000000003</v>
      </c>
      <c r="C357" s="6"/>
      <c r="D357" s="6"/>
    </row>
    <row r="358" spans="1:4" ht="13" thickBot="1" x14ac:dyDescent="0.3">
      <c r="A358" s="9">
        <f ca="1"/>
        <v>37248</v>
      </c>
      <c r="B358" s="5">
        <f t="shared" si="50"/>
        <v>32.020000000000003</v>
      </c>
      <c r="C358" s="6"/>
      <c r="D358" s="6"/>
    </row>
    <row r="359" spans="1:4" ht="13" thickBot="1" x14ac:dyDescent="0.3">
      <c r="A359" s="9">
        <f ca="1"/>
        <v>37249</v>
      </c>
      <c r="B359" s="6">
        <v>31.95</v>
      </c>
      <c r="C359" s="6"/>
      <c r="D359" s="6"/>
    </row>
    <row r="360" spans="1:4" ht="13" thickBot="1" x14ac:dyDescent="0.3">
      <c r="A360" s="9">
        <f ca="1"/>
        <v>37250</v>
      </c>
      <c r="B360" s="5">
        <f>B359</f>
        <v>31.95</v>
      </c>
      <c r="C360" s="6"/>
      <c r="D360" s="6"/>
    </row>
    <row r="361" spans="1:4" ht="13" thickBot="1" x14ac:dyDescent="0.3">
      <c r="A361" s="9">
        <f ca="1"/>
        <v>37251</v>
      </c>
      <c r="B361" s="6">
        <v>31.4</v>
      </c>
      <c r="C361" s="6"/>
      <c r="D361" s="6"/>
    </row>
    <row r="362" spans="1:4" ht="13" thickBot="1" x14ac:dyDescent="0.3">
      <c r="A362" s="9">
        <f ca="1"/>
        <v>37252</v>
      </c>
      <c r="B362" s="6">
        <v>32.35</v>
      </c>
      <c r="C362" s="6"/>
      <c r="D362" s="6"/>
    </row>
    <row r="363" spans="1:4" ht="13" thickBot="1" x14ac:dyDescent="0.3">
      <c r="A363" s="9">
        <f ca="1"/>
        <v>37253</v>
      </c>
      <c r="B363" s="6">
        <v>32.04</v>
      </c>
      <c r="C363" s="6"/>
      <c r="D363" s="6"/>
    </row>
    <row r="364" spans="1:4" ht="13" thickBot="1" x14ac:dyDescent="0.3">
      <c r="A364" s="9">
        <f ca="1"/>
        <v>37254</v>
      </c>
      <c r="B364" s="5">
        <f t="shared" ref="B364:B365" si="51">B363</f>
        <v>32.04</v>
      </c>
      <c r="C364" s="6"/>
      <c r="D364" s="6"/>
    </row>
    <row r="365" spans="1:4" ht="13" thickBot="1" x14ac:dyDescent="0.3">
      <c r="A365" s="9">
        <f ca="1"/>
        <v>37255</v>
      </c>
      <c r="B365" s="5">
        <f t="shared" si="51"/>
        <v>32.04</v>
      </c>
      <c r="C365" s="6"/>
      <c r="D365" s="6"/>
    </row>
    <row r="366" spans="1:4" ht="13" thickBot="1" x14ac:dyDescent="0.3">
      <c r="A366" s="9">
        <f ca="1"/>
        <v>37256</v>
      </c>
      <c r="B366" s="6">
        <v>32.659999999999997</v>
      </c>
      <c r="C366" s="6"/>
      <c r="D366" s="6"/>
    </row>
    <row r="367" spans="1:4" ht="13" thickBot="1" x14ac:dyDescent="0.3">
      <c r="A367" s="9">
        <f ca="1"/>
        <v>37257</v>
      </c>
      <c r="B367" s="5">
        <f>B366</f>
        <v>32.659999999999997</v>
      </c>
      <c r="C367" s="6"/>
      <c r="D367" s="6"/>
    </row>
    <row r="368" spans="1:4" ht="13" thickBot="1" x14ac:dyDescent="0.3">
      <c r="A368" s="9">
        <f ca="1"/>
        <v>37258</v>
      </c>
      <c r="B368" s="6">
        <v>32.450000000000003</v>
      </c>
      <c r="C368" s="6"/>
      <c r="D368" s="6"/>
    </row>
    <row r="369" spans="1:4" ht="13" thickBot="1" x14ac:dyDescent="0.3">
      <c r="A369" s="9">
        <f ca="1"/>
        <v>37259</v>
      </c>
      <c r="B369" s="6">
        <v>32.67</v>
      </c>
      <c r="C369" s="6"/>
      <c r="D369" s="6"/>
    </row>
    <row r="370" spans="1:4" ht="13" thickBot="1" x14ac:dyDescent="0.3">
      <c r="A370" s="9">
        <f ca="1"/>
        <v>37260</v>
      </c>
      <c r="B370" s="6">
        <v>34.369999999999997</v>
      </c>
      <c r="C370" s="6"/>
      <c r="D370" s="6"/>
    </row>
    <row r="371" spans="1:4" ht="13" thickBot="1" x14ac:dyDescent="0.3">
      <c r="A371" s="9">
        <f ca="1"/>
        <v>37261</v>
      </c>
      <c r="B371" s="5">
        <f t="shared" ref="B371:B372" si="52">B370</f>
        <v>34.369999999999997</v>
      </c>
      <c r="C371" s="6"/>
      <c r="D371" s="6"/>
    </row>
    <row r="372" spans="1:4" ht="13" thickBot="1" x14ac:dyDescent="0.3">
      <c r="A372" s="9">
        <f ca="1"/>
        <v>37262</v>
      </c>
      <c r="B372" s="5">
        <f t="shared" si="52"/>
        <v>34.369999999999997</v>
      </c>
      <c r="C372" s="6"/>
      <c r="D372" s="6"/>
    </row>
    <row r="373" spans="1:4" ht="13" thickBot="1" x14ac:dyDescent="0.3">
      <c r="A373" s="9">
        <f ca="1"/>
        <v>37263</v>
      </c>
      <c r="B373" s="6">
        <v>34.9</v>
      </c>
      <c r="C373" s="6"/>
      <c r="D373" s="6"/>
    </row>
    <row r="374" spans="1:4" ht="13" thickBot="1" x14ac:dyDescent="0.3">
      <c r="A374" s="9">
        <f ca="1"/>
        <v>37264</v>
      </c>
      <c r="B374" s="6">
        <v>33.07</v>
      </c>
      <c r="C374" s="6"/>
      <c r="D374" s="6"/>
    </row>
    <row r="375" spans="1:4" ht="13" thickBot="1" x14ac:dyDescent="0.3">
      <c r="A375" s="9">
        <f ca="1"/>
        <v>37265</v>
      </c>
      <c r="B375" s="6">
        <v>36.5</v>
      </c>
      <c r="C375" s="6"/>
      <c r="D375" s="6"/>
    </row>
    <row r="376" spans="1:4" ht="13" thickBot="1" x14ac:dyDescent="0.3">
      <c r="A376" s="9">
        <f ca="1"/>
        <v>37266</v>
      </c>
      <c r="B376" s="6">
        <v>36.49</v>
      </c>
      <c r="C376" s="6"/>
      <c r="D376" s="6"/>
    </row>
    <row r="377" spans="1:4" ht="13" thickBot="1" x14ac:dyDescent="0.3">
      <c r="A377" s="9">
        <f ca="1"/>
        <v>37267</v>
      </c>
      <c r="B377" s="6">
        <v>36.82</v>
      </c>
      <c r="C377" s="6"/>
      <c r="D377" s="6"/>
    </row>
    <row r="378" spans="1:4" ht="13" thickBot="1" x14ac:dyDescent="0.3">
      <c r="A378" s="9">
        <f ca="1"/>
        <v>37268</v>
      </c>
      <c r="B378" s="5">
        <f t="shared" ref="B378:B379" si="53">B377</f>
        <v>36.82</v>
      </c>
      <c r="C378" s="6"/>
      <c r="D378" s="6"/>
    </row>
    <row r="379" spans="1:4" ht="13" thickBot="1" x14ac:dyDescent="0.3">
      <c r="A379" s="9">
        <f ca="1"/>
        <v>37269</v>
      </c>
      <c r="B379" s="5">
        <f t="shared" si="53"/>
        <v>36.82</v>
      </c>
      <c r="C379" s="6"/>
      <c r="D379" s="6"/>
    </row>
    <row r="380" spans="1:4" ht="13" thickBot="1" x14ac:dyDescent="0.3">
      <c r="A380" s="9">
        <f ca="1"/>
        <v>37270</v>
      </c>
      <c r="B380" s="6">
        <v>36.65</v>
      </c>
      <c r="C380" s="6"/>
      <c r="D380" s="6"/>
    </row>
    <row r="381" spans="1:4" ht="13" thickBot="1" x14ac:dyDescent="0.3">
      <c r="A381" s="9">
        <f ca="1"/>
        <v>37271</v>
      </c>
      <c r="B381" s="6">
        <v>36.130000000000003</v>
      </c>
      <c r="C381" s="6"/>
      <c r="D381" s="6"/>
    </row>
    <row r="382" spans="1:4" ht="13" thickBot="1" x14ac:dyDescent="0.3">
      <c r="A382" s="9">
        <f ca="1"/>
        <v>37272</v>
      </c>
      <c r="B382" s="6">
        <v>35.340000000000003</v>
      </c>
      <c r="C382" s="6"/>
      <c r="D382" s="6"/>
    </row>
    <row r="383" spans="1:4" ht="13" thickBot="1" x14ac:dyDescent="0.3">
      <c r="A383" s="9">
        <f ca="1"/>
        <v>37273</v>
      </c>
      <c r="B383" s="6">
        <v>36</v>
      </c>
      <c r="C383" s="6"/>
      <c r="D383" s="6"/>
    </row>
    <row r="384" spans="1:4" ht="13" thickBot="1" x14ac:dyDescent="0.3">
      <c r="A384" s="9">
        <f ca="1"/>
        <v>37274</v>
      </c>
      <c r="B384" s="6">
        <v>35.15</v>
      </c>
      <c r="C384" s="6"/>
      <c r="D384" s="6"/>
    </row>
    <row r="385" spans="1:4" ht="13" thickBot="1" x14ac:dyDescent="0.3">
      <c r="A385" s="9">
        <f ca="1"/>
        <v>37275</v>
      </c>
      <c r="B385" s="5">
        <f t="shared" ref="B385:B387" si="54">B384</f>
        <v>35.15</v>
      </c>
      <c r="C385" s="6"/>
      <c r="D385" s="6"/>
    </row>
    <row r="386" spans="1:4" ht="13" thickBot="1" x14ac:dyDescent="0.3">
      <c r="A386" s="9">
        <f ca="1"/>
        <v>37276</v>
      </c>
      <c r="B386" s="5">
        <f t="shared" si="54"/>
        <v>35.15</v>
      </c>
      <c r="C386" s="6"/>
      <c r="D386" s="6"/>
    </row>
    <row r="387" spans="1:4" ht="13" thickBot="1" x14ac:dyDescent="0.3">
      <c r="A387" s="9">
        <f ca="1"/>
        <v>37277</v>
      </c>
      <c r="B387" s="5">
        <f t="shared" si="54"/>
        <v>35.15</v>
      </c>
      <c r="C387" s="6"/>
      <c r="D387" s="6"/>
    </row>
    <row r="388" spans="1:4" ht="13" thickBot="1" x14ac:dyDescent="0.3">
      <c r="A388" s="9">
        <f ca="1"/>
        <v>37278</v>
      </c>
      <c r="B388" s="6">
        <v>35.520000000000003</v>
      </c>
      <c r="C388" s="6"/>
      <c r="D388" s="6"/>
    </row>
    <row r="389" spans="1:4" ht="13" thickBot="1" x14ac:dyDescent="0.3">
      <c r="A389" s="9">
        <f ca="1"/>
        <v>37279</v>
      </c>
      <c r="B389" s="6">
        <v>35.44</v>
      </c>
      <c r="C389" s="6"/>
      <c r="D389" s="6"/>
    </row>
    <row r="390" spans="1:4" ht="13" thickBot="1" x14ac:dyDescent="0.3">
      <c r="A390" s="9">
        <f ca="1"/>
        <v>37280</v>
      </c>
      <c r="B390" s="6">
        <v>37.11</v>
      </c>
      <c r="C390" s="6"/>
      <c r="D390" s="6"/>
    </row>
    <row r="391" spans="1:4" ht="13" thickBot="1" x14ac:dyDescent="0.3">
      <c r="A391" s="9">
        <f ca="1"/>
        <v>37281</v>
      </c>
      <c r="B391" s="6">
        <v>35.549999999999997</v>
      </c>
      <c r="C391" s="6"/>
      <c r="D391" s="6"/>
    </row>
    <row r="392" spans="1:4" ht="13" thickBot="1" x14ac:dyDescent="0.3">
      <c r="A392" s="9">
        <f ca="1"/>
        <v>37282</v>
      </c>
      <c r="B392" s="5">
        <f t="shared" ref="B392:B393" si="55">B391</f>
        <v>35.549999999999997</v>
      </c>
      <c r="C392" s="6"/>
      <c r="D392" s="6"/>
    </row>
    <row r="393" spans="1:4" ht="13" thickBot="1" x14ac:dyDescent="0.3">
      <c r="A393" s="9">
        <f ca="1"/>
        <v>37283</v>
      </c>
      <c r="B393" s="5">
        <f t="shared" si="55"/>
        <v>35.549999999999997</v>
      </c>
      <c r="C393" s="6"/>
      <c r="D393" s="6"/>
    </row>
    <row r="394" spans="1:4" ht="13" thickBot="1" x14ac:dyDescent="0.3">
      <c r="A394" s="9">
        <f ca="1"/>
        <v>37284</v>
      </c>
      <c r="B394" s="6">
        <v>36.299999999999997</v>
      </c>
      <c r="C394" s="6"/>
      <c r="D394" s="6"/>
    </row>
    <row r="395" spans="1:4" ht="13" thickBot="1" x14ac:dyDescent="0.3">
      <c r="A395" s="9">
        <f ca="1"/>
        <v>37285</v>
      </c>
      <c r="B395" s="6">
        <v>35.950000000000003</v>
      </c>
      <c r="C395" s="6"/>
      <c r="D395" s="6"/>
    </row>
    <row r="396" spans="1:4" ht="13" thickBot="1" x14ac:dyDescent="0.3">
      <c r="A396" s="9">
        <f ca="1"/>
        <v>37286</v>
      </c>
      <c r="B396" s="6">
        <v>34.479999999999997</v>
      </c>
      <c r="C396" s="6"/>
      <c r="D396" s="6"/>
    </row>
    <row r="397" spans="1:4" ht="13" thickBot="1" x14ac:dyDescent="0.3">
      <c r="A397" s="9">
        <f ca="1"/>
        <v>37287</v>
      </c>
      <c r="B397" s="6">
        <v>35</v>
      </c>
      <c r="C397" s="6"/>
      <c r="D397" s="6"/>
    </row>
    <row r="398" spans="1:4" ht="13" thickBot="1" x14ac:dyDescent="0.3">
      <c r="A398" s="9">
        <f ca="1"/>
        <v>37288</v>
      </c>
      <c r="B398" s="6">
        <v>35.51</v>
      </c>
      <c r="C398" s="6"/>
      <c r="D398" s="6"/>
    </row>
    <row r="399" spans="1:4" ht="13" thickBot="1" x14ac:dyDescent="0.3">
      <c r="A399" s="9">
        <f ca="1"/>
        <v>37289</v>
      </c>
      <c r="B399" s="5">
        <f t="shared" ref="B399:B400" si="56">B398</f>
        <v>35.51</v>
      </c>
      <c r="C399" s="6"/>
      <c r="D399" s="6"/>
    </row>
    <row r="400" spans="1:4" ht="13" thickBot="1" x14ac:dyDescent="0.3">
      <c r="A400" s="9">
        <f ca="1"/>
        <v>37290</v>
      </c>
      <c r="B400" s="5">
        <f t="shared" si="56"/>
        <v>35.51</v>
      </c>
      <c r="C400" s="6"/>
      <c r="D400" s="6"/>
    </row>
    <row r="401" spans="1:4" ht="13" thickBot="1" x14ac:dyDescent="0.3">
      <c r="A401" s="9">
        <f ca="1"/>
        <v>37291</v>
      </c>
      <c r="B401" s="6">
        <v>35.18</v>
      </c>
      <c r="C401" s="6"/>
      <c r="D401" s="6"/>
    </row>
    <row r="402" spans="1:4" ht="13" thickBot="1" x14ac:dyDescent="0.3">
      <c r="A402" s="9">
        <f ca="1"/>
        <v>37292</v>
      </c>
      <c r="B402" s="6">
        <v>34.22</v>
      </c>
      <c r="C402" s="6"/>
      <c r="D402" s="6"/>
    </row>
    <row r="403" spans="1:4" ht="13" thickBot="1" x14ac:dyDescent="0.3">
      <c r="A403" s="9">
        <f ca="1"/>
        <v>37293</v>
      </c>
      <c r="B403" s="6">
        <v>33.6</v>
      </c>
      <c r="C403" s="6"/>
      <c r="D403" s="6"/>
    </row>
    <row r="404" spans="1:4" ht="13" thickBot="1" x14ac:dyDescent="0.3">
      <c r="A404" s="9">
        <f ca="1"/>
        <v>37294</v>
      </c>
      <c r="B404" s="6">
        <v>33.409999999999997</v>
      </c>
      <c r="C404" s="6"/>
      <c r="D404" s="6"/>
    </row>
    <row r="405" spans="1:4" ht="13" thickBot="1" x14ac:dyDescent="0.3">
      <c r="A405" s="9">
        <f ca="1"/>
        <v>37295</v>
      </c>
      <c r="B405" s="6">
        <v>33.130000000000003</v>
      </c>
      <c r="C405" s="6"/>
      <c r="D405" s="6"/>
    </row>
    <row r="406" spans="1:4" ht="13" thickBot="1" x14ac:dyDescent="0.3">
      <c r="A406" s="9">
        <f ca="1"/>
        <v>37296</v>
      </c>
      <c r="B406" s="5">
        <f t="shared" ref="B406:B407" si="57">B405</f>
        <v>33.130000000000003</v>
      </c>
      <c r="C406" s="6"/>
      <c r="D406" s="6"/>
    </row>
    <row r="407" spans="1:4" ht="13" thickBot="1" x14ac:dyDescent="0.3">
      <c r="A407" s="9">
        <f ca="1"/>
        <v>37297</v>
      </c>
      <c r="B407" s="5">
        <f t="shared" si="57"/>
        <v>33.130000000000003</v>
      </c>
      <c r="C407" s="6"/>
      <c r="D407" s="6"/>
    </row>
    <row r="408" spans="1:4" ht="13" thickBot="1" x14ac:dyDescent="0.3">
      <c r="A408" s="9">
        <f ca="1"/>
        <v>37298</v>
      </c>
      <c r="B408" s="6">
        <v>33.92</v>
      </c>
      <c r="C408" s="6"/>
      <c r="D408" s="6"/>
    </row>
    <row r="409" spans="1:4" ht="13" thickBot="1" x14ac:dyDescent="0.3">
      <c r="A409" s="9">
        <f ca="1"/>
        <v>37299</v>
      </c>
      <c r="B409" s="6">
        <v>34.4</v>
      </c>
      <c r="C409" s="6"/>
      <c r="D409" s="6"/>
    </row>
    <row r="410" spans="1:4" ht="13" thickBot="1" x14ac:dyDescent="0.3">
      <c r="A410" s="9">
        <f ca="1"/>
        <v>37300</v>
      </c>
      <c r="B410" s="6">
        <v>34.44</v>
      </c>
      <c r="C410" s="6"/>
      <c r="D410" s="6"/>
    </row>
    <row r="411" spans="1:4" ht="13" thickBot="1" x14ac:dyDescent="0.3">
      <c r="A411" s="9">
        <f ca="1"/>
        <v>37301</v>
      </c>
      <c r="B411" s="6">
        <v>34.76</v>
      </c>
      <c r="C411" s="6"/>
      <c r="D411" s="6"/>
    </row>
    <row r="412" spans="1:4" ht="13" thickBot="1" x14ac:dyDescent="0.3">
      <c r="A412" s="9">
        <f ca="1"/>
        <v>37302</v>
      </c>
      <c r="B412" s="6">
        <v>34.76</v>
      </c>
      <c r="C412" s="6"/>
      <c r="D412" s="6"/>
    </row>
    <row r="413" spans="1:4" ht="13" thickBot="1" x14ac:dyDescent="0.3">
      <c r="A413" s="9">
        <f ca="1"/>
        <v>37303</v>
      </c>
      <c r="B413" s="5">
        <f t="shared" ref="B413:B415" si="58">B412</f>
        <v>34.76</v>
      </c>
      <c r="C413" s="6"/>
      <c r="D413" s="6"/>
    </row>
    <row r="414" spans="1:4" ht="13" thickBot="1" x14ac:dyDescent="0.3">
      <c r="A414" s="9">
        <f ca="1"/>
        <v>37304</v>
      </c>
      <c r="B414" s="5">
        <f t="shared" si="58"/>
        <v>34.76</v>
      </c>
      <c r="C414" s="6"/>
      <c r="D414" s="6"/>
    </row>
    <row r="415" spans="1:4" ht="13" thickBot="1" x14ac:dyDescent="0.3">
      <c r="A415" s="9">
        <f ca="1"/>
        <v>37305</v>
      </c>
      <c r="B415" s="5">
        <f t="shared" si="58"/>
        <v>34.76</v>
      </c>
      <c r="C415" s="6"/>
      <c r="D415" s="6"/>
    </row>
    <row r="416" spans="1:4" ht="13" thickBot="1" x14ac:dyDescent="0.3">
      <c r="A416" s="9">
        <f ca="1"/>
        <v>37306</v>
      </c>
      <c r="B416" s="6">
        <v>33.21</v>
      </c>
      <c r="C416" s="6"/>
      <c r="D416" s="6"/>
    </row>
    <row r="417" spans="1:4" ht="13" thickBot="1" x14ac:dyDescent="0.3">
      <c r="A417" s="9">
        <f ca="1"/>
        <v>37307</v>
      </c>
      <c r="B417" s="6">
        <v>33.04</v>
      </c>
      <c r="C417" s="6"/>
      <c r="D417" s="6"/>
    </row>
    <row r="418" spans="1:4" ht="13" thickBot="1" x14ac:dyDescent="0.3">
      <c r="A418" s="9">
        <f ca="1"/>
        <v>37308</v>
      </c>
      <c r="B418" s="6">
        <v>33.5</v>
      </c>
      <c r="C418" s="6"/>
      <c r="D418" s="6"/>
    </row>
    <row r="419" spans="1:4" ht="13" thickBot="1" x14ac:dyDescent="0.3">
      <c r="A419" s="9">
        <f ca="1"/>
        <v>37309</v>
      </c>
      <c r="B419" s="6">
        <v>32.82</v>
      </c>
      <c r="C419" s="6"/>
      <c r="D419" s="6"/>
    </row>
    <row r="420" spans="1:4" ht="13" thickBot="1" x14ac:dyDescent="0.3">
      <c r="A420" s="9">
        <f ca="1"/>
        <v>37310</v>
      </c>
      <c r="B420" s="5">
        <f t="shared" ref="B420:B421" si="59">B419</f>
        <v>32.82</v>
      </c>
      <c r="C420" s="6"/>
      <c r="D420" s="6"/>
    </row>
    <row r="421" spans="1:4" ht="13" thickBot="1" x14ac:dyDescent="0.3">
      <c r="A421" s="9">
        <f ca="1"/>
        <v>37311</v>
      </c>
      <c r="B421" s="5">
        <f t="shared" si="59"/>
        <v>32.82</v>
      </c>
      <c r="C421" s="6"/>
      <c r="D421" s="6"/>
    </row>
    <row r="422" spans="1:4" ht="13" thickBot="1" x14ac:dyDescent="0.3">
      <c r="A422" s="9">
        <f ca="1"/>
        <v>37312</v>
      </c>
      <c r="B422" s="6">
        <v>33.35</v>
      </c>
      <c r="C422" s="6"/>
      <c r="D422" s="6"/>
    </row>
    <row r="423" spans="1:4" ht="13" thickBot="1" x14ac:dyDescent="0.3">
      <c r="A423" s="9">
        <f ca="1"/>
        <v>37313</v>
      </c>
      <c r="B423" s="6">
        <v>34.549999999999997</v>
      </c>
      <c r="C423" s="6"/>
      <c r="D423" s="6"/>
    </row>
    <row r="424" spans="1:4" ht="13" thickBot="1" x14ac:dyDescent="0.3">
      <c r="A424" s="9">
        <f ca="1"/>
        <v>37314</v>
      </c>
      <c r="B424" s="6">
        <v>34.299999999999997</v>
      </c>
      <c r="C424" s="6"/>
      <c r="D424" s="6"/>
    </row>
    <row r="425" spans="1:4" ht="13" thickBot="1" x14ac:dyDescent="0.3">
      <c r="A425" s="9">
        <f ca="1"/>
        <v>37315</v>
      </c>
      <c r="B425" s="6">
        <v>34.200000000000003</v>
      </c>
      <c r="C425" s="6"/>
      <c r="D425" s="6"/>
    </row>
    <row r="426" spans="1:4" ht="13" thickBot="1" x14ac:dyDescent="0.3">
      <c r="A426" s="9">
        <f ca="1"/>
        <v>37316</v>
      </c>
      <c r="B426" s="6">
        <v>33.880000000000003</v>
      </c>
      <c r="C426" s="6"/>
      <c r="D426" s="6"/>
    </row>
    <row r="427" spans="1:4" ht="13" thickBot="1" x14ac:dyDescent="0.3">
      <c r="A427" s="9">
        <f ca="1"/>
        <v>37317</v>
      </c>
      <c r="B427" s="5">
        <f t="shared" ref="B427:B428" si="60">B426</f>
        <v>33.880000000000003</v>
      </c>
      <c r="C427" s="6"/>
      <c r="D427" s="6"/>
    </row>
    <row r="428" spans="1:4" ht="13" thickBot="1" x14ac:dyDescent="0.3">
      <c r="A428" s="9">
        <f ca="1"/>
        <v>37318</v>
      </c>
      <c r="B428" s="5">
        <f t="shared" si="60"/>
        <v>33.880000000000003</v>
      </c>
      <c r="C428" s="6"/>
      <c r="D428" s="6"/>
    </row>
    <row r="429" spans="1:4" ht="13" thickBot="1" x14ac:dyDescent="0.3">
      <c r="A429" s="9">
        <f ca="1"/>
        <v>37319</v>
      </c>
      <c r="B429" s="6">
        <v>34.909999999999997</v>
      </c>
      <c r="C429" s="6"/>
      <c r="D429" s="6"/>
    </row>
    <row r="430" spans="1:4" ht="13" thickBot="1" x14ac:dyDescent="0.3">
      <c r="A430" s="9">
        <f ca="1"/>
        <v>37320</v>
      </c>
      <c r="B430" s="6">
        <v>35.229999999999997</v>
      </c>
      <c r="C430" s="6"/>
      <c r="D430" s="6"/>
    </row>
    <row r="431" spans="1:4" ht="13" thickBot="1" x14ac:dyDescent="0.3">
      <c r="A431" s="9">
        <f ca="1"/>
        <v>37321</v>
      </c>
      <c r="B431" s="6">
        <v>35.74</v>
      </c>
      <c r="C431" s="6"/>
      <c r="D431" s="6"/>
    </row>
    <row r="432" spans="1:4" ht="13" thickBot="1" x14ac:dyDescent="0.3">
      <c r="A432" s="9">
        <f ca="1"/>
        <v>37322</v>
      </c>
      <c r="B432" s="6">
        <v>37.1</v>
      </c>
      <c r="C432" s="6"/>
      <c r="D432" s="6"/>
    </row>
    <row r="433" spans="1:4" ht="13" thickBot="1" x14ac:dyDescent="0.3">
      <c r="A433" s="9">
        <f ca="1"/>
        <v>37323</v>
      </c>
      <c r="B433" s="6">
        <v>36.44</v>
      </c>
      <c r="C433" s="6"/>
      <c r="D433" s="6"/>
    </row>
    <row r="434" spans="1:4" ht="13" thickBot="1" x14ac:dyDescent="0.3">
      <c r="A434" s="9">
        <f ca="1"/>
        <v>37324</v>
      </c>
      <c r="B434" s="5">
        <f t="shared" ref="B434:B435" si="61">B433</f>
        <v>36.44</v>
      </c>
      <c r="C434" s="6"/>
      <c r="D434" s="6"/>
    </row>
    <row r="435" spans="1:4" ht="13" thickBot="1" x14ac:dyDescent="0.3">
      <c r="A435" s="9">
        <f ca="1"/>
        <v>37325</v>
      </c>
      <c r="B435" s="5">
        <f t="shared" si="61"/>
        <v>36.44</v>
      </c>
      <c r="C435" s="6"/>
      <c r="D435" s="6"/>
    </row>
    <row r="436" spans="1:4" ht="13" thickBot="1" x14ac:dyDescent="0.3">
      <c r="A436" s="9">
        <f ca="1"/>
        <v>37326</v>
      </c>
      <c r="B436" s="6">
        <v>36.049999999999997</v>
      </c>
      <c r="C436" s="6"/>
      <c r="D436" s="6"/>
    </row>
    <row r="437" spans="1:4" ht="13" thickBot="1" x14ac:dyDescent="0.3">
      <c r="A437" s="9">
        <f ca="1"/>
        <v>37327</v>
      </c>
      <c r="B437" s="6">
        <v>35.880000000000003</v>
      </c>
      <c r="C437" s="6"/>
      <c r="D437" s="6"/>
    </row>
    <row r="438" spans="1:4" ht="13" thickBot="1" x14ac:dyDescent="0.3">
      <c r="A438" s="9">
        <f ca="1"/>
        <v>37328</v>
      </c>
      <c r="B438" s="6">
        <v>36.32</v>
      </c>
      <c r="C438" s="6"/>
      <c r="D438" s="6"/>
    </row>
    <row r="439" spans="1:4" ht="13" thickBot="1" x14ac:dyDescent="0.3">
      <c r="A439" s="9">
        <f ca="1"/>
        <v>37329</v>
      </c>
      <c r="B439" s="6">
        <v>36.75</v>
      </c>
      <c r="C439" s="6"/>
      <c r="D439" s="6"/>
    </row>
    <row r="440" spans="1:4" ht="13" thickBot="1" x14ac:dyDescent="0.3">
      <c r="A440" s="9">
        <f ca="1"/>
        <v>37330</v>
      </c>
      <c r="B440" s="6">
        <v>36.549999999999997</v>
      </c>
      <c r="C440" s="6"/>
      <c r="D440" s="6"/>
    </row>
    <row r="441" spans="1:4" ht="13" thickBot="1" x14ac:dyDescent="0.3">
      <c r="A441" s="9">
        <f ca="1"/>
        <v>37331</v>
      </c>
      <c r="B441" s="5">
        <f t="shared" ref="B441:B442" si="62">B440</f>
        <v>36.549999999999997</v>
      </c>
      <c r="C441" s="6"/>
      <c r="D441" s="6"/>
    </row>
    <row r="442" spans="1:4" ht="13" thickBot="1" x14ac:dyDescent="0.3">
      <c r="A442" s="9">
        <f ca="1"/>
        <v>37332</v>
      </c>
      <c r="B442" s="5">
        <f t="shared" si="62"/>
        <v>36.549999999999997</v>
      </c>
      <c r="C442" s="6"/>
      <c r="D442" s="6"/>
    </row>
    <row r="443" spans="1:4" ht="13" thickBot="1" x14ac:dyDescent="0.3">
      <c r="A443" s="9">
        <f ca="1"/>
        <v>37333</v>
      </c>
      <c r="B443" s="6">
        <v>38.17</v>
      </c>
      <c r="C443" s="6"/>
      <c r="D443" s="6"/>
    </row>
    <row r="444" spans="1:4" ht="13" thickBot="1" x14ac:dyDescent="0.3">
      <c r="A444" s="9">
        <f ca="1"/>
        <v>37334</v>
      </c>
      <c r="B444" s="6">
        <v>38.840000000000003</v>
      </c>
      <c r="C444" s="6"/>
      <c r="D444" s="6"/>
    </row>
    <row r="445" spans="1:4" ht="13" thickBot="1" x14ac:dyDescent="0.3">
      <c r="A445" s="9">
        <f ca="1"/>
        <v>37335</v>
      </c>
      <c r="B445" s="6">
        <v>37.799999999999997</v>
      </c>
      <c r="C445" s="6"/>
      <c r="D445" s="6"/>
    </row>
    <row r="446" spans="1:4" ht="13" thickBot="1" x14ac:dyDescent="0.3">
      <c r="A446" s="9">
        <f ca="1"/>
        <v>37336</v>
      </c>
      <c r="B446" s="6">
        <v>37.4</v>
      </c>
      <c r="C446" s="6"/>
      <c r="D446" s="6"/>
    </row>
    <row r="447" spans="1:4" ht="13" thickBot="1" x14ac:dyDescent="0.3">
      <c r="A447" s="9">
        <f ca="1"/>
        <v>37337</v>
      </c>
      <c r="B447" s="6">
        <v>37.6</v>
      </c>
      <c r="C447" s="6"/>
      <c r="D447" s="6"/>
    </row>
    <row r="448" spans="1:4" ht="13" thickBot="1" x14ac:dyDescent="0.3">
      <c r="A448" s="9">
        <f ca="1"/>
        <v>37338</v>
      </c>
      <c r="B448" s="5">
        <f t="shared" ref="B448:B449" si="63">B447</f>
        <v>37.6</v>
      </c>
      <c r="C448" s="6"/>
      <c r="D448" s="6"/>
    </row>
    <row r="449" spans="1:4" ht="13" thickBot="1" x14ac:dyDescent="0.3">
      <c r="A449" s="9">
        <f ca="1"/>
        <v>37339</v>
      </c>
      <c r="B449" s="5">
        <f t="shared" si="63"/>
        <v>37.6</v>
      </c>
      <c r="C449" s="6"/>
      <c r="D449" s="6"/>
    </row>
    <row r="450" spans="1:4" ht="13" thickBot="1" x14ac:dyDescent="0.3">
      <c r="A450" s="9">
        <f ca="1"/>
        <v>37340</v>
      </c>
      <c r="B450" s="6">
        <v>37.15</v>
      </c>
      <c r="C450" s="6"/>
      <c r="D450" s="6"/>
    </row>
    <row r="451" spans="1:4" ht="13" thickBot="1" x14ac:dyDescent="0.3">
      <c r="A451" s="9">
        <f ca="1"/>
        <v>37341</v>
      </c>
      <c r="B451" s="6">
        <v>37.1</v>
      </c>
      <c r="C451" s="6"/>
      <c r="D451" s="6"/>
    </row>
    <row r="452" spans="1:4" ht="13" thickBot="1" x14ac:dyDescent="0.3">
      <c r="A452" s="9">
        <f ca="1"/>
        <v>37342</v>
      </c>
      <c r="B452" s="6">
        <v>37.909999999999997</v>
      </c>
      <c r="C452" s="6"/>
      <c r="D452" s="6"/>
    </row>
    <row r="453" spans="1:4" ht="13" thickBot="1" x14ac:dyDescent="0.3">
      <c r="A453" s="9">
        <f ca="1"/>
        <v>37343</v>
      </c>
      <c r="B453" s="6">
        <v>38.01</v>
      </c>
      <c r="C453" s="6"/>
      <c r="D453" s="6"/>
    </row>
    <row r="454" spans="1:4" ht="13" thickBot="1" x14ac:dyDescent="0.3">
      <c r="A454" s="9">
        <f ca="1"/>
        <v>37344</v>
      </c>
      <c r="B454" s="5">
        <f t="shared" ref="B454:B456" si="64">B453</f>
        <v>38.01</v>
      </c>
      <c r="C454" s="6"/>
      <c r="D454" s="6"/>
    </row>
    <row r="455" spans="1:4" ht="13" thickBot="1" x14ac:dyDescent="0.3">
      <c r="A455" s="9">
        <f ca="1"/>
        <v>37345</v>
      </c>
      <c r="B455" s="5">
        <f t="shared" si="64"/>
        <v>38.01</v>
      </c>
      <c r="C455" s="6"/>
      <c r="D455" s="6"/>
    </row>
    <row r="456" spans="1:4" ht="13" thickBot="1" x14ac:dyDescent="0.3">
      <c r="A456" s="9">
        <f ca="1"/>
        <v>37346</v>
      </c>
      <c r="B456" s="5">
        <f t="shared" si="64"/>
        <v>38.01</v>
      </c>
      <c r="C456" s="6"/>
      <c r="D456" s="6"/>
    </row>
    <row r="457" spans="1:4" ht="13" thickBot="1" x14ac:dyDescent="0.3">
      <c r="A457" s="9">
        <f ca="1"/>
        <v>37347</v>
      </c>
      <c r="B457" s="6">
        <v>37.200000000000003</v>
      </c>
      <c r="C457" s="6"/>
      <c r="D457" s="6"/>
    </row>
    <row r="458" spans="1:4" ht="13" thickBot="1" x14ac:dyDescent="0.3">
      <c r="A458" s="9">
        <f ca="1"/>
        <v>37348</v>
      </c>
      <c r="B458" s="6">
        <v>36.4</v>
      </c>
      <c r="C458" s="6"/>
      <c r="D458" s="6"/>
    </row>
    <row r="459" spans="1:4" ht="13" thickBot="1" x14ac:dyDescent="0.3">
      <c r="A459" s="9">
        <f ca="1"/>
        <v>37349</v>
      </c>
      <c r="B459" s="6">
        <v>35.4</v>
      </c>
      <c r="C459" s="6"/>
      <c r="D459" s="6"/>
    </row>
    <row r="460" spans="1:4" ht="13" thickBot="1" x14ac:dyDescent="0.3">
      <c r="A460" s="9">
        <f ca="1"/>
        <v>37350</v>
      </c>
      <c r="B460" s="6">
        <v>35.01</v>
      </c>
      <c r="C460" s="6"/>
      <c r="D460" s="6"/>
    </row>
    <row r="461" spans="1:4" ht="13" thickBot="1" x14ac:dyDescent="0.3">
      <c r="A461" s="9">
        <f ca="1"/>
        <v>37351</v>
      </c>
      <c r="B461" s="6">
        <v>35.49</v>
      </c>
      <c r="C461" s="6"/>
      <c r="D461" s="6"/>
    </row>
    <row r="462" spans="1:4" ht="13" thickBot="1" x14ac:dyDescent="0.3">
      <c r="A462" s="9">
        <f ca="1"/>
        <v>37352</v>
      </c>
      <c r="B462" s="5">
        <f t="shared" ref="B462:B463" si="65">B461</f>
        <v>35.49</v>
      </c>
      <c r="C462" s="6"/>
      <c r="D462" s="6"/>
    </row>
    <row r="463" spans="1:4" ht="13" thickBot="1" x14ac:dyDescent="0.3">
      <c r="A463" s="9">
        <f ca="1"/>
        <v>37353</v>
      </c>
      <c r="B463" s="5">
        <f t="shared" si="65"/>
        <v>35.49</v>
      </c>
      <c r="C463" s="6"/>
      <c r="D463" s="6"/>
    </row>
    <row r="464" spans="1:4" ht="13" thickBot="1" x14ac:dyDescent="0.3">
      <c r="A464" s="9">
        <f ca="1"/>
        <v>37354</v>
      </c>
      <c r="B464" s="6">
        <v>33.44</v>
      </c>
      <c r="C464" s="6"/>
      <c r="D464" s="6"/>
    </row>
    <row r="465" spans="1:4" ht="13" thickBot="1" x14ac:dyDescent="0.3">
      <c r="A465" s="9">
        <f ca="1"/>
        <v>37355</v>
      </c>
      <c r="B465" s="6">
        <v>34.03</v>
      </c>
      <c r="C465" s="6"/>
      <c r="D465" s="6"/>
    </row>
    <row r="466" spans="1:4" ht="13" thickBot="1" x14ac:dyDescent="0.3">
      <c r="A466" s="9">
        <f ca="1"/>
        <v>37356</v>
      </c>
      <c r="B466" s="6">
        <v>34.08</v>
      </c>
      <c r="C466" s="6"/>
      <c r="D466" s="6"/>
    </row>
    <row r="467" spans="1:4" ht="13" thickBot="1" x14ac:dyDescent="0.3">
      <c r="A467" s="9">
        <f ca="1"/>
        <v>37357</v>
      </c>
      <c r="B467" s="6">
        <v>33.89</v>
      </c>
      <c r="C467" s="6"/>
      <c r="D467" s="6"/>
    </row>
    <row r="468" spans="1:4" ht="13" thickBot="1" x14ac:dyDescent="0.3">
      <c r="A468" s="9">
        <f ca="1"/>
        <v>37358</v>
      </c>
      <c r="B468" s="6">
        <v>32.64</v>
      </c>
      <c r="C468" s="6"/>
      <c r="D468" s="6"/>
    </row>
    <row r="469" spans="1:4" ht="13" thickBot="1" x14ac:dyDescent="0.3">
      <c r="A469" s="9">
        <f ca="1"/>
        <v>37359</v>
      </c>
      <c r="B469" s="5">
        <f t="shared" ref="B469:B470" si="66">B468</f>
        <v>32.64</v>
      </c>
      <c r="C469" s="6"/>
      <c r="D469" s="6"/>
    </row>
    <row r="470" spans="1:4" ht="13" thickBot="1" x14ac:dyDescent="0.3">
      <c r="A470" s="9">
        <f ca="1"/>
        <v>37360</v>
      </c>
      <c r="B470" s="5">
        <f t="shared" si="66"/>
        <v>32.64</v>
      </c>
      <c r="C470" s="6"/>
      <c r="D470" s="6"/>
    </row>
    <row r="471" spans="1:4" ht="13" thickBot="1" x14ac:dyDescent="0.3">
      <c r="A471" s="9">
        <f ca="1"/>
        <v>37361</v>
      </c>
      <c r="B471" s="6">
        <v>33.74</v>
      </c>
      <c r="C471" s="6"/>
      <c r="D471" s="6"/>
    </row>
    <row r="472" spans="1:4" ht="13" thickBot="1" x14ac:dyDescent="0.3">
      <c r="A472" s="9">
        <f ca="1"/>
        <v>37362</v>
      </c>
      <c r="B472" s="6">
        <v>34.65</v>
      </c>
      <c r="C472" s="6"/>
      <c r="D472" s="6"/>
    </row>
    <row r="473" spans="1:4" ht="13" thickBot="1" x14ac:dyDescent="0.3">
      <c r="A473" s="9">
        <f ca="1"/>
        <v>37363</v>
      </c>
      <c r="B473" s="6">
        <v>34.65</v>
      </c>
      <c r="C473" s="6"/>
      <c r="D473" s="6"/>
    </row>
    <row r="474" spans="1:4" ht="13" thickBot="1" x14ac:dyDescent="0.3">
      <c r="A474" s="9">
        <f ca="1"/>
        <v>37364</v>
      </c>
      <c r="B474" s="6">
        <v>34.06</v>
      </c>
      <c r="C474" s="6"/>
      <c r="D474" s="6"/>
    </row>
    <row r="475" spans="1:4" ht="13" thickBot="1" x14ac:dyDescent="0.3">
      <c r="A475" s="9">
        <f ca="1"/>
        <v>37365</v>
      </c>
      <c r="B475" s="6">
        <v>35.08</v>
      </c>
      <c r="C475" s="6"/>
      <c r="D475" s="6"/>
    </row>
    <row r="476" spans="1:4" ht="13" thickBot="1" x14ac:dyDescent="0.3">
      <c r="A476" s="9">
        <f ca="1"/>
        <v>37366</v>
      </c>
      <c r="B476" s="5">
        <f t="shared" ref="B476:B477" si="67">B475</f>
        <v>35.08</v>
      </c>
      <c r="C476" s="6"/>
      <c r="D476" s="6"/>
    </row>
    <row r="477" spans="1:4" ht="13" thickBot="1" x14ac:dyDescent="0.3">
      <c r="A477" s="9">
        <f ca="1"/>
        <v>37367</v>
      </c>
      <c r="B477" s="5">
        <f t="shared" si="67"/>
        <v>35.08</v>
      </c>
      <c r="C477" s="6"/>
      <c r="D477" s="6"/>
    </row>
    <row r="478" spans="1:4" ht="13" thickBot="1" x14ac:dyDescent="0.3">
      <c r="A478" s="9">
        <f ca="1"/>
        <v>37368</v>
      </c>
      <c r="B478" s="6">
        <v>33.85</v>
      </c>
      <c r="C478" s="6"/>
      <c r="D478" s="6"/>
    </row>
    <row r="479" spans="1:4" ht="13" thickBot="1" x14ac:dyDescent="0.3">
      <c r="A479" s="9">
        <f ca="1"/>
        <v>37369</v>
      </c>
      <c r="B479" s="6">
        <v>33.770000000000003</v>
      </c>
      <c r="C479" s="6"/>
      <c r="D479" s="6"/>
    </row>
    <row r="480" spans="1:4" ht="13" thickBot="1" x14ac:dyDescent="0.3">
      <c r="A480" s="9">
        <f ca="1"/>
        <v>37370</v>
      </c>
      <c r="B480" s="6">
        <v>33.57</v>
      </c>
      <c r="C480" s="6"/>
      <c r="D480" s="6"/>
    </row>
    <row r="481" spans="1:4" ht="13" thickBot="1" x14ac:dyDescent="0.3">
      <c r="A481" s="9">
        <f ca="1"/>
        <v>37371</v>
      </c>
      <c r="B481" s="6">
        <v>32.93</v>
      </c>
      <c r="C481" s="6"/>
      <c r="D481" s="6"/>
    </row>
    <row r="482" spans="1:4" ht="13" thickBot="1" x14ac:dyDescent="0.3">
      <c r="A482" s="9">
        <f ca="1"/>
        <v>37372</v>
      </c>
      <c r="B482" s="6">
        <v>32.89</v>
      </c>
      <c r="C482" s="6"/>
      <c r="D482" s="6"/>
    </row>
    <row r="483" spans="1:4" ht="13" thickBot="1" x14ac:dyDescent="0.3">
      <c r="A483" s="9">
        <f ca="1"/>
        <v>37373</v>
      </c>
      <c r="B483" s="5">
        <f t="shared" ref="B483:B484" si="68">B482</f>
        <v>32.89</v>
      </c>
      <c r="C483" s="6"/>
      <c r="D483" s="6"/>
    </row>
    <row r="484" spans="1:4" ht="13" thickBot="1" x14ac:dyDescent="0.3">
      <c r="A484" s="9">
        <f ca="1"/>
        <v>37374</v>
      </c>
      <c r="B484" s="5">
        <f t="shared" si="68"/>
        <v>32.89</v>
      </c>
      <c r="C484" s="6"/>
      <c r="D484" s="6"/>
    </row>
    <row r="485" spans="1:4" ht="13" thickBot="1" x14ac:dyDescent="0.3">
      <c r="A485" s="9">
        <f ca="1"/>
        <v>37375</v>
      </c>
      <c r="B485" s="6">
        <v>32.11</v>
      </c>
      <c r="C485" s="6"/>
      <c r="D485" s="6"/>
    </row>
    <row r="486" spans="1:4" ht="13" thickBot="1" x14ac:dyDescent="0.3">
      <c r="A486" s="9">
        <f ca="1"/>
        <v>37376</v>
      </c>
      <c r="B486" s="6">
        <v>31.63</v>
      </c>
      <c r="C486" s="6"/>
      <c r="D486" s="6"/>
    </row>
    <row r="487" spans="1:4" ht="13" thickBot="1" x14ac:dyDescent="0.3">
      <c r="A487" s="9">
        <f ca="1"/>
        <v>37377</v>
      </c>
      <c r="B487" s="6">
        <v>32.47</v>
      </c>
      <c r="C487" s="6"/>
      <c r="D487" s="6"/>
    </row>
    <row r="488" spans="1:4" ht="13" thickBot="1" x14ac:dyDescent="0.3">
      <c r="A488" s="9">
        <f ca="1"/>
        <v>37378</v>
      </c>
      <c r="B488" s="6">
        <v>30.82</v>
      </c>
      <c r="C488" s="6"/>
      <c r="D488" s="6"/>
    </row>
    <row r="489" spans="1:4" ht="13" thickBot="1" x14ac:dyDescent="0.3">
      <c r="A489" s="9">
        <f ca="1"/>
        <v>37379</v>
      </c>
      <c r="B489" s="6">
        <v>30.52</v>
      </c>
      <c r="C489" s="6"/>
      <c r="D489" s="6"/>
    </row>
    <row r="490" spans="1:4" ht="13" thickBot="1" x14ac:dyDescent="0.3">
      <c r="A490" s="9">
        <f ca="1"/>
        <v>37380</v>
      </c>
      <c r="B490" s="5">
        <f t="shared" ref="B490:B491" si="69">B489</f>
        <v>30.52</v>
      </c>
      <c r="C490" s="6"/>
      <c r="D490" s="6"/>
    </row>
    <row r="491" spans="1:4" ht="13" thickBot="1" x14ac:dyDescent="0.3">
      <c r="A491" s="9">
        <f ca="1"/>
        <v>37381</v>
      </c>
      <c r="B491" s="5">
        <f t="shared" si="69"/>
        <v>30.52</v>
      </c>
      <c r="C491" s="6"/>
      <c r="D491" s="6"/>
    </row>
    <row r="492" spans="1:4" ht="13" thickBot="1" x14ac:dyDescent="0.3">
      <c r="A492" s="9">
        <f ca="1"/>
        <v>37382</v>
      </c>
      <c r="B492" s="6">
        <v>30.45</v>
      </c>
      <c r="C492" s="6"/>
      <c r="D492" s="6"/>
    </row>
    <row r="493" spans="1:4" ht="13" thickBot="1" x14ac:dyDescent="0.3">
      <c r="A493" s="9">
        <f ca="1"/>
        <v>37383</v>
      </c>
      <c r="B493" s="6">
        <v>29.71</v>
      </c>
      <c r="C493" s="6"/>
      <c r="D493" s="6"/>
    </row>
    <row r="494" spans="1:4" ht="13" thickBot="1" x14ac:dyDescent="0.3">
      <c r="A494" s="9">
        <f ca="1"/>
        <v>37384</v>
      </c>
      <c r="B494" s="6">
        <v>30.6</v>
      </c>
      <c r="C494" s="6"/>
      <c r="D494" s="6"/>
    </row>
    <row r="495" spans="1:4" ht="13" thickBot="1" x14ac:dyDescent="0.3">
      <c r="A495" s="9">
        <f ca="1"/>
        <v>37385</v>
      </c>
      <c r="B495" s="6">
        <v>31.06</v>
      </c>
      <c r="C495" s="6"/>
      <c r="D495" s="6"/>
    </row>
    <row r="496" spans="1:4" ht="13" thickBot="1" x14ac:dyDescent="0.3">
      <c r="A496" s="9">
        <f ca="1"/>
        <v>37386</v>
      </c>
      <c r="B496" s="6">
        <v>29.85</v>
      </c>
      <c r="C496" s="6"/>
      <c r="D496" s="6"/>
    </row>
    <row r="497" spans="1:4" ht="13" thickBot="1" x14ac:dyDescent="0.3">
      <c r="A497" s="9">
        <f ca="1"/>
        <v>37387</v>
      </c>
      <c r="B497" s="5">
        <f t="shared" ref="B497:B498" si="70">B496</f>
        <v>29.85</v>
      </c>
      <c r="C497" s="6"/>
      <c r="D497" s="6"/>
    </row>
    <row r="498" spans="1:4" ht="13" thickBot="1" x14ac:dyDescent="0.3">
      <c r="A498" s="9">
        <f ca="1"/>
        <v>37388</v>
      </c>
      <c r="B498" s="5">
        <f t="shared" si="70"/>
        <v>29.85</v>
      </c>
      <c r="C498" s="6"/>
      <c r="D498" s="6"/>
    </row>
    <row r="499" spans="1:4" ht="13" thickBot="1" x14ac:dyDescent="0.3">
      <c r="A499" s="9">
        <f ca="1"/>
        <v>37389</v>
      </c>
      <c r="B499" s="6">
        <v>29.09</v>
      </c>
      <c r="C499" s="6"/>
      <c r="D499" s="6"/>
    </row>
    <row r="500" spans="1:4" ht="13" thickBot="1" x14ac:dyDescent="0.3">
      <c r="A500" s="9">
        <f ca="1"/>
        <v>37390</v>
      </c>
      <c r="B500" s="6">
        <v>30.98</v>
      </c>
      <c r="C500" s="6"/>
      <c r="D500" s="6"/>
    </row>
    <row r="501" spans="1:4" ht="13" thickBot="1" x14ac:dyDescent="0.3">
      <c r="A501" s="9">
        <f ca="1"/>
        <v>37391</v>
      </c>
      <c r="B501" s="6">
        <v>30.23</v>
      </c>
      <c r="C501" s="6"/>
      <c r="D501" s="6"/>
    </row>
    <row r="502" spans="1:4" ht="13" thickBot="1" x14ac:dyDescent="0.3">
      <c r="A502" s="9">
        <f ca="1"/>
        <v>37392</v>
      </c>
      <c r="B502" s="6">
        <v>30.83</v>
      </c>
      <c r="C502" s="6"/>
      <c r="D502" s="6"/>
    </row>
    <row r="503" spans="1:4" ht="13" thickBot="1" x14ac:dyDescent="0.3">
      <c r="A503" s="9">
        <f ca="1"/>
        <v>37393</v>
      </c>
      <c r="B503" s="6">
        <v>30.66</v>
      </c>
      <c r="C503" s="6"/>
      <c r="D503" s="6"/>
    </row>
    <row r="504" spans="1:4" ht="13" thickBot="1" x14ac:dyDescent="0.3">
      <c r="A504" s="9">
        <f ca="1"/>
        <v>37394</v>
      </c>
      <c r="B504" s="5">
        <f t="shared" ref="B504:B505" si="71">B503</f>
        <v>30.66</v>
      </c>
      <c r="C504" s="6"/>
      <c r="D504" s="6"/>
    </row>
    <row r="505" spans="1:4" ht="13" thickBot="1" x14ac:dyDescent="0.3">
      <c r="A505" s="9">
        <f ca="1"/>
        <v>37395</v>
      </c>
      <c r="B505" s="5">
        <f t="shared" si="71"/>
        <v>30.66</v>
      </c>
      <c r="C505" s="6"/>
      <c r="D505" s="6"/>
    </row>
    <row r="506" spans="1:4" ht="13" thickBot="1" x14ac:dyDescent="0.3">
      <c r="A506" s="9">
        <f ca="1"/>
        <v>37396</v>
      </c>
      <c r="B506" s="6">
        <v>30.04</v>
      </c>
      <c r="C506" s="6"/>
      <c r="D506" s="6"/>
    </row>
    <row r="507" spans="1:4" ht="13" thickBot="1" x14ac:dyDescent="0.3">
      <c r="A507" s="9">
        <f ca="1"/>
        <v>37397</v>
      </c>
      <c r="B507" s="6">
        <v>29.28</v>
      </c>
      <c r="C507" s="6"/>
      <c r="D507" s="6"/>
    </row>
    <row r="508" spans="1:4" ht="13" thickBot="1" x14ac:dyDescent="0.3">
      <c r="A508" s="9">
        <f ca="1"/>
        <v>37398</v>
      </c>
      <c r="B508" s="6">
        <v>27.1</v>
      </c>
      <c r="C508" s="6"/>
      <c r="D508" s="6"/>
    </row>
    <row r="509" spans="1:4" ht="13" thickBot="1" x14ac:dyDescent="0.3">
      <c r="A509" s="9">
        <f ca="1"/>
        <v>37399</v>
      </c>
      <c r="B509" s="6">
        <v>27.16</v>
      </c>
      <c r="C509" s="6"/>
      <c r="D509" s="6"/>
    </row>
    <row r="510" spans="1:4" ht="13" thickBot="1" x14ac:dyDescent="0.3">
      <c r="A510" s="9">
        <f ca="1"/>
        <v>37400</v>
      </c>
      <c r="B510" s="6">
        <v>26.65</v>
      </c>
      <c r="C510" s="6"/>
      <c r="D510" s="6"/>
    </row>
    <row r="511" spans="1:4" ht="13" thickBot="1" x14ac:dyDescent="0.3">
      <c r="A511" s="9">
        <f ca="1"/>
        <v>37401</v>
      </c>
      <c r="B511" s="5">
        <f t="shared" ref="B511:B513" si="72">B510</f>
        <v>26.65</v>
      </c>
      <c r="C511" s="6"/>
      <c r="D511" s="6"/>
    </row>
    <row r="512" spans="1:4" ht="13" thickBot="1" x14ac:dyDescent="0.3">
      <c r="A512" s="9">
        <f ca="1"/>
        <v>37402</v>
      </c>
      <c r="B512" s="5">
        <f t="shared" si="72"/>
        <v>26.65</v>
      </c>
      <c r="C512" s="6"/>
      <c r="D512" s="6"/>
    </row>
    <row r="513" spans="1:4" ht="13" thickBot="1" x14ac:dyDescent="0.3">
      <c r="A513" s="9">
        <f ca="1"/>
        <v>37403</v>
      </c>
      <c r="B513" s="5">
        <f t="shared" si="72"/>
        <v>26.65</v>
      </c>
      <c r="C513" s="6"/>
      <c r="D513" s="6"/>
    </row>
    <row r="514" spans="1:4" ht="13" thickBot="1" x14ac:dyDescent="0.3">
      <c r="A514" s="9">
        <f ca="1"/>
        <v>37404</v>
      </c>
      <c r="B514" s="6">
        <v>27.2</v>
      </c>
      <c r="C514" s="6"/>
      <c r="D514" s="6"/>
    </row>
    <row r="515" spans="1:4" ht="13" thickBot="1" x14ac:dyDescent="0.3">
      <c r="A515" s="9">
        <f ca="1"/>
        <v>37405</v>
      </c>
      <c r="B515" s="6">
        <v>26.68</v>
      </c>
      <c r="C515" s="6"/>
      <c r="D515" s="6"/>
    </row>
    <row r="516" spans="1:4" ht="13" thickBot="1" x14ac:dyDescent="0.3">
      <c r="A516" s="9">
        <f ca="1"/>
        <v>37406</v>
      </c>
      <c r="B516" s="6">
        <v>25.75</v>
      </c>
      <c r="C516" s="6"/>
      <c r="D516" s="6"/>
    </row>
    <row r="517" spans="1:4" ht="13" thickBot="1" x14ac:dyDescent="0.3">
      <c r="A517" s="9">
        <f ca="1"/>
        <v>37407</v>
      </c>
      <c r="B517" s="6">
        <v>26.75</v>
      </c>
      <c r="C517" s="6"/>
      <c r="D517" s="6"/>
    </row>
    <row r="518" spans="1:4" ht="13" thickBot="1" x14ac:dyDescent="0.3">
      <c r="A518" s="9">
        <f ca="1"/>
        <v>37408</v>
      </c>
      <c r="B518" s="5">
        <f t="shared" ref="B518:B519" si="73">B517</f>
        <v>26.75</v>
      </c>
      <c r="C518" s="6"/>
      <c r="D518" s="6"/>
    </row>
    <row r="519" spans="1:4" ht="13" thickBot="1" x14ac:dyDescent="0.3">
      <c r="A519" s="9">
        <f ca="1"/>
        <v>37409</v>
      </c>
      <c r="B519" s="5">
        <f t="shared" si="73"/>
        <v>26.75</v>
      </c>
      <c r="C519" s="6"/>
      <c r="D519" s="6"/>
    </row>
    <row r="520" spans="1:4" ht="13" thickBot="1" x14ac:dyDescent="0.3">
      <c r="A520" s="9">
        <f ca="1"/>
        <v>37410</v>
      </c>
      <c r="B520" s="6">
        <v>26.03</v>
      </c>
      <c r="C520" s="6"/>
      <c r="D520" s="6"/>
    </row>
    <row r="521" spans="1:4" ht="13" thickBot="1" x14ac:dyDescent="0.3">
      <c r="A521" s="9">
        <f ca="1"/>
        <v>37411</v>
      </c>
      <c r="B521" s="6">
        <v>25.31</v>
      </c>
      <c r="C521" s="6"/>
      <c r="D521" s="6"/>
    </row>
    <row r="522" spans="1:4" ht="13" thickBot="1" x14ac:dyDescent="0.3">
      <c r="A522" s="9">
        <f ca="1"/>
        <v>37412</v>
      </c>
      <c r="B522" s="6">
        <v>26.1</v>
      </c>
      <c r="C522" s="6"/>
      <c r="D522" s="6"/>
    </row>
    <row r="523" spans="1:4" ht="13" thickBot="1" x14ac:dyDescent="0.3">
      <c r="A523" s="9">
        <f ca="1"/>
        <v>37413</v>
      </c>
      <c r="B523" s="6">
        <v>26.57</v>
      </c>
      <c r="C523" s="6"/>
      <c r="D523" s="6"/>
    </row>
    <row r="524" spans="1:4" ht="13" thickBot="1" x14ac:dyDescent="0.3">
      <c r="A524" s="9">
        <f ca="1"/>
        <v>37414</v>
      </c>
      <c r="B524" s="6">
        <v>25.5</v>
      </c>
      <c r="C524" s="6"/>
      <c r="D524" s="6"/>
    </row>
    <row r="525" spans="1:4" ht="13" thickBot="1" x14ac:dyDescent="0.3">
      <c r="A525" s="9">
        <f ca="1"/>
        <v>37415</v>
      </c>
      <c r="B525" s="5">
        <f t="shared" ref="B525:B526" si="74">B524</f>
        <v>25.5</v>
      </c>
      <c r="C525" s="6"/>
      <c r="D525" s="6"/>
    </row>
    <row r="526" spans="1:4" ht="13" thickBot="1" x14ac:dyDescent="0.3">
      <c r="A526" s="9">
        <f ca="1"/>
        <v>37416</v>
      </c>
      <c r="B526" s="5">
        <f t="shared" si="74"/>
        <v>25.5</v>
      </c>
      <c r="C526" s="6"/>
      <c r="D526" s="6"/>
    </row>
    <row r="527" spans="1:4" ht="13" thickBot="1" x14ac:dyDescent="0.3">
      <c r="A527" s="9">
        <f ca="1"/>
        <v>37417</v>
      </c>
      <c r="B527" s="6">
        <v>26.86</v>
      </c>
      <c r="C527" s="6"/>
      <c r="D527" s="6"/>
    </row>
    <row r="528" spans="1:4" ht="13" thickBot="1" x14ac:dyDescent="0.3">
      <c r="A528" s="9">
        <f ca="1"/>
        <v>37418</v>
      </c>
      <c r="B528" s="6">
        <v>26.95</v>
      </c>
      <c r="C528" s="6"/>
      <c r="D528" s="6"/>
    </row>
    <row r="529" spans="1:4" ht="13" thickBot="1" x14ac:dyDescent="0.3">
      <c r="A529" s="9">
        <f ca="1"/>
        <v>37419</v>
      </c>
      <c r="B529" s="6">
        <v>25.3</v>
      </c>
      <c r="C529" s="6"/>
      <c r="D529" s="6"/>
    </row>
    <row r="530" spans="1:4" ht="13" thickBot="1" x14ac:dyDescent="0.3">
      <c r="A530" s="9">
        <f ca="1"/>
        <v>37420</v>
      </c>
      <c r="B530" s="6">
        <v>25.48</v>
      </c>
      <c r="C530" s="6"/>
      <c r="D530" s="6"/>
    </row>
    <row r="531" spans="1:4" ht="13" thickBot="1" x14ac:dyDescent="0.3">
      <c r="A531" s="9">
        <f ca="1"/>
        <v>37421</v>
      </c>
      <c r="B531" s="6">
        <v>24.5</v>
      </c>
      <c r="C531" s="6"/>
      <c r="D531" s="6"/>
    </row>
    <row r="532" spans="1:4" ht="13" thickBot="1" x14ac:dyDescent="0.3">
      <c r="A532" s="9">
        <f ca="1"/>
        <v>37422</v>
      </c>
      <c r="B532" s="5">
        <f t="shared" ref="B532:B533" si="75">B531</f>
        <v>24.5</v>
      </c>
      <c r="C532" s="6"/>
      <c r="D532" s="6"/>
    </row>
    <row r="533" spans="1:4" ht="13" thickBot="1" x14ac:dyDescent="0.3">
      <c r="A533" s="9">
        <f ca="1"/>
        <v>37423</v>
      </c>
      <c r="B533" s="5">
        <f t="shared" si="75"/>
        <v>24.5</v>
      </c>
      <c r="C533" s="6"/>
      <c r="D533" s="6"/>
    </row>
    <row r="534" spans="1:4" ht="13" thickBot="1" x14ac:dyDescent="0.3">
      <c r="A534" s="9">
        <f ca="1"/>
        <v>37424</v>
      </c>
      <c r="B534" s="6">
        <v>24.2</v>
      </c>
      <c r="C534" s="6"/>
      <c r="D534" s="6"/>
    </row>
    <row r="535" spans="1:4" ht="13" thickBot="1" x14ac:dyDescent="0.3">
      <c r="A535" s="9">
        <f ca="1"/>
        <v>37425</v>
      </c>
      <c r="B535" s="6">
        <v>24.77</v>
      </c>
      <c r="C535" s="6"/>
      <c r="D535" s="6"/>
    </row>
    <row r="536" spans="1:4" ht="13" thickBot="1" x14ac:dyDescent="0.3">
      <c r="A536" s="9">
        <f ca="1"/>
        <v>37426</v>
      </c>
      <c r="B536" s="6">
        <v>24.46</v>
      </c>
      <c r="C536" s="6"/>
      <c r="D536" s="6"/>
    </row>
    <row r="537" spans="1:4" ht="13" thickBot="1" x14ac:dyDescent="0.3">
      <c r="A537" s="9">
        <f ca="1"/>
        <v>37427</v>
      </c>
      <c r="B537" s="6">
        <v>23.7</v>
      </c>
      <c r="C537" s="6"/>
      <c r="D537" s="6"/>
    </row>
    <row r="538" spans="1:4" ht="13" thickBot="1" x14ac:dyDescent="0.3">
      <c r="A538" s="9">
        <f ca="1"/>
        <v>37428</v>
      </c>
      <c r="B538" s="6">
        <v>23.75</v>
      </c>
      <c r="C538" s="6"/>
      <c r="D538" s="6"/>
    </row>
    <row r="539" spans="1:4" ht="13" thickBot="1" x14ac:dyDescent="0.3">
      <c r="A539" s="9">
        <f ca="1"/>
        <v>37429</v>
      </c>
      <c r="B539" s="5">
        <f t="shared" ref="B539:B540" si="76">B538</f>
        <v>23.75</v>
      </c>
      <c r="C539" s="6"/>
      <c r="D539" s="6"/>
    </row>
    <row r="540" spans="1:4" ht="13" thickBot="1" x14ac:dyDescent="0.3">
      <c r="A540" s="9">
        <f ca="1"/>
        <v>37430</v>
      </c>
      <c r="B540" s="5">
        <f t="shared" si="76"/>
        <v>23.75</v>
      </c>
      <c r="C540" s="6"/>
      <c r="D540" s="6"/>
    </row>
    <row r="541" spans="1:4" ht="13" thickBot="1" x14ac:dyDescent="0.3">
      <c r="A541" s="9">
        <f ca="1"/>
        <v>37431</v>
      </c>
      <c r="B541" s="6">
        <v>22.36</v>
      </c>
      <c r="C541" s="6"/>
      <c r="D541" s="6"/>
    </row>
    <row r="542" spans="1:4" ht="13" thickBot="1" x14ac:dyDescent="0.3">
      <c r="A542" s="9">
        <f ca="1"/>
        <v>37432</v>
      </c>
      <c r="B542" s="6">
        <v>22.75</v>
      </c>
      <c r="C542" s="6"/>
      <c r="D542" s="6"/>
    </row>
    <row r="543" spans="1:4" ht="13" thickBot="1" x14ac:dyDescent="0.3">
      <c r="A543" s="9">
        <f ca="1"/>
        <v>37433</v>
      </c>
      <c r="B543" s="6">
        <v>21.56</v>
      </c>
      <c r="C543" s="6"/>
      <c r="D543" s="6"/>
    </row>
    <row r="544" spans="1:4" ht="13" thickBot="1" x14ac:dyDescent="0.3">
      <c r="A544" s="9">
        <f ca="1"/>
        <v>37434</v>
      </c>
      <c r="B544" s="6">
        <v>23.71</v>
      </c>
      <c r="C544" s="6"/>
      <c r="D544" s="6"/>
    </row>
    <row r="545" spans="1:4" ht="13" thickBot="1" x14ac:dyDescent="0.3">
      <c r="A545" s="9">
        <f ca="1"/>
        <v>37435</v>
      </c>
      <c r="B545" s="6">
        <v>24</v>
      </c>
      <c r="C545" s="6"/>
      <c r="D545" s="6"/>
    </row>
    <row r="546" spans="1:4" ht="13" thickBot="1" x14ac:dyDescent="0.3">
      <c r="A546" s="9">
        <f ca="1"/>
        <v>37436</v>
      </c>
      <c r="B546" s="5">
        <f t="shared" ref="B546:B547" si="77">B545</f>
        <v>24</v>
      </c>
      <c r="C546" s="6"/>
      <c r="D546" s="6"/>
    </row>
    <row r="547" spans="1:4" ht="13" thickBot="1" x14ac:dyDescent="0.3">
      <c r="A547" s="9">
        <f ca="1"/>
        <v>37437</v>
      </c>
      <c r="B547" s="5">
        <f t="shared" si="77"/>
        <v>24</v>
      </c>
      <c r="C547" s="6"/>
      <c r="D547" s="6"/>
    </row>
    <row r="548" spans="1:4" ht="13" thickBot="1" x14ac:dyDescent="0.3">
      <c r="A548" s="9">
        <f ca="1"/>
        <v>37438</v>
      </c>
      <c r="B548" s="6">
        <v>24.12</v>
      </c>
      <c r="C548" s="6"/>
      <c r="D548" s="6"/>
    </row>
    <row r="549" spans="1:4" ht="13" thickBot="1" x14ac:dyDescent="0.3">
      <c r="A549" s="9">
        <f ca="1"/>
        <v>37439</v>
      </c>
      <c r="B549" s="6">
        <v>22.71</v>
      </c>
      <c r="C549" s="6"/>
      <c r="D549" s="6"/>
    </row>
    <row r="550" spans="1:4" ht="13" thickBot="1" x14ac:dyDescent="0.3">
      <c r="A550" s="9">
        <f ca="1"/>
        <v>37440</v>
      </c>
      <c r="B550" s="6">
        <v>21.19</v>
      </c>
      <c r="C550" s="6"/>
      <c r="D550" s="6"/>
    </row>
    <row r="551" spans="1:4" ht="13" thickBot="1" x14ac:dyDescent="0.3">
      <c r="A551" s="9">
        <f ca="1"/>
        <v>37441</v>
      </c>
      <c r="B551" s="5">
        <f>B550</f>
        <v>21.19</v>
      </c>
      <c r="C551" s="6"/>
      <c r="D551" s="6"/>
    </row>
    <row r="552" spans="1:4" ht="13" thickBot="1" x14ac:dyDescent="0.3">
      <c r="A552" s="9">
        <f ca="1"/>
        <v>37442</v>
      </c>
      <c r="B552" s="6">
        <v>22.65</v>
      </c>
      <c r="C552" s="6"/>
      <c r="D552" s="6"/>
    </row>
    <row r="553" spans="1:4" ht="13" thickBot="1" x14ac:dyDescent="0.3">
      <c r="A553" s="9">
        <f ca="1"/>
        <v>37443</v>
      </c>
      <c r="B553" s="5">
        <f t="shared" ref="B553:B554" si="78">B552</f>
        <v>22.65</v>
      </c>
      <c r="C553" s="6"/>
      <c r="D553" s="6"/>
    </row>
    <row r="554" spans="1:4" ht="13" thickBot="1" x14ac:dyDescent="0.3">
      <c r="A554" s="9">
        <f ca="1"/>
        <v>37444</v>
      </c>
      <c r="B554" s="5">
        <f t="shared" si="78"/>
        <v>22.65</v>
      </c>
      <c r="C554" s="6"/>
      <c r="D554" s="6"/>
    </row>
    <row r="555" spans="1:4" ht="13" thickBot="1" x14ac:dyDescent="0.3">
      <c r="A555" s="9">
        <f ca="1"/>
        <v>37445</v>
      </c>
      <c r="B555" s="6">
        <v>23.2</v>
      </c>
      <c r="C555" s="6"/>
      <c r="D555" s="6"/>
    </row>
    <row r="556" spans="1:4" ht="13" thickBot="1" x14ac:dyDescent="0.3">
      <c r="A556" s="9">
        <f ca="1"/>
        <v>37446</v>
      </c>
      <c r="B556" s="6">
        <v>22.55</v>
      </c>
      <c r="C556" s="6"/>
      <c r="D556" s="6"/>
    </row>
    <row r="557" spans="1:4" ht="13" thickBot="1" x14ac:dyDescent="0.3">
      <c r="A557" s="9">
        <f ca="1"/>
        <v>37447</v>
      </c>
      <c r="B557" s="6">
        <v>22.26</v>
      </c>
      <c r="C557" s="6"/>
      <c r="D557" s="6"/>
    </row>
    <row r="558" spans="1:4" ht="13" thickBot="1" x14ac:dyDescent="0.3">
      <c r="A558" s="9">
        <f ca="1"/>
        <v>37448</v>
      </c>
      <c r="B558" s="6">
        <v>21.49</v>
      </c>
      <c r="C558" s="6"/>
      <c r="D558" s="6"/>
    </row>
    <row r="559" spans="1:4" ht="13" thickBot="1" x14ac:dyDescent="0.3">
      <c r="A559" s="9">
        <f ca="1"/>
        <v>37449</v>
      </c>
      <c r="B559" s="6">
        <v>19.079999999999998</v>
      </c>
      <c r="C559" s="6"/>
      <c r="D559" s="6"/>
    </row>
    <row r="560" spans="1:4" ht="13" thickBot="1" x14ac:dyDescent="0.3">
      <c r="A560" s="9">
        <f ca="1"/>
        <v>37450</v>
      </c>
      <c r="B560" s="5">
        <f t="shared" ref="B560:B561" si="79">B559</f>
        <v>19.079999999999998</v>
      </c>
      <c r="C560" s="6"/>
      <c r="D560" s="6"/>
    </row>
    <row r="561" spans="1:4" ht="13" thickBot="1" x14ac:dyDescent="0.3">
      <c r="A561" s="9">
        <f ca="1"/>
        <v>37451</v>
      </c>
      <c r="B561" s="5">
        <f t="shared" si="79"/>
        <v>19.079999999999998</v>
      </c>
      <c r="C561" s="6"/>
      <c r="D561" s="6"/>
    </row>
    <row r="562" spans="1:4" ht="13" thickBot="1" x14ac:dyDescent="0.3">
      <c r="A562" s="9">
        <f ca="1"/>
        <v>37452</v>
      </c>
      <c r="B562" s="6">
        <v>18.5</v>
      </c>
      <c r="C562" s="6"/>
      <c r="D562" s="6"/>
    </row>
    <row r="563" spans="1:4" ht="13" thickBot="1" x14ac:dyDescent="0.3">
      <c r="A563" s="9">
        <f ca="1"/>
        <v>37453</v>
      </c>
      <c r="B563" s="6">
        <v>19.07</v>
      </c>
      <c r="C563" s="6"/>
      <c r="D563" s="6"/>
    </row>
    <row r="564" spans="1:4" ht="13" thickBot="1" x14ac:dyDescent="0.3">
      <c r="A564" s="9">
        <f ca="1"/>
        <v>37454</v>
      </c>
      <c r="B564" s="6">
        <v>20.85</v>
      </c>
      <c r="C564" s="6"/>
      <c r="D564" s="6"/>
    </row>
    <row r="565" spans="1:4" ht="13" thickBot="1" x14ac:dyDescent="0.3">
      <c r="A565" s="9">
        <f ca="1"/>
        <v>37455</v>
      </c>
      <c r="B565" s="6">
        <v>19.649999999999999</v>
      </c>
      <c r="C565" s="6"/>
      <c r="D565" s="6"/>
    </row>
    <row r="566" spans="1:4" ht="13" thickBot="1" x14ac:dyDescent="0.3">
      <c r="A566" s="9">
        <f ca="1"/>
        <v>37456</v>
      </c>
      <c r="B566" s="6">
        <v>19.03</v>
      </c>
      <c r="C566" s="6"/>
      <c r="D566" s="6"/>
    </row>
    <row r="567" spans="1:4" ht="13" thickBot="1" x14ac:dyDescent="0.3">
      <c r="A567" s="9">
        <f ca="1"/>
        <v>37457</v>
      </c>
      <c r="B567" s="5">
        <f t="shared" ref="B567:B568" si="80">B566</f>
        <v>19.03</v>
      </c>
      <c r="C567" s="6"/>
      <c r="D567" s="6"/>
    </row>
    <row r="568" spans="1:4" ht="13" thickBot="1" x14ac:dyDescent="0.3">
      <c r="A568" s="9">
        <f ca="1"/>
        <v>37458</v>
      </c>
      <c r="B568" s="5">
        <f t="shared" si="80"/>
        <v>19.03</v>
      </c>
      <c r="C568" s="6"/>
      <c r="D568" s="6"/>
    </row>
    <row r="569" spans="1:4" ht="13" thickBot="1" x14ac:dyDescent="0.3">
      <c r="A569" s="9">
        <f ca="1"/>
        <v>37459</v>
      </c>
      <c r="B569" s="6">
        <v>18.64</v>
      </c>
      <c r="C569" s="6"/>
      <c r="D569" s="6"/>
    </row>
    <row r="570" spans="1:4" ht="13" thickBot="1" x14ac:dyDescent="0.3">
      <c r="A570" s="9">
        <f ca="1"/>
        <v>37460</v>
      </c>
      <c r="B570" s="6">
        <v>18.05</v>
      </c>
      <c r="C570" s="6"/>
      <c r="D570" s="6"/>
    </row>
    <row r="571" spans="1:4" ht="13" thickBot="1" x14ac:dyDescent="0.3">
      <c r="A571" s="9">
        <f ca="1"/>
        <v>37461</v>
      </c>
      <c r="B571" s="6">
        <v>17.43</v>
      </c>
      <c r="C571" s="6"/>
      <c r="D571" s="6"/>
    </row>
    <row r="572" spans="1:4" ht="13" thickBot="1" x14ac:dyDescent="0.3">
      <c r="A572" s="9">
        <f ca="1"/>
        <v>37462</v>
      </c>
      <c r="B572" s="6">
        <v>18.100000000000001</v>
      </c>
      <c r="C572" s="6"/>
      <c r="D572" s="6"/>
    </row>
    <row r="573" spans="1:4" ht="13" thickBot="1" x14ac:dyDescent="0.3">
      <c r="A573" s="9">
        <f ca="1"/>
        <v>37463</v>
      </c>
      <c r="B573" s="6">
        <v>17.71</v>
      </c>
      <c r="C573" s="6"/>
      <c r="D573" s="6"/>
    </row>
    <row r="574" spans="1:4" ht="13" thickBot="1" x14ac:dyDescent="0.3">
      <c r="A574" s="9">
        <f ca="1"/>
        <v>37464</v>
      </c>
      <c r="B574" s="5">
        <f t="shared" ref="B574:B575" si="81">B573</f>
        <v>17.71</v>
      </c>
      <c r="C574" s="6"/>
      <c r="D574" s="6"/>
    </row>
    <row r="575" spans="1:4" ht="13" thickBot="1" x14ac:dyDescent="0.3">
      <c r="A575" s="9">
        <f ca="1"/>
        <v>37465</v>
      </c>
      <c r="B575" s="5">
        <f t="shared" si="81"/>
        <v>17.71</v>
      </c>
      <c r="C575" s="6"/>
      <c r="D575" s="6"/>
    </row>
    <row r="576" spans="1:4" ht="13" thickBot="1" x14ac:dyDescent="0.3">
      <c r="A576" s="9">
        <f ca="1"/>
        <v>37466</v>
      </c>
      <c r="B576" s="6">
        <v>18.72</v>
      </c>
      <c r="C576" s="6"/>
      <c r="D576" s="6"/>
    </row>
    <row r="577" spans="1:4" ht="13" thickBot="1" x14ac:dyDescent="0.3">
      <c r="A577" s="9">
        <f ca="1"/>
        <v>37467</v>
      </c>
      <c r="B577" s="6">
        <v>19</v>
      </c>
      <c r="C577" s="6"/>
      <c r="D577" s="6"/>
    </row>
    <row r="578" spans="1:4" ht="13" thickBot="1" x14ac:dyDescent="0.3">
      <c r="A578" s="9">
        <f ca="1"/>
        <v>37468</v>
      </c>
      <c r="B578" s="6">
        <v>18.88</v>
      </c>
      <c r="C578" s="6"/>
      <c r="D578" s="6"/>
    </row>
    <row r="579" spans="1:4" ht="13" thickBot="1" x14ac:dyDescent="0.3">
      <c r="A579" s="9">
        <f ca="1"/>
        <v>37469</v>
      </c>
      <c r="B579" s="6">
        <v>18.77</v>
      </c>
      <c r="C579" s="6"/>
      <c r="D579" s="6"/>
    </row>
    <row r="580" spans="1:4" ht="13" thickBot="1" x14ac:dyDescent="0.3">
      <c r="A580" s="9">
        <f ca="1"/>
        <v>37470</v>
      </c>
      <c r="B580" s="6">
        <v>18.329999999999998</v>
      </c>
      <c r="C580" s="6"/>
      <c r="D580" s="6"/>
    </row>
    <row r="581" spans="1:4" ht="13" thickBot="1" x14ac:dyDescent="0.3">
      <c r="A581" s="9">
        <f ca="1"/>
        <v>37471</v>
      </c>
      <c r="B581" s="5">
        <f t="shared" ref="B581:B582" si="82">B580</f>
        <v>18.329999999999998</v>
      </c>
      <c r="C581" s="6"/>
      <c r="D581" s="6"/>
    </row>
    <row r="582" spans="1:4" ht="13" thickBot="1" x14ac:dyDescent="0.3">
      <c r="A582" s="9">
        <f ca="1"/>
        <v>37472</v>
      </c>
      <c r="B582" s="5">
        <f t="shared" si="82"/>
        <v>18.329999999999998</v>
      </c>
      <c r="C582" s="6"/>
      <c r="D582" s="6"/>
    </row>
    <row r="583" spans="1:4" ht="13" thickBot="1" x14ac:dyDescent="0.3">
      <c r="A583" s="9">
        <f ca="1"/>
        <v>37473</v>
      </c>
      <c r="B583" s="6">
        <v>17.309999999999999</v>
      </c>
      <c r="C583" s="6"/>
      <c r="D583" s="6"/>
    </row>
    <row r="584" spans="1:4" ht="13" thickBot="1" x14ac:dyDescent="0.3">
      <c r="A584" s="9">
        <f ca="1"/>
        <v>37474</v>
      </c>
      <c r="B584" s="6">
        <v>16.75</v>
      </c>
      <c r="C584" s="6"/>
      <c r="D584" s="6"/>
    </row>
    <row r="585" spans="1:4" ht="13" thickBot="1" x14ac:dyDescent="0.3">
      <c r="A585" s="9">
        <f ca="1"/>
        <v>37475</v>
      </c>
      <c r="B585" s="6">
        <v>17.95</v>
      </c>
      <c r="C585" s="6"/>
      <c r="D585" s="6"/>
    </row>
    <row r="586" spans="1:4" ht="13" thickBot="1" x14ac:dyDescent="0.3">
      <c r="A586" s="9">
        <f ca="1"/>
        <v>37476</v>
      </c>
      <c r="B586" s="6">
        <v>17.5</v>
      </c>
      <c r="C586" s="6"/>
      <c r="D586" s="6"/>
    </row>
    <row r="587" spans="1:4" ht="13" thickBot="1" x14ac:dyDescent="0.3">
      <c r="A587" s="9">
        <f ca="1"/>
        <v>37477</v>
      </c>
      <c r="B587" s="6">
        <v>18</v>
      </c>
      <c r="C587" s="6"/>
      <c r="D587" s="6"/>
    </row>
    <row r="588" spans="1:4" ht="13" thickBot="1" x14ac:dyDescent="0.3">
      <c r="A588" s="9">
        <f ca="1"/>
        <v>37478</v>
      </c>
      <c r="B588" s="5">
        <f t="shared" ref="B588:B589" si="83">B587</f>
        <v>18</v>
      </c>
      <c r="C588" s="6"/>
      <c r="D588" s="6"/>
    </row>
    <row r="589" spans="1:4" ht="13" thickBot="1" x14ac:dyDescent="0.3">
      <c r="A589" s="9">
        <f ca="1"/>
        <v>37479</v>
      </c>
      <c r="B589" s="5">
        <f t="shared" si="83"/>
        <v>18</v>
      </c>
      <c r="C589" s="6"/>
      <c r="D589" s="6"/>
    </row>
    <row r="590" spans="1:4" ht="13" thickBot="1" x14ac:dyDescent="0.3">
      <c r="A590" s="9">
        <f ca="1"/>
        <v>37480</v>
      </c>
      <c r="B590" s="6">
        <v>18.39</v>
      </c>
      <c r="C590" s="6"/>
      <c r="D590" s="6"/>
    </row>
    <row r="591" spans="1:4" ht="13" thickBot="1" x14ac:dyDescent="0.3">
      <c r="A591" s="9">
        <f ca="1"/>
        <v>37481</v>
      </c>
      <c r="B591" s="6">
        <v>18.5</v>
      </c>
      <c r="C591" s="6"/>
      <c r="D591" s="6"/>
    </row>
    <row r="592" spans="1:4" ht="13" thickBot="1" x14ac:dyDescent="0.3">
      <c r="A592" s="9">
        <f ca="1"/>
        <v>37482</v>
      </c>
      <c r="B592" s="6">
        <v>18.350000000000001</v>
      </c>
      <c r="C592" s="6"/>
      <c r="D592" s="6"/>
    </row>
    <row r="593" spans="1:4" ht="13" thickBot="1" x14ac:dyDescent="0.3">
      <c r="A593" s="9">
        <f ca="1"/>
        <v>37483</v>
      </c>
      <c r="B593" s="6">
        <v>19.02</v>
      </c>
      <c r="C593" s="6"/>
      <c r="D593" s="6"/>
    </row>
    <row r="594" spans="1:4" ht="13" thickBot="1" x14ac:dyDescent="0.3">
      <c r="A594" s="9">
        <f ca="1"/>
        <v>37484</v>
      </c>
      <c r="B594" s="6">
        <v>18.649999999999999</v>
      </c>
      <c r="C594" s="6"/>
      <c r="D594" s="6"/>
    </row>
    <row r="595" spans="1:4" ht="13" thickBot="1" x14ac:dyDescent="0.3">
      <c r="A595" s="9">
        <f ca="1"/>
        <v>37485</v>
      </c>
      <c r="B595" s="5">
        <f t="shared" ref="B595:B596" si="84">B594</f>
        <v>18.649999999999999</v>
      </c>
      <c r="C595" s="6"/>
      <c r="D595" s="6"/>
    </row>
    <row r="596" spans="1:4" ht="13" thickBot="1" x14ac:dyDescent="0.3">
      <c r="A596" s="9">
        <f ca="1"/>
        <v>37486</v>
      </c>
      <c r="B596" s="5">
        <f t="shared" si="84"/>
        <v>18.649999999999999</v>
      </c>
      <c r="C596" s="6"/>
      <c r="D596" s="6"/>
    </row>
    <row r="597" spans="1:4" ht="13" thickBot="1" x14ac:dyDescent="0.3">
      <c r="A597" s="9">
        <f ca="1"/>
        <v>37487</v>
      </c>
      <c r="B597" s="6">
        <v>19.25</v>
      </c>
      <c r="C597" s="6"/>
      <c r="D597" s="6"/>
    </row>
    <row r="598" spans="1:4" ht="13" thickBot="1" x14ac:dyDescent="0.3">
      <c r="A598" s="9">
        <f ca="1"/>
        <v>37488</v>
      </c>
      <c r="B598" s="6">
        <v>20.14</v>
      </c>
      <c r="C598" s="6"/>
      <c r="D598" s="6"/>
    </row>
    <row r="599" spans="1:4" ht="13" thickBot="1" x14ac:dyDescent="0.3">
      <c r="A599" s="9">
        <f ca="1"/>
        <v>37489</v>
      </c>
      <c r="B599" s="6">
        <v>20.78</v>
      </c>
      <c r="C599" s="6"/>
      <c r="D599" s="6"/>
    </row>
    <row r="600" spans="1:4" ht="13" thickBot="1" x14ac:dyDescent="0.3">
      <c r="A600" s="9">
        <f ca="1"/>
        <v>37490</v>
      </c>
      <c r="B600" s="6">
        <v>21.42</v>
      </c>
      <c r="C600" s="6"/>
      <c r="D600" s="6"/>
    </row>
    <row r="601" spans="1:4" ht="13" thickBot="1" x14ac:dyDescent="0.3">
      <c r="A601" s="9">
        <f ca="1"/>
        <v>37491</v>
      </c>
      <c r="B601" s="6">
        <v>20.88</v>
      </c>
      <c r="C601" s="6"/>
      <c r="D601" s="6"/>
    </row>
    <row r="602" spans="1:4" ht="13" thickBot="1" x14ac:dyDescent="0.3">
      <c r="A602" s="9">
        <f ca="1"/>
        <v>37492</v>
      </c>
      <c r="B602" s="5">
        <f t="shared" ref="B602:B603" si="85">B601</f>
        <v>20.88</v>
      </c>
      <c r="C602" s="6"/>
      <c r="D602" s="6"/>
    </row>
    <row r="603" spans="1:4" ht="13" thickBot="1" x14ac:dyDescent="0.3">
      <c r="A603" s="9">
        <f ca="1"/>
        <v>37493</v>
      </c>
      <c r="B603" s="5">
        <f t="shared" si="85"/>
        <v>20.88</v>
      </c>
      <c r="C603" s="6"/>
      <c r="D603" s="6"/>
    </row>
    <row r="604" spans="1:4" ht="13" thickBot="1" x14ac:dyDescent="0.3">
      <c r="A604" s="9">
        <f ca="1"/>
        <v>37494</v>
      </c>
      <c r="B604" s="6">
        <v>20.41</v>
      </c>
      <c r="C604" s="6"/>
      <c r="D604" s="6"/>
    </row>
    <row r="605" spans="1:4" ht="13" thickBot="1" x14ac:dyDescent="0.3">
      <c r="A605" s="9">
        <f ca="1"/>
        <v>37495</v>
      </c>
      <c r="B605" s="6">
        <v>20.9</v>
      </c>
      <c r="C605" s="6"/>
      <c r="D605" s="6"/>
    </row>
    <row r="606" spans="1:4" ht="13" thickBot="1" x14ac:dyDescent="0.3">
      <c r="A606" s="9">
        <f ca="1"/>
        <v>37496</v>
      </c>
      <c r="B606" s="6">
        <v>19.63</v>
      </c>
      <c r="C606" s="6"/>
      <c r="D606" s="6"/>
    </row>
    <row r="607" spans="1:4" ht="13" thickBot="1" x14ac:dyDescent="0.3">
      <c r="A607" s="9">
        <f ca="1"/>
        <v>37497</v>
      </c>
      <c r="B607" s="6">
        <v>18.77</v>
      </c>
      <c r="C607" s="6"/>
      <c r="D607" s="6"/>
    </row>
    <row r="608" spans="1:4" ht="13" thickBot="1" x14ac:dyDescent="0.3">
      <c r="A608" s="9">
        <f ca="1"/>
        <v>37498</v>
      </c>
      <c r="B608" s="6">
        <v>19.02</v>
      </c>
      <c r="C608" s="6"/>
      <c r="D608" s="6"/>
    </row>
    <row r="609" spans="1:4" ht="13" thickBot="1" x14ac:dyDescent="0.3">
      <c r="A609" s="9">
        <f ca="1"/>
        <v>37499</v>
      </c>
      <c r="B609" s="5">
        <f t="shared" ref="B609:B611" si="86">B608</f>
        <v>19.02</v>
      </c>
      <c r="C609" s="6"/>
      <c r="D609" s="6"/>
    </row>
    <row r="610" spans="1:4" ht="13" thickBot="1" x14ac:dyDescent="0.3">
      <c r="A610" s="9">
        <f ca="1"/>
        <v>37500</v>
      </c>
      <c r="B610" s="5">
        <f t="shared" si="86"/>
        <v>19.02</v>
      </c>
      <c r="C610" s="6"/>
      <c r="D610" s="6"/>
    </row>
    <row r="611" spans="1:4" ht="13" thickBot="1" x14ac:dyDescent="0.3">
      <c r="A611" s="9">
        <f ca="1"/>
        <v>37501</v>
      </c>
      <c r="B611" s="5">
        <f t="shared" si="86"/>
        <v>19.02</v>
      </c>
      <c r="C611" s="6"/>
      <c r="D611" s="6"/>
    </row>
    <row r="612" spans="1:4" ht="13" thickBot="1" x14ac:dyDescent="0.3">
      <c r="A612" s="9">
        <f ca="1"/>
        <v>37502</v>
      </c>
      <c r="B612" s="6">
        <v>17.73</v>
      </c>
      <c r="C612" s="6"/>
      <c r="D612" s="6"/>
    </row>
    <row r="613" spans="1:4" ht="13" thickBot="1" x14ac:dyDescent="0.3">
      <c r="A613" s="9">
        <f ca="1"/>
        <v>37503</v>
      </c>
      <c r="B613" s="6">
        <v>17.71</v>
      </c>
      <c r="C613" s="6"/>
      <c r="D613" s="6"/>
    </row>
    <row r="614" spans="1:4" ht="13" thickBot="1" x14ac:dyDescent="0.3">
      <c r="A614" s="9">
        <f ca="1"/>
        <v>37504</v>
      </c>
      <c r="B614" s="6">
        <v>17.100000000000001</v>
      </c>
      <c r="C614" s="6"/>
      <c r="D614" s="6"/>
    </row>
    <row r="615" spans="1:4" ht="13" thickBot="1" x14ac:dyDescent="0.3">
      <c r="A615" s="9">
        <f ca="1"/>
        <v>37505</v>
      </c>
      <c r="B615" s="6">
        <v>16.95</v>
      </c>
      <c r="C615" s="6"/>
      <c r="D615" s="6"/>
    </row>
    <row r="616" spans="1:4" ht="13" thickBot="1" x14ac:dyDescent="0.3">
      <c r="A616" s="9">
        <f ca="1"/>
        <v>37506</v>
      </c>
      <c r="B616" s="5">
        <f t="shared" ref="B616:B617" si="87">B615</f>
        <v>16.95</v>
      </c>
      <c r="C616" s="6"/>
      <c r="D616" s="6"/>
    </row>
    <row r="617" spans="1:4" ht="13" thickBot="1" x14ac:dyDescent="0.3">
      <c r="A617" s="9">
        <f ca="1"/>
        <v>37507</v>
      </c>
      <c r="B617" s="5">
        <f t="shared" si="87"/>
        <v>16.95</v>
      </c>
      <c r="C617" s="6"/>
      <c r="D617" s="6"/>
    </row>
    <row r="618" spans="1:4" ht="13" thickBot="1" x14ac:dyDescent="0.3">
      <c r="A618" s="9">
        <f ca="1"/>
        <v>37508</v>
      </c>
      <c r="B618" s="6">
        <v>16.23</v>
      </c>
      <c r="C618" s="6"/>
      <c r="D618" s="6"/>
    </row>
    <row r="619" spans="1:4" ht="13" thickBot="1" x14ac:dyDescent="0.3">
      <c r="A619" s="9">
        <f ca="1"/>
        <v>37509</v>
      </c>
      <c r="B619" s="6">
        <v>16.27</v>
      </c>
      <c r="C619" s="6"/>
      <c r="D619" s="6"/>
    </row>
    <row r="620" spans="1:4" ht="13" thickBot="1" x14ac:dyDescent="0.3">
      <c r="A620" s="9">
        <f ca="1"/>
        <v>37510</v>
      </c>
      <c r="B620" s="6">
        <v>16.47</v>
      </c>
      <c r="C620" s="6"/>
      <c r="D620" s="6"/>
    </row>
    <row r="621" spans="1:4" ht="13" thickBot="1" x14ac:dyDescent="0.3">
      <c r="A621" s="9">
        <f ca="1"/>
        <v>37511</v>
      </c>
      <c r="B621" s="6">
        <v>16.18</v>
      </c>
      <c r="C621" s="6"/>
      <c r="D621" s="6"/>
    </row>
    <row r="622" spans="1:4" ht="13" thickBot="1" x14ac:dyDescent="0.3">
      <c r="A622" s="9">
        <f ca="1"/>
        <v>37512</v>
      </c>
      <c r="B622" s="6">
        <v>14.99</v>
      </c>
      <c r="C622" s="6"/>
      <c r="D622" s="6"/>
    </row>
    <row r="623" spans="1:4" ht="13" thickBot="1" x14ac:dyDescent="0.3">
      <c r="A623" s="9">
        <f ca="1"/>
        <v>37513</v>
      </c>
      <c r="B623" s="5">
        <f t="shared" ref="B623:B624" si="88">B622</f>
        <v>14.99</v>
      </c>
      <c r="C623" s="6"/>
      <c r="D623" s="6"/>
    </row>
    <row r="624" spans="1:4" ht="13" thickBot="1" x14ac:dyDescent="0.3">
      <c r="A624" s="9">
        <f ca="1"/>
        <v>37514</v>
      </c>
      <c r="B624" s="5">
        <f t="shared" si="88"/>
        <v>14.99</v>
      </c>
      <c r="C624" s="6"/>
      <c r="D624" s="6"/>
    </row>
    <row r="625" spans="1:4" ht="13" thickBot="1" x14ac:dyDescent="0.3">
      <c r="A625" s="9">
        <f ca="1"/>
        <v>37515</v>
      </c>
      <c r="B625" s="6">
        <v>14.64</v>
      </c>
      <c r="C625" s="6"/>
      <c r="D625" s="6"/>
    </row>
    <row r="626" spans="1:4" ht="13" thickBot="1" x14ac:dyDescent="0.3">
      <c r="A626" s="9">
        <f ca="1"/>
        <v>37516</v>
      </c>
      <c r="B626" s="6">
        <v>14.41</v>
      </c>
      <c r="C626" s="6"/>
      <c r="D626" s="6"/>
    </row>
    <row r="627" spans="1:4" ht="13" thickBot="1" x14ac:dyDescent="0.3">
      <c r="A627" s="9">
        <f ca="1"/>
        <v>37517</v>
      </c>
      <c r="B627" s="6">
        <v>13.5</v>
      </c>
      <c r="C627" s="6"/>
      <c r="D627" s="6"/>
    </row>
    <row r="628" spans="1:4" ht="13" thickBot="1" x14ac:dyDescent="0.3">
      <c r="A628" s="9">
        <f ca="1"/>
        <v>37518</v>
      </c>
      <c r="B628" s="6">
        <v>13</v>
      </c>
      <c r="C628" s="6"/>
      <c r="D628" s="6"/>
    </row>
    <row r="629" spans="1:4" ht="13" thickBot="1" x14ac:dyDescent="0.3">
      <c r="A629" s="9">
        <f ca="1"/>
        <v>37519</v>
      </c>
      <c r="B629" s="6">
        <v>13.7</v>
      </c>
      <c r="C629" s="6"/>
      <c r="D629" s="6"/>
    </row>
    <row r="630" spans="1:4" ht="13" thickBot="1" x14ac:dyDescent="0.3">
      <c r="A630" s="9">
        <f ca="1"/>
        <v>37520</v>
      </c>
      <c r="B630" s="5">
        <f t="shared" ref="B630:B631" si="89">B629</f>
        <v>13.7</v>
      </c>
      <c r="C630" s="6"/>
      <c r="D630" s="6"/>
    </row>
    <row r="631" spans="1:4" ht="13" thickBot="1" x14ac:dyDescent="0.3">
      <c r="A631" s="9">
        <f ca="1"/>
        <v>37521</v>
      </c>
      <c r="B631" s="5">
        <f t="shared" si="89"/>
        <v>13.7</v>
      </c>
      <c r="C631" s="6"/>
      <c r="D631" s="6"/>
    </row>
    <row r="632" spans="1:4" ht="13" thickBot="1" x14ac:dyDescent="0.3">
      <c r="A632" s="9">
        <f ca="1"/>
        <v>37522</v>
      </c>
      <c r="B632" s="6">
        <v>12.7</v>
      </c>
      <c r="C632" s="6"/>
      <c r="D632" s="6"/>
    </row>
    <row r="633" spans="1:4" ht="13" thickBot="1" x14ac:dyDescent="0.3">
      <c r="A633" s="9">
        <f ca="1"/>
        <v>37523</v>
      </c>
      <c r="B633" s="6">
        <v>12.45</v>
      </c>
      <c r="C633" s="6"/>
      <c r="D633" s="6"/>
    </row>
    <row r="634" spans="1:4" ht="13" thickBot="1" x14ac:dyDescent="0.3">
      <c r="A634" s="9">
        <f ca="1"/>
        <v>37524</v>
      </c>
      <c r="B634" s="6">
        <v>12.96</v>
      </c>
      <c r="C634" s="6"/>
      <c r="D634" s="6"/>
    </row>
    <row r="635" spans="1:4" ht="13" thickBot="1" x14ac:dyDescent="0.3">
      <c r="A635" s="9">
        <f ca="1"/>
        <v>37525</v>
      </c>
      <c r="B635" s="6">
        <v>12.71</v>
      </c>
      <c r="C635" s="6"/>
      <c r="D635" s="6"/>
    </row>
    <row r="636" spans="1:4" ht="13" thickBot="1" x14ac:dyDescent="0.3">
      <c r="A636" s="9">
        <f ca="1"/>
        <v>37526</v>
      </c>
      <c r="B636" s="6">
        <v>11.69</v>
      </c>
      <c r="C636" s="6"/>
      <c r="D636" s="6"/>
    </row>
    <row r="637" spans="1:4" ht="13" thickBot="1" x14ac:dyDescent="0.3">
      <c r="A637" s="9">
        <f ca="1"/>
        <v>37527</v>
      </c>
      <c r="B637" s="5">
        <f t="shared" ref="B637:B638" si="90">B636</f>
        <v>11.69</v>
      </c>
      <c r="C637" s="6"/>
      <c r="D637" s="6"/>
    </row>
    <row r="638" spans="1:4" ht="13" thickBot="1" x14ac:dyDescent="0.3">
      <c r="A638" s="9">
        <f ca="1"/>
        <v>37528</v>
      </c>
      <c r="B638" s="5">
        <f t="shared" si="90"/>
        <v>11.69</v>
      </c>
      <c r="C638" s="6"/>
      <c r="D638" s="6"/>
    </row>
    <row r="639" spans="1:4" ht="13" thickBot="1" x14ac:dyDescent="0.3">
      <c r="A639" s="9">
        <f ca="1"/>
        <v>37529</v>
      </c>
      <c r="B639" s="6">
        <v>11</v>
      </c>
      <c r="C639" s="6"/>
      <c r="D639" s="6"/>
    </row>
    <row r="640" spans="1:4" ht="13" thickBot="1" x14ac:dyDescent="0.3">
      <c r="A640" s="9">
        <f ca="1"/>
        <v>37530</v>
      </c>
      <c r="B640" s="6">
        <v>10.98</v>
      </c>
      <c r="C640" s="6"/>
      <c r="D640" s="6"/>
    </row>
    <row r="641" spans="1:4" ht="13" thickBot="1" x14ac:dyDescent="0.3">
      <c r="A641" s="9">
        <f ca="1"/>
        <v>37531</v>
      </c>
      <c r="B641" s="6">
        <v>10.84</v>
      </c>
      <c r="C641" s="6"/>
      <c r="D641" s="6"/>
    </row>
    <row r="642" spans="1:4" ht="13" thickBot="1" x14ac:dyDescent="0.3">
      <c r="A642" s="9">
        <f ca="1"/>
        <v>37532</v>
      </c>
      <c r="B642" s="6">
        <v>10.8</v>
      </c>
      <c r="C642" s="6"/>
      <c r="D642" s="6"/>
    </row>
    <row r="643" spans="1:4" ht="13" thickBot="1" x14ac:dyDescent="0.3">
      <c r="A643" s="9">
        <f ca="1"/>
        <v>37533</v>
      </c>
      <c r="B643" s="6">
        <v>10.72</v>
      </c>
      <c r="C643" s="6"/>
      <c r="D643" s="6"/>
    </row>
    <row r="644" spans="1:4" ht="13" thickBot="1" x14ac:dyDescent="0.3">
      <c r="A644" s="9">
        <f ca="1"/>
        <v>37534</v>
      </c>
      <c r="B644" s="5">
        <f t="shared" ref="B644:B645" si="91">B643</f>
        <v>10.72</v>
      </c>
      <c r="C644" s="6"/>
      <c r="D644" s="6"/>
    </row>
    <row r="645" spans="1:4" ht="13" thickBot="1" x14ac:dyDescent="0.3">
      <c r="A645" s="9">
        <f ca="1"/>
        <v>37535</v>
      </c>
      <c r="B645" s="5">
        <f t="shared" si="91"/>
        <v>10.72</v>
      </c>
      <c r="C645" s="6"/>
      <c r="D645" s="6"/>
    </row>
    <row r="646" spans="1:4" ht="13" thickBot="1" x14ac:dyDescent="0.3">
      <c r="A646" s="9">
        <f ca="1"/>
        <v>37536</v>
      </c>
      <c r="B646" s="6">
        <v>10.24</v>
      </c>
      <c r="C646" s="6"/>
      <c r="D646" s="6"/>
    </row>
    <row r="647" spans="1:4" ht="13" thickBot="1" x14ac:dyDescent="0.3">
      <c r="A647" s="9">
        <f ca="1"/>
        <v>37537</v>
      </c>
      <c r="B647" s="6">
        <v>9.93</v>
      </c>
      <c r="C647" s="6"/>
      <c r="D647" s="6"/>
    </row>
    <row r="648" spans="1:4" ht="13" thickBot="1" x14ac:dyDescent="0.3">
      <c r="A648" s="9">
        <f ca="1"/>
        <v>37538</v>
      </c>
      <c r="B648" s="6">
        <v>11.01</v>
      </c>
      <c r="C648" s="6"/>
      <c r="D648" s="6"/>
    </row>
    <row r="649" spans="1:4" ht="13" thickBot="1" x14ac:dyDescent="0.3">
      <c r="A649" s="9">
        <f ca="1"/>
        <v>37539</v>
      </c>
      <c r="B649" s="6">
        <v>11.45</v>
      </c>
      <c r="C649" s="6"/>
      <c r="D649" s="6"/>
    </row>
    <row r="650" spans="1:4" ht="13" thickBot="1" x14ac:dyDescent="0.3">
      <c r="A650" s="9">
        <f ca="1"/>
        <v>37540</v>
      </c>
      <c r="B650" s="6">
        <v>13.4</v>
      </c>
      <c r="C650" s="6"/>
      <c r="D650" s="6"/>
    </row>
    <row r="651" spans="1:4" ht="13" thickBot="1" x14ac:dyDescent="0.3">
      <c r="A651" s="9">
        <f ca="1"/>
        <v>37541</v>
      </c>
      <c r="B651" s="5">
        <f t="shared" ref="B651:B652" si="92">B650</f>
        <v>13.4</v>
      </c>
      <c r="C651" s="6"/>
      <c r="D651" s="6"/>
    </row>
    <row r="652" spans="1:4" ht="13" thickBot="1" x14ac:dyDescent="0.3">
      <c r="A652" s="9">
        <f ca="1"/>
        <v>37542</v>
      </c>
      <c r="B652" s="5">
        <f t="shared" si="92"/>
        <v>13.4</v>
      </c>
      <c r="C652" s="6"/>
      <c r="D652" s="6"/>
    </row>
    <row r="653" spans="1:4" ht="13" thickBot="1" x14ac:dyDescent="0.3">
      <c r="A653" s="9">
        <f ca="1"/>
        <v>37543</v>
      </c>
      <c r="B653" s="6">
        <v>13.37</v>
      </c>
      <c r="C653" s="6"/>
      <c r="D653" s="6"/>
    </row>
    <row r="654" spans="1:4" ht="13" thickBot="1" x14ac:dyDescent="0.3">
      <c r="A654" s="9">
        <f ca="1"/>
        <v>37544</v>
      </c>
      <c r="B654" s="6">
        <v>14.85</v>
      </c>
      <c r="C654" s="6"/>
      <c r="D654" s="6"/>
    </row>
    <row r="655" spans="1:4" ht="13" thickBot="1" x14ac:dyDescent="0.3">
      <c r="A655" s="9">
        <f ca="1"/>
        <v>37545</v>
      </c>
      <c r="B655" s="6">
        <v>13.78</v>
      </c>
      <c r="C655" s="6"/>
      <c r="D655" s="6"/>
    </row>
    <row r="656" spans="1:4" ht="13" thickBot="1" x14ac:dyDescent="0.3">
      <c r="A656" s="9">
        <f ca="1"/>
        <v>37546</v>
      </c>
      <c r="B656" s="6">
        <v>16.98</v>
      </c>
      <c r="C656" s="6"/>
      <c r="D656" s="6"/>
    </row>
    <row r="657" spans="1:4" ht="13" thickBot="1" x14ac:dyDescent="0.3">
      <c r="A657" s="9">
        <f ca="1"/>
        <v>37547</v>
      </c>
      <c r="B657" s="6">
        <v>17.239999999999998</v>
      </c>
      <c r="C657" s="6"/>
      <c r="D657" s="6"/>
    </row>
    <row r="658" spans="1:4" ht="13" thickBot="1" x14ac:dyDescent="0.3">
      <c r="A658" s="9">
        <f ca="1"/>
        <v>37548</v>
      </c>
      <c r="B658" s="5">
        <f t="shared" ref="B658:B659" si="93">B657</f>
        <v>17.239999999999998</v>
      </c>
      <c r="C658" s="6"/>
      <c r="D658" s="6"/>
    </row>
    <row r="659" spans="1:4" ht="13" thickBot="1" x14ac:dyDescent="0.3">
      <c r="A659" s="9">
        <f ca="1"/>
        <v>37549</v>
      </c>
      <c r="B659" s="5">
        <f t="shared" si="93"/>
        <v>17.239999999999998</v>
      </c>
      <c r="C659" s="6"/>
      <c r="D659" s="6"/>
    </row>
    <row r="660" spans="1:4" ht="13" thickBot="1" x14ac:dyDescent="0.3">
      <c r="A660" s="9">
        <f ca="1"/>
        <v>37550</v>
      </c>
      <c r="B660" s="6">
        <v>17.82</v>
      </c>
      <c r="C660" s="6"/>
      <c r="D660" s="6"/>
    </row>
    <row r="661" spans="1:4" ht="13" thickBot="1" x14ac:dyDescent="0.3">
      <c r="A661" s="9">
        <f ca="1"/>
        <v>37551</v>
      </c>
      <c r="B661" s="6">
        <v>17.89</v>
      </c>
      <c r="C661" s="6"/>
      <c r="D661" s="6"/>
    </row>
    <row r="662" spans="1:4" ht="13" thickBot="1" x14ac:dyDescent="0.3">
      <c r="A662" s="9">
        <f ca="1"/>
        <v>37552</v>
      </c>
      <c r="B662" s="6">
        <v>17</v>
      </c>
      <c r="C662" s="6"/>
      <c r="D662" s="6"/>
    </row>
    <row r="663" spans="1:4" ht="13" thickBot="1" x14ac:dyDescent="0.3">
      <c r="A663" s="9">
        <f ca="1"/>
        <v>37553</v>
      </c>
      <c r="B663" s="6">
        <v>18.059999999999999</v>
      </c>
      <c r="C663" s="6"/>
      <c r="D663" s="6"/>
    </row>
    <row r="664" spans="1:4" ht="13" thickBot="1" x14ac:dyDescent="0.3">
      <c r="A664" s="9">
        <f ca="1"/>
        <v>37554</v>
      </c>
      <c r="B664" s="6">
        <v>18.48</v>
      </c>
      <c r="C664" s="6"/>
      <c r="D664" s="6"/>
    </row>
    <row r="665" spans="1:4" ht="13" thickBot="1" x14ac:dyDescent="0.3">
      <c r="A665" s="9">
        <f ca="1"/>
        <v>37555</v>
      </c>
      <c r="B665" s="5">
        <f t="shared" ref="B665:B666" si="94">B664</f>
        <v>18.48</v>
      </c>
      <c r="C665" s="6"/>
      <c r="D665" s="6"/>
    </row>
    <row r="666" spans="1:4" ht="13" thickBot="1" x14ac:dyDescent="0.3">
      <c r="A666" s="9">
        <f ca="1"/>
        <v>37556</v>
      </c>
      <c r="B666" s="5">
        <f t="shared" si="94"/>
        <v>18.48</v>
      </c>
      <c r="C666" s="6"/>
      <c r="D666" s="6"/>
    </row>
    <row r="667" spans="1:4" ht="13" thickBot="1" x14ac:dyDescent="0.3">
      <c r="A667" s="9">
        <f ca="1"/>
        <v>37557</v>
      </c>
      <c r="B667" s="6">
        <v>19.43</v>
      </c>
      <c r="C667" s="6"/>
      <c r="D667" s="6"/>
    </row>
    <row r="668" spans="1:4" ht="13" thickBot="1" x14ac:dyDescent="0.3">
      <c r="A668" s="9">
        <f ca="1"/>
        <v>37558</v>
      </c>
      <c r="B668" s="6">
        <v>18.78</v>
      </c>
      <c r="C668" s="6"/>
      <c r="D668" s="6"/>
    </row>
    <row r="669" spans="1:4" ht="13" thickBot="1" x14ac:dyDescent="0.3">
      <c r="A669" s="9">
        <f ca="1"/>
        <v>37559</v>
      </c>
      <c r="B669" s="6">
        <v>18.61</v>
      </c>
      <c r="C669" s="6"/>
      <c r="D669" s="6"/>
    </row>
    <row r="670" spans="1:4" ht="13" thickBot="1" x14ac:dyDescent="0.3">
      <c r="A670" s="9">
        <f ca="1"/>
        <v>37560</v>
      </c>
      <c r="B670" s="6">
        <v>19.79</v>
      </c>
      <c r="C670" s="6"/>
      <c r="D670" s="6"/>
    </row>
    <row r="671" spans="1:4" ht="13" thickBot="1" x14ac:dyDescent="0.3">
      <c r="A671" s="9">
        <f ca="1"/>
        <v>37561</v>
      </c>
      <c r="B671" s="6">
        <v>19.45</v>
      </c>
      <c r="C671" s="6"/>
      <c r="D671" s="6"/>
    </row>
    <row r="672" spans="1:4" ht="13" thickBot="1" x14ac:dyDescent="0.3">
      <c r="A672" s="9">
        <f ca="1"/>
        <v>37562</v>
      </c>
      <c r="B672" s="5">
        <f t="shared" ref="B672:B673" si="95">B671</f>
        <v>19.45</v>
      </c>
      <c r="C672" s="6"/>
      <c r="D672" s="6"/>
    </row>
    <row r="673" spans="1:4" ht="13" thickBot="1" x14ac:dyDescent="0.3">
      <c r="A673" s="9">
        <f ca="1"/>
        <v>37563</v>
      </c>
      <c r="B673" s="5">
        <f t="shared" si="95"/>
        <v>19.45</v>
      </c>
      <c r="C673" s="6"/>
      <c r="D673" s="6"/>
    </row>
    <row r="674" spans="1:4" ht="13" thickBot="1" x14ac:dyDescent="0.3">
      <c r="A674" s="9">
        <f ca="1"/>
        <v>37564</v>
      </c>
      <c r="B674" s="6">
        <v>21.67</v>
      </c>
      <c r="C674" s="6"/>
      <c r="D674" s="6"/>
    </row>
    <row r="675" spans="1:4" ht="13" thickBot="1" x14ac:dyDescent="0.3">
      <c r="A675" s="9">
        <f ca="1"/>
        <v>37565</v>
      </c>
      <c r="B675" s="6">
        <v>20.71</v>
      </c>
      <c r="C675" s="6"/>
      <c r="D675" s="6"/>
    </row>
    <row r="676" spans="1:4" ht="13" thickBot="1" x14ac:dyDescent="0.3">
      <c r="A676" s="9">
        <f ca="1"/>
        <v>37566</v>
      </c>
      <c r="B676" s="6">
        <v>20.3</v>
      </c>
      <c r="C676" s="6"/>
      <c r="D676" s="6"/>
    </row>
    <row r="677" spans="1:4" ht="13" thickBot="1" x14ac:dyDescent="0.3">
      <c r="A677" s="9">
        <f ca="1"/>
        <v>37567</v>
      </c>
      <c r="B677" s="6">
        <v>19.260000000000002</v>
      </c>
      <c r="C677" s="6"/>
      <c r="D677" s="6"/>
    </row>
    <row r="678" spans="1:4" ht="13" thickBot="1" x14ac:dyDescent="0.3">
      <c r="A678" s="9">
        <f ca="1"/>
        <v>37568</v>
      </c>
      <c r="B678" s="6">
        <v>19.850000000000001</v>
      </c>
      <c r="C678" s="6"/>
      <c r="D678" s="6"/>
    </row>
    <row r="679" spans="1:4" ht="13" thickBot="1" x14ac:dyDescent="0.3">
      <c r="A679" s="9">
        <f ca="1"/>
        <v>37569</v>
      </c>
      <c r="B679" s="5">
        <f t="shared" ref="B679:B680" si="96">B678</f>
        <v>19.850000000000001</v>
      </c>
      <c r="C679" s="6"/>
      <c r="D679" s="6"/>
    </row>
    <row r="680" spans="1:4" ht="13" thickBot="1" x14ac:dyDescent="0.3">
      <c r="A680" s="9">
        <f ca="1"/>
        <v>37570</v>
      </c>
      <c r="B680" s="5">
        <f t="shared" si="96"/>
        <v>19.850000000000001</v>
      </c>
      <c r="C680" s="6"/>
      <c r="D680" s="6"/>
    </row>
    <row r="681" spans="1:4" ht="13" thickBot="1" x14ac:dyDescent="0.3">
      <c r="A681" s="9">
        <f ca="1"/>
        <v>37571</v>
      </c>
      <c r="B681" s="6">
        <v>18.940000000000001</v>
      </c>
      <c r="C681" s="6"/>
      <c r="D681" s="6"/>
    </row>
    <row r="682" spans="1:4" ht="13" thickBot="1" x14ac:dyDescent="0.3">
      <c r="A682" s="9">
        <f ca="1"/>
        <v>37572</v>
      </c>
      <c r="B682" s="6">
        <v>19.350000000000001</v>
      </c>
      <c r="C682" s="6"/>
      <c r="D682" s="6"/>
    </row>
    <row r="683" spans="1:4" ht="13" thickBot="1" x14ac:dyDescent="0.3">
      <c r="A683" s="9">
        <f ca="1"/>
        <v>37573</v>
      </c>
      <c r="B683" s="6">
        <v>19.239999999999998</v>
      </c>
      <c r="C683" s="6"/>
      <c r="D683" s="6"/>
    </row>
    <row r="684" spans="1:4" ht="13" thickBot="1" x14ac:dyDescent="0.3">
      <c r="A684" s="9">
        <f ca="1"/>
        <v>37574</v>
      </c>
      <c r="B684" s="6">
        <v>20.329999999999998</v>
      </c>
      <c r="C684" s="6"/>
      <c r="D684" s="6"/>
    </row>
    <row r="685" spans="1:4" ht="13" thickBot="1" x14ac:dyDescent="0.3">
      <c r="A685" s="9">
        <f ca="1"/>
        <v>37575</v>
      </c>
      <c r="B685" s="6">
        <v>20.96</v>
      </c>
      <c r="C685" s="6"/>
      <c r="D685" s="6"/>
    </row>
    <row r="686" spans="1:4" ht="13" thickBot="1" x14ac:dyDescent="0.3">
      <c r="A686" s="9">
        <f ca="1"/>
        <v>37576</v>
      </c>
      <c r="B686" s="5">
        <f t="shared" ref="B686:B687" si="97">B685</f>
        <v>20.96</v>
      </c>
      <c r="C686" s="6"/>
      <c r="D686" s="6"/>
    </row>
    <row r="687" spans="1:4" ht="13" thickBot="1" x14ac:dyDescent="0.3">
      <c r="A687" s="9">
        <f ca="1"/>
        <v>37577</v>
      </c>
      <c r="B687" s="5">
        <f t="shared" si="97"/>
        <v>20.96</v>
      </c>
      <c r="C687" s="6"/>
      <c r="D687" s="6"/>
    </row>
    <row r="688" spans="1:4" ht="13" thickBot="1" x14ac:dyDescent="0.3">
      <c r="A688" s="9">
        <f ca="1"/>
        <v>37578</v>
      </c>
      <c r="B688" s="6">
        <v>21.63</v>
      </c>
      <c r="C688" s="6"/>
      <c r="D688" s="6"/>
    </row>
    <row r="689" spans="1:4" ht="13" thickBot="1" x14ac:dyDescent="0.3">
      <c r="A689" s="9">
        <f ca="1"/>
        <v>37579</v>
      </c>
      <c r="B689" s="6">
        <v>20.399999999999999</v>
      </c>
      <c r="C689" s="6"/>
      <c r="D689" s="6"/>
    </row>
    <row r="690" spans="1:4" ht="13" thickBot="1" x14ac:dyDescent="0.3">
      <c r="A690" s="9">
        <f ca="1"/>
        <v>37580</v>
      </c>
      <c r="B690" s="6">
        <v>20.239999999999998</v>
      </c>
      <c r="C690" s="6"/>
      <c r="D690" s="6"/>
    </row>
    <row r="691" spans="1:4" ht="13" thickBot="1" x14ac:dyDescent="0.3">
      <c r="A691" s="9">
        <f ca="1"/>
        <v>37581</v>
      </c>
      <c r="B691" s="6">
        <v>21.93</v>
      </c>
      <c r="C691" s="6"/>
      <c r="D691" s="6"/>
    </row>
    <row r="692" spans="1:4" ht="13" thickBot="1" x14ac:dyDescent="0.3">
      <c r="A692" s="9">
        <f ca="1"/>
        <v>37582</v>
      </c>
      <c r="B692" s="6">
        <v>22.23</v>
      </c>
      <c r="C692" s="6"/>
      <c r="D692" s="6"/>
    </row>
    <row r="693" spans="1:4" ht="13" thickBot="1" x14ac:dyDescent="0.3">
      <c r="A693" s="9">
        <f ca="1"/>
        <v>37583</v>
      </c>
      <c r="B693" s="5">
        <f t="shared" ref="B693:B694" si="98">B692</f>
        <v>22.23</v>
      </c>
      <c r="C693" s="6"/>
      <c r="D693" s="6"/>
    </row>
    <row r="694" spans="1:4" ht="13" thickBot="1" x14ac:dyDescent="0.3">
      <c r="A694" s="9">
        <f ca="1"/>
        <v>37584</v>
      </c>
      <c r="B694" s="5">
        <f t="shared" si="98"/>
        <v>22.23</v>
      </c>
      <c r="C694" s="6"/>
      <c r="D694" s="6"/>
    </row>
    <row r="695" spans="1:4" ht="13" thickBot="1" x14ac:dyDescent="0.3">
      <c r="A695" s="9">
        <f ca="1"/>
        <v>37585</v>
      </c>
      <c r="B695" s="6">
        <v>21.88</v>
      </c>
      <c r="C695" s="6"/>
      <c r="D695" s="6"/>
    </row>
    <row r="696" spans="1:4" ht="13" thickBot="1" x14ac:dyDescent="0.3">
      <c r="A696" s="9">
        <f ca="1"/>
        <v>37586</v>
      </c>
      <c r="B696" s="6">
        <v>21.98</v>
      </c>
      <c r="C696" s="6"/>
      <c r="D696" s="6"/>
    </row>
    <row r="697" spans="1:4" ht="13" thickBot="1" x14ac:dyDescent="0.3">
      <c r="A697" s="9">
        <f ca="1"/>
        <v>37587</v>
      </c>
      <c r="B697" s="6">
        <v>21.6</v>
      </c>
      <c r="C697" s="6"/>
      <c r="D697" s="6"/>
    </row>
    <row r="698" spans="1:4" ht="13" thickBot="1" x14ac:dyDescent="0.3">
      <c r="A698" s="9">
        <f ca="1"/>
        <v>37588</v>
      </c>
      <c r="B698" s="5">
        <f>B697</f>
        <v>21.6</v>
      </c>
      <c r="C698" s="6"/>
      <c r="D698" s="6"/>
    </row>
    <row r="699" spans="1:4" ht="13" thickBot="1" x14ac:dyDescent="0.3">
      <c r="A699" s="9">
        <f ca="1"/>
        <v>37589</v>
      </c>
      <c r="B699" s="6">
        <v>22.59</v>
      </c>
      <c r="C699" s="6"/>
      <c r="D699" s="6"/>
    </row>
    <row r="700" spans="1:4" ht="13" thickBot="1" x14ac:dyDescent="0.3">
      <c r="A700" s="9">
        <f ca="1"/>
        <v>37590</v>
      </c>
      <c r="B700" s="5">
        <f t="shared" ref="B700:B701" si="99">B699</f>
        <v>22.59</v>
      </c>
      <c r="C700" s="6"/>
      <c r="D700" s="6"/>
    </row>
    <row r="701" spans="1:4" ht="13" thickBot="1" x14ac:dyDescent="0.3">
      <c r="A701" s="9">
        <f ca="1"/>
        <v>37591</v>
      </c>
      <c r="B701" s="5">
        <f t="shared" si="99"/>
        <v>22.59</v>
      </c>
      <c r="C701" s="6"/>
      <c r="D701" s="6"/>
    </row>
    <row r="702" spans="1:4" ht="13" thickBot="1" x14ac:dyDescent="0.3">
      <c r="A702" s="9">
        <f ca="1"/>
        <v>37592</v>
      </c>
      <c r="B702" s="6">
        <v>22.75</v>
      </c>
      <c r="C702" s="6"/>
      <c r="D702" s="6"/>
    </row>
    <row r="703" spans="1:4" ht="13" thickBot="1" x14ac:dyDescent="0.3">
      <c r="A703" s="9">
        <f ca="1"/>
        <v>37593</v>
      </c>
      <c r="B703" s="6">
        <v>21.92</v>
      </c>
      <c r="C703" s="6"/>
      <c r="D703" s="6"/>
    </row>
    <row r="704" spans="1:4" ht="13" thickBot="1" x14ac:dyDescent="0.3">
      <c r="A704" s="9">
        <f ca="1"/>
        <v>37594</v>
      </c>
      <c r="B704" s="6">
        <v>20.9</v>
      </c>
      <c r="C704" s="6"/>
      <c r="D704" s="6"/>
    </row>
    <row r="705" spans="1:4" ht="13" thickBot="1" x14ac:dyDescent="0.3">
      <c r="A705" s="9">
        <f ca="1"/>
        <v>37595</v>
      </c>
      <c r="B705" s="6">
        <v>21.92</v>
      </c>
      <c r="C705" s="6"/>
      <c r="D705" s="6"/>
    </row>
    <row r="706" spans="1:4" ht="13" thickBot="1" x14ac:dyDescent="0.3">
      <c r="A706" s="9">
        <f ca="1"/>
        <v>37596</v>
      </c>
      <c r="B706" s="6">
        <v>20.36</v>
      </c>
      <c r="C706" s="6"/>
      <c r="D706" s="6"/>
    </row>
    <row r="707" spans="1:4" ht="13" thickBot="1" x14ac:dyDescent="0.3">
      <c r="A707" s="9">
        <f ca="1"/>
        <v>37597</v>
      </c>
      <c r="B707" s="5">
        <f t="shared" ref="B707:B708" si="100">B706</f>
        <v>20.36</v>
      </c>
      <c r="C707" s="6"/>
      <c r="D707" s="6"/>
    </row>
    <row r="708" spans="1:4" ht="13" thickBot="1" x14ac:dyDescent="0.3">
      <c r="A708" s="9">
        <f ca="1"/>
        <v>37598</v>
      </c>
      <c r="B708" s="5">
        <f t="shared" si="100"/>
        <v>20.36</v>
      </c>
      <c r="C708" s="6"/>
      <c r="D708" s="6"/>
    </row>
    <row r="709" spans="1:4" ht="13" thickBot="1" x14ac:dyDescent="0.3">
      <c r="A709" s="9">
        <f ca="1"/>
        <v>37599</v>
      </c>
      <c r="B709" s="6">
        <v>20.27</v>
      </c>
      <c r="C709" s="6"/>
      <c r="D709" s="6"/>
    </row>
    <row r="710" spans="1:4" ht="13" thickBot="1" x14ac:dyDescent="0.3">
      <c r="A710" s="9">
        <f ca="1"/>
        <v>37600</v>
      </c>
      <c r="B710" s="6">
        <v>19.79</v>
      </c>
      <c r="C710" s="6"/>
      <c r="D710" s="6"/>
    </row>
    <row r="711" spans="1:4" ht="13" thickBot="1" x14ac:dyDescent="0.3">
      <c r="A711" s="9">
        <f ca="1"/>
        <v>37601</v>
      </c>
      <c r="B711" s="6">
        <v>19.62</v>
      </c>
      <c r="C711" s="6"/>
      <c r="D711" s="6"/>
    </row>
    <row r="712" spans="1:4" ht="13" thickBot="1" x14ac:dyDescent="0.3">
      <c r="A712" s="9">
        <f ca="1"/>
        <v>37602</v>
      </c>
      <c r="B712" s="6">
        <v>20.18</v>
      </c>
      <c r="C712" s="6"/>
      <c r="D712" s="6"/>
    </row>
    <row r="713" spans="1:4" ht="13" thickBot="1" x14ac:dyDescent="0.3">
      <c r="A713" s="9">
        <f ca="1"/>
        <v>37603</v>
      </c>
      <c r="B713" s="6">
        <v>19.989999999999998</v>
      </c>
      <c r="C713" s="6"/>
      <c r="D713" s="6"/>
    </row>
    <row r="714" spans="1:4" ht="13" thickBot="1" x14ac:dyDescent="0.3">
      <c r="A714" s="9">
        <f ca="1"/>
        <v>37604</v>
      </c>
      <c r="B714" s="5">
        <f t="shared" ref="B714:B715" si="101">B713</f>
        <v>19.989999999999998</v>
      </c>
      <c r="C714" s="6"/>
      <c r="D714" s="6"/>
    </row>
    <row r="715" spans="1:4" ht="13" thickBot="1" x14ac:dyDescent="0.3">
      <c r="A715" s="9">
        <f ca="1"/>
        <v>37605</v>
      </c>
      <c r="B715" s="5">
        <f t="shared" si="101"/>
        <v>19.989999999999998</v>
      </c>
      <c r="C715" s="6"/>
      <c r="D715" s="6"/>
    </row>
    <row r="716" spans="1:4" ht="13" thickBot="1" x14ac:dyDescent="0.3">
      <c r="A716" s="9">
        <f ca="1"/>
        <v>37606</v>
      </c>
      <c r="B716" s="6">
        <v>20.440000000000001</v>
      </c>
      <c r="C716" s="6"/>
      <c r="D716" s="6"/>
    </row>
    <row r="717" spans="1:4" ht="13" thickBot="1" x14ac:dyDescent="0.3">
      <c r="A717" s="9">
        <f ca="1"/>
        <v>37607</v>
      </c>
      <c r="B717" s="6">
        <v>21.39</v>
      </c>
      <c r="C717" s="6"/>
      <c r="D717" s="6"/>
    </row>
    <row r="718" spans="1:4" ht="13" thickBot="1" x14ac:dyDescent="0.3">
      <c r="A718" s="9">
        <f ca="1"/>
        <v>37608</v>
      </c>
      <c r="B718" s="6">
        <v>20.88</v>
      </c>
      <c r="C718" s="6"/>
      <c r="D718" s="6"/>
    </row>
    <row r="719" spans="1:4" ht="13" thickBot="1" x14ac:dyDescent="0.3">
      <c r="A719" s="9">
        <f ca="1"/>
        <v>37609</v>
      </c>
      <c r="B719" s="6">
        <v>20.81</v>
      </c>
      <c r="C719" s="6"/>
      <c r="D719" s="6"/>
    </row>
    <row r="720" spans="1:4" ht="13" thickBot="1" x14ac:dyDescent="0.3">
      <c r="A720" s="9">
        <f ca="1"/>
        <v>37610</v>
      </c>
      <c r="B720" s="6">
        <v>20.03</v>
      </c>
      <c r="C720" s="6"/>
      <c r="D720" s="6"/>
    </row>
    <row r="721" spans="1:4" ht="13" thickBot="1" x14ac:dyDescent="0.3">
      <c r="A721" s="9">
        <f ca="1"/>
        <v>37611</v>
      </c>
      <c r="B721" s="5">
        <f t="shared" ref="B721:B722" si="102">B720</f>
        <v>20.03</v>
      </c>
      <c r="C721" s="6"/>
      <c r="D721" s="6"/>
    </row>
    <row r="722" spans="1:4" ht="13" thickBot="1" x14ac:dyDescent="0.3">
      <c r="A722" s="9">
        <f ca="1"/>
        <v>37612</v>
      </c>
      <c r="B722" s="5">
        <f t="shared" si="102"/>
        <v>20.03</v>
      </c>
      <c r="C722" s="6"/>
      <c r="D722" s="6"/>
    </row>
    <row r="723" spans="1:4" ht="13" thickBot="1" x14ac:dyDescent="0.3">
      <c r="A723" s="9">
        <f ca="1"/>
        <v>37613</v>
      </c>
      <c r="B723" s="6">
        <v>19.739999999999998</v>
      </c>
      <c r="C723" s="6"/>
      <c r="D723" s="6"/>
    </row>
    <row r="724" spans="1:4" ht="13" thickBot="1" x14ac:dyDescent="0.3">
      <c r="A724" s="9">
        <f ca="1"/>
        <v>37614</v>
      </c>
      <c r="B724" s="6">
        <v>20.100000000000001</v>
      </c>
      <c r="C724" s="6"/>
      <c r="D724" s="6"/>
    </row>
    <row r="725" spans="1:4" ht="13" thickBot="1" x14ac:dyDescent="0.3">
      <c r="A725" s="9">
        <f ca="1"/>
        <v>37615</v>
      </c>
      <c r="B725" s="5">
        <f>B724</f>
        <v>20.100000000000001</v>
      </c>
      <c r="C725" s="6"/>
      <c r="D725" s="6"/>
    </row>
    <row r="726" spans="1:4" ht="13" thickBot="1" x14ac:dyDescent="0.3">
      <c r="A726" s="9">
        <f ca="1"/>
        <v>37616</v>
      </c>
      <c r="B726" s="6">
        <v>20.36</v>
      </c>
      <c r="C726" s="6"/>
      <c r="D726" s="6"/>
    </row>
    <row r="727" spans="1:4" ht="13" thickBot="1" x14ac:dyDescent="0.3">
      <c r="A727" s="9">
        <f ca="1"/>
        <v>37617</v>
      </c>
      <c r="B727" s="6">
        <v>19.96</v>
      </c>
      <c r="C727" s="6"/>
      <c r="D727" s="6"/>
    </row>
    <row r="728" spans="1:4" ht="13" thickBot="1" x14ac:dyDescent="0.3">
      <c r="A728" s="9">
        <f ca="1"/>
        <v>37618</v>
      </c>
      <c r="B728" s="5">
        <f t="shared" ref="B728:B729" si="103">B727</f>
        <v>19.96</v>
      </c>
      <c r="C728" s="6"/>
      <c r="D728" s="6"/>
    </row>
    <row r="729" spans="1:4" ht="13" thickBot="1" x14ac:dyDescent="0.3">
      <c r="A729" s="9">
        <f ca="1"/>
        <v>37619</v>
      </c>
      <c r="B729" s="5">
        <f t="shared" si="103"/>
        <v>19.96</v>
      </c>
      <c r="C729" s="6"/>
      <c r="D729" s="6"/>
    </row>
    <row r="730" spans="1:4" ht="13" thickBot="1" x14ac:dyDescent="0.3">
      <c r="A730" s="9">
        <f ca="1"/>
        <v>37620</v>
      </c>
      <c r="B730" s="6">
        <v>19.600000000000001</v>
      </c>
      <c r="C730" s="6"/>
      <c r="D730" s="6"/>
    </row>
    <row r="731" spans="1:4" ht="13" thickBot="1" x14ac:dyDescent="0.3">
      <c r="A731" s="9">
        <f ca="1"/>
        <v>37621</v>
      </c>
      <c r="B731" s="6">
        <v>19.100000000000001</v>
      </c>
      <c r="C731" s="6"/>
      <c r="D731" s="6"/>
    </row>
    <row r="732" spans="1:4" ht="13" thickBot="1" x14ac:dyDescent="0.3">
      <c r="A732" s="9">
        <f ca="1"/>
        <v>37622</v>
      </c>
      <c r="B732" s="5">
        <f>B731</f>
        <v>19.100000000000001</v>
      </c>
      <c r="C732" s="6"/>
      <c r="D732" s="6"/>
    </row>
    <row r="733" spans="1:4" ht="13" thickBot="1" x14ac:dyDescent="0.3">
      <c r="A733" s="9">
        <f ca="1"/>
        <v>37623</v>
      </c>
      <c r="B733" s="6">
        <v>20.22</v>
      </c>
      <c r="C733" s="6"/>
      <c r="D733" s="6"/>
    </row>
    <row r="734" spans="1:4" ht="13" thickBot="1" x14ac:dyDescent="0.3">
      <c r="A734" s="9">
        <f ca="1"/>
        <v>37624</v>
      </c>
      <c r="B734" s="6">
        <v>21.99</v>
      </c>
      <c r="C734" s="6"/>
      <c r="D734" s="6"/>
    </row>
    <row r="735" spans="1:4" ht="13" thickBot="1" x14ac:dyDescent="0.3">
      <c r="A735" s="9">
        <f ca="1"/>
        <v>37625</v>
      </c>
      <c r="B735" s="5">
        <f t="shared" ref="B735:B736" si="104">B734</f>
        <v>21.99</v>
      </c>
      <c r="C735" s="6"/>
      <c r="D735" s="6"/>
    </row>
    <row r="736" spans="1:4" ht="13" thickBot="1" x14ac:dyDescent="0.3">
      <c r="A736" s="9">
        <f ca="1"/>
        <v>37626</v>
      </c>
      <c r="B736" s="5">
        <f t="shared" si="104"/>
        <v>21.99</v>
      </c>
      <c r="C736" s="6"/>
      <c r="D736" s="6"/>
    </row>
    <row r="737" spans="1:4" ht="13" thickBot="1" x14ac:dyDescent="0.3">
      <c r="A737" s="9">
        <f ca="1"/>
        <v>37627</v>
      </c>
      <c r="B737" s="6">
        <v>22.24</v>
      </c>
      <c r="C737" s="6"/>
      <c r="D737" s="6"/>
    </row>
    <row r="738" spans="1:4" ht="13" thickBot="1" x14ac:dyDescent="0.3">
      <c r="A738" s="9">
        <f ca="1"/>
        <v>37628</v>
      </c>
      <c r="B738" s="6">
        <v>23</v>
      </c>
      <c r="C738" s="6"/>
      <c r="D738" s="6"/>
    </row>
    <row r="739" spans="1:4" ht="13" thickBot="1" x14ac:dyDescent="0.3">
      <c r="A739" s="9">
        <f ca="1"/>
        <v>37629</v>
      </c>
      <c r="B739" s="6">
        <v>22.4</v>
      </c>
      <c r="C739" s="6"/>
      <c r="D739" s="6"/>
    </row>
    <row r="740" spans="1:4" ht="13" thickBot="1" x14ac:dyDescent="0.3">
      <c r="A740" s="9">
        <f ca="1"/>
        <v>37630</v>
      </c>
      <c r="B740" s="6">
        <v>23.77</v>
      </c>
      <c r="C740" s="6"/>
      <c r="D740" s="6"/>
    </row>
    <row r="741" spans="1:4" ht="13" thickBot="1" x14ac:dyDescent="0.3">
      <c r="A741" s="9">
        <f ca="1"/>
        <v>37631</v>
      </c>
      <c r="B741" s="6">
        <v>23.9</v>
      </c>
      <c r="C741" s="6"/>
      <c r="D741" s="6"/>
    </row>
    <row r="742" spans="1:4" ht="13" thickBot="1" x14ac:dyDescent="0.3">
      <c r="A742" s="9">
        <f ca="1"/>
        <v>37632</v>
      </c>
      <c r="B742" s="5">
        <f t="shared" ref="B742:B743" si="105">B741</f>
        <v>23.9</v>
      </c>
      <c r="C742" s="6"/>
      <c r="D742" s="6"/>
    </row>
    <row r="743" spans="1:4" ht="13" thickBot="1" x14ac:dyDescent="0.3">
      <c r="A743" s="9">
        <f ca="1"/>
        <v>37633</v>
      </c>
      <c r="B743" s="5">
        <f t="shared" si="105"/>
        <v>23.9</v>
      </c>
      <c r="C743" s="6"/>
      <c r="D743" s="6"/>
    </row>
    <row r="744" spans="1:4" ht="13" thickBot="1" x14ac:dyDescent="0.3">
      <c r="A744" s="9">
        <f ca="1"/>
        <v>37634</v>
      </c>
      <c r="B744" s="6">
        <v>25.06</v>
      </c>
      <c r="C744" s="6"/>
      <c r="D744" s="6"/>
    </row>
    <row r="745" spans="1:4" ht="13" thickBot="1" x14ac:dyDescent="0.3">
      <c r="A745" s="9">
        <f ca="1"/>
        <v>37635</v>
      </c>
      <c r="B745" s="6">
        <v>24.23</v>
      </c>
      <c r="C745" s="6"/>
      <c r="D745" s="6"/>
    </row>
    <row r="746" spans="1:4" ht="13" thickBot="1" x14ac:dyDescent="0.3">
      <c r="A746" s="9">
        <f ca="1"/>
        <v>37636</v>
      </c>
      <c r="B746" s="6">
        <v>24.42</v>
      </c>
      <c r="C746" s="6"/>
      <c r="D746" s="6"/>
    </row>
    <row r="747" spans="1:4" ht="13" thickBot="1" x14ac:dyDescent="0.3">
      <c r="A747" s="9">
        <f ca="1"/>
        <v>37637</v>
      </c>
      <c r="B747" s="6">
        <v>23.8</v>
      </c>
      <c r="C747" s="6"/>
      <c r="D747" s="6"/>
    </row>
    <row r="748" spans="1:4" ht="13" thickBot="1" x14ac:dyDescent="0.3">
      <c r="A748" s="9">
        <f ca="1"/>
        <v>37638</v>
      </c>
      <c r="B748" s="6">
        <v>22.5</v>
      </c>
      <c r="C748" s="6"/>
      <c r="D748" s="6"/>
    </row>
    <row r="749" spans="1:4" ht="13" thickBot="1" x14ac:dyDescent="0.3">
      <c r="A749" s="9">
        <f ca="1"/>
        <v>37639</v>
      </c>
      <c r="B749" s="5">
        <f t="shared" ref="B749:B751" si="106">B748</f>
        <v>22.5</v>
      </c>
      <c r="C749" s="6"/>
      <c r="D749" s="6"/>
    </row>
    <row r="750" spans="1:4" ht="13" thickBot="1" x14ac:dyDescent="0.3">
      <c r="A750" s="9">
        <f ca="1"/>
        <v>37640</v>
      </c>
      <c r="B750" s="5">
        <f t="shared" si="106"/>
        <v>22.5</v>
      </c>
      <c r="C750" s="6"/>
      <c r="D750" s="6"/>
    </row>
    <row r="751" spans="1:4" ht="13" thickBot="1" x14ac:dyDescent="0.3">
      <c r="A751" s="9">
        <f ca="1"/>
        <v>37641</v>
      </c>
      <c r="B751" s="5">
        <f t="shared" si="106"/>
        <v>22.5</v>
      </c>
      <c r="C751" s="6"/>
      <c r="D751" s="6"/>
    </row>
    <row r="752" spans="1:4" ht="13" thickBot="1" x14ac:dyDescent="0.3">
      <c r="A752" s="9">
        <f ca="1"/>
        <v>37642</v>
      </c>
      <c r="B752" s="6">
        <v>22.58</v>
      </c>
      <c r="C752" s="6"/>
      <c r="D752" s="6"/>
    </row>
    <row r="753" spans="1:4" ht="13" thickBot="1" x14ac:dyDescent="0.3">
      <c r="A753" s="9">
        <f ca="1"/>
        <v>37643</v>
      </c>
      <c r="B753" s="6">
        <v>22.14</v>
      </c>
      <c r="C753" s="6"/>
      <c r="D753" s="6"/>
    </row>
    <row r="754" spans="1:4" ht="13" thickBot="1" x14ac:dyDescent="0.3">
      <c r="A754" s="9">
        <f ca="1"/>
        <v>37644</v>
      </c>
      <c r="B754" s="6">
        <v>23.75</v>
      </c>
      <c r="C754" s="6"/>
      <c r="D754" s="6"/>
    </row>
    <row r="755" spans="1:4" ht="13" thickBot="1" x14ac:dyDescent="0.3">
      <c r="A755" s="9">
        <f ca="1"/>
        <v>37645</v>
      </c>
      <c r="B755" s="6">
        <v>23.59</v>
      </c>
      <c r="C755" s="6"/>
      <c r="D755" s="6"/>
    </row>
    <row r="756" spans="1:4" ht="13" thickBot="1" x14ac:dyDescent="0.3">
      <c r="A756" s="9">
        <f ca="1"/>
        <v>37646</v>
      </c>
      <c r="B756" s="5">
        <f t="shared" ref="B756:B757" si="107">B755</f>
        <v>23.59</v>
      </c>
      <c r="C756" s="6"/>
      <c r="D756" s="6"/>
    </row>
    <row r="757" spans="1:4" ht="13" thickBot="1" x14ac:dyDescent="0.3">
      <c r="A757" s="9">
        <f ca="1"/>
        <v>37647</v>
      </c>
      <c r="B757" s="5">
        <f t="shared" si="107"/>
        <v>23.59</v>
      </c>
      <c r="C757" s="6"/>
      <c r="D757" s="6"/>
    </row>
    <row r="758" spans="1:4" ht="13" thickBot="1" x14ac:dyDescent="0.3">
      <c r="A758" s="9">
        <f ca="1"/>
        <v>37648</v>
      </c>
      <c r="B758" s="6">
        <v>22.27</v>
      </c>
      <c r="C758" s="6"/>
      <c r="D758" s="6"/>
    </row>
    <row r="759" spans="1:4" ht="13" thickBot="1" x14ac:dyDescent="0.3">
      <c r="A759" s="9">
        <f ca="1"/>
        <v>37649</v>
      </c>
      <c r="B759" s="6">
        <v>22.49</v>
      </c>
      <c r="C759" s="6"/>
      <c r="D759" s="6"/>
    </row>
    <row r="760" spans="1:4" ht="13" thickBot="1" x14ac:dyDescent="0.3">
      <c r="A760" s="9">
        <f ca="1"/>
        <v>37650</v>
      </c>
      <c r="B760" s="6">
        <v>22.7</v>
      </c>
      <c r="C760" s="6"/>
      <c r="D760" s="6"/>
    </row>
    <row r="761" spans="1:4" ht="13" thickBot="1" x14ac:dyDescent="0.3">
      <c r="A761" s="9">
        <f ca="1"/>
        <v>37651</v>
      </c>
      <c r="B761" s="6">
        <v>22.79</v>
      </c>
      <c r="C761" s="6"/>
      <c r="D761" s="6"/>
    </row>
    <row r="762" spans="1:4" ht="13" thickBot="1" x14ac:dyDescent="0.3">
      <c r="A762" s="9">
        <f ca="1"/>
        <v>37652</v>
      </c>
      <c r="B762" s="6">
        <v>22.75</v>
      </c>
      <c r="C762" s="6"/>
      <c r="D762" s="6"/>
    </row>
    <row r="763" spans="1:4" ht="13" thickBot="1" x14ac:dyDescent="0.3">
      <c r="A763" s="9">
        <f ca="1"/>
        <v>37653</v>
      </c>
      <c r="B763" s="5">
        <f t="shared" ref="B763:B764" si="108">B762</f>
        <v>22.75</v>
      </c>
      <c r="C763" s="6"/>
      <c r="D763" s="6"/>
    </row>
    <row r="764" spans="1:4" ht="13" thickBot="1" x14ac:dyDescent="0.3">
      <c r="A764" s="9">
        <f ca="1"/>
        <v>37654</v>
      </c>
      <c r="B764" s="5">
        <f t="shared" si="108"/>
        <v>22.75</v>
      </c>
      <c r="C764" s="6"/>
      <c r="D764" s="6"/>
    </row>
    <row r="765" spans="1:4" ht="13" thickBot="1" x14ac:dyDescent="0.3">
      <c r="A765" s="9">
        <f ca="1"/>
        <v>37655</v>
      </c>
      <c r="B765" s="6">
        <v>23.34</v>
      </c>
      <c r="C765" s="6"/>
      <c r="D765" s="6"/>
    </row>
    <row r="766" spans="1:4" ht="13" thickBot="1" x14ac:dyDescent="0.3">
      <c r="A766" s="9">
        <f ca="1"/>
        <v>37656</v>
      </c>
      <c r="B766" s="6">
        <v>23.04</v>
      </c>
      <c r="C766" s="6"/>
      <c r="D766" s="6"/>
    </row>
    <row r="767" spans="1:4" ht="13" thickBot="1" x14ac:dyDescent="0.3">
      <c r="A767" s="9">
        <f ca="1"/>
        <v>37657</v>
      </c>
      <c r="B767" s="6">
        <v>23.15</v>
      </c>
      <c r="C767" s="6"/>
      <c r="D767" s="6"/>
    </row>
    <row r="768" spans="1:4" ht="13" thickBot="1" x14ac:dyDescent="0.3">
      <c r="A768" s="9">
        <f ca="1"/>
        <v>37658</v>
      </c>
      <c r="B768" s="6">
        <v>23.23</v>
      </c>
      <c r="C768" s="6"/>
      <c r="D768" s="6"/>
    </row>
    <row r="769" spans="1:4" ht="13" thickBot="1" x14ac:dyDescent="0.3">
      <c r="A769" s="9">
        <f ca="1"/>
        <v>37659</v>
      </c>
      <c r="B769" s="6">
        <v>23.56</v>
      </c>
      <c r="C769" s="6"/>
      <c r="D769" s="6"/>
    </row>
    <row r="770" spans="1:4" ht="13" thickBot="1" x14ac:dyDescent="0.3">
      <c r="A770" s="9">
        <f ca="1"/>
        <v>37660</v>
      </c>
      <c r="B770" s="5">
        <f t="shared" ref="B770:B771" si="109">B769</f>
        <v>23.56</v>
      </c>
      <c r="C770" s="6"/>
      <c r="D770" s="6"/>
    </row>
    <row r="771" spans="1:4" ht="13" thickBot="1" x14ac:dyDescent="0.3">
      <c r="A771" s="9">
        <f ca="1"/>
        <v>37661</v>
      </c>
      <c r="B771" s="5">
        <f t="shared" si="109"/>
        <v>23.56</v>
      </c>
      <c r="C771" s="6"/>
      <c r="D771" s="6"/>
    </row>
    <row r="772" spans="1:4" ht="13" thickBot="1" x14ac:dyDescent="0.3">
      <c r="A772" s="9">
        <f ca="1"/>
        <v>37662</v>
      </c>
      <c r="B772" s="6">
        <v>22.86</v>
      </c>
      <c r="C772" s="6"/>
      <c r="D772" s="6"/>
    </row>
    <row r="773" spans="1:4" ht="13" thickBot="1" x14ac:dyDescent="0.3">
      <c r="A773" s="9">
        <f ca="1"/>
        <v>37663</v>
      </c>
      <c r="B773" s="6">
        <v>23.13</v>
      </c>
      <c r="C773" s="6"/>
      <c r="D773" s="6"/>
    </row>
    <row r="774" spans="1:4" ht="13" thickBot="1" x14ac:dyDescent="0.3">
      <c r="A774" s="9">
        <f ca="1"/>
        <v>37664</v>
      </c>
      <c r="B774" s="6">
        <v>23.13</v>
      </c>
      <c r="C774" s="6"/>
      <c r="D774" s="6"/>
    </row>
    <row r="775" spans="1:4" ht="13" thickBot="1" x14ac:dyDescent="0.3">
      <c r="A775" s="9">
        <f ca="1"/>
        <v>37665</v>
      </c>
      <c r="B775" s="6">
        <v>23.19</v>
      </c>
      <c r="C775" s="6"/>
      <c r="D775" s="6"/>
    </row>
    <row r="776" spans="1:4" ht="13" thickBot="1" x14ac:dyDescent="0.3">
      <c r="A776" s="9">
        <f ca="1"/>
        <v>37666</v>
      </c>
      <c r="B776" s="6">
        <v>23.33</v>
      </c>
      <c r="C776" s="6"/>
      <c r="D776" s="6"/>
    </row>
    <row r="777" spans="1:4" ht="13" thickBot="1" x14ac:dyDescent="0.3">
      <c r="A777" s="9">
        <f ca="1"/>
        <v>37667</v>
      </c>
      <c r="B777" s="5">
        <f t="shared" ref="B777:B779" si="110">B776</f>
        <v>23.33</v>
      </c>
      <c r="C777" s="6"/>
      <c r="D777" s="6"/>
    </row>
    <row r="778" spans="1:4" ht="13" thickBot="1" x14ac:dyDescent="0.3">
      <c r="A778" s="9">
        <f ca="1"/>
        <v>37668</v>
      </c>
      <c r="B778" s="5">
        <f t="shared" si="110"/>
        <v>23.33</v>
      </c>
      <c r="C778" s="6"/>
      <c r="D778" s="6"/>
    </row>
    <row r="779" spans="1:4" ht="13" thickBot="1" x14ac:dyDescent="0.3">
      <c r="A779" s="9">
        <f ca="1"/>
        <v>37669</v>
      </c>
      <c r="B779" s="5">
        <f t="shared" si="110"/>
        <v>23.33</v>
      </c>
      <c r="C779" s="6"/>
      <c r="D779" s="6"/>
    </row>
    <row r="780" spans="1:4" ht="13" thickBot="1" x14ac:dyDescent="0.3">
      <c r="A780" s="9">
        <f ca="1"/>
        <v>37670</v>
      </c>
      <c r="B780" s="6">
        <v>23.02</v>
      </c>
      <c r="C780" s="6"/>
      <c r="D780" s="6"/>
    </row>
    <row r="781" spans="1:4" ht="13" thickBot="1" x14ac:dyDescent="0.3">
      <c r="A781" s="9">
        <f ca="1"/>
        <v>37671</v>
      </c>
      <c r="B781" s="6">
        <v>23.2</v>
      </c>
      <c r="C781" s="6"/>
      <c r="D781" s="6"/>
    </row>
    <row r="782" spans="1:4" ht="13" thickBot="1" x14ac:dyDescent="0.3">
      <c r="A782" s="9">
        <f ca="1"/>
        <v>37672</v>
      </c>
      <c r="B782" s="6">
        <v>22.91</v>
      </c>
      <c r="C782" s="6"/>
      <c r="D782" s="6"/>
    </row>
    <row r="783" spans="1:4" ht="13" thickBot="1" x14ac:dyDescent="0.3">
      <c r="A783" s="9">
        <f ca="1"/>
        <v>37673</v>
      </c>
      <c r="B783" s="6">
        <v>22.85</v>
      </c>
      <c r="C783" s="6"/>
      <c r="D783" s="6"/>
    </row>
    <row r="784" spans="1:4" ht="13" thickBot="1" x14ac:dyDescent="0.3">
      <c r="A784" s="9">
        <f ca="1"/>
        <v>37674</v>
      </c>
      <c r="B784" s="5">
        <f t="shared" ref="B784:B785" si="111">B783</f>
        <v>22.85</v>
      </c>
      <c r="C784" s="6"/>
      <c r="D784" s="6"/>
    </row>
    <row r="785" spans="1:4" ht="13" thickBot="1" x14ac:dyDescent="0.3">
      <c r="A785" s="9">
        <f ca="1"/>
        <v>37675</v>
      </c>
      <c r="B785" s="5">
        <f t="shared" si="111"/>
        <v>22.85</v>
      </c>
      <c r="C785" s="6"/>
      <c r="D785" s="6"/>
    </row>
    <row r="786" spans="1:4" ht="13" thickBot="1" x14ac:dyDescent="0.3">
      <c r="A786" s="9">
        <f ca="1"/>
        <v>37676</v>
      </c>
      <c r="B786" s="6">
        <v>22.9</v>
      </c>
      <c r="C786" s="6"/>
      <c r="D786" s="6"/>
    </row>
    <row r="787" spans="1:4" ht="13" thickBot="1" x14ac:dyDescent="0.3">
      <c r="A787" s="9">
        <f ca="1"/>
        <v>37677</v>
      </c>
      <c r="B787" s="6">
        <v>22.11</v>
      </c>
      <c r="C787" s="6"/>
      <c r="D787" s="6"/>
    </row>
    <row r="788" spans="1:4" ht="13" thickBot="1" x14ac:dyDescent="0.3">
      <c r="A788" s="9">
        <f ca="1"/>
        <v>37678</v>
      </c>
      <c r="B788" s="6">
        <v>21.97</v>
      </c>
      <c r="C788" s="6"/>
      <c r="D788" s="6"/>
    </row>
    <row r="789" spans="1:4" ht="13" thickBot="1" x14ac:dyDescent="0.3">
      <c r="A789" s="9">
        <f ca="1"/>
        <v>37679</v>
      </c>
      <c r="B789" s="6">
        <v>21.11</v>
      </c>
      <c r="C789" s="6"/>
      <c r="D789" s="6"/>
    </row>
    <row r="790" spans="1:4" ht="13" thickBot="1" x14ac:dyDescent="0.3">
      <c r="A790" s="9">
        <f ca="1"/>
        <v>37680</v>
      </c>
      <c r="B790" s="6">
        <v>21.17</v>
      </c>
      <c r="C790" s="6"/>
      <c r="D790" s="6"/>
    </row>
    <row r="791" spans="1:4" ht="13" thickBot="1" x14ac:dyDescent="0.3">
      <c r="A791" s="9">
        <f ca="1"/>
        <v>37681</v>
      </c>
      <c r="B791" s="5">
        <f t="shared" ref="B791:B792" si="112">B790</f>
        <v>21.17</v>
      </c>
      <c r="C791" s="6"/>
      <c r="D791" s="6"/>
    </row>
    <row r="792" spans="1:4" ht="13" thickBot="1" x14ac:dyDescent="0.3">
      <c r="A792" s="9">
        <f ca="1"/>
        <v>37682</v>
      </c>
      <c r="B792" s="5">
        <f t="shared" si="112"/>
        <v>21.17</v>
      </c>
      <c r="C792" s="6"/>
      <c r="D792" s="6"/>
    </row>
    <row r="793" spans="1:4" ht="13" thickBot="1" x14ac:dyDescent="0.3">
      <c r="A793" s="9">
        <f ca="1"/>
        <v>37683</v>
      </c>
      <c r="B793" s="6">
        <v>21.1</v>
      </c>
      <c r="C793" s="6"/>
      <c r="D793" s="6"/>
    </row>
    <row r="794" spans="1:4" ht="13" thickBot="1" x14ac:dyDescent="0.3">
      <c r="A794" s="9">
        <f ca="1"/>
        <v>37684</v>
      </c>
      <c r="B794" s="6">
        <v>19.89</v>
      </c>
      <c r="C794" s="6"/>
      <c r="D794" s="6"/>
    </row>
    <row r="795" spans="1:4" ht="13" thickBot="1" x14ac:dyDescent="0.3">
      <c r="A795" s="9">
        <f ca="1"/>
        <v>37685</v>
      </c>
      <c r="B795" s="6">
        <v>19.649999999999999</v>
      </c>
      <c r="C795" s="6"/>
      <c r="D795" s="6"/>
    </row>
    <row r="796" spans="1:4" ht="13" thickBot="1" x14ac:dyDescent="0.3">
      <c r="A796" s="9">
        <f ca="1"/>
        <v>37686</v>
      </c>
      <c r="B796" s="6">
        <v>19.2</v>
      </c>
      <c r="C796" s="6"/>
      <c r="D796" s="6"/>
    </row>
    <row r="797" spans="1:4" ht="13" thickBot="1" x14ac:dyDescent="0.3">
      <c r="A797" s="9">
        <f ca="1"/>
        <v>37687</v>
      </c>
      <c r="B797" s="6">
        <v>19.41</v>
      </c>
      <c r="C797" s="6"/>
      <c r="D797" s="6"/>
    </row>
    <row r="798" spans="1:4" ht="13" thickBot="1" x14ac:dyDescent="0.3">
      <c r="A798" s="9">
        <f ca="1"/>
        <v>37688</v>
      </c>
      <c r="B798" s="5">
        <f t="shared" ref="B798:B799" si="113">B797</f>
        <v>19.41</v>
      </c>
      <c r="C798" s="6"/>
      <c r="D798" s="6"/>
    </row>
    <row r="799" spans="1:4" ht="13" thickBot="1" x14ac:dyDescent="0.3">
      <c r="A799" s="9">
        <f ca="1"/>
        <v>37689</v>
      </c>
      <c r="B799" s="5">
        <f t="shared" si="113"/>
        <v>19.41</v>
      </c>
      <c r="C799" s="6"/>
      <c r="D799" s="6"/>
    </row>
    <row r="800" spans="1:4" ht="13" thickBot="1" x14ac:dyDescent="0.3">
      <c r="A800" s="9">
        <f ca="1"/>
        <v>37690</v>
      </c>
      <c r="B800" s="6">
        <v>19.079999999999998</v>
      </c>
      <c r="C800" s="6"/>
      <c r="D800" s="6"/>
    </row>
    <row r="801" spans="1:4" ht="13" thickBot="1" x14ac:dyDescent="0.3">
      <c r="A801" s="9">
        <f ca="1"/>
        <v>37691</v>
      </c>
      <c r="B801" s="6">
        <v>18.920000000000002</v>
      </c>
      <c r="C801" s="6"/>
      <c r="D801" s="6"/>
    </row>
    <row r="802" spans="1:4" ht="13" thickBot="1" x14ac:dyDescent="0.3">
      <c r="A802" s="9">
        <f ca="1"/>
        <v>37692</v>
      </c>
      <c r="B802" s="6">
        <v>18.87</v>
      </c>
      <c r="C802" s="6"/>
      <c r="D802" s="6"/>
    </row>
    <row r="803" spans="1:4" ht="13" thickBot="1" x14ac:dyDescent="0.3">
      <c r="A803" s="9">
        <f ca="1"/>
        <v>37693</v>
      </c>
      <c r="B803" s="6">
        <v>19.3</v>
      </c>
      <c r="C803" s="6"/>
      <c r="D803" s="6"/>
    </row>
    <row r="804" spans="1:4" ht="13" thickBot="1" x14ac:dyDescent="0.3">
      <c r="A804" s="9">
        <f ca="1"/>
        <v>37694</v>
      </c>
      <c r="B804" s="6">
        <v>20.6</v>
      </c>
      <c r="C804" s="6"/>
      <c r="D804" s="6"/>
    </row>
    <row r="805" spans="1:4" ht="13" thickBot="1" x14ac:dyDescent="0.3">
      <c r="A805" s="9">
        <f ca="1"/>
        <v>37695</v>
      </c>
      <c r="B805" s="5">
        <f t="shared" ref="B805:B806" si="114">B804</f>
        <v>20.6</v>
      </c>
      <c r="C805" s="6"/>
      <c r="D805" s="6"/>
    </row>
    <row r="806" spans="1:4" ht="13" thickBot="1" x14ac:dyDescent="0.3">
      <c r="A806" s="9">
        <f ca="1"/>
        <v>37696</v>
      </c>
      <c r="B806" s="5">
        <f t="shared" si="114"/>
        <v>20.6</v>
      </c>
      <c r="C806" s="6"/>
      <c r="D806" s="6"/>
    </row>
    <row r="807" spans="1:4" ht="13" thickBot="1" x14ac:dyDescent="0.3">
      <c r="A807" s="9">
        <f ca="1"/>
        <v>37697</v>
      </c>
      <c r="B807" s="6">
        <v>20.13</v>
      </c>
      <c r="C807" s="6"/>
      <c r="D807" s="6"/>
    </row>
    <row r="808" spans="1:4" ht="13" thickBot="1" x14ac:dyDescent="0.3">
      <c r="A808" s="9">
        <f ca="1"/>
        <v>37698</v>
      </c>
      <c r="B808" s="6">
        <v>21.27</v>
      </c>
      <c r="C808" s="6"/>
      <c r="D808" s="6"/>
    </row>
    <row r="809" spans="1:4" ht="13" thickBot="1" x14ac:dyDescent="0.3">
      <c r="A809" s="9">
        <f ca="1"/>
        <v>37699</v>
      </c>
      <c r="B809" s="6">
        <v>20.39</v>
      </c>
      <c r="C809" s="6"/>
      <c r="D809" s="6"/>
    </row>
    <row r="810" spans="1:4" ht="13" thickBot="1" x14ac:dyDescent="0.3">
      <c r="A810" s="9">
        <f ca="1"/>
        <v>37700</v>
      </c>
      <c r="B810" s="6">
        <v>20.13</v>
      </c>
      <c r="C810" s="6"/>
      <c r="D810" s="6"/>
    </row>
    <row r="811" spans="1:4" ht="13" thickBot="1" x14ac:dyDescent="0.3">
      <c r="A811" s="9">
        <f ca="1"/>
        <v>37701</v>
      </c>
      <c r="B811" s="6">
        <v>20.66</v>
      </c>
      <c r="C811" s="6"/>
      <c r="D811" s="6"/>
    </row>
    <row r="812" spans="1:4" ht="13" thickBot="1" x14ac:dyDescent="0.3">
      <c r="A812" s="9">
        <f ca="1"/>
        <v>37702</v>
      </c>
      <c r="B812" s="5">
        <f t="shared" ref="B812:B813" si="115">B811</f>
        <v>20.66</v>
      </c>
      <c r="C812" s="6"/>
      <c r="D812" s="6"/>
    </row>
    <row r="813" spans="1:4" ht="13" thickBot="1" x14ac:dyDescent="0.3">
      <c r="A813" s="9">
        <f ca="1"/>
        <v>37703</v>
      </c>
      <c r="B813" s="5">
        <f t="shared" si="115"/>
        <v>20.66</v>
      </c>
      <c r="C813" s="6"/>
      <c r="D813" s="6"/>
    </row>
    <row r="814" spans="1:4" ht="13" thickBot="1" x14ac:dyDescent="0.3">
      <c r="A814" s="9">
        <f ca="1"/>
        <v>37704</v>
      </c>
      <c r="B814" s="6">
        <v>19.850000000000001</v>
      </c>
      <c r="C814" s="6"/>
      <c r="D814" s="6"/>
    </row>
    <row r="815" spans="1:4" ht="13" thickBot="1" x14ac:dyDescent="0.3">
      <c r="A815" s="9">
        <f ca="1"/>
        <v>37705</v>
      </c>
      <c r="B815" s="6">
        <v>19.5</v>
      </c>
      <c r="C815" s="6"/>
      <c r="D815" s="6"/>
    </row>
    <row r="816" spans="1:4" ht="13" thickBot="1" x14ac:dyDescent="0.3">
      <c r="A816" s="9">
        <f ca="1"/>
        <v>37706</v>
      </c>
      <c r="B816" s="6">
        <v>20.05</v>
      </c>
      <c r="C816" s="6"/>
      <c r="D816" s="6"/>
    </row>
    <row r="817" spans="1:4" ht="13" thickBot="1" x14ac:dyDescent="0.3">
      <c r="A817" s="9">
        <f ca="1"/>
        <v>37707</v>
      </c>
      <c r="B817" s="6">
        <v>19.72</v>
      </c>
      <c r="C817" s="6"/>
      <c r="D817" s="6"/>
    </row>
    <row r="818" spans="1:4" ht="13" thickBot="1" x14ac:dyDescent="0.3">
      <c r="A818" s="9">
        <f ca="1"/>
        <v>37708</v>
      </c>
      <c r="B818" s="6">
        <v>19.600000000000001</v>
      </c>
      <c r="C818" s="6"/>
      <c r="D818" s="6"/>
    </row>
    <row r="819" spans="1:4" ht="13" thickBot="1" x14ac:dyDescent="0.3">
      <c r="A819" s="9">
        <f ca="1"/>
        <v>37709</v>
      </c>
      <c r="B819" s="5">
        <f t="shared" ref="B819:B820" si="116">B818</f>
        <v>19.600000000000001</v>
      </c>
      <c r="C819" s="6"/>
      <c r="D819" s="6"/>
    </row>
    <row r="820" spans="1:4" ht="13" thickBot="1" x14ac:dyDescent="0.3">
      <c r="A820" s="9">
        <f ca="1"/>
        <v>37710</v>
      </c>
      <c r="B820" s="5">
        <f t="shared" si="116"/>
        <v>19.600000000000001</v>
      </c>
      <c r="C820" s="6"/>
      <c r="D820" s="6"/>
    </row>
    <row r="821" spans="1:4" ht="13" thickBot="1" x14ac:dyDescent="0.3">
      <c r="A821" s="9">
        <f ca="1"/>
        <v>37711</v>
      </c>
      <c r="B821" s="6">
        <v>18.850000000000001</v>
      </c>
      <c r="C821" s="6"/>
      <c r="D821" s="6"/>
    </row>
    <row r="822" spans="1:4" ht="13" thickBot="1" x14ac:dyDescent="0.3">
      <c r="A822" s="9">
        <f ca="1"/>
        <v>37712</v>
      </c>
      <c r="B822" s="6">
        <v>19.100000000000001</v>
      </c>
      <c r="C822" s="6"/>
      <c r="D822" s="6"/>
    </row>
    <row r="823" spans="1:4" ht="13" thickBot="1" x14ac:dyDescent="0.3">
      <c r="A823" s="9">
        <f ca="1"/>
        <v>37713</v>
      </c>
      <c r="B823" s="6">
        <v>20.37</v>
      </c>
      <c r="C823" s="6"/>
      <c r="D823" s="6"/>
    </row>
    <row r="824" spans="1:4" ht="13" thickBot="1" x14ac:dyDescent="0.3">
      <c r="A824" s="9">
        <f ca="1"/>
        <v>37714</v>
      </c>
      <c r="B824" s="6">
        <v>20.63</v>
      </c>
      <c r="C824" s="6"/>
      <c r="D824" s="6"/>
    </row>
    <row r="825" spans="1:4" ht="13" thickBot="1" x14ac:dyDescent="0.3">
      <c r="A825" s="9">
        <f ca="1"/>
        <v>37715</v>
      </c>
      <c r="B825" s="6">
        <v>20.56</v>
      </c>
      <c r="C825" s="6"/>
      <c r="D825" s="6"/>
    </row>
    <row r="826" spans="1:4" ht="13" thickBot="1" x14ac:dyDescent="0.3">
      <c r="A826" s="9">
        <f ca="1"/>
        <v>37716</v>
      </c>
      <c r="B826" s="5">
        <f t="shared" ref="B826:B827" si="117">B825</f>
        <v>20.56</v>
      </c>
      <c r="C826" s="6"/>
      <c r="D826" s="6"/>
    </row>
    <row r="827" spans="1:4" ht="13" thickBot="1" x14ac:dyDescent="0.3">
      <c r="A827" s="9">
        <f ca="1"/>
        <v>37717</v>
      </c>
      <c r="B827" s="5">
        <f t="shared" si="117"/>
        <v>20.56</v>
      </c>
      <c r="C827" s="6"/>
      <c r="D827" s="6"/>
    </row>
    <row r="828" spans="1:4" ht="13" thickBot="1" x14ac:dyDescent="0.3">
      <c r="A828" s="9">
        <f ca="1"/>
        <v>37718</v>
      </c>
      <c r="B828" s="6">
        <v>20.7</v>
      </c>
      <c r="C828" s="6"/>
      <c r="D828" s="6"/>
    </row>
    <row r="829" spans="1:4" ht="13" thickBot="1" x14ac:dyDescent="0.3">
      <c r="A829" s="9">
        <f ca="1"/>
        <v>37719</v>
      </c>
      <c r="B829" s="6">
        <v>20.75</v>
      </c>
      <c r="C829" s="6"/>
      <c r="D829" s="6"/>
    </row>
    <row r="830" spans="1:4" ht="13" thickBot="1" x14ac:dyDescent="0.3">
      <c r="A830" s="9">
        <f ca="1"/>
        <v>37720</v>
      </c>
      <c r="B830" s="6">
        <v>21.28</v>
      </c>
      <c r="C830" s="6"/>
      <c r="D830" s="6"/>
    </row>
    <row r="831" spans="1:4" ht="13" thickBot="1" x14ac:dyDescent="0.3">
      <c r="A831" s="9">
        <f ca="1"/>
        <v>37721</v>
      </c>
      <c r="B831" s="6">
        <v>20.92</v>
      </c>
      <c r="C831" s="6"/>
      <c r="D831" s="6"/>
    </row>
    <row r="832" spans="1:4" ht="13" thickBot="1" x14ac:dyDescent="0.3">
      <c r="A832" s="9">
        <f ca="1"/>
        <v>37722</v>
      </c>
      <c r="B832" s="6">
        <v>21.96</v>
      </c>
      <c r="C832" s="6"/>
      <c r="D832" s="6"/>
    </row>
    <row r="833" spans="1:4" ht="13" thickBot="1" x14ac:dyDescent="0.3">
      <c r="A833" s="9">
        <f ca="1"/>
        <v>37723</v>
      </c>
      <c r="B833" s="5">
        <f t="shared" ref="B833:B834" si="118">B832</f>
        <v>21.96</v>
      </c>
      <c r="C833" s="6"/>
      <c r="D833" s="6"/>
    </row>
    <row r="834" spans="1:4" ht="13" thickBot="1" x14ac:dyDescent="0.3">
      <c r="A834" s="9">
        <f ca="1"/>
        <v>37724</v>
      </c>
      <c r="B834" s="5">
        <f t="shared" si="118"/>
        <v>21.96</v>
      </c>
      <c r="C834" s="6"/>
      <c r="D834" s="6"/>
    </row>
    <row r="835" spans="1:4" ht="13" thickBot="1" x14ac:dyDescent="0.3">
      <c r="A835" s="9">
        <f ca="1"/>
        <v>37725</v>
      </c>
      <c r="B835" s="6">
        <v>22.47</v>
      </c>
      <c r="C835" s="6"/>
      <c r="D835" s="6"/>
    </row>
    <row r="836" spans="1:4" ht="13" thickBot="1" x14ac:dyDescent="0.3">
      <c r="A836" s="9">
        <f ca="1"/>
        <v>37726</v>
      </c>
      <c r="B836" s="6">
        <v>23.53</v>
      </c>
      <c r="C836" s="6"/>
      <c r="D836" s="6"/>
    </row>
    <row r="837" spans="1:4" ht="13" thickBot="1" x14ac:dyDescent="0.3">
      <c r="A837" s="9">
        <f ca="1"/>
        <v>37727</v>
      </c>
      <c r="B837" s="6">
        <v>24.4</v>
      </c>
      <c r="C837" s="6"/>
      <c r="D837" s="6"/>
    </row>
    <row r="838" spans="1:4" ht="13" thickBot="1" x14ac:dyDescent="0.3">
      <c r="A838" s="9">
        <f ca="1"/>
        <v>37728</v>
      </c>
      <c r="B838" s="6">
        <v>24.2</v>
      </c>
      <c r="C838" s="6"/>
      <c r="D838" s="6"/>
    </row>
    <row r="839" spans="1:4" ht="13" thickBot="1" x14ac:dyDescent="0.3">
      <c r="A839" s="9">
        <f ca="1"/>
        <v>37729</v>
      </c>
      <c r="B839" s="5">
        <f t="shared" ref="B839:B841" si="119">B838</f>
        <v>24.2</v>
      </c>
      <c r="C839" s="6"/>
      <c r="D839" s="6"/>
    </row>
    <row r="840" spans="1:4" ht="13" thickBot="1" x14ac:dyDescent="0.3">
      <c r="A840" s="9">
        <f ca="1"/>
        <v>37730</v>
      </c>
      <c r="B840" s="5">
        <f t="shared" si="119"/>
        <v>24.2</v>
      </c>
      <c r="C840" s="6"/>
      <c r="D840" s="6"/>
    </row>
    <row r="841" spans="1:4" ht="13" thickBot="1" x14ac:dyDescent="0.3">
      <c r="A841" s="9">
        <f ca="1"/>
        <v>37731</v>
      </c>
      <c r="B841" s="5">
        <f t="shared" si="119"/>
        <v>24.2</v>
      </c>
      <c r="C841" s="6"/>
      <c r="D841" s="6"/>
    </row>
    <row r="842" spans="1:4" ht="13" thickBot="1" x14ac:dyDescent="0.3">
      <c r="A842" s="9">
        <f ca="1"/>
        <v>37732</v>
      </c>
      <c r="B842" s="6">
        <v>25.6</v>
      </c>
      <c r="C842" s="6"/>
      <c r="D842" s="6"/>
    </row>
    <row r="843" spans="1:4" ht="13" thickBot="1" x14ac:dyDescent="0.3">
      <c r="A843" s="9">
        <f ca="1"/>
        <v>37733</v>
      </c>
      <c r="B843" s="6">
        <v>25</v>
      </c>
      <c r="C843" s="6"/>
      <c r="D843" s="6"/>
    </row>
    <row r="844" spans="1:4" ht="13" thickBot="1" x14ac:dyDescent="0.3">
      <c r="A844" s="9">
        <f ca="1"/>
        <v>37734</v>
      </c>
      <c r="B844" s="6">
        <v>25</v>
      </c>
      <c r="C844" s="6"/>
      <c r="D844" s="6"/>
    </row>
    <row r="845" spans="1:4" ht="13" thickBot="1" x14ac:dyDescent="0.3">
      <c r="A845" s="9">
        <f ca="1"/>
        <v>37735</v>
      </c>
      <c r="B845" s="6">
        <v>24.61</v>
      </c>
      <c r="C845" s="6"/>
      <c r="D845" s="6"/>
    </row>
    <row r="846" spans="1:4" ht="13" thickBot="1" x14ac:dyDescent="0.3">
      <c r="A846" s="9">
        <f ca="1"/>
        <v>37736</v>
      </c>
      <c r="B846" s="6">
        <v>24.2</v>
      </c>
      <c r="C846" s="6"/>
      <c r="D846" s="6"/>
    </row>
    <row r="847" spans="1:4" ht="13" thickBot="1" x14ac:dyDescent="0.3">
      <c r="A847" s="9">
        <f ca="1"/>
        <v>37737</v>
      </c>
      <c r="B847" s="5">
        <f t="shared" ref="B847:B848" si="120">B846</f>
        <v>24.2</v>
      </c>
      <c r="C847" s="6"/>
      <c r="D847" s="6"/>
    </row>
    <row r="848" spans="1:4" ht="13" thickBot="1" x14ac:dyDescent="0.3">
      <c r="A848" s="9">
        <f ca="1"/>
        <v>37738</v>
      </c>
      <c r="B848" s="5">
        <f t="shared" si="120"/>
        <v>24.2</v>
      </c>
      <c r="C848" s="6"/>
      <c r="D848" s="6"/>
    </row>
    <row r="849" spans="1:4" ht="13" thickBot="1" x14ac:dyDescent="0.3">
      <c r="A849" s="9">
        <f ca="1"/>
        <v>37739</v>
      </c>
      <c r="B849" s="6">
        <v>24.06</v>
      </c>
      <c r="C849" s="6"/>
      <c r="D849" s="6"/>
    </row>
    <row r="850" spans="1:4" ht="13" thickBot="1" x14ac:dyDescent="0.3">
      <c r="A850" s="9">
        <f ca="1"/>
        <v>37740</v>
      </c>
      <c r="B850" s="6">
        <v>25.01</v>
      </c>
      <c r="C850" s="6"/>
      <c r="D850" s="6"/>
    </row>
    <row r="851" spans="1:4" ht="13" thickBot="1" x14ac:dyDescent="0.3">
      <c r="A851" s="9">
        <f ca="1"/>
        <v>37741</v>
      </c>
      <c r="B851" s="6">
        <v>25.46</v>
      </c>
      <c r="C851" s="6"/>
      <c r="D851" s="6"/>
    </row>
    <row r="852" spans="1:4" ht="13" thickBot="1" x14ac:dyDescent="0.3">
      <c r="A852" s="9">
        <f ca="1"/>
        <v>37742</v>
      </c>
      <c r="B852" s="6">
        <v>25.45</v>
      </c>
      <c r="C852" s="6"/>
      <c r="D852" s="6"/>
    </row>
    <row r="853" spans="1:4" ht="13" thickBot="1" x14ac:dyDescent="0.3">
      <c r="A853" s="9">
        <f ca="1"/>
        <v>37743</v>
      </c>
      <c r="B853" s="6">
        <v>25.8</v>
      </c>
      <c r="C853" s="6"/>
      <c r="D853" s="6"/>
    </row>
    <row r="854" spans="1:4" ht="13" thickBot="1" x14ac:dyDescent="0.3">
      <c r="A854" s="9">
        <f ca="1"/>
        <v>37744</v>
      </c>
      <c r="B854" s="5">
        <f t="shared" ref="B854:B855" si="121">B853</f>
        <v>25.8</v>
      </c>
      <c r="C854" s="6"/>
      <c r="D854" s="6"/>
    </row>
    <row r="855" spans="1:4" ht="13" thickBot="1" x14ac:dyDescent="0.3">
      <c r="A855" s="9">
        <f ca="1"/>
        <v>37745</v>
      </c>
      <c r="B855" s="5">
        <f t="shared" si="121"/>
        <v>25.8</v>
      </c>
      <c r="C855" s="6"/>
      <c r="D855" s="6"/>
    </row>
    <row r="856" spans="1:4" ht="13" thickBot="1" x14ac:dyDescent="0.3">
      <c r="A856" s="9">
        <f ca="1"/>
        <v>37746</v>
      </c>
      <c r="B856" s="6">
        <v>27.17</v>
      </c>
      <c r="C856" s="6"/>
      <c r="D856" s="6"/>
    </row>
    <row r="857" spans="1:4" ht="13" thickBot="1" x14ac:dyDescent="0.3">
      <c r="A857" s="9">
        <f ca="1"/>
        <v>37747</v>
      </c>
      <c r="B857" s="6">
        <v>26.67</v>
      </c>
      <c r="C857" s="6"/>
      <c r="D857" s="6"/>
    </row>
    <row r="858" spans="1:4" ht="13" thickBot="1" x14ac:dyDescent="0.3">
      <c r="A858" s="9">
        <f ca="1"/>
        <v>37748</v>
      </c>
      <c r="B858" s="6">
        <v>26.94</v>
      </c>
      <c r="C858" s="6"/>
      <c r="D858" s="6"/>
    </row>
    <row r="859" spans="1:4" ht="13" thickBot="1" x14ac:dyDescent="0.3">
      <c r="A859" s="9">
        <f ca="1"/>
        <v>37749</v>
      </c>
      <c r="B859" s="6">
        <v>26.25</v>
      </c>
      <c r="C859" s="6"/>
      <c r="D859" s="6"/>
    </row>
    <row r="860" spans="1:4" ht="13" thickBot="1" x14ac:dyDescent="0.3">
      <c r="A860" s="9">
        <f ca="1"/>
        <v>37750</v>
      </c>
      <c r="B860" s="6">
        <v>26.33</v>
      </c>
      <c r="C860" s="6"/>
      <c r="D860" s="6"/>
    </row>
    <row r="861" spans="1:4" ht="13" thickBot="1" x14ac:dyDescent="0.3">
      <c r="A861" s="9">
        <f ca="1"/>
        <v>37751</v>
      </c>
      <c r="B861" s="5">
        <f t="shared" ref="B861:B862" si="122">B860</f>
        <v>26.33</v>
      </c>
      <c r="C861" s="6"/>
      <c r="D861" s="6"/>
    </row>
    <row r="862" spans="1:4" ht="13" thickBot="1" x14ac:dyDescent="0.3">
      <c r="A862" s="9">
        <f ca="1"/>
        <v>37752</v>
      </c>
      <c r="B862" s="5">
        <f t="shared" si="122"/>
        <v>26.33</v>
      </c>
      <c r="C862" s="6"/>
      <c r="D862" s="6"/>
    </row>
    <row r="863" spans="1:4" ht="13" thickBot="1" x14ac:dyDescent="0.3">
      <c r="A863" s="9">
        <f ca="1"/>
        <v>37753</v>
      </c>
      <c r="B863" s="6">
        <v>26.1</v>
      </c>
      <c r="C863" s="6"/>
      <c r="D863" s="6"/>
    </row>
    <row r="864" spans="1:4" ht="13" thickBot="1" x14ac:dyDescent="0.3">
      <c r="A864" s="9">
        <f ca="1"/>
        <v>37754</v>
      </c>
      <c r="B864" s="6">
        <v>26.17</v>
      </c>
      <c r="C864" s="6"/>
      <c r="D864" s="6"/>
    </row>
    <row r="865" spans="1:4" ht="13" thickBot="1" x14ac:dyDescent="0.3">
      <c r="A865" s="9">
        <f ca="1"/>
        <v>37755</v>
      </c>
      <c r="B865" s="6">
        <v>26.08</v>
      </c>
      <c r="C865" s="6"/>
      <c r="D865" s="6"/>
    </row>
    <row r="866" spans="1:4" ht="13" thickBot="1" x14ac:dyDescent="0.3">
      <c r="A866" s="9">
        <f ca="1"/>
        <v>37756</v>
      </c>
      <c r="B866" s="6">
        <v>26.24</v>
      </c>
      <c r="C866" s="6"/>
      <c r="D866" s="6"/>
    </row>
    <row r="867" spans="1:4" ht="13" thickBot="1" x14ac:dyDescent="0.3">
      <c r="A867" s="9">
        <f ca="1"/>
        <v>37757</v>
      </c>
      <c r="B867" s="6">
        <v>26.27</v>
      </c>
      <c r="C867" s="6"/>
      <c r="D867" s="6"/>
    </row>
    <row r="868" spans="1:4" ht="13" thickBot="1" x14ac:dyDescent="0.3">
      <c r="A868" s="9">
        <f ca="1"/>
        <v>37758</v>
      </c>
      <c r="B868" s="5">
        <f t="shared" ref="B868:B869" si="123">B867</f>
        <v>26.27</v>
      </c>
      <c r="C868" s="6"/>
      <c r="D868" s="6"/>
    </row>
    <row r="869" spans="1:4" ht="13" thickBot="1" x14ac:dyDescent="0.3">
      <c r="A869" s="9">
        <f ca="1"/>
        <v>37759</v>
      </c>
      <c r="B869" s="5">
        <f t="shared" si="123"/>
        <v>26.27</v>
      </c>
      <c r="C869" s="6"/>
      <c r="D869" s="6"/>
    </row>
    <row r="870" spans="1:4" ht="13" thickBot="1" x14ac:dyDescent="0.3">
      <c r="A870" s="9">
        <f ca="1"/>
        <v>37760</v>
      </c>
      <c r="B870" s="6">
        <v>25.76</v>
      </c>
      <c r="C870" s="6"/>
      <c r="D870" s="6"/>
    </row>
    <row r="871" spans="1:4" ht="13" thickBot="1" x14ac:dyDescent="0.3">
      <c r="A871" s="9">
        <f ca="1"/>
        <v>37761</v>
      </c>
      <c r="B871" s="6">
        <v>25.35</v>
      </c>
      <c r="C871" s="6"/>
      <c r="D871" s="6"/>
    </row>
    <row r="872" spans="1:4" ht="13" thickBot="1" x14ac:dyDescent="0.3">
      <c r="A872" s="9">
        <f ca="1"/>
        <v>37762</v>
      </c>
      <c r="B872" s="6">
        <v>24.97</v>
      </c>
      <c r="C872" s="6"/>
      <c r="D872" s="6"/>
    </row>
    <row r="873" spans="1:4" ht="13" thickBot="1" x14ac:dyDescent="0.3">
      <c r="A873" s="9">
        <f ca="1"/>
        <v>37763</v>
      </c>
      <c r="B873" s="6">
        <v>25.4</v>
      </c>
      <c r="C873" s="6"/>
      <c r="D873" s="6"/>
    </row>
    <row r="874" spans="1:4" ht="13" thickBot="1" x14ac:dyDescent="0.3">
      <c r="A874" s="9">
        <f ca="1"/>
        <v>37764</v>
      </c>
      <c r="B874" s="6">
        <v>25.82</v>
      </c>
      <c r="C874" s="6"/>
      <c r="D874" s="6"/>
    </row>
    <row r="875" spans="1:4" ht="13" thickBot="1" x14ac:dyDescent="0.3">
      <c r="A875" s="9">
        <f ca="1"/>
        <v>37765</v>
      </c>
      <c r="B875" s="5">
        <f t="shared" ref="B875:B877" si="124">B874</f>
        <v>25.82</v>
      </c>
      <c r="C875" s="6"/>
      <c r="D875" s="6"/>
    </row>
    <row r="876" spans="1:4" ht="13" thickBot="1" x14ac:dyDescent="0.3">
      <c r="A876" s="9">
        <f ca="1"/>
        <v>37766</v>
      </c>
      <c r="B876" s="5">
        <f t="shared" si="124"/>
        <v>25.82</v>
      </c>
      <c r="C876" s="6"/>
      <c r="D876" s="6"/>
    </row>
    <row r="877" spans="1:4" ht="13" thickBot="1" x14ac:dyDescent="0.3">
      <c r="A877" s="9">
        <f ca="1"/>
        <v>37767</v>
      </c>
      <c r="B877" s="5">
        <f t="shared" si="124"/>
        <v>25.82</v>
      </c>
      <c r="C877" s="6"/>
      <c r="D877" s="6"/>
    </row>
    <row r="878" spans="1:4" ht="13" thickBot="1" x14ac:dyDescent="0.3">
      <c r="A878" s="9">
        <f ca="1"/>
        <v>37768</v>
      </c>
      <c r="B878" s="6">
        <v>25.86</v>
      </c>
      <c r="C878" s="6"/>
      <c r="D878" s="6"/>
    </row>
    <row r="879" spans="1:4" ht="13" thickBot="1" x14ac:dyDescent="0.3">
      <c r="A879" s="9">
        <f ca="1"/>
        <v>37769</v>
      </c>
      <c r="B879" s="6">
        <v>27.21</v>
      </c>
      <c r="C879" s="6"/>
      <c r="D879" s="6"/>
    </row>
    <row r="880" spans="1:4" ht="13" thickBot="1" x14ac:dyDescent="0.3">
      <c r="A880" s="9">
        <f ca="1"/>
        <v>37770</v>
      </c>
      <c r="B880" s="6">
        <v>27.65</v>
      </c>
      <c r="C880" s="6"/>
      <c r="D880" s="6"/>
    </row>
    <row r="881" spans="1:4" ht="13" thickBot="1" x14ac:dyDescent="0.3">
      <c r="A881" s="9">
        <f ca="1"/>
        <v>37771</v>
      </c>
      <c r="B881" s="6">
        <v>27.94</v>
      </c>
      <c r="C881" s="6"/>
      <c r="D881" s="6"/>
    </row>
    <row r="882" spans="1:4" ht="13" thickBot="1" x14ac:dyDescent="0.3">
      <c r="A882" s="9">
        <f ca="1"/>
        <v>37772</v>
      </c>
      <c r="B882" s="5">
        <f t="shared" ref="B882:B883" si="125">B881</f>
        <v>27.94</v>
      </c>
      <c r="C882" s="6"/>
      <c r="D882" s="6"/>
    </row>
    <row r="883" spans="1:4" ht="13" thickBot="1" x14ac:dyDescent="0.3">
      <c r="A883" s="9">
        <f ca="1"/>
        <v>37773</v>
      </c>
      <c r="B883" s="5">
        <f t="shared" si="125"/>
        <v>27.94</v>
      </c>
      <c r="C883" s="6"/>
      <c r="D883" s="6"/>
    </row>
    <row r="884" spans="1:4" ht="13" thickBot="1" x14ac:dyDescent="0.3">
      <c r="A884" s="9">
        <f ca="1"/>
        <v>37774</v>
      </c>
      <c r="B884" s="6">
        <v>28.68</v>
      </c>
      <c r="C884" s="6"/>
      <c r="D884" s="6"/>
    </row>
    <row r="885" spans="1:4" ht="13" thickBot="1" x14ac:dyDescent="0.3">
      <c r="A885" s="9">
        <f ca="1"/>
        <v>37775</v>
      </c>
      <c r="B885" s="6">
        <v>28.52</v>
      </c>
      <c r="C885" s="6"/>
      <c r="D885" s="6"/>
    </row>
    <row r="886" spans="1:4" ht="13" thickBot="1" x14ac:dyDescent="0.3">
      <c r="A886" s="9">
        <f ca="1"/>
        <v>37776</v>
      </c>
      <c r="B886" s="6">
        <v>29.25</v>
      </c>
      <c r="C886" s="6"/>
      <c r="D886" s="6"/>
    </row>
    <row r="887" spans="1:4" ht="13" thickBot="1" x14ac:dyDescent="0.3">
      <c r="A887" s="9">
        <f ca="1"/>
        <v>37777</v>
      </c>
      <c r="B887" s="6">
        <v>29.32</v>
      </c>
      <c r="C887" s="6"/>
      <c r="D887" s="6"/>
    </row>
    <row r="888" spans="1:4" ht="13" thickBot="1" x14ac:dyDescent="0.3">
      <c r="A888" s="9">
        <f ca="1"/>
        <v>37778</v>
      </c>
      <c r="B888" s="6">
        <v>31.14</v>
      </c>
      <c r="C888" s="6"/>
      <c r="D888" s="6"/>
    </row>
    <row r="889" spans="1:4" ht="13" thickBot="1" x14ac:dyDescent="0.3">
      <c r="A889" s="9">
        <f ca="1"/>
        <v>37779</v>
      </c>
      <c r="B889" s="5">
        <f t="shared" ref="B889:B890" si="126">B888</f>
        <v>31.14</v>
      </c>
      <c r="C889" s="6"/>
      <c r="D889" s="6"/>
    </row>
    <row r="890" spans="1:4" ht="13" thickBot="1" x14ac:dyDescent="0.3">
      <c r="A890" s="9">
        <f ca="1"/>
        <v>37780</v>
      </c>
      <c r="B890" s="5">
        <f t="shared" si="126"/>
        <v>31.14</v>
      </c>
      <c r="C890" s="6"/>
      <c r="D890" s="6"/>
    </row>
    <row r="891" spans="1:4" ht="13" thickBot="1" x14ac:dyDescent="0.3">
      <c r="A891" s="9">
        <f ca="1"/>
        <v>37781</v>
      </c>
      <c r="B891" s="6">
        <v>31.16</v>
      </c>
      <c r="C891" s="6"/>
      <c r="D891" s="6"/>
    </row>
    <row r="892" spans="1:4" ht="13" thickBot="1" x14ac:dyDescent="0.3">
      <c r="A892" s="9">
        <f ca="1"/>
        <v>37782</v>
      </c>
      <c r="B892" s="6">
        <v>33.19</v>
      </c>
      <c r="C892" s="6"/>
      <c r="D892" s="6"/>
    </row>
    <row r="893" spans="1:4" ht="13" thickBot="1" x14ac:dyDescent="0.3">
      <c r="A893" s="9">
        <f ca="1"/>
        <v>37783</v>
      </c>
      <c r="B893" s="6">
        <v>31.77</v>
      </c>
      <c r="C893" s="6"/>
      <c r="D893" s="6"/>
    </row>
    <row r="894" spans="1:4" ht="13" thickBot="1" x14ac:dyDescent="0.3">
      <c r="A894" s="9">
        <f ca="1"/>
        <v>37784</v>
      </c>
      <c r="B894" s="6">
        <v>31.37</v>
      </c>
      <c r="C894" s="6"/>
      <c r="D894" s="6"/>
    </row>
    <row r="895" spans="1:4" ht="13" thickBot="1" x14ac:dyDescent="0.3">
      <c r="A895" s="9">
        <f ca="1"/>
        <v>37785</v>
      </c>
      <c r="B895" s="6">
        <v>32.35</v>
      </c>
      <c r="C895" s="6"/>
      <c r="D895" s="6"/>
    </row>
    <row r="896" spans="1:4" ht="13" thickBot="1" x14ac:dyDescent="0.3">
      <c r="A896" s="9">
        <f ca="1"/>
        <v>37786</v>
      </c>
      <c r="B896" s="5">
        <f t="shared" ref="B896:B897" si="127">B895</f>
        <v>32.35</v>
      </c>
      <c r="C896" s="6"/>
      <c r="D896" s="6"/>
    </row>
    <row r="897" spans="1:4" ht="13" thickBot="1" x14ac:dyDescent="0.3">
      <c r="A897" s="9">
        <f ca="1"/>
        <v>37787</v>
      </c>
      <c r="B897" s="5">
        <f t="shared" si="127"/>
        <v>32.35</v>
      </c>
      <c r="C897" s="6"/>
      <c r="D897" s="6"/>
    </row>
    <row r="898" spans="1:4" ht="13" thickBot="1" x14ac:dyDescent="0.3">
      <c r="A898" s="9">
        <f ca="1"/>
        <v>37788</v>
      </c>
      <c r="B898" s="6">
        <v>32.549999999999997</v>
      </c>
      <c r="C898" s="6"/>
      <c r="D898" s="6"/>
    </row>
    <row r="899" spans="1:4" ht="13" thickBot="1" x14ac:dyDescent="0.3">
      <c r="A899" s="9">
        <f ca="1"/>
        <v>37789</v>
      </c>
      <c r="B899" s="6">
        <v>33.53</v>
      </c>
      <c r="C899" s="6"/>
      <c r="D899" s="6"/>
    </row>
    <row r="900" spans="1:4" ht="13" thickBot="1" x14ac:dyDescent="0.3">
      <c r="A900" s="9">
        <f ca="1"/>
        <v>37790</v>
      </c>
      <c r="B900" s="6">
        <v>32.909999999999997</v>
      </c>
      <c r="C900" s="6"/>
      <c r="D900" s="6"/>
    </row>
    <row r="901" spans="1:4" ht="13" thickBot="1" x14ac:dyDescent="0.3">
      <c r="A901" s="9">
        <f ca="1"/>
        <v>37791</v>
      </c>
      <c r="B901" s="6">
        <v>30.95</v>
      </c>
      <c r="C901" s="6"/>
      <c r="D901" s="6"/>
    </row>
    <row r="902" spans="1:4" ht="13" thickBot="1" x14ac:dyDescent="0.3">
      <c r="A902" s="9">
        <f ca="1"/>
        <v>37792</v>
      </c>
      <c r="B902" s="6">
        <v>30.22</v>
      </c>
      <c r="C902" s="6"/>
      <c r="D902" s="6"/>
    </row>
    <row r="903" spans="1:4" ht="13" thickBot="1" x14ac:dyDescent="0.3">
      <c r="A903" s="9">
        <f ca="1"/>
        <v>37793</v>
      </c>
      <c r="B903" s="5">
        <f t="shared" ref="B903:B904" si="128">B902</f>
        <v>30.22</v>
      </c>
      <c r="C903" s="6"/>
      <c r="D903" s="6"/>
    </row>
    <row r="904" spans="1:4" ht="13" thickBot="1" x14ac:dyDescent="0.3">
      <c r="A904" s="9">
        <f ca="1"/>
        <v>37794</v>
      </c>
      <c r="B904" s="5">
        <f t="shared" si="128"/>
        <v>30.22</v>
      </c>
      <c r="C904" s="6"/>
      <c r="D904" s="6"/>
    </row>
    <row r="905" spans="1:4" ht="13" thickBot="1" x14ac:dyDescent="0.3">
      <c r="A905" s="9">
        <f ca="1"/>
        <v>37795</v>
      </c>
      <c r="B905" s="6">
        <v>30.23</v>
      </c>
      <c r="C905" s="6"/>
      <c r="D905" s="6"/>
    </row>
    <row r="906" spans="1:4" ht="13" thickBot="1" x14ac:dyDescent="0.3">
      <c r="A906" s="9">
        <f ca="1"/>
        <v>37796</v>
      </c>
      <c r="B906" s="6">
        <v>29.61</v>
      </c>
      <c r="C906" s="6"/>
      <c r="D906" s="6"/>
    </row>
    <row r="907" spans="1:4" ht="13" thickBot="1" x14ac:dyDescent="0.3">
      <c r="A907" s="9">
        <f ca="1"/>
        <v>37797</v>
      </c>
      <c r="B907" s="6">
        <v>29.39</v>
      </c>
      <c r="C907" s="6"/>
      <c r="D907" s="6"/>
    </row>
    <row r="908" spans="1:4" ht="13" thickBot="1" x14ac:dyDescent="0.3">
      <c r="A908" s="9">
        <f ca="1"/>
        <v>37798</v>
      </c>
      <c r="B908" s="6">
        <v>29.42</v>
      </c>
      <c r="C908" s="6"/>
      <c r="D908" s="6"/>
    </row>
    <row r="909" spans="1:4" ht="13" thickBot="1" x14ac:dyDescent="0.3">
      <c r="A909" s="9">
        <f ca="1"/>
        <v>37799</v>
      </c>
      <c r="B909" s="6">
        <v>29.74</v>
      </c>
      <c r="C909" s="6"/>
      <c r="D909" s="6"/>
    </row>
    <row r="910" spans="1:4" ht="13" thickBot="1" x14ac:dyDescent="0.3">
      <c r="A910" s="9">
        <f ca="1"/>
        <v>37800</v>
      </c>
      <c r="B910" s="5">
        <f t="shared" ref="B910:B911" si="129">B909</f>
        <v>29.74</v>
      </c>
      <c r="C910" s="6"/>
      <c r="D910" s="6"/>
    </row>
    <row r="911" spans="1:4" ht="13" thickBot="1" x14ac:dyDescent="0.3">
      <c r="A911" s="9">
        <f ca="1"/>
        <v>37801</v>
      </c>
      <c r="B911" s="5">
        <f t="shared" si="129"/>
        <v>29.74</v>
      </c>
      <c r="C911" s="6"/>
      <c r="D911" s="6"/>
    </row>
    <row r="912" spans="1:4" ht="13" thickBot="1" x14ac:dyDescent="0.3">
      <c r="A912" s="9">
        <f ca="1"/>
        <v>37802</v>
      </c>
      <c r="B912" s="6">
        <v>29.96</v>
      </c>
      <c r="C912" s="6"/>
      <c r="D912" s="6"/>
    </row>
    <row r="913" spans="1:4" ht="13" thickBot="1" x14ac:dyDescent="0.3">
      <c r="A913" s="9">
        <f ca="1"/>
        <v>37803</v>
      </c>
      <c r="B913" s="6">
        <v>28.75</v>
      </c>
      <c r="C913" s="6"/>
      <c r="D913" s="6"/>
    </row>
    <row r="914" spans="1:4" ht="13" thickBot="1" x14ac:dyDescent="0.3">
      <c r="A914" s="9">
        <f ca="1"/>
        <v>37804</v>
      </c>
      <c r="B914" s="6">
        <v>29.5</v>
      </c>
      <c r="C914" s="6"/>
      <c r="D914" s="6"/>
    </row>
    <row r="915" spans="1:4" ht="13" thickBot="1" x14ac:dyDescent="0.3">
      <c r="A915" s="9">
        <f ca="1"/>
        <v>37805</v>
      </c>
      <c r="B915" s="6">
        <v>29.28</v>
      </c>
      <c r="C915" s="6"/>
      <c r="D915" s="6"/>
    </row>
    <row r="916" spans="1:4" ht="13" thickBot="1" x14ac:dyDescent="0.3">
      <c r="A916" s="9">
        <f ca="1"/>
        <v>37806</v>
      </c>
      <c r="B916" s="5">
        <f t="shared" ref="B916:B918" si="130">B915</f>
        <v>29.28</v>
      </c>
      <c r="C916" s="6"/>
      <c r="D916" s="6"/>
    </row>
    <row r="917" spans="1:4" ht="13" thickBot="1" x14ac:dyDescent="0.3">
      <c r="A917" s="9">
        <f ca="1"/>
        <v>37807</v>
      </c>
      <c r="B917" s="5">
        <f t="shared" si="130"/>
        <v>29.28</v>
      </c>
      <c r="C917" s="6"/>
      <c r="D917" s="6"/>
    </row>
    <row r="918" spans="1:4" ht="13" thickBot="1" x14ac:dyDescent="0.3">
      <c r="A918" s="9">
        <f ca="1"/>
        <v>37808</v>
      </c>
      <c r="B918" s="5">
        <f t="shared" si="130"/>
        <v>29.28</v>
      </c>
      <c r="C918" s="6"/>
      <c r="D918" s="6"/>
    </row>
    <row r="919" spans="1:4" ht="13" thickBot="1" x14ac:dyDescent="0.3">
      <c r="A919" s="9">
        <f ca="1"/>
        <v>37809</v>
      </c>
      <c r="B919" s="6">
        <v>29.61</v>
      </c>
      <c r="C919" s="6"/>
      <c r="D919" s="6"/>
    </row>
    <row r="920" spans="1:4" ht="13" thickBot="1" x14ac:dyDescent="0.3">
      <c r="A920" s="9">
        <f ca="1"/>
        <v>37810</v>
      </c>
      <c r="B920" s="6">
        <v>30.08</v>
      </c>
      <c r="C920" s="6"/>
      <c r="D920" s="6"/>
    </row>
    <row r="921" spans="1:4" ht="13" thickBot="1" x14ac:dyDescent="0.3">
      <c r="A921" s="9">
        <f ca="1"/>
        <v>37811</v>
      </c>
      <c r="B921" s="6">
        <v>30.33</v>
      </c>
      <c r="C921" s="6"/>
      <c r="D921" s="6"/>
    </row>
    <row r="922" spans="1:4" ht="13" thickBot="1" x14ac:dyDescent="0.3">
      <c r="A922" s="9">
        <f ca="1"/>
        <v>37812</v>
      </c>
      <c r="B922" s="6">
        <v>29.96</v>
      </c>
      <c r="C922" s="6"/>
      <c r="D922" s="6"/>
    </row>
    <row r="923" spans="1:4" ht="13" thickBot="1" x14ac:dyDescent="0.3">
      <c r="A923" s="9">
        <f ca="1"/>
        <v>37813</v>
      </c>
      <c r="B923" s="6">
        <v>29.52</v>
      </c>
      <c r="C923" s="6"/>
      <c r="D923" s="6"/>
    </row>
    <row r="924" spans="1:4" ht="13" thickBot="1" x14ac:dyDescent="0.3">
      <c r="A924" s="9">
        <f ca="1"/>
        <v>37814</v>
      </c>
      <c r="B924" s="5">
        <f t="shared" ref="B924:B925" si="131">B923</f>
        <v>29.52</v>
      </c>
      <c r="C924" s="6"/>
      <c r="D924" s="6"/>
    </row>
    <row r="925" spans="1:4" ht="13" thickBot="1" x14ac:dyDescent="0.3">
      <c r="A925" s="9">
        <f ca="1"/>
        <v>37815</v>
      </c>
      <c r="B925" s="5">
        <f t="shared" si="131"/>
        <v>29.52</v>
      </c>
      <c r="C925" s="6"/>
      <c r="D925" s="6"/>
    </row>
    <row r="926" spans="1:4" ht="13" thickBot="1" x14ac:dyDescent="0.3">
      <c r="A926" s="9">
        <f ca="1"/>
        <v>37816</v>
      </c>
      <c r="B926" s="6">
        <v>29.87</v>
      </c>
      <c r="C926" s="6"/>
      <c r="D926" s="6"/>
    </row>
    <row r="927" spans="1:4" ht="13" thickBot="1" x14ac:dyDescent="0.3">
      <c r="A927" s="9">
        <f ca="1"/>
        <v>37817</v>
      </c>
      <c r="B927" s="6">
        <v>30.8</v>
      </c>
      <c r="C927" s="6"/>
      <c r="D927" s="6"/>
    </row>
    <row r="928" spans="1:4" ht="13" thickBot="1" x14ac:dyDescent="0.3">
      <c r="A928" s="9">
        <f ca="1"/>
        <v>37818</v>
      </c>
      <c r="B928" s="6">
        <v>30.56</v>
      </c>
      <c r="C928" s="6"/>
      <c r="D928" s="6"/>
    </row>
    <row r="929" spans="1:4" ht="13" thickBot="1" x14ac:dyDescent="0.3">
      <c r="A929" s="9">
        <f ca="1"/>
        <v>37819</v>
      </c>
      <c r="B929" s="6">
        <v>28.67</v>
      </c>
      <c r="C929" s="6"/>
      <c r="D929" s="6"/>
    </row>
    <row r="930" spans="1:4" ht="13" thickBot="1" x14ac:dyDescent="0.3">
      <c r="A930" s="9">
        <f ca="1"/>
        <v>37820</v>
      </c>
      <c r="B930" s="6">
        <v>28.52</v>
      </c>
      <c r="C930" s="6"/>
      <c r="D930" s="6"/>
    </row>
    <row r="931" spans="1:4" ht="13" thickBot="1" x14ac:dyDescent="0.3">
      <c r="A931" s="9">
        <f ca="1"/>
        <v>37821</v>
      </c>
      <c r="B931" s="5">
        <f t="shared" ref="B931:B932" si="132">B930</f>
        <v>28.52</v>
      </c>
      <c r="C931" s="6"/>
      <c r="D931" s="6"/>
    </row>
    <row r="932" spans="1:4" ht="13" thickBot="1" x14ac:dyDescent="0.3">
      <c r="A932" s="9">
        <f ca="1"/>
        <v>37822</v>
      </c>
      <c r="B932" s="5">
        <f t="shared" si="132"/>
        <v>28.52</v>
      </c>
      <c r="C932" s="6"/>
      <c r="D932" s="6"/>
    </row>
    <row r="933" spans="1:4" ht="13" thickBot="1" x14ac:dyDescent="0.3">
      <c r="A933" s="9">
        <f ca="1"/>
        <v>37823</v>
      </c>
      <c r="B933" s="6">
        <v>27.65</v>
      </c>
      <c r="C933" s="6"/>
      <c r="D933" s="6"/>
    </row>
    <row r="934" spans="1:4" ht="13" thickBot="1" x14ac:dyDescent="0.3">
      <c r="A934" s="9">
        <f ca="1"/>
        <v>37824</v>
      </c>
      <c r="B934" s="6">
        <v>27.7</v>
      </c>
      <c r="C934" s="6"/>
      <c r="D934" s="6"/>
    </row>
    <row r="935" spans="1:4" ht="13" thickBot="1" x14ac:dyDescent="0.3">
      <c r="A935" s="9">
        <f ca="1"/>
        <v>37825</v>
      </c>
      <c r="B935" s="6">
        <v>28.03</v>
      </c>
      <c r="C935" s="6"/>
      <c r="D935" s="6"/>
    </row>
    <row r="936" spans="1:4" ht="13" thickBot="1" x14ac:dyDescent="0.3">
      <c r="A936" s="9">
        <f ca="1"/>
        <v>37826</v>
      </c>
      <c r="B936" s="6">
        <v>28.3</v>
      </c>
      <c r="C936" s="6"/>
      <c r="D936" s="6"/>
    </row>
    <row r="937" spans="1:4" ht="13" thickBot="1" x14ac:dyDescent="0.3">
      <c r="A937" s="9">
        <f ca="1"/>
        <v>37827</v>
      </c>
      <c r="B937" s="6">
        <v>28.31</v>
      </c>
      <c r="C937" s="6"/>
      <c r="D937" s="6"/>
    </row>
    <row r="938" spans="1:4" ht="13" thickBot="1" x14ac:dyDescent="0.3">
      <c r="A938" s="9">
        <f ca="1"/>
        <v>37828</v>
      </c>
      <c r="B938" s="5">
        <f t="shared" ref="B938:B939" si="133">B937</f>
        <v>28.31</v>
      </c>
      <c r="C938" s="6"/>
      <c r="D938" s="6"/>
    </row>
    <row r="939" spans="1:4" ht="13" thickBot="1" x14ac:dyDescent="0.3">
      <c r="A939" s="9">
        <f ca="1"/>
        <v>37829</v>
      </c>
      <c r="B939" s="5">
        <f t="shared" si="133"/>
        <v>28.31</v>
      </c>
      <c r="C939" s="6"/>
      <c r="D939" s="6"/>
    </row>
    <row r="940" spans="1:4" ht="13" thickBot="1" x14ac:dyDescent="0.3">
      <c r="A940" s="9">
        <f ca="1"/>
        <v>37830</v>
      </c>
      <c r="B940" s="6">
        <v>29.53</v>
      </c>
      <c r="C940" s="6"/>
      <c r="D940" s="6"/>
    </row>
    <row r="941" spans="1:4" ht="13" thickBot="1" x14ac:dyDescent="0.3">
      <c r="A941" s="9">
        <f ca="1"/>
        <v>37831</v>
      </c>
      <c r="B941" s="6">
        <v>29.95</v>
      </c>
      <c r="C941" s="6"/>
      <c r="D941" s="6"/>
    </row>
    <row r="942" spans="1:4" ht="13" thickBot="1" x14ac:dyDescent="0.3">
      <c r="A942" s="9">
        <f ca="1"/>
        <v>37832</v>
      </c>
      <c r="B942" s="6">
        <v>29</v>
      </c>
      <c r="C942" s="6"/>
      <c r="D942" s="6"/>
    </row>
    <row r="943" spans="1:4" ht="13" thickBot="1" x14ac:dyDescent="0.3">
      <c r="A943" s="9">
        <f ca="1"/>
        <v>37833</v>
      </c>
      <c r="B943" s="6">
        <v>29.6</v>
      </c>
      <c r="C943" s="6"/>
      <c r="D943" s="6"/>
    </row>
    <row r="944" spans="1:4" ht="13" thickBot="1" x14ac:dyDescent="0.3">
      <c r="A944" s="9">
        <f ca="1"/>
        <v>37834</v>
      </c>
      <c r="B944" s="6">
        <v>29.35</v>
      </c>
      <c r="C944" s="6"/>
      <c r="D944" s="6"/>
    </row>
    <row r="945" spans="1:4" ht="13" thickBot="1" x14ac:dyDescent="0.3">
      <c r="A945" s="9">
        <f ca="1"/>
        <v>37835</v>
      </c>
      <c r="B945" s="5">
        <f t="shared" ref="B945:B946" si="134">B944</f>
        <v>29.35</v>
      </c>
      <c r="C945" s="6"/>
      <c r="D945" s="6"/>
    </row>
    <row r="946" spans="1:4" ht="13" thickBot="1" x14ac:dyDescent="0.3">
      <c r="A946" s="9">
        <f ca="1"/>
        <v>37836</v>
      </c>
      <c r="B946" s="5">
        <f t="shared" si="134"/>
        <v>29.35</v>
      </c>
      <c r="C946" s="6"/>
      <c r="D946" s="6"/>
    </row>
    <row r="947" spans="1:4" ht="13" thickBot="1" x14ac:dyDescent="0.3">
      <c r="A947" s="9">
        <f ca="1"/>
        <v>37837</v>
      </c>
      <c r="B947" s="6">
        <v>29.17</v>
      </c>
      <c r="C947" s="6"/>
      <c r="D947" s="6"/>
    </row>
    <row r="948" spans="1:4" ht="13" thickBot="1" x14ac:dyDescent="0.3">
      <c r="A948" s="9">
        <f ca="1"/>
        <v>37838</v>
      </c>
      <c r="B948" s="6">
        <v>29.19</v>
      </c>
      <c r="C948" s="6"/>
      <c r="D948" s="6"/>
    </row>
    <row r="949" spans="1:4" ht="13" thickBot="1" x14ac:dyDescent="0.3">
      <c r="A949" s="9">
        <f ca="1"/>
        <v>37839</v>
      </c>
      <c r="B949" s="6">
        <v>28.6</v>
      </c>
      <c r="C949" s="6"/>
      <c r="D949" s="6"/>
    </row>
    <row r="950" spans="1:4" ht="13" thickBot="1" x14ac:dyDescent="0.3">
      <c r="A950" s="9">
        <f ca="1"/>
        <v>37840</v>
      </c>
      <c r="B950" s="6">
        <v>28.32</v>
      </c>
      <c r="C950" s="6"/>
      <c r="D950" s="6"/>
    </row>
    <row r="951" spans="1:4" ht="13" thickBot="1" x14ac:dyDescent="0.3">
      <c r="A951" s="9">
        <f ca="1"/>
        <v>37841</v>
      </c>
      <c r="B951" s="6">
        <v>28.19</v>
      </c>
      <c r="C951" s="6"/>
      <c r="D951" s="6"/>
    </row>
    <row r="952" spans="1:4" ht="13" thickBot="1" x14ac:dyDescent="0.3">
      <c r="A952" s="9">
        <f ca="1"/>
        <v>37842</v>
      </c>
      <c r="B952" s="5">
        <f t="shared" ref="B952:B953" si="135">B951</f>
        <v>28.19</v>
      </c>
      <c r="C952" s="6"/>
      <c r="D952" s="6"/>
    </row>
    <row r="953" spans="1:4" ht="13" thickBot="1" x14ac:dyDescent="0.3">
      <c r="A953" s="9">
        <f ca="1"/>
        <v>37843</v>
      </c>
      <c r="B953" s="5">
        <f t="shared" si="135"/>
        <v>28.19</v>
      </c>
      <c r="C953" s="6"/>
      <c r="D953" s="6"/>
    </row>
    <row r="954" spans="1:4" ht="13" thickBot="1" x14ac:dyDescent="0.3">
      <c r="A954" s="9">
        <f ca="1"/>
        <v>37844</v>
      </c>
      <c r="B954" s="6">
        <v>27.82</v>
      </c>
      <c r="C954" s="6"/>
      <c r="D954" s="6"/>
    </row>
    <row r="955" spans="1:4" ht="13" thickBot="1" x14ac:dyDescent="0.3">
      <c r="A955" s="9">
        <f ca="1"/>
        <v>37845</v>
      </c>
      <c r="B955" s="6">
        <v>27.86</v>
      </c>
      <c r="C955" s="6"/>
      <c r="D955" s="6"/>
    </row>
    <row r="956" spans="1:4" ht="13" thickBot="1" x14ac:dyDescent="0.3">
      <c r="A956" s="9">
        <f ca="1"/>
        <v>37846</v>
      </c>
      <c r="B956" s="6">
        <v>28.58</v>
      </c>
      <c r="C956" s="6"/>
      <c r="D956" s="6"/>
    </row>
    <row r="957" spans="1:4" ht="13" thickBot="1" x14ac:dyDescent="0.3">
      <c r="A957" s="9">
        <f ca="1"/>
        <v>37847</v>
      </c>
      <c r="B957" s="6">
        <v>27.8</v>
      </c>
      <c r="C957" s="6"/>
      <c r="D957" s="6"/>
    </row>
    <row r="958" spans="1:4" ht="13" thickBot="1" x14ac:dyDescent="0.3">
      <c r="A958" s="9">
        <f ca="1"/>
        <v>37848</v>
      </c>
      <c r="B958" s="6">
        <v>27.8</v>
      </c>
      <c r="C958" s="6"/>
      <c r="D958" s="6"/>
    </row>
    <row r="959" spans="1:4" ht="13" thickBot="1" x14ac:dyDescent="0.3">
      <c r="A959" s="9">
        <f ca="1"/>
        <v>37849</v>
      </c>
      <c r="B959" s="5">
        <f t="shared" ref="B959:B960" si="136">B958</f>
        <v>27.8</v>
      </c>
      <c r="C959" s="6"/>
      <c r="D959" s="6"/>
    </row>
    <row r="960" spans="1:4" ht="13" thickBot="1" x14ac:dyDescent="0.3">
      <c r="A960" s="9">
        <f ca="1"/>
        <v>37850</v>
      </c>
      <c r="B960" s="5">
        <f t="shared" si="136"/>
        <v>27.8</v>
      </c>
      <c r="C960" s="6"/>
      <c r="D960" s="6"/>
    </row>
    <row r="961" spans="1:4" ht="13" thickBot="1" x14ac:dyDescent="0.3">
      <c r="A961" s="9">
        <f ca="1"/>
        <v>37851</v>
      </c>
      <c r="B961" s="6">
        <v>27.39</v>
      </c>
      <c r="C961" s="6"/>
      <c r="D961" s="6"/>
    </row>
    <row r="962" spans="1:4" ht="13" thickBot="1" x14ac:dyDescent="0.3">
      <c r="A962" s="9">
        <f ca="1"/>
        <v>37852</v>
      </c>
      <c r="B962" s="6">
        <v>28.61</v>
      </c>
      <c r="C962" s="6"/>
      <c r="D962" s="6"/>
    </row>
    <row r="963" spans="1:4" ht="13" thickBot="1" x14ac:dyDescent="0.3">
      <c r="A963" s="9">
        <f ca="1"/>
        <v>37853</v>
      </c>
      <c r="B963" s="6">
        <v>28.39</v>
      </c>
      <c r="C963" s="6"/>
      <c r="D963" s="6"/>
    </row>
    <row r="964" spans="1:4" ht="13" thickBot="1" x14ac:dyDescent="0.3">
      <c r="A964" s="9">
        <f ca="1"/>
        <v>37854</v>
      </c>
      <c r="B964" s="6">
        <v>28.83</v>
      </c>
      <c r="C964" s="6"/>
      <c r="D964" s="6"/>
    </row>
    <row r="965" spans="1:4" ht="13" thickBot="1" x14ac:dyDescent="0.3">
      <c r="A965" s="9">
        <f ca="1"/>
        <v>37855</v>
      </c>
      <c r="B965" s="6">
        <v>29.62</v>
      </c>
      <c r="C965" s="6"/>
      <c r="D965" s="6"/>
    </row>
    <row r="966" spans="1:4" ht="13" thickBot="1" x14ac:dyDescent="0.3">
      <c r="A966" s="9">
        <f ca="1"/>
        <v>37856</v>
      </c>
      <c r="B966" s="5">
        <f t="shared" ref="B966:B967" si="137">B965</f>
        <v>29.62</v>
      </c>
      <c r="C966" s="6"/>
      <c r="D966" s="6"/>
    </row>
    <row r="967" spans="1:4" ht="13" thickBot="1" x14ac:dyDescent="0.3">
      <c r="A967" s="9">
        <f ca="1"/>
        <v>37857</v>
      </c>
      <c r="B967" s="5">
        <f t="shared" si="137"/>
        <v>29.62</v>
      </c>
      <c r="C967" s="6"/>
      <c r="D967" s="6"/>
    </row>
    <row r="968" spans="1:4" ht="13" thickBot="1" x14ac:dyDescent="0.3">
      <c r="A968" s="9">
        <f ca="1"/>
        <v>37858</v>
      </c>
      <c r="B968" s="6">
        <v>28.55</v>
      </c>
      <c r="C968" s="6"/>
      <c r="D968" s="6"/>
    </row>
    <row r="969" spans="1:4" ht="13" thickBot="1" x14ac:dyDescent="0.3">
      <c r="A969" s="9">
        <f ca="1"/>
        <v>37859</v>
      </c>
      <c r="B969" s="6">
        <v>28.26</v>
      </c>
      <c r="C969" s="6"/>
      <c r="D969" s="6"/>
    </row>
    <row r="970" spans="1:4" ht="13" thickBot="1" x14ac:dyDescent="0.3">
      <c r="A970" s="9">
        <f ca="1"/>
        <v>37860</v>
      </c>
      <c r="B970" s="6">
        <v>28.07</v>
      </c>
      <c r="C970" s="6"/>
      <c r="D970" s="6"/>
    </row>
    <row r="971" spans="1:4" ht="13" thickBot="1" x14ac:dyDescent="0.3">
      <c r="A971" s="9">
        <f ca="1"/>
        <v>37861</v>
      </c>
      <c r="B971" s="6">
        <v>28.84</v>
      </c>
      <c r="C971" s="6"/>
      <c r="D971" s="6"/>
    </row>
    <row r="972" spans="1:4" ht="13" thickBot="1" x14ac:dyDescent="0.3">
      <c r="A972" s="9">
        <f ca="1"/>
        <v>37862</v>
      </c>
      <c r="B972" s="6">
        <v>29.85</v>
      </c>
      <c r="C972" s="6"/>
      <c r="D972" s="6"/>
    </row>
    <row r="973" spans="1:4" ht="13" thickBot="1" x14ac:dyDescent="0.3">
      <c r="A973" s="9">
        <f ca="1"/>
        <v>37863</v>
      </c>
      <c r="B973" s="5">
        <f t="shared" ref="B973:B975" si="138">B972</f>
        <v>29.85</v>
      </c>
      <c r="C973" s="6"/>
      <c r="D973" s="6"/>
    </row>
    <row r="974" spans="1:4" ht="13" thickBot="1" x14ac:dyDescent="0.3">
      <c r="A974" s="9">
        <f ca="1"/>
        <v>37864</v>
      </c>
      <c r="B974" s="5">
        <f t="shared" si="138"/>
        <v>29.85</v>
      </c>
      <c r="C974" s="6"/>
      <c r="D974" s="6"/>
    </row>
    <row r="975" spans="1:4" ht="13" thickBot="1" x14ac:dyDescent="0.3">
      <c r="A975" s="9">
        <f ca="1"/>
        <v>37865</v>
      </c>
      <c r="B975" s="5">
        <f t="shared" si="138"/>
        <v>29.85</v>
      </c>
      <c r="C975" s="6"/>
      <c r="D975" s="6"/>
    </row>
    <row r="976" spans="1:4" ht="13" thickBot="1" x14ac:dyDescent="0.3">
      <c r="A976" s="9">
        <f ca="1"/>
        <v>37866</v>
      </c>
      <c r="B976" s="6">
        <v>30.79</v>
      </c>
      <c r="C976" s="6"/>
      <c r="D976" s="6"/>
    </row>
    <row r="977" spans="1:4" ht="13" thickBot="1" x14ac:dyDescent="0.3">
      <c r="A977" s="9">
        <f ca="1"/>
        <v>37867</v>
      </c>
      <c r="B977" s="6">
        <v>32.58</v>
      </c>
      <c r="C977" s="6"/>
      <c r="D977" s="6"/>
    </row>
    <row r="978" spans="1:4" ht="13" thickBot="1" x14ac:dyDescent="0.3">
      <c r="A978" s="9">
        <f ca="1"/>
        <v>37868</v>
      </c>
      <c r="B978" s="6">
        <v>34.06</v>
      </c>
      <c r="C978" s="6"/>
      <c r="D978" s="6"/>
    </row>
    <row r="979" spans="1:4" ht="13" thickBot="1" x14ac:dyDescent="0.3">
      <c r="A979" s="9">
        <f ca="1"/>
        <v>37869</v>
      </c>
      <c r="B979" s="6">
        <v>33.86</v>
      </c>
      <c r="C979" s="6"/>
      <c r="D979" s="6"/>
    </row>
    <row r="980" spans="1:4" ht="13" thickBot="1" x14ac:dyDescent="0.3">
      <c r="A980" s="9">
        <f ca="1"/>
        <v>37870</v>
      </c>
      <c r="B980" s="5">
        <f t="shared" ref="B980:B981" si="139">B979</f>
        <v>33.86</v>
      </c>
      <c r="C980" s="6"/>
      <c r="D980" s="6"/>
    </row>
    <row r="981" spans="1:4" ht="13" thickBot="1" x14ac:dyDescent="0.3">
      <c r="A981" s="9">
        <f ca="1"/>
        <v>37871</v>
      </c>
      <c r="B981" s="5">
        <f t="shared" si="139"/>
        <v>33.86</v>
      </c>
      <c r="C981" s="6"/>
      <c r="D981" s="6"/>
    </row>
    <row r="982" spans="1:4" ht="13" thickBot="1" x14ac:dyDescent="0.3">
      <c r="A982" s="9">
        <f ca="1"/>
        <v>37872</v>
      </c>
      <c r="B982" s="6">
        <v>33.729999999999997</v>
      </c>
      <c r="C982" s="6"/>
      <c r="D982" s="6"/>
    </row>
    <row r="983" spans="1:4" ht="13" thickBot="1" x14ac:dyDescent="0.3">
      <c r="A983" s="9">
        <f ca="1"/>
        <v>37873</v>
      </c>
      <c r="B983" s="6">
        <v>33.82</v>
      </c>
      <c r="C983" s="6"/>
      <c r="D983" s="6"/>
    </row>
    <row r="984" spans="1:4" ht="13" thickBot="1" x14ac:dyDescent="0.3">
      <c r="A984" s="9">
        <f ca="1"/>
        <v>37874</v>
      </c>
      <c r="B984" s="6">
        <v>32.85</v>
      </c>
      <c r="C984" s="6"/>
      <c r="D984" s="6"/>
    </row>
    <row r="985" spans="1:4" ht="13" thickBot="1" x14ac:dyDescent="0.3">
      <c r="A985" s="9">
        <f ca="1"/>
        <v>37875</v>
      </c>
      <c r="B985" s="6">
        <v>32.96</v>
      </c>
      <c r="C985" s="6"/>
      <c r="D985" s="6"/>
    </row>
    <row r="986" spans="1:4" ht="13" thickBot="1" x14ac:dyDescent="0.3">
      <c r="A986" s="9">
        <f ca="1"/>
        <v>37876</v>
      </c>
      <c r="B986" s="6">
        <v>31.72</v>
      </c>
      <c r="C986" s="6"/>
      <c r="D986" s="6"/>
    </row>
    <row r="987" spans="1:4" ht="13" thickBot="1" x14ac:dyDescent="0.3">
      <c r="A987" s="9">
        <f ca="1"/>
        <v>37877</v>
      </c>
      <c r="B987" s="5">
        <f t="shared" ref="B987:B988" si="140">B986</f>
        <v>31.72</v>
      </c>
      <c r="C987" s="6"/>
      <c r="D987" s="6"/>
    </row>
    <row r="988" spans="1:4" ht="13" thickBot="1" x14ac:dyDescent="0.3">
      <c r="A988" s="9">
        <f ca="1"/>
        <v>37878</v>
      </c>
      <c r="B988" s="5">
        <f t="shared" si="140"/>
        <v>31.72</v>
      </c>
      <c r="C988" s="6"/>
      <c r="D988" s="6"/>
    </row>
    <row r="989" spans="1:4" ht="13" thickBot="1" x14ac:dyDescent="0.3">
      <c r="A989" s="9">
        <f ca="1"/>
        <v>37879</v>
      </c>
      <c r="B989" s="6">
        <v>32.42</v>
      </c>
      <c r="C989" s="6"/>
      <c r="D989" s="6"/>
    </row>
    <row r="990" spans="1:4" ht="13" thickBot="1" x14ac:dyDescent="0.3">
      <c r="A990" s="9">
        <f ca="1"/>
        <v>37880</v>
      </c>
      <c r="B990" s="6">
        <v>32.380000000000003</v>
      </c>
      <c r="C990" s="6"/>
      <c r="D990" s="6"/>
    </row>
    <row r="991" spans="1:4" ht="13" thickBot="1" x14ac:dyDescent="0.3">
      <c r="A991" s="9">
        <f ca="1"/>
        <v>37881</v>
      </c>
      <c r="B991" s="6">
        <v>33.5</v>
      </c>
      <c r="C991" s="6"/>
      <c r="D991" s="6"/>
    </row>
    <row r="992" spans="1:4" ht="13" thickBot="1" x14ac:dyDescent="0.3">
      <c r="A992" s="9">
        <f ca="1"/>
        <v>37882</v>
      </c>
      <c r="B992" s="6">
        <v>33.5</v>
      </c>
      <c r="C992" s="6"/>
      <c r="D992" s="6"/>
    </row>
    <row r="993" spans="1:4" ht="13" thickBot="1" x14ac:dyDescent="0.3">
      <c r="A993" s="9">
        <f ca="1"/>
        <v>37883</v>
      </c>
      <c r="B993" s="6">
        <v>34</v>
      </c>
      <c r="C993" s="6"/>
      <c r="D993" s="6"/>
    </row>
    <row r="994" spans="1:4" ht="13" thickBot="1" x14ac:dyDescent="0.3">
      <c r="A994" s="9">
        <f ca="1"/>
        <v>37884</v>
      </c>
      <c r="B994" s="5">
        <f t="shared" ref="B994:B995" si="141">B993</f>
        <v>34</v>
      </c>
      <c r="C994" s="6"/>
      <c r="D994" s="6"/>
    </row>
    <row r="995" spans="1:4" ht="13" thickBot="1" x14ac:dyDescent="0.3">
      <c r="A995" s="9">
        <f ca="1"/>
        <v>37885</v>
      </c>
      <c r="B995" s="5">
        <f t="shared" si="141"/>
        <v>34</v>
      </c>
      <c r="C995" s="6"/>
      <c r="D995" s="6"/>
    </row>
    <row r="996" spans="1:4" ht="13" thickBot="1" x14ac:dyDescent="0.3">
      <c r="A996" s="9">
        <f ca="1"/>
        <v>37886</v>
      </c>
      <c r="B996" s="6">
        <v>33.47</v>
      </c>
      <c r="C996" s="6"/>
      <c r="D996" s="6"/>
    </row>
    <row r="997" spans="1:4" ht="13" thickBot="1" x14ac:dyDescent="0.3">
      <c r="A997" s="9">
        <f ca="1"/>
        <v>37887</v>
      </c>
      <c r="B997" s="6">
        <v>33.090000000000003</v>
      </c>
      <c r="C997" s="6"/>
      <c r="D997" s="6"/>
    </row>
    <row r="998" spans="1:4" ht="13" thickBot="1" x14ac:dyDescent="0.3">
      <c r="A998" s="9">
        <f ca="1"/>
        <v>37888</v>
      </c>
      <c r="B998" s="6">
        <v>32.479999999999997</v>
      </c>
      <c r="C998" s="6"/>
      <c r="D998" s="6"/>
    </row>
    <row r="999" spans="1:4" ht="13" thickBot="1" x14ac:dyDescent="0.3">
      <c r="A999" s="9">
        <f ca="1"/>
        <v>37889</v>
      </c>
      <c r="B999" s="6">
        <v>31.83</v>
      </c>
      <c r="C999" s="6"/>
      <c r="D999" s="6"/>
    </row>
    <row r="1000" spans="1:4" ht="13" thickBot="1" x14ac:dyDescent="0.3">
      <c r="A1000" s="9">
        <f ca="1"/>
        <v>37890</v>
      </c>
      <c r="B1000" s="6">
        <v>31.17</v>
      </c>
      <c r="C1000" s="6"/>
      <c r="D1000" s="6"/>
    </row>
    <row r="1001" spans="1:4" ht="13" thickBot="1" x14ac:dyDescent="0.3">
      <c r="A1001" s="9">
        <f ca="1"/>
        <v>37891</v>
      </c>
      <c r="B1001" s="5">
        <f t="shared" ref="B1001:B1002" si="142">B1000</f>
        <v>31.17</v>
      </c>
      <c r="C1001" s="6"/>
      <c r="D1001" s="6"/>
    </row>
    <row r="1002" spans="1:4" ht="13" thickBot="1" x14ac:dyDescent="0.3">
      <c r="A1002" s="9">
        <f ca="1"/>
        <v>37892</v>
      </c>
      <c r="B1002" s="5">
        <f t="shared" si="142"/>
        <v>31.17</v>
      </c>
      <c r="C1002" s="6"/>
      <c r="D1002" s="6"/>
    </row>
    <row r="1003" spans="1:4" ht="13" thickBot="1" x14ac:dyDescent="0.3">
      <c r="A1003" s="9">
        <f ca="1"/>
        <v>37893</v>
      </c>
      <c r="B1003" s="6">
        <v>30.6</v>
      </c>
      <c r="C1003" s="6"/>
      <c r="D1003" s="6"/>
    </row>
    <row r="1004" spans="1:4" ht="13" thickBot="1" x14ac:dyDescent="0.3">
      <c r="A1004" s="9">
        <f ca="1"/>
        <v>37894</v>
      </c>
      <c r="B1004" s="6">
        <v>30.82</v>
      </c>
      <c r="C1004" s="6"/>
      <c r="D1004" s="6"/>
    </row>
    <row r="1005" spans="1:4" ht="13" thickBot="1" x14ac:dyDescent="0.3">
      <c r="A1005" s="9">
        <f ca="1"/>
        <v>37895</v>
      </c>
      <c r="B1005" s="6">
        <v>30.51</v>
      </c>
      <c r="C1005" s="6"/>
      <c r="D1005" s="6"/>
    </row>
    <row r="1006" spans="1:4" ht="13" thickBot="1" x14ac:dyDescent="0.3">
      <c r="A1006" s="9">
        <f ca="1"/>
        <v>37896</v>
      </c>
      <c r="B1006" s="6">
        <v>31.34</v>
      </c>
      <c r="C1006" s="6"/>
      <c r="D1006" s="6"/>
    </row>
    <row r="1007" spans="1:4" ht="13" thickBot="1" x14ac:dyDescent="0.3">
      <c r="A1007" s="9">
        <f ca="1"/>
        <v>37897</v>
      </c>
      <c r="B1007" s="6">
        <v>32.770000000000003</v>
      </c>
      <c r="C1007" s="6"/>
      <c r="D1007" s="6"/>
    </row>
    <row r="1008" spans="1:4" ht="13" thickBot="1" x14ac:dyDescent="0.3">
      <c r="A1008" s="9">
        <f ca="1"/>
        <v>37898</v>
      </c>
      <c r="B1008" s="5">
        <f t="shared" ref="B1008:B1009" si="143">B1007</f>
        <v>32.770000000000003</v>
      </c>
      <c r="C1008" s="6"/>
      <c r="D1008" s="6"/>
    </row>
    <row r="1009" spans="1:4" ht="13" thickBot="1" x14ac:dyDescent="0.3">
      <c r="A1009" s="9">
        <f ca="1"/>
        <v>37899</v>
      </c>
      <c r="B1009" s="5">
        <f t="shared" si="143"/>
        <v>32.770000000000003</v>
      </c>
      <c r="C1009" s="6"/>
      <c r="D1009" s="6"/>
    </row>
    <row r="1010" spans="1:4" ht="13" thickBot="1" x14ac:dyDescent="0.3">
      <c r="A1010" s="9">
        <f ca="1"/>
        <v>37900</v>
      </c>
      <c r="B1010" s="6">
        <v>33.83</v>
      </c>
      <c r="C1010" s="6"/>
      <c r="D1010" s="6"/>
    </row>
    <row r="1011" spans="1:4" ht="13" thickBot="1" x14ac:dyDescent="0.3">
      <c r="A1011" s="9">
        <f ca="1"/>
        <v>37901</v>
      </c>
      <c r="B1011" s="6">
        <v>33.46</v>
      </c>
      <c r="C1011" s="6"/>
      <c r="D1011" s="6"/>
    </row>
    <row r="1012" spans="1:4" ht="13" thickBot="1" x14ac:dyDescent="0.3">
      <c r="A1012" s="9">
        <f ca="1"/>
        <v>37902</v>
      </c>
      <c r="B1012" s="6">
        <v>36.5</v>
      </c>
      <c r="C1012" s="6"/>
      <c r="D1012" s="6"/>
    </row>
    <row r="1013" spans="1:4" ht="13" thickBot="1" x14ac:dyDescent="0.3">
      <c r="A1013" s="9">
        <f ca="1"/>
        <v>37903</v>
      </c>
      <c r="B1013" s="6">
        <v>37.29</v>
      </c>
      <c r="C1013" s="6"/>
      <c r="D1013" s="6"/>
    </row>
    <row r="1014" spans="1:4" ht="13" thickBot="1" x14ac:dyDescent="0.3">
      <c r="A1014" s="9">
        <f ca="1"/>
        <v>37904</v>
      </c>
      <c r="B1014" s="6">
        <v>36.69</v>
      </c>
      <c r="C1014" s="6"/>
      <c r="D1014" s="6"/>
    </row>
    <row r="1015" spans="1:4" ht="13" thickBot="1" x14ac:dyDescent="0.3">
      <c r="A1015" s="9">
        <f ca="1"/>
        <v>37905</v>
      </c>
      <c r="B1015" s="5">
        <f t="shared" ref="B1015:B1016" si="144">B1014</f>
        <v>36.69</v>
      </c>
      <c r="C1015" s="6"/>
      <c r="D1015" s="6"/>
    </row>
    <row r="1016" spans="1:4" ht="13" thickBot="1" x14ac:dyDescent="0.3">
      <c r="A1016" s="9">
        <f ca="1"/>
        <v>37906</v>
      </c>
      <c r="B1016" s="5">
        <f t="shared" si="144"/>
        <v>36.69</v>
      </c>
      <c r="C1016" s="6"/>
      <c r="D1016" s="6"/>
    </row>
    <row r="1017" spans="1:4" ht="13" thickBot="1" x14ac:dyDescent="0.3">
      <c r="A1017" s="9">
        <f ca="1"/>
        <v>37907</v>
      </c>
      <c r="B1017" s="6">
        <v>37.1</v>
      </c>
      <c r="C1017" s="6"/>
      <c r="D1017" s="6"/>
    </row>
    <row r="1018" spans="1:4" ht="13" thickBot="1" x14ac:dyDescent="0.3">
      <c r="A1018" s="9">
        <f ca="1"/>
        <v>37908</v>
      </c>
      <c r="B1018" s="6">
        <v>37.25</v>
      </c>
      <c r="C1018" s="6"/>
      <c r="D1018" s="6"/>
    </row>
    <row r="1019" spans="1:4" ht="13" thickBot="1" x14ac:dyDescent="0.3">
      <c r="A1019" s="9">
        <f ca="1"/>
        <v>37909</v>
      </c>
      <c r="B1019" s="6">
        <v>37.71</v>
      </c>
      <c r="C1019" s="6"/>
      <c r="D1019" s="6"/>
    </row>
    <row r="1020" spans="1:4" ht="13" thickBot="1" x14ac:dyDescent="0.3">
      <c r="A1020" s="9">
        <f ca="1"/>
        <v>37910</v>
      </c>
      <c r="B1020" s="6">
        <v>36.39</v>
      </c>
      <c r="C1020" s="6"/>
      <c r="D1020" s="6"/>
    </row>
    <row r="1021" spans="1:4" ht="13" thickBot="1" x14ac:dyDescent="0.3">
      <c r="A1021" s="9">
        <f ca="1"/>
        <v>37911</v>
      </c>
      <c r="B1021" s="6">
        <v>36.28</v>
      </c>
      <c r="C1021" s="6"/>
      <c r="D1021" s="6"/>
    </row>
    <row r="1022" spans="1:4" ht="13" thickBot="1" x14ac:dyDescent="0.3">
      <c r="A1022" s="9">
        <f ca="1"/>
        <v>37912</v>
      </c>
      <c r="B1022" s="5">
        <f t="shared" ref="B1022:B1023" si="145">B1021</f>
        <v>36.28</v>
      </c>
      <c r="C1022" s="6"/>
      <c r="D1022" s="6"/>
    </row>
    <row r="1023" spans="1:4" ht="13" thickBot="1" x14ac:dyDescent="0.3">
      <c r="A1023" s="9">
        <f ca="1"/>
        <v>37913</v>
      </c>
      <c r="B1023" s="5">
        <f t="shared" si="145"/>
        <v>36.28</v>
      </c>
      <c r="C1023" s="6"/>
      <c r="D1023" s="6"/>
    </row>
    <row r="1024" spans="1:4" ht="13" thickBot="1" x14ac:dyDescent="0.3">
      <c r="A1024" s="9">
        <f ca="1"/>
        <v>37914</v>
      </c>
      <c r="B1024" s="6">
        <v>35.83</v>
      </c>
      <c r="C1024" s="6"/>
      <c r="D1024" s="6"/>
    </row>
    <row r="1025" spans="1:4" ht="13" thickBot="1" x14ac:dyDescent="0.3">
      <c r="A1025" s="9">
        <f ca="1"/>
        <v>37915</v>
      </c>
      <c r="B1025" s="6">
        <v>35.64</v>
      </c>
      <c r="C1025" s="6"/>
      <c r="D1025" s="6"/>
    </row>
    <row r="1026" spans="1:4" ht="13" thickBot="1" x14ac:dyDescent="0.3">
      <c r="A1026" s="9">
        <f ca="1"/>
        <v>37916</v>
      </c>
      <c r="B1026" s="6">
        <v>35.5</v>
      </c>
      <c r="C1026" s="6"/>
      <c r="D1026" s="6"/>
    </row>
    <row r="1027" spans="1:4" ht="13" thickBot="1" x14ac:dyDescent="0.3">
      <c r="A1027" s="9">
        <f ca="1"/>
        <v>37917</v>
      </c>
      <c r="B1027" s="6">
        <v>35.53</v>
      </c>
      <c r="C1027" s="6"/>
      <c r="D1027" s="6"/>
    </row>
    <row r="1028" spans="1:4" ht="13" thickBot="1" x14ac:dyDescent="0.3">
      <c r="A1028" s="9">
        <f ca="1"/>
        <v>37918</v>
      </c>
      <c r="B1028" s="6">
        <v>35.08</v>
      </c>
      <c r="C1028" s="6"/>
      <c r="D1028" s="6"/>
    </row>
    <row r="1029" spans="1:4" ht="13" thickBot="1" x14ac:dyDescent="0.3">
      <c r="A1029" s="9">
        <f ca="1"/>
        <v>37919</v>
      </c>
      <c r="B1029" s="5">
        <f t="shared" ref="B1029:B1030" si="146">B1028</f>
        <v>35.08</v>
      </c>
      <c r="C1029" s="6"/>
      <c r="D1029" s="6"/>
    </row>
    <row r="1030" spans="1:4" ht="13" thickBot="1" x14ac:dyDescent="0.3">
      <c r="A1030" s="9">
        <f ca="1"/>
        <v>37920</v>
      </c>
      <c r="B1030" s="5">
        <f t="shared" si="146"/>
        <v>35.08</v>
      </c>
      <c r="C1030" s="6"/>
      <c r="D1030" s="6"/>
    </row>
    <row r="1031" spans="1:4" ht="13" thickBot="1" x14ac:dyDescent="0.3">
      <c r="A1031" s="9">
        <f ca="1"/>
        <v>37921</v>
      </c>
      <c r="B1031" s="6">
        <v>35.81</v>
      </c>
      <c r="C1031" s="6"/>
      <c r="D1031" s="6"/>
    </row>
    <row r="1032" spans="1:4" ht="13" thickBot="1" x14ac:dyDescent="0.3">
      <c r="A1032" s="9">
        <f ca="1"/>
        <v>37922</v>
      </c>
      <c r="B1032" s="6">
        <v>36.1</v>
      </c>
      <c r="C1032" s="6"/>
      <c r="D1032" s="6"/>
    </row>
    <row r="1033" spans="1:4" ht="13" thickBot="1" x14ac:dyDescent="0.3">
      <c r="A1033" s="9">
        <f ca="1"/>
        <v>37923</v>
      </c>
      <c r="B1033" s="6">
        <v>36.57</v>
      </c>
      <c r="C1033" s="6"/>
      <c r="D1033" s="6"/>
    </row>
    <row r="1034" spans="1:4" ht="13" thickBot="1" x14ac:dyDescent="0.3">
      <c r="A1034" s="9">
        <f ca="1"/>
        <v>37924</v>
      </c>
      <c r="B1034" s="6">
        <v>36.94</v>
      </c>
      <c r="C1034" s="6"/>
      <c r="D1034" s="6"/>
    </row>
    <row r="1035" spans="1:4" ht="13" thickBot="1" x14ac:dyDescent="0.3">
      <c r="A1035" s="9">
        <f ca="1"/>
        <v>37925</v>
      </c>
      <c r="B1035" s="6">
        <v>36.119999999999997</v>
      </c>
      <c r="C1035" s="6"/>
      <c r="D1035" s="6"/>
    </row>
    <row r="1036" spans="1:4" ht="13" thickBot="1" x14ac:dyDescent="0.3">
      <c r="A1036" s="9">
        <f ca="1"/>
        <v>37926</v>
      </c>
      <c r="B1036" s="5">
        <f t="shared" ref="B1036:B1037" si="147">B1035</f>
        <v>36.119999999999997</v>
      </c>
      <c r="C1036" s="6"/>
      <c r="D1036" s="6"/>
    </row>
    <row r="1037" spans="1:4" ht="13" thickBot="1" x14ac:dyDescent="0.3">
      <c r="A1037" s="9">
        <f ca="1"/>
        <v>37927</v>
      </c>
      <c r="B1037" s="5">
        <f t="shared" si="147"/>
        <v>36.119999999999997</v>
      </c>
      <c r="C1037" s="6"/>
      <c r="D1037" s="6"/>
    </row>
    <row r="1038" spans="1:4" ht="13" thickBot="1" x14ac:dyDescent="0.3">
      <c r="A1038" s="9">
        <f ca="1"/>
        <v>37928</v>
      </c>
      <c r="B1038" s="6">
        <v>37.130000000000003</v>
      </c>
      <c r="C1038" s="6"/>
      <c r="D1038" s="6"/>
    </row>
    <row r="1039" spans="1:4" ht="13" thickBot="1" x14ac:dyDescent="0.3">
      <c r="A1039" s="9">
        <f ca="1"/>
        <v>37929</v>
      </c>
      <c r="B1039" s="6">
        <v>36.200000000000003</v>
      </c>
      <c r="C1039" s="6"/>
      <c r="D1039" s="6"/>
    </row>
    <row r="1040" spans="1:4" ht="13" thickBot="1" x14ac:dyDescent="0.3">
      <c r="A1040" s="9">
        <f ca="1"/>
        <v>37930</v>
      </c>
      <c r="B1040" s="6">
        <v>36.43</v>
      </c>
      <c r="C1040" s="6"/>
      <c r="D1040" s="6"/>
    </row>
    <row r="1041" spans="1:4" ht="13" thickBot="1" x14ac:dyDescent="0.3">
      <c r="A1041" s="9">
        <f ca="1"/>
        <v>37931</v>
      </c>
      <c r="B1041" s="6">
        <v>37.54</v>
      </c>
      <c r="C1041" s="6"/>
      <c r="D1041" s="6"/>
    </row>
    <row r="1042" spans="1:4" ht="13" thickBot="1" x14ac:dyDescent="0.3">
      <c r="A1042" s="9">
        <f ca="1"/>
        <v>37932</v>
      </c>
      <c r="B1042" s="6">
        <v>38.43</v>
      </c>
      <c r="C1042" s="6"/>
      <c r="D1042" s="6"/>
    </row>
    <row r="1043" spans="1:4" ht="13" thickBot="1" x14ac:dyDescent="0.3">
      <c r="A1043" s="9">
        <f ca="1"/>
        <v>37933</v>
      </c>
      <c r="B1043" s="5">
        <f t="shared" ref="B1043:B1044" si="148">B1042</f>
        <v>38.43</v>
      </c>
      <c r="C1043" s="6"/>
      <c r="D1043" s="6"/>
    </row>
    <row r="1044" spans="1:4" ht="13" thickBot="1" x14ac:dyDescent="0.3">
      <c r="A1044" s="9">
        <f ca="1"/>
        <v>37934</v>
      </c>
      <c r="B1044" s="5">
        <f t="shared" si="148"/>
        <v>38.43</v>
      </c>
      <c r="C1044" s="6"/>
      <c r="D1044" s="6"/>
    </row>
    <row r="1045" spans="1:4" ht="13" thickBot="1" x14ac:dyDescent="0.3">
      <c r="A1045" s="9">
        <f ca="1"/>
        <v>37935</v>
      </c>
      <c r="B1045" s="6">
        <v>38.08</v>
      </c>
      <c r="C1045" s="6"/>
      <c r="D1045" s="6"/>
    </row>
    <row r="1046" spans="1:4" ht="13" thickBot="1" x14ac:dyDescent="0.3">
      <c r="A1046" s="9">
        <f ca="1"/>
        <v>37936</v>
      </c>
      <c r="B1046" s="6">
        <v>37.6</v>
      </c>
      <c r="C1046" s="6"/>
      <c r="D1046" s="6"/>
    </row>
    <row r="1047" spans="1:4" ht="13" thickBot="1" x14ac:dyDescent="0.3">
      <c r="A1047" s="9">
        <f ca="1"/>
        <v>37937</v>
      </c>
      <c r="B1047" s="6">
        <v>38.049999999999997</v>
      </c>
      <c r="C1047" s="6"/>
      <c r="D1047" s="6"/>
    </row>
    <row r="1048" spans="1:4" ht="13" thickBot="1" x14ac:dyDescent="0.3">
      <c r="A1048" s="9">
        <f ca="1"/>
        <v>37938</v>
      </c>
      <c r="B1048" s="6">
        <v>38.57</v>
      </c>
      <c r="C1048" s="6"/>
      <c r="D1048" s="6"/>
    </row>
    <row r="1049" spans="1:4" ht="13" thickBot="1" x14ac:dyDescent="0.3">
      <c r="A1049" s="9">
        <f ca="1"/>
        <v>37939</v>
      </c>
      <c r="B1049" s="6">
        <v>38.81</v>
      </c>
      <c r="C1049" s="6"/>
      <c r="D1049" s="6"/>
    </row>
    <row r="1050" spans="1:4" ht="13" thickBot="1" x14ac:dyDescent="0.3">
      <c r="A1050" s="9">
        <f ca="1"/>
        <v>37940</v>
      </c>
      <c r="B1050" s="5">
        <f t="shared" ref="B1050:B1051" si="149">B1049</f>
        <v>38.81</v>
      </c>
      <c r="C1050" s="6"/>
      <c r="D1050" s="6"/>
    </row>
    <row r="1051" spans="1:4" ht="13" thickBot="1" x14ac:dyDescent="0.3">
      <c r="A1051" s="9">
        <f ca="1"/>
        <v>37941</v>
      </c>
      <c r="B1051" s="5">
        <f t="shared" si="149"/>
        <v>38.81</v>
      </c>
      <c r="C1051" s="6"/>
      <c r="D1051" s="6"/>
    </row>
    <row r="1052" spans="1:4" ht="13" thickBot="1" x14ac:dyDescent="0.3">
      <c r="A1052" s="9">
        <f ca="1"/>
        <v>37942</v>
      </c>
      <c r="B1052" s="6">
        <v>38.28</v>
      </c>
      <c r="C1052" s="6"/>
      <c r="D1052" s="6"/>
    </row>
    <row r="1053" spans="1:4" ht="13" thickBot="1" x14ac:dyDescent="0.3">
      <c r="A1053" s="9">
        <f ca="1"/>
        <v>37943</v>
      </c>
      <c r="B1053" s="6">
        <v>37.69</v>
      </c>
      <c r="C1053" s="6"/>
      <c r="D1053" s="6"/>
    </row>
    <row r="1054" spans="1:4" ht="13" thickBot="1" x14ac:dyDescent="0.3">
      <c r="A1054" s="9">
        <f ca="1"/>
        <v>37944</v>
      </c>
      <c r="B1054" s="6">
        <v>36.82</v>
      </c>
      <c r="C1054" s="6"/>
      <c r="D1054" s="6"/>
    </row>
    <row r="1055" spans="1:4" ht="13" thickBot="1" x14ac:dyDescent="0.3">
      <c r="A1055" s="9">
        <f ca="1"/>
        <v>37945</v>
      </c>
      <c r="B1055" s="6">
        <v>37</v>
      </c>
      <c r="C1055" s="6"/>
      <c r="D1055" s="6"/>
    </row>
    <row r="1056" spans="1:4" ht="13" thickBot="1" x14ac:dyDescent="0.3">
      <c r="A1056" s="9">
        <f ca="1"/>
        <v>37946</v>
      </c>
      <c r="B1056" s="6">
        <v>37.51</v>
      </c>
      <c r="C1056" s="6"/>
      <c r="D1056" s="6"/>
    </row>
    <row r="1057" spans="1:4" ht="13" thickBot="1" x14ac:dyDescent="0.3">
      <c r="A1057" s="9">
        <f ca="1"/>
        <v>37947</v>
      </c>
      <c r="B1057" s="5">
        <f t="shared" ref="B1057:B1058" si="150">B1056</f>
        <v>37.51</v>
      </c>
      <c r="C1057" s="6"/>
      <c r="D1057" s="6"/>
    </row>
    <row r="1058" spans="1:4" ht="13" thickBot="1" x14ac:dyDescent="0.3">
      <c r="A1058" s="9">
        <f ca="1"/>
        <v>37948</v>
      </c>
      <c r="B1058" s="5">
        <f t="shared" si="150"/>
        <v>37.51</v>
      </c>
      <c r="C1058" s="6"/>
      <c r="D1058" s="6"/>
    </row>
    <row r="1059" spans="1:4" ht="13" thickBot="1" x14ac:dyDescent="0.3">
      <c r="A1059" s="9">
        <f ca="1"/>
        <v>37949</v>
      </c>
      <c r="B1059" s="6">
        <v>37.770000000000003</v>
      </c>
      <c r="C1059" s="6"/>
      <c r="D1059" s="6"/>
    </row>
    <row r="1060" spans="1:4" ht="13" thickBot="1" x14ac:dyDescent="0.3">
      <c r="A1060" s="9">
        <f ca="1"/>
        <v>37950</v>
      </c>
      <c r="B1060" s="6">
        <v>38.39</v>
      </c>
      <c r="C1060" s="6"/>
      <c r="D1060" s="6"/>
    </row>
    <row r="1061" spans="1:4" ht="13" thickBot="1" x14ac:dyDescent="0.3">
      <c r="A1061" s="9">
        <f ca="1"/>
        <v>37951</v>
      </c>
      <c r="B1061" s="6">
        <v>38.6</v>
      </c>
      <c r="C1061" s="6"/>
      <c r="D1061" s="6"/>
    </row>
    <row r="1062" spans="1:4" ht="13" thickBot="1" x14ac:dyDescent="0.3">
      <c r="A1062" s="9">
        <f ca="1"/>
        <v>37952</v>
      </c>
      <c r="B1062" s="5">
        <f>B1061</f>
        <v>38.6</v>
      </c>
      <c r="C1062" s="6"/>
      <c r="D1062" s="6"/>
    </row>
    <row r="1063" spans="1:4" ht="13" thickBot="1" x14ac:dyDescent="0.3">
      <c r="A1063" s="9">
        <f ca="1"/>
        <v>37953</v>
      </c>
      <c r="B1063" s="6">
        <v>38.409999999999997</v>
      </c>
      <c r="C1063" s="6"/>
      <c r="D1063" s="6"/>
    </row>
    <row r="1064" spans="1:4" ht="13" thickBot="1" x14ac:dyDescent="0.3">
      <c r="A1064" s="9">
        <f ca="1"/>
        <v>37954</v>
      </c>
      <c r="B1064" s="5">
        <f t="shared" ref="B1064:B1065" si="151">B1063</f>
        <v>38.409999999999997</v>
      </c>
      <c r="C1064" s="6"/>
      <c r="D1064" s="6"/>
    </row>
    <row r="1065" spans="1:4" ht="13" thickBot="1" x14ac:dyDescent="0.3">
      <c r="A1065" s="9">
        <f ca="1"/>
        <v>37955</v>
      </c>
      <c r="B1065" s="5">
        <f t="shared" si="151"/>
        <v>38.409999999999997</v>
      </c>
      <c r="C1065" s="6"/>
      <c r="D1065" s="6"/>
    </row>
    <row r="1066" spans="1:4" ht="13" thickBot="1" x14ac:dyDescent="0.3">
      <c r="A1066" s="9">
        <f ca="1"/>
        <v>37956</v>
      </c>
      <c r="B1066" s="6">
        <v>39.06</v>
      </c>
      <c r="C1066" s="6"/>
      <c r="D1066" s="6"/>
    </row>
    <row r="1067" spans="1:4" ht="13" thickBot="1" x14ac:dyDescent="0.3">
      <c r="A1067" s="9">
        <f ca="1"/>
        <v>37957</v>
      </c>
      <c r="B1067" s="6">
        <v>39.090000000000003</v>
      </c>
      <c r="C1067" s="6"/>
      <c r="D1067" s="6"/>
    </row>
    <row r="1068" spans="1:4" ht="13" thickBot="1" x14ac:dyDescent="0.3">
      <c r="A1068" s="9">
        <f ca="1"/>
        <v>37958</v>
      </c>
      <c r="B1068" s="6">
        <v>39.950000000000003</v>
      </c>
      <c r="C1068" s="6"/>
      <c r="D1068" s="6"/>
    </row>
    <row r="1069" spans="1:4" ht="13" thickBot="1" x14ac:dyDescent="0.3">
      <c r="A1069" s="9">
        <f ca="1"/>
        <v>37959</v>
      </c>
      <c r="B1069" s="6">
        <v>40.6</v>
      </c>
      <c r="C1069" s="6"/>
      <c r="D1069" s="6"/>
    </row>
    <row r="1070" spans="1:4" ht="13" thickBot="1" x14ac:dyDescent="0.3">
      <c r="A1070" s="9">
        <f ca="1"/>
        <v>37960</v>
      </c>
      <c r="B1070" s="6">
        <v>39.72</v>
      </c>
      <c r="C1070" s="6"/>
      <c r="D1070" s="6"/>
    </row>
    <row r="1071" spans="1:4" ht="13" thickBot="1" x14ac:dyDescent="0.3">
      <c r="A1071" s="9">
        <f ca="1"/>
        <v>37961</v>
      </c>
      <c r="B1071" s="5">
        <f t="shared" ref="B1071:B1072" si="152">B1070</f>
        <v>39.72</v>
      </c>
      <c r="C1071" s="6"/>
      <c r="D1071" s="6"/>
    </row>
    <row r="1072" spans="1:4" ht="13" thickBot="1" x14ac:dyDescent="0.3">
      <c r="A1072" s="9">
        <f ca="1"/>
        <v>37962</v>
      </c>
      <c r="B1072" s="5">
        <f t="shared" si="152"/>
        <v>39.72</v>
      </c>
      <c r="C1072" s="6"/>
      <c r="D1072" s="6"/>
    </row>
    <row r="1073" spans="1:4" ht="13" thickBot="1" x14ac:dyDescent="0.3">
      <c r="A1073" s="9">
        <f ca="1"/>
        <v>37963</v>
      </c>
      <c r="B1073" s="6">
        <v>39.6</v>
      </c>
      <c r="C1073" s="6"/>
      <c r="D1073" s="6"/>
    </row>
    <row r="1074" spans="1:4" ht="13" thickBot="1" x14ac:dyDescent="0.3">
      <c r="A1074" s="9">
        <f ca="1"/>
        <v>37964</v>
      </c>
      <c r="B1074" s="6">
        <v>40.880000000000003</v>
      </c>
      <c r="C1074" s="6"/>
      <c r="D1074" s="6"/>
    </row>
    <row r="1075" spans="1:4" ht="13" thickBot="1" x14ac:dyDescent="0.3">
      <c r="A1075" s="9">
        <f ca="1"/>
        <v>37965</v>
      </c>
      <c r="B1075" s="6">
        <v>40.130000000000003</v>
      </c>
      <c r="C1075" s="6"/>
      <c r="D1075" s="6"/>
    </row>
    <row r="1076" spans="1:4" ht="13" thickBot="1" x14ac:dyDescent="0.3">
      <c r="A1076" s="9">
        <f ca="1"/>
        <v>37966</v>
      </c>
      <c r="B1076" s="6">
        <v>40.14</v>
      </c>
      <c r="C1076" s="6"/>
      <c r="D1076" s="6"/>
    </row>
    <row r="1077" spans="1:4" ht="13" thickBot="1" x14ac:dyDescent="0.3">
      <c r="A1077" s="9">
        <f ca="1"/>
        <v>37967</v>
      </c>
      <c r="B1077" s="6">
        <v>40.6</v>
      </c>
      <c r="C1077" s="6"/>
      <c r="D1077" s="6"/>
    </row>
    <row r="1078" spans="1:4" ht="13" thickBot="1" x14ac:dyDescent="0.3">
      <c r="A1078" s="9">
        <f ca="1"/>
        <v>37968</v>
      </c>
      <c r="B1078" s="5">
        <f t="shared" ref="B1078:B1079" si="153">B1077</f>
        <v>40.6</v>
      </c>
      <c r="C1078" s="6"/>
      <c r="D1078" s="6"/>
    </row>
    <row r="1079" spans="1:4" ht="13" thickBot="1" x14ac:dyDescent="0.3">
      <c r="A1079" s="9">
        <f ca="1"/>
        <v>37969</v>
      </c>
      <c r="B1079" s="5">
        <f t="shared" si="153"/>
        <v>40.6</v>
      </c>
      <c r="C1079" s="6"/>
      <c r="D1079" s="6"/>
    </row>
    <row r="1080" spans="1:4" ht="13" thickBot="1" x14ac:dyDescent="0.3">
      <c r="A1080" s="9">
        <f ca="1"/>
        <v>37970</v>
      </c>
      <c r="B1080" s="6">
        <v>40.9</v>
      </c>
      <c r="C1080" s="6"/>
      <c r="D1080" s="6"/>
    </row>
    <row r="1081" spans="1:4" ht="13" thickBot="1" x14ac:dyDescent="0.3">
      <c r="A1081" s="9">
        <f ca="1"/>
        <v>37971</v>
      </c>
      <c r="B1081" s="6">
        <v>40.14</v>
      </c>
      <c r="C1081" s="6"/>
      <c r="D1081" s="6"/>
    </row>
    <row r="1082" spans="1:4" ht="13" thickBot="1" x14ac:dyDescent="0.3">
      <c r="A1082" s="9">
        <f ca="1"/>
        <v>37972</v>
      </c>
      <c r="B1082" s="6">
        <v>40.520000000000003</v>
      </c>
      <c r="C1082" s="6"/>
      <c r="D1082" s="6"/>
    </row>
    <row r="1083" spans="1:4" ht="13" thickBot="1" x14ac:dyDescent="0.3">
      <c r="A1083" s="9">
        <f ca="1"/>
        <v>37973</v>
      </c>
      <c r="B1083" s="6">
        <v>40.159999999999997</v>
      </c>
      <c r="C1083" s="6"/>
      <c r="D1083" s="6"/>
    </row>
    <row r="1084" spans="1:4" ht="13" thickBot="1" x14ac:dyDescent="0.3">
      <c r="A1084" s="9">
        <f ca="1"/>
        <v>37974</v>
      </c>
      <c r="B1084" s="6">
        <v>40.520000000000003</v>
      </c>
      <c r="C1084" s="6"/>
      <c r="D1084" s="6"/>
    </row>
    <row r="1085" spans="1:4" ht="13" thickBot="1" x14ac:dyDescent="0.3">
      <c r="A1085" s="9">
        <f ca="1"/>
        <v>37975</v>
      </c>
      <c r="B1085" s="5">
        <f t="shared" ref="B1085:B1086" si="154">B1084</f>
        <v>40.520000000000003</v>
      </c>
      <c r="C1085" s="6"/>
      <c r="D1085" s="6"/>
    </row>
    <row r="1086" spans="1:4" ht="13" thickBot="1" x14ac:dyDescent="0.3">
      <c r="A1086" s="9">
        <f ca="1"/>
        <v>37976</v>
      </c>
      <c r="B1086" s="5">
        <f t="shared" si="154"/>
        <v>40.520000000000003</v>
      </c>
      <c r="C1086" s="6"/>
      <c r="D1086" s="6"/>
    </row>
    <row r="1087" spans="1:4" ht="13" thickBot="1" x14ac:dyDescent="0.3">
      <c r="A1087" s="9">
        <f ca="1"/>
        <v>37977</v>
      </c>
      <c r="B1087" s="6">
        <v>40.49</v>
      </c>
      <c r="C1087" s="6"/>
      <c r="D1087" s="6"/>
    </row>
    <row r="1088" spans="1:4" ht="13" thickBot="1" x14ac:dyDescent="0.3">
      <c r="A1088" s="9">
        <f ca="1"/>
        <v>37978</v>
      </c>
      <c r="B1088" s="6">
        <v>40.590000000000003</v>
      </c>
      <c r="C1088" s="6"/>
      <c r="D1088" s="6"/>
    </row>
    <row r="1089" spans="1:4" ht="13" thickBot="1" x14ac:dyDescent="0.3">
      <c r="A1089" s="9">
        <f ca="1"/>
        <v>37979</v>
      </c>
      <c r="B1089" s="6">
        <v>40.549999999999997</v>
      </c>
      <c r="C1089" s="6"/>
      <c r="D1089" s="6"/>
    </row>
    <row r="1090" spans="1:4" ht="13" thickBot="1" x14ac:dyDescent="0.3">
      <c r="A1090" s="9">
        <f ca="1"/>
        <v>37980</v>
      </c>
      <c r="B1090" s="5">
        <f>B1089</f>
        <v>40.549999999999997</v>
      </c>
      <c r="C1090" s="6"/>
      <c r="D1090" s="6"/>
    </row>
    <row r="1091" spans="1:4" ht="13" thickBot="1" x14ac:dyDescent="0.3">
      <c r="A1091" s="9">
        <f ca="1"/>
        <v>37981</v>
      </c>
      <c r="B1091" s="6">
        <v>41.3</v>
      </c>
      <c r="C1091" s="6"/>
      <c r="D1091" s="6"/>
    </row>
    <row r="1092" spans="1:4" ht="13" thickBot="1" x14ac:dyDescent="0.3">
      <c r="A1092" s="9">
        <f ca="1"/>
        <v>37982</v>
      </c>
      <c r="B1092" s="5">
        <f t="shared" ref="B1092:B1093" si="155">B1091</f>
        <v>41.3</v>
      </c>
      <c r="C1092" s="6"/>
      <c r="D1092" s="6"/>
    </row>
    <row r="1093" spans="1:4" ht="13" thickBot="1" x14ac:dyDescent="0.3">
      <c r="A1093" s="9">
        <f ca="1"/>
        <v>37983</v>
      </c>
      <c r="B1093" s="5">
        <f t="shared" si="155"/>
        <v>41.3</v>
      </c>
      <c r="C1093" s="6"/>
      <c r="D1093" s="6"/>
    </row>
    <row r="1094" spans="1:4" ht="13" thickBot="1" x14ac:dyDescent="0.3">
      <c r="A1094" s="9">
        <f ca="1"/>
        <v>37984</v>
      </c>
      <c r="B1094" s="6">
        <v>41.26</v>
      </c>
      <c r="C1094" s="6"/>
      <c r="D1094" s="6"/>
    </row>
    <row r="1095" spans="1:4" ht="13" thickBot="1" x14ac:dyDescent="0.3">
      <c r="A1095" s="9">
        <f ca="1"/>
        <v>37985</v>
      </c>
      <c r="B1095" s="6">
        <v>41.8</v>
      </c>
      <c r="C1095" s="6"/>
      <c r="D1095" s="6"/>
    </row>
    <row r="1096" spans="1:4" ht="13" thickBot="1" x14ac:dyDescent="0.3">
      <c r="A1096" s="9">
        <f ca="1"/>
        <v>37986</v>
      </c>
      <c r="B1096" s="6">
        <v>41.6</v>
      </c>
      <c r="C1096" s="6"/>
      <c r="D1096" s="6"/>
    </row>
    <row r="1097" spans="1:4" ht="13" thickBot="1" x14ac:dyDescent="0.3">
      <c r="A1097" s="9">
        <f ca="1"/>
        <v>37987</v>
      </c>
      <c r="B1097" s="5">
        <f>B1096</f>
        <v>41.6</v>
      </c>
      <c r="C1097" s="6"/>
      <c r="D1097" s="6"/>
    </row>
    <row r="1098" spans="1:4" ht="13" thickBot="1" x14ac:dyDescent="0.3">
      <c r="A1098" s="9">
        <f ca="1"/>
        <v>37988</v>
      </c>
      <c r="B1098" s="6">
        <v>42.75</v>
      </c>
      <c r="C1098" s="6"/>
      <c r="D1098" s="6"/>
    </row>
    <row r="1099" spans="1:4" ht="13" thickBot="1" x14ac:dyDescent="0.3">
      <c r="A1099" s="9">
        <f ca="1"/>
        <v>37989</v>
      </c>
      <c r="B1099" s="5">
        <f t="shared" ref="B1099:B1100" si="156">B1098</f>
        <v>42.75</v>
      </c>
      <c r="C1099" s="6"/>
      <c r="D1099" s="6"/>
    </row>
    <row r="1100" spans="1:4" ht="13" thickBot="1" x14ac:dyDescent="0.3">
      <c r="A1100" s="9">
        <f ca="1"/>
        <v>37990</v>
      </c>
      <c r="B1100" s="5">
        <f t="shared" si="156"/>
        <v>42.75</v>
      </c>
      <c r="C1100" s="6"/>
      <c r="D1100" s="6"/>
    </row>
    <row r="1101" spans="1:4" ht="13" thickBot="1" x14ac:dyDescent="0.3">
      <c r="A1101" s="9">
        <f ca="1"/>
        <v>37991</v>
      </c>
      <c r="B1101" s="6">
        <v>44.07</v>
      </c>
      <c r="C1101" s="6"/>
      <c r="D1101" s="6"/>
    </row>
    <row r="1102" spans="1:4" ht="13" thickBot="1" x14ac:dyDescent="0.3">
      <c r="A1102" s="9">
        <f ca="1"/>
        <v>37992</v>
      </c>
      <c r="B1102" s="6">
        <v>44.71</v>
      </c>
      <c r="C1102" s="6"/>
      <c r="D1102" s="6"/>
    </row>
    <row r="1103" spans="1:4" ht="13" thickBot="1" x14ac:dyDescent="0.3">
      <c r="A1103" s="9">
        <f ca="1"/>
        <v>37993</v>
      </c>
      <c r="B1103" s="6">
        <v>44.59</v>
      </c>
      <c r="C1103" s="6"/>
      <c r="D1103" s="6"/>
    </row>
    <row r="1104" spans="1:4" ht="13" thickBot="1" x14ac:dyDescent="0.3">
      <c r="A1104" s="9">
        <f ca="1"/>
        <v>37994</v>
      </c>
      <c r="B1104" s="6">
        <v>45.65</v>
      </c>
      <c r="C1104" s="6"/>
      <c r="D1104" s="6"/>
    </row>
    <row r="1105" spans="1:4" ht="13" thickBot="1" x14ac:dyDescent="0.3">
      <c r="A1105" s="9">
        <f ca="1"/>
        <v>37995</v>
      </c>
      <c r="B1105" s="6">
        <v>44.39</v>
      </c>
      <c r="C1105" s="6"/>
      <c r="D1105" s="6"/>
    </row>
    <row r="1106" spans="1:4" ht="13" thickBot="1" x14ac:dyDescent="0.3">
      <c r="A1106" s="9">
        <f ca="1"/>
        <v>37996</v>
      </c>
      <c r="B1106" s="5">
        <f t="shared" ref="B1106:B1107" si="157">B1105</f>
        <v>44.39</v>
      </c>
      <c r="C1106" s="6"/>
      <c r="D1106" s="6"/>
    </row>
    <row r="1107" spans="1:4" ht="13" thickBot="1" x14ac:dyDescent="0.3">
      <c r="A1107" s="9">
        <f ca="1"/>
        <v>37997</v>
      </c>
      <c r="B1107" s="5">
        <f t="shared" si="157"/>
        <v>44.39</v>
      </c>
      <c r="C1107" s="6"/>
      <c r="D1107" s="6"/>
    </row>
    <row r="1108" spans="1:4" ht="13" thickBot="1" x14ac:dyDescent="0.3">
      <c r="A1108" s="9">
        <f ca="1"/>
        <v>37998</v>
      </c>
      <c r="B1108" s="6">
        <v>44.36</v>
      </c>
      <c r="C1108" s="6"/>
      <c r="D1108" s="6"/>
    </row>
    <row r="1109" spans="1:4" ht="13" thickBot="1" x14ac:dyDescent="0.3">
      <c r="A1109" s="9">
        <f ca="1"/>
        <v>37999</v>
      </c>
      <c r="B1109" s="6">
        <v>42.61</v>
      </c>
      <c r="C1109" s="6"/>
      <c r="D1109" s="6"/>
    </row>
    <row r="1110" spans="1:4" ht="13" thickBot="1" x14ac:dyDescent="0.3">
      <c r="A1110" s="9">
        <f ca="1"/>
        <v>38000</v>
      </c>
      <c r="B1110" s="6">
        <v>41.8</v>
      </c>
      <c r="C1110" s="6"/>
      <c r="D1110" s="6"/>
    </row>
    <row r="1111" spans="1:4" ht="13" thickBot="1" x14ac:dyDescent="0.3">
      <c r="A1111" s="9">
        <f ca="1"/>
        <v>38001</v>
      </c>
      <c r="B1111" s="6">
        <v>42.51</v>
      </c>
      <c r="C1111" s="6"/>
      <c r="D1111" s="6"/>
    </row>
    <row r="1112" spans="1:4" ht="13" thickBot="1" x14ac:dyDescent="0.3">
      <c r="A1112" s="9">
        <f ca="1"/>
        <v>38002</v>
      </c>
      <c r="B1112" s="6">
        <v>41.6</v>
      </c>
      <c r="C1112" s="6"/>
      <c r="D1112" s="6"/>
    </row>
    <row r="1113" spans="1:4" ht="13" thickBot="1" x14ac:dyDescent="0.3">
      <c r="A1113" s="9">
        <f ca="1"/>
        <v>38003</v>
      </c>
      <c r="B1113" s="5">
        <f t="shared" ref="B1113:B1115" si="158">B1112</f>
        <v>41.6</v>
      </c>
      <c r="C1113" s="6"/>
      <c r="D1113" s="6"/>
    </row>
    <row r="1114" spans="1:4" ht="13" thickBot="1" x14ac:dyDescent="0.3">
      <c r="A1114" s="9">
        <f ca="1"/>
        <v>38004</v>
      </c>
      <c r="B1114" s="5">
        <f t="shared" si="158"/>
        <v>41.6</v>
      </c>
      <c r="C1114" s="6"/>
      <c r="D1114" s="6"/>
    </row>
    <row r="1115" spans="1:4" ht="13" thickBot="1" x14ac:dyDescent="0.3">
      <c r="A1115" s="9">
        <f ca="1"/>
        <v>38005</v>
      </c>
      <c r="B1115" s="5">
        <f t="shared" si="158"/>
        <v>41.6</v>
      </c>
      <c r="C1115" s="6"/>
      <c r="D1115" s="6"/>
    </row>
    <row r="1116" spans="1:4" ht="13" thickBot="1" x14ac:dyDescent="0.3">
      <c r="A1116" s="9">
        <f ca="1"/>
        <v>38006</v>
      </c>
      <c r="B1116" s="6">
        <v>42.5</v>
      </c>
      <c r="C1116" s="6"/>
      <c r="D1116" s="6"/>
    </row>
    <row r="1117" spans="1:4" ht="13" thickBot="1" x14ac:dyDescent="0.3">
      <c r="A1117" s="9">
        <f ca="1"/>
        <v>38007</v>
      </c>
      <c r="B1117" s="6">
        <v>42.15</v>
      </c>
      <c r="C1117" s="6"/>
      <c r="D1117" s="6"/>
    </row>
    <row r="1118" spans="1:4" ht="13" thickBot="1" x14ac:dyDescent="0.3">
      <c r="A1118" s="9">
        <f ca="1"/>
        <v>38008</v>
      </c>
      <c r="B1118" s="6">
        <v>43.21</v>
      </c>
      <c r="C1118" s="6"/>
      <c r="D1118" s="6"/>
    </row>
    <row r="1119" spans="1:4" ht="13" thickBot="1" x14ac:dyDescent="0.3">
      <c r="A1119" s="9">
        <f ca="1"/>
        <v>38009</v>
      </c>
      <c r="B1119" s="6">
        <v>42.29</v>
      </c>
      <c r="C1119" s="6"/>
      <c r="D1119" s="6"/>
    </row>
    <row r="1120" spans="1:4" ht="13" thickBot="1" x14ac:dyDescent="0.3">
      <c r="A1120" s="9">
        <f ca="1"/>
        <v>38010</v>
      </c>
      <c r="B1120" s="5">
        <f t="shared" ref="B1120:B1121" si="159">B1119</f>
        <v>42.29</v>
      </c>
      <c r="C1120" s="6"/>
      <c r="D1120" s="6"/>
    </row>
    <row r="1121" spans="1:4" ht="13" thickBot="1" x14ac:dyDescent="0.3">
      <c r="A1121" s="9">
        <f ca="1"/>
        <v>38011</v>
      </c>
      <c r="B1121" s="5">
        <f t="shared" si="159"/>
        <v>42.29</v>
      </c>
      <c r="C1121" s="6"/>
      <c r="D1121" s="6"/>
    </row>
    <row r="1122" spans="1:4" ht="13" thickBot="1" x14ac:dyDescent="0.3">
      <c r="A1122" s="9">
        <f ca="1"/>
        <v>38012</v>
      </c>
      <c r="B1122" s="6">
        <v>42.43</v>
      </c>
      <c r="C1122" s="6"/>
      <c r="D1122" s="6"/>
    </row>
    <row r="1123" spans="1:4" ht="13" thickBot="1" x14ac:dyDescent="0.3">
      <c r="A1123" s="9">
        <f ca="1"/>
        <v>38013</v>
      </c>
      <c r="B1123" s="6">
        <v>42.88</v>
      </c>
      <c r="C1123" s="6"/>
      <c r="D1123" s="6"/>
    </row>
    <row r="1124" spans="1:4" ht="13" thickBot="1" x14ac:dyDescent="0.3">
      <c r="A1124" s="9">
        <f ca="1"/>
        <v>38014</v>
      </c>
      <c r="B1124" s="6">
        <v>42.52</v>
      </c>
      <c r="C1124" s="6"/>
      <c r="D1124" s="6"/>
    </row>
    <row r="1125" spans="1:4" ht="13" thickBot="1" x14ac:dyDescent="0.3">
      <c r="A1125" s="9">
        <f ca="1"/>
        <v>38015</v>
      </c>
      <c r="B1125" s="6">
        <v>41.82</v>
      </c>
      <c r="C1125" s="6"/>
      <c r="D1125" s="6"/>
    </row>
    <row r="1126" spans="1:4" ht="13" thickBot="1" x14ac:dyDescent="0.3">
      <c r="A1126" s="9">
        <f ca="1"/>
        <v>38016</v>
      </c>
      <c r="B1126" s="6">
        <v>41.06</v>
      </c>
      <c r="C1126" s="6"/>
      <c r="D1126" s="6"/>
    </row>
    <row r="1127" spans="1:4" ht="13" thickBot="1" x14ac:dyDescent="0.3">
      <c r="A1127" s="9">
        <f ca="1"/>
        <v>38017</v>
      </c>
      <c r="B1127" s="5">
        <f t="shared" ref="B1127:B1128" si="160">B1126</f>
        <v>41.06</v>
      </c>
      <c r="C1127" s="6"/>
      <c r="D1127" s="6"/>
    </row>
    <row r="1128" spans="1:4" ht="13" thickBot="1" x14ac:dyDescent="0.3">
      <c r="A1128" s="9">
        <f ca="1"/>
        <v>38018</v>
      </c>
      <c r="B1128" s="5">
        <f t="shared" si="160"/>
        <v>41.06</v>
      </c>
      <c r="C1128" s="6"/>
      <c r="D1128" s="6"/>
    </row>
    <row r="1129" spans="1:4" ht="13" thickBot="1" x14ac:dyDescent="0.3">
      <c r="A1129" s="9">
        <f ca="1"/>
        <v>38019</v>
      </c>
      <c r="B1129" s="6">
        <v>40.79</v>
      </c>
      <c r="C1129" s="6"/>
      <c r="D1129" s="6"/>
    </row>
    <row r="1130" spans="1:4" ht="13" thickBot="1" x14ac:dyDescent="0.3">
      <c r="A1130" s="9">
        <f ca="1"/>
        <v>38020</v>
      </c>
      <c r="B1130" s="6">
        <v>41.23</v>
      </c>
      <c r="C1130" s="6"/>
      <c r="D1130" s="6"/>
    </row>
    <row r="1131" spans="1:4" ht="13" thickBot="1" x14ac:dyDescent="0.3">
      <c r="A1131" s="9">
        <f ca="1"/>
        <v>38021</v>
      </c>
      <c r="B1131" s="6">
        <v>41.2</v>
      </c>
      <c r="C1131" s="6"/>
      <c r="D1131" s="6"/>
    </row>
    <row r="1132" spans="1:4" ht="13" thickBot="1" x14ac:dyDescent="0.3">
      <c r="A1132" s="9">
        <f ca="1"/>
        <v>38022</v>
      </c>
      <c r="B1132" s="6">
        <v>41.84</v>
      </c>
      <c r="C1132" s="6"/>
      <c r="D1132" s="6"/>
    </row>
    <row r="1133" spans="1:4" ht="13" thickBot="1" x14ac:dyDescent="0.3">
      <c r="A1133" s="9">
        <f ca="1"/>
        <v>38023</v>
      </c>
      <c r="B1133" s="6">
        <v>41.85</v>
      </c>
      <c r="C1133" s="6"/>
      <c r="D1133" s="6"/>
    </row>
    <row r="1134" spans="1:4" ht="13" thickBot="1" x14ac:dyDescent="0.3">
      <c r="A1134" s="9">
        <f ca="1"/>
        <v>38024</v>
      </c>
      <c r="B1134" s="5">
        <f t="shared" ref="B1134:B1135" si="161">B1133</f>
        <v>41.85</v>
      </c>
      <c r="C1134" s="6"/>
      <c r="D1134" s="6"/>
    </row>
    <row r="1135" spans="1:4" ht="13" thickBot="1" x14ac:dyDescent="0.3">
      <c r="A1135" s="9">
        <f ca="1"/>
        <v>38025</v>
      </c>
      <c r="B1135" s="5">
        <f t="shared" si="161"/>
        <v>41.85</v>
      </c>
      <c r="C1135" s="6"/>
      <c r="D1135" s="6"/>
    </row>
    <row r="1136" spans="1:4" ht="13" thickBot="1" x14ac:dyDescent="0.3">
      <c r="A1136" s="9">
        <f ca="1"/>
        <v>38026</v>
      </c>
      <c r="B1136" s="6">
        <v>42.79</v>
      </c>
      <c r="C1136" s="6"/>
      <c r="D1136" s="6"/>
    </row>
    <row r="1137" spans="1:4" ht="13" thickBot="1" x14ac:dyDescent="0.3">
      <c r="A1137" s="9">
        <f ca="1"/>
        <v>38027</v>
      </c>
      <c r="B1137" s="6">
        <v>42.66</v>
      </c>
      <c r="C1137" s="6"/>
      <c r="D1137" s="6"/>
    </row>
    <row r="1138" spans="1:4" ht="13" thickBot="1" x14ac:dyDescent="0.3">
      <c r="A1138" s="9">
        <f ca="1"/>
        <v>38028</v>
      </c>
      <c r="B1138" s="6">
        <v>43.35</v>
      </c>
      <c r="C1138" s="6"/>
      <c r="D1138" s="6"/>
    </row>
    <row r="1139" spans="1:4" ht="13" thickBot="1" x14ac:dyDescent="0.3">
      <c r="A1139" s="9">
        <f ca="1"/>
        <v>38029</v>
      </c>
      <c r="B1139" s="6">
        <v>44.05</v>
      </c>
      <c r="C1139" s="6"/>
      <c r="D1139" s="6"/>
    </row>
    <row r="1140" spans="1:4" ht="13" thickBot="1" x14ac:dyDescent="0.3">
      <c r="A1140" s="9">
        <f ca="1"/>
        <v>38030</v>
      </c>
      <c r="B1140" s="6">
        <v>44.32</v>
      </c>
      <c r="C1140" s="6"/>
      <c r="D1140" s="6"/>
    </row>
    <row r="1141" spans="1:4" ht="13" thickBot="1" x14ac:dyDescent="0.3">
      <c r="A1141" s="9">
        <f ca="1"/>
        <v>38031</v>
      </c>
      <c r="B1141" s="5">
        <f t="shared" ref="B1141:B1143" si="162">B1140</f>
        <v>44.32</v>
      </c>
      <c r="C1141" s="6"/>
      <c r="D1141" s="6"/>
    </row>
    <row r="1142" spans="1:4" ht="13" thickBot="1" x14ac:dyDescent="0.3">
      <c r="A1142" s="9">
        <f ca="1"/>
        <v>38032</v>
      </c>
      <c r="B1142" s="5">
        <f t="shared" si="162"/>
        <v>44.32</v>
      </c>
      <c r="C1142" s="6"/>
      <c r="D1142" s="6"/>
    </row>
    <row r="1143" spans="1:4" ht="13" thickBot="1" x14ac:dyDescent="0.3">
      <c r="A1143" s="9">
        <f ca="1"/>
        <v>38033</v>
      </c>
      <c r="B1143" s="5">
        <f t="shared" si="162"/>
        <v>44.32</v>
      </c>
      <c r="C1143" s="6"/>
      <c r="D1143" s="6"/>
    </row>
    <row r="1144" spans="1:4" ht="13" thickBot="1" x14ac:dyDescent="0.3">
      <c r="A1144" s="9">
        <f ca="1"/>
        <v>38034</v>
      </c>
      <c r="B1144" s="6">
        <v>43.23</v>
      </c>
      <c r="C1144" s="6"/>
      <c r="D1144" s="6"/>
    </row>
    <row r="1145" spans="1:4" ht="13" thickBot="1" x14ac:dyDescent="0.3">
      <c r="A1145" s="9">
        <f ca="1"/>
        <v>38035</v>
      </c>
      <c r="B1145" s="6">
        <v>43.29</v>
      </c>
      <c r="C1145" s="6"/>
      <c r="D1145" s="6"/>
    </row>
    <row r="1146" spans="1:4" ht="13" thickBot="1" x14ac:dyDescent="0.3">
      <c r="A1146" s="9">
        <f ca="1"/>
        <v>38036</v>
      </c>
      <c r="B1146" s="6">
        <v>43.03</v>
      </c>
      <c r="C1146" s="6"/>
      <c r="D1146" s="6"/>
    </row>
    <row r="1147" spans="1:4" ht="13" thickBot="1" x14ac:dyDescent="0.3">
      <c r="A1147" s="9">
        <f ca="1"/>
        <v>38037</v>
      </c>
      <c r="B1147" s="6">
        <v>42.69</v>
      </c>
      <c r="C1147" s="6"/>
      <c r="D1147" s="6"/>
    </row>
    <row r="1148" spans="1:4" ht="13" thickBot="1" x14ac:dyDescent="0.3">
      <c r="A1148" s="9">
        <f ca="1"/>
        <v>38038</v>
      </c>
      <c r="B1148" s="5">
        <f t="shared" ref="B1148:B1149" si="163">B1147</f>
        <v>42.69</v>
      </c>
      <c r="C1148" s="6"/>
      <c r="D1148" s="6"/>
    </row>
    <row r="1149" spans="1:4" ht="13" thickBot="1" x14ac:dyDescent="0.3">
      <c r="A1149" s="9">
        <f ca="1"/>
        <v>38039</v>
      </c>
      <c r="B1149" s="5">
        <f t="shared" si="163"/>
        <v>42.69</v>
      </c>
      <c r="C1149" s="6"/>
      <c r="D1149" s="6"/>
    </row>
    <row r="1150" spans="1:4" ht="13" thickBot="1" x14ac:dyDescent="0.3">
      <c r="A1150" s="9">
        <f ca="1"/>
        <v>38040</v>
      </c>
      <c r="B1150" s="6">
        <v>42.08</v>
      </c>
      <c r="C1150" s="6"/>
      <c r="D1150" s="6"/>
    </row>
    <row r="1151" spans="1:4" ht="13" thickBot="1" x14ac:dyDescent="0.3">
      <c r="A1151" s="9">
        <f ca="1"/>
        <v>38041</v>
      </c>
      <c r="B1151" s="6">
        <v>40.479999999999997</v>
      </c>
      <c r="C1151" s="6"/>
      <c r="D1151" s="6"/>
    </row>
    <row r="1152" spans="1:4" ht="13" thickBot="1" x14ac:dyDescent="0.3">
      <c r="A1152" s="9">
        <f ca="1"/>
        <v>38042</v>
      </c>
      <c r="B1152" s="6">
        <v>40.67</v>
      </c>
      <c r="C1152" s="6"/>
      <c r="D1152" s="6"/>
    </row>
    <row r="1153" spans="1:4" ht="13" thickBot="1" x14ac:dyDescent="0.3">
      <c r="A1153" s="9">
        <f ca="1"/>
        <v>38043</v>
      </c>
      <c r="B1153" s="6">
        <v>39.08</v>
      </c>
      <c r="C1153" s="6"/>
      <c r="D1153" s="6"/>
    </row>
    <row r="1154" spans="1:4" ht="13" thickBot="1" x14ac:dyDescent="0.3">
      <c r="A1154" s="9">
        <f ca="1"/>
        <v>38044</v>
      </c>
      <c r="B1154" s="6">
        <v>39.630000000000003</v>
      </c>
      <c r="C1154" s="6"/>
      <c r="D1154" s="6"/>
    </row>
    <row r="1155" spans="1:4" ht="13" thickBot="1" x14ac:dyDescent="0.3">
      <c r="A1155" s="9">
        <f ca="1"/>
        <v>38045</v>
      </c>
      <c r="B1155" s="5">
        <f t="shared" ref="B1155:B1156" si="164">B1154</f>
        <v>39.630000000000003</v>
      </c>
      <c r="C1155" s="6"/>
      <c r="D1155" s="6"/>
    </row>
    <row r="1156" spans="1:4" ht="13" thickBot="1" x14ac:dyDescent="0.3">
      <c r="A1156" s="9">
        <f ca="1"/>
        <v>38046</v>
      </c>
      <c r="B1156" s="5">
        <f t="shared" si="164"/>
        <v>39.630000000000003</v>
      </c>
      <c r="C1156" s="6"/>
      <c r="D1156" s="6"/>
    </row>
    <row r="1157" spans="1:4" ht="13" thickBot="1" x14ac:dyDescent="0.3">
      <c r="A1157" s="9">
        <f ca="1"/>
        <v>38047</v>
      </c>
      <c r="B1157" s="6">
        <v>40.270000000000003</v>
      </c>
      <c r="C1157" s="6"/>
      <c r="D1157" s="6"/>
    </row>
    <row r="1158" spans="1:4" ht="13" thickBot="1" x14ac:dyDescent="0.3">
      <c r="A1158" s="9">
        <f ca="1"/>
        <v>38048</v>
      </c>
      <c r="B1158" s="6">
        <v>39.74</v>
      </c>
      <c r="C1158" s="6"/>
      <c r="D1158" s="6"/>
    </row>
    <row r="1159" spans="1:4" ht="13" thickBot="1" x14ac:dyDescent="0.3">
      <c r="A1159" s="9">
        <f ca="1"/>
        <v>38049</v>
      </c>
      <c r="B1159" s="6">
        <v>39.35</v>
      </c>
      <c r="C1159" s="6"/>
      <c r="D1159" s="6"/>
    </row>
    <row r="1160" spans="1:4" ht="13" thickBot="1" x14ac:dyDescent="0.3">
      <c r="A1160" s="9">
        <f ca="1"/>
        <v>38050</v>
      </c>
      <c r="B1160" s="6">
        <v>39.9</v>
      </c>
      <c r="C1160" s="6"/>
      <c r="D1160" s="6"/>
    </row>
    <row r="1161" spans="1:4" ht="13" thickBot="1" x14ac:dyDescent="0.3">
      <c r="A1161" s="9">
        <f ca="1"/>
        <v>38051</v>
      </c>
      <c r="B1161" s="6">
        <v>40.15</v>
      </c>
      <c r="C1161" s="6"/>
      <c r="D1161" s="6"/>
    </row>
    <row r="1162" spans="1:4" ht="13" thickBot="1" x14ac:dyDescent="0.3">
      <c r="A1162" s="9">
        <f ca="1"/>
        <v>38052</v>
      </c>
      <c r="B1162" s="5">
        <f t="shared" ref="B1162:B1163" si="165">B1161</f>
        <v>40.15</v>
      </c>
      <c r="C1162" s="6"/>
      <c r="D1162" s="6"/>
    </row>
    <row r="1163" spans="1:4" ht="13" thickBot="1" x14ac:dyDescent="0.3">
      <c r="A1163" s="9">
        <f ca="1"/>
        <v>38053</v>
      </c>
      <c r="B1163" s="5">
        <f t="shared" si="165"/>
        <v>40.15</v>
      </c>
      <c r="C1163" s="6"/>
      <c r="D1163" s="6"/>
    </row>
    <row r="1164" spans="1:4" ht="13" thickBot="1" x14ac:dyDescent="0.3">
      <c r="A1164" s="9">
        <f ca="1"/>
        <v>38054</v>
      </c>
      <c r="B1164" s="6">
        <v>40.65</v>
      </c>
      <c r="C1164" s="6"/>
      <c r="D1164" s="6"/>
    </row>
    <row r="1165" spans="1:4" ht="13" thickBot="1" x14ac:dyDescent="0.3">
      <c r="A1165" s="9">
        <f ca="1"/>
        <v>38055</v>
      </c>
      <c r="B1165" s="6">
        <v>40.35</v>
      </c>
      <c r="C1165" s="6"/>
      <c r="D1165" s="6"/>
    </row>
    <row r="1166" spans="1:4" ht="13" thickBot="1" x14ac:dyDescent="0.3">
      <c r="A1166" s="9">
        <f ca="1"/>
        <v>38056</v>
      </c>
      <c r="B1166" s="6">
        <v>38.950000000000003</v>
      </c>
      <c r="C1166" s="6"/>
      <c r="D1166" s="6"/>
    </row>
    <row r="1167" spans="1:4" ht="13" thickBot="1" x14ac:dyDescent="0.3">
      <c r="A1167" s="9">
        <f ca="1"/>
        <v>38057</v>
      </c>
      <c r="B1167" s="6">
        <v>37.79</v>
      </c>
      <c r="C1167" s="6"/>
      <c r="D1167" s="6"/>
    </row>
    <row r="1168" spans="1:4" ht="13" thickBot="1" x14ac:dyDescent="0.3">
      <c r="A1168" s="9">
        <f ca="1"/>
        <v>38058</v>
      </c>
      <c r="B1168" s="6">
        <v>38.130000000000003</v>
      </c>
      <c r="C1168" s="6"/>
      <c r="D1168" s="6"/>
    </row>
    <row r="1169" spans="1:4" ht="13" thickBot="1" x14ac:dyDescent="0.3">
      <c r="A1169" s="9">
        <f ca="1"/>
        <v>38059</v>
      </c>
      <c r="B1169" s="5">
        <f t="shared" ref="B1169:B1170" si="166">B1168</f>
        <v>38.130000000000003</v>
      </c>
      <c r="C1169" s="6"/>
      <c r="D1169" s="6"/>
    </row>
    <row r="1170" spans="1:4" ht="13" thickBot="1" x14ac:dyDescent="0.3">
      <c r="A1170" s="9">
        <f ca="1"/>
        <v>38060</v>
      </c>
      <c r="B1170" s="5">
        <f t="shared" si="166"/>
        <v>38.130000000000003</v>
      </c>
      <c r="C1170" s="6"/>
      <c r="D1170" s="6"/>
    </row>
    <row r="1171" spans="1:4" ht="13" thickBot="1" x14ac:dyDescent="0.3">
      <c r="A1171" s="9">
        <f ca="1"/>
        <v>38061</v>
      </c>
      <c r="B1171" s="6">
        <v>37.56</v>
      </c>
      <c r="C1171" s="6"/>
      <c r="D1171" s="6"/>
    </row>
    <row r="1172" spans="1:4" ht="13" thickBot="1" x14ac:dyDescent="0.3">
      <c r="A1172" s="9">
        <f ca="1"/>
        <v>38062</v>
      </c>
      <c r="B1172" s="6">
        <v>37.869999999999997</v>
      </c>
      <c r="C1172" s="6"/>
      <c r="D1172" s="6"/>
    </row>
    <row r="1173" spans="1:4" ht="13" thickBot="1" x14ac:dyDescent="0.3">
      <c r="A1173" s="9">
        <f ca="1"/>
        <v>38063</v>
      </c>
      <c r="B1173" s="6">
        <v>37.869999999999997</v>
      </c>
      <c r="C1173" s="6"/>
      <c r="D1173" s="6"/>
    </row>
    <row r="1174" spans="1:4" ht="13" thickBot="1" x14ac:dyDescent="0.3">
      <c r="A1174" s="9">
        <f ca="1"/>
        <v>38064</v>
      </c>
      <c r="B1174" s="6">
        <v>38.28</v>
      </c>
      <c r="C1174" s="6"/>
      <c r="D1174" s="6"/>
    </row>
    <row r="1175" spans="1:4" ht="13" thickBot="1" x14ac:dyDescent="0.3">
      <c r="A1175" s="9">
        <f ca="1"/>
        <v>38065</v>
      </c>
      <c r="B1175" s="6">
        <v>38.43</v>
      </c>
      <c r="C1175" s="6"/>
      <c r="D1175" s="6"/>
    </row>
    <row r="1176" spans="1:4" ht="13" thickBot="1" x14ac:dyDescent="0.3">
      <c r="A1176" s="9">
        <f ca="1"/>
        <v>38066</v>
      </c>
      <c r="B1176" s="5">
        <f t="shared" ref="B1176:B1177" si="167">B1175</f>
        <v>38.43</v>
      </c>
      <c r="C1176" s="6"/>
      <c r="D1176" s="6"/>
    </row>
    <row r="1177" spans="1:4" ht="13" thickBot="1" x14ac:dyDescent="0.3">
      <c r="A1177" s="9">
        <f ca="1"/>
        <v>38067</v>
      </c>
      <c r="B1177" s="5">
        <f t="shared" si="167"/>
        <v>38.43</v>
      </c>
      <c r="C1177" s="6"/>
      <c r="D1177" s="6"/>
    </row>
    <row r="1178" spans="1:4" ht="13" thickBot="1" x14ac:dyDescent="0.3">
      <c r="A1178" s="9">
        <f ca="1"/>
        <v>38068</v>
      </c>
      <c r="B1178" s="6">
        <v>37.369999999999997</v>
      </c>
      <c r="C1178" s="6"/>
      <c r="D1178" s="6"/>
    </row>
    <row r="1179" spans="1:4" ht="13" thickBot="1" x14ac:dyDescent="0.3">
      <c r="A1179" s="9">
        <f ca="1"/>
        <v>38069</v>
      </c>
      <c r="B1179" s="6">
        <v>37.85</v>
      </c>
      <c r="C1179" s="6"/>
      <c r="D1179" s="6"/>
    </row>
    <row r="1180" spans="1:4" ht="13" thickBot="1" x14ac:dyDescent="0.3">
      <c r="A1180" s="9">
        <f ca="1"/>
        <v>38070</v>
      </c>
      <c r="B1180" s="6">
        <v>37.44</v>
      </c>
      <c r="C1180" s="6"/>
      <c r="D1180" s="6"/>
    </row>
    <row r="1181" spans="1:4" ht="13" thickBot="1" x14ac:dyDescent="0.3">
      <c r="A1181" s="9">
        <f ca="1"/>
        <v>38071</v>
      </c>
      <c r="B1181" s="6">
        <v>37.909999999999997</v>
      </c>
      <c r="C1181" s="6"/>
      <c r="D1181" s="6"/>
    </row>
    <row r="1182" spans="1:4" ht="13" thickBot="1" x14ac:dyDescent="0.3">
      <c r="A1182" s="9">
        <f ca="1"/>
        <v>38072</v>
      </c>
      <c r="B1182" s="6">
        <v>37.92</v>
      </c>
      <c r="C1182" s="6"/>
      <c r="D1182" s="6"/>
    </row>
    <row r="1183" spans="1:4" ht="13" thickBot="1" x14ac:dyDescent="0.3">
      <c r="A1183" s="9">
        <f ca="1"/>
        <v>38073</v>
      </c>
      <c r="B1183" s="5">
        <f t="shared" ref="B1183:B1184" si="168">B1182</f>
        <v>37.92</v>
      </c>
      <c r="C1183" s="6"/>
      <c r="D1183" s="6"/>
    </row>
    <row r="1184" spans="1:4" ht="13" thickBot="1" x14ac:dyDescent="0.3">
      <c r="A1184" s="9">
        <f ca="1"/>
        <v>38074</v>
      </c>
      <c r="B1184" s="5">
        <f t="shared" si="168"/>
        <v>37.92</v>
      </c>
      <c r="C1184" s="6"/>
      <c r="D1184" s="6"/>
    </row>
    <row r="1185" spans="1:4" ht="13" thickBot="1" x14ac:dyDescent="0.3">
      <c r="A1185" s="9">
        <f ca="1"/>
        <v>38075</v>
      </c>
      <c r="B1185" s="6">
        <v>38.630000000000003</v>
      </c>
      <c r="C1185" s="6"/>
      <c r="D1185" s="6"/>
    </row>
    <row r="1186" spans="1:4" ht="13" thickBot="1" x14ac:dyDescent="0.3">
      <c r="A1186" s="9">
        <f ca="1"/>
        <v>38076</v>
      </c>
      <c r="B1186" s="6">
        <v>38.85</v>
      </c>
      <c r="C1186" s="6"/>
      <c r="D1186" s="6"/>
    </row>
    <row r="1187" spans="1:4" ht="13" thickBot="1" x14ac:dyDescent="0.3">
      <c r="A1187" s="9">
        <f ca="1"/>
        <v>38077</v>
      </c>
      <c r="B1187" s="6">
        <v>39.46</v>
      </c>
      <c r="C1187" s="6"/>
      <c r="D1187" s="6"/>
    </row>
    <row r="1188" spans="1:4" ht="13" thickBot="1" x14ac:dyDescent="0.3">
      <c r="A1188" s="9">
        <f ca="1"/>
        <v>38078</v>
      </c>
      <c r="B1188" s="6">
        <v>39.799999999999997</v>
      </c>
      <c r="C1188" s="6"/>
      <c r="D1188" s="6"/>
    </row>
    <row r="1189" spans="1:4" ht="13" thickBot="1" x14ac:dyDescent="0.3">
      <c r="A1189" s="9">
        <f ca="1"/>
        <v>38079</v>
      </c>
      <c r="B1189" s="6">
        <v>40.89</v>
      </c>
      <c r="C1189" s="6"/>
      <c r="D1189" s="6"/>
    </row>
    <row r="1190" spans="1:4" ht="13" thickBot="1" x14ac:dyDescent="0.3">
      <c r="A1190" s="9">
        <f ca="1"/>
        <v>38080</v>
      </c>
      <c r="B1190" s="5">
        <f t="shared" ref="B1190:B1191" si="169">B1189</f>
        <v>40.89</v>
      </c>
      <c r="C1190" s="6"/>
      <c r="D1190" s="6"/>
    </row>
    <row r="1191" spans="1:4" ht="13" thickBot="1" x14ac:dyDescent="0.3">
      <c r="A1191" s="9">
        <f ca="1"/>
        <v>38081</v>
      </c>
      <c r="B1191" s="5">
        <f t="shared" si="169"/>
        <v>40.89</v>
      </c>
      <c r="C1191" s="6"/>
      <c r="D1191" s="6"/>
    </row>
    <row r="1192" spans="1:4" ht="13" thickBot="1" x14ac:dyDescent="0.3">
      <c r="A1192" s="9">
        <f ca="1"/>
        <v>38082</v>
      </c>
      <c r="B1192" s="6">
        <v>40.76</v>
      </c>
      <c r="C1192" s="6"/>
      <c r="D1192" s="6"/>
    </row>
    <row r="1193" spans="1:4" ht="13" thickBot="1" x14ac:dyDescent="0.3">
      <c r="A1193" s="9">
        <f ca="1"/>
        <v>38083</v>
      </c>
      <c r="B1193" s="6">
        <v>40.799999999999997</v>
      </c>
      <c r="C1193" s="6"/>
      <c r="D1193" s="6"/>
    </row>
    <row r="1194" spans="1:4" ht="13" thickBot="1" x14ac:dyDescent="0.3">
      <c r="A1194" s="9">
        <f ca="1"/>
        <v>38084</v>
      </c>
      <c r="B1194" s="6">
        <v>41.34</v>
      </c>
      <c r="C1194" s="6"/>
      <c r="D1194" s="6"/>
    </row>
    <row r="1195" spans="1:4" ht="13" thickBot="1" x14ac:dyDescent="0.3">
      <c r="A1195" s="9">
        <f ca="1"/>
        <v>38085</v>
      </c>
      <c r="B1195" s="6">
        <v>41.65</v>
      </c>
      <c r="C1195" s="6"/>
      <c r="D1195" s="6"/>
    </row>
    <row r="1196" spans="1:4" ht="13" thickBot="1" x14ac:dyDescent="0.3">
      <c r="A1196" s="9">
        <f ca="1"/>
        <v>38086</v>
      </c>
      <c r="B1196" s="5">
        <f t="shared" ref="B1196:B1198" si="170">B1195</f>
        <v>41.65</v>
      </c>
      <c r="C1196" s="6"/>
      <c r="D1196" s="6"/>
    </row>
    <row r="1197" spans="1:4" ht="13" thickBot="1" x14ac:dyDescent="0.3">
      <c r="A1197" s="9">
        <f ca="1"/>
        <v>38087</v>
      </c>
      <c r="B1197" s="5">
        <f t="shared" si="170"/>
        <v>41.65</v>
      </c>
      <c r="C1197" s="6"/>
      <c r="D1197" s="6"/>
    </row>
    <row r="1198" spans="1:4" ht="13" thickBot="1" x14ac:dyDescent="0.3">
      <c r="A1198" s="9">
        <f ca="1"/>
        <v>38088</v>
      </c>
      <c r="B1198" s="5">
        <f t="shared" si="170"/>
        <v>41.65</v>
      </c>
      <c r="C1198" s="6"/>
      <c r="D1198" s="6"/>
    </row>
    <row r="1199" spans="1:4" ht="13" thickBot="1" x14ac:dyDescent="0.3">
      <c r="A1199" s="9">
        <f ca="1"/>
        <v>38089</v>
      </c>
      <c r="B1199" s="6">
        <v>41.77</v>
      </c>
      <c r="C1199" s="6"/>
      <c r="D1199" s="6"/>
    </row>
    <row r="1200" spans="1:4" ht="13" thickBot="1" x14ac:dyDescent="0.3">
      <c r="A1200" s="9">
        <f ca="1"/>
        <v>38090</v>
      </c>
      <c r="B1200" s="6">
        <v>41.39</v>
      </c>
      <c r="C1200" s="6"/>
      <c r="D1200" s="6"/>
    </row>
    <row r="1201" spans="1:4" ht="13" thickBot="1" x14ac:dyDescent="0.3">
      <c r="A1201" s="9">
        <f ca="1"/>
        <v>38091</v>
      </c>
      <c r="B1201" s="6">
        <v>39.619999999999997</v>
      </c>
      <c r="C1201" s="6"/>
      <c r="D1201" s="6"/>
    </row>
    <row r="1202" spans="1:4" ht="13" thickBot="1" x14ac:dyDescent="0.3">
      <c r="A1202" s="9">
        <f ca="1"/>
        <v>38092</v>
      </c>
      <c r="B1202" s="6">
        <v>39.86</v>
      </c>
      <c r="C1202" s="6"/>
      <c r="D1202" s="6"/>
    </row>
    <row r="1203" spans="1:4" ht="13" thickBot="1" x14ac:dyDescent="0.3">
      <c r="A1203" s="9">
        <f ca="1"/>
        <v>38093</v>
      </c>
      <c r="B1203" s="6">
        <v>39.69</v>
      </c>
      <c r="C1203" s="6"/>
      <c r="D1203" s="6"/>
    </row>
    <row r="1204" spans="1:4" ht="13" thickBot="1" x14ac:dyDescent="0.3">
      <c r="A1204" s="9">
        <f ca="1"/>
        <v>38094</v>
      </c>
      <c r="B1204" s="5">
        <f t="shared" ref="B1204:B1205" si="171">B1203</f>
        <v>39.69</v>
      </c>
      <c r="C1204" s="6"/>
      <c r="D1204" s="6"/>
    </row>
    <row r="1205" spans="1:4" ht="13" thickBot="1" x14ac:dyDescent="0.3">
      <c r="A1205" s="9">
        <f ca="1"/>
        <v>38095</v>
      </c>
      <c r="B1205" s="5">
        <f t="shared" si="171"/>
        <v>39.69</v>
      </c>
      <c r="C1205" s="6"/>
      <c r="D1205" s="6"/>
    </row>
    <row r="1206" spans="1:4" ht="13" thickBot="1" x14ac:dyDescent="0.3">
      <c r="A1206" s="9">
        <f ca="1"/>
        <v>38096</v>
      </c>
      <c r="B1206" s="6">
        <v>39.65</v>
      </c>
      <c r="C1206" s="6"/>
      <c r="D1206" s="6"/>
    </row>
    <row r="1207" spans="1:4" ht="13" thickBot="1" x14ac:dyDescent="0.3">
      <c r="A1207" s="9">
        <f ca="1"/>
        <v>38097</v>
      </c>
      <c r="B1207" s="6">
        <v>40.090000000000003</v>
      </c>
      <c r="C1207" s="6"/>
      <c r="D1207" s="6"/>
    </row>
    <row r="1208" spans="1:4" ht="13" thickBot="1" x14ac:dyDescent="0.3">
      <c r="A1208" s="9">
        <f ca="1"/>
        <v>38098</v>
      </c>
      <c r="B1208" s="6">
        <v>39.020000000000003</v>
      </c>
      <c r="C1208" s="6"/>
      <c r="D1208" s="6"/>
    </row>
    <row r="1209" spans="1:4" ht="13" thickBot="1" x14ac:dyDescent="0.3">
      <c r="A1209" s="9">
        <f ca="1"/>
        <v>38099</v>
      </c>
      <c r="B1209" s="6">
        <v>38.85</v>
      </c>
      <c r="C1209" s="6"/>
      <c r="D1209" s="6"/>
    </row>
    <row r="1210" spans="1:4" ht="13" thickBot="1" x14ac:dyDescent="0.3">
      <c r="A1210" s="9">
        <f ca="1"/>
        <v>38100</v>
      </c>
      <c r="B1210" s="6">
        <v>39.130000000000003</v>
      </c>
      <c r="C1210" s="6"/>
      <c r="D1210" s="6"/>
    </row>
    <row r="1211" spans="1:4" ht="13" thickBot="1" x14ac:dyDescent="0.3">
      <c r="A1211" s="9">
        <f ca="1"/>
        <v>38101</v>
      </c>
      <c r="B1211" s="5">
        <f t="shared" ref="B1211:B1212" si="172">B1210</f>
        <v>39.130000000000003</v>
      </c>
      <c r="C1211" s="6"/>
      <c r="D1211" s="6"/>
    </row>
    <row r="1212" spans="1:4" ht="13" thickBot="1" x14ac:dyDescent="0.3">
      <c r="A1212" s="9">
        <f ca="1"/>
        <v>38102</v>
      </c>
      <c r="B1212" s="5">
        <f t="shared" si="172"/>
        <v>39.130000000000003</v>
      </c>
      <c r="C1212" s="6"/>
      <c r="D1212" s="6"/>
    </row>
    <row r="1213" spans="1:4" ht="13" thickBot="1" x14ac:dyDescent="0.3">
      <c r="A1213" s="9">
        <f ca="1"/>
        <v>38103</v>
      </c>
      <c r="B1213" s="6">
        <v>39.770000000000003</v>
      </c>
      <c r="C1213" s="6"/>
      <c r="D1213" s="6"/>
    </row>
    <row r="1214" spans="1:4" ht="13" thickBot="1" x14ac:dyDescent="0.3">
      <c r="A1214" s="9">
        <f ca="1"/>
        <v>38104</v>
      </c>
      <c r="B1214" s="6">
        <v>39.39</v>
      </c>
      <c r="C1214" s="6"/>
      <c r="D1214" s="6"/>
    </row>
    <row r="1215" spans="1:4" ht="13" thickBot="1" x14ac:dyDescent="0.3">
      <c r="A1215" s="9">
        <f ca="1"/>
        <v>38105</v>
      </c>
      <c r="B1215" s="6">
        <v>38.96</v>
      </c>
      <c r="C1215" s="6"/>
      <c r="D1215" s="6"/>
    </row>
    <row r="1216" spans="1:4" ht="13" thickBot="1" x14ac:dyDescent="0.3">
      <c r="A1216" s="9">
        <f ca="1"/>
        <v>38106</v>
      </c>
      <c r="B1216" s="6">
        <v>38.36</v>
      </c>
      <c r="C1216" s="6"/>
      <c r="D1216" s="6"/>
    </row>
    <row r="1217" spans="1:4" ht="13" thickBot="1" x14ac:dyDescent="0.3">
      <c r="A1217" s="9">
        <f ca="1"/>
        <v>38107</v>
      </c>
      <c r="B1217" s="6">
        <v>38.31</v>
      </c>
      <c r="C1217" s="6"/>
      <c r="D1217" s="6"/>
    </row>
    <row r="1218" spans="1:4" ht="13" thickBot="1" x14ac:dyDescent="0.3">
      <c r="A1218" s="9">
        <f ca="1"/>
        <v>38108</v>
      </c>
      <c r="B1218" s="5">
        <f t="shared" ref="B1218:B1219" si="173">B1217</f>
        <v>38.31</v>
      </c>
      <c r="C1218" s="6"/>
      <c r="D1218" s="6"/>
    </row>
    <row r="1219" spans="1:4" ht="13" thickBot="1" x14ac:dyDescent="0.3">
      <c r="A1219" s="9">
        <f ca="1"/>
        <v>38109</v>
      </c>
      <c r="B1219" s="5">
        <f t="shared" si="173"/>
        <v>38.31</v>
      </c>
      <c r="C1219" s="6"/>
      <c r="D1219" s="6"/>
    </row>
    <row r="1220" spans="1:4" ht="13" thickBot="1" x14ac:dyDescent="0.3">
      <c r="A1220" s="9">
        <f ca="1"/>
        <v>38110</v>
      </c>
      <c r="B1220" s="6">
        <v>37.69</v>
      </c>
      <c r="C1220" s="6"/>
      <c r="D1220" s="6"/>
    </row>
    <row r="1221" spans="1:4" ht="13" thickBot="1" x14ac:dyDescent="0.3">
      <c r="A1221" s="9">
        <f ca="1"/>
        <v>38111</v>
      </c>
      <c r="B1221" s="6">
        <v>38.840000000000003</v>
      </c>
      <c r="C1221" s="6"/>
      <c r="D1221" s="6"/>
    </row>
    <row r="1222" spans="1:4" ht="13" thickBot="1" x14ac:dyDescent="0.3">
      <c r="A1222" s="9">
        <f ca="1"/>
        <v>38112</v>
      </c>
      <c r="B1222" s="6">
        <v>38.9</v>
      </c>
      <c r="C1222" s="6"/>
      <c r="D1222" s="6"/>
    </row>
    <row r="1223" spans="1:4" ht="13" thickBot="1" x14ac:dyDescent="0.3">
      <c r="A1223" s="9">
        <f ca="1"/>
        <v>38113</v>
      </c>
      <c r="B1223" s="6">
        <v>38.18</v>
      </c>
      <c r="C1223" s="6"/>
      <c r="D1223" s="6"/>
    </row>
    <row r="1224" spans="1:4" ht="13" thickBot="1" x14ac:dyDescent="0.3">
      <c r="A1224" s="9">
        <f ca="1"/>
        <v>38114</v>
      </c>
      <c r="B1224" s="6">
        <v>37.08</v>
      </c>
      <c r="C1224" s="6"/>
      <c r="D1224" s="6"/>
    </row>
    <row r="1225" spans="1:4" ht="13" thickBot="1" x14ac:dyDescent="0.3">
      <c r="A1225" s="9">
        <f ca="1"/>
        <v>38115</v>
      </c>
      <c r="B1225" s="5">
        <f t="shared" ref="B1225:B1226" si="174">B1224</f>
        <v>37.08</v>
      </c>
      <c r="C1225" s="6"/>
      <c r="D1225" s="6"/>
    </row>
    <row r="1226" spans="1:4" ht="13" thickBot="1" x14ac:dyDescent="0.3">
      <c r="A1226" s="9">
        <f ca="1"/>
        <v>38116</v>
      </c>
      <c r="B1226" s="5">
        <f t="shared" si="174"/>
        <v>37.08</v>
      </c>
      <c r="C1226" s="6"/>
      <c r="D1226" s="6"/>
    </row>
    <row r="1227" spans="1:4" ht="13" thickBot="1" x14ac:dyDescent="0.3">
      <c r="A1227" s="9">
        <f ca="1"/>
        <v>38117</v>
      </c>
      <c r="B1227" s="6">
        <v>37.14</v>
      </c>
      <c r="C1227" s="6"/>
      <c r="D1227" s="6"/>
    </row>
    <row r="1228" spans="1:4" ht="13" thickBot="1" x14ac:dyDescent="0.3">
      <c r="A1228" s="9">
        <f ca="1"/>
        <v>38118</v>
      </c>
      <c r="B1228" s="6">
        <v>37.450000000000003</v>
      </c>
      <c r="C1228" s="6"/>
      <c r="D1228" s="6"/>
    </row>
    <row r="1229" spans="1:4" ht="13" thickBot="1" x14ac:dyDescent="0.3">
      <c r="A1229" s="9">
        <f ca="1"/>
        <v>38119</v>
      </c>
      <c r="B1229" s="6">
        <v>37.4</v>
      </c>
      <c r="C1229" s="6"/>
      <c r="D1229" s="6"/>
    </row>
    <row r="1230" spans="1:4" ht="13" thickBot="1" x14ac:dyDescent="0.3">
      <c r="A1230" s="9">
        <f ca="1"/>
        <v>38120</v>
      </c>
      <c r="B1230" s="6">
        <v>36.6</v>
      </c>
      <c r="C1230" s="6"/>
      <c r="D1230" s="6"/>
    </row>
    <row r="1231" spans="1:4" ht="13" thickBot="1" x14ac:dyDescent="0.3">
      <c r="A1231" s="9">
        <f ca="1"/>
        <v>38121</v>
      </c>
      <c r="B1231" s="6">
        <v>37.29</v>
      </c>
      <c r="C1231" s="6"/>
      <c r="D1231" s="6"/>
    </row>
    <row r="1232" spans="1:4" ht="13" thickBot="1" x14ac:dyDescent="0.3">
      <c r="A1232" s="9">
        <f ca="1"/>
        <v>38122</v>
      </c>
      <c r="B1232" s="5">
        <f t="shared" ref="B1232:B1233" si="175">B1231</f>
        <v>37.29</v>
      </c>
      <c r="C1232" s="6"/>
      <c r="D1232" s="6"/>
    </row>
    <row r="1233" spans="1:4" ht="13" thickBot="1" x14ac:dyDescent="0.3">
      <c r="A1233" s="9">
        <f ca="1"/>
        <v>38123</v>
      </c>
      <c r="B1233" s="5">
        <f t="shared" si="175"/>
        <v>37.29</v>
      </c>
      <c r="C1233" s="6"/>
      <c r="D1233" s="6"/>
    </row>
    <row r="1234" spans="1:4" ht="13" thickBot="1" x14ac:dyDescent="0.3">
      <c r="A1234" s="9">
        <f ca="1"/>
        <v>38124</v>
      </c>
      <c r="B1234" s="6">
        <v>36.71</v>
      </c>
      <c r="C1234" s="6"/>
      <c r="D1234" s="6"/>
    </row>
    <row r="1235" spans="1:4" ht="13" thickBot="1" x14ac:dyDescent="0.3">
      <c r="A1235" s="9">
        <f ca="1"/>
        <v>38125</v>
      </c>
      <c r="B1235" s="6">
        <v>37.11</v>
      </c>
      <c r="C1235" s="6"/>
      <c r="D1235" s="6"/>
    </row>
    <row r="1236" spans="1:4" ht="13" thickBot="1" x14ac:dyDescent="0.3">
      <c r="A1236" s="9">
        <f ca="1"/>
        <v>38126</v>
      </c>
      <c r="B1236" s="6">
        <v>38.340000000000003</v>
      </c>
      <c r="C1236" s="6"/>
      <c r="D1236" s="6"/>
    </row>
    <row r="1237" spans="1:4" ht="13" thickBot="1" x14ac:dyDescent="0.3">
      <c r="A1237" s="9">
        <f ca="1"/>
        <v>38127</v>
      </c>
      <c r="B1237" s="6">
        <v>38.14</v>
      </c>
      <c r="C1237" s="6"/>
      <c r="D1237" s="6"/>
    </row>
    <row r="1238" spans="1:4" ht="13" thickBot="1" x14ac:dyDescent="0.3">
      <c r="A1238" s="9">
        <f ca="1"/>
        <v>38128</v>
      </c>
      <c r="B1238" s="6">
        <v>38.17</v>
      </c>
      <c r="C1238" s="6"/>
      <c r="D1238" s="6"/>
    </row>
    <row r="1239" spans="1:4" ht="13" thickBot="1" x14ac:dyDescent="0.3">
      <c r="A1239" s="9">
        <f ca="1"/>
        <v>38129</v>
      </c>
      <c r="B1239" s="5">
        <f t="shared" ref="B1239:B1240" si="176">B1238</f>
        <v>38.17</v>
      </c>
      <c r="C1239" s="6"/>
      <c r="D1239" s="6"/>
    </row>
    <row r="1240" spans="1:4" ht="13" thickBot="1" x14ac:dyDescent="0.3">
      <c r="A1240" s="9">
        <f ca="1"/>
        <v>38130</v>
      </c>
      <c r="B1240" s="5">
        <f t="shared" si="176"/>
        <v>38.17</v>
      </c>
      <c r="C1240" s="6"/>
      <c r="D1240" s="6"/>
    </row>
    <row r="1241" spans="1:4" ht="13" thickBot="1" x14ac:dyDescent="0.3">
      <c r="A1241" s="9">
        <f ca="1"/>
        <v>38131</v>
      </c>
      <c r="B1241" s="6">
        <v>38.450000000000003</v>
      </c>
      <c r="C1241" s="6"/>
      <c r="D1241" s="6"/>
    </row>
    <row r="1242" spans="1:4" ht="13" thickBot="1" x14ac:dyDescent="0.3">
      <c r="A1242" s="9">
        <f ca="1"/>
        <v>38132</v>
      </c>
      <c r="B1242" s="6">
        <v>38.6</v>
      </c>
      <c r="C1242" s="6"/>
      <c r="D1242" s="6"/>
    </row>
    <row r="1243" spans="1:4" ht="13" thickBot="1" x14ac:dyDescent="0.3">
      <c r="A1243" s="9">
        <f ca="1"/>
        <v>38133</v>
      </c>
      <c r="B1243" s="6">
        <v>39.299999999999997</v>
      </c>
      <c r="C1243" s="6"/>
      <c r="D1243" s="6"/>
    </row>
    <row r="1244" spans="1:4" ht="13" thickBot="1" x14ac:dyDescent="0.3">
      <c r="A1244" s="9">
        <f ca="1"/>
        <v>38134</v>
      </c>
      <c r="B1244" s="6">
        <v>40.1</v>
      </c>
      <c r="C1244" s="6"/>
      <c r="D1244" s="6"/>
    </row>
    <row r="1245" spans="1:4" ht="13" thickBot="1" x14ac:dyDescent="0.3">
      <c r="A1245" s="9">
        <f ca="1"/>
        <v>38135</v>
      </c>
      <c r="B1245" s="6">
        <v>40.5</v>
      </c>
      <c r="C1245" s="6"/>
      <c r="D1245" s="6"/>
    </row>
    <row r="1246" spans="1:4" ht="13" thickBot="1" x14ac:dyDescent="0.3">
      <c r="A1246" s="9">
        <f ca="1"/>
        <v>38136</v>
      </c>
      <c r="B1246" s="5">
        <f t="shared" ref="B1246:B1248" si="177">B1245</f>
        <v>40.5</v>
      </c>
      <c r="C1246" s="6"/>
      <c r="D1246" s="6"/>
    </row>
    <row r="1247" spans="1:4" ht="13" thickBot="1" x14ac:dyDescent="0.3">
      <c r="A1247" s="9">
        <f ca="1"/>
        <v>38137</v>
      </c>
      <c r="B1247" s="5">
        <f t="shared" si="177"/>
        <v>40.5</v>
      </c>
      <c r="C1247" s="6"/>
      <c r="D1247" s="6"/>
    </row>
    <row r="1248" spans="1:4" ht="13" thickBot="1" x14ac:dyDescent="0.3">
      <c r="A1248" s="9">
        <f ca="1"/>
        <v>38138</v>
      </c>
      <c r="B1248" s="5">
        <f t="shared" si="177"/>
        <v>40.5</v>
      </c>
      <c r="C1248" s="6"/>
      <c r="D1248" s="6"/>
    </row>
    <row r="1249" spans="1:4" ht="13" thickBot="1" x14ac:dyDescent="0.3">
      <c r="A1249" s="9">
        <f ca="1"/>
        <v>38139</v>
      </c>
      <c r="B1249" s="6">
        <v>39.81</v>
      </c>
      <c r="C1249" s="6"/>
      <c r="D1249" s="6"/>
    </row>
    <row r="1250" spans="1:4" ht="13" thickBot="1" x14ac:dyDescent="0.3">
      <c r="A1250" s="9">
        <f ca="1"/>
        <v>38140</v>
      </c>
      <c r="B1250" s="6">
        <v>40.46</v>
      </c>
      <c r="C1250" s="6"/>
      <c r="D1250" s="6"/>
    </row>
    <row r="1251" spans="1:4" ht="13" thickBot="1" x14ac:dyDescent="0.3">
      <c r="A1251" s="9">
        <f ca="1"/>
        <v>38141</v>
      </c>
      <c r="B1251" s="6">
        <v>39.950000000000003</v>
      </c>
      <c r="C1251" s="6"/>
      <c r="D1251" s="6"/>
    </row>
    <row r="1252" spans="1:4" ht="13" thickBot="1" x14ac:dyDescent="0.3">
      <c r="A1252" s="9">
        <f ca="1"/>
        <v>38142</v>
      </c>
      <c r="B1252" s="6">
        <v>39.799999999999997</v>
      </c>
      <c r="C1252" s="6"/>
      <c r="D1252" s="6"/>
    </row>
    <row r="1253" spans="1:4" ht="13" thickBot="1" x14ac:dyDescent="0.3">
      <c r="A1253" s="9">
        <f ca="1"/>
        <v>38143</v>
      </c>
      <c r="B1253" s="5">
        <f t="shared" ref="B1253:B1254" si="178">B1252</f>
        <v>39.799999999999997</v>
      </c>
      <c r="C1253" s="6"/>
      <c r="D1253" s="6"/>
    </row>
    <row r="1254" spans="1:4" ht="13" thickBot="1" x14ac:dyDescent="0.3">
      <c r="A1254" s="9">
        <f ca="1"/>
        <v>38144</v>
      </c>
      <c r="B1254" s="5">
        <f t="shared" si="178"/>
        <v>39.799999999999997</v>
      </c>
      <c r="C1254" s="6"/>
      <c r="D1254" s="6"/>
    </row>
    <row r="1255" spans="1:4" ht="13" thickBot="1" x14ac:dyDescent="0.3">
      <c r="A1255" s="9">
        <f ca="1"/>
        <v>38145</v>
      </c>
      <c r="B1255" s="6">
        <v>40.47</v>
      </c>
      <c r="C1255" s="6"/>
      <c r="D1255" s="6"/>
    </row>
    <row r="1256" spans="1:4" ht="13" thickBot="1" x14ac:dyDescent="0.3">
      <c r="A1256" s="9">
        <f ca="1"/>
        <v>38146</v>
      </c>
      <c r="B1256" s="6">
        <v>41.28</v>
      </c>
      <c r="C1256" s="6"/>
      <c r="D1256" s="6"/>
    </row>
    <row r="1257" spans="1:4" ht="13" thickBot="1" x14ac:dyDescent="0.3">
      <c r="A1257" s="9">
        <f ca="1"/>
        <v>38147</v>
      </c>
      <c r="B1257" s="6">
        <v>40.9</v>
      </c>
      <c r="C1257" s="6"/>
      <c r="D1257" s="6"/>
    </row>
    <row r="1258" spans="1:4" ht="13" thickBot="1" x14ac:dyDescent="0.3">
      <c r="A1258" s="9">
        <f ca="1"/>
        <v>38148</v>
      </c>
      <c r="B1258" s="6">
        <v>40.65</v>
      </c>
      <c r="C1258" s="6"/>
      <c r="D1258" s="6"/>
    </row>
    <row r="1259" spans="1:4" ht="13" thickBot="1" x14ac:dyDescent="0.3">
      <c r="A1259" s="9">
        <f ca="1"/>
        <v>38149</v>
      </c>
      <c r="B1259" s="5">
        <f t="shared" ref="B1259:B1261" si="179">B1258</f>
        <v>40.65</v>
      </c>
      <c r="C1259" s="6"/>
      <c r="D1259" s="6"/>
    </row>
    <row r="1260" spans="1:4" ht="13" thickBot="1" x14ac:dyDescent="0.3">
      <c r="A1260" s="9">
        <f ca="1"/>
        <v>38150</v>
      </c>
      <c r="B1260" s="5">
        <f t="shared" si="179"/>
        <v>40.65</v>
      </c>
      <c r="C1260" s="6"/>
      <c r="D1260" s="6"/>
    </row>
    <row r="1261" spans="1:4" ht="13" thickBot="1" x14ac:dyDescent="0.3">
      <c r="A1261" s="9">
        <f ca="1"/>
        <v>38151</v>
      </c>
      <c r="B1261" s="5">
        <f t="shared" si="179"/>
        <v>40.65</v>
      </c>
      <c r="C1261" s="6"/>
      <c r="D1261" s="6"/>
    </row>
    <row r="1262" spans="1:4" ht="13" thickBot="1" x14ac:dyDescent="0.3">
      <c r="A1262" s="9">
        <f ca="1"/>
        <v>38152</v>
      </c>
      <c r="B1262" s="6">
        <v>39.76</v>
      </c>
      <c r="C1262" s="6"/>
      <c r="D1262" s="6"/>
    </row>
    <row r="1263" spans="1:4" ht="13" thickBot="1" x14ac:dyDescent="0.3">
      <c r="A1263" s="9">
        <f ca="1"/>
        <v>38153</v>
      </c>
      <c r="B1263" s="6">
        <v>40.450000000000003</v>
      </c>
      <c r="C1263" s="6"/>
      <c r="D1263" s="6"/>
    </row>
    <row r="1264" spans="1:4" ht="13" thickBot="1" x14ac:dyDescent="0.3">
      <c r="A1264" s="9">
        <f ca="1"/>
        <v>38154</v>
      </c>
      <c r="B1264" s="6">
        <v>40.35</v>
      </c>
      <c r="C1264" s="6"/>
      <c r="D1264" s="6"/>
    </row>
    <row r="1265" spans="1:4" ht="13" thickBot="1" x14ac:dyDescent="0.3">
      <c r="A1265" s="9">
        <f ca="1"/>
        <v>38155</v>
      </c>
      <c r="B1265" s="6">
        <v>40.53</v>
      </c>
      <c r="C1265" s="6"/>
      <c r="D1265" s="6"/>
    </row>
    <row r="1266" spans="1:4" ht="13" thickBot="1" x14ac:dyDescent="0.3">
      <c r="A1266" s="9">
        <f ca="1"/>
        <v>38156</v>
      </c>
      <c r="B1266" s="6">
        <v>40.44</v>
      </c>
      <c r="C1266" s="6"/>
      <c r="D1266" s="6"/>
    </row>
    <row r="1267" spans="1:4" ht="13" thickBot="1" x14ac:dyDescent="0.3">
      <c r="A1267" s="9">
        <f ca="1"/>
        <v>38157</v>
      </c>
      <c r="B1267" s="5">
        <f t="shared" ref="B1267:B1268" si="180">B1266</f>
        <v>40.44</v>
      </c>
      <c r="C1267" s="6"/>
      <c r="D1267" s="6"/>
    </row>
    <row r="1268" spans="1:4" ht="13" thickBot="1" x14ac:dyDescent="0.3">
      <c r="A1268" s="9">
        <f ca="1"/>
        <v>38158</v>
      </c>
      <c r="B1268" s="5">
        <f t="shared" si="180"/>
        <v>40.44</v>
      </c>
      <c r="C1268" s="6"/>
      <c r="D1268" s="6"/>
    </row>
    <row r="1269" spans="1:4" ht="13" thickBot="1" x14ac:dyDescent="0.3">
      <c r="A1269" s="9">
        <f ca="1"/>
        <v>38159</v>
      </c>
      <c r="B1269" s="6">
        <v>40.64</v>
      </c>
      <c r="C1269" s="6"/>
      <c r="D1269" s="6"/>
    </row>
    <row r="1270" spans="1:4" ht="13" thickBot="1" x14ac:dyDescent="0.3">
      <c r="A1270" s="9">
        <f ca="1"/>
        <v>38160</v>
      </c>
      <c r="B1270" s="6">
        <v>40.479999999999997</v>
      </c>
      <c r="C1270" s="6"/>
      <c r="D1270" s="6"/>
    </row>
    <row r="1271" spans="1:4" ht="13" thickBot="1" x14ac:dyDescent="0.3">
      <c r="A1271" s="9">
        <f ca="1"/>
        <v>38161</v>
      </c>
      <c r="B1271" s="6">
        <v>40.340000000000003</v>
      </c>
      <c r="C1271" s="6"/>
      <c r="D1271" s="6"/>
    </row>
    <row r="1272" spans="1:4" ht="13" thickBot="1" x14ac:dyDescent="0.3">
      <c r="A1272" s="9">
        <f ca="1"/>
        <v>38162</v>
      </c>
      <c r="B1272" s="6">
        <v>40.96</v>
      </c>
      <c r="C1272" s="6"/>
      <c r="D1272" s="6"/>
    </row>
    <row r="1273" spans="1:4" ht="13" thickBot="1" x14ac:dyDescent="0.3">
      <c r="A1273" s="9">
        <f ca="1"/>
        <v>38163</v>
      </c>
      <c r="B1273" s="6">
        <v>40.799999999999997</v>
      </c>
      <c r="C1273" s="6"/>
      <c r="D1273" s="6"/>
    </row>
    <row r="1274" spans="1:4" ht="13" thickBot="1" x14ac:dyDescent="0.3">
      <c r="A1274" s="9">
        <f ca="1"/>
        <v>38164</v>
      </c>
      <c r="B1274" s="5">
        <f t="shared" ref="B1274:B1275" si="181">B1273</f>
        <v>40.799999999999997</v>
      </c>
      <c r="C1274" s="6"/>
      <c r="D1274" s="6"/>
    </row>
    <row r="1275" spans="1:4" ht="13" thickBot="1" x14ac:dyDescent="0.3">
      <c r="A1275" s="9">
        <f ca="1"/>
        <v>38165</v>
      </c>
      <c r="B1275" s="5">
        <f t="shared" si="181"/>
        <v>40.799999999999997</v>
      </c>
      <c r="C1275" s="6"/>
      <c r="D1275" s="6"/>
    </row>
    <row r="1276" spans="1:4" ht="13" thickBot="1" x14ac:dyDescent="0.3">
      <c r="A1276" s="9">
        <f ca="1"/>
        <v>38166</v>
      </c>
      <c r="B1276" s="6">
        <v>42</v>
      </c>
      <c r="C1276" s="6"/>
      <c r="D1276" s="6"/>
    </row>
    <row r="1277" spans="1:4" ht="13" thickBot="1" x14ac:dyDescent="0.3">
      <c r="A1277" s="9">
        <f ca="1"/>
        <v>38167</v>
      </c>
      <c r="B1277" s="6">
        <v>41.5</v>
      </c>
      <c r="C1277" s="6"/>
      <c r="D1277" s="6"/>
    </row>
    <row r="1278" spans="1:4" ht="13" thickBot="1" x14ac:dyDescent="0.3">
      <c r="A1278" s="9">
        <f ca="1"/>
        <v>38168</v>
      </c>
      <c r="B1278" s="6">
        <v>41.92</v>
      </c>
      <c r="C1278" s="6"/>
      <c r="D1278" s="6"/>
    </row>
    <row r="1279" spans="1:4" ht="13" thickBot="1" x14ac:dyDescent="0.3">
      <c r="A1279" s="9">
        <f ca="1"/>
        <v>38169</v>
      </c>
      <c r="B1279" s="6">
        <v>42.1</v>
      </c>
      <c r="C1279" s="6"/>
      <c r="D1279" s="6"/>
    </row>
    <row r="1280" spans="1:4" ht="13" thickBot="1" x14ac:dyDescent="0.3">
      <c r="A1280" s="9">
        <f ca="1"/>
        <v>38170</v>
      </c>
      <c r="B1280" s="6">
        <v>41.65</v>
      </c>
      <c r="C1280" s="6"/>
      <c r="D1280" s="6"/>
    </row>
    <row r="1281" spans="1:4" ht="13" thickBot="1" x14ac:dyDescent="0.3">
      <c r="A1281" s="9">
        <f ca="1"/>
        <v>38171</v>
      </c>
      <c r="B1281" s="5">
        <f t="shared" ref="B1281:B1283" si="182">B1280</f>
        <v>41.65</v>
      </c>
      <c r="C1281" s="6"/>
      <c r="D1281" s="6"/>
    </row>
    <row r="1282" spans="1:4" ht="13" thickBot="1" x14ac:dyDescent="0.3">
      <c r="A1282" s="9">
        <f ca="1"/>
        <v>38172</v>
      </c>
      <c r="B1282" s="5">
        <f t="shared" si="182"/>
        <v>41.65</v>
      </c>
      <c r="C1282" s="6"/>
      <c r="D1282" s="6"/>
    </row>
    <row r="1283" spans="1:4" ht="13" thickBot="1" x14ac:dyDescent="0.3">
      <c r="A1283" s="9">
        <f ca="1"/>
        <v>38173</v>
      </c>
      <c r="B1283" s="5">
        <f t="shared" si="182"/>
        <v>41.65</v>
      </c>
      <c r="C1283" s="6"/>
      <c r="D1283" s="6"/>
    </row>
    <row r="1284" spans="1:4" ht="13" thickBot="1" x14ac:dyDescent="0.3">
      <c r="A1284" s="9">
        <f ca="1"/>
        <v>38174</v>
      </c>
      <c r="B1284" s="6">
        <v>40.68</v>
      </c>
      <c r="C1284" s="6"/>
      <c r="D1284" s="6"/>
    </row>
    <row r="1285" spans="1:4" ht="13" thickBot="1" x14ac:dyDescent="0.3">
      <c r="A1285" s="9">
        <f ca="1"/>
        <v>38175</v>
      </c>
      <c r="B1285" s="6">
        <v>39.36</v>
      </c>
      <c r="C1285" s="6"/>
      <c r="D1285" s="6"/>
    </row>
    <row r="1286" spans="1:4" ht="13" thickBot="1" x14ac:dyDescent="0.3">
      <c r="A1286" s="9">
        <f ca="1"/>
        <v>38176</v>
      </c>
      <c r="B1286" s="6">
        <v>38.65</v>
      </c>
      <c r="C1286" s="6"/>
      <c r="D1286" s="6"/>
    </row>
    <row r="1287" spans="1:4" ht="13" thickBot="1" x14ac:dyDescent="0.3">
      <c r="A1287" s="9">
        <f ca="1"/>
        <v>38177</v>
      </c>
      <c r="B1287" s="6">
        <v>38.9</v>
      </c>
      <c r="C1287" s="6"/>
      <c r="D1287" s="6"/>
    </row>
    <row r="1288" spans="1:4" ht="13" thickBot="1" x14ac:dyDescent="0.3">
      <c r="A1288" s="9">
        <f ca="1"/>
        <v>38178</v>
      </c>
      <c r="B1288" s="5">
        <f t="shared" ref="B1288:B1289" si="183">B1287</f>
        <v>38.9</v>
      </c>
      <c r="C1288" s="6"/>
      <c r="D1288" s="6"/>
    </row>
    <row r="1289" spans="1:4" ht="13" thickBot="1" x14ac:dyDescent="0.3">
      <c r="A1289" s="9">
        <f ca="1"/>
        <v>38179</v>
      </c>
      <c r="B1289" s="5">
        <f t="shared" si="183"/>
        <v>38.9</v>
      </c>
      <c r="C1289" s="6"/>
      <c r="D1289" s="6"/>
    </row>
    <row r="1290" spans="1:4" ht="13" thickBot="1" x14ac:dyDescent="0.3">
      <c r="A1290" s="9">
        <f ca="1"/>
        <v>38180</v>
      </c>
      <c r="B1290" s="6">
        <v>39.56</v>
      </c>
      <c r="C1290" s="6"/>
      <c r="D1290" s="6"/>
    </row>
    <row r="1291" spans="1:4" ht="13" thickBot="1" x14ac:dyDescent="0.3">
      <c r="A1291" s="9">
        <f ca="1"/>
        <v>38181</v>
      </c>
      <c r="B1291" s="6">
        <v>39.42</v>
      </c>
      <c r="C1291" s="6"/>
      <c r="D1291" s="6"/>
    </row>
    <row r="1292" spans="1:4" ht="13" thickBot="1" x14ac:dyDescent="0.3">
      <c r="A1292" s="9">
        <f ca="1"/>
        <v>38182</v>
      </c>
      <c r="B1292" s="6">
        <v>38.92</v>
      </c>
      <c r="C1292" s="6"/>
      <c r="D1292" s="6"/>
    </row>
    <row r="1293" spans="1:4" ht="13" thickBot="1" x14ac:dyDescent="0.3">
      <c r="A1293" s="9">
        <f ca="1"/>
        <v>38183</v>
      </c>
      <c r="B1293" s="6">
        <v>39.049999999999997</v>
      </c>
      <c r="C1293" s="6"/>
      <c r="D1293" s="6"/>
    </row>
    <row r="1294" spans="1:4" ht="13" thickBot="1" x14ac:dyDescent="0.3">
      <c r="A1294" s="9">
        <f ca="1"/>
        <v>38184</v>
      </c>
      <c r="B1294" s="6">
        <v>39.549999999999997</v>
      </c>
      <c r="C1294" s="6"/>
      <c r="D1294" s="6"/>
    </row>
    <row r="1295" spans="1:4" ht="13" thickBot="1" x14ac:dyDescent="0.3">
      <c r="A1295" s="9">
        <f ca="1"/>
        <v>38185</v>
      </c>
      <c r="B1295" s="5">
        <f t="shared" ref="B1295:B1296" si="184">B1294</f>
        <v>39.549999999999997</v>
      </c>
      <c r="C1295" s="6"/>
      <c r="D1295" s="6"/>
    </row>
    <row r="1296" spans="1:4" ht="13" thickBot="1" x14ac:dyDescent="0.3">
      <c r="A1296" s="9">
        <f ca="1"/>
        <v>38186</v>
      </c>
      <c r="B1296" s="5">
        <f t="shared" si="184"/>
        <v>39.549999999999997</v>
      </c>
      <c r="C1296" s="6"/>
      <c r="D1296" s="6"/>
    </row>
    <row r="1297" spans="1:4" ht="13" thickBot="1" x14ac:dyDescent="0.3">
      <c r="A1297" s="9">
        <f ca="1"/>
        <v>38187</v>
      </c>
      <c r="B1297" s="6">
        <v>38.71</v>
      </c>
      <c r="C1297" s="6"/>
      <c r="D1297" s="6"/>
    </row>
    <row r="1298" spans="1:4" ht="13" thickBot="1" x14ac:dyDescent="0.3">
      <c r="A1298" s="9">
        <f ca="1"/>
        <v>38188</v>
      </c>
      <c r="B1298" s="6">
        <v>39.15</v>
      </c>
      <c r="C1298" s="6"/>
      <c r="D1298" s="6"/>
    </row>
    <row r="1299" spans="1:4" ht="13" thickBot="1" x14ac:dyDescent="0.3">
      <c r="A1299" s="9">
        <f ca="1"/>
        <v>38189</v>
      </c>
      <c r="B1299" s="6">
        <v>39.4</v>
      </c>
      <c r="C1299" s="6"/>
      <c r="D1299" s="6"/>
    </row>
    <row r="1300" spans="1:4" ht="13" thickBot="1" x14ac:dyDescent="0.3">
      <c r="A1300" s="9">
        <f ca="1"/>
        <v>38190</v>
      </c>
      <c r="B1300" s="6">
        <v>37.85</v>
      </c>
      <c r="C1300" s="6"/>
      <c r="D1300" s="6"/>
    </row>
    <row r="1301" spans="1:4" ht="13" thickBot="1" x14ac:dyDescent="0.3">
      <c r="A1301" s="9">
        <f ca="1"/>
        <v>38191</v>
      </c>
      <c r="B1301" s="6">
        <v>38.54</v>
      </c>
      <c r="C1301" s="6"/>
      <c r="D1301" s="6"/>
    </row>
    <row r="1302" spans="1:4" ht="13" thickBot="1" x14ac:dyDescent="0.3">
      <c r="A1302" s="9">
        <f ca="1"/>
        <v>38192</v>
      </c>
      <c r="B1302" s="5">
        <f t="shared" ref="B1302:B1303" si="185">B1301</f>
        <v>38.54</v>
      </c>
      <c r="C1302" s="6"/>
      <c r="D1302" s="6"/>
    </row>
    <row r="1303" spans="1:4" ht="13" thickBot="1" x14ac:dyDescent="0.3">
      <c r="A1303" s="9">
        <f ca="1"/>
        <v>38193</v>
      </c>
      <c r="B1303" s="5">
        <f t="shared" si="185"/>
        <v>38.54</v>
      </c>
      <c r="C1303" s="6"/>
      <c r="D1303" s="6"/>
    </row>
    <row r="1304" spans="1:4" ht="13" thickBot="1" x14ac:dyDescent="0.3">
      <c r="A1304" s="9">
        <f ca="1"/>
        <v>38194</v>
      </c>
      <c r="B1304" s="6">
        <v>38.229999999999997</v>
      </c>
      <c r="C1304" s="6"/>
      <c r="D1304" s="6"/>
    </row>
    <row r="1305" spans="1:4" ht="13" thickBot="1" x14ac:dyDescent="0.3">
      <c r="A1305" s="9">
        <f ca="1"/>
        <v>38195</v>
      </c>
      <c r="B1305" s="6">
        <v>38.4</v>
      </c>
      <c r="C1305" s="6"/>
      <c r="D1305" s="6"/>
    </row>
    <row r="1306" spans="1:4" ht="13" thickBot="1" x14ac:dyDescent="0.3">
      <c r="A1306" s="9">
        <f ca="1"/>
        <v>38196</v>
      </c>
      <c r="B1306" s="6">
        <v>38.9</v>
      </c>
      <c r="C1306" s="6"/>
      <c r="D1306" s="6"/>
    </row>
    <row r="1307" spans="1:4" ht="13" thickBot="1" x14ac:dyDescent="0.3">
      <c r="A1307" s="9">
        <f ca="1"/>
        <v>38197</v>
      </c>
      <c r="B1307" s="6">
        <v>39.85</v>
      </c>
      <c r="C1307" s="6"/>
      <c r="D1307" s="6"/>
    </row>
    <row r="1308" spans="1:4" ht="13" thickBot="1" x14ac:dyDescent="0.3">
      <c r="A1308" s="9">
        <f ca="1"/>
        <v>38198</v>
      </c>
      <c r="B1308" s="6">
        <v>39.950000000000003</v>
      </c>
      <c r="C1308" s="6"/>
      <c r="D1308" s="6"/>
    </row>
    <row r="1309" spans="1:4" ht="13" thickBot="1" x14ac:dyDescent="0.3">
      <c r="A1309" s="9">
        <f ca="1"/>
        <v>38199</v>
      </c>
      <c r="B1309" s="5">
        <f t="shared" ref="B1309:B1310" si="186">B1308</f>
        <v>39.950000000000003</v>
      </c>
      <c r="C1309" s="6"/>
      <c r="D1309" s="6"/>
    </row>
    <row r="1310" spans="1:4" ht="13" thickBot="1" x14ac:dyDescent="0.3">
      <c r="A1310" s="9">
        <f ca="1"/>
        <v>38200</v>
      </c>
      <c r="B1310" s="5">
        <f t="shared" si="186"/>
        <v>39.950000000000003</v>
      </c>
      <c r="C1310" s="6"/>
      <c r="D1310" s="6"/>
    </row>
    <row r="1311" spans="1:4" ht="13" thickBot="1" x14ac:dyDescent="0.3">
      <c r="A1311" s="9">
        <f ca="1"/>
        <v>38201</v>
      </c>
      <c r="B1311" s="6">
        <v>39.770000000000003</v>
      </c>
      <c r="C1311" s="6"/>
      <c r="D1311" s="6"/>
    </row>
    <row r="1312" spans="1:4" ht="13" thickBot="1" x14ac:dyDescent="0.3">
      <c r="A1312" s="9">
        <f ca="1"/>
        <v>38202</v>
      </c>
      <c r="B1312" s="6">
        <v>39.799999999999997</v>
      </c>
      <c r="C1312" s="6"/>
      <c r="D1312" s="6"/>
    </row>
    <row r="1313" spans="1:4" ht="13" thickBot="1" x14ac:dyDescent="0.3">
      <c r="A1313" s="9">
        <f ca="1"/>
        <v>38203</v>
      </c>
      <c r="B1313" s="6">
        <v>38.630000000000003</v>
      </c>
      <c r="C1313" s="6"/>
      <c r="D1313" s="6"/>
    </row>
    <row r="1314" spans="1:4" ht="13" thickBot="1" x14ac:dyDescent="0.3">
      <c r="A1314" s="9">
        <f ca="1"/>
        <v>38204</v>
      </c>
      <c r="B1314" s="6">
        <v>38.74</v>
      </c>
      <c r="C1314" s="6"/>
      <c r="D1314" s="6"/>
    </row>
    <row r="1315" spans="1:4" ht="13" thickBot="1" x14ac:dyDescent="0.3">
      <c r="A1315" s="9">
        <f ca="1"/>
        <v>38205</v>
      </c>
      <c r="B1315" s="6">
        <v>38.28</v>
      </c>
      <c r="C1315" s="6"/>
      <c r="D1315" s="6"/>
    </row>
    <row r="1316" spans="1:4" ht="13" thickBot="1" x14ac:dyDescent="0.3">
      <c r="A1316" s="9">
        <f ca="1"/>
        <v>38206</v>
      </c>
      <c r="B1316" s="5">
        <f t="shared" ref="B1316:B1317" si="187">B1315</f>
        <v>38.28</v>
      </c>
      <c r="C1316" s="6"/>
      <c r="D1316" s="6"/>
    </row>
    <row r="1317" spans="1:4" ht="13" thickBot="1" x14ac:dyDescent="0.3">
      <c r="A1317" s="9">
        <f ca="1"/>
        <v>38207</v>
      </c>
      <c r="B1317" s="5">
        <f t="shared" si="187"/>
        <v>38.28</v>
      </c>
      <c r="C1317" s="6"/>
      <c r="D1317" s="6"/>
    </row>
    <row r="1318" spans="1:4" ht="13" thickBot="1" x14ac:dyDescent="0.3">
      <c r="A1318" s="9">
        <f ca="1"/>
        <v>38208</v>
      </c>
      <c r="B1318" s="6">
        <v>37.71</v>
      </c>
      <c r="C1318" s="6"/>
      <c r="D1318" s="6"/>
    </row>
    <row r="1319" spans="1:4" ht="13" thickBot="1" x14ac:dyDescent="0.3">
      <c r="A1319" s="9">
        <f ca="1"/>
        <v>38209</v>
      </c>
      <c r="B1319" s="6">
        <v>38.369999999999997</v>
      </c>
      <c r="C1319" s="6"/>
      <c r="D1319" s="6"/>
    </row>
    <row r="1320" spans="1:4" ht="13" thickBot="1" x14ac:dyDescent="0.3">
      <c r="A1320" s="9">
        <f ca="1"/>
        <v>38210</v>
      </c>
      <c r="B1320" s="6">
        <v>36.94</v>
      </c>
      <c r="C1320" s="6"/>
      <c r="D1320" s="6"/>
    </row>
    <row r="1321" spans="1:4" ht="13" thickBot="1" x14ac:dyDescent="0.3">
      <c r="A1321" s="9">
        <f ca="1"/>
        <v>38211</v>
      </c>
      <c r="B1321" s="6">
        <v>35.57</v>
      </c>
      <c r="C1321" s="6"/>
      <c r="D1321" s="6"/>
    </row>
    <row r="1322" spans="1:4" ht="13" thickBot="1" x14ac:dyDescent="0.3">
      <c r="A1322" s="9">
        <f ca="1"/>
        <v>38212</v>
      </c>
      <c r="B1322" s="6">
        <v>35.979999999999997</v>
      </c>
      <c r="C1322" s="6"/>
      <c r="D1322" s="6"/>
    </row>
    <row r="1323" spans="1:4" ht="13" thickBot="1" x14ac:dyDescent="0.3">
      <c r="A1323" s="9">
        <f ca="1"/>
        <v>38213</v>
      </c>
      <c r="B1323" s="5">
        <f t="shared" ref="B1323:B1324" si="188">B1322</f>
        <v>35.979999999999997</v>
      </c>
      <c r="C1323" s="6"/>
      <c r="D1323" s="6"/>
    </row>
    <row r="1324" spans="1:4" ht="13" thickBot="1" x14ac:dyDescent="0.3">
      <c r="A1324" s="9">
        <f ca="1"/>
        <v>38214</v>
      </c>
      <c r="B1324" s="5">
        <f t="shared" si="188"/>
        <v>35.979999999999997</v>
      </c>
      <c r="C1324" s="6"/>
      <c r="D1324" s="6"/>
    </row>
    <row r="1325" spans="1:4" ht="13" thickBot="1" x14ac:dyDescent="0.3">
      <c r="A1325" s="9">
        <f ca="1"/>
        <v>38215</v>
      </c>
      <c r="B1325" s="6">
        <v>36.409999999999997</v>
      </c>
      <c r="C1325" s="6"/>
      <c r="D1325" s="6"/>
    </row>
    <row r="1326" spans="1:4" ht="13" thickBot="1" x14ac:dyDescent="0.3">
      <c r="A1326" s="9">
        <f ca="1"/>
        <v>38216</v>
      </c>
      <c r="B1326" s="6">
        <v>37.020000000000003</v>
      </c>
      <c r="C1326" s="6"/>
      <c r="D1326" s="6"/>
    </row>
    <row r="1327" spans="1:4" ht="13" thickBot="1" x14ac:dyDescent="0.3">
      <c r="A1327" s="9">
        <f ca="1"/>
        <v>38217</v>
      </c>
      <c r="B1327" s="6">
        <v>36.4</v>
      </c>
      <c r="C1327" s="6"/>
      <c r="D1327" s="6"/>
    </row>
    <row r="1328" spans="1:4" ht="13" thickBot="1" x14ac:dyDescent="0.3">
      <c r="A1328" s="9">
        <f ca="1"/>
        <v>38218</v>
      </c>
      <c r="B1328" s="6">
        <v>37.49</v>
      </c>
      <c r="C1328" s="6"/>
      <c r="D1328" s="6"/>
    </row>
    <row r="1329" spans="1:4" ht="13" thickBot="1" x14ac:dyDescent="0.3">
      <c r="A1329" s="9">
        <f ca="1"/>
        <v>38219</v>
      </c>
      <c r="B1329" s="6">
        <v>36.43</v>
      </c>
      <c r="C1329" s="6"/>
      <c r="D1329" s="6"/>
    </row>
    <row r="1330" spans="1:4" ht="13" thickBot="1" x14ac:dyDescent="0.3">
      <c r="A1330" s="9">
        <f ca="1"/>
        <v>38220</v>
      </c>
      <c r="B1330" s="5">
        <f t="shared" ref="B1330:B1331" si="189">B1329</f>
        <v>36.43</v>
      </c>
      <c r="C1330" s="6"/>
      <c r="D1330" s="6"/>
    </row>
    <row r="1331" spans="1:4" ht="13" thickBot="1" x14ac:dyDescent="0.3">
      <c r="A1331" s="9">
        <f ca="1"/>
        <v>38221</v>
      </c>
      <c r="B1331" s="5">
        <f t="shared" si="189"/>
        <v>36.43</v>
      </c>
      <c r="C1331" s="6"/>
      <c r="D1331" s="6"/>
    </row>
    <row r="1332" spans="1:4" ht="13" thickBot="1" x14ac:dyDescent="0.3">
      <c r="A1332" s="9">
        <f ca="1"/>
        <v>38222</v>
      </c>
      <c r="B1332" s="6">
        <v>37.11</v>
      </c>
      <c r="C1332" s="6"/>
      <c r="D1332" s="6"/>
    </row>
    <row r="1333" spans="1:4" ht="13" thickBot="1" x14ac:dyDescent="0.3">
      <c r="A1333" s="9">
        <f ca="1"/>
        <v>38223</v>
      </c>
      <c r="B1333" s="6">
        <v>36.93</v>
      </c>
      <c r="C1333" s="6"/>
      <c r="D1333" s="6"/>
    </row>
    <row r="1334" spans="1:4" ht="13" thickBot="1" x14ac:dyDescent="0.3">
      <c r="A1334" s="9">
        <f ca="1"/>
        <v>38224</v>
      </c>
      <c r="B1334" s="6">
        <v>36.270000000000003</v>
      </c>
      <c r="C1334" s="6"/>
      <c r="D1334" s="6"/>
    </row>
    <row r="1335" spans="1:4" ht="13" thickBot="1" x14ac:dyDescent="0.3">
      <c r="A1335" s="9">
        <f ca="1"/>
        <v>38225</v>
      </c>
      <c r="B1335" s="6">
        <v>37.1</v>
      </c>
      <c r="C1335" s="6"/>
      <c r="D1335" s="6"/>
    </row>
    <row r="1336" spans="1:4" ht="13" thickBot="1" x14ac:dyDescent="0.3">
      <c r="A1336" s="9">
        <f ca="1"/>
        <v>38226</v>
      </c>
      <c r="B1336" s="6">
        <v>37.36</v>
      </c>
      <c r="C1336" s="6"/>
      <c r="D1336" s="6"/>
    </row>
    <row r="1337" spans="1:4" ht="13" thickBot="1" x14ac:dyDescent="0.3">
      <c r="A1337" s="9">
        <f ca="1"/>
        <v>38227</v>
      </c>
      <c r="B1337" s="5">
        <f t="shared" ref="B1337:B1338" si="190">B1336</f>
        <v>37.36</v>
      </c>
      <c r="C1337" s="6"/>
      <c r="D1337" s="6"/>
    </row>
    <row r="1338" spans="1:4" ht="13" thickBot="1" x14ac:dyDescent="0.3">
      <c r="A1338" s="9">
        <f ca="1"/>
        <v>38228</v>
      </c>
      <c r="B1338" s="5">
        <f t="shared" si="190"/>
        <v>37.36</v>
      </c>
      <c r="C1338" s="6"/>
      <c r="D1338" s="6"/>
    </row>
    <row r="1339" spans="1:4" ht="13" thickBot="1" x14ac:dyDescent="0.3">
      <c r="A1339" s="9">
        <f ca="1"/>
        <v>38229</v>
      </c>
      <c r="B1339" s="6">
        <v>37.14</v>
      </c>
      <c r="C1339" s="6"/>
      <c r="D1339" s="6"/>
    </row>
    <row r="1340" spans="1:4" ht="13" thickBot="1" x14ac:dyDescent="0.3">
      <c r="A1340" s="9">
        <f ca="1"/>
        <v>38230</v>
      </c>
      <c r="B1340" s="6">
        <v>36.69</v>
      </c>
      <c r="C1340" s="6"/>
      <c r="D1340" s="6"/>
    </row>
    <row r="1341" spans="1:4" ht="13" thickBot="1" x14ac:dyDescent="0.3">
      <c r="A1341" s="9">
        <f ca="1"/>
        <v>38231</v>
      </c>
      <c r="B1341" s="6">
        <v>36.65</v>
      </c>
      <c r="C1341" s="6"/>
      <c r="D1341" s="6"/>
    </row>
    <row r="1342" spans="1:4" ht="13" thickBot="1" x14ac:dyDescent="0.3">
      <c r="A1342" s="9">
        <f ca="1"/>
        <v>38232</v>
      </c>
      <c r="B1342" s="6">
        <v>36.65</v>
      </c>
      <c r="C1342" s="6"/>
      <c r="D1342" s="6"/>
    </row>
    <row r="1343" spans="1:4" ht="13" thickBot="1" x14ac:dyDescent="0.3">
      <c r="A1343" s="9">
        <f ca="1"/>
        <v>38233</v>
      </c>
      <c r="B1343" s="6">
        <v>36.659999999999997</v>
      </c>
      <c r="C1343" s="6"/>
      <c r="D1343" s="6"/>
    </row>
    <row r="1344" spans="1:4" ht="13" thickBot="1" x14ac:dyDescent="0.3">
      <c r="A1344" s="9">
        <f ca="1"/>
        <v>38234</v>
      </c>
      <c r="B1344" s="5">
        <f t="shared" ref="B1344:B1346" si="191">B1343</f>
        <v>36.659999999999997</v>
      </c>
      <c r="C1344" s="6"/>
      <c r="D1344" s="6"/>
    </row>
    <row r="1345" spans="1:4" ht="13" thickBot="1" x14ac:dyDescent="0.3">
      <c r="A1345" s="9">
        <f ca="1"/>
        <v>38235</v>
      </c>
      <c r="B1345" s="5">
        <f t="shared" si="191"/>
        <v>36.659999999999997</v>
      </c>
      <c r="C1345" s="6"/>
      <c r="D1345" s="6"/>
    </row>
    <row r="1346" spans="1:4" ht="13" thickBot="1" x14ac:dyDescent="0.3">
      <c r="A1346" s="9">
        <f ca="1"/>
        <v>38236</v>
      </c>
      <c r="B1346" s="5">
        <f t="shared" si="191"/>
        <v>36.659999999999997</v>
      </c>
      <c r="C1346" s="6"/>
      <c r="D1346" s="6"/>
    </row>
    <row r="1347" spans="1:4" ht="13" thickBot="1" x14ac:dyDescent="0.3">
      <c r="A1347" s="9">
        <f ca="1"/>
        <v>38237</v>
      </c>
      <c r="B1347" s="6">
        <v>37.299999999999997</v>
      </c>
      <c r="C1347" s="6"/>
      <c r="D1347" s="6"/>
    </row>
    <row r="1348" spans="1:4" ht="13" thickBot="1" x14ac:dyDescent="0.3">
      <c r="A1348" s="9">
        <f ca="1"/>
        <v>38238</v>
      </c>
      <c r="B1348" s="6">
        <v>37.200000000000003</v>
      </c>
      <c r="C1348" s="6"/>
      <c r="D1348" s="6"/>
    </row>
    <row r="1349" spans="1:4" ht="13" thickBot="1" x14ac:dyDescent="0.3">
      <c r="A1349" s="9">
        <f ca="1"/>
        <v>38239</v>
      </c>
      <c r="B1349" s="6">
        <v>37.130000000000003</v>
      </c>
      <c r="C1349" s="6"/>
      <c r="D1349" s="6"/>
    </row>
    <row r="1350" spans="1:4" ht="13" thickBot="1" x14ac:dyDescent="0.3">
      <c r="A1350" s="9">
        <f ca="1"/>
        <v>38240</v>
      </c>
      <c r="B1350" s="6">
        <v>38.549999999999997</v>
      </c>
      <c r="C1350" s="6"/>
      <c r="D1350" s="6"/>
    </row>
    <row r="1351" spans="1:4" ht="13" thickBot="1" x14ac:dyDescent="0.3">
      <c r="A1351" s="9">
        <f ca="1"/>
        <v>38241</v>
      </c>
      <c r="B1351" s="5">
        <f t="shared" ref="B1351:B1352" si="192">B1350</f>
        <v>38.549999999999997</v>
      </c>
      <c r="C1351" s="6"/>
      <c r="D1351" s="6"/>
    </row>
    <row r="1352" spans="1:4" ht="13" thickBot="1" x14ac:dyDescent="0.3">
      <c r="A1352" s="9">
        <f ca="1"/>
        <v>38242</v>
      </c>
      <c r="B1352" s="5">
        <f t="shared" si="192"/>
        <v>38.549999999999997</v>
      </c>
      <c r="C1352" s="6"/>
      <c r="D1352" s="6"/>
    </row>
    <row r="1353" spans="1:4" ht="13" thickBot="1" x14ac:dyDescent="0.3">
      <c r="A1353" s="9">
        <f ca="1"/>
        <v>38243</v>
      </c>
      <c r="B1353" s="6">
        <v>39.659999999999997</v>
      </c>
      <c r="C1353" s="6"/>
      <c r="D1353" s="6"/>
    </row>
    <row r="1354" spans="1:4" ht="13" thickBot="1" x14ac:dyDescent="0.3">
      <c r="A1354" s="9">
        <f ca="1"/>
        <v>38244</v>
      </c>
      <c r="B1354" s="6">
        <v>39.520000000000003</v>
      </c>
      <c r="C1354" s="6"/>
      <c r="D1354" s="6"/>
    </row>
    <row r="1355" spans="1:4" ht="13" thickBot="1" x14ac:dyDescent="0.3">
      <c r="A1355" s="9">
        <f ca="1"/>
        <v>38245</v>
      </c>
      <c r="B1355" s="6">
        <v>38.79</v>
      </c>
      <c r="C1355" s="6"/>
      <c r="D1355" s="6"/>
    </row>
    <row r="1356" spans="1:4" ht="13" thickBot="1" x14ac:dyDescent="0.3">
      <c r="A1356" s="9">
        <f ca="1"/>
        <v>38246</v>
      </c>
      <c r="B1356" s="6">
        <v>38.659999999999997</v>
      </c>
      <c r="C1356" s="6"/>
      <c r="D1356" s="6"/>
    </row>
    <row r="1357" spans="1:4" ht="13" thickBot="1" x14ac:dyDescent="0.3">
      <c r="A1357" s="9">
        <f ca="1"/>
        <v>38247</v>
      </c>
      <c r="B1357" s="6">
        <v>39.65</v>
      </c>
      <c r="C1357" s="6"/>
      <c r="D1357" s="6"/>
    </row>
    <row r="1358" spans="1:4" ht="13" thickBot="1" x14ac:dyDescent="0.3">
      <c r="A1358" s="9">
        <f ca="1"/>
        <v>38248</v>
      </c>
      <c r="B1358" s="5">
        <f t="shared" ref="B1358:B1359" si="193">B1357</f>
        <v>39.65</v>
      </c>
      <c r="C1358" s="6"/>
      <c r="D1358" s="6"/>
    </row>
    <row r="1359" spans="1:4" ht="13" thickBot="1" x14ac:dyDescent="0.3">
      <c r="A1359" s="9">
        <f ca="1"/>
        <v>38249</v>
      </c>
      <c r="B1359" s="5">
        <f t="shared" si="193"/>
        <v>39.65</v>
      </c>
      <c r="C1359" s="6"/>
      <c r="D1359" s="6"/>
    </row>
    <row r="1360" spans="1:4" ht="13" thickBot="1" x14ac:dyDescent="0.3">
      <c r="A1360" s="9">
        <f ca="1"/>
        <v>38250</v>
      </c>
      <c r="B1360" s="6">
        <v>39.1</v>
      </c>
      <c r="C1360" s="6"/>
      <c r="D1360" s="6"/>
    </row>
    <row r="1361" spans="1:4" ht="13" thickBot="1" x14ac:dyDescent="0.3">
      <c r="A1361" s="9">
        <f ca="1"/>
        <v>38251</v>
      </c>
      <c r="B1361" s="6">
        <v>39.979999999999997</v>
      </c>
      <c r="C1361" s="6"/>
      <c r="D1361" s="6"/>
    </row>
    <row r="1362" spans="1:4" ht="13" thickBot="1" x14ac:dyDescent="0.3">
      <c r="A1362" s="9">
        <f ca="1"/>
        <v>38252</v>
      </c>
      <c r="B1362" s="6">
        <v>39.28</v>
      </c>
      <c r="C1362" s="6"/>
      <c r="D1362" s="6"/>
    </row>
    <row r="1363" spans="1:4" ht="13" thickBot="1" x14ac:dyDescent="0.3">
      <c r="A1363" s="9">
        <f ca="1"/>
        <v>38253</v>
      </c>
      <c r="B1363" s="6">
        <v>38.99</v>
      </c>
      <c r="C1363" s="6"/>
      <c r="D1363" s="6"/>
    </row>
    <row r="1364" spans="1:4" ht="13" thickBot="1" x14ac:dyDescent="0.3">
      <c r="A1364" s="9">
        <f ca="1"/>
        <v>38254</v>
      </c>
      <c r="B1364" s="6">
        <v>39.04</v>
      </c>
      <c r="C1364" s="6"/>
      <c r="D1364" s="6"/>
    </row>
    <row r="1365" spans="1:4" ht="13" thickBot="1" x14ac:dyDescent="0.3">
      <c r="A1365" s="9">
        <f ca="1"/>
        <v>38255</v>
      </c>
      <c r="B1365" s="5">
        <f t="shared" ref="B1365:B1366" si="194">B1364</f>
        <v>39.04</v>
      </c>
      <c r="C1365" s="6"/>
      <c r="D1365" s="6"/>
    </row>
    <row r="1366" spans="1:4" ht="13" thickBot="1" x14ac:dyDescent="0.3">
      <c r="A1366" s="9">
        <f ca="1"/>
        <v>38256</v>
      </c>
      <c r="B1366" s="5">
        <f t="shared" si="194"/>
        <v>39.04</v>
      </c>
      <c r="C1366" s="6"/>
      <c r="D1366" s="6"/>
    </row>
    <row r="1367" spans="1:4" ht="13" thickBot="1" x14ac:dyDescent="0.3">
      <c r="A1367" s="9">
        <f ca="1"/>
        <v>38257</v>
      </c>
      <c r="B1367" s="6">
        <v>38.31</v>
      </c>
      <c r="C1367" s="6"/>
      <c r="D1367" s="6"/>
    </row>
    <row r="1368" spans="1:4" ht="13" thickBot="1" x14ac:dyDescent="0.3">
      <c r="A1368" s="9">
        <f ca="1"/>
        <v>38258</v>
      </c>
      <c r="B1368" s="6">
        <v>38.47</v>
      </c>
      <c r="C1368" s="6"/>
      <c r="D1368" s="6"/>
    </row>
    <row r="1369" spans="1:4" ht="13" thickBot="1" x14ac:dyDescent="0.3">
      <c r="A1369" s="9">
        <f ca="1"/>
        <v>38259</v>
      </c>
      <c r="B1369" s="6">
        <v>38.57</v>
      </c>
      <c r="C1369" s="6"/>
      <c r="D1369" s="6"/>
    </row>
    <row r="1370" spans="1:4" ht="13" thickBot="1" x14ac:dyDescent="0.3">
      <c r="A1370" s="9">
        <f ca="1"/>
        <v>38260</v>
      </c>
      <c r="B1370" s="6">
        <v>38.93</v>
      </c>
      <c r="C1370" s="6"/>
      <c r="D1370" s="6"/>
    </row>
    <row r="1371" spans="1:4" ht="13" thickBot="1" x14ac:dyDescent="0.3">
      <c r="A1371" s="9">
        <f ca="1"/>
        <v>38261</v>
      </c>
      <c r="B1371" s="6">
        <v>39.83</v>
      </c>
      <c r="C1371" s="6"/>
      <c r="D1371" s="6"/>
    </row>
    <row r="1372" spans="1:4" ht="13" thickBot="1" x14ac:dyDescent="0.3">
      <c r="A1372" s="9">
        <f ca="1"/>
        <v>38262</v>
      </c>
      <c r="B1372" s="5">
        <f t="shared" ref="B1372:B1373" si="195">B1371</f>
        <v>39.83</v>
      </c>
      <c r="C1372" s="6"/>
      <c r="D1372" s="6"/>
    </row>
    <row r="1373" spans="1:4" ht="13" thickBot="1" x14ac:dyDescent="0.3">
      <c r="A1373" s="9">
        <f ca="1"/>
        <v>38263</v>
      </c>
      <c r="B1373" s="5">
        <f t="shared" si="195"/>
        <v>39.83</v>
      </c>
      <c r="C1373" s="6"/>
      <c r="D1373" s="6"/>
    </row>
    <row r="1374" spans="1:4" ht="13" thickBot="1" x14ac:dyDescent="0.3">
      <c r="A1374" s="9">
        <f ca="1"/>
        <v>38264</v>
      </c>
      <c r="B1374" s="6">
        <v>40.98</v>
      </c>
      <c r="C1374" s="6"/>
      <c r="D1374" s="6"/>
    </row>
    <row r="1375" spans="1:4" ht="13" thickBot="1" x14ac:dyDescent="0.3">
      <c r="A1375" s="9">
        <f ca="1"/>
        <v>38265</v>
      </c>
      <c r="B1375" s="6">
        <v>40.74</v>
      </c>
      <c r="C1375" s="6"/>
      <c r="D1375" s="6"/>
    </row>
    <row r="1376" spans="1:4" ht="13" thickBot="1" x14ac:dyDescent="0.3">
      <c r="A1376" s="9">
        <f ca="1"/>
        <v>38266</v>
      </c>
      <c r="B1376" s="6">
        <v>40.4</v>
      </c>
      <c r="C1376" s="6"/>
      <c r="D1376" s="6"/>
    </row>
    <row r="1377" spans="1:4" ht="13" thickBot="1" x14ac:dyDescent="0.3">
      <c r="A1377" s="9">
        <f ca="1"/>
        <v>38267</v>
      </c>
      <c r="B1377" s="6">
        <v>40.36</v>
      </c>
      <c r="C1377" s="6"/>
      <c r="D1377" s="6"/>
    </row>
    <row r="1378" spans="1:4" ht="13" thickBot="1" x14ac:dyDescent="0.3">
      <c r="A1378" s="9">
        <f ca="1"/>
        <v>38268</v>
      </c>
      <c r="B1378" s="6">
        <v>39.97</v>
      </c>
      <c r="C1378" s="6"/>
      <c r="D1378" s="6"/>
    </row>
    <row r="1379" spans="1:4" ht="13" thickBot="1" x14ac:dyDescent="0.3">
      <c r="A1379" s="9">
        <f ca="1"/>
        <v>38269</v>
      </c>
      <c r="B1379" s="5">
        <f t="shared" ref="B1379:B1380" si="196">B1378</f>
        <v>39.97</v>
      </c>
      <c r="C1379" s="6"/>
      <c r="D1379" s="6"/>
    </row>
    <row r="1380" spans="1:4" ht="13" thickBot="1" x14ac:dyDescent="0.3">
      <c r="A1380" s="9">
        <f ca="1"/>
        <v>38270</v>
      </c>
      <c r="B1380" s="5">
        <f t="shared" si="196"/>
        <v>39.97</v>
      </c>
      <c r="C1380" s="6"/>
      <c r="D1380" s="6"/>
    </row>
    <row r="1381" spans="1:4" ht="13" thickBot="1" x14ac:dyDescent="0.3">
      <c r="A1381" s="9">
        <f ca="1"/>
        <v>38271</v>
      </c>
      <c r="B1381" s="6">
        <v>39.799999999999997</v>
      </c>
      <c r="C1381" s="6"/>
      <c r="D1381" s="6"/>
    </row>
    <row r="1382" spans="1:4" ht="13" thickBot="1" x14ac:dyDescent="0.3">
      <c r="A1382" s="9">
        <f ca="1"/>
        <v>38272</v>
      </c>
      <c r="B1382" s="6">
        <v>38.85</v>
      </c>
      <c r="C1382" s="6"/>
      <c r="D1382" s="6"/>
    </row>
    <row r="1383" spans="1:4" ht="13" thickBot="1" x14ac:dyDescent="0.3">
      <c r="A1383" s="9">
        <f ca="1"/>
        <v>38273</v>
      </c>
      <c r="B1383" s="6">
        <v>39.74</v>
      </c>
      <c r="C1383" s="6"/>
      <c r="D1383" s="6"/>
    </row>
    <row r="1384" spans="1:4" ht="13" thickBot="1" x14ac:dyDescent="0.3">
      <c r="A1384" s="9">
        <f ca="1"/>
        <v>38274</v>
      </c>
      <c r="B1384" s="6">
        <v>39.270000000000003</v>
      </c>
      <c r="C1384" s="6"/>
      <c r="D1384" s="6"/>
    </row>
    <row r="1385" spans="1:4" ht="13" thickBot="1" x14ac:dyDescent="0.3">
      <c r="A1385" s="9">
        <f ca="1"/>
        <v>38275</v>
      </c>
      <c r="B1385" s="6">
        <v>39.549999999999997</v>
      </c>
      <c r="C1385" s="6"/>
      <c r="D1385" s="6"/>
    </row>
    <row r="1386" spans="1:4" ht="13" thickBot="1" x14ac:dyDescent="0.3">
      <c r="A1386" s="9">
        <f ca="1"/>
        <v>38276</v>
      </c>
      <c r="B1386" s="5">
        <f t="shared" ref="B1386:B1387" si="197">B1385</f>
        <v>39.549999999999997</v>
      </c>
      <c r="C1386" s="6"/>
      <c r="D1386" s="6"/>
    </row>
    <row r="1387" spans="1:4" ht="13" thickBot="1" x14ac:dyDescent="0.3">
      <c r="A1387" s="9">
        <f ca="1"/>
        <v>38277</v>
      </c>
      <c r="B1387" s="5">
        <f t="shared" si="197"/>
        <v>39.549999999999997</v>
      </c>
      <c r="C1387" s="6"/>
      <c r="D1387" s="6"/>
    </row>
    <row r="1388" spans="1:4" ht="13" thickBot="1" x14ac:dyDescent="0.3">
      <c r="A1388" s="9">
        <f ca="1"/>
        <v>38278</v>
      </c>
      <c r="B1388" s="6">
        <v>39.799999999999997</v>
      </c>
      <c r="C1388" s="6"/>
      <c r="D1388" s="6"/>
    </row>
    <row r="1389" spans="1:4" ht="13" thickBot="1" x14ac:dyDescent="0.3">
      <c r="A1389" s="9">
        <f ca="1"/>
        <v>38279</v>
      </c>
      <c r="B1389" s="6">
        <v>41.03</v>
      </c>
      <c r="C1389" s="6"/>
      <c r="D1389" s="6"/>
    </row>
    <row r="1390" spans="1:4" ht="13" thickBot="1" x14ac:dyDescent="0.3">
      <c r="A1390" s="9">
        <f ca="1"/>
        <v>38280</v>
      </c>
      <c r="B1390" s="6">
        <v>40.94</v>
      </c>
      <c r="C1390" s="6"/>
      <c r="D1390" s="6"/>
    </row>
    <row r="1391" spans="1:4" ht="13" thickBot="1" x14ac:dyDescent="0.3">
      <c r="A1391" s="9">
        <f ca="1"/>
        <v>38281</v>
      </c>
      <c r="B1391" s="6">
        <v>41.98</v>
      </c>
      <c r="C1391" s="6"/>
      <c r="D1391" s="6"/>
    </row>
    <row r="1392" spans="1:4" ht="13" thickBot="1" x14ac:dyDescent="0.3">
      <c r="A1392" s="9">
        <f ca="1"/>
        <v>38282</v>
      </c>
      <c r="B1392" s="6">
        <v>42.32</v>
      </c>
      <c r="C1392" s="6"/>
      <c r="D1392" s="6"/>
    </row>
    <row r="1393" spans="1:4" ht="13" thickBot="1" x14ac:dyDescent="0.3">
      <c r="A1393" s="9">
        <f ca="1"/>
        <v>38283</v>
      </c>
      <c r="B1393" s="5">
        <f t="shared" ref="B1393:B1394" si="198">B1392</f>
        <v>42.32</v>
      </c>
      <c r="C1393" s="6"/>
      <c r="D1393" s="6"/>
    </row>
    <row r="1394" spans="1:4" ht="13" thickBot="1" x14ac:dyDescent="0.3">
      <c r="A1394" s="9">
        <f ca="1"/>
        <v>38284</v>
      </c>
      <c r="B1394" s="5">
        <f t="shared" si="198"/>
        <v>42.32</v>
      </c>
      <c r="C1394" s="6"/>
      <c r="D1394" s="6"/>
    </row>
    <row r="1395" spans="1:4" ht="13" thickBot="1" x14ac:dyDescent="0.3">
      <c r="A1395" s="9">
        <f ca="1"/>
        <v>38285</v>
      </c>
      <c r="B1395" s="6">
        <v>41.3</v>
      </c>
      <c r="C1395" s="6"/>
      <c r="D1395" s="6"/>
    </row>
    <row r="1396" spans="1:4" ht="13" thickBot="1" x14ac:dyDescent="0.3">
      <c r="A1396" s="9">
        <f ca="1"/>
        <v>38286</v>
      </c>
      <c r="B1396" s="6">
        <v>41.22</v>
      </c>
      <c r="C1396" s="6"/>
      <c r="D1396" s="6"/>
    </row>
    <row r="1397" spans="1:4" ht="13" thickBot="1" x14ac:dyDescent="0.3">
      <c r="A1397" s="9">
        <f ca="1"/>
        <v>38287</v>
      </c>
      <c r="B1397" s="6">
        <v>41.6</v>
      </c>
      <c r="C1397" s="6"/>
      <c r="D1397" s="6"/>
    </row>
    <row r="1398" spans="1:4" ht="13" thickBot="1" x14ac:dyDescent="0.3">
      <c r="A1398" s="9">
        <f ca="1"/>
        <v>38288</v>
      </c>
      <c r="B1398" s="6">
        <v>42.24</v>
      </c>
      <c r="C1398" s="6"/>
      <c r="D1398" s="6"/>
    </row>
    <row r="1399" spans="1:4" ht="13" thickBot="1" x14ac:dyDescent="0.3">
      <c r="A1399" s="9">
        <f ca="1"/>
        <v>38289</v>
      </c>
      <c r="B1399" s="6">
        <v>42.5</v>
      </c>
      <c r="C1399" s="6"/>
      <c r="D1399" s="6"/>
    </row>
    <row r="1400" spans="1:4" ht="13" thickBot="1" x14ac:dyDescent="0.3">
      <c r="A1400" s="9">
        <f ca="1"/>
        <v>38290</v>
      </c>
      <c r="B1400" s="5">
        <f t="shared" ref="B1400:B1401" si="199">B1399</f>
        <v>42.5</v>
      </c>
      <c r="C1400" s="6"/>
      <c r="D1400" s="6"/>
    </row>
    <row r="1401" spans="1:4" ht="13" thickBot="1" x14ac:dyDescent="0.3">
      <c r="A1401" s="9">
        <f ca="1"/>
        <v>38291</v>
      </c>
      <c r="B1401" s="5">
        <f t="shared" si="199"/>
        <v>42.5</v>
      </c>
      <c r="C1401" s="6"/>
      <c r="D1401" s="6"/>
    </row>
    <row r="1402" spans="1:4" ht="13" thickBot="1" x14ac:dyDescent="0.3">
      <c r="A1402" s="9">
        <f ca="1"/>
        <v>38292</v>
      </c>
      <c r="B1402" s="6">
        <v>42.73</v>
      </c>
      <c r="C1402" s="6"/>
      <c r="D1402" s="6"/>
    </row>
    <row r="1403" spans="1:4" ht="13" thickBot="1" x14ac:dyDescent="0.3">
      <c r="A1403" s="9">
        <f ca="1"/>
        <v>38293</v>
      </c>
      <c r="B1403" s="6">
        <v>42.79</v>
      </c>
      <c r="C1403" s="6"/>
      <c r="D1403" s="6"/>
    </row>
    <row r="1404" spans="1:4" ht="13" thickBot="1" x14ac:dyDescent="0.3">
      <c r="A1404" s="9">
        <f ca="1"/>
        <v>38294</v>
      </c>
      <c r="B1404" s="6">
        <v>43.59</v>
      </c>
      <c r="C1404" s="6"/>
      <c r="D1404" s="6"/>
    </row>
    <row r="1405" spans="1:4" ht="13" thickBot="1" x14ac:dyDescent="0.3">
      <c r="A1405" s="9">
        <f ca="1"/>
        <v>38295</v>
      </c>
      <c r="B1405" s="6">
        <v>43.3</v>
      </c>
      <c r="C1405" s="6"/>
      <c r="D1405" s="6"/>
    </row>
    <row r="1406" spans="1:4" ht="13" thickBot="1" x14ac:dyDescent="0.3">
      <c r="A1406" s="9">
        <f ca="1"/>
        <v>38296</v>
      </c>
      <c r="B1406" s="6">
        <v>43.97</v>
      </c>
      <c r="C1406" s="6"/>
      <c r="D1406" s="6"/>
    </row>
    <row r="1407" spans="1:4" ht="13" thickBot="1" x14ac:dyDescent="0.3">
      <c r="A1407" s="9">
        <f ca="1"/>
        <v>38297</v>
      </c>
      <c r="B1407" s="5">
        <f t="shared" ref="B1407:B1408" si="200">B1406</f>
        <v>43.97</v>
      </c>
      <c r="C1407" s="6"/>
      <c r="D1407" s="6"/>
    </row>
    <row r="1408" spans="1:4" ht="13" thickBot="1" x14ac:dyDescent="0.3">
      <c r="A1408" s="9">
        <f ca="1"/>
        <v>38298</v>
      </c>
      <c r="B1408" s="5">
        <f t="shared" si="200"/>
        <v>43.97</v>
      </c>
      <c r="C1408" s="6"/>
      <c r="D1408" s="6"/>
    </row>
    <row r="1409" spans="1:4" ht="13" thickBot="1" x14ac:dyDescent="0.3">
      <c r="A1409" s="9">
        <f ca="1"/>
        <v>38299</v>
      </c>
      <c r="B1409" s="6">
        <v>43.85</v>
      </c>
      <c r="C1409" s="6"/>
      <c r="D1409" s="6"/>
    </row>
    <row r="1410" spans="1:4" ht="13" thickBot="1" x14ac:dyDescent="0.3">
      <c r="A1410" s="9">
        <f ca="1"/>
        <v>38300</v>
      </c>
      <c r="B1410" s="6">
        <v>43.72</v>
      </c>
      <c r="C1410" s="6"/>
      <c r="D1410" s="6"/>
    </row>
    <row r="1411" spans="1:4" ht="13" thickBot="1" x14ac:dyDescent="0.3">
      <c r="A1411" s="9">
        <f ca="1"/>
        <v>38301</v>
      </c>
      <c r="B1411" s="6">
        <v>44.5</v>
      </c>
      <c r="C1411" s="6"/>
      <c r="D1411" s="6"/>
    </row>
    <row r="1412" spans="1:4" ht="13" thickBot="1" x14ac:dyDescent="0.3">
      <c r="A1412" s="9">
        <f ca="1"/>
        <v>38302</v>
      </c>
      <c r="B1412" s="6">
        <v>44.7</v>
      </c>
      <c r="C1412" s="6"/>
      <c r="D1412" s="6"/>
    </row>
    <row r="1413" spans="1:4" ht="13" thickBot="1" x14ac:dyDescent="0.3">
      <c r="A1413" s="9">
        <f ca="1"/>
        <v>38303</v>
      </c>
      <c r="B1413" s="6">
        <v>44.72</v>
      </c>
      <c r="C1413" s="6"/>
      <c r="D1413" s="6"/>
    </row>
    <row r="1414" spans="1:4" ht="13" thickBot="1" x14ac:dyDescent="0.3">
      <c r="A1414" s="9">
        <f ca="1"/>
        <v>38304</v>
      </c>
      <c r="B1414" s="5">
        <f t="shared" ref="B1414:B1415" si="201">B1413</f>
        <v>44.72</v>
      </c>
      <c r="C1414" s="6"/>
      <c r="D1414" s="6"/>
    </row>
    <row r="1415" spans="1:4" ht="13" thickBot="1" x14ac:dyDescent="0.3">
      <c r="A1415" s="9">
        <f ca="1"/>
        <v>38305</v>
      </c>
      <c r="B1415" s="5">
        <f t="shared" si="201"/>
        <v>44.72</v>
      </c>
      <c r="C1415" s="6"/>
      <c r="D1415" s="6"/>
    </row>
    <row r="1416" spans="1:4" ht="13" thickBot="1" x14ac:dyDescent="0.3">
      <c r="A1416" s="9">
        <f ca="1"/>
        <v>38306</v>
      </c>
      <c r="B1416" s="6">
        <v>44.69</v>
      </c>
      <c r="C1416" s="6"/>
      <c r="D1416" s="6"/>
    </row>
    <row r="1417" spans="1:4" ht="13" thickBot="1" x14ac:dyDescent="0.3">
      <c r="A1417" s="9">
        <f ca="1"/>
        <v>38307</v>
      </c>
      <c r="B1417" s="6">
        <v>44.52</v>
      </c>
      <c r="C1417" s="6"/>
      <c r="D1417" s="6"/>
    </row>
    <row r="1418" spans="1:4" ht="13" thickBot="1" x14ac:dyDescent="0.3">
      <c r="A1418" s="9">
        <f ca="1"/>
        <v>38308</v>
      </c>
      <c r="B1418" s="6">
        <v>45.07</v>
      </c>
      <c r="C1418" s="6"/>
      <c r="D1418" s="6"/>
    </row>
    <row r="1419" spans="1:4" ht="13" thickBot="1" x14ac:dyDescent="0.3">
      <c r="A1419" s="9">
        <f ca="1"/>
        <v>38309</v>
      </c>
      <c r="B1419" s="6">
        <v>44.31</v>
      </c>
      <c r="C1419" s="6"/>
      <c r="D1419" s="6"/>
    </row>
    <row r="1420" spans="1:4" ht="13" thickBot="1" x14ac:dyDescent="0.3">
      <c r="A1420" s="9">
        <f ca="1"/>
        <v>38310</v>
      </c>
      <c r="B1420" s="6">
        <v>44.75</v>
      </c>
      <c r="C1420" s="6"/>
      <c r="D1420" s="6"/>
    </row>
    <row r="1421" spans="1:4" ht="13" thickBot="1" x14ac:dyDescent="0.3">
      <c r="A1421" s="9">
        <f ca="1"/>
        <v>38311</v>
      </c>
      <c r="B1421" s="5">
        <f t="shared" ref="B1421:B1422" si="202">B1420</f>
        <v>44.75</v>
      </c>
      <c r="C1421" s="6"/>
      <c r="D1421" s="6"/>
    </row>
    <row r="1422" spans="1:4" ht="13" thickBot="1" x14ac:dyDescent="0.3">
      <c r="A1422" s="9">
        <f ca="1"/>
        <v>38312</v>
      </c>
      <c r="B1422" s="5">
        <f t="shared" si="202"/>
        <v>44.75</v>
      </c>
      <c r="C1422" s="6"/>
      <c r="D1422" s="6"/>
    </row>
    <row r="1423" spans="1:4" ht="13" thickBot="1" x14ac:dyDescent="0.3">
      <c r="A1423" s="9">
        <f ca="1"/>
        <v>38313</v>
      </c>
      <c r="B1423" s="6">
        <v>43.79</v>
      </c>
      <c r="C1423" s="6"/>
      <c r="D1423" s="6"/>
    </row>
    <row r="1424" spans="1:4" ht="13" thickBot="1" x14ac:dyDescent="0.3">
      <c r="A1424" s="9">
        <f ca="1"/>
        <v>38314</v>
      </c>
      <c r="B1424" s="6">
        <v>44.53</v>
      </c>
      <c r="C1424" s="6"/>
      <c r="D1424" s="6"/>
    </row>
    <row r="1425" spans="1:4" ht="13" thickBot="1" x14ac:dyDescent="0.3">
      <c r="A1425" s="9">
        <f ca="1"/>
        <v>38315</v>
      </c>
      <c r="B1425" s="6">
        <v>44.45</v>
      </c>
      <c r="C1425" s="6"/>
      <c r="D1425" s="6"/>
    </row>
    <row r="1426" spans="1:4" ht="13" thickBot="1" x14ac:dyDescent="0.3">
      <c r="A1426" s="9">
        <f ca="1"/>
        <v>38316</v>
      </c>
      <c r="B1426" s="5">
        <f>B1425</f>
        <v>44.45</v>
      </c>
      <c r="C1426" s="6"/>
      <c r="D1426" s="6"/>
    </row>
    <row r="1427" spans="1:4" ht="13" thickBot="1" x14ac:dyDescent="0.3">
      <c r="A1427" s="9">
        <f ca="1"/>
        <v>38317</v>
      </c>
      <c r="B1427" s="6">
        <v>44.92</v>
      </c>
      <c r="C1427" s="6"/>
      <c r="D1427" s="6"/>
    </row>
    <row r="1428" spans="1:4" ht="13" thickBot="1" x14ac:dyDescent="0.3">
      <c r="A1428" s="9">
        <f ca="1"/>
        <v>38318</v>
      </c>
      <c r="B1428" s="5">
        <f t="shared" ref="B1428:B1429" si="203">B1427</f>
        <v>44.92</v>
      </c>
      <c r="C1428" s="6"/>
      <c r="D1428" s="6"/>
    </row>
    <row r="1429" spans="1:4" ht="13" thickBot="1" x14ac:dyDescent="0.3">
      <c r="A1429" s="9">
        <f ca="1"/>
        <v>38319</v>
      </c>
      <c r="B1429" s="5">
        <f t="shared" si="203"/>
        <v>44.92</v>
      </c>
      <c r="C1429" s="6"/>
      <c r="D1429" s="6"/>
    </row>
    <row r="1430" spans="1:4" ht="13" thickBot="1" x14ac:dyDescent="0.3">
      <c r="A1430" s="9">
        <f ca="1"/>
        <v>38320</v>
      </c>
      <c r="B1430" s="6">
        <v>45.69</v>
      </c>
      <c r="C1430" s="6"/>
      <c r="D1430" s="6"/>
    </row>
    <row r="1431" spans="1:4" ht="13" thickBot="1" x14ac:dyDescent="0.3">
      <c r="A1431" s="9">
        <f ca="1"/>
        <v>38321</v>
      </c>
      <c r="B1431" s="6">
        <v>45.06</v>
      </c>
      <c r="C1431" s="6"/>
      <c r="D1431" s="6"/>
    </row>
    <row r="1432" spans="1:4" ht="13" thickBot="1" x14ac:dyDescent="0.3">
      <c r="A1432" s="9">
        <f ca="1"/>
        <v>38322</v>
      </c>
      <c r="B1432" s="6">
        <v>45.01</v>
      </c>
      <c r="C1432" s="6"/>
      <c r="D1432" s="6"/>
    </row>
    <row r="1433" spans="1:4" ht="13" thickBot="1" x14ac:dyDescent="0.3">
      <c r="A1433" s="9">
        <f ca="1"/>
        <v>38323</v>
      </c>
      <c r="B1433" s="6">
        <v>45.56</v>
      </c>
      <c r="C1433" s="6"/>
      <c r="D1433" s="6"/>
    </row>
    <row r="1434" spans="1:4" ht="13" thickBot="1" x14ac:dyDescent="0.3">
      <c r="A1434" s="9">
        <f ca="1"/>
        <v>38324</v>
      </c>
      <c r="B1434" s="6">
        <v>45.2</v>
      </c>
      <c r="C1434" s="6"/>
      <c r="D1434" s="6"/>
    </row>
    <row r="1435" spans="1:4" ht="13" thickBot="1" x14ac:dyDescent="0.3">
      <c r="A1435" s="9">
        <f ca="1"/>
        <v>38325</v>
      </c>
      <c r="B1435" s="5">
        <f t="shared" ref="B1435:B1436" si="204">B1434</f>
        <v>45.2</v>
      </c>
      <c r="C1435" s="6"/>
      <c r="D1435" s="6"/>
    </row>
    <row r="1436" spans="1:4" ht="13" thickBot="1" x14ac:dyDescent="0.3">
      <c r="A1436" s="9">
        <f ca="1"/>
        <v>38326</v>
      </c>
      <c r="B1436" s="5">
        <f t="shared" si="204"/>
        <v>45.2</v>
      </c>
      <c r="C1436" s="6"/>
      <c r="D1436" s="6"/>
    </row>
    <row r="1437" spans="1:4" ht="13" thickBot="1" x14ac:dyDescent="0.3">
      <c r="A1437" s="9">
        <f ca="1"/>
        <v>38327</v>
      </c>
      <c r="B1437" s="6">
        <v>45.2</v>
      </c>
      <c r="C1437" s="6"/>
      <c r="D1437" s="6"/>
    </row>
    <row r="1438" spans="1:4" ht="13" thickBot="1" x14ac:dyDescent="0.3">
      <c r="A1438" s="9">
        <f ca="1"/>
        <v>38328</v>
      </c>
      <c r="B1438" s="6">
        <v>45.62</v>
      </c>
      <c r="C1438" s="6"/>
      <c r="D1438" s="6"/>
    </row>
    <row r="1439" spans="1:4" ht="13" thickBot="1" x14ac:dyDescent="0.3">
      <c r="A1439" s="9">
        <f ca="1"/>
        <v>38329</v>
      </c>
      <c r="B1439" s="6">
        <v>44.5</v>
      </c>
      <c r="C1439" s="6"/>
      <c r="D1439" s="6"/>
    </row>
    <row r="1440" spans="1:4" ht="13" thickBot="1" x14ac:dyDescent="0.3">
      <c r="A1440" s="9">
        <f ca="1"/>
        <v>38330</v>
      </c>
      <c r="B1440" s="6">
        <v>44.19</v>
      </c>
      <c r="C1440" s="6"/>
      <c r="D1440" s="6"/>
    </row>
    <row r="1441" spans="1:4" ht="13" thickBot="1" x14ac:dyDescent="0.3">
      <c r="A1441" s="9">
        <f ca="1"/>
        <v>38331</v>
      </c>
      <c r="B1441" s="6">
        <v>43.67</v>
      </c>
      <c r="C1441" s="6"/>
      <c r="D1441" s="6"/>
    </row>
    <row r="1442" spans="1:4" ht="13" thickBot="1" x14ac:dyDescent="0.3">
      <c r="A1442" s="9">
        <f ca="1"/>
        <v>38332</v>
      </c>
      <c r="B1442" s="5">
        <f t="shared" ref="B1442:B1443" si="205">B1441</f>
        <v>43.67</v>
      </c>
      <c r="C1442" s="6"/>
      <c r="D1442" s="6"/>
    </row>
    <row r="1443" spans="1:4" ht="13" thickBot="1" x14ac:dyDescent="0.3">
      <c r="A1443" s="9">
        <f ca="1"/>
        <v>38333</v>
      </c>
      <c r="B1443" s="5">
        <f t="shared" si="205"/>
        <v>43.67</v>
      </c>
      <c r="C1443" s="6"/>
      <c r="D1443" s="6"/>
    </row>
    <row r="1444" spans="1:4" ht="13" thickBot="1" x14ac:dyDescent="0.3">
      <c r="A1444" s="9">
        <f ca="1"/>
        <v>38334</v>
      </c>
      <c r="B1444" s="6">
        <v>44.71</v>
      </c>
      <c r="C1444" s="6"/>
      <c r="D1444" s="6"/>
    </row>
    <row r="1445" spans="1:4" ht="13" thickBot="1" x14ac:dyDescent="0.3">
      <c r="A1445" s="9">
        <f ca="1"/>
        <v>38335</v>
      </c>
      <c r="B1445" s="6">
        <v>44.73</v>
      </c>
      <c r="C1445" s="6"/>
      <c r="D1445" s="6"/>
    </row>
    <row r="1446" spans="1:4" ht="13" thickBot="1" x14ac:dyDescent="0.3">
      <c r="A1446" s="9">
        <f ca="1"/>
        <v>38336</v>
      </c>
      <c r="B1446" s="6">
        <v>45.12</v>
      </c>
      <c r="C1446" s="6"/>
      <c r="D1446" s="6"/>
    </row>
    <row r="1447" spans="1:4" ht="13" thickBot="1" x14ac:dyDescent="0.3">
      <c r="A1447" s="9">
        <f ca="1"/>
        <v>38337</v>
      </c>
      <c r="B1447" s="6">
        <v>44.4</v>
      </c>
      <c r="C1447" s="6"/>
      <c r="D1447" s="6"/>
    </row>
    <row r="1448" spans="1:4" ht="13" thickBot="1" x14ac:dyDescent="0.3">
      <c r="A1448" s="9">
        <f ca="1"/>
        <v>38338</v>
      </c>
      <c r="B1448" s="6">
        <v>43.92</v>
      </c>
      <c r="C1448" s="6"/>
      <c r="D1448" s="6"/>
    </row>
    <row r="1449" spans="1:4" ht="13" thickBot="1" x14ac:dyDescent="0.3">
      <c r="A1449" s="9">
        <f ca="1"/>
        <v>38339</v>
      </c>
      <c r="B1449" s="5">
        <f t="shared" ref="B1449:B1450" si="206">B1448</f>
        <v>43.92</v>
      </c>
      <c r="C1449" s="6"/>
      <c r="D1449" s="6"/>
    </row>
    <row r="1450" spans="1:4" ht="13" thickBot="1" x14ac:dyDescent="0.3">
      <c r="A1450" s="9">
        <f ca="1"/>
        <v>38340</v>
      </c>
      <c r="B1450" s="5">
        <f t="shared" si="206"/>
        <v>43.92</v>
      </c>
      <c r="C1450" s="6"/>
      <c r="D1450" s="6"/>
    </row>
    <row r="1451" spans="1:4" ht="13" thickBot="1" x14ac:dyDescent="0.3">
      <c r="A1451" s="9">
        <f ca="1"/>
        <v>38341</v>
      </c>
      <c r="B1451" s="6">
        <v>44.16</v>
      </c>
      <c r="C1451" s="6"/>
      <c r="D1451" s="6"/>
    </row>
    <row r="1452" spans="1:4" ht="13" thickBot="1" x14ac:dyDescent="0.3">
      <c r="A1452" s="9">
        <f ca="1"/>
        <v>38342</v>
      </c>
      <c r="B1452" s="6">
        <v>44.11</v>
      </c>
      <c r="C1452" s="6"/>
      <c r="D1452" s="6"/>
    </row>
    <row r="1453" spans="1:4" ht="13" thickBot="1" x14ac:dyDescent="0.3">
      <c r="A1453" s="9">
        <f ca="1"/>
        <v>38343</v>
      </c>
      <c r="B1453" s="6">
        <v>43.99</v>
      </c>
      <c r="C1453" s="6"/>
      <c r="D1453" s="6"/>
    </row>
    <row r="1454" spans="1:4" ht="13" thickBot="1" x14ac:dyDescent="0.3">
      <c r="A1454" s="9">
        <f ca="1"/>
        <v>38344</v>
      </c>
      <c r="B1454" s="6">
        <v>44.35</v>
      </c>
      <c r="C1454" s="6"/>
      <c r="D1454" s="6"/>
    </row>
    <row r="1455" spans="1:4" ht="13" thickBot="1" x14ac:dyDescent="0.3">
      <c r="A1455" s="9">
        <f ca="1"/>
        <v>38345</v>
      </c>
      <c r="B1455" s="5">
        <f t="shared" ref="B1455:B1457" si="207">B1454</f>
        <v>44.35</v>
      </c>
      <c r="C1455" s="6"/>
      <c r="D1455" s="6"/>
    </row>
    <row r="1456" spans="1:4" ht="13" thickBot="1" x14ac:dyDescent="0.3">
      <c r="A1456" s="9">
        <f ca="1"/>
        <v>38346</v>
      </c>
      <c r="B1456" s="5">
        <f t="shared" si="207"/>
        <v>44.35</v>
      </c>
      <c r="C1456" s="6"/>
      <c r="D1456" s="6"/>
    </row>
    <row r="1457" spans="1:4" ht="13" thickBot="1" x14ac:dyDescent="0.3">
      <c r="A1457" s="9">
        <f ca="1"/>
        <v>38347</v>
      </c>
      <c r="B1457" s="5">
        <f t="shared" si="207"/>
        <v>44.35</v>
      </c>
      <c r="C1457" s="6"/>
      <c r="D1457" s="6"/>
    </row>
    <row r="1458" spans="1:4" ht="13" thickBot="1" x14ac:dyDescent="0.3">
      <c r="A1458" s="9">
        <f ca="1"/>
        <v>38348</v>
      </c>
      <c r="B1458" s="6">
        <v>44.86</v>
      </c>
      <c r="C1458" s="6"/>
      <c r="D1458" s="6"/>
    </row>
    <row r="1459" spans="1:4" ht="13" thickBot="1" x14ac:dyDescent="0.3">
      <c r="A1459" s="9">
        <f ca="1"/>
        <v>38349</v>
      </c>
      <c r="B1459" s="6">
        <v>45.04</v>
      </c>
      <c r="C1459" s="6"/>
      <c r="D1459" s="6"/>
    </row>
    <row r="1460" spans="1:4" ht="13" thickBot="1" x14ac:dyDescent="0.3">
      <c r="A1460" s="9">
        <f ca="1"/>
        <v>38350</v>
      </c>
      <c r="B1460" s="6">
        <v>44.85</v>
      </c>
      <c r="C1460" s="6"/>
      <c r="D1460" s="6"/>
    </row>
    <row r="1461" spans="1:4" ht="13" thickBot="1" x14ac:dyDescent="0.3">
      <c r="A1461" s="9">
        <f ca="1"/>
        <v>38351</v>
      </c>
      <c r="B1461" s="6">
        <v>44.75</v>
      </c>
      <c r="C1461" s="6"/>
      <c r="D1461" s="6"/>
    </row>
    <row r="1462" spans="1:4" ht="13" thickBot="1" x14ac:dyDescent="0.3">
      <c r="A1462" s="9">
        <f ca="1"/>
        <v>38352</v>
      </c>
      <c r="B1462" s="6">
        <v>44.47</v>
      </c>
      <c r="C1462" s="6"/>
      <c r="D1462" s="6"/>
    </row>
    <row r="1463" spans="1:4" ht="13" thickBot="1" x14ac:dyDescent="0.3">
      <c r="A1463" s="9">
        <f ca="1"/>
        <v>38353</v>
      </c>
      <c r="B1463" s="5">
        <f t="shared" ref="B1463:B1464" si="208">B1462</f>
        <v>44.47</v>
      </c>
      <c r="C1463" s="6"/>
      <c r="D1463" s="6"/>
    </row>
    <row r="1464" spans="1:4" ht="13" thickBot="1" x14ac:dyDescent="0.3">
      <c r="A1464" s="9">
        <f ca="1"/>
        <v>38354</v>
      </c>
      <c r="B1464" s="5">
        <f t="shared" si="208"/>
        <v>44.47</v>
      </c>
      <c r="C1464" s="6"/>
      <c r="D1464" s="6"/>
    </row>
    <row r="1465" spans="1:4" ht="13" thickBot="1" x14ac:dyDescent="0.3">
      <c r="A1465" s="9">
        <f ca="1"/>
        <v>38355</v>
      </c>
      <c r="B1465" s="6">
        <v>44.56</v>
      </c>
      <c r="C1465" s="6"/>
      <c r="D1465" s="6"/>
    </row>
    <row r="1466" spans="1:4" ht="13" thickBot="1" x14ac:dyDescent="0.3">
      <c r="A1466" s="9">
        <f ca="1"/>
        <v>38356</v>
      </c>
      <c r="B1466" s="6">
        <v>43.74</v>
      </c>
      <c r="C1466" s="6"/>
      <c r="D1466" s="6"/>
    </row>
    <row r="1467" spans="1:4" ht="13" thickBot="1" x14ac:dyDescent="0.3">
      <c r="A1467" s="9">
        <f ca="1"/>
        <v>38357</v>
      </c>
      <c r="B1467" s="6">
        <v>42.87</v>
      </c>
      <c r="C1467" s="6"/>
      <c r="D1467" s="6"/>
    </row>
    <row r="1468" spans="1:4" ht="13" thickBot="1" x14ac:dyDescent="0.3">
      <c r="A1468" s="9">
        <f ca="1"/>
        <v>38358</v>
      </c>
      <c r="B1468" s="6">
        <v>42.94</v>
      </c>
      <c r="C1468" s="6"/>
      <c r="D1468" s="6"/>
    </row>
    <row r="1469" spans="1:4" ht="13" thickBot="1" x14ac:dyDescent="0.3">
      <c r="A1469" s="9">
        <f ca="1"/>
        <v>38359</v>
      </c>
      <c r="B1469" s="6">
        <v>43.86</v>
      </c>
      <c r="C1469" s="6"/>
      <c r="D1469" s="6"/>
    </row>
    <row r="1470" spans="1:4" ht="13" thickBot="1" x14ac:dyDescent="0.3">
      <c r="A1470" s="9">
        <f ca="1"/>
        <v>38360</v>
      </c>
      <c r="B1470" s="5">
        <f t="shared" ref="B1470:B1471" si="209">B1469</f>
        <v>43.86</v>
      </c>
      <c r="C1470" s="6"/>
      <c r="D1470" s="6"/>
    </row>
    <row r="1471" spans="1:4" ht="13" thickBot="1" x14ac:dyDescent="0.3">
      <c r="A1471" s="9">
        <f ca="1"/>
        <v>38361</v>
      </c>
      <c r="B1471" s="5">
        <f t="shared" si="209"/>
        <v>43.86</v>
      </c>
      <c r="C1471" s="6"/>
      <c r="D1471" s="6"/>
    </row>
    <row r="1472" spans="1:4" ht="13" thickBot="1" x14ac:dyDescent="0.3">
      <c r="A1472" s="9">
        <f ca="1"/>
        <v>38362</v>
      </c>
      <c r="B1472" s="6">
        <v>43.46</v>
      </c>
      <c r="C1472" s="6"/>
      <c r="D1472" s="6"/>
    </row>
    <row r="1473" spans="1:4" ht="13" thickBot="1" x14ac:dyDescent="0.3">
      <c r="A1473" s="9">
        <f ca="1"/>
        <v>38363</v>
      </c>
      <c r="B1473" s="6">
        <v>43.23</v>
      </c>
      <c r="C1473" s="6"/>
      <c r="D1473" s="6"/>
    </row>
    <row r="1474" spans="1:4" ht="13" thickBot="1" x14ac:dyDescent="0.3">
      <c r="A1474" s="9">
        <f ca="1"/>
        <v>38364</v>
      </c>
      <c r="B1474" s="6">
        <v>41.74</v>
      </c>
      <c r="C1474" s="6"/>
      <c r="D1474" s="6"/>
    </row>
    <row r="1475" spans="1:4" ht="13" thickBot="1" x14ac:dyDescent="0.3">
      <c r="A1475" s="9">
        <f ca="1"/>
        <v>38365</v>
      </c>
      <c r="B1475" s="6">
        <v>41.85</v>
      </c>
      <c r="C1475" s="6"/>
      <c r="D1475" s="6"/>
    </row>
    <row r="1476" spans="1:4" ht="13" thickBot="1" x14ac:dyDescent="0.3">
      <c r="A1476" s="9">
        <f ca="1"/>
        <v>38366</v>
      </c>
      <c r="B1476" s="6">
        <v>41.23</v>
      </c>
      <c r="C1476" s="6"/>
      <c r="D1476" s="6"/>
    </row>
    <row r="1477" spans="1:4" ht="13" thickBot="1" x14ac:dyDescent="0.3">
      <c r="A1477" s="9">
        <f ca="1"/>
        <v>38367</v>
      </c>
      <c r="B1477" s="5">
        <f t="shared" ref="B1477:B1479" si="210">B1476</f>
        <v>41.23</v>
      </c>
      <c r="C1477" s="6"/>
      <c r="D1477" s="6"/>
    </row>
    <row r="1478" spans="1:4" ht="13" thickBot="1" x14ac:dyDescent="0.3">
      <c r="A1478" s="9">
        <f ca="1"/>
        <v>38368</v>
      </c>
      <c r="B1478" s="5">
        <f t="shared" si="210"/>
        <v>41.23</v>
      </c>
      <c r="C1478" s="6"/>
      <c r="D1478" s="6"/>
    </row>
    <row r="1479" spans="1:4" ht="13" thickBot="1" x14ac:dyDescent="0.3">
      <c r="A1479" s="9">
        <f ca="1"/>
        <v>38369</v>
      </c>
      <c r="B1479" s="5">
        <f t="shared" si="210"/>
        <v>41.23</v>
      </c>
      <c r="C1479" s="6"/>
      <c r="D1479" s="6"/>
    </row>
    <row r="1480" spans="1:4" ht="13" thickBot="1" x14ac:dyDescent="0.3">
      <c r="A1480" s="9">
        <f ca="1"/>
        <v>38370</v>
      </c>
      <c r="B1480" s="6">
        <v>40.47</v>
      </c>
      <c r="C1480" s="6"/>
      <c r="D1480" s="6"/>
    </row>
    <row r="1481" spans="1:4" ht="13" thickBot="1" x14ac:dyDescent="0.3">
      <c r="A1481" s="9">
        <f ca="1"/>
        <v>38371</v>
      </c>
      <c r="B1481" s="6">
        <v>40.81</v>
      </c>
      <c r="C1481" s="6"/>
      <c r="D1481" s="6"/>
    </row>
    <row r="1482" spans="1:4" ht="13" thickBot="1" x14ac:dyDescent="0.3">
      <c r="A1482" s="9">
        <f ca="1"/>
        <v>38372</v>
      </c>
      <c r="B1482" s="6">
        <v>39.6</v>
      </c>
      <c r="C1482" s="6"/>
      <c r="D1482" s="6"/>
    </row>
    <row r="1483" spans="1:4" ht="13" thickBot="1" x14ac:dyDescent="0.3">
      <c r="A1483" s="9">
        <f ca="1"/>
        <v>38373</v>
      </c>
      <c r="B1483" s="6">
        <v>39.78</v>
      </c>
      <c r="C1483" s="6"/>
      <c r="D1483" s="6"/>
    </row>
    <row r="1484" spans="1:4" ht="13" thickBot="1" x14ac:dyDescent="0.3">
      <c r="A1484" s="9">
        <f ca="1"/>
        <v>38374</v>
      </c>
      <c r="B1484" s="5">
        <f t="shared" ref="B1484:B1485" si="211">B1483</f>
        <v>39.78</v>
      </c>
      <c r="C1484" s="6"/>
      <c r="D1484" s="6"/>
    </row>
    <row r="1485" spans="1:4" ht="13" thickBot="1" x14ac:dyDescent="0.3">
      <c r="A1485" s="9">
        <f ca="1"/>
        <v>38375</v>
      </c>
      <c r="B1485" s="5">
        <f t="shared" si="211"/>
        <v>39.78</v>
      </c>
      <c r="C1485" s="6"/>
      <c r="D1485" s="6"/>
    </row>
    <row r="1486" spans="1:4" ht="13" thickBot="1" x14ac:dyDescent="0.3">
      <c r="A1486" s="9">
        <f ca="1"/>
        <v>38376</v>
      </c>
      <c r="B1486" s="6">
        <v>39.89</v>
      </c>
      <c r="C1486" s="6"/>
      <c r="D1486" s="6"/>
    </row>
    <row r="1487" spans="1:4" ht="13" thickBot="1" x14ac:dyDescent="0.3">
      <c r="A1487" s="9">
        <f ca="1"/>
        <v>38377</v>
      </c>
      <c r="B1487" s="6">
        <v>40.380000000000003</v>
      </c>
      <c r="C1487" s="6"/>
      <c r="D1487" s="6"/>
    </row>
    <row r="1488" spans="1:4" ht="13" thickBot="1" x14ac:dyDescent="0.3">
      <c r="A1488" s="9">
        <f ca="1"/>
        <v>38378</v>
      </c>
      <c r="B1488" s="6">
        <v>39.89</v>
      </c>
      <c r="C1488" s="6"/>
      <c r="D1488" s="6"/>
    </row>
    <row r="1489" spans="1:4" ht="13" thickBot="1" x14ac:dyDescent="0.3">
      <c r="A1489" s="9">
        <f ca="1"/>
        <v>38379</v>
      </c>
      <c r="B1489" s="6">
        <v>39.119999999999997</v>
      </c>
      <c r="C1489" s="6"/>
      <c r="D1489" s="6"/>
    </row>
    <row r="1490" spans="1:4" ht="13" thickBot="1" x14ac:dyDescent="0.3">
      <c r="A1490" s="9">
        <f ca="1"/>
        <v>38380</v>
      </c>
      <c r="B1490" s="6">
        <v>38.85</v>
      </c>
      <c r="C1490" s="6"/>
      <c r="D1490" s="6"/>
    </row>
    <row r="1491" spans="1:4" ht="13" thickBot="1" x14ac:dyDescent="0.3">
      <c r="A1491" s="9">
        <f ca="1"/>
        <v>38381</v>
      </c>
      <c r="B1491" s="5">
        <f t="shared" ref="B1491:B1492" si="212">B1490</f>
        <v>38.85</v>
      </c>
      <c r="C1491" s="6"/>
      <c r="D1491" s="6"/>
    </row>
    <row r="1492" spans="1:4" ht="13" thickBot="1" x14ac:dyDescent="0.3">
      <c r="A1492" s="9">
        <f ca="1"/>
        <v>38382</v>
      </c>
      <c r="B1492" s="5">
        <f t="shared" si="212"/>
        <v>38.85</v>
      </c>
      <c r="C1492" s="6"/>
      <c r="D1492" s="6"/>
    </row>
    <row r="1493" spans="1:4" ht="13" thickBot="1" x14ac:dyDescent="0.3">
      <c r="A1493" s="9">
        <f ca="1"/>
        <v>38383</v>
      </c>
      <c r="B1493" s="6">
        <v>39</v>
      </c>
      <c r="C1493" s="6"/>
      <c r="D1493" s="6"/>
    </row>
    <row r="1494" spans="1:4" ht="13" thickBot="1" x14ac:dyDescent="0.3">
      <c r="A1494" s="9">
        <f ca="1"/>
        <v>38384</v>
      </c>
      <c r="B1494" s="6">
        <v>38.520000000000003</v>
      </c>
      <c r="C1494" s="6"/>
      <c r="D1494" s="6"/>
    </row>
    <row r="1495" spans="1:4" ht="13" thickBot="1" x14ac:dyDescent="0.3">
      <c r="A1495" s="9">
        <f ca="1"/>
        <v>38385</v>
      </c>
      <c r="B1495" s="6">
        <v>38.94</v>
      </c>
      <c r="C1495" s="6"/>
      <c r="D1495" s="6"/>
    </row>
    <row r="1496" spans="1:4" ht="13" thickBot="1" x14ac:dyDescent="0.3">
      <c r="A1496" s="9">
        <f ca="1"/>
        <v>38386</v>
      </c>
      <c r="B1496" s="6">
        <v>38.51</v>
      </c>
      <c r="C1496" s="6"/>
      <c r="D1496" s="6"/>
    </row>
    <row r="1497" spans="1:4" ht="13" thickBot="1" x14ac:dyDescent="0.3">
      <c r="A1497" s="9">
        <f ca="1"/>
        <v>38387</v>
      </c>
      <c r="B1497" s="6">
        <v>38.94</v>
      </c>
      <c r="C1497" s="6"/>
      <c r="D1497" s="6"/>
    </row>
    <row r="1498" spans="1:4" ht="13" thickBot="1" x14ac:dyDescent="0.3">
      <c r="A1498" s="9">
        <f ca="1"/>
        <v>38388</v>
      </c>
      <c r="B1498" s="5">
        <f t="shared" ref="B1498:B1499" si="213">B1497</f>
        <v>38.94</v>
      </c>
      <c r="C1498" s="6"/>
      <c r="D1498" s="6"/>
    </row>
    <row r="1499" spans="1:4" ht="13" thickBot="1" x14ac:dyDescent="0.3">
      <c r="A1499" s="9">
        <f ca="1"/>
        <v>38389</v>
      </c>
      <c r="B1499" s="5">
        <f t="shared" si="213"/>
        <v>38.94</v>
      </c>
      <c r="C1499" s="6"/>
      <c r="D1499" s="6"/>
    </row>
    <row r="1500" spans="1:4" ht="13" thickBot="1" x14ac:dyDescent="0.3">
      <c r="A1500" s="9">
        <f ca="1"/>
        <v>38390</v>
      </c>
      <c r="B1500" s="6">
        <v>39.49</v>
      </c>
      <c r="C1500" s="6"/>
      <c r="D1500" s="6"/>
    </row>
    <row r="1501" spans="1:4" ht="13" thickBot="1" x14ac:dyDescent="0.3">
      <c r="A1501" s="9">
        <f ca="1"/>
        <v>38391</v>
      </c>
      <c r="B1501" s="6">
        <v>39.18</v>
      </c>
      <c r="C1501" s="6"/>
      <c r="D1501" s="6"/>
    </row>
    <row r="1502" spans="1:4" ht="13" thickBot="1" x14ac:dyDescent="0.3">
      <c r="A1502" s="9">
        <f ca="1"/>
        <v>38392</v>
      </c>
      <c r="B1502" s="6">
        <v>39.6</v>
      </c>
      <c r="C1502" s="6"/>
      <c r="D1502" s="6"/>
    </row>
    <row r="1503" spans="1:4" ht="13" thickBot="1" x14ac:dyDescent="0.3">
      <c r="A1503" s="9">
        <f ca="1"/>
        <v>38393</v>
      </c>
      <c r="B1503" s="6">
        <v>39.51</v>
      </c>
      <c r="C1503" s="6"/>
      <c r="D1503" s="6"/>
    </row>
    <row r="1504" spans="1:4" ht="13" thickBot="1" x14ac:dyDescent="0.3">
      <c r="A1504" s="9">
        <f ca="1"/>
        <v>38394</v>
      </c>
      <c r="B1504" s="6">
        <v>39.46</v>
      </c>
      <c r="C1504" s="6"/>
      <c r="D1504" s="6"/>
    </row>
    <row r="1505" spans="1:4" ht="13" thickBot="1" x14ac:dyDescent="0.3">
      <c r="A1505" s="9">
        <f ca="1"/>
        <v>38395</v>
      </c>
      <c r="B1505" s="5">
        <f t="shared" ref="B1505:B1506" si="214">B1504</f>
        <v>39.46</v>
      </c>
      <c r="C1505" s="6"/>
      <c r="D1505" s="6"/>
    </row>
    <row r="1506" spans="1:4" ht="13" thickBot="1" x14ac:dyDescent="0.3">
      <c r="A1506" s="9">
        <f ca="1"/>
        <v>38396</v>
      </c>
      <c r="B1506" s="5">
        <f t="shared" si="214"/>
        <v>39.46</v>
      </c>
      <c r="C1506" s="6"/>
      <c r="D1506" s="6"/>
    </row>
    <row r="1507" spans="1:4" ht="13" thickBot="1" x14ac:dyDescent="0.3">
      <c r="A1507" s="9">
        <f ca="1"/>
        <v>38397</v>
      </c>
      <c r="B1507" s="6">
        <v>40.369999999999997</v>
      </c>
      <c r="C1507" s="6"/>
      <c r="D1507" s="6"/>
    </row>
    <row r="1508" spans="1:4" ht="13" thickBot="1" x14ac:dyDescent="0.3">
      <c r="A1508" s="9">
        <f ca="1"/>
        <v>38398</v>
      </c>
      <c r="B1508" s="6">
        <v>40.51</v>
      </c>
      <c r="C1508" s="6"/>
      <c r="D1508" s="6"/>
    </row>
    <row r="1509" spans="1:4" ht="13" thickBot="1" x14ac:dyDescent="0.3">
      <c r="A1509" s="9">
        <f ca="1"/>
        <v>38399</v>
      </c>
      <c r="B1509" s="6">
        <v>40.200000000000003</v>
      </c>
      <c r="C1509" s="6"/>
      <c r="D1509" s="6"/>
    </row>
    <row r="1510" spans="1:4" ht="13" thickBot="1" x14ac:dyDescent="0.3">
      <c r="A1510" s="9">
        <f ca="1"/>
        <v>38400</v>
      </c>
      <c r="B1510" s="6">
        <v>40.44</v>
      </c>
      <c r="C1510" s="6"/>
      <c r="D1510" s="6"/>
    </row>
    <row r="1511" spans="1:4" ht="13" thickBot="1" x14ac:dyDescent="0.3">
      <c r="A1511" s="9">
        <f ca="1"/>
        <v>38401</v>
      </c>
      <c r="B1511" s="6">
        <v>39.75</v>
      </c>
      <c r="C1511" s="6"/>
      <c r="D1511" s="6"/>
    </row>
    <row r="1512" spans="1:4" ht="13" thickBot="1" x14ac:dyDescent="0.3">
      <c r="A1512" s="9">
        <f ca="1"/>
        <v>38402</v>
      </c>
      <c r="B1512" s="5">
        <f t="shared" ref="B1512:B1514" si="215">B1511</f>
        <v>39.75</v>
      </c>
      <c r="C1512" s="6"/>
      <c r="D1512" s="6"/>
    </row>
    <row r="1513" spans="1:4" ht="13" thickBot="1" x14ac:dyDescent="0.3">
      <c r="A1513" s="9">
        <f ca="1"/>
        <v>38403</v>
      </c>
      <c r="B1513" s="5">
        <f t="shared" si="215"/>
        <v>39.75</v>
      </c>
      <c r="C1513" s="6"/>
      <c r="D1513" s="6"/>
    </row>
    <row r="1514" spans="1:4" ht="13" thickBot="1" x14ac:dyDescent="0.3">
      <c r="A1514" s="9">
        <f ca="1"/>
        <v>38404</v>
      </c>
      <c r="B1514" s="5">
        <f t="shared" si="215"/>
        <v>39.75</v>
      </c>
      <c r="C1514" s="6"/>
      <c r="D1514" s="6"/>
    </row>
    <row r="1515" spans="1:4" ht="13" thickBot="1" x14ac:dyDescent="0.3">
      <c r="A1515" s="9">
        <f ca="1"/>
        <v>38405</v>
      </c>
      <c r="B1515" s="6">
        <v>40.26</v>
      </c>
      <c r="C1515" s="6"/>
      <c r="D1515" s="6"/>
    </row>
    <row r="1516" spans="1:4" ht="13" thickBot="1" x14ac:dyDescent="0.3">
      <c r="A1516" s="9">
        <f ca="1"/>
        <v>38406</v>
      </c>
      <c r="B1516" s="6">
        <v>39.979999999999997</v>
      </c>
      <c r="C1516" s="6"/>
      <c r="D1516" s="6"/>
    </row>
    <row r="1517" spans="1:4" ht="13" thickBot="1" x14ac:dyDescent="0.3">
      <c r="A1517" s="9">
        <f ca="1"/>
        <v>38407</v>
      </c>
      <c r="B1517" s="6">
        <v>40.24</v>
      </c>
      <c r="C1517" s="6"/>
      <c r="D1517" s="6"/>
    </row>
    <row r="1518" spans="1:4" ht="13" thickBot="1" x14ac:dyDescent="0.3">
      <c r="A1518" s="9">
        <f ca="1"/>
        <v>38408</v>
      </c>
      <c r="B1518" s="6">
        <v>40.61</v>
      </c>
      <c r="C1518" s="6"/>
      <c r="D1518" s="6"/>
    </row>
    <row r="1519" spans="1:4" ht="13" thickBot="1" x14ac:dyDescent="0.3">
      <c r="A1519" s="9">
        <f ca="1"/>
        <v>38409</v>
      </c>
      <c r="B1519" s="5">
        <f t="shared" ref="B1519:B1520" si="216">B1518</f>
        <v>40.61</v>
      </c>
      <c r="C1519" s="6"/>
      <c r="D1519" s="6"/>
    </row>
    <row r="1520" spans="1:4" ht="13" thickBot="1" x14ac:dyDescent="0.3">
      <c r="A1520" s="9">
        <f ca="1"/>
        <v>38410</v>
      </c>
      <c r="B1520" s="5">
        <f t="shared" si="216"/>
        <v>40.61</v>
      </c>
      <c r="C1520" s="6"/>
      <c r="D1520" s="6"/>
    </row>
    <row r="1521" spans="1:4" ht="13" thickBot="1" x14ac:dyDescent="0.3">
      <c r="A1521" s="9">
        <f ca="1"/>
        <v>38411</v>
      </c>
      <c r="B1521" s="6">
        <v>40.85</v>
      </c>
      <c r="C1521" s="6"/>
      <c r="D1521" s="6"/>
    </row>
    <row r="1522" spans="1:4" ht="13" thickBot="1" x14ac:dyDescent="0.3">
      <c r="A1522" s="9">
        <f ca="1"/>
        <v>38412</v>
      </c>
      <c r="B1522" s="6">
        <v>40.68</v>
      </c>
      <c r="C1522" s="6"/>
      <c r="D1522" s="6"/>
    </row>
    <row r="1523" spans="1:4" ht="13" thickBot="1" x14ac:dyDescent="0.3">
      <c r="A1523" s="9">
        <f ca="1"/>
        <v>38413</v>
      </c>
      <c r="B1523" s="6">
        <v>40.08</v>
      </c>
      <c r="C1523" s="6"/>
      <c r="D1523" s="6"/>
    </row>
    <row r="1524" spans="1:4" ht="13" thickBot="1" x14ac:dyDescent="0.3">
      <c r="A1524" s="9">
        <f ca="1"/>
        <v>38414</v>
      </c>
      <c r="B1524" s="6">
        <v>40.39</v>
      </c>
      <c r="C1524" s="6"/>
      <c r="D1524" s="6"/>
    </row>
    <row r="1525" spans="1:4" ht="13" thickBot="1" x14ac:dyDescent="0.3">
      <c r="A1525" s="9">
        <f ca="1"/>
        <v>38415</v>
      </c>
      <c r="B1525" s="6">
        <v>40.56</v>
      </c>
      <c r="C1525" s="6"/>
      <c r="D1525" s="6"/>
    </row>
    <row r="1526" spans="1:4" ht="13" thickBot="1" x14ac:dyDescent="0.3">
      <c r="A1526" s="9">
        <f ca="1"/>
        <v>38416</v>
      </c>
      <c r="B1526" s="5">
        <f t="shared" ref="B1526:B1527" si="217">B1525</f>
        <v>40.56</v>
      </c>
      <c r="C1526" s="6"/>
      <c r="D1526" s="6"/>
    </row>
    <row r="1527" spans="1:4" ht="13" thickBot="1" x14ac:dyDescent="0.3">
      <c r="A1527" s="9">
        <f ca="1"/>
        <v>38417</v>
      </c>
      <c r="B1527" s="5">
        <f t="shared" si="217"/>
        <v>40.56</v>
      </c>
      <c r="C1527" s="6"/>
      <c r="D1527" s="6"/>
    </row>
    <row r="1528" spans="1:4" ht="13" thickBot="1" x14ac:dyDescent="0.3">
      <c r="A1528" s="9">
        <f ca="1"/>
        <v>38418</v>
      </c>
      <c r="B1528" s="6">
        <v>40.409999999999997</v>
      </c>
      <c r="C1528" s="6"/>
      <c r="D1528" s="6"/>
    </row>
    <row r="1529" spans="1:4" ht="13" thickBot="1" x14ac:dyDescent="0.3">
      <c r="A1529" s="9">
        <f ca="1"/>
        <v>38419</v>
      </c>
      <c r="B1529" s="6">
        <v>41.13</v>
      </c>
      <c r="C1529" s="6"/>
      <c r="D1529" s="6"/>
    </row>
    <row r="1530" spans="1:4" ht="13" thickBot="1" x14ac:dyDescent="0.3">
      <c r="A1530" s="9">
        <f ca="1"/>
        <v>38420</v>
      </c>
      <c r="B1530" s="6">
        <v>40.869999999999997</v>
      </c>
      <c r="C1530" s="6"/>
      <c r="D1530" s="6"/>
    </row>
    <row r="1531" spans="1:4" ht="13" thickBot="1" x14ac:dyDescent="0.3">
      <c r="A1531" s="9">
        <f ca="1"/>
        <v>38421</v>
      </c>
      <c r="B1531" s="6">
        <v>41.08</v>
      </c>
      <c r="C1531" s="6"/>
      <c r="D1531" s="6"/>
    </row>
    <row r="1532" spans="1:4" ht="13" thickBot="1" x14ac:dyDescent="0.3">
      <c r="A1532" s="9">
        <f ca="1"/>
        <v>38422</v>
      </c>
      <c r="B1532" s="6">
        <v>41.11</v>
      </c>
      <c r="C1532" s="6"/>
      <c r="D1532" s="6"/>
    </row>
    <row r="1533" spans="1:4" ht="13" thickBot="1" x14ac:dyDescent="0.3">
      <c r="A1533" s="9">
        <f ca="1"/>
        <v>38423</v>
      </c>
      <c r="B1533" s="5">
        <f t="shared" ref="B1533:B1534" si="218">B1532</f>
        <v>41.11</v>
      </c>
      <c r="C1533" s="6"/>
      <c r="D1533" s="6"/>
    </row>
    <row r="1534" spans="1:4" ht="13" thickBot="1" x14ac:dyDescent="0.3">
      <c r="A1534" s="9">
        <f ca="1"/>
        <v>38424</v>
      </c>
      <c r="B1534" s="5">
        <f t="shared" si="218"/>
        <v>41.11</v>
      </c>
      <c r="C1534" s="6"/>
      <c r="D1534" s="6"/>
    </row>
    <row r="1535" spans="1:4" ht="13" thickBot="1" x14ac:dyDescent="0.3">
      <c r="A1535" s="9">
        <f ca="1"/>
        <v>38425</v>
      </c>
      <c r="B1535" s="6">
        <v>40.82</v>
      </c>
      <c r="C1535" s="6"/>
      <c r="D1535" s="6"/>
    </row>
    <row r="1536" spans="1:4" ht="13" thickBot="1" x14ac:dyDescent="0.3">
      <c r="A1536" s="9">
        <f ca="1"/>
        <v>38426</v>
      </c>
      <c r="B1536" s="6">
        <v>40.950000000000003</v>
      </c>
      <c r="C1536" s="6"/>
      <c r="D1536" s="6"/>
    </row>
    <row r="1537" spans="1:4" ht="13" thickBot="1" x14ac:dyDescent="0.3">
      <c r="A1537" s="9">
        <f ca="1"/>
        <v>38427</v>
      </c>
      <c r="B1537" s="6">
        <v>40.54</v>
      </c>
      <c r="C1537" s="6"/>
      <c r="D1537" s="6"/>
    </row>
    <row r="1538" spans="1:4" ht="13" thickBot="1" x14ac:dyDescent="0.3">
      <c r="A1538" s="9">
        <f ca="1"/>
        <v>38428</v>
      </c>
      <c r="B1538" s="6">
        <v>40.35</v>
      </c>
      <c r="C1538" s="6"/>
      <c r="D1538" s="6"/>
    </row>
    <row r="1539" spans="1:4" ht="13" thickBot="1" x14ac:dyDescent="0.3">
      <c r="A1539" s="9">
        <f ca="1"/>
        <v>38429</v>
      </c>
      <c r="B1539" s="6">
        <v>40.25</v>
      </c>
      <c r="C1539" s="6"/>
      <c r="D1539" s="6"/>
    </row>
    <row r="1540" spans="1:4" ht="13" thickBot="1" x14ac:dyDescent="0.3">
      <c r="A1540" s="9">
        <f ca="1"/>
        <v>38430</v>
      </c>
      <c r="B1540" s="5">
        <f t="shared" ref="B1540:B1541" si="219">B1539</f>
        <v>40.25</v>
      </c>
      <c r="C1540" s="6"/>
      <c r="D1540" s="6"/>
    </row>
    <row r="1541" spans="1:4" ht="13" thickBot="1" x14ac:dyDescent="0.3">
      <c r="A1541" s="9">
        <f ca="1"/>
        <v>38431</v>
      </c>
      <c r="B1541" s="5">
        <f t="shared" si="219"/>
        <v>40.25</v>
      </c>
      <c r="C1541" s="6"/>
      <c r="D1541" s="6"/>
    </row>
    <row r="1542" spans="1:4" ht="13" thickBot="1" x14ac:dyDescent="0.3">
      <c r="A1542" s="9">
        <f ca="1"/>
        <v>38432</v>
      </c>
      <c r="B1542" s="6">
        <v>39.9</v>
      </c>
      <c r="C1542" s="6"/>
      <c r="D1542" s="6"/>
    </row>
    <row r="1543" spans="1:4" ht="13" thickBot="1" x14ac:dyDescent="0.3">
      <c r="A1543" s="9">
        <f ca="1"/>
        <v>38433</v>
      </c>
      <c r="B1543" s="6">
        <v>39.729999999999997</v>
      </c>
      <c r="C1543" s="6"/>
      <c r="D1543" s="6"/>
    </row>
    <row r="1544" spans="1:4" ht="13" thickBot="1" x14ac:dyDescent="0.3">
      <c r="A1544" s="9">
        <f ca="1"/>
        <v>38434</v>
      </c>
      <c r="B1544" s="6">
        <v>39.39</v>
      </c>
      <c r="C1544" s="6"/>
      <c r="D1544" s="6"/>
    </row>
    <row r="1545" spans="1:4" ht="13" thickBot="1" x14ac:dyDescent="0.3">
      <c r="A1545" s="9">
        <f ca="1"/>
        <v>38435</v>
      </c>
      <c r="B1545" s="6">
        <v>40.14</v>
      </c>
      <c r="C1545" s="6"/>
      <c r="D1545" s="6"/>
    </row>
    <row r="1546" spans="1:4" ht="13" thickBot="1" x14ac:dyDescent="0.3">
      <c r="A1546" s="9">
        <f ca="1"/>
        <v>38436</v>
      </c>
      <c r="B1546" s="5">
        <f t="shared" ref="B1546:B1548" si="220">B1545</f>
        <v>40.14</v>
      </c>
      <c r="C1546" s="6"/>
      <c r="D1546" s="6"/>
    </row>
    <row r="1547" spans="1:4" ht="13" thickBot="1" x14ac:dyDescent="0.3">
      <c r="A1547" s="9">
        <f ca="1"/>
        <v>38437</v>
      </c>
      <c r="B1547" s="5">
        <f t="shared" si="220"/>
        <v>40.14</v>
      </c>
      <c r="C1547" s="6"/>
      <c r="D1547" s="6"/>
    </row>
    <row r="1548" spans="1:4" ht="13" thickBot="1" x14ac:dyDescent="0.3">
      <c r="A1548" s="9">
        <f ca="1"/>
        <v>38438</v>
      </c>
      <c r="B1548" s="5">
        <f t="shared" si="220"/>
        <v>40.14</v>
      </c>
      <c r="C1548" s="6"/>
      <c r="D1548" s="6"/>
    </row>
    <row r="1549" spans="1:4" ht="13" thickBot="1" x14ac:dyDescent="0.3">
      <c r="A1549" s="9">
        <f ca="1"/>
        <v>38439</v>
      </c>
      <c r="B1549" s="6">
        <v>39.9</v>
      </c>
      <c r="C1549" s="6"/>
      <c r="D1549" s="6"/>
    </row>
    <row r="1550" spans="1:4" ht="13" thickBot="1" x14ac:dyDescent="0.3">
      <c r="A1550" s="9">
        <f ca="1"/>
        <v>38440</v>
      </c>
      <c r="B1550" s="6">
        <v>39.71</v>
      </c>
      <c r="C1550" s="6"/>
      <c r="D1550" s="6"/>
    </row>
    <row r="1551" spans="1:4" ht="13" thickBot="1" x14ac:dyDescent="0.3">
      <c r="A1551" s="9">
        <f ca="1"/>
        <v>38441</v>
      </c>
      <c r="B1551" s="6">
        <v>39.909999999999997</v>
      </c>
      <c r="C1551" s="6"/>
      <c r="D1551" s="6"/>
    </row>
    <row r="1552" spans="1:4" ht="13" thickBot="1" x14ac:dyDescent="0.3">
      <c r="A1552" s="9">
        <f ca="1"/>
        <v>38442</v>
      </c>
      <c r="B1552" s="6">
        <v>40.53</v>
      </c>
      <c r="C1552" s="6"/>
      <c r="D1552" s="6"/>
    </row>
    <row r="1553" spans="1:4" ht="13" thickBot="1" x14ac:dyDescent="0.3">
      <c r="A1553" s="9">
        <f ca="1"/>
        <v>38443</v>
      </c>
      <c r="B1553" s="6">
        <v>40.369999999999997</v>
      </c>
      <c r="C1553" s="6"/>
      <c r="D1553" s="6"/>
    </row>
    <row r="1554" spans="1:4" ht="13" thickBot="1" x14ac:dyDescent="0.3">
      <c r="A1554" s="9">
        <f ca="1"/>
        <v>38444</v>
      </c>
      <c r="B1554" s="5">
        <f t="shared" ref="B1554:B1555" si="221">B1553</f>
        <v>40.369999999999997</v>
      </c>
      <c r="C1554" s="6"/>
      <c r="D1554" s="6"/>
    </row>
    <row r="1555" spans="1:4" ht="13" thickBot="1" x14ac:dyDescent="0.3">
      <c r="A1555" s="9">
        <f ca="1"/>
        <v>38445</v>
      </c>
      <c r="B1555" s="5">
        <f t="shared" si="221"/>
        <v>40.369999999999997</v>
      </c>
      <c r="C1555" s="6"/>
      <c r="D1555" s="6"/>
    </row>
    <row r="1556" spans="1:4" ht="13" thickBot="1" x14ac:dyDescent="0.3">
      <c r="A1556" s="9">
        <f ca="1"/>
        <v>38446</v>
      </c>
      <c r="B1556" s="6">
        <v>39.24</v>
      </c>
      <c r="C1556" s="6"/>
      <c r="D1556" s="6"/>
    </row>
    <row r="1557" spans="1:4" ht="13" thickBot="1" x14ac:dyDescent="0.3">
      <c r="A1557" s="9">
        <f ca="1"/>
        <v>38447</v>
      </c>
      <c r="B1557" s="6">
        <v>39.35</v>
      </c>
      <c r="C1557" s="6"/>
      <c r="D1557" s="6"/>
    </row>
    <row r="1558" spans="1:4" ht="13" thickBot="1" x14ac:dyDescent="0.3">
      <c r="A1558" s="9">
        <f ca="1"/>
        <v>38448</v>
      </c>
      <c r="B1558" s="6">
        <v>38.909999999999997</v>
      </c>
      <c r="C1558" s="6"/>
      <c r="D1558" s="6"/>
    </row>
    <row r="1559" spans="1:4" ht="13" thickBot="1" x14ac:dyDescent="0.3">
      <c r="A1559" s="9">
        <f ca="1"/>
        <v>38449</v>
      </c>
      <c r="B1559" s="6">
        <v>39.04</v>
      </c>
      <c r="C1559" s="6"/>
      <c r="D1559" s="6"/>
    </row>
    <row r="1560" spans="1:4" ht="13" thickBot="1" x14ac:dyDescent="0.3">
      <c r="A1560" s="9">
        <f ca="1"/>
        <v>38450</v>
      </c>
      <c r="B1560" s="6">
        <v>38.72</v>
      </c>
      <c r="C1560" s="6"/>
      <c r="D1560" s="6"/>
    </row>
    <row r="1561" spans="1:4" ht="13" thickBot="1" x14ac:dyDescent="0.3">
      <c r="A1561" s="9">
        <f ca="1"/>
        <v>38451</v>
      </c>
      <c r="B1561" s="5">
        <f t="shared" ref="B1561:B1562" si="222">B1560</f>
        <v>38.72</v>
      </c>
      <c r="C1561" s="6"/>
      <c r="D1561" s="6"/>
    </row>
    <row r="1562" spans="1:4" ht="13" thickBot="1" x14ac:dyDescent="0.3">
      <c r="A1562" s="9">
        <f ca="1"/>
        <v>38452</v>
      </c>
      <c r="B1562" s="5">
        <f t="shared" si="222"/>
        <v>38.72</v>
      </c>
      <c r="C1562" s="6"/>
      <c r="D1562" s="6"/>
    </row>
    <row r="1563" spans="1:4" ht="13" thickBot="1" x14ac:dyDescent="0.3">
      <c r="A1563" s="9">
        <f ca="1"/>
        <v>38453</v>
      </c>
      <c r="B1563" s="6">
        <v>39.24</v>
      </c>
      <c r="C1563" s="6"/>
      <c r="D1563" s="6"/>
    </row>
    <row r="1564" spans="1:4" ht="13" thickBot="1" x14ac:dyDescent="0.3">
      <c r="A1564" s="9">
        <f ca="1"/>
        <v>38454</v>
      </c>
      <c r="B1564" s="6">
        <v>38.83</v>
      </c>
      <c r="C1564" s="6"/>
      <c r="D1564" s="6"/>
    </row>
    <row r="1565" spans="1:4" ht="13" thickBot="1" x14ac:dyDescent="0.3">
      <c r="A1565" s="9">
        <f ca="1"/>
        <v>38455</v>
      </c>
      <c r="B1565" s="6">
        <v>39</v>
      </c>
      <c r="C1565" s="6"/>
      <c r="D1565" s="6"/>
    </row>
    <row r="1566" spans="1:4" ht="13" thickBot="1" x14ac:dyDescent="0.3">
      <c r="A1566" s="9">
        <f ca="1"/>
        <v>38456</v>
      </c>
      <c r="B1566" s="6">
        <v>38.4</v>
      </c>
      <c r="C1566" s="6"/>
      <c r="D1566" s="6"/>
    </row>
    <row r="1567" spans="1:4" ht="13" thickBot="1" x14ac:dyDescent="0.3">
      <c r="A1567" s="9">
        <f ca="1"/>
        <v>38457</v>
      </c>
      <c r="B1567" s="6">
        <v>37.68</v>
      </c>
      <c r="C1567" s="6"/>
      <c r="D1567" s="6"/>
    </row>
    <row r="1568" spans="1:4" ht="13" thickBot="1" x14ac:dyDescent="0.3">
      <c r="A1568" s="9">
        <f ca="1"/>
        <v>38458</v>
      </c>
      <c r="B1568" s="5">
        <f t="shared" ref="B1568:B1569" si="223">B1567</f>
        <v>37.68</v>
      </c>
      <c r="C1568" s="6"/>
      <c r="D1568" s="6"/>
    </row>
    <row r="1569" spans="1:4" ht="13" thickBot="1" x14ac:dyDescent="0.3">
      <c r="A1569" s="9">
        <f ca="1"/>
        <v>38459</v>
      </c>
      <c r="B1569" s="5">
        <f t="shared" si="223"/>
        <v>37.68</v>
      </c>
      <c r="C1569" s="6"/>
      <c r="D1569" s="6"/>
    </row>
    <row r="1570" spans="1:4" ht="13" thickBot="1" x14ac:dyDescent="0.3">
      <c r="A1570" s="9">
        <f ca="1"/>
        <v>38460</v>
      </c>
      <c r="B1570" s="6">
        <v>36.82</v>
      </c>
      <c r="C1570" s="6"/>
      <c r="D1570" s="6"/>
    </row>
    <row r="1571" spans="1:4" ht="13" thickBot="1" x14ac:dyDescent="0.3">
      <c r="A1571" s="9">
        <f ca="1"/>
        <v>38461</v>
      </c>
      <c r="B1571" s="6">
        <v>37.549999999999997</v>
      </c>
      <c r="C1571" s="6"/>
      <c r="D1571" s="6"/>
    </row>
    <row r="1572" spans="1:4" ht="13" thickBot="1" x14ac:dyDescent="0.3">
      <c r="A1572" s="9">
        <f ca="1"/>
        <v>38462</v>
      </c>
      <c r="B1572" s="6">
        <v>37.92</v>
      </c>
      <c r="C1572" s="6"/>
      <c r="D1572" s="6"/>
    </row>
    <row r="1573" spans="1:4" ht="13" thickBot="1" x14ac:dyDescent="0.3">
      <c r="A1573" s="9">
        <f ca="1"/>
        <v>38463</v>
      </c>
      <c r="B1573" s="6">
        <v>39.450000000000003</v>
      </c>
      <c r="C1573" s="6"/>
      <c r="D1573" s="6"/>
    </row>
    <row r="1574" spans="1:4" ht="13" thickBot="1" x14ac:dyDescent="0.3">
      <c r="A1574" s="9">
        <f ca="1"/>
        <v>38464</v>
      </c>
      <c r="B1574" s="6">
        <v>39.83</v>
      </c>
      <c r="C1574" s="6"/>
      <c r="D1574" s="6"/>
    </row>
    <row r="1575" spans="1:4" ht="13" thickBot="1" x14ac:dyDescent="0.3">
      <c r="A1575" s="9">
        <f ca="1"/>
        <v>38465</v>
      </c>
      <c r="B1575" s="5">
        <f t="shared" ref="B1575:B1576" si="224">B1574</f>
        <v>39.83</v>
      </c>
      <c r="C1575" s="6"/>
      <c r="D1575" s="6"/>
    </row>
    <row r="1576" spans="1:4" ht="13" thickBot="1" x14ac:dyDescent="0.3">
      <c r="A1576" s="9">
        <f ca="1"/>
        <v>38466</v>
      </c>
      <c r="B1576" s="5">
        <f t="shared" si="224"/>
        <v>39.83</v>
      </c>
      <c r="C1576" s="6"/>
      <c r="D1576" s="6"/>
    </row>
    <row r="1577" spans="1:4" ht="13" thickBot="1" x14ac:dyDescent="0.3">
      <c r="A1577" s="9">
        <f ca="1"/>
        <v>38467</v>
      </c>
      <c r="B1577" s="6">
        <v>39.700000000000003</v>
      </c>
      <c r="C1577" s="6"/>
      <c r="D1577" s="6"/>
    </row>
    <row r="1578" spans="1:4" ht="13" thickBot="1" x14ac:dyDescent="0.3">
      <c r="A1578" s="9">
        <f ca="1"/>
        <v>38468</v>
      </c>
      <c r="B1578" s="6">
        <v>39.58</v>
      </c>
      <c r="C1578" s="6"/>
      <c r="D1578" s="6"/>
    </row>
    <row r="1579" spans="1:4" ht="13" thickBot="1" x14ac:dyDescent="0.3">
      <c r="A1579" s="9">
        <f ca="1"/>
        <v>38469</v>
      </c>
      <c r="B1579" s="6">
        <v>39.340000000000003</v>
      </c>
      <c r="C1579" s="6"/>
      <c r="D1579" s="6"/>
    </row>
    <row r="1580" spans="1:4" ht="13" thickBot="1" x14ac:dyDescent="0.3">
      <c r="A1580" s="9">
        <f ca="1"/>
        <v>38470</v>
      </c>
      <c r="B1580" s="6">
        <v>39.340000000000003</v>
      </c>
      <c r="C1580" s="6"/>
      <c r="D1580" s="6"/>
    </row>
    <row r="1581" spans="1:4" ht="13" thickBot="1" x14ac:dyDescent="0.3">
      <c r="A1581" s="9">
        <f ca="1"/>
        <v>38471</v>
      </c>
      <c r="B1581" s="6">
        <v>39.619999999999997</v>
      </c>
      <c r="C1581" s="6"/>
      <c r="D1581" s="6"/>
    </row>
    <row r="1582" spans="1:4" ht="13" thickBot="1" x14ac:dyDescent="0.3">
      <c r="A1582" s="9">
        <f ca="1"/>
        <v>38472</v>
      </c>
      <c r="B1582" s="5">
        <f t="shared" ref="B1582:B1583" si="225">B1581</f>
        <v>39.619999999999997</v>
      </c>
      <c r="C1582" s="6"/>
      <c r="D1582" s="6"/>
    </row>
    <row r="1583" spans="1:4" ht="13" thickBot="1" x14ac:dyDescent="0.3">
      <c r="A1583" s="9">
        <f ca="1"/>
        <v>38473</v>
      </c>
      <c r="B1583" s="5">
        <f t="shared" si="225"/>
        <v>39.619999999999997</v>
      </c>
      <c r="C1583" s="6"/>
      <c r="D1583" s="6"/>
    </row>
    <row r="1584" spans="1:4" ht="13" thickBot="1" x14ac:dyDescent="0.3">
      <c r="A1584" s="9">
        <f ca="1"/>
        <v>38474</v>
      </c>
      <c r="B1584" s="6">
        <v>39.4</v>
      </c>
      <c r="C1584" s="6"/>
      <c r="D1584" s="6"/>
    </row>
    <row r="1585" spans="1:4" ht="13" thickBot="1" x14ac:dyDescent="0.3">
      <c r="A1585" s="9">
        <f ca="1"/>
        <v>38475</v>
      </c>
      <c r="B1585" s="6">
        <v>39.57</v>
      </c>
      <c r="C1585" s="6"/>
      <c r="D1585" s="6"/>
    </row>
    <row r="1586" spans="1:4" ht="13" thickBot="1" x14ac:dyDescent="0.3">
      <c r="A1586" s="9">
        <f ca="1"/>
        <v>38476</v>
      </c>
      <c r="B1586" s="6">
        <v>39.94</v>
      </c>
      <c r="C1586" s="6"/>
      <c r="D1586" s="6"/>
    </row>
    <row r="1587" spans="1:4" ht="13" thickBot="1" x14ac:dyDescent="0.3">
      <c r="A1587" s="9">
        <f ca="1"/>
        <v>38477</v>
      </c>
      <c r="B1587" s="6">
        <v>40.79</v>
      </c>
      <c r="C1587" s="6"/>
      <c r="D1587" s="6"/>
    </row>
    <row r="1588" spans="1:4" ht="13" thickBot="1" x14ac:dyDescent="0.3">
      <c r="A1588" s="9">
        <f ca="1"/>
        <v>38478</v>
      </c>
      <c r="B1588" s="6">
        <v>41.05</v>
      </c>
      <c r="C1588" s="6"/>
      <c r="D1588" s="6"/>
    </row>
    <row r="1589" spans="1:4" ht="13" thickBot="1" x14ac:dyDescent="0.3">
      <c r="A1589" s="9">
        <f ca="1"/>
        <v>38479</v>
      </c>
      <c r="B1589" s="5">
        <f t="shared" ref="B1589:B1590" si="226">B1588</f>
        <v>41.05</v>
      </c>
      <c r="C1589" s="6"/>
      <c r="D1589" s="6"/>
    </row>
    <row r="1590" spans="1:4" ht="13" thickBot="1" x14ac:dyDescent="0.3">
      <c r="A1590" s="9">
        <f ca="1"/>
        <v>38480</v>
      </c>
      <c r="B1590" s="5">
        <f t="shared" si="226"/>
        <v>41.05</v>
      </c>
      <c r="C1590" s="6"/>
      <c r="D1590" s="6"/>
    </row>
    <row r="1591" spans="1:4" ht="13" thickBot="1" x14ac:dyDescent="0.3">
      <c r="A1591" s="9">
        <f ca="1"/>
        <v>38481</v>
      </c>
      <c r="B1591" s="6">
        <v>40.700000000000003</v>
      </c>
      <c r="C1591" s="6"/>
      <c r="D1591" s="6"/>
    </row>
    <row r="1592" spans="1:4" ht="13" thickBot="1" x14ac:dyDescent="0.3">
      <c r="A1592" s="9">
        <f ca="1"/>
        <v>38482</v>
      </c>
      <c r="B1592" s="6">
        <v>40.14</v>
      </c>
      <c r="C1592" s="6"/>
      <c r="D1592" s="6"/>
    </row>
    <row r="1593" spans="1:4" ht="13" thickBot="1" x14ac:dyDescent="0.3">
      <c r="A1593" s="9">
        <f ca="1"/>
        <v>38483</v>
      </c>
      <c r="B1593" s="6">
        <v>40.450000000000003</v>
      </c>
      <c r="C1593" s="6"/>
      <c r="D1593" s="6"/>
    </row>
    <row r="1594" spans="1:4" ht="13" thickBot="1" x14ac:dyDescent="0.3">
      <c r="A1594" s="9">
        <f ca="1"/>
        <v>38484</v>
      </c>
      <c r="B1594" s="6">
        <v>40.11</v>
      </c>
      <c r="C1594" s="6"/>
      <c r="D1594" s="6"/>
    </row>
    <row r="1595" spans="1:4" ht="13" thickBot="1" x14ac:dyDescent="0.3">
      <c r="A1595" s="9">
        <f ca="1"/>
        <v>38485</v>
      </c>
      <c r="B1595" s="6">
        <v>40.299999999999997</v>
      </c>
      <c r="C1595" s="6"/>
      <c r="D1595" s="6"/>
    </row>
    <row r="1596" spans="1:4" ht="13" thickBot="1" x14ac:dyDescent="0.3">
      <c r="A1596" s="9">
        <f ca="1"/>
        <v>38486</v>
      </c>
      <c r="B1596" s="5">
        <f t="shared" ref="B1596:B1597" si="227">B1595</f>
        <v>40.299999999999997</v>
      </c>
      <c r="C1596" s="6"/>
      <c r="D1596" s="6"/>
    </row>
    <row r="1597" spans="1:4" ht="13" thickBot="1" x14ac:dyDescent="0.3">
      <c r="A1597" s="9">
        <f ca="1"/>
        <v>38487</v>
      </c>
      <c r="B1597" s="5">
        <f t="shared" si="227"/>
        <v>40.299999999999997</v>
      </c>
      <c r="C1597" s="6"/>
      <c r="D1597" s="6"/>
    </row>
    <row r="1598" spans="1:4" ht="13" thickBot="1" x14ac:dyDescent="0.3">
      <c r="A1598" s="9">
        <f ca="1"/>
        <v>38488</v>
      </c>
      <c r="B1598" s="6">
        <v>40.770000000000003</v>
      </c>
      <c r="C1598" s="6"/>
      <c r="D1598" s="6"/>
    </row>
    <row r="1599" spans="1:4" ht="13" thickBot="1" x14ac:dyDescent="0.3">
      <c r="A1599" s="9">
        <f ca="1"/>
        <v>38489</v>
      </c>
      <c r="B1599" s="6">
        <v>40.83</v>
      </c>
      <c r="C1599" s="6"/>
      <c r="D1599" s="6"/>
    </row>
    <row r="1600" spans="1:4" ht="13" thickBot="1" x14ac:dyDescent="0.3">
      <c r="A1600" s="9">
        <f ca="1"/>
        <v>38490</v>
      </c>
      <c r="B1600" s="6">
        <v>41.11</v>
      </c>
      <c r="C1600" s="6"/>
      <c r="D1600" s="6"/>
    </row>
    <row r="1601" spans="1:4" ht="13" thickBot="1" x14ac:dyDescent="0.3">
      <c r="A1601" s="9">
        <f ca="1"/>
        <v>38491</v>
      </c>
      <c r="B1601" s="6">
        <v>41.48</v>
      </c>
      <c r="C1601" s="6"/>
      <c r="D1601" s="6"/>
    </row>
    <row r="1602" spans="1:4" ht="13" thickBot="1" x14ac:dyDescent="0.3">
      <c r="A1602" s="9">
        <f ca="1"/>
        <v>38492</v>
      </c>
      <c r="B1602" s="6">
        <v>41.59</v>
      </c>
      <c r="C1602" s="6"/>
      <c r="D1602" s="6"/>
    </row>
    <row r="1603" spans="1:4" ht="13" thickBot="1" x14ac:dyDescent="0.3">
      <c r="A1603" s="9">
        <f ca="1"/>
        <v>38493</v>
      </c>
      <c r="B1603" s="5">
        <f t="shared" ref="B1603:B1604" si="228">B1602</f>
        <v>41.59</v>
      </c>
      <c r="C1603" s="6"/>
      <c r="D1603" s="6"/>
    </row>
    <row r="1604" spans="1:4" ht="13" thickBot="1" x14ac:dyDescent="0.3">
      <c r="A1604" s="9">
        <f ca="1"/>
        <v>38494</v>
      </c>
      <c r="B1604" s="5">
        <f t="shared" si="228"/>
        <v>41.59</v>
      </c>
      <c r="C1604" s="6"/>
      <c r="D1604" s="6"/>
    </row>
    <row r="1605" spans="1:4" ht="13" thickBot="1" x14ac:dyDescent="0.3">
      <c r="A1605" s="9">
        <f ca="1"/>
        <v>38495</v>
      </c>
      <c r="B1605" s="6">
        <v>41.55</v>
      </c>
      <c r="C1605" s="6"/>
      <c r="D1605" s="6"/>
    </row>
    <row r="1606" spans="1:4" ht="13" thickBot="1" x14ac:dyDescent="0.3">
      <c r="A1606" s="9">
        <f ca="1"/>
        <v>38496</v>
      </c>
      <c r="B1606" s="6">
        <v>41.6</v>
      </c>
      <c r="C1606" s="6"/>
      <c r="D1606" s="6"/>
    </row>
    <row r="1607" spans="1:4" ht="13" thickBot="1" x14ac:dyDescent="0.3">
      <c r="A1607" s="9">
        <f ca="1"/>
        <v>38497</v>
      </c>
      <c r="B1607" s="6">
        <v>41.96</v>
      </c>
      <c r="C1607" s="6"/>
      <c r="D1607" s="6"/>
    </row>
    <row r="1608" spans="1:4" ht="13" thickBot="1" x14ac:dyDescent="0.3">
      <c r="A1608" s="9">
        <f ca="1"/>
        <v>38498</v>
      </c>
      <c r="B1608" s="6">
        <v>41.71</v>
      </c>
      <c r="C1608" s="6"/>
      <c r="D1608" s="6"/>
    </row>
    <row r="1609" spans="1:4" ht="13" thickBot="1" x14ac:dyDescent="0.3">
      <c r="A1609" s="9">
        <f ca="1"/>
        <v>38499</v>
      </c>
      <c r="B1609" s="6">
        <v>41.86</v>
      </c>
      <c r="C1609" s="6"/>
      <c r="D1609" s="6"/>
    </row>
    <row r="1610" spans="1:4" ht="13" thickBot="1" x14ac:dyDescent="0.3">
      <c r="A1610" s="9">
        <f ca="1"/>
        <v>38500</v>
      </c>
      <c r="B1610" s="5">
        <f t="shared" ref="B1610:B1612" si="229">B1609</f>
        <v>41.86</v>
      </c>
      <c r="C1610" s="6"/>
      <c r="D1610" s="6"/>
    </row>
    <row r="1611" spans="1:4" ht="13" thickBot="1" x14ac:dyDescent="0.3">
      <c r="A1611" s="9">
        <f ca="1"/>
        <v>38501</v>
      </c>
      <c r="B1611" s="5">
        <f t="shared" si="229"/>
        <v>41.86</v>
      </c>
      <c r="C1611" s="6"/>
      <c r="D1611" s="6"/>
    </row>
    <row r="1612" spans="1:4" ht="13" thickBot="1" x14ac:dyDescent="0.3">
      <c r="A1612" s="9">
        <f ca="1"/>
        <v>38502</v>
      </c>
      <c r="B1612" s="5">
        <f t="shared" si="229"/>
        <v>41.86</v>
      </c>
      <c r="C1612" s="6"/>
      <c r="D1612" s="6"/>
    </row>
    <row r="1613" spans="1:4" ht="13" thickBot="1" x14ac:dyDescent="0.3">
      <c r="A1613" s="9">
        <f ca="1"/>
        <v>38503</v>
      </c>
      <c r="B1613" s="6">
        <v>41.75</v>
      </c>
      <c r="C1613" s="6"/>
      <c r="D1613" s="6"/>
    </row>
    <row r="1614" spans="1:4" ht="13" thickBot="1" x14ac:dyDescent="0.3">
      <c r="A1614" s="9">
        <f ca="1"/>
        <v>38504</v>
      </c>
      <c r="B1614" s="6">
        <v>40.99</v>
      </c>
      <c r="C1614" s="6"/>
      <c r="D1614" s="6"/>
    </row>
    <row r="1615" spans="1:4" ht="13" thickBot="1" x14ac:dyDescent="0.3">
      <c r="A1615" s="9">
        <f ca="1"/>
        <v>38505</v>
      </c>
      <c r="B1615" s="6">
        <v>41.38</v>
      </c>
      <c r="C1615" s="6"/>
      <c r="D1615" s="6"/>
    </row>
    <row r="1616" spans="1:4" ht="13" thickBot="1" x14ac:dyDescent="0.3">
      <c r="A1616" s="9">
        <f ca="1"/>
        <v>38506</v>
      </c>
      <c r="B1616" s="6">
        <v>41.75</v>
      </c>
      <c r="C1616" s="6"/>
      <c r="D1616" s="6"/>
    </row>
    <row r="1617" spans="1:4" ht="13" thickBot="1" x14ac:dyDescent="0.3">
      <c r="A1617" s="9">
        <f ca="1"/>
        <v>38507</v>
      </c>
      <c r="B1617" s="5">
        <f t="shared" ref="B1617:B1618" si="230">B1616</f>
        <v>41.75</v>
      </c>
      <c r="C1617" s="6"/>
      <c r="D1617" s="6"/>
    </row>
    <row r="1618" spans="1:4" ht="13" thickBot="1" x14ac:dyDescent="0.3">
      <c r="A1618" s="9">
        <f ca="1"/>
        <v>38508</v>
      </c>
      <c r="B1618" s="5">
        <f t="shared" si="230"/>
        <v>41.75</v>
      </c>
      <c r="C1618" s="6"/>
      <c r="D1618" s="6"/>
    </row>
    <row r="1619" spans="1:4" ht="13" thickBot="1" x14ac:dyDescent="0.3">
      <c r="A1619" s="9">
        <f ca="1"/>
        <v>38509</v>
      </c>
      <c r="B1619" s="6">
        <v>41.85</v>
      </c>
      <c r="C1619" s="6"/>
      <c r="D1619" s="6"/>
    </row>
    <row r="1620" spans="1:4" ht="13" thickBot="1" x14ac:dyDescent="0.3">
      <c r="A1620" s="9">
        <f ca="1"/>
        <v>38510</v>
      </c>
      <c r="B1620" s="6">
        <v>42</v>
      </c>
      <c r="C1620" s="6"/>
      <c r="D1620" s="6"/>
    </row>
    <row r="1621" spans="1:4" ht="13" thickBot="1" x14ac:dyDescent="0.3">
      <c r="A1621" s="9">
        <f ca="1"/>
        <v>38511</v>
      </c>
      <c r="B1621" s="6">
        <v>42.59</v>
      </c>
      <c r="C1621" s="6"/>
      <c r="D1621" s="6"/>
    </row>
    <row r="1622" spans="1:4" ht="13" thickBot="1" x14ac:dyDescent="0.3">
      <c r="A1622" s="9">
        <f ca="1"/>
        <v>38512</v>
      </c>
      <c r="B1622" s="6">
        <v>42.28</v>
      </c>
      <c r="C1622" s="6"/>
      <c r="D1622" s="6"/>
    </row>
    <row r="1623" spans="1:4" ht="13" thickBot="1" x14ac:dyDescent="0.3">
      <c r="A1623" s="9">
        <f ca="1"/>
        <v>38513</v>
      </c>
      <c r="B1623" s="6">
        <v>42.06</v>
      </c>
      <c r="C1623" s="6"/>
      <c r="D1623" s="6"/>
    </row>
    <row r="1624" spans="1:4" ht="13" thickBot="1" x14ac:dyDescent="0.3">
      <c r="A1624" s="9">
        <f ca="1"/>
        <v>38514</v>
      </c>
      <c r="B1624" s="5">
        <f t="shared" ref="B1624:B1625" si="231">B1623</f>
        <v>42.06</v>
      </c>
      <c r="C1624" s="6"/>
      <c r="D1624" s="6"/>
    </row>
    <row r="1625" spans="1:4" ht="13" thickBot="1" x14ac:dyDescent="0.3">
      <c r="A1625" s="9">
        <f ca="1"/>
        <v>38515</v>
      </c>
      <c r="B1625" s="5">
        <f t="shared" si="231"/>
        <v>42.06</v>
      </c>
      <c r="C1625" s="6"/>
      <c r="D1625" s="6"/>
    </row>
    <row r="1626" spans="1:4" ht="13" thickBot="1" x14ac:dyDescent="0.3">
      <c r="A1626" s="9">
        <f ca="1"/>
        <v>38516</v>
      </c>
      <c r="B1626" s="6">
        <v>41.37</v>
      </c>
      <c r="C1626" s="6"/>
      <c r="D1626" s="6"/>
    </row>
    <row r="1627" spans="1:4" ht="13" thickBot="1" x14ac:dyDescent="0.3">
      <c r="A1627" s="9">
        <f ca="1"/>
        <v>38517</v>
      </c>
      <c r="B1627" s="6">
        <v>41.26</v>
      </c>
      <c r="C1627" s="6"/>
      <c r="D1627" s="6"/>
    </row>
    <row r="1628" spans="1:4" ht="13" thickBot="1" x14ac:dyDescent="0.3">
      <c r="A1628" s="9">
        <f ca="1"/>
        <v>38518</v>
      </c>
      <c r="B1628" s="6">
        <v>41.35</v>
      </c>
      <c r="C1628" s="6"/>
      <c r="D1628" s="6"/>
    </row>
    <row r="1629" spans="1:4" ht="13" thickBot="1" x14ac:dyDescent="0.3">
      <c r="A1629" s="9">
        <f ca="1"/>
        <v>38519</v>
      </c>
      <c r="B1629" s="6">
        <v>41.46</v>
      </c>
      <c r="C1629" s="6"/>
      <c r="D1629" s="6"/>
    </row>
    <row r="1630" spans="1:4" ht="13" thickBot="1" x14ac:dyDescent="0.3">
      <c r="A1630" s="9">
        <f ca="1"/>
        <v>38520</v>
      </c>
      <c r="B1630" s="6">
        <v>42.42</v>
      </c>
      <c r="C1630" s="6"/>
      <c r="D1630" s="6"/>
    </row>
    <row r="1631" spans="1:4" ht="13" thickBot="1" x14ac:dyDescent="0.3">
      <c r="A1631" s="9">
        <f ca="1"/>
        <v>38521</v>
      </c>
      <c r="B1631" s="5">
        <f t="shared" ref="B1631:B1632" si="232">B1630</f>
        <v>42.42</v>
      </c>
      <c r="C1631" s="6"/>
      <c r="D1631" s="6"/>
    </row>
    <row r="1632" spans="1:4" ht="13" thickBot="1" x14ac:dyDescent="0.3">
      <c r="A1632" s="9">
        <f ca="1"/>
        <v>38522</v>
      </c>
      <c r="B1632" s="5">
        <f t="shared" si="232"/>
        <v>42.42</v>
      </c>
      <c r="C1632" s="6"/>
      <c r="D1632" s="6"/>
    </row>
    <row r="1633" spans="1:4" ht="13" thickBot="1" x14ac:dyDescent="0.3">
      <c r="A1633" s="9">
        <f ca="1"/>
        <v>38523</v>
      </c>
      <c r="B1633" s="6">
        <v>41.89</v>
      </c>
      <c r="C1633" s="6"/>
      <c r="D1633" s="6"/>
    </row>
    <row r="1634" spans="1:4" ht="13" thickBot="1" x14ac:dyDescent="0.3">
      <c r="A1634" s="9">
        <f ca="1"/>
        <v>38524</v>
      </c>
      <c r="B1634" s="6">
        <v>41.87</v>
      </c>
      <c r="C1634" s="6"/>
      <c r="D1634" s="6"/>
    </row>
    <row r="1635" spans="1:4" ht="13" thickBot="1" x14ac:dyDescent="0.3">
      <c r="A1635" s="9">
        <f ca="1"/>
        <v>38525</v>
      </c>
      <c r="B1635" s="6">
        <v>43.52</v>
      </c>
      <c r="C1635" s="6"/>
      <c r="D1635" s="6"/>
    </row>
    <row r="1636" spans="1:4" ht="13" thickBot="1" x14ac:dyDescent="0.3">
      <c r="A1636" s="9">
        <f ca="1"/>
        <v>38526</v>
      </c>
      <c r="B1636" s="6">
        <v>42.78</v>
      </c>
      <c r="C1636" s="6"/>
      <c r="D1636" s="6"/>
    </row>
    <row r="1637" spans="1:4" ht="13" thickBot="1" x14ac:dyDescent="0.3">
      <c r="A1637" s="9">
        <f ca="1"/>
        <v>38527</v>
      </c>
      <c r="B1637" s="6">
        <v>42.57</v>
      </c>
      <c r="C1637" s="6"/>
      <c r="D1637" s="6"/>
    </row>
    <row r="1638" spans="1:4" ht="13" thickBot="1" x14ac:dyDescent="0.3">
      <c r="A1638" s="9">
        <f ca="1"/>
        <v>38528</v>
      </c>
      <c r="B1638" s="5">
        <f t="shared" ref="B1638:B1639" si="233">B1637</f>
        <v>42.57</v>
      </c>
      <c r="C1638" s="6"/>
      <c r="D1638" s="6"/>
    </row>
    <row r="1639" spans="1:4" ht="13" thickBot="1" x14ac:dyDescent="0.3">
      <c r="A1639" s="9">
        <f ca="1"/>
        <v>38529</v>
      </c>
      <c r="B1639" s="5">
        <f t="shared" si="233"/>
        <v>42.57</v>
      </c>
      <c r="C1639" s="6"/>
      <c r="D1639" s="6"/>
    </row>
    <row r="1640" spans="1:4" ht="13" thickBot="1" x14ac:dyDescent="0.3">
      <c r="A1640" s="9">
        <f ca="1"/>
        <v>38530</v>
      </c>
      <c r="B1640" s="6">
        <v>42.41</v>
      </c>
      <c r="C1640" s="6"/>
      <c r="D1640" s="6"/>
    </row>
    <row r="1641" spans="1:4" ht="13" thickBot="1" x14ac:dyDescent="0.3">
      <c r="A1641" s="9">
        <f ca="1"/>
        <v>38531</v>
      </c>
      <c r="B1641" s="6">
        <v>42.31</v>
      </c>
      <c r="C1641" s="6"/>
      <c r="D1641" s="6"/>
    </row>
    <row r="1642" spans="1:4" ht="13" thickBot="1" x14ac:dyDescent="0.3">
      <c r="A1642" s="9">
        <f ca="1"/>
        <v>38532</v>
      </c>
      <c r="B1642" s="6">
        <v>43.45</v>
      </c>
      <c r="C1642" s="6"/>
      <c r="D1642" s="6"/>
    </row>
    <row r="1643" spans="1:4" ht="13" thickBot="1" x14ac:dyDescent="0.3">
      <c r="A1643" s="9">
        <f ca="1"/>
        <v>38533</v>
      </c>
      <c r="B1643" s="6">
        <v>43.65</v>
      </c>
      <c r="C1643" s="6"/>
      <c r="D1643" s="6"/>
    </row>
    <row r="1644" spans="1:4" ht="13" thickBot="1" x14ac:dyDescent="0.3">
      <c r="A1644" s="9">
        <f ca="1"/>
        <v>38534</v>
      </c>
      <c r="B1644" s="6">
        <v>43.48</v>
      </c>
      <c r="C1644" s="6"/>
      <c r="D1644" s="6"/>
    </row>
    <row r="1645" spans="1:4" ht="13" thickBot="1" x14ac:dyDescent="0.3">
      <c r="A1645" s="9">
        <f ca="1"/>
        <v>38535</v>
      </c>
      <c r="B1645" s="5">
        <f t="shared" ref="B1645:B1647" si="234">B1644</f>
        <v>43.48</v>
      </c>
      <c r="C1645" s="6"/>
      <c r="D1645" s="6"/>
    </row>
    <row r="1646" spans="1:4" ht="13" thickBot="1" x14ac:dyDescent="0.3">
      <c r="A1646" s="9">
        <f ca="1"/>
        <v>38536</v>
      </c>
      <c r="B1646" s="5">
        <f t="shared" si="234"/>
        <v>43.48</v>
      </c>
      <c r="C1646" s="6"/>
      <c r="D1646" s="6"/>
    </row>
    <row r="1647" spans="1:4" ht="13" thickBot="1" x14ac:dyDescent="0.3">
      <c r="A1647" s="9">
        <f ca="1"/>
        <v>38537</v>
      </c>
      <c r="B1647" s="5">
        <f t="shared" si="234"/>
        <v>43.48</v>
      </c>
      <c r="C1647" s="6"/>
      <c r="D1647" s="6"/>
    </row>
    <row r="1648" spans="1:4" ht="13" thickBot="1" x14ac:dyDescent="0.3">
      <c r="A1648" s="9">
        <f ca="1"/>
        <v>38538</v>
      </c>
      <c r="B1648" s="6">
        <v>42.26</v>
      </c>
      <c r="C1648" s="6"/>
      <c r="D1648" s="6"/>
    </row>
    <row r="1649" spans="1:4" ht="13" thickBot="1" x14ac:dyDescent="0.3">
      <c r="A1649" s="9">
        <f ca="1"/>
        <v>38539</v>
      </c>
      <c r="B1649" s="6">
        <v>42.47</v>
      </c>
      <c r="C1649" s="6"/>
      <c r="D1649" s="6"/>
    </row>
    <row r="1650" spans="1:4" ht="13" thickBot="1" x14ac:dyDescent="0.3">
      <c r="A1650" s="9">
        <f ca="1"/>
        <v>38540</v>
      </c>
      <c r="B1650" s="6">
        <v>41.42</v>
      </c>
      <c r="C1650" s="6"/>
      <c r="D1650" s="6"/>
    </row>
    <row r="1651" spans="1:4" ht="13" thickBot="1" x14ac:dyDescent="0.3">
      <c r="A1651" s="9">
        <f ca="1"/>
        <v>38541</v>
      </c>
      <c r="B1651" s="6">
        <v>41.74</v>
      </c>
      <c r="C1651" s="6"/>
      <c r="D1651" s="6"/>
    </row>
    <row r="1652" spans="1:4" ht="13" thickBot="1" x14ac:dyDescent="0.3">
      <c r="A1652" s="9">
        <f ca="1"/>
        <v>38542</v>
      </c>
      <c r="B1652" s="5">
        <f t="shared" ref="B1652:B1653" si="235">B1651</f>
        <v>41.74</v>
      </c>
      <c r="C1652" s="6"/>
      <c r="D1652" s="6"/>
    </row>
    <row r="1653" spans="1:4" ht="13" thickBot="1" x14ac:dyDescent="0.3">
      <c r="A1653" s="9">
        <f ca="1"/>
        <v>38543</v>
      </c>
      <c r="B1653" s="5">
        <f t="shared" si="235"/>
        <v>41.74</v>
      </c>
      <c r="C1653" s="6"/>
      <c r="D1653" s="6"/>
    </row>
    <row r="1654" spans="1:4" ht="13" thickBot="1" x14ac:dyDescent="0.3">
      <c r="A1654" s="9">
        <f ca="1"/>
        <v>38544</v>
      </c>
      <c r="B1654" s="6">
        <v>42.82</v>
      </c>
      <c r="C1654" s="6"/>
      <c r="D1654" s="6"/>
    </row>
    <row r="1655" spans="1:4" ht="13" thickBot="1" x14ac:dyDescent="0.3">
      <c r="A1655" s="9">
        <f ca="1"/>
        <v>38545</v>
      </c>
      <c r="B1655" s="6">
        <v>43.67</v>
      </c>
      <c r="C1655" s="6"/>
      <c r="D1655" s="6"/>
    </row>
    <row r="1656" spans="1:4" ht="13" thickBot="1" x14ac:dyDescent="0.3">
      <c r="A1656" s="9">
        <f ca="1"/>
        <v>38546</v>
      </c>
      <c r="B1656" s="6">
        <v>43.32</v>
      </c>
      <c r="C1656" s="6"/>
      <c r="D1656" s="6"/>
    </row>
    <row r="1657" spans="1:4" ht="13" thickBot="1" x14ac:dyDescent="0.3">
      <c r="A1657" s="9">
        <f ca="1"/>
        <v>38547</v>
      </c>
      <c r="B1657" s="6">
        <v>44.04</v>
      </c>
      <c r="C1657" s="6"/>
      <c r="D1657" s="6"/>
    </row>
    <row r="1658" spans="1:4" ht="13" thickBot="1" x14ac:dyDescent="0.3">
      <c r="A1658" s="9">
        <f ca="1"/>
        <v>38548</v>
      </c>
      <c r="B1658" s="6">
        <v>43.82</v>
      </c>
      <c r="C1658" s="6"/>
      <c r="D1658" s="6"/>
    </row>
    <row r="1659" spans="1:4" ht="13" thickBot="1" x14ac:dyDescent="0.3">
      <c r="A1659" s="9">
        <f ca="1"/>
        <v>38549</v>
      </c>
      <c r="B1659" s="5">
        <f t="shared" ref="B1659:B1660" si="236">B1658</f>
        <v>43.82</v>
      </c>
      <c r="C1659" s="6"/>
      <c r="D1659" s="6"/>
    </row>
    <row r="1660" spans="1:4" ht="13" thickBot="1" x14ac:dyDescent="0.3">
      <c r="A1660" s="9">
        <f ca="1"/>
        <v>38550</v>
      </c>
      <c r="B1660" s="5">
        <f t="shared" si="236"/>
        <v>43.82</v>
      </c>
      <c r="C1660" s="6"/>
      <c r="D1660" s="6"/>
    </row>
    <row r="1661" spans="1:4" ht="13" thickBot="1" x14ac:dyDescent="0.3">
      <c r="A1661" s="9">
        <f ca="1"/>
        <v>38551</v>
      </c>
      <c r="B1661" s="6">
        <v>43.83</v>
      </c>
      <c r="C1661" s="6"/>
      <c r="D1661" s="6"/>
    </row>
    <row r="1662" spans="1:4" ht="13" thickBot="1" x14ac:dyDescent="0.3">
      <c r="A1662" s="9">
        <f ca="1"/>
        <v>38552</v>
      </c>
      <c r="B1662" s="6">
        <v>43.97</v>
      </c>
      <c r="C1662" s="6"/>
      <c r="D1662" s="6"/>
    </row>
    <row r="1663" spans="1:4" ht="13" thickBot="1" x14ac:dyDescent="0.3">
      <c r="A1663" s="9">
        <f ca="1"/>
        <v>38553</v>
      </c>
      <c r="B1663" s="6">
        <v>44.36</v>
      </c>
      <c r="C1663" s="6"/>
      <c r="D1663" s="6"/>
    </row>
    <row r="1664" spans="1:4" ht="13" thickBot="1" x14ac:dyDescent="0.3">
      <c r="A1664" s="9">
        <f ca="1"/>
        <v>38554</v>
      </c>
      <c r="B1664" s="6">
        <v>44.23</v>
      </c>
      <c r="C1664" s="6"/>
      <c r="D1664" s="6"/>
    </row>
    <row r="1665" spans="1:4" ht="13" thickBot="1" x14ac:dyDescent="0.3">
      <c r="A1665" s="9">
        <f ca="1"/>
        <v>38555</v>
      </c>
      <c r="B1665" s="6">
        <v>44.28</v>
      </c>
      <c r="C1665" s="6"/>
      <c r="D1665" s="6"/>
    </row>
    <row r="1666" spans="1:4" ht="13" thickBot="1" x14ac:dyDescent="0.3">
      <c r="A1666" s="9">
        <f ca="1"/>
        <v>38556</v>
      </c>
      <c r="B1666" s="5">
        <f t="shared" ref="B1666:B1667" si="237">B1665</f>
        <v>44.28</v>
      </c>
      <c r="C1666" s="6"/>
      <c r="D1666" s="6"/>
    </row>
    <row r="1667" spans="1:4" ht="13" thickBot="1" x14ac:dyDescent="0.3">
      <c r="A1667" s="9">
        <f ca="1"/>
        <v>38557</v>
      </c>
      <c r="B1667" s="5">
        <f t="shared" si="237"/>
        <v>44.28</v>
      </c>
      <c r="C1667" s="6"/>
      <c r="D1667" s="6"/>
    </row>
    <row r="1668" spans="1:4" ht="13" thickBot="1" x14ac:dyDescent="0.3">
      <c r="A1668" s="9">
        <f ca="1"/>
        <v>38558</v>
      </c>
      <c r="B1668" s="6">
        <v>43.14</v>
      </c>
      <c r="C1668" s="6"/>
      <c r="D1668" s="6"/>
    </row>
    <row r="1669" spans="1:4" ht="13" thickBot="1" x14ac:dyDescent="0.3">
      <c r="A1669" s="9">
        <f ca="1"/>
        <v>38559</v>
      </c>
      <c r="B1669" s="6">
        <v>42.93</v>
      </c>
      <c r="C1669" s="6"/>
      <c r="D1669" s="6"/>
    </row>
    <row r="1670" spans="1:4" ht="13" thickBot="1" x14ac:dyDescent="0.3">
      <c r="A1670" s="9">
        <f ca="1"/>
        <v>38560</v>
      </c>
      <c r="B1670" s="6">
        <v>42.76</v>
      </c>
      <c r="C1670" s="6"/>
      <c r="D1670" s="6"/>
    </row>
    <row r="1671" spans="1:4" ht="13" thickBot="1" x14ac:dyDescent="0.3">
      <c r="A1671" s="9">
        <f ca="1"/>
        <v>38561</v>
      </c>
      <c r="B1671" s="6">
        <v>43.13</v>
      </c>
      <c r="C1671" s="6"/>
      <c r="D1671" s="6"/>
    </row>
    <row r="1672" spans="1:4" ht="13" thickBot="1" x14ac:dyDescent="0.3">
      <c r="A1672" s="9">
        <f ca="1"/>
        <v>38562</v>
      </c>
      <c r="B1672" s="6">
        <v>43.07</v>
      </c>
      <c r="C1672" s="6"/>
      <c r="D1672" s="6"/>
    </row>
    <row r="1673" spans="1:4" ht="13" thickBot="1" x14ac:dyDescent="0.3">
      <c r="A1673" s="9">
        <f ca="1"/>
        <v>38563</v>
      </c>
      <c r="B1673" s="5">
        <f t="shared" ref="B1673:B1674" si="238">B1672</f>
        <v>43.07</v>
      </c>
      <c r="C1673" s="6"/>
      <c r="D1673" s="6"/>
    </row>
    <row r="1674" spans="1:4" ht="13" thickBot="1" x14ac:dyDescent="0.3">
      <c r="A1674" s="9">
        <f ca="1"/>
        <v>38564</v>
      </c>
      <c r="B1674" s="5">
        <f t="shared" si="238"/>
        <v>43.07</v>
      </c>
      <c r="C1674" s="6"/>
      <c r="D1674" s="6"/>
    </row>
    <row r="1675" spans="1:4" ht="13" thickBot="1" x14ac:dyDescent="0.3">
      <c r="A1675" s="9">
        <f ca="1"/>
        <v>38565</v>
      </c>
      <c r="B1675" s="6">
        <v>42.67</v>
      </c>
      <c r="C1675" s="6"/>
      <c r="D1675" s="6"/>
    </row>
    <row r="1676" spans="1:4" ht="13" thickBot="1" x14ac:dyDescent="0.3">
      <c r="A1676" s="9">
        <f ca="1"/>
        <v>38566</v>
      </c>
      <c r="B1676" s="6">
        <v>43.05</v>
      </c>
      <c r="C1676" s="6"/>
      <c r="D1676" s="6"/>
    </row>
    <row r="1677" spans="1:4" ht="13" thickBot="1" x14ac:dyDescent="0.3">
      <c r="A1677" s="9">
        <f ca="1"/>
        <v>38567</v>
      </c>
      <c r="B1677" s="6">
        <v>43.43</v>
      </c>
      <c r="C1677" s="6"/>
      <c r="D1677" s="6"/>
    </row>
    <row r="1678" spans="1:4" ht="13" thickBot="1" x14ac:dyDescent="0.3">
      <c r="A1678" s="9">
        <f ca="1"/>
        <v>38568</v>
      </c>
      <c r="B1678" s="6">
        <v>43.13</v>
      </c>
      <c r="C1678" s="6"/>
      <c r="D1678" s="6"/>
    </row>
    <row r="1679" spans="1:4" ht="13" thickBot="1" x14ac:dyDescent="0.3">
      <c r="A1679" s="9">
        <f ca="1"/>
        <v>38569</v>
      </c>
      <c r="B1679" s="6">
        <v>43.14</v>
      </c>
      <c r="C1679" s="6"/>
      <c r="D1679" s="6"/>
    </row>
    <row r="1680" spans="1:4" ht="13" thickBot="1" x14ac:dyDescent="0.3">
      <c r="A1680" s="9">
        <f ca="1"/>
        <v>38570</v>
      </c>
      <c r="B1680" s="5">
        <f t="shared" ref="B1680:B1681" si="239">B1679</f>
        <v>43.14</v>
      </c>
      <c r="C1680" s="6"/>
      <c r="D1680" s="6"/>
    </row>
    <row r="1681" spans="1:4" ht="13" thickBot="1" x14ac:dyDescent="0.3">
      <c r="A1681" s="9">
        <f ca="1"/>
        <v>38571</v>
      </c>
      <c r="B1681" s="5">
        <f t="shared" si="239"/>
        <v>43.14</v>
      </c>
      <c r="C1681" s="6"/>
      <c r="D1681" s="6"/>
    </row>
    <row r="1682" spans="1:4" ht="13" thickBot="1" x14ac:dyDescent="0.3">
      <c r="A1682" s="9">
        <f ca="1"/>
        <v>38572</v>
      </c>
      <c r="B1682" s="6">
        <v>43.07</v>
      </c>
      <c r="C1682" s="6"/>
      <c r="D1682" s="6"/>
    </row>
    <row r="1683" spans="1:4" ht="13" thickBot="1" x14ac:dyDescent="0.3">
      <c r="A1683" s="9">
        <f ca="1"/>
        <v>38573</v>
      </c>
      <c r="B1683" s="6">
        <v>42.78</v>
      </c>
      <c r="C1683" s="6"/>
      <c r="D1683" s="6"/>
    </row>
    <row r="1684" spans="1:4" ht="13" thickBot="1" x14ac:dyDescent="0.3">
      <c r="A1684" s="9">
        <f ca="1"/>
        <v>38574</v>
      </c>
      <c r="B1684" s="6">
        <v>43.74</v>
      </c>
      <c r="C1684" s="6"/>
      <c r="D1684" s="6"/>
    </row>
    <row r="1685" spans="1:4" ht="13" thickBot="1" x14ac:dyDescent="0.3">
      <c r="A1685" s="9">
        <f ca="1"/>
        <v>38575</v>
      </c>
      <c r="B1685" s="6">
        <v>43.57</v>
      </c>
      <c r="C1685" s="6"/>
      <c r="D1685" s="6"/>
    </row>
    <row r="1686" spans="1:4" ht="13" thickBot="1" x14ac:dyDescent="0.3">
      <c r="A1686" s="9">
        <f ca="1"/>
        <v>38576</v>
      </c>
      <c r="B1686" s="6">
        <v>43.39</v>
      </c>
      <c r="C1686" s="6"/>
      <c r="D1686" s="6"/>
    </row>
    <row r="1687" spans="1:4" ht="13" thickBot="1" x14ac:dyDescent="0.3">
      <c r="A1687" s="9">
        <f ca="1"/>
        <v>38577</v>
      </c>
      <c r="B1687" s="5">
        <f t="shared" ref="B1687:B1688" si="240">B1686</f>
        <v>43.39</v>
      </c>
      <c r="C1687" s="6"/>
      <c r="D1687" s="6"/>
    </row>
    <row r="1688" spans="1:4" ht="13" thickBot="1" x14ac:dyDescent="0.3">
      <c r="A1688" s="9">
        <f ca="1"/>
        <v>38578</v>
      </c>
      <c r="B1688" s="5">
        <f t="shared" si="240"/>
        <v>43.39</v>
      </c>
      <c r="C1688" s="6"/>
      <c r="D1688" s="6"/>
    </row>
    <row r="1689" spans="1:4" ht="13" thickBot="1" x14ac:dyDescent="0.3">
      <c r="A1689" s="9">
        <f ca="1"/>
        <v>38579</v>
      </c>
      <c r="B1689" s="6">
        <v>43.25</v>
      </c>
      <c r="C1689" s="6"/>
      <c r="D1689" s="6"/>
    </row>
    <row r="1690" spans="1:4" ht="13" thickBot="1" x14ac:dyDescent="0.3">
      <c r="A1690" s="9">
        <f ca="1"/>
        <v>38580</v>
      </c>
      <c r="B1690" s="6">
        <v>43.03</v>
      </c>
      <c r="C1690" s="6"/>
      <c r="D1690" s="6"/>
    </row>
    <row r="1691" spans="1:4" ht="13" thickBot="1" x14ac:dyDescent="0.3">
      <c r="A1691" s="9">
        <f ca="1"/>
        <v>38581</v>
      </c>
      <c r="B1691" s="6">
        <v>42.28</v>
      </c>
      <c r="C1691" s="6"/>
      <c r="D1691" s="6"/>
    </row>
    <row r="1692" spans="1:4" ht="13" thickBot="1" x14ac:dyDescent="0.3">
      <c r="A1692" s="9">
        <f ca="1"/>
        <v>38582</v>
      </c>
      <c r="B1692" s="6">
        <v>41.95</v>
      </c>
      <c r="C1692" s="6"/>
      <c r="D1692" s="6"/>
    </row>
    <row r="1693" spans="1:4" ht="13" thickBot="1" x14ac:dyDescent="0.3">
      <c r="A1693" s="9">
        <f ca="1"/>
        <v>38583</v>
      </c>
      <c r="B1693" s="6">
        <v>42.39</v>
      </c>
      <c r="C1693" s="6"/>
      <c r="D1693" s="6"/>
    </row>
    <row r="1694" spans="1:4" ht="13" thickBot="1" x14ac:dyDescent="0.3">
      <c r="A1694" s="9">
        <f ca="1"/>
        <v>38584</v>
      </c>
      <c r="B1694" s="5">
        <f t="shared" ref="B1694:B1695" si="241">B1693</f>
        <v>42.39</v>
      </c>
      <c r="C1694" s="6"/>
      <c r="D1694" s="6"/>
    </row>
    <row r="1695" spans="1:4" ht="13" thickBot="1" x14ac:dyDescent="0.3">
      <c r="A1695" s="9">
        <f ca="1"/>
        <v>38585</v>
      </c>
      <c r="B1695" s="5">
        <f t="shared" si="241"/>
        <v>42.39</v>
      </c>
      <c r="C1695" s="6"/>
      <c r="D1695" s="6"/>
    </row>
    <row r="1696" spans="1:4" ht="13" thickBot="1" x14ac:dyDescent="0.3">
      <c r="A1696" s="9">
        <f ca="1"/>
        <v>38586</v>
      </c>
      <c r="B1696" s="6">
        <v>42.43</v>
      </c>
      <c r="C1696" s="6"/>
      <c r="D1696" s="6"/>
    </row>
    <row r="1697" spans="1:4" ht="13" thickBot="1" x14ac:dyDescent="0.3">
      <c r="A1697" s="9">
        <f ca="1"/>
        <v>38587</v>
      </c>
      <c r="B1697" s="6">
        <v>42.28</v>
      </c>
      <c r="C1697" s="6"/>
      <c r="D1697" s="6"/>
    </row>
    <row r="1698" spans="1:4" ht="13" thickBot="1" x14ac:dyDescent="0.3">
      <c r="A1698" s="9">
        <f ca="1"/>
        <v>38588</v>
      </c>
      <c r="B1698" s="6">
        <v>42.18</v>
      </c>
      <c r="C1698" s="6"/>
      <c r="D1698" s="6"/>
    </row>
    <row r="1699" spans="1:4" ht="13" thickBot="1" x14ac:dyDescent="0.3">
      <c r="A1699" s="9">
        <f ca="1"/>
        <v>38589</v>
      </c>
      <c r="B1699" s="6">
        <v>42.14</v>
      </c>
      <c r="C1699" s="6"/>
      <c r="D1699" s="6"/>
    </row>
    <row r="1700" spans="1:4" ht="13" thickBot="1" x14ac:dyDescent="0.3">
      <c r="A1700" s="9">
        <f ca="1"/>
        <v>38590</v>
      </c>
      <c r="B1700" s="6">
        <v>42.39</v>
      </c>
      <c r="C1700" s="6"/>
      <c r="D1700" s="6"/>
    </row>
    <row r="1701" spans="1:4" ht="13" thickBot="1" x14ac:dyDescent="0.3">
      <c r="A1701" s="9">
        <f ca="1"/>
        <v>38591</v>
      </c>
      <c r="B1701" s="5">
        <f t="shared" ref="B1701:B1702" si="242">B1700</f>
        <v>42.39</v>
      </c>
      <c r="C1701" s="6"/>
      <c r="D1701" s="6"/>
    </row>
    <row r="1702" spans="1:4" ht="13" thickBot="1" x14ac:dyDescent="0.3">
      <c r="A1702" s="9">
        <f ca="1"/>
        <v>38592</v>
      </c>
      <c r="B1702" s="5">
        <f t="shared" si="242"/>
        <v>42.39</v>
      </c>
      <c r="C1702" s="6"/>
      <c r="D1702" s="6"/>
    </row>
    <row r="1703" spans="1:4" ht="13" thickBot="1" x14ac:dyDescent="0.3">
      <c r="A1703" s="9">
        <f ca="1"/>
        <v>38593</v>
      </c>
      <c r="B1703" s="6">
        <v>41.8</v>
      </c>
      <c r="C1703" s="6"/>
      <c r="D1703" s="6"/>
    </row>
    <row r="1704" spans="1:4" ht="13" thickBot="1" x14ac:dyDescent="0.3">
      <c r="A1704" s="9">
        <f ca="1"/>
        <v>38594</v>
      </c>
      <c r="B1704" s="6">
        <v>42.04</v>
      </c>
      <c r="C1704" s="6"/>
      <c r="D1704" s="6"/>
    </row>
    <row r="1705" spans="1:4" ht="13" thickBot="1" x14ac:dyDescent="0.3">
      <c r="A1705" s="9">
        <f ca="1"/>
        <v>38595</v>
      </c>
      <c r="B1705" s="6">
        <v>42.13</v>
      </c>
      <c r="C1705" s="6"/>
      <c r="D1705" s="6"/>
    </row>
    <row r="1706" spans="1:4" ht="13" thickBot="1" x14ac:dyDescent="0.3">
      <c r="A1706" s="9">
        <f ca="1"/>
        <v>38596</v>
      </c>
      <c r="B1706" s="6">
        <v>43.1</v>
      </c>
      <c r="C1706" s="6"/>
      <c r="D1706" s="6"/>
    </row>
    <row r="1707" spans="1:4" ht="13" thickBot="1" x14ac:dyDescent="0.3">
      <c r="A1707" s="9">
        <f ca="1"/>
        <v>38597</v>
      </c>
      <c r="B1707" s="6">
        <v>43.19</v>
      </c>
      <c r="C1707" s="6"/>
      <c r="D1707" s="6"/>
    </row>
    <row r="1708" spans="1:4" ht="13" thickBot="1" x14ac:dyDescent="0.3">
      <c r="A1708" s="9">
        <f ca="1"/>
        <v>38598</v>
      </c>
      <c r="B1708" s="5">
        <f t="shared" ref="B1708:B1710" si="243">B1707</f>
        <v>43.19</v>
      </c>
      <c r="C1708" s="6"/>
      <c r="D1708" s="6"/>
    </row>
    <row r="1709" spans="1:4" ht="13" thickBot="1" x14ac:dyDescent="0.3">
      <c r="A1709" s="9">
        <f ca="1"/>
        <v>38599</v>
      </c>
      <c r="B1709" s="5">
        <f t="shared" si="243"/>
        <v>43.19</v>
      </c>
      <c r="C1709" s="6"/>
      <c r="D1709" s="6"/>
    </row>
    <row r="1710" spans="1:4" ht="13" thickBot="1" x14ac:dyDescent="0.3">
      <c r="A1710" s="9">
        <f ca="1"/>
        <v>38600</v>
      </c>
      <c r="B1710" s="5">
        <f t="shared" si="243"/>
        <v>43.19</v>
      </c>
      <c r="C1710" s="6"/>
      <c r="D1710" s="6"/>
    </row>
    <row r="1711" spans="1:4" ht="13" thickBot="1" x14ac:dyDescent="0.3">
      <c r="A1711" s="9">
        <f ca="1"/>
        <v>38601</v>
      </c>
      <c r="B1711" s="6">
        <v>43.72</v>
      </c>
      <c r="C1711" s="6"/>
      <c r="D1711" s="6"/>
    </row>
    <row r="1712" spans="1:4" ht="13" thickBot="1" x14ac:dyDescent="0.3">
      <c r="A1712" s="9">
        <f ca="1"/>
        <v>38602</v>
      </c>
      <c r="B1712" s="6">
        <v>44.14</v>
      </c>
      <c r="C1712" s="6"/>
      <c r="D1712" s="6"/>
    </row>
    <row r="1713" spans="1:4" ht="13" thickBot="1" x14ac:dyDescent="0.3">
      <c r="A1713" s="9">
        <f ca="1"/>
        <v>38603</v>
      </c>
      <c r="B1713" s="6">
        <v>43.88</v>
      </c>
      <c r="C1713" s="6"/>
      <c r="D1713" s="6"/>
    </row>
    <row r="1714" spans="1:4" ht="13" thickBot="1" x14ac:dyDescent="0.3">
      <c r="A1714" s="9">
        <f ca="1"/>
        <v>38604</v>
      </c>
      <c r="B1714" s="6">
        <v>44.04</v>
      </c>
      <c r="C1714" s="6"/>
      <c r="D1714" s="6"/>
    </row>
    <row r="1715" spans="1:4" ht="13" thickBot="1" x14ac:dyDescent="0.3">
      <c r="A1715" s="9">
        <f ca="1"/>
        <v>38605</v>
      </c>
      <c r="B1715" s="5">
        <f t="shared" ref="B1715:B1716" si="244">B1714</f>
        <v>44.04</v>
      </c>
      <c r="C1715" s="6"/>
      <c r="D1715" s="6"/>
    </row>
    <row r="1716" spans="1:4" ht="13" thickBot="1" x14ac:dyDescent="0.3">
      <c r="A1716" s="9">
        <f ca="1"/>
        <v>38606</v>
      </c>
      <c r="B1716" s="5">
        <f t="shared" si="244"/>
        <v>44.04</v>
      </c>
      <c r="C1716" s="6"/>
      <c r="D1716" s="6"/>
    </row>
    <row r="1717" spans="1:4" ht="13" thickBot="1" x14ac:dyDescent="0.3">
      <c r="A1717" s="9">
        <f ca="1"/>
        <v>38607</v>
      </c>
      <c r="B1717" s="6">
        <v>44.42</v>
      </c>
      <c r="C1717" s="6"/>
      <c r="D1717" s="6"/>
    </row>
    <row r="1718" spans="1:4" ht="13" thickBot="1" x14ac:dyDescent="0.3">
      <c r="A1718" s="9">
        <f ca="1"/>
        <v>38608</v>
      </c>
      <c r="B1718" s="6">
        <v>43.95</v>
      </c>
      <c r="C1718" s="6"/>
      <c r="D1718" s="6"/>
    </row>
    <row r="1719" spans="1:4" ht="13" thickBot="1" x14ac:dyDescent="0.3">
      <c r="A1719" s="9">
        <f ca="1"/>
        <v>38609</v>
      </c>
      <c r="B1719" s="6">
        <v>43.66</v>
      </c>
      <c r="C1719" s="6"/>
      <c r="D1719" s="6"/>
    </row>
    <row r="1720" spans="1:4" ht="13" thickBot="1" x14ac:dyDescent="0.3">
      <c r="A1720" s="9">
        <f ca="1"/>
        <v>38610</v>
      </c>
      <c r="B1720" s="6">
        <v>43.13</v>
      </c>
      <c r="C1720" s="6"/>
      <c r="D1720" s="6"/>
    </row>
    <row r="1721" spans="1:4" ht="13" thickBot="1" x14ac:dyDescent="0.3">
      <c r="A1721" s="9">
        <f ca="1"/>
        <v>38611</v>
      </c>
      <c r="B1721" s="6">
        <v>43.73</v>
      </c>
      <c r="C1721" s="6"/>
      <c r="D1721" s="6"/>
    </row>
    <row r="1722" spans="1:4" ht="13" thickBot="1" x14ac:dyDescent="0.3">
      <c r="A1722" s="9">
        <f ca="1"/>
        <v>38612</v>
      </c>
      <c r="B1722" s="5">
        <f t="shared" ref="B1722:B1723" si="245">B1721</f>
        <v>43.73</v>
      </c>
      <c r="C1722" s="6"/>
      <c r="D1722" s="6"/>
    </row>
    <row r="1723" spans="1:4" ht="13" thickBot="1" x14ac:dyDescent="0.3">
      <c r="A1723" s="9">
        <f ca="1"/>
        <v>38613</v>
      </c>
      <c r="B1723" s="5">
        <f t="shared" si="245"/>
        <v>43.73</v>
      </c>
      <c r="C1723" s="6"/>
      <c r="D1723" s="6"/>
    </row>
    <row r="1724" spans="1:4" ht="13" thickBot="1" x14ac:dyDescent="0.3">
      <c r="A1724" s="9">
        <f ca="1"/>
        <v>38614</v>
      </c>
      <c r="B1724" s="6">
        <v>43.31</v>
      </c>
      <c r="C1724" s="6"/>
      <c r="D1724" s="6"/>
    </row>
    <row r="1725" spans="1:4" ht="13" thickBot="1" x14ac:dyDescent="0.3">
      <c r="A1725" s="9">
        <f ca="1"/>
        <v>38615</v>
      </c>
      <c r="B1725" s="6">
        <v>43.32</v>
      </c>
      <c r="C1725" s="6"/>
      <c r="D1725" s="6"/>
    </row>
    <row r="1726" spans="1:4" ht="13" thickBot="1" x14ac:dyDescent="0.3">
      <c r="A1726" s="9">
        <f ca="1"/>
        <v>38616</v>
      </c>
      <c r="B1726" s="6">
        <v>42.88</v>
      </c>
      <c r="C1726" s="6"/>
      <c r="D1726" s="6"/>
    </row>
    <row r="1727" spans="1:4" ht="13" thickBot="1" x14ac:dyDescent="0.3">
      <c r="A1727" s="9">
        <f ca="1"/>
        <v>38617</v>
      </c>
      <c r="B1727" s="6">
        <v>42.29</v>
      </c>
      <c r="C1727" s="6"/>
      <c r="D1727" s="6"/>
    </row>
    <row r="1728" spans="1:4" ht="13" thickBot="1" x14ac:dyDescent="0.3">
      <c r="A1728" s="9">
        <f ca="1"/>
        <v>38618</v>
      </c>
      <c r="B1728" s="6">
        <v>41.34</v>
      </c>
      <c r="C1728" s="6"/>
      <c r="D1728" s="6"/>
    </row>
    <row r="1729" spans="1:4" ht="13" thickBot="1" x14ac:dyDescent="0.3">
      <c r="A1729" s="9">
        <f ca="1"/>
        <v>38619</v>
      </c>
      <c r="B1729" s="5">
        <f t="shared" ref="B1729:B1730" si="246">B1728</f>
        <v>41.34</v>
      </c>
      <c r="C1729" s="6"/>
      <c r="D1729" s="6"/>
    </row>
    <row r="1730" spans="1:4" ht="13" thickBot="1" x14ac:dyDescent="0.3">
      <c r="A1730" s="9">
        <f ca="1"/>
        <v>38620</v>
      </c>
      <c r="B1730" s="5">
        <f t="shared" si="246"/>
        <v>41.34</v>
      </c>
      <c r="C1730" s="6"/>
      <c r="D1730" s="6"/>
    </row>
    <row r="1731" spans="1:4" ht="13" thickBot="1" x14ac:dyDescent="0.3">
      <c r="A1731" s="9">
        <f ca="1"/>
        <v>38621</v>
      </c>
      <c r="B1731" s="6">
        <v>42.98</v>
      </c>
      <c r="C1731" s="6"/>
      <c r="D1731" s="6"/>
    </row>
    <row r="1732" spans="1:4" ht="13" thickBot="1" x14ac:dyDescent="0.3">
      <c r="A1732" s="9">
        <f ca="1"/>
        <v>38622</v>
      </c>
      <c r="B1732" s="6">
        <v>42.57</v>
      </c>
      <c r="C1732" s="6"/>
      <c r="D1732" s="6"/>
    </row>
    <row r="1733" spans="1:4" ht="13" thickBot="1" x14ac:dyDescent="0.3">
      <c r="A1733" s="9">
        <f ca="1"/>
        <v>38623</v>
      </c>
      <c r="B1733" s="6">
        <v>42.96</v>
      </c>
      <c r="C1733" s="6"/>
      <c r="D1733" s="6"/>
    </row>
    <row r="1734" spans="1:4" ht="13" thickBot="1" x14ac:dyDescent="0.3">
      <c r="A1734" s="9">
        <f ca="1"/>
        <v>38624</v>
      </c>
      <c r="B1734" s="6">
        <v>42.98</v>
      </c>
      <c r="C1734" s="6"/>
      <c r="D1734" s="6"/>
    </row>
    <row r="1735" spans="1:4" ht="13" thickBot="1" x14ac:dyDescent="0.3">
      <c r="A1735" s="9">
        <f ca="1"/>
        <v>38625</v>
      </c>
      <c r="B1735" s="6">
        <v>43.15</v>
      </c>
      <c r="C1735" s="6"/>
      <c r="D1735" s="6"/>
    </row>
    <row r="1736" spans="1:4" ht="13" thickBot="1" x14ac:dyDescent="0.3">
      <c r="A1736" s="9">
        <f ca="1"/>
        <v>38626</v>
      </c>
      <c r="B1736" s="5">
        <f t="shared" ref="B1736:B1737" si="247">B1735</f>
        <v>43.15</v>
      </c>
      <c r="C1736" s="6"/>
      <c r="D1736" s="6"/>
    </row>
    <row r="1737" spans="1:4" ht="13" thickBot="1" x14ac:dyDescent="0.3">
      <c r="A1737" s="9">
        <f ca="1"/>
        <v>38627</v>
      </c>
      <c r="B1737" s="5">
        <f t="shared" si="247"/>
        <v>43.15</v>
      </c>
      <c r="C1737" s="6"/>
      <c r="D1737" s="6"/>
    </row>
    <row r="1738" spans="1:4" ht="13" thickBot="1" x14ac:dyDescent="0.3">
      <c r="A1738" s="9">
        <f ca="1"/>
        <v>38628</v>
      </c>
      <c r="B1738" s="6">
        <v>43.19</v>
      </c>
      <c r="C1738" s="6"/>
      <c r="D1738" s="6"/>
    </row>
    <row r="1739" spans="1:4" ht="13" thickBot="1" x14ac:dyDescent="0.3">
      <c r="A1739" s="9">
        <f ca="1"/>
        <v>38629</v>
      </c>
      <c r="B1739" s="6">
        <v>43.29</v>
      </c>
      <c r="C1739" s="6"/>
      <c r="D1739" s="6"/>
    </row>
    <row r="1740" spans="1:4" ht="13" thickBot="1" x14ac:dyDescent="0.3">
      <c r="A1740" s="9">
        <f ca="1"/>
        <v>38630</v>
      </c>
      <c r="B1740" s="6">
        <v>43.05</v>
      </c>
      <c r="C1740" s="6"/>
      <c r="D1740" s="6"/>
    </row>
    <row r="1741" spans="1:4" ht="13" thickBot="1" x14ac:dyDescent="0.3">
      <c r="A1741" s="9">
        <f ca="1"/>
        <v>38631</v>
      </c>
      <c r="B1741" s="6">
        <v>42.78</v>
      </c>
      <c r="C1741" s="6"/>
      <c r="D1741" s="6"/>
    </row>
    <row r="1742" spans="1:4" ht="13" thickBot="1" x14ac:dyDescent="0.3">
      <c r="A1742" s="9">
        <f ca="1"/>
        <v>38632</v>
      </c>
      <c r="B1742" s="6">
        <v>42.79</v>
      </c>
      <c r="C1742" s="6"/>
      <c r="D1742" s="6"/>
    </row>
    <row r="1743" spans="1:4" ht="13" thickBot="1" x14ac:dyDescent="0.3">
      <c r="A1743" s="9">
        <f ca="1"/>
        <v>38633</v>
      </c>
      <c r="B1743" s="5">
        <f t="shared" ref="B1743:B1744" si="248">B1742</f>
        <v>42.79</v>
      </c>
      <c r="C1743" s="6"/>
      <c r="D1743" s="6"/>
    </row>
    <row r="1744" spans="1:4" ht="13" thickBot="1" x14ac:dyDescent="0.3">
      <c r="A1744" s="9">
        <f ca="1"/>
        <v>38634</v>
      </c>
      <c r="B1744" s="5">
        <f t="shared" si="248"/>
        <v>42.79</v>
      </c>
      <c r="C1744" s="6"/>
      <c r="D1744" s="6"/>
    </row>
    <row r="1745" spans="1:4" ht="13" thickBot="1" x14ac:dyDescent="0.3">
      <c r="A1745" s="9">
        <f ca="1"/>
        <v>38635</v>
      </c>
      <c r="B1745" s="6">
        <v>43.04</v>
      </c>
      <c r="C1745" s="6"/>
      <c r="D1745" s="6"/>
    </row>
    <row r="1746" spans="1:4" ht="13" thickBot="1" x14ac:dyDescent="0.3">
      <c r="A1746" s="9">
        <f ca="1"/>
        <v>38636</v>
      </c>
      <c r="B1746" s="6">
        <v>43.09</v>
      </c>
      <c r="C1746" s="6"/>
      <c r="D1746" s="6"/>
    </row>
    <row r="1747" spans="1:4" ht="13" thickBot="1" x14ac:dyDescent="0.3">
      <c r="A1747" s="9">
        <f ca="1"/>
        <v>38637</v>
      </c>
      <c r="B1747" s="6">
        <v>42.65</v>
      </c>
      <c r="C1747" s="6"/>
      <c r="D1747" s="6"/>
    </row>
    <row r="1748" spans="1:4" ht="13" thickBot="1" x14ac:dyDescent="0.3">
      <c r="A1748" s="9">
        <f ca="1"/>
        <v>38638</v>
      </c>
      <c r="B1748" s="6">
        <v>42.23</v>
      </c>
      <c r="C1748" s="6"/>
      <c r="D1748" s="6"/>
    </row>
    <row r="1749" spans="1:4" ht="13" thickBot="1" x14ac:dyDescent="0.3">
      <c r="A1749" s="9">
        <f ca="1"/>
        <v>38639</v>
      </c>
      <c r="B1749" s="6">
        <v>42.75</v>
      </c>
      <c r="C1749" s="6"/>
      <c r="D1749" s="6"/>
    </row>
    <row r="1750" spans="1:4" ht="13" thickBot="1" x14ac:dyDescent="0.3">
      <c r="A1750" s="9">
        <f ca="1"/>
        <v>38640</v>
      </c>
      <c r="B1750" s="5">
        <f t="shared" ref="B1750:B1751" si="249">B1749</f>
        <v>42.75</v>
      </c>
      <c r="C1750" s="6"/>
      <c r="D1750" s="6"/>
    </row>
    <row r="1751" spans="1:4" ht="13" thickBot="1" x14ac:dyDescent="0.3">
      <c r="A1751" s="9">
        <f ca="1"/>
        <v>38641</v>
      </c>
      <c r="B1751" s="5">
        <f t="shared" si="249"/>
        <v>42.75</v>
      </c>
      <c r="C1751" s="6"/>
      <c r="D1751" s="6"/>
    </row>
    <row r="1752" spans="1:4" ht="13" thickBot="1" x14ac:dyDescent="0.3">
      <c r="A1752" s="9">
        <f ca="1"/>
        <v>38642</v>
      </c>
      <c r="B1752" s="6">
        <v>43.47</v>
      </c>
      <c r="C1752" s="6"/>
      <c r="D1752" s="6"/>
    </row>
    <row r="1753" spans="1:4" ht="13" thickBot="1" x14ac:dyDescent="0.3">
      <c r="A1753" s="9">
        <f ca="1"/>
        <v>38643</v>
      </c>
      <c r="B1753" s="6">
        <v>43.19</v>
      </c>
      <c r="C1753" s="6"/>
      <c r="D1753" s="6"/>
    </row>
    <row r="1754" spans="1:4" ht="13" thickBot="1" x14ac:dyDescent="0.3">
      <c r="A1754" s="9">
        <f ca="1"/>
        <v>38644</v>
      </c>
      <c r="B1754" s="6">
        <v>42.64</v>
      </c>
      <c r="C1754" s="6"/>
      <c r="D1754" s="6"/>
    </row>
    <row r="1755" spans="1:4" ht="13" thickBot="1" x14ac:dyDescent="0.3">
      <c r="A1755" s="9">
        <f ca="1"/>
        <v>38645</v>
      </c>
      <c r="B1755" s="6">
        <v>44.28</v>
      </c>
      <c r="C1755" s="6"/>
      <c r="D1755" s="6"/>
    </row>
    <row r="1756" spans="1:4" ht="13" thickBot="1" x14ac:dyDescent="0.3">
      <c r="A1756" s="9">
        <f ca="1"/>
        <v>38646</v>
      </c>
      <c r="B1756" s="6">
        <v>43.96</v>
      </c>
      <c r="C1756" s="6"/>
      <c r="D1756" s="6"/>
    </row>
    <row r="1757" spans="1:4" ht="13" thickBot="1" x14ac:dyDescent="0.3">
      <c r="A1757" s="9">
        <f ca="1"/>
        <v>38647</v>
      </c>
      <c r="B1757" s="5">
        <f t="shared" ref="B1757:B1758" si="250">B1756</f>
        <v>43.96</v>
      </c>
      <c r="C1757" s="6"/>
      <c r="D1757" s="6"/>
    </row>
    <row r="1758" spans="1:4" ht="13" thickBot="1" x14ac:dyDescent="0.3">
      <c r="A1758" s="9">
        <f ca="1"/>
        <v>38648</v>
      </c>
      <c r="B1758" s="5">
        <f t="shared" si="250"/>
        <v>43.96</v>
      </c>
      <c r="C1758" s="6"/>
      <c r="D1758" s="6"/>
    </row>
    <row r="1759" spans="1:4" ht="13" thickBot="1" x14ac:dyDescent="0.3">
      <c r="A1759" s="9">
        <f ca="1"/>
        <v>38649</v>
      </c>
      <c r="B1759" s="6">
        <v>43.52</v>
      </c>
      <c r="C1759" s="6"/>
      <c r="D1759" s="6"/>
    </row>
    <row r="1760" spans="1:4" ht="13" thickBot="1" x14ac:dyDescent="0.3">
      <c r="A1760" s="9">
        <f ca="1"/>
        <v>38650</v>
      </c>
      <c r="B1760" s="6">
        <v>43.8</v>
      </c>
      <c r="C1760" s="6"/>
      <c r="D1760" s="6"/>
    </row>
    <row r="1761" spans="1:4" ht="13" thickBot="1" x14ac:dyDescent="0.3">
      <c r="A1761" s="9">
        <f ca="1"/>
        <v>38651</v>
      </c>
      <c r="B1761" s="6">
        <v>43.35</v>
      </c>
      <c r="C1761" s="6"/>
      <c r="D1761" s="6"/>
    </row>
    <row r="1762" spans="1:4" ht="13" thickBot="1" x14ac:dyDescent="0.3">
      <c r="A1762" s="9">
        <f ca="1"/>
        <v>38652</v>
      </c>
      <c r="B1762" s="6">
        <v>43.08</v>
      </c>
      <c r="C1762" s="6"/>
      <c r="D1762" s="6"/>
    </row>
    <row r="1763" spans="1:4" ht="13" thickBot="1" x14ac:dyDescent="0.3">
      <c r="A1763" s="9">
        <f ca="1"/>
        <v>38653</v>
      </c>
      <c r="B1763" s="6">
        <v>42.4</v>
      </c>
      <c r="C1763" s="6"/>
      <c r="D1763" s="6"/>
    </row>
    <row r="1764" spans="1:4" ht="13" thickBot="1" x14ac:dyDescent="0.3">
      <c r="A1764" s="9">
        <f ca="1"/>
        <v>38654</v>
      </c>
      <c r="B1764" s="5">
        <f t="shared" ref="B1764:B1765" si="251">B1763</f>
        <v>42.4</v>
      </c>
      <c r="C1764" s="6"/>
      <c r="D1764" s="6"/>
    </row>
    <row r="1765" spans="1:4" ht="13" thickBot="1" x14ac:dyDescent="0.3">
      <c r="A1765" s="9">
        <f ca="1"/>
        <v>38655</v>
      </c>
      <c r="B1765" s="5">
        <f t="shared" si="251"/>
        <v>42.4</v>
      </c>
      <c r="C1765" s="6"/>
      <c r="D1765" s="6"/>
    </row>
    <row r="1766" spans="1:4" ht="13" thickBot="1" x14ac:dyDescent="0.3">
      <c r="A1766" s="9">
        <f ca="1"/>
        <v>38656</v>
      </c>
      <c r="B1766" s="6">
        <v>42.55</v>
      </c>
      <c r="C1766" s="6"/>
      <c r="D1766" s="6"/>
    </row>
    <row r="1767" spans="1:4" ht="13" thickBot="1" x14ac:dyDescent="0.3">
      <c r="A1767" s="9">
        <f ca="1"/>
        <v>38657</v>
      </c>
      <c r="B1767" s="6">
        <v>42.64</v>
      </c>
      <c r="C1767" s="6"/>
      <c r="D1767" s="6"/>
    </row>
    <row r="1768" spans="1:4" ht="13" thickBot="1" x14ac:dyDescent="0.3">
      <c r="A1768" s="9">
        <f ca="1"/>
        <v>38658</v>
      </c>
      <c r="B1768" s="6">
        <v>42.65</v>
      </c>
      <c r="C1768" s="6"/>
      <c r="D1768" s="6"/>
    </row>
    <row r="1769" spans="1:4" ht="13" thickBot="1" x14ac:dyDescent="0.3">
      <c r="A1769" s="9">
        <f ca="1"/>
        <v>38659</v>
      </c>
      <c r="B1769" s="6">
        <v>43.25</v>
      </c>
      <c r="C1769" s="6"/>
      <c r="D1769" s="6"/>
    </row>
    <row r="1770" spans="1:4" ht="13" thickBot="1" x14ac:dyDescent="0.3">
      <c r="A1770" s="9">
        <f ca="1"/>
        <v>38660</v>
      </c>
      <c r="B1770" s="6">
        <v>43.12</v>
      </c>
      <c r="C1770" s="6"/>
      <c r="D1770" s="6"/>
    </row>
    <row r="1771" spans="1:4" ht="13" thickBot="1" x14ac:dyDescent="0.3">
      <c r="A1771" s="9">
        <f ca="1"/>
        <v>38661</v>
      </c>
      <c r="B1771" s="5">
        <f t="shared" ref="B1771:B1772" si="252">B1770</f>
        <v>43.12</v>
      </c>
      <c r="C1771" s="6"/>
      <c r="D1771" s="6"/>
    </row>
    <row r="1772" spans="1:4" ht="13" thickBot="1" x14ac:dyDescent="0.3">
      <c r="A1772" s="9">
        <f ca="1"/>
        <v>38662</v>
      </c>
      <c r="B1772" s="5">
        <f t="shared" si="252"/>
        <v>43.12</v>
      </c>
      <c r="C1772" s="6"/>
      <c r="D1772" s="6"/>
    </row>
    <row r="1773" spans="1:4" ht="13" thickBot="1" x14ac:dyDescent="0.3">
      <c r="A1773" s="9">
        <f ca="1"/>
        <v>38663</v>
      </c>
      <c r="B1773" s="6">
        <v>42.84</v>
      </c>
      <c r="C1773" s="6"/>
      <c r="D1773" s="6"/>
    </row>
    <row r="1774" spans="1:4" ht="13" thickBot="1" x14ac:dyDescent="0.3">
      <c r="A1774" s="9">
        <f ca="1"/>
        <v>38664</v>
      </c>
      <c r="B1774" s="6">
        <v>42.63</v>
      </c>
      <c r="C1774" s="6"/>
      <c r="D1774" s="6"/>
    </row>
    <row r="1775" spans="1:4" ht="13" thickBot="1" x14ac:dyDescent="0.3">
      <c r="A1775" s="9">
        <f ca="1"/>
        <v>38665</v>
      </c>
      <c r="B1775" s="6">
        <v>42.62</v>
      </c>
      <c r="C1775" s="6"/>
      <c r="D1775" s="6"/>
    </row>
    <row r="1776" spans="1:4" ht="13" thickBot="1" x14ac:dyDescent="0.3">
      <c r="A1776" s="9">
        <f ca="1"/>
        <v>38666</v>
      </c>
      <c r="B1776" s="6">
        <v>42.59</v>
      </c>
      <c r="C1776" s="6"/>
      <c r="D1776" s="6"/>
    </row>
    <row r="1777" spans="1:4" ht="13" thickBot="1" x14ac:dyDescent="0.3">
      <c r="A1777" s="9">
        <f ca="1"/>
        <v>38667</v>
      </c>
      <c r="B1777" s="6">
        <v>42.72</v>
      </c>
      <c r="C1777" s="6"/>
      <c r="D1777" s="6"/>
    </row>
    <row r="1778" spans="1:4" ht="13" thickBot="1" x14ac:dyDescent="0.3">
      <c r="A1778" s="9">
        <f ca="1"/>
        <v>38668</v>
      </c>
      <c r="B1778" s="5">
        <f t="shared" ref="B1778:B1779" si="253">B1777</f>
        <v>42.72</v>
      </c>
      <c r="C1778" s="6"/>
      <c r="D1778" s="6"/>
    </row>
    <row r="1779" spans="1:4" ht="13" thickBot="1" x14ac:dyDescent="0.3">
      <c r="A1779" s="9">
        <f ca="1"/>
        <v>38669</v>
      </c>
      <c r="B1779" s="5">
        <f t="shared" si="253"/>
        <v>42.72</v>
      </c>
      <c r="C1779" s="6"/>
      <c r="D1779" s="6"/>
    </row>
    <row r="1780" spans="1:4" ht="13" thickBot="1" x14ac:dyDescent="0.3">
      <c r="A1780" s="9">
        <f ca="1"/>
        <v>38670</v>
      </c>
      <c r="B1780" s="6">
        <v>42.58</v>
      </c>
      <c r="C1780" s="6"/>
      <c r="D1780" s="6"/>
    </row>
    <row r="1781" spans="1:4" ht="13" thickBot="1" x14ac:dyDescent="0.3">
      <c r="A1781" s="9">
        <f ca="1"/>
        <v>38671</v>
      </c>
      <c r="B1781" s="6">
        <v>42.42</v>
      </c>
      <c r="C1781" s="6"/>
      <c r="D1781" s="6"/>
    </row>
    <row r="1782" spans="1:4" ht="13" thickBot="1" x14ac:dyDescent="0.3">
      <c r="A1782" s="9">
        <f ca="1"/>
        <v>38672</v>
      </c>
      <c r="B1782" s="6">
        <v>42.3</v>
      </c>
      <c r="C1782" s="6"/>
      <c r="D1782" s="6"/>
    </row>
    <row r="1783" spans="1:4" ht="13" thickBot="1" x14ac:dyDescent="0.3">
      <c r="A1783" s="9">
        <f ca="1"/>
        <v>38673</v>
      </c>
      <c r="B1783" s="6">
        <v>42.19</v>
      </c>
      <c r="C1783" s="6"/>
      <c r="D1783" s="6"/>
    </row>
    <row r="1784" spans="1:4" ht="13" thickBot="1" x14ac:dyDescent="0.3">
      <c r="A1784" s="9">
        <f ca="1"/>
        <v>38674</v>
      </c>
      <c r="B1784" s="6">
        <v>42.7</v>
      </c>
      <c r="C1784" s="6"/>
      <c r="D1784" s="6"/>
    </row>
    <row r="1785" spans="1:4" ht="13" thickBot="1" x14ac:dyDescent="0.3">
      <c r="A1785" s="9">
        <f ca="1"/>
        <v>38675</v>
      </c>
      <c r="B1785" s="5">
        <f t="shared" ref="B1785:B1786" si="254">B1784</f>
        <v>42.7</v>
      </c>
      <c r="C1785" s="6"/>
      <c r="D1785" s="6"/>
    </row>
    <row r="1786" spans="1:4" ht="13" thickBot="1" x14ac:dyDescent="0.3">
      <c r="A1786" s="9">
        <f ca="1"/>
        <v>38676</v>
      </c>
      <c r="B1786" s="5">
        <f t="shared" si="254"/>
        <v>42.7</v>
      </c>
      <c r="C1786" s="6"/>
      <c r="D1786" s="6"/>
    </row>
    <row r="1787" spans="1:4" ht="13" thickBot="1" x14ac:dyDescent="0.3">
      <c r="A1787" s="9">
        <f ca="1"/>
        <v>38677</v>
      </c>
      <c r="B1787" s="6">
        <v>42.93</v>
      </c>
      <c r="C1787" s="6"/>
      <c r="D1787" s="6"/>
    </row>
    <row r="1788" spans="1:4" ht="13" thickBot="1" x14ac:dyDescent="0.3">
      <c r="A1788" s="9">
        <f ca="1"/>
        <v>38678</v>
      </c>
      <c r="B1788" s="6">
        <v>42.84</v>
      </c>
      <c r="C1788" s="6"/>
      <c r="D1788" s="6"/>
    </row>
    <row r="1789" spans="1:4" ht="13" thickBot="1" x14ac:dyDescent="0.3">
      <c r="A1789" s="9">
        <f ca="1"/>
        <v>38679</v>
      </c>
      <c r="B1789" s="6">
        <v>43.42</v>
      </c>
      <c r="C1789" s="6"/>
      <c r="D1789" s="6"/>
    </row>
    <row r="1790" spans="1:4" ht="13" thickBot="1" x14ac:dyDescent="0.3">
      <c r="A1790" s="9">
        <f ca="1"/>
        <v>38680</v>
      </c>
      <c r="B1790" s="5">
        <f>B1789</f>
        <v>43.42</v>
      </c>
      <c r="C1790" s="6"/>
      <c r="D1790" s="6"/>
    </row>
    <row r="1791" spans="1:4" ht="13" thickBot="1" x14ac:dyDescent="0.3">
      <c r="A1791" s="9">
        <f ca="1"/>
        <v>38681</v>
      </c>
      <c r="B1791" s="6">
        <v>43.68</v>
      </c>
      <c r="C1791" s="6"/>
      <c r="D1791" s="6"/>
    </row>
    <row r="1792" spans="1:4" ht="13" thickBot="1" x14ac:dyDescent="0.3">
      <c r="A1792" s="9">
        <f ca="1"/>
        <v>38682</v>
      </c>
      <c r="B1792" s="5">
        <f t="shared" ref="B1792:B1793" si="255">B1791</f>
        <v>43.68</v>
      </c>
      <c r="C1792" s="6"/>
      <c r="D1792" s="6"/>
    </row>
    <row r="1793" spans="1:4" ht="13" thickBot="1" x14ac:dyDescent="0.3">
      <c r="A1793" s="9">
        <f ca="1"/>
        <v>38683</v>
      </c>
      <c r="B1793" s="5">
        <f t="shared" si="255"/>
        <v>43.68</v>
      </c>
      <c r="C1793" s="6"/>
      <c r="D1793" s="6"/>
    </row>
    <row r="1794" spans="1:4" ht="13" thickBot="1" x14ac:dyDescent="0.3">
      <c r="A1794" s="9">
        <f ca="1"/>
        <v>38684</v>
      </c>
      <c r="B1794" s="6">
        <v>44.73</v>
      </c>
      <c r="C1794" s="6"/>
      <c r="D1794" s="6"/>
    </row>
    <row r="1795" spans="1:4" ht="13" thickBot="1" x14ac:dyDescent="0.3">
      <c r="A1795" s="9">
        <f ca="1"/>
        <v>38685</v>
      </c>
      <c r="B1795" s="6">
        <v>45.21</v>
      </c>
      <c r="C1795" s="6"/>
      <c r="D1795" s="6"/>
    </row>
    <row r="1796" spans="1:4" ht="13" thickBot="1" x14ac:dyDescent="0.3">
      <c r="A1796" s="9">
        <f ca="1"/>
        <v>38686</v>
      </c>
      <c r="B1796" s="6">
        <v>45.29</v>
      </c>
      <c r="C1796" s="6"/>
      <c r="D1796" s="6"/>
    </row>
    <row r="1797" spans="1:4" ht="13" thickBot="1" x14ac:dyDescent="0.3">
      <c r="A1797" s="9">
        <f ca="1"/>
        <v>38687</v>
      </c>
      <c r="B1797" s="6">
        <v>45.26</v>
      </c>
      <c r="C1797" s="6"/>
      <c r="D1797" s="6"/>
    </row>
    <row r="1798" spans="1:4" ht="13" thickBot="1" x14ac:dyDescent="0.3">
      <c r="A1798" s="9">
        <f ca="1"/>
        <v>38688</v>
      </c>
      <c r="B1798" s="6">
        <v>45.31</v>
      </c>
      <c r="C1798" s="6"/>
      <c r="D1798" s="6"/>
    </row>
    <row r="1799" spans="1:4" ht="13" thickBot="1" x14ac:dyDescent="0.3">
      <c r="A1799" s="9">
        <f ca="1"/>
        <v>38689</v>
      </c>
      <c r="B1799" s="5">
        <f t="shared" ref="B1799:B1800" si="256">B1798</f>
        <v>45.31</v>
      </c>
      <c r="C1799" s="6"/>
      <c r="D1799" s="6"/>
    </row>
    <row r="1800" spans="1:4" ht="13" thickBot="1" x14ac:dyDescent="0.3">
      <c r="A1800" s="9">
        <f ca="1"/>
        <v>38690</v>
      </c>
      <c r="B1800" s="5">
        <f t="shared" si="256"/>
        <v>45.31</v>
      </c>
      <c r="C1800" s="6"/>
      <c r="D1800" s="6"/>
    </row>
    <row r="1801" spans="1:4" ht="13" thickBot="1" x14ac:dyDescent="0.3">
      <c r="A1801" s="9">
        <f ca="1"/>
        <v>38691</v>
      </c>
      <c r="B1801" s="6">
        <v>45.73</v>
      </c>
      <c r="C1801" s="6"/>
      <c r="D1801" s="6"/>
    </row>
    <row r="1802" spans="1:4" ht="13" thickBot="1" x14ac:dyDescent="0.3">
      <c r="A1802" s="9">
        <f ca="1"/>
        <v>38692</v>
      </c>
      <c r="B1802" s="6">
        <v>45.66</v>
      </c>
      <c r="C1802" s="6"/>
      <c r="D1802" s="6"/>
    </row>
    <row r="1803" spans="1:4" ht="13" thickBot="1" x14ac:dyDescent="0.3">
      <c r="A1803" s="9">
        <f ca="1"/>
        <v>38693</v>
      </c>
      <c r="B1803" s="6">
        <v>45.43</v>
      </c>
      <c r="C1803" s="6"/>
      <c r="D1803" s="6"/>
    </row>
    <row r="1804" spans="1:4" ht="13" thickBot="1" x14ac:dyDescent="0.3">
      <c r="A1804" s="9">
        <f ca="1"/>
        <v>38694</v>
      </c>
      <c r="B1804" s="6">
        <v>45.52</v>
      </c>
      <c r="C1804" s="6"/>
      <c r="D1804" s="6"/>
    </row>
    <row r="1805" spans="1:4" ht="13" thickBot="1" x14ac:dyDescent="0.3">
      <c r="A1805" s="9">
        <f ca="1"/>
        <v>38695</v>
      </c>
      <c r="B1805" s="6">
        <v>45.65</v>
      </c>
      <c r="C1805" s="6"/>
      <c r="D1805" s="6"/>
    </row>
    <row r="1806" spans="1:4" ht="13" thickBot="1" x14ac:dyDescent="0.3">
      <c r="A1806" s="9">
        <f ca="1"/>
        <v>38696</v>
      </c>
      <c r="B1806" s="5">
        <f t="shared" ref="B1806:B1807" si="257">B1805</f>
        <v>45.65</v>
      </c>
      <c r="C1806" s="6"/>
      <c r="D1806" s="6"/>
    </row>
    <row r="1807" spans="1:4" ht="13" thickBot="1" x14ac:dyDescent="0.3">
      <c r="A1807" s="9">
        <f ca="1"/>
        <v>38697</v>
      </c>
      <c r="B1807" s="5">
        <f t="shared" si="257"/>
        <v>45.65</v>
      </c>
      <c r="C1807" s="6"/>
      <c r="D1807" s="6"/>
    </row>
    <row r="1808" spans="1:4" ht="13" thickBot="1" x14ac:dyDescent="0.3">
      <c r="A1808" s="9">
        <f ca="1"/>
        <v>38698</v>
      </c>
      <c r="B1808" s="6">
        <v>46.24</v>
      </c>
      <c r="C1808" s="6"/>
      <c r="D1808" s="6"/>
    </row>
    <row r="1809" spans="1:4" ht="13" thickBot="1" x14ac:dyDescent="0.3">
      <c r="A1809" s="9">
        <f ca="1"/>
        <v>38699</v>
      </c>
      <c r="B1809" s="6">
        <v>46.04</v>
      </c>
      <c r="C1809" s="6"/>
      <c r="D1809" s="6"/>
    </row>
    <row r="1810" spans="1:4" ht="13" thickBot="1" x14ac:dyDescent="0.3">
      <c r="A1810" s="9">
        <f ca="1"/>
        <v>38700</v>
      </c>
      <c r="B1810" s="6">
        <v>46.26</v>
      </c>
      <c r="C1810" s="6"/>
      <c r="D1810" s="6"/>
    </row>
    <row r="1811" spans="1:4" ht="13" thickBot="1" x14ac:dyDescent="0.3">
      <c r="A1811" s="9">
        <f ca="1"/>
        <v>38701</v>
      </c>
      <c r="B1811" s="6">
        <v>46.37</v>
      </c>
      <c r="C1811" s="6"/>
      <c r="D1811" s="6"/>
    </row>
    <row r="1812" spans="1:4" ht="13" thickBot="1" x14ac:dyDescent="0.3">
      <c r="A1812" s="9">
        <f ca="1"/>
        <v>38702</v>
      </c>
      <c r="B1812" s="6">
        <v>46.49</v>
      </c>
      <c r="C1812" s="6"/>
      <c r="D1812" s="6"/>
    </row>
    <row r="1813" spans="1:4" ht="13" thickBot="1" x14ac:dyDescent="0.3">
      <c r="A1813" s="9">
        <f ca="1"/>
        <v>38703</v>
      </c>
      <c r="B1813" s="5">
        <f t="shared" ref="B1813:B1814" si="258">B1812</f>
        <v>46.49</v>
      </c>
      <c r="C1813" s="6"/>
      <c r="D1813" s="6"/>
    </row>
    <row r="1814" spans="1:4" ht="13" thickBot="1" x14ac:dyDescent="0.3">
      <c r="A1814" s="9">
        <f ca="1"/>
        <v>38704</v>
      </c>
      <c r="B1814" s="5">
        <f t="shared" si="258"/>
        <v>46.49</v>
      </c>
      <c r="C1814" s="6"/>
      <c r="D1814" s="6"/>
    </row>
    <row r="1815" spans="1:4" ht="13" thickBot="1" x14ac:dyDescent="0.3">
      <c r="A1815" s="9">
        <f ca="1"/>
        <v>38705</v>
      </c>
      <c r="B1815" s="6">
        <v>46.31</v>
      </c>
      <c r="C1815" s="6"/>
      <c r="D1815" s="6"/>
    </row>
    <row r="1816" spans="1:4" ht="13" thickBot="1" x14ac:dyDescent="0.3">
      <c r="A1816" s="9">
        <f ca="1"/>
        <v>38706</v>
      </c>
      <c r="B1816" s="6">
        <v>45.53</v>
      </c>
      <c r="C1816" s="6"/>
      <c r="D1816" s="6"/>
    </row>
    <row r="1817" spans="1:4" ht="13" thickBot="1" x14ac:dyDescent="0.3">
      <c r="A1817" s="9">
        <f ca="1"/>
        <v>38707</v>
      </c>
      <c r="B1817" s="6">
        <v>45.54</v>
      </c>
      <c r="C1817" s="6"/>
      <c r="D1817" s="6"/>
    </row>
    <row r="1818" spans="1:4" ht="13" thickBot="1" x14ac:dyDescent="0.3">
      <c r="A1818" s="9">
        <f ca="1"/>
        <v>38708</v>
      </c>
      <c r="B1818" s="6">
        <v>45.56</v>
      </c>
      <c r="C1818" s="6"/>
      <c r="D1818" s="6"/>
    </row>
    <row r="1819" spans="1:4" ht="13" thickBot="1" x14ac:dyDescent="0.3">
      <c r="A1819" s="9">
        <f ca="1"/>
        <v>38709</v>
      </c>
      <c r="B1819" s="6">
        <v>45.65</v>
      </c>
      <c r="C1819" s="6"/>
      <c r="D1819" s="6"/>
    </row>
    <row r="1820" spans="1:4" ht="13" thickBot="1" x14ac:dyDescent="0.3">
      <c r="A1820" s="9">
        <f ca="1"/>
        <v>38710</v>
      </c>
      <c r="B1820" s="5">
        <f t="shared" ref="B1820:B1822" si="259">B1819</f>
        <v>45.65</v>
      </c>
      <c r="C1820" s="6"/>
      <c r="D1820" s="6"/>
    </row>
    <row r="1821" spans="1:4" ht="13" thickBot="1" x14ac:dyDescent="0.3">
      <c r="A1821" s="9">
        <f ca="1"/>
        <v>38711</v>
      </c>
      <c r="B1821" s="5">
        <f t="shared" si="259"/>
        <v>45.65</v>
      </c>
      <c r="C1821" s="6"/>
      <c r="D1821" s="6"/>
    </row>
    <row r="1822" spans="1:4" ht="13" thickBot="1" x14ac:dyDescent="0.3">
      <c r="A1822" s="9">
        <f ca="1"/>
        <v>38712</v>
      </c>
      <c r="B1822" s="5">
        <f t="shared" si="259"/>
        <v>45.65</v>
      </c>
      <c r="C1822" s="6"/>
      <c r="D1822" s="6"/>
    </row>
    <row r="1823" spans="1:4" ht="13" thickBot="1" x14ac:dyDescent="0.3">
      <c r="A1823" s="9">
        <f ca="1"/>
        <v>38713</v>
      </c>
      <c r="B1823" s="6">
        <v>45.77</v>
      </c>
      <c r="C1823" s="6"/>
      <c r="D1823" s="6"/>
    </row>
    <row r="1824" spans="1:4" ht="13" thickBot="1" x14ac:dyDescent="0.3">
      <c r="A1824" s="9">
        <f ca="1"/>
        <v>38714</v>
      </c>
      <c r="B1824" s="6">
        <v>46.14</v>
      </c>
      <c r="C1824" s="6"/>
      <c r="D1824" s="6"/>
    </row>
    <row r="1825" spans="1:4" ht="13" thickBot="1" x14ac:dyDescent="0.3">
      <c r="A1825" s="9">
        <f ca="1"/>
        <v>38715</v>
      </c>
      <c r="B1825" s="6">
        <v>45.89</v>
      </c>
      <c r="C1825" s="6"/>
      <c r="D1825" s="6"/>
    </row>
    <row r="1826" spans="1:4" ht="13" thickBot="1" x14ac:dyDescent="0.3">
      <c r="A1826" s="9">
        <f ca="1"/>
        <v>38716</v>
      </c>
      <c r="B1826" s="6">
        <v>45.15</v>
      </c>
      <c r="C1826" s="6"/>
      <c r="D1826" s="6"/>
    </row>
    <row r="1827" spans="1:4" ht="13" thickBot="1" x14ac:dyDescent="0.3">
      <c r="A1827" s="9">
        <f ca="1"/>
        <v>38717</v>
      </c>
      <c r="B1827" s="5">
        <f t="shared" ref="B1827:B1829" si="260">B1826</f>
        <v>45.15</v>
      </c>
      <c r="C1827" s="6"/>
      <c r="D1827" s="6"/>
    </row>
    <row r="1828" spans="1:4" ht="13" thickBot="1" x14ac:dyDescent="0.3">
      <c r="A1828" s="9">
        <f ca="1"/>
        <v>38718</v>
      </c>
      <c r="B1828" s="5">
        <f t="shared" si="260"/>
        <v>45.15</v>
      </c>
      <c r="C1828" s="6"/>
      <c r="D1828" s="6"/>
    </row>
    <row r="1829" spans="1:4" ht="13" thickBot="1" x14ac:dyDescent="0.3">
      <c r="A1829" s="9">
        <f ca="1"/>
        <v>38719</v>
      </c>
      <c r="B1829" s="5">
        <f t="shared" si="260"/>
        <v>45.15</v>
      </c>
      <c r="C1829" s="6"/>
      <c r="D1829" s="6"/>
    </row>
    <row r="1830" spans="1:4" ht="13" thickBot="1" x14ac:dyDescent="0.3">
      <c r="A1830" s="9">
        <f ca="1"/>
        <v>38720</v>
      </c>
      <c r="B1830" s="6">
        <v>45.61</v>
      </c>
      <c r="C1830" s="6"/>
      <c r="D1830" s="6"/>
    </row>
    <row r="1831" spans="1:4" ht="13" thickBot="1" x14ac:dyDescent="0.3">
      <c r="A1831" s="9">
        <f ca="1"/>
        <v>38721</v>
      </c>
      <c r="B1831" s="6">
        <v>46.46</v>
      </c>
      <c r="C1831" s="6"/>
      <c r="D1831" s="6"/>
    </row>
    <row r="1832" spans="1:4" ht="13" thickBot="1" x14ac:dyDescent="0.3">
      <c r="A1832" s="9">
        <f ca="1"/>
        <v>38722</v>
      </c>
      <c r="B1832" s="6">
        <v>47.92</v>
      </c>
      <c r="C1832" s="6"/>
      <c r="D1832" s="6"/>
    </row>
    <row r="1833" spans="1:4" ht="13" thickBot="1" x14ac:dyDescent="0.3">
      <c r="A1833" s="9">
        <f ca="1"/>
        <v>38723</v>
      </c>
      <c r="B1833" s="6">
        <v>48.62</v>
      </c>
      <c r="C1833" s="6"/>
      <c r="D1833" s="6"/>
    </row>
    <row r="1834" spans="1:4" ht="13" thickBot="1" x14ac:dyDescent="0.3">
      <c r="A1834" s="9">
        <f ca="1"/>
        <v>38724</v>
      </c>
      <c r="B1834" s="5">
        <f t="shared" ref="B1834:B1835" si="261">B1833</f>
        <v>48.62</v>
      </c>
      <c r="C1834" s="6"/>
      <c r="D1834" s="6"/>
    </row>
    <row r="1835" spans="1:4" ht="13" thickBot="1" x14ac:dyDescent="0.3">
      <c r="A1835" s="9">
        <f ca="1"/>
        <v>38725</v>
      </c>
      <c r="B1835" s="5">
        <f t="shared" si="261"/>
        <v>48.62</v>
      </c>
      <c r="C1835" s="6"/>
      <c r="D1835" s="6"/>
    </row>
    <row r="1836" spans="1:4" ht="13" thickBot="1" x14ac:dyDescent="0.3">
      <c r="A1836" s="9">
        <f ca="1"/>
        <v>38726</v>
      </c>
      <c r="B1836" s="6">
        <v>48.82</v>
      </c>
      <c r="C1836" s="6"/>
      <c r="D1836" s="6"/>
    </row>
    <row r="1837" spans="1:4" ht="13" thickBot="1" x14ac:dyDescent="0.3">
      <c r="A1837" s="9">
        <f ca="1"/>
        <v>38727</v>
      </c>
      <c r="B1837" s="6">
        <v>47.93</v>
      </c>
      <c r="C1837" s="6"/>
      <c r="D1837" s="6"/>
    </row>
    <row r="1838" spans="1:4" ht="13" thickBot="1" x14ac:dyDescent="0.3">
      <c r="A1838" s="9">
        <f ca="1"/>
        <v>38728</v>
      </c>
      <c r="B1838" s="6">
        <v>46.26</v>
      </c>
      <c r="C1838" s="6"/>
      <c r="D1838" s="6"/>
    </row>
    <row r="1839" spans="1:4" ht="13" thickBot="1" x14ac:dyDescent="0.3">
      <c r="A1839" s="9">
        <f ca="1"/>
        <v>38729</v>
      </c>
      <c r="B1839" s="6">
        <v>46.07</v>
      </c>
      <c r="C1839" s="6"/>
      <c r="D1839" s="6"/>
    </row>
    <row r="1840" spans="1:4" ht="13" thickBot="1" x14ac:dyDescent="0.3">
      <c r="A1840" s="9">
        <f ca="1"/>
        <v>38730</v>
      </c>
      <c r="B1840" s="6">
        <v>45.91</v>
      </c>
      <c r="C1840" s="6"/>
      <c r="D1840" s="6"/>
    </row>
    <row r="1841" spans="1:4" ht="13" thickBot="1" x14ac:dyDescent="0.3">
      <c r="A1841" s="9">
        <f ca="1"/>
        <v>38731</v>
      </c>
      <c r="B1841" s="5">
        <f t="shared" ref="B1841:B1843" si="262">B1840</f>
        <v>45.91</v>
      </c>
      <c r="C1841" s="6"/>
      <c r="D1841" s="6"/>
    </row>
    <row r="1842" spans="1:4" ht="13" thickBot="1" x14ac:dyDescent="0.3">
      <c r="A1842" s="9">
        <f ca="1"/>
        <v>38732</v>
      </c>
      <c r="B1842" s="5">
        <f t="shared" si="262"/>
        <v>45.91</v>
      </c>
      <c r="C1842" s="6"/>
      <c r="D1842" s="6"/>
    </row>
    <row r="1843" spans="1:4" ht="13" thickBot="1" x14ac:dyDescent="0.3">
      <c r="A1843" s="9">
        <f ca="1"/>
        <v>38733</v>
      </c>
      <c r="B1843" s="5">
        <f t="shared" si="262"/>
        <v>45.91</v>
      </c>
      <c r="C1843" s="6"/>
      <c r="D1843" s="6"/>
    </row>
    <row r="1844" spans="1:4" ht="13" thickBot="1" x14ac:dyDescent="0.3">
      <c r="A1844" s="9">
        <f ca="1"/>
        <v>38734</v>
      </c>
      <c r="B1844" s="6">
        <v>45.89</v>
      </c>
      <c r="C1844" s="6"/>
      <c r="D1844" s="6"/>
    </row>
    <row r="1845" spans="1:4" ht="13" thickBot="1" x14ac:dyDescent="0.3">
      <c r="A1845" s="9">
        <f ca="1"/>
        <v>38735</v>
      </c>
      <c r="B1845" s="6">
        <v>45.26</v>
      </c>
      <c r="C1845" s="6"/>
      <c r="D1845" s="6"/>
    </row>
    <row r="1846" spans="1:4" ht="13" thickBot="1" x14ac:dyDescent="0.3">
      <c r="A1846" s="9">
        <f ca="1"/>
        <v>38736</v>
      </c>
      <c r="B1846" s="6">
        <v>44.88</v>
      </c>
      <c r="C1846" s="6"/>
      <c r="D1846" s="6"/>
    </row>
    <row r="1847" spans="1:4" ht="13" thickBot="1" x14ac:dyDescent="0.3">
      <c r="A1847" s="9">
        <f ca="1"/>
        <v>38737</v>
      </c>
      <c r="B1847" s="6">
        <v>44.74</v>
      </c>
      <c r="C1847" s="6"/>
      <c r="D1847" s="6"/>
    </row>
    <row r="1848" spans="1:4" ht="13" thickBot="1" x14ac:dyDescent="0.3">
      <c r="A1848" s="9">
        <f ca="1"/>
        <v>38738</v>
      </c>
      <c r="B1848" s="5">
        <f t="shared" ref="B1848:B1849" si="263">B1847</f>
        <v>44.74</v>
      </c>
      <c r="C1848" s="6"/>
      <c r="D1848" s="6"/>
    </row>
    <row r="1849" spans="1:4" ht="13" thickBot="1" x14ac:dyDescent="0.3">
      <c r="A1849" s="9">
        <f ca="1"/>
        <v>38739</v>
      </c>
      <c r="B1849" s="5">
        <f t="shared" si="263"/>
        <v>44.74</v>
      </c>
      <c r="C1849" s="6"/>
      <c r="D1849" s="6"/>
    </row>
    <row r="1850" spans="1:4" ht="13" thickBot="1" x14ac:dyDescent="0.3">
      <c r="A1850" s="9">
        <f ca="1"/>
        <v>38740</v>
      </c>
      <c r="B1850" s="6">
        <v>45.14</v>
      </c>
      <c r="C1850" s="6"/>
      <c r="D1850" s="6"/>
    </row>
    <row r="1851" spans="1:4" ht="13" thickBot="1" x14ac:dyDescent="0.3">
      <c r="A1851" s="9">
        <f ca="1"/>
        <v>38741</v>
      </c>
      <c r="B1851" s="6">
        <v>45.04</v>
      </c>
      <c r="C1851" s="6"/>
      <c r="D1851" s="6"/>
    </row>
    <row r="1852" spans="1:4" ht="13" thickBot="1" x14ac:dyDescent="0.3">
      <c r="A1852" s="9">
        <f ca="1"/>
        <v>38742</v>
      </c>
      <c r="B1852" s="6">
        <v>49.3</v>
      </c>
      <c r="C1852" s="6"/>
      <c r="D1852" s="6"/>
    </row>
    <row r="1853" spans="1:4" ht="13" thickBot="1" x14ac:dyDescent="0.3">
      <c r="A1853" s="9">
        <f ca="1"/>
        <v>38743</v>
      </c>
      <c r="B1853" s="6">
        <v>50.42</v>
      </c>
      <c r="C1853" s="6"/>
      <c r="D1853" s="6"/>
    </row>
    <row r="1854" spans="1:4" ht="13" thickBot="1" x14ac:dyDescent="0.3">
      <c r="A1854" s="9">
        <f ca="1"/>
        <v>38744</v>
      </c>
      <c r="B1854" s="6">
        <v>50.29</v>
      </c>
      <c r="C1854" s="6"/>
      <c r="D1854" s="6"/>
    </row>
    <row r="1855" spans="1:4" ht="13" thickBot="1" x14ac:dyDescent="0.3">
      <c r="A1855" s="9">
        <f ca="1"/>
        <v>38745</v>
      </c>
      <c r="B1855" s="5">
        <f t="shared" ref="B1855:B1856" si="264">B1854</f>
        <v>50.29</v>
      </c>
      <c r="C1855" s="6"/>
      <c r="D1855" s="6"/>
    </row>
    <row r="1856" spans="1:4" ht="13" thickBot="1" x14ac:dyDescent="0.3">
      <c r="A1856" s="9">
        <f ca="1"/>
        <v>38746</v>
      </c>
      <c r="B1856" s="5">
        <f t="shared" si="264"/>
        <v>50.29</v>
      </c>
      <c r="C1856" s="6"/>
      <c r="D1856" s="6"/>
    </row>
    <row r="1857" spans="1:4" ht="13" thickBot="1" x14ac:dyDescent="0.3">
      <c r="A1857" s="9">
        <f ca="1"/>
        <v>38747</v>
      </c>
      <c r="B1857" s="6">
        <v>50.48</v>
      </c>
      <c r="C1857" s="6"/>
      <c r="D1857" s="6"/>
    </row>
    <row r="1858" spans="1:4" ht="13" thickBot="1" x14ac:dyDescent="0.3">
      <c r="A1858" s="9">
        <f ca="1"/>
        <v>38748</v>
      </c>
      <c r="B1858" s="6">
        <v>51.1</v>
      </c>
      <c r="C1858" s="6"/>
      <c r="D1858" s="6"/>
    </row>
    <row r="1859" spans="1:4" ht="13" thickBot="1" x14ac:dyDescent="0.3">
      <c r="A1859" s="9">
        <f ca="1"/>
        <v>38749</v>
      </c>
      <c r="B1859" s="6">
        <v>51.08</v>
      </c>
      <c r="C1859" s="6"/>
      <c r="D1859" s="6"/>
    </row>
    <row r="1860" spans="1:4" ht="13" thickBot="1" x14ac:dyDescent="0.3">
      <c r="A1860" s="9">
        <f ca="1"/>
        <v>38750</v>
      </c>
      <c r="B1860" s="6">
        <v>51.8</v>
      </c>
      <c r="C1860" s="6"/>
      <c r="D1860" s="6"/>
    </row>
    <row r="1861" spans="1:4" ht="13" thickBot="1" x14ac:dyDescent="0.3">
      <c r="A1861" s="9">
        <f ca="1"/>
        <v>38751</v>
      </c>
      <c r="B1861" s="6">
        <v>50.02</v>
      </c>
      <c r="C1861" s="6"/>
      <c r="D1861" s="6"/>
    </row>
    <row r="1862" spans="1:4" ht="13" thickBot="1" x14ac:dyDescent="0.3">
      <c r="A1862" s="9">
        <f ca="1"/>
        <v>38752</v>
      </c>
      <c r="B1862" s="5">
        <f t="shared" ref="B1862:B1863" si="265">B1861</f>
        <v>50.02</v>
      </c>
      <c r="C1862" s="6"/>
      <c r="D1862" s="6"/>
    </row>
    <row r="1863" spans="1:4" ht="13" thickBot="1" x14ac:dyDescent="0.3">
      <c r="A1863" s="9">
        <f ca="1"/>
        <v>38753</v>
      </c>
      <c r="B1863" s="5">
        <f t="shared" si="265"/>
        <v>50.02</v>
      </c>
      <c r="C1863" s="6"/>
      <c r="D1863" s="6"/>
    </row>
    <row r="1864" spans="1:4" ht="13" thickBot="1" x14ac:dyDescent="0.3">
      <c r="A1864" s="9">
        <f ca="1"/>
        <v>38754</v>
      </c>
      <c r="B1864" s="6">
        <v>50.21</v>
      </c>
      <c r="C1864" s="6"/>
      <c r="D1864" s="6"/>
    </row>
    <row r="1865" spans="1:4" ht="13" thickBot="1" x14ac:dyDescent="0.3">
      <c r="A1865" s="9">
        <f ca="1"/>
        <v>38755</v>
      </c>
      <c r="B1865" s="6">
        <v>49.94</v>
      </c>
      <c r="C1865" s="6"/>
      <c r="D1865" s="6"/>
    </row>
    <row r="1866" spans="1:4" ht="13" thickBot="1" x14ac:dyDescent="0.3">
      <c r="A1866" s="9">
        <f ca="1"/>
        <v>38756</v>
      </c>
      <c r="B1866" s="6">
        <v>49.77</v>
      </c>
      <c r="C1866" s="6"/>
      <c r="D1866" s="6"/>
    </row>
    <row r="1867" spans="1:4" ht="13" thickBot="1" x14ac:dyDescent="0.3">
      <c r="A1867" s="9">
        <f ca="1"/>
        <v>38757</v>
      </c>
      <c r="B1867" s="6">
        <v>50.49</v>
      </c>
      <c r="C1867" s="6"/>
      <c r="D1867" s="6"/>
    </row>
    <row r="1868" spans="1:4" ht="13" thickBot="1" x14ac:dyDescent="0.3">
      <c r="A1868" s="9">
        <f ca="1"/>
        <v>38758</v>
      </c>
      <c r="B1868" s="6">
        <v>50.43</v>
      </c>
      <c r="C1868" s="6"/>
      <c r="D1868" s="6"/>
    </row>
    <row r="1869" spans="1:4" ht="13" thickBot="1" x14ac:dyDescent="0.3">
      <c r="A1869" s="9">
        <f ca="1"/>
        <v>38759</v>
      </c>
      <c r="B1869" s="5">
        <f t="shared" ref="B1869:B1870" si="266">B1868</f>
        <v>50.43</v>
      </c>
      <c r="C1869" s="6"/>
      <c r="D1869" s="6"/>
    </row>
    <row r="1870" spans="1:4" ht="13" thickBot="1" x14ac:dyDescent="0.3">
      <c r="A1870" s="9">
        <f ca="1"/>
        <v>38760</v>
      </c>
      <c r="B1870" s="5">
        <f t="shared" si="266"/>
        <v>50.43</v>
      </c>
      <c r="C1870" s="6"/>
      <c r="D1870" s="6"/>
    </row>
    <row r="1871" spans="1:4" ht="13" thickBot="1" x14ac:dyDescent="0.3">
      <c r="A1871" s="9">
        <f ca="1"/>
        <v>38761</v>
      </c>
      <c r="B1871" s="6">
        <v>49.29</v>
      </c>
      <c r="C1871" s="6"/>
      <c r="D1871" s="6"/>
    </row>
    <row r="1872" spans="1:4" ht="13" thickBot="1" x14ac:dyDescent="0.3">
      <c r="A1872" s="9">
        <f ca="1"/>
        <v>38762</v>
      </c>
      <c r="B1872" s="6">
        <v>49.3</v>
      </c>
      <c r="C1872" s="6"/>
      <c r="D1872" s="6"/>
    </row>
    <row r="1873" spans="1:4" ht="13" thickBot="1" x14ac:dyDescent="0.3">
      <c r="A1873" s="9">
        <f ca="1"/>
        <v>38763</v>
      </c>
      <c r="B1873" s="6">
        <v>50.45</v>
      </c>
      <c r="C1873" s="6"/>
      <c r="D1873" s="6"/>
    </row>
    <row r="1874" spans="1:4" ht="13" thickBot="1" x14ac:dyDescent="0.3">
      <c r="A1874" s="9">
        <f ca="1"/>
        <v>38764</v>
      </c>
      <c r="B1874" s="6">
        <v>50.56</v>
      </c>
      <c r="C1874" s="6"/>
      <c r="D1874" s="6"/>
    </row>
    <row r="1875" spans="1:4" ht="13" thickBot="1" x14ac:dyDescent="0.3">
      <c r="A1875" s="9">
        <f ca="1"/>
        <v>38765</v>
      </c>
      <c r="B1875" s="6">
        <v>50.75</v>
      </c>
      <c r="C1875" s="6"/>
      <c r="D1875" s="6"/>
    </row>
    <row r="1876" spans="1:4" ht="13" thickBot="1" x14ac:dyDescent="0.3">
      <c r="A1876" s="9">
        <f ca="1"/>
        <v>38766</v>
      </c>
      <c r="B1876" s="5">
        <f t="shared" ref="B1876:B1878" si="267">B1875</f>
        <v>50.75</v>
      </c>
      <c r="C1876" s="6"/>
      <c r="D1876" s="6"/>
    </row>
    <row r="1877" spans="1:4" ht="13" thickBot="1" x14ac:dyDescent="0.3">
      <c r="A1877" s="9">
        <f ca="1"/>
        <v>38767</v>
      </c>
      <c r="B1877" s="5">
        <f t="shared" si="267"/>
        <v>50.75</v>
      </c>
      <c r="C1877" s="6"/>
      <c r="D1877" s="6"/>
    </row>
    <row r="1878" spans="1:4" ht="13" thickBot="1" x14ac:dyDescent="0.3">
      <c r="A1878" s="9">
        <f ca="1"/>
        <v>38768</v>
      </c>
      <c r="B1878" s="5">
        <f t="shared" si="267"/>
        <v>50.75</v>
      </c>
      <c r="C1878" s="6"/>
      <c r="D1878" s="6"/>
    </row>
    <row r="1879" spans="1:4" ht="13" thickBot="1" x14ac:dyDescent="0.3">
      <c r="A1879" s="9">
        <f ca="1"/>
        <v>38769</v>
      </c>
      <c r="B1879" s="6">
        <v>50.88</v>
      </c>
      <c r="C1879" s="6"/>
      <c r="D1879" s="6"/>
    </row>
    <row r="1880" spans="1:4" ht="13" thickBot="1" x14ac:dyDescent="0.3">
      <c r="A1880" s="9">
        <f ca="1"/>
        <v>38770</v>
      </c>
      <c r="B1880" s="6">
        <v>50.96</v>
      </c>
      <c r="C1880" s="6"/>
      <c r="D1880" s="6"/>
    </row>
    <row r="1881" spans="1:4" ht="13" thickBot="1" x14ac:dyDescent="0.3">
      <c r="A1881" s="9">
        <f ca="1"/>
        <v>38771</v>
      </c>
      <c r="B1881" s="6">
        <v>51.96</v>
      </c>
      <c r="C1881" s="6"/>
      <c r="D1881" s="6"/>
    </row>
    <row r="1882" spans="1:4" ht="13" thickBot="1" x14ac:dyDescent="0.3">
      <c r="A1882" s="9">
        <f ca="1"/>
        <v>38772</v>
      </c>
      <c r="B1882" s="6">
        <v>51.59</v>
      </c>
      <c r="C1882" s="6"/>
      <c r="D1882" s="6"/>
    </row>
    <row r="1883" spans="1:4" ht="13" thickBot="1" x14ac:dyDescent="0.3">
      <c r="A1883" s="9">
        <f ca="1"/>
        <v>38773</v>
      </c>
      <c r="B1883" s="5">
        <f t="shared" ref="B1883:B1884" si="268">B1882</f>
        <v>51.59</v>
      </c>
      <c r="C1883" s="6"/>
      <c r="D1883" s="6"/>
    </row>
    <row r="1884" spans="1:4" ht="13" thickBot="1" x14ac:dyDescent="0.3">
      <c r="A1884" s="9">
        <f ca="1"/>
        <v>38774</v>
      </c>
      <c r="B1884" s="5">
        <f t="shared" si="268"/>
        <v>51.59</v>
      </c>
      <c r="C1884" s="6"/>
      <c r="D1884" s="6"/>
    </row>
    <row r="1885" spans="1:4" ht="13" thickBot="1" x14ac:dyDescent="0.3">
      <c r="A1885" s="9">
        <f ca="1"/>
        <v>38775</v>
      </c>
      <c r="B1885" s="6">
        <v>51.79</v>
      </c>
      <c r="C1885" s="6"/>
      <c r="D1885" s="6"/>
    </row>
    <row r="1886" spans="1:4" ht="13" thickBot="1" x14ac:dyDescent="0.3">
      <c r="A1886" s="9">
        <f ca="1"/>
        <v>38776</v>
      </c>
      <c r="B1886" s="6">
        <v>51.47</v>
      </c>
      <c r="C1886" s="6"/>
      <c r="D1886" s="6"/>
    </row>
    <row r="1887" spans="1:4" ht="13" thickBot="1" x14ac:dyDescent="0.3">
      <c r="A1887" s="9">
        <f ca="1"/>
        <v>38777</v>
      </c>
      <c r="B1887" s="6">
        <v>51.42</v>
      </c>
      <c r="C1887" s="6"/>
      <c r="D1887" s="6"/>
    </row>
    <row r="1888" spans="1:4" ht="13" thickBot="1" x14ac:dyDescent="0.3">
      <c r="A1888" s="9">
        <f ca="1"/>
        <v>38778</v>
      </c>
      <c r="B1888" s="6">
        <v>51.48</v>
      </c>
      <c r="C1888" s="6"/>
      <c r="D1888" s="6"/>
    </row>
    <row r="1889" spans="1:4" ht="13" thickBot="1" x14ac:dyDescent="0.3">
      <c r="A1889" s="9">
        <f ca="1"/>
        <v>38779</v>
      </c>
      <c r="B1889" s="6">
        <v>51.38</v>
      </c>
      <c r="C1889" s="6"/>
      <c r="D1889" s="6"/>
    </row>
    <row r="1890" spans="1:4" ht="13" thickBot="1" x14ac:dyDescent="0.3">
      <c r="A1890" s="9">
        <f ca="1"/>
        <v>38780</v>
      </c>
      <c r="B1890" s="5">
        <f t="shared" ref="B1890:B1891" si="269">B1889</f>
        <v>51.38</v>
      </c>
      <c r="C1890" s="6"/>
      <c r="D1890" s="6"/>
    </row>
    <row r="1891" spans="1:4" ht="13" thickBot="1" x14ac:dyDescent="0.3">
      <c r="A1891" s="9">
        <f ca="1"/>
        <v>38781</v>
      </c>
      <c r="B1891" s="5">
        <f t="shared" si="269"/>
        <v>51.38</v>
      </c>
      <c r="C1891" s="6"/>
      <c r="D1891" s="6"/>
    </row>
    <row r="1892" spans="1:4" ht="13" thickBot="1" x14ac:dyDescent="0.3">
      <c r="A1892" s="9">
        <f ca="1"/>
        <v>38782</v>
      </c>
      <c r="B1892" s="6">
        <v>52.31</v>
      </c>
      <c r="C1892" s="6"/>
      <c r="D1892" s="6"/>
    </row>
    <row r="1893" spans="1:4" ht="13" thickBot="1" x14ac:dyDescent="0.3">
      <c r="A1893" s="9">
        <f ca="1"/>
        <v>38783</v>
      </c>
      <c r="B1893" s="6">
        <v>51.24</v>
      </c>
      <c r="C1893" s="6"/>
      <c r="D1893" s="6"/>
    </row>
    <row r="1894" spans="1:4" ht="13" thickBot="1" x14ac:dyDescent="0.3">
      <c r="A1894" s="9">
        <f ca="1"/>
        <v>38784</v>
      </c>
      <c r="B1894" s="6">
        <v>50.69</v>
      </c>
      <c r="C1894" s="6"/>
      <c r="D1894" s="6"/>
    </row>
    <row r="1895" spans="1:4" ht="13" thickBot="1" x14ac:dyDescent="0.3">
      <c r="A1895" s="9">
        <f ca="1"/>
        <v>38785</v>
      </c>
      <c r="B1895" s="6">
        <v>51.35</v>
      </c>
      <c r="C1895" s="6"/>
      <c r="D1895" s="6"/>
    </row>
    <row r="1896" spans="1:4" ht="13" thickBot="1" x14ac:dyDescent="0.3">
      <c r="A1896" s="9">
        <f ca="1"/>
        <v>38786</v>
      </c>
      <c r="B1896" s="6">
        <v>51.28</v>
      </c>
      <c r="C1896" s="6"/>
      <c r="D1896" s="6"/>
    </row>
    <row r="1897" spans="1:4" ht="13" thickBot="1" x14ac:dyDescent="0.3">
      <c r="A1897" s="9">
        <f ca="1"/>
        <v>38787</v>
      </c>
      <c r="B1897" s="5">
        <f t="shared" ref="B1897:B1898" si="270">B1896</f>
        <v>51.28</v>
      </c>
      <c r="C1897" s="6"/>
      <c r="D1897" s="6"/>
    </row>
    <row r="1898" spans="1:4" ht="13" thickBot="1" x14ac:dyDescent="0.3">
      <c r="A1898" s="9">
        <f ca="1"/>
        <v>38788</v>
      </c>
      <c r="B1898" s="5">
        <f t="shared" si="270"/>
        <v>51.28</v>
      </c>
      <c r="C1898" s="6"/>
      <c r="D1898" s="6"/>
    </row>
    <row r="1899" spans="1:4" ht="13" thickBot="1" x14ac:dyDescent="0.3">
      <c r="A1899" s="9">
        <f ca="1"/>
        <v>38789</v>
      </c>
      <c r="B1899" s="6">
        <v>51.67</v>
      </c>
      <c r="C1899" s="6"/>
      <c r="D1899" s="6"/>
    </row>
    <row r="1900" spans="1:4" ht="13" thickBot="1" x14ac:dyDescent="0.3">
      <c r="A1900" s="9">
        <f ca="1"/>
        <v>38790</v>
      </c>
      <c r="B1900" s="6">
        <v>51.68</v>
      </c>
      <c r="C1900" s="6"/>
      <c r="D1900" s="6"/>
    </row>
    <row r="1901" spans="1:4" ht="13" thickBot="1" x14ac:dyDescent="0.3">
      <c r="A1901" s="9">
        <f ca="1"/>
        <v>38791</v>
      </c>
      <c r="B1901" s="6">
        <v>52.5</v>
      </c>
      <c r="C1901" s="6"/>
      <c r="D1901" s="6"/>
    </row>
    <row r="1902" spans="1:4" ht="13" thickBot="1" x14ac:dyDescent="0.3">
      <c r="A1902" s="9">
        <f ca="1"/>
        <v>38792</v>
      </c>
      <c r="B1902" s="6">
        <v>53.01</v>
      </c>
      <c r="C1902" s="6"/>
      <c r="D1902" s="6"/>
    </row>
    <row r="1903" spans="1:4" ht="13" thickBot="1" x14ac:dyDescent="0.3">
      <c r="A1903" s="9">
        <f ca="1"/>
        <v>38793</v>
      </c>
      <c r="B1903" s="6">
        <v>52.98</v>
      </c>
      <c r="C1903" s="6"/>
      <c r="D1903" s="6"/>
    </row>
    <row r="1904" spans="1:4" ht="13" thickBot="1" x14ac:dyDescent="0.3">
      <c r="A1904" s="9">
        <f ca="1"/>
        <v>38794</v>
      </c>
      <c r="B1904" s="5">
        <f t="shared" ref="B1904:B1905" si="271">B1903</f>
        <v>52.98</v>
      </c>
      <c r="C1904" s="6"/>
      <c r="D1904" s="6"/>
    </row>
    <row r="1905" spans="1:4" ht="13" thickBot="1" x14ac:dyDescent="0.3">
      <c r="A1905" s="9">
        <f ca="1"/>
        <v>38795</v>
      </c>
      <c r="B1905" s="5">
        <f t="shared" si="271"/>
        <v>52.98</v>
      </c>
      <c r="C1905" s="6"/>
      <c r="D1905" s="6"/>
    </row>
    <row r="1906" spans="1:4" ht="13" thickBot="1" x14ac:dyDescent="0.3">
      <c r="A1906" s="9">
        <f ca="1"/>
        <v>38796</v>
      </c>
      <c r="B1906" s="6">
        <v>53.07</v>
      </c>
      <c r="C1906" s="6"/>
      <c r="D1906" s="6"/>
    </row>
    <row r="1907" spans="1:4" ht="13" thickBot="1" x14ac:dyDescent="0.3">
      <c r="A1907" s="9">
        <f ca="1"/>
        <v>38797</v>
      </c>
      <c r="B1907" s="6">
        <v>52.95</v>
      </c>
      <c r="C1907" s="6"/>
      <c r="D1907" s="6"/>
    </row>
    <row r="1908" spans="1:4" ht="13" thickBot="1" x14ac:dyDescent="0.3">
      <c r="A1908" s="9">
        <f ca="1"/>
        <v>38798</v>
      </c>
      <c r="B1908" s="6">
        <v>52.34</v>
      </c>
      <c r="C1908" s="6"/>
      <c r="D1908" s="6"/>
    </row>
    <row r="1909" spans="1:4" ht="13" thickBot="1" x14ac:dyDescent="0.3">
      <c r="A1909" s="9">
        <f ca="1"/>
        <v>38799</v>
      </c>
      <c r="B1909" s="6">
        <v>52.67</v>
      </c>
      <c r="C1909" s="6"/>
      <c r="D1909" s="6"/>
    </row>
    <row r="1910" spans="1:4" ht="13" thickBot="1" x14ac:dyDescent="0.3">
      <c r="A1910" s="9">
        <f ca="1"/>
        <v>38800</v>
      </c>
      <c r="B1910" s="6">
        <v>51.9</v>
      </c>
      <c r="C1910" s="6"/>
      <c r="D1910" s="6"/>
    </row>
    <row r="1911" spans="1:4" ht="13" thickBot="1" x14ac:dyDescent="0.3">
      <c r="A1911" s="9">
        <f ca="1"/>
        <v>38801</v>
      </c>
      <c r="B1911" s="5">
        <f t="shared" ref="B1911:B1912" si="272">B1910</f>
        <v>51.9</v>
      </c>
      <c r="C1911" s="6"/>
      <c r="D1911" s="6"/>
    </row>
    <row r="1912" spans="1:4" ht="13" thickBot="1" x14ac:dyDescent="0.3">
      <c r="A1912" s="9">
        <f ca="1"/>
        <v>38802</v>
      </c>
      <c r="B1912" s="5">
        <f t="shared" si="272"/>
        <v>51.9</v>
      </c>
      <c r="C1912" s="6"/>
      <c r="D1912" s="6"/>
    </row>
    <row r="1913" spans="1:4" ht="13" thickBot="1" x14ac:dyDescent="0.3">
      <c r="A1913" s="9">
        <f ca="1"/>
        <v>38803</v>
      </c>
      <c r="B1913" s="6">
        <v>51.51</v>
      </c>
      <c r="C1913" s="6"/>
      <c r="D1913" s="6"/>
    </row>
    <row r="1914" spans="1:4" ht="13" thickBot="1" x14ac:dyDescent="0.3">
      <c r="A1914" s="9">
        <f ca="1"/>
        <v>38804</v>
      </c>
      <c r="B1914" s="6">
        <v>51.79</v>
      </c>
      <c r="C1914" s="6"/>
      <c r="D1914" s="6"/>
    </row>
    <row r="1915" spans="1:4" ht="13" thickBot="1" x14ac:dyDescent="0.3">
      <c r="A1915" s="9">
        <f ca="1"/>
        <v>38805</v>
      </c>
      <c r="B1915" s="6">
        <v>51.87</v>
      </c>
      <c r="C1915" s="6"/>
      <c r="D1915" s="6"/>
    </row>
    <row r="1916" spans="1:4" ht="13" thickBot="1" x14ac:dyDescent="0.3">
      <c r="A1916" s="9">
        <f ca="1"/>
        <v>38806</v>
      </c>
      <c r="B1916" s="6">
        <v>53.58</v>
      </c>
      <c r="C1916" s="6"/>
      <c r="D1916" s="6"/>
    </row>
    <row r="1917" spans="1:4" ht="13" thickBot="1" x14ac:dyDescent="0.3">
      <c r="A1917" s="9">
        <f ca="1"/>
        <v>38807</v>
      </c>
      <c r="B1917" s="6">
        <v>54.33</v>
      </c>
      <c r="C1917" s="6"/>
      <c r="D1917" s="6"/>
    </row>
    <row r="1918" spans="1:4" ht="13" thickBot="1" x14ac:dyDescent="0.3">
      <c r="A1918" s="9">
        <f ca="1"/>
        <v>38808</v>
      </c>
      <c r="B1918" s="5">
        <f t="shared" ref="B1918:B1919" si="273">B1917</f>
        <v>54.33</v>
      </c>
      <c r="C1918" s="6"/>
      <c r="D1918" s="6"/>
    </row>
    <row r="1919" spans="1:4" ht="13" thickBot="1" x14ac:dyDescent="0.3">
      <c r="A1919" s="9">
        <f ca="1"/>
        <v>38809</v>
      </c>
      <c r="B1919" s="5">
        <f t="shared" si="273"/>
        <v>54.33</v>
      </c>
      <c r="C1919" s="6"/>
      <c r="D1919" s="6"/>
    </row>
    <row r="1920" spans="1:4" ht="13" thickBot="1" x14ac:dyDescent="0.3">
      <c r="A1920" s="9">
        <f ca="1"/>
        <v>38810</v>
      </c>
      <c r="B1920" s="6">
        <v>54.19</v>
      </c>
      <c r="C1920" s="6"/>
      <c r="D1920" s="6"/>
    </row>
    <row r="1921" spans="1:4" ht="13" thickBot="1" x14ac:dyDescent="0.3">
      <c r="A1921" s="9">
        <f ca="1"/>
        <v>38811</v>
      </c>
      <c r="B1921" s="6">
        <v>54.72</v>
      </c>
      <c r="C1921" s="6"/>
      <c r="D1921" s="6"/>
    </row>
    <row r="1922" spans="1:4" ht="13" thickBot="1" x14ac:dyDescent="0.3">
      <c r="A1922" s="9">
        <f ca="1"/>
        <v>38812</v>
      </c>
      <c r="B1922" s="6">
        <v>54.65</v>
      </c>
      <c r="C1922" s="6"/>
      <c r="D1922" s="6"/>
    </row>
    <row r="1923" spans="1:4" ht="13" thickBot="1" x14ac:dyDescent="0.3">
      <c r="A1923" s="9">
        <f ca="1"/>
        <v>38813</v>
      </c>
      <c r="B1923" s="6">
        <v>56.53</v>
      </c>
      <c r="C1923" s="6"/>
      <c r="D1923" s="6"/>
    </row>
    <row r="1924" spans="1:4" ht="13" thickBot="1" x14ac:dyDescent="0.3">
      <c r="A1924" s="9">
        <f ca="1"/>
        <v>38814</v>
      </c>
      <c r="B1924" s="6">
        <v>57.66</v>
      </c>
      <c r="C1924" s="6"/>
      <c r="D1924" s="6"/>
    </row>
    <row r="1925" spans="1:4" ht="13" thickBot="1" x14ac:dyDescent="0.3">
      <c r="A1925" s="9">
        <f ca="1"/>
        <v>38815</v>
      </c>
      <c r="B1925" s="5">
        <f t="shared" ref="B1925:B1926" si="274">B1924</f>
        <v>57.66</v>
      </c>
      <c r="C1925" s="6"/>
      <c r="D1925" s="6"/>
    </row>
    <row r="1926" spans="1:4" ht="13" thickBot="1" x14ac:dyDescent="0.3">
      <c r="A1926" s="9">
        <f ca="1"/>
        <v>38816</v>
      </c>
      <c r="B1926" s="5">
        <f t="shared" si="274"/>
        <v>57.66</v>
      </c>
      <c r="C1926" s="6"/>
      <c r="D1926" s="6"/>
    </row>
    <row r="1927" spans="1:4" ht="13" thickBot="1" x14ac:dyDescent="0.3">
      <c r="A1927" s="9">
        <f ca="1"/>
        <v>38817</v>
      </c>
      <c r="B1927" s="6">
        <v>56.8</v>
      </c>
      <c r="C1927" s="6"/>
      <c r="D1927" s="6"/>
    </row>
    <row r="1928" spans="1:4" ht="13" thickBot="1" x14ac:dyDescent="0.3">
      <c r="A1928" s="9">
        <f ca="1"/>
        <v>38818</v>
      </c>
      <c r="B1928" s="6">
        <v>56.43</v>
      </c>
      <c r="C1928" s="6"/>
      <c r="D1928" s="6"/>
    </row>
    <row r="1929" spans="1:4" ht="13" thickBot="1" x14ac:dyDescent="0.3">
      <c r="A1929" s="9">
        <f ca="1"/>
        <v>38819</v>
      </c>
      <c r="B1929" s="6">
        <v>55.66</v>
      </c>
      <c r="C1929" s="6"/>
      <c r="D1929" s="6"/>
    </row>
    <row r="1930" spans="1:4" ht="13" thickBot="1" x14ac:dyDescent="0.3">
      <c r="A1930" s="9">
        <f ca="1"/>
        <v>38820</v>
      </c>
      <c r="B1930" s="6">
        <v>55</v>
      </c>
      <c r="C1930" s="6"/>
      <c r="D1930" s="6"/>
    </row>
    <row r="1931" spans="1:4" ht="13" thickBot="1" x14ac:dyDescent="0.3">
      <c r="A1931" s="9">
        <f ca="1"/>
        <v>38821</v>
      </c>
      <c r="B1931" s="5">
        <f t="shared" ref="B1931:B1933" si="275">B1930</f>
        <v>55</v>
      </c>
      <c r="C1931" s="6"/>
      <c r="D1931" s="6"/>
    </row>
    <row r="1932" spans="1:4" ht="13" thickBot="1" x14ac:dyDescent="0.3">
      <c r="A1932" s="9">
        <f ca="1"/>
        <v>38822</v>
      </c>
      <c r="B1932" s="5">
        <f t="shared" si="275"/>
        <v>55</v>
      </c>
      <c r="C1932" s="6"/>
      <c r="D1932" s="6"/>
    </row>
    <row r="1933" spans="1:4" ht="13" thickBot="1" x14ac:dyDescent="0.3">
      <c r="A1933" s="9">
        <f ca="1"/>
        <v>38823</v>
      </c>
      <c r="B1933" s="5">
        <f t="shared" si="275"/>
        <v>55</v>
      </c>
      <c r="C1933" s="6"/>
      <c r="D1933" s="6"/>
    </row>
    <row r="1934" spans="1:4" ht="13" thickBot="1" x14ac:dyDescent="0.3">
      <c r="A1934" s="9">
        <f ca="1"/>
        <v>38824</v>
      </c>
      <c r="B1934" s="6">
        <v>55.36</v>
      </c>
      <c r="C1934" s="6"/>
      <c r="D1934" s="6"/>
    </row>
    <row r="1935" spans="1:4" ht="13" thickBot="1" x14ac:dyDescent="0.3">
      <c r="A1935" s="9">
        <f ca="1"/>
        <v>38825</v>
      </c>
      <c r="B1935" s="6">
        <v>55.34</v>
      </c>
      <c r="C1935" s="6"/>
      <c r="D1935" s="6"/>
    </row>
    <row r="1936" spans="1:4" ht="13" thickBot="1" x14ac:dyDescent="0.3">
      <c r="A1936" s="9">
        <f ca="1"/>
        <v>38826</v>
      </c>
      <c r="B1936" s="6">
        <v>56.53</v>
      </c>
      <c r="C1936" s="6"/>
      <c r="D1936" s="6"/>
    </row>
    <row r="1937" spans="1:4" ht="13" thickBot="1" x14ac:dyDescent="0.3">
      <c r="A1937" s="9">
        <f ca="1"/>
        <v>38827</v>
      </c>
      <c r="B1937" s="6">
        <v>55.78</v>
      </c>
      <c r="C1937" s="6"/>
      <c r="D1937" s="6"/>
    </row>
    <row r="1938" spans="1:4" ht="13" thickBot="1" x14ac:dyDescent="0.3">
      <c r="A1938" s="9">
        <f ca="1"/>
        <v>38828</v>
      </c>
      <c r="B1938" s="6">
        <v>55.12</v>
      </c>
      <c r="C1938" s="6"/>
      <c r="D1938" s="6"/>
    </row>
    <row r="1939" spans="1:4" ht="13" thickBot="1" x14ac:dyDescent="0.3">
      <c r="A1939" s="9">
        <f ca="1"/>
        <v>38829</v>
      </c>
      <c r="B1939" s="5">
        <f t="shared" ref="B1939:B1940" si="276">B1938</f>
        <v>55.12</v>
      </c>
      <c r="C1939" s="6"/>
      <c r="D1939" s="6"/>
    </row>
    <row r="1940" spans="1:4" ht="13" thickBot="1" x14ac:dyDescent="0.3">
      <c r="A1940" s="9">
        <f ca="1"/>
        <v>38830</v>
      </c>
      <c r="B1940" s="5">
        <f t="shared" si="276"/>
        <v>55.12</v>
      </c>
      <c r="C1940" s="6"/>
      <c r="D1940" s="6"/>
    </row>
    <row r="1941" spans="1:4" ht="13" thickBot="1" x14ac:dyDescent="0.3">
      <c r="A1941" s="9">
        <f ca="1"/>
        <v>38831</v>
      </c>
      <c r="B1941" s="6">
        <v>54.77</v>
      </c>
      <c r="C1941" s="6"/>
      <c r="D1941" s="6"/>
    </row>
    <row r="1942" spans="1:4" ht="13" thickBot="1" x14ac:dyDescent="0.3">
      <c r="A1942" s="9">
        <f ca="1"/>
        <v>38832</v>
      </c>
      <c r="B1942" s="6">
        <v>54.81</v>
      </c>
      <c r="C1942" s="6"/>
      <c r="D1942" s="6"/>
    </row>
    <row r="1943" spans="1:4" ht="13" thickBot="1" x14ac:dyDescent="0.3">
      <c r="A1943" s="9">
        <f ca="1"/>
        <v>38833</v>
      </c>
      <c r="B1943" s="6">
        <v>55.48</v>
      </c>
      <c r="C1943" s="6"/>
      <c r="D1943" s="6"/>
    </row>
    <row r="1944" spans="1:4" ht="13" thickBot="1" x14ac:dyDescent="0.3">
      <c r="A1944" s="9">
        <f ca="1"/>
        <v>38834</v>
      </c>
      <c r="B1944" s="6">
        <v>54.69</v>
      </c>
      <c r="C1944" s="6"/>
      <c r="D1944" s="6"/>
    </row>
    <row r="1945" spans="1:4" ht="13" thickBot="1" x14ac:dyDescent="0.3">
      <c r="A1945" s="9">
        <f ca="1"/>
        <v>38835</v>
      </c>
      <c r="B1945" s="6">
        <v>54.78</v>
      </c>
      <c r="C1945" s="6"/>
      <c r="D1945" s="6"/>
    </row>
    <row r="1946" spans="1:4" ht="13" thickBot="1" x14ac:dyDescent="0.3">
      <c r="A1946" s="9">
        <f ca="1"/>
        <v>38836</v>
      </c>
      <c r="B1946" s="5">
        <f t="shared" ref="B1946:B1947" si="277">B1945</f>
        <v>54.78</v>
      </c>
      <c r="C1946" s="6"/>
      <c r="D1946" s="6"/>
    </row>
    <row r="1947" spans="1:4" ht="13" thickBot="1" x14ac:dyDescent="0.3">
      <c r="A1947" s="9">
        <f ca="1"/>
        <v>38837</v>
      </c>
      <c r="B1947" s="5">
        <f t="shared" si="277"/>
        <v>54.78</v>
      </c>
      <c r="C1947" s="6"/>
      <c r="D1947" s="6"/>
    </row>
    <row r="1948" spans="1:4" ht="13" thickBot="1" x14ac:dyDescent="0.3">
      <c r="A1948" s="9">
        <f ca="1"/>
        <v>38838</v>
      </c>
      <c r="B1948" s="6">
        <v>54.56</v>
      </c>
      <c r="C1948" s="6"/>
      <c r="D1948" s="6"/>
    </row>
    <row r="1949" spans="1:4" ht="13" thickBot="1" x14ac:dyDescent="0.3">
      <c r="A1949" s="9">
        <f ca="1"/>
        <v>38839</v>
      </c>
      <c r="B1949" s="6">
        <v>55.24</v>
      </c>
      <c r="C1949" s="6"/>
      <c r="D1949" s="6"/>
    </row>
    <row r="1950" spans="1:4" ht="13" thickBot="1" x14ac:dyDescent="0.3">
      <c r="A1950" s="9">
        <f ca="1"/>
        <v>38840</v>
      </c>
      <c r="B1950" s="6">
        <v>54.65</v>
      </c>
      <c r="C1950" s="6"/>
      <c r="D1950" s="6"/>
    </row>
    <row r="1951" spans="1:4" ht="13" thickBot="1" x14ac:dyDescent="0.3">
      <c r="A1951" s="9">
        <f ca="1"/>
        <v>38841</v>
      </c>
      <c r="B1951" s="6">
        <v>55.3</v>
      </c>
      <c r="C1951" s="6"/>
      <c r="D1951" s="6"/>
    </row>
    <row r="1952" spans="1:4" ht="13" thickBot="1" x14ac:dyDescent="0.3">
      <c r="A1952" s="9">
        <f ca="1"/>
        <v>38842</v>
      </c>
      <c r="B1952" s="6">
        <v>55.9</v>
      </c>
      <c r="C1952" s="6"/>
      <c r="D1952" s="6"/>
    </row>
    <row r="1953" spans="1:4" ht="13" thickBot="1" x14ac:dyDescent="0.3">
      <c r="A1953" s="9">
        <f ca="1"/>
        <v>38843</v>
      </c>
      <c r="B1953" s="5">
        <f t="shared" ref="B1953:B1954" si="278">B1952</f>
        <v>55.9</v>
      </c>
      <c r="C1953" s="6"/>
      <c r="D1953" s="6"/>
    </row>
    <row r="1954" spans="1:4" ht="13" thickBot="1" x14ac:dyDescent="0.3">
      <c r="A1954" s="9">
        <f ca="1"/>
        <v>38844</v>
      </c>
      <c r="B1954" s="5">
        <f t="shared" si="278"/>
        <v>55.9</v>
      </c>
      <c r="C1954" s="6"/>
      <c r="D1954" s="6"/>
    </row>
    <row r="1955" spans="1:4" ht="13" thickBot="1" x14ac:dyDescent="0.3">
      <c r="A1955" s="9">
        <f ca="1"/>
        <v>38845</v>
      </c>
      <c r="B1955" s="6">
        <v>56</v>
      </c>
      <c r="C1955" s="6"/>
      <c r="D1955" s="6"/>
    </row>
    <row r="1956" spans="1:4" ht="13" thickBot="1" x14ac:dyDescent="0.3">
      <c r="A1956" s="9">
        <f ca="1"/>
        <v>38846</v>
      </c>
      <c r="B1956" s="6">
        <v>55.45</v>
      </c>
      <c r="C1956" s="6"/>
      <c r="D1956" s="6"/>
    </row>
    <row r="1957" spans="1:4" ht="13" thickBot="1" x14ac:dyDescent="0.3">
      <c r="A1957" s="9">
        <f ca="1"/>
        <v>38847</v>
      </c>
      <c r="B1957" s="6">
        <v>55.52</v>
      </c>
      <c r="C1957" s="6"/>
      <c r="D1957" s="6"/>
    </row>
    <row r="1958" spans="1:4" ht="13" thickBot="1" x14ac:dyDescent="0.3">
      <c r="A1958" s="9">
        <f ca="1"/>
        <v>38848</v>
      </c>
      <c r="B1958" s="6">
        <v>55.28</v>
      </c>
      <c r="C1958" s="6"/>
      <c r="D1958" s="6"/>
    </row>
    <row r="1959" spans="1:4" ht="13" thickBot="1" x14ac:dyDescent="0.3">
      <c r="A1959" s="9">
        <f ca="1"/>
        <v>38849</v>
      </c>
      <c r="B1959" s="6">
        <v>54.28</v>
      </c>
      <c r="C1959" s="6"/>
      <c r="D1959" s="6"/>
    </row>
    <row r="1960" spans="1:4" ht="13" thickBot="1" x14ac:dyDescent="0.3">
      <c r="A1960" s="9">
        <f ca="1"/>
        <v>38850</v>
      </c>
      <c r="B1960" s="5">
        <f t="shared" ref="B1960:B1961" si="279">B1959</f>
        <v>54.28</v>
      </c>
      <c r="C1960" s="6"/>
      <c r="D1960" s="6"/>
    </row>
    <row r="1961" spans="1:4" ht="13" thickBot="1" x14ac:dyDescent="0.3">
      <c r="A1961" s="9">
        <f ca="1"/>
        <v>38851</v>
      </c>
      <c r="B1961" s="5">
        <f t="shared" si="279"/>
        <v>54.28</v>
      </c>
      <c r="C1961" s="6"/>
      <c r="D1961" s="6"/>
    </row>
    <row r="1962" spans="1:4" ht="13" thickBot="1" x14ac:dyDescent="0.3">
      <c r="A1962" s="9">
        <f ca="1"/>
        <v>38852</v>
      </c>
      <c r="B1962" s="6">
        <v>53.47</v>
      </c>
      <c r="C1962" s="6"/>
      <c r="D1962" s="6"/>
    </row>
    <row r="1963" spans="1:4" ht="13" thickBot="1" x14ac:dyDescent="0.3">
      <c r="A1963" s="9">
        <f ca="1"/>
        <v>38853</v>
      </c>
      <c r="B1963" s="6">
        <v>54.1</v>
      </c>
      <c r="C1963" s="6"/>
      <c r="D1963" s="6"/>
    </row>
    <row r="1964" spans="1:4" ht="13" thickBot="1" x14ac:dyDescent="0.3">
      <c r="A1964" s="9">
        <f ca="1"/>
        <v>38854</v>
      </c>
      <c r="B1964" s="6">
        <v>53.01</v>
      </c>
      <c r="C1964" s="6"/>
      <c r="D1964" s="6"/>
    </row>
    <row r="1965" spans="1:4" ht="13" thickBot="1" x14ac:dyDescent="0.3">
      <c r="A1965" s="9">
        <f ca="1"/>
        <v>38855</v>
      </c>
      <c r="B1965" s="6">
        <v>52.39</v>
      </c>
      <c r="C1965" s="6"/>
      <c r="D1965" s="6"/>
    </row>
    <row r="1966" spans="1:4" ht="13" thickBot="1" x14ac:dyDescent="0.3">
      <c r="A1966" s="9">
        <f ca="1"/>
        <v>38856</v>
      </c>
      <c r="B1966" s="6">
        <v>52.71</v>
      </c>
      <c r="C1966" s="6"/>
      <c r="D1966" s="6"/>
    </row>
    <row r="1967" spans="1:4" ht="13" thickBot="1" x14ac:dyDescent="0.3">
      <c r="A1967" s="9">
        <f ca="1"/>
        <v>38857</v>
      </c>
      <c r="B1967" s="5">
        <f t="shared" ref="B1967:B1968" si="280">B1966</f>
        <v>52.71</v>
      </c>
      <c r="C1967" s="6"/>
      <c r="D1967" s="6"/>
    </row>
    <row r="1968" spans="1:4" ht="13" thickBot="1" x14ac:dyDescent="0.3">
      <c r="A1968" s="9">
        <f ca="1"/>
        <v>38858</v>
      </c>
      <c r="B1968" s="5">
        <f t="shared" si="280"/>
        <v>52.71</v>
      </c>
      <c r="C1968" s="6"/>
      <c r="D1968" s="6"/>
    </row>
    <row r="1969" spans="1:4" ht="13" thickBot="1" x14ac:dyDescent="0.3">
      <c r="A1969" s="9">
        <f ca="1"/>
        <v>38859</v>
      </c>
      <c r="B1969" s="6">
        <v>52.88</v>
      </c>
      <c r="C1969" s="6"/>
      <c r="D1969" s="6"/>
    </row>
    <row r="1970" spans="1:4" ht="13" thickBot="1" x14ac:dyDescent="0.3">
      <c r="A1970" s="9">
        <f ca="1"/>
        <v>38860</v>
      </c>
      <c r="B1970" s="6">
        <v>53.97</v>
      </c>
      <c r="C1970" s="6"/>
      <c r="D1970" s="6"/>
    </row>
    <row r="1971" spans="1:4" ht="13" thickBot="1" x14ac:dyDescent="0.3">
      <c r="A1971" s="9">
        <f ca="1"/>
        <v>38861</v>
      </c>
      <c r="B1971" s="6">
        <v>53.17</v>
      </c>
      <c r="C1971" s="6"/>
      <c r="D1971" s="6"/>
    </row>
    <row r="1972" spans="1:4" ht="13" thickBot="1" x14ac:dyDescent="0.3">
      <c r="A1972" s="9">
        <f ca="1"/>
        <v>38862</v>
      </c>
      <c r="B1972" s="6">
        <v>53.55</v>
      </c>
      <c r="C1972" s="6"/>
      <c r="D1972" s="6"/>
    </row>
    <row r="1973" spans="1:4" ht="13" thickBot="1" x14ac:dyDescent="0.3">
      <c r="A1973" s="9">
        <f ca="1"/>
        <v>38863</v>
      </c>
      <c r="B1973" s="6">
        <v>53.81</v>
      </c>
      <c r="C1973" s="6"/>
      <c r="D1973" s="6"/>
    </row>
    <row r="1974" spans="1:4" ht="13" thickBot="1" x14ac:dyDescent="0.3">
      <c r="A1974" s="9">
        <f ca="1"/>
        <v>38864</v>
      </c>
      <c r="B1974" s="5">
        <f t="shared" ref="B1974:B1976" si="281">B1973</f>
        <v>53.81</v>
      </c>
      <c r="C1974" s="6"/>
      <c r="D1974" s="6"/>
    </row>
    <row r="1975" spans="1:4" ht="13" thickBot="1" x14ac:dyDescent="0.3">
      <c r="A1975" s="9">
        <f ca="1"/>
        <v>38865</v>
      </c>
      <c r="B1975" s="5">
        <f t="shared" si="281"/>
        <v>53.81</v>
      </c>
      <c r="C1975" s="6"/>
      <c r="D1975" s="6"/>
    </row>
    <row r="1976" spans="1:4" ht="13" thickBot="1" x14ac:dyDescent="0.3">
      <c r="A1976" s="9">
        <f ca="1"/>
        <v>38866</v>
      </c>
      <c r="B1976" s="5">
        <f t="shared" si="281"/>
        <v>53.81</v>
      </c>
      <c r="C1976" s="6"/>
      <c r="D1976" s="6"/>
    </row>
    <row r="1977" spans="1:4" ht="13" thickBot="1" x14ac:dyDescent="0.3">
      <c r="A1977" s="9">
        <f ca="1"/>
        <v>38867</v>
      </c>
      <c r="B1977" s="6">
        <v>53.1</v>
      </c>
      <c r="C1977" s="6"/>
      <c r="D1977" s="6"/>
    </row>
    <row r="1978" spans="1:4" ht="13" thickBot="1" x14ac:dyDescent="0.3">
      <c r="A1978" s="9">
        <f ca="1"/>
        <v>38868</v>
      </c>
      <c r="B1978" s="6">
        <v>52.52</v>
      </c>
      <c r="C1978" s="6"/>
      <c r="D1978" s="6"/>
    </row>
    <row r="1979" spans="1:4" ht="13" thickBot="1" x14ac:dyDescent="0.3">
      <c r="A1979" s="9">
        <f ca="1"/>
        <v>38869</v>
      </c>
      <c r="B1979" s="6">
        <v>52.51</v>
      </c>
      <c r="C1979" s="6"/>
      <c r="D1979" s="6"/>
    </row>
    <row r="1980" spans="1:4" ht="13" thickBot="1" x14ac:dyDescent="0.3">
      <c r="A1980" s="9">
        <f ca="1"/>
        <v>38870</v>
      </c>
      <c r="B1980" s="6">
        <v>54.25</v>
      </c>
      <c r="C1980" s="6"/>
      <c r="D1980" s="6"/>
    </row>
    <row r="1981" spans="1:4" ht="13" thickBot="1" x14ac:dyDescent="0.3">
      <c r="A1981" s="9">
        <f ca="1"/>
        <v>38871</v>
      </c>
      <c r="B1981" s="5">
        <f t="shared" ref="B1981:B1982" si="282">B1980</f>
        <v>54.25</v>
      </c>
      <c r="C1981" s="6"/>
      <c r="D1981" s="6"/>
    </row>
    <row r="1982" spans="1:4" ht="13" thickBot="1" x14ac:dyDescent="0.3">
      <c r="A1982" s="9">
        <f ca="1"/>
        <v>38872</v>
      </c>
      <c r="B1982" s="5">
        <f t="shared" si="282"/>
        <v>54.25</v>
      </c>
      <c r="C1982" s="6"/>
      <c r="D1982" s="6"/>
    </row>
    <row r="1983" spans="1:4" ht="13" thickBot="1" x14ac:dyDescent="0.3">
      <c r="A1983" s="9">
        <f ca="1"/>
        <v>38873</v>
      </c>
      <c r="B1983" s="6">
        <v>53.22</v>
      </c>
      <c r="C1983" s="6"/>
      <c r="D1983" s="6"/>
    </row>
    <row r="1984" spans="1:4" ht="13" thickBot="1" x14ac:dyDescent="0.3">
      <c r="A1984" s="9">
        <f ca="1"/>
        <v>38874</v>
      </c>
      <c r="B1984" s="6">
        <v>51.5</v>
      </c>
      <c r="C1984" s="6"/>
      <c r="D1984" s="6"/>
    </row>
    <row r="1985" spans="1:4" ht="13" thickBot="1" x14ac:dyDescent="0.3">
      <c r="A1985" s="9">
        <f ca="1"/>
        <v>38875</v>
      </c>
      <c r="B1985" s="6">
        <v>50.85</v>
      </c>
      <c r="C1985" s="6"/>
      <c r="D1985" s="6"/>
    </row>
    <row r="1986" spans="1:4" ht="13" thickBot="1" x14ac:dyDescent="0.3">
      <c r="A1986" s="9">
        <f ca="1"/>
        <v>38876</v>
      </c>
      <c r="B1986" s="6">
        <v>49.65</v>
      </c>
      <c r="C1986" s="6"/>
      <c r="D1986" s="6"/>
    </row>
    <row r="1987" spans="1:4" ht="13" thickBot="1" x14ac:dyDescent="0.3">
      <c r="A1987" s="9">
        <f ca="1"/>
        <v>38877</v>
      </c>
      <c r="B1987" s="6">
        <v>49.66</v>
      </c>
      <c r="C1987" s="6"/>
      <c r="D1987" s="6"/>
    </row>
    <row r="1988" spans="1:4" ht="13" thickBot="1" x14ac:dyDescent="0.3">
      <c r="A1988" s="9">
        <f ca="1"/>
        <v>38878</v>
      </c>
      <c r="B1988" s="5">
        <f t="shared" ref="B1988:B1989" si="283">B1987</f>
        <v>49.66</v>
      </c>
      <c r="C1988" s="6"/>
      <c r="D1988" s="6"/>
    </row>
    <row r="1989" spans="1:4" ht="13" thickBot="1" x14ac:dyDescent="0.3">
      <c r="A1989" s="9">
        <f ca="1"/>
        <v>38879</v>
      </c>
      <c r="B1989" s="5">
        <f t="shared" si="283"/>
        <v>49.66</v>
      </c>
      <c r="C1989" s="6"/>
      <c r="D1989" s="6"/>
    </row>
    <row r="1990" spans="1:4" ht="13" thickBot="1" x14ac:dyDescent="0.3">
      <c r="A1990" s="9">
        <f ca="1"/>
        <v>38880</v>
      </c>
      <c r="B1990" s="6">
        <v>49.69</v>
      </c>
      <c r="C1990" s="6"/>
      <c r="D1990" s="6"/>
    </row>
    <row r="1991" spans="1:4" ht="13" thickBot="1" x14ac:dyDescent="0.3">
      <c r="A1991" s="9">
        <f ca="1"/>
        <v>38881</v>
      </c>
      <c r="B1991" s="6">
        <v>49.5</v>
      </c>
      <c r="C1991" s="6"/>
      <c r="D1991" s="6"/>
    </row>
    <row r="1992" spans="1:4" ht="13" thickBot="1" x14ac:dyDescent="0.3">
      <c r="A1992" s="9">
        <f ca="1"/>
        <v>38882</v>
      </c>
      <c r="B1992" s="6">
        <v>49</v>
      </c>
      <c r="C1992" s="6"/>
      <c r="D1992" s="6"/>
    </row>
    <row r="1993" spans="1:4" ht="13" thickBot="1" x14ac:dyDescent="0.3">
      <c r="A1993" s="9">
        <f ca="1"/>
        <v>38883</v>
      </c>
      <c r="B1993" s="6">
        <v>49.71</v>
      </c>
      <c r="C1993" s="6"/>
      <c r="D1993" s="6"/>
    </row>
    <row r="1994" spans="1:4" ht="13" thickBot="1" x14ac:dyDescent="0.3">
      <c r="A1994" s="9">
        <f ca="1"/>
        <v>38884</v>
      </c>
      <c r="B1994" s="6">
        <v>51.2</v>
      </c>
      <c r="C1994" s="6"/>
      <c r="D1994" s="6"/>
    </row>
    <row r="1995" spans="1:4" ht="13" thickBot="1" x14ac:dyDescent="0.3">
      <c r="A1995" s="9">
        <f ca="1"/>
        <v>38885</v>
      </c>
      <c r="B1995" s="5">
        <f t="shared" ref="B1995:B1996" si="284">B1994</f>
        <v>51.2</v>
      </c>
      <c r="C1995" s="6"/>
      <c r="D1995" s="6"/>
    </row>
    <row r="1996" spans="1:4" ht="13" thickBot="1" x14ac:dyDescent="0.3">
      <c r="A1996" s="9">
        <f ca="1"/>
        <v>38886</v>
      </c>
      <c r="B1996" s="5">
        <f t="shared" si="284"/>
        <v>51.2</v>
      </c>
      <c r="C1996" s="6"/>
      <c r="D1996" s="6"/>
    </row>
    <row r="1997" spans="1:4" ht="13" thickBot="1" x14ac:dyDescent="0.3">
      <c r="A1997" s="9">
        <f ca="1"/>
        <v>38887</v>
      </c>
      <c r="B1997" s="6">
        <v>51.83</v>
      </c>
      <c r="C1997" s="6"/>
      <c r="D1997" s="6"/>
    </row>
    <row r="1998" spans="1:4" ht="13" thickBot="1" x14ac:dyDescent="0.3">
      <c r="A1998" s="9">
        <f ca="1"/>
        <v>38888</v>
      </c>
      <c r="B1998" s="6">
        <v>51.05</v>
      </c>
      <c r="C1998" s="6"/>
      <c r="D1998" s="6"/>
    </row>
    <row r="1999" spans="1:4" ht="13" thickBot="1" x14ac:dyDescent="0.3">
      <c r="A1999" s="9">
        <f ca="1"/>
        <v>38889</v>
      </c>
      <c r="B1999" s="6">
        <v>51.17</v>
      </c>
      <c r="C1999" s="6"/>
      <c r="D1999" s="6"/>
    </row>
    <row r="2000" spans="1:4" ht="13" thickBot="1" x14ac:dyDescent="0.3">
      <c r="A2000" s="9">
        <f ca="1"/>
        <v>38890</v>
      </c>
      <c r="B2000" s="6">
        <v>51.54</v>
      </c>
      <c r="C2000" s="6"/>
      <c r="D2000" s="6"/>
    </row>
    <row r="2001" spans="1:4" ht="13" thickBot="1" x14ac:dyDescent="0.3">
      <c r="A2001" s="9">
        <f ca="1"/>
        <v>38891</v>
      </c>
      <c r="B2001" s="6">
        <v>51.22</v>
      </c>
      <c r="C2001" s="6"/>
      <c r="D2001" s="6"/>
    </row>
    <row r="2002" spans="1:4" ht="13" thickBot="1" x14ac:dyDescent="0.3">
      <c r="A2002" s="9">
        <f ca="1"/>
        <v>38892</v>
      </c>
      <c r="B2002" s="5">
        <f t="shared" ref="B2002:B2003" si="285">B2001</f>
        <v>51.22</v>
      </c>
      <c r="C2002" s="6"/>
      <c r="D2002" s="6"/>
    </row>
    <row r="2003" spans="1:4" ht="13" thickBot="1" x14ac:dyDescent="0.3">
      <c r="A2003" s="9">
        <f ca="1"/>
        <v>38893</v>
      </c>
      <c r="B2003" s="5">
        <f t="shared" si="285"/>
        <v>51.22</v>
      </c>
      <c r="C2003" s="6"/>
      <c r="D2003" s="6"/>
    </row>
    <row r="2004" spans="1:4" ht="13" thickBot="1" x14ac:dyDescent="0.3">
      <c r="A2004" s="9">
        <f ca="1"/>
        <v>38894</v>
      </c>
      <c r="B2004" s="6">
        <v>51.12</v>
      </c>
      <c r="C2004" s="6"/>
      <c r="D2004" s="6"/>
    </row>
    <row r="2005" spans="1:4" ht="13" thickBot="1" x14ac:dyDescent="0.3">
      <c r="A2005" s="9">
        <f ca="1"/>
        <v>38895</v>
      </c>
      <c r="B2005" s="6">
        <v>51.45</v>
      </c>
      <c r="C2005" s="6"/>
      <c r="D2005" s="6"/>
    </row>
    <row r="2006" spans="1:4" ht="13" thickBot="1" x14ac:dyDescent="0.3">
      <c r="A2006" s="9">
        <f ca="1"/>
        <v>38896</v>
      </c>
      <c r="B2006" s="6">
        <v>50.5</v>
      </c>
      <c r="C2006" s="6"/>
      <c r="D2006" s="6"/>
    </row>
    <row r="2007" spans="1:4" ht="13" thickBot="1" x14ac:dyDescent="0.3">
      <c r="A2007" s="9">
        <f ca="1"/>
        <v>38897</v>
      </c>
      <c r="B2007" s="6">
        <v>50.62</v>
      </c>
      <c r="C2007" s="6"/>
      <c r="D2007" s="6"/>
    </row>
    <row r="2008" spans="1:4" ht="13" thickBot="1" x14ac:dyDescent="0.3">
      <c r="A2008" s="9">
        <f ca="1"/>
        <v>38898</v>
      </c>
      <c r="B2008" s="6">
        <v>52.63</v>
      </c>
      <c r="C2008" s="6"/>
      <c r="D2008" s="6"/>
    </row>
    <row r="2009" spans="1:4" ht="13" thickBot="1" x14ac:dyDescent="0.3">
      <c r="A2009" s="9">
        <f ca="1"/>
        <v>38899</v>
      </c>
      <c r="B2009" s="5">
        <f t="shared" ref="B2009:B2010" si="286">B2008</f>
        <v>52.63</v>
      </c>
      <c r="C2009" s="6"/>
      <c r="D2009" s="6"/>
    </row>
    <row r="2010" spans="1:4" ht="13" thickBot="1" x14ac:dyDescent="0.3">
      <c r="A2010" s="9">
        <f ca="1"/>
        <v>38900</v>
      </c>
      <c r="B2010" s="5">
        <f t="shared" si="286"/>
        <v>52.63</v>
      </c>
      <c r="C2010" s="6"/>
      <c r="D2010" s="6"/>
    </row>
    <row r="2011" spans="1:4" ht="13" thickBot="1" x14ac:dyDescent="0.3">
      <c r="A2011" s="9">
        <f ca="1"/>
        <v>38901</v>
      </c>
      <c r="B2011" s="6">
        <v>52.71</v>
      </c>
      <c r="C2011" s="6"/>
      <c r="D2011" s="6"/>
    </row>
    <row r="2012" spans="1:4" ht="13" thickBot="1" x14ac:dyDescent="0.3">
      <c r="A2012" s="9">
        <f ca="1"/>
        <v>38902</v>
      </c>
      <c r="B2012" s="5">
        <f>B2011</f>
        <v>52.71</v>
      </c>
      <c r="C2012" s="6"/>
      <c r="D2012" s="6"/>
    </row>
    <row r="2013" spans="1:4" ht="13" thickBot="1" x14ac:dyDescent="0.3">
      <c r="A2013" s="9">
        <f ca="1"/>
        <v>38903</v>
      </c>
      <c r="B2013" s="6">
        <v>52.29</v>
      </c>
      <c r="C2013" s="6"/>
      <c r="D2013" s="6"/>
    </row>
    <row r="2014" spans="1:4" ht="13" thickBot="1" x14ac:dyDescent="0.3">
      <c r="A2014" s="9">
        <f ca="1"/>
        <v>38904</v>
      </c>
      <c r="B2014" s="6">
        <v>53.37</v>
      </c>
      <c r="C2014" s="6"/>
      <c r="D2014" s="6"/>
    </row>
    <row r="2015" spans="1:4" ht="13" thickBot="1" x14ac:dyDescent="0.3">
      <c r="A2015" s="9">
        <f ca="1"/>
        <v>38905</v>
      </c>
      <c r="B2015" s="6">
        <v>52.67</v>
      </c>
      <c r="C2015" s="6"/>
      <c r="D2015" s="6"/>
    </row>
    <row r="2016" spans="1:4" ht="13" thickBot="1" x14ac:dyDescent="0.3">
      <c r="A2016" s="9">
        <f ca="1"/>
        <v>38906</v>
      </c>
      <c r="B2016" s="5">
        <f t="shared" ref="B2016:B2017" si="287">B2015</f>
        <v>52.67</v>
      </c>
      <c r="C2016" s="6"/>
      <c r="D2016" s="6"/>
    </row>
    <row r="2017" spans="1:4" ht="13" thickBot="1" x14ac:dyDescent="0.3">
      <c r="A2017" s="9">
        <f ca="1"/>
        <v>38907</v>
      </c>
      <c r="B2017" s="5">
        <f t="shared" si="287"/>
        <v>52.67</v>
      </c>
      <c r="C2017" s="6"/>
      <c r="D2017" s="6"/>
    </row>
    <row r="2018" spans="1:4" ht="13" thickBot="1" x14ac:dyDescent="0.3">
      <c r="A2018" s="9">
        <f ca="1"/>
        <v>38908</v>
      </c>
      <c r="B2018" s="6">
        <v>52.58</v>
      </c>
      <c r="C2018" s="6"/>
      <c r="D2018" s="6"/>
    </row>
    <row r="2019" spans="1:4" ht="13" thickBot="1" x14ac:dyDescent="0.3">
      <c r="A2019" s="9">
        <f ca="1"/>
        <v>38909</v>
      </c>
      <c r="B2019" s="6">
        <v>51.81</v>
      </c>
      <c r="C2019" s="6"/>
      <c r="D2019" s="6"/>
    </row>
    <row r="2020" spans="1:4" ht="13" thickBot="1" x14ac:dyDescent="0.3">
      <c r="A2020" s="9">
        <f ca="1"/>
        <v>38910</v>
      </c>
      <c r="B2020" s="6">
        <v>51.67</v>
      </c>
      <c r="C2020" s="6"/>
      <c r="D2020" s="6"/>
    </row>
    <row r="2021" spans="1:4" ht="13" thickBot="1" x14ac:dyDescent="0.3">
      <c r="A2021" s="9">
        <f ca="1"/>
        <v>38911</v>
      </c>
      <c r="B2021" s="6">
        <v>46.85</v>
      </c>
      <c r="C2021" s="6"/>
      <c r="D2021" s="6"/>
    </row>
    <row r="2022" spans="1:4" ht="13" thickBot="1" x14ac:dyDescent="0.3">
      <c r="A2022" s="9">
        <f ca="1"/>
        <v>38912</v>
      </c>
      <c r="B2022" s="6">
        <v>47.67</v>
      </c>
      <c r="C2022" s="6"/>
      <c r="D2022" s="6"/>
    </row>
    <row r="2023" spans="1:4" ht="13" thickBot="1" x14ac:dyDescent="0.3">
      <c r="A2023" s="9">
        <f ca="1"/>
        <v>38913</v>
      </c>
      <c r="B2023" s="5">
        <f t="shared" ref="B2023:B2024" si="288">B2022</f>
        <v>47.67</v>
      </c>
      <c r="C2023" s="6"/>
      <c r="D2023" s="6"/>
    </row>
    <row r="2024" spans="1:4" ht="13" thickBot="1" x14ac:dyDescent="0.3">
      <c r="A2024" s="9">
        <f ca="1"/>
        <v>38914</v>
      </c>
      <c r="B2024" s="5">
        <f t="shared" si="288"/>
        <v>47.67</v>
      </c>
      <c r="C2024" s="6"/>
      <c r="D2024" s="6"/>
    </row>
    <row r="2025" spans="1:4" ht="13" thickBot="1" x14ac:dyDescent="0.3">
      <c r="A2025" s="9">
        <f ca="1"/>
        <v>38915</v>
      </c>
      <c r="B2025" s="6">
        <v>47.09</v>
      </c>
      <c r="C2025" s="6"/>
      <c r="D2025" s="6"/>
    </row>
    <row r="2026" spans="1:4" ht="13" thickBot="1" x14ac:dyDescent="0.3">
      <c r="A2026" s="9">
        <f ca="1"/>
        <v>38916</v>
      </c>
      <c r="B2026" s="6">
        <v>46.82</v>
      </c>
      <c r="C2026" s="6"/>
      <c r="D2026" s="6"/>
    </row>
    <row r="2027" spans="1:4" ht="13" thickBot="1" x14ac:dyDescent="0.3">
      <c r="A2027" s="9">
        <f ca="1"/>
        <v>38917</v>
      </c>
      <c r="B2027" s="6">
        <v>45.2</v>
      </c>
      <c r="C2027" s="6"/>
      <c r="D2027" s="6"/>
    </row>
    <row r="2028" spans="1:4" ht="13" thickBot="1" x14ac:dyDescent="0.3">
      <c r="A2028" s="9">
        <f ca="1"/>
        <v>38918</v>
      </c>
      <c r="B2028" s="6">
        <v>47.25</v>
      </c>
      <c r="C2028" s="6"/>
      <c r="D2028" s="6"/>
    </row>
    <row r="2029" spans="1:4" ht="13" thickBot="1" x14ac:dyDescent="0.3">
      <c r="A2029" s="9">
        <f ca="1"/>
        <v>38919</v>
      </c>
      <c r="B2029" s="6">
        <v>44.1</v>
      </c>
      <c r="C2029" s="6"/>
      <c r="D2029" s="6"/>
    </row>
    <row r="2030" spans="1:4" ht="13" thickBot="1" x14ac:dyDescent="0.3">
      <c r="A2030" s="9">
        <f ca="1"/>
        <v>38920</v>
      </c>
      <c r="B2030" s="5">
        <f t="shared" ref="B2030:B2031" si="289">B2029</f>
        <v>44.1</v>
      </c>
      <c r="C2030" s="6"/>
      <c r="D2030" s="6"/>
    </row>
    <row r="2031" spans="1:4" ht="13" thickBot="1" x14ac:dyDescent="0.3">
      <c r="A2031" s="9">
        <f ca="1"/>
        <v>38921</v>
      </c>
      <c r="B2031" s="5">
        <f t="shared" si="289"/>
        <v>44.1</v>
      </c>
      <c r="C2031" s="6"/>
      <c r="D2031" s="6"/>
    </row>
    <row r="2032" spans="1:4" ht="13" thickBot="1" x14ac:dyDescent="0.3">
      <c r="A2032" s="9">
        <f ca="1"/>
        <v>38922</v>
      </c>
      <c r="B2032" s="6">
        <v>44.33</v>
      </c>
      <c r="C2032" s="6"/>
      <c r="D2032" s="6"/>
    </row>
    <row r="2033" spans="1:4" ht="13" thickBot="1" x14ac:dyDescent="0.3">
      <c r="A2033" s="9">
        <f ca="1"/>
        <v>38923</v>
      </c>
      <c r="B2033" s="6">
        <v>45.04</v>
      </c>
      <c r="C2033" s="6"/>
      <c r="D2033" s="6"/>
    </row>
    <row r="2034" spans="1:4" ht="13" thickBot="1" x14ac:dyDescent="0.3">
      <c r="A2034" s="9">
        <f ca="1"/>
        <v>38924</v>
      </c>
      <c r="B2034" s="6">
        <v>44.54</v>
      </c>
      <c r="C2034" s="6"/>
      <c r="D2034" s="6"/>
    </row>
    <row r="2035" spans="1:4" ht="13" thickBot="1" x14ac:dyDescent="0.3">
      <c r="A2035" s="9">
        <f ca="1"/>
        <v>38925</v>
      </c>
      <c r="B2035" s="6">
        <v>45.42</v>
      </c>
      <c r="C2035" s="6"/>
      <c r="D2035" s="6"/>
    </row>
    <row r="2036" spans="1:4" ht="13" thickBot="1" x14ac:dyDescent="0.3">
      <c r="A2036" s="9">
        <f ca="1"/>
        <v>38926</v>
      </c>
      <c r="B2036" s="6">
        <v>45.35</v>
      </c>
      <c r="C2036" s="6"/>
      <c r="D2036" s="6"/>
    </row>
    <row r="2037" spans="1:4" ht="13" thickBot="1" x14ac:dyDescent="0.3">
      <c r="A2037" s="9">
        <f ca="1"/>
        <v>38927</v>
      </c>
      <c r="B2037" s="5">
        <f t="shared" ref="B2037:B2038" si="290">B2036</f>
        <v>45.35</v>
      </c>
      <c r="C2037" s="6"/>
      <c r="D2037" s="6"/>
    </row>
    <row r="2038" spans="1:4" ht="13" thickBot="1" x14ac:dyDescent="0.3">
      <c r="A2038" s="9">
        <f ca="1"/>
        <v>38928</v>
      </c>
      <c r="B2038" s="5">
        <f t="shared" si="290"/>
        <v>45.35</v>
      </c>
      <c r="C2038" s="6"/>
      <c r="D2038" s="6"/>
    </row>
    <row r="2039" spans="1:4" ht="13" thickBot="1" x14ac:dyDescent="0.3">
      <c r="A2039" s="9">
        <f ca="1"/>
        <v>38929</v>
      </c>
      <c r="B2039" s="6">
        <v>45.68</v>
      </c>
      <c r="C2039" s="6"/>
      <c r="D2039" s="6"/>
    </row>
    <row r="2040" spans="1:4" ht="13" thickBot="1" x14ac:dyDescent="0.3">
      <c r="A2040" s="9">
        <f ca="1"/>
        <v>38930</v>
      </c>
      <c r="B2040" s="6">
        <v>45.35</v>
      </c>
      <c r="C2040" s="6"/>
      <c r="D2040" s="6"/>
    </row>
    <row r="2041" spans="1:4" ht="13" thickBot="1" x14ac:dyDescent="0.3">
      <c r="A2041" s="9">
        <f ca="1"/>
        <v>38931</v>
      </c>
      <c r="B2041" s="6">
        <v>45.4</v>
      </c>
      <c r="C2041" s="6"/>
      <c r="D2041" s="6"/>
    </row>
    <row r="2042" spans="1:4" ht="13" thickBot="1" x14ac:dyDescent="0.3">
      <c r="A2042" s="9">
        <f ca="1"/>
        <v>38932</v>
      </c>
      <c r="B2042" s="6">
        <v>44.68</v>
      </c>
      <c r="C2042" s="6"/>
      <c r="D2042" s="6"/>
    </row>
    <row r="2043" spans="1:4" ht="13" thickBot="1" x14ac:dyDescent="0.3">
      <c r="A2043" s="9">
        <f ca="1"/>
        <v>38933</v>
      </c>
      <c r="B2043" s="6">
        <v>45.88</v>
      </c>
      <c r="C2043" s="6"/>
      <c r="D2043" s="6"/>
    </row>
    <row r="2044" spans="1:4" ht="13" thickBot="1" x14ac:dyDescent="0.3">
      <c r="A2044" s="9">
        <f ca="1"/>
        <v>38934</v>
      </c>
      <c r="B2044" s="5">
        <f t="shared" ref="B2044:B2045" si="291">B2043</f>
        <v>45.88</v>
      </c>
      <c r="C2044" s="6"/>
      <c r="D2044" s="6"/>
    </row>
    <row r="2045" spans="1:4" ht="13" thickBot="1" x14ac:dyDescent="0.3">
      <c r="A2045" s="9">
        <f ca="1"/>
        <v>38935</v>
      </c>
      <c r="B2045" s="5">
        <f t="shared" si="291"/>
        <v>45.88</v>
      </c>
      <c r="C2045" s="6"/>
      <c r="D2045" s="6"/>
    </row>
    <row r="2046" spans="1:4" ht="13" thickBot="1" x14ac:dyDescent="0.3">
      <c r="A2046" s="9">
        <f ca="1"/>
        <v>38936</v>
      </c>
      <c r="B2046" s="6">
        <v>45.05</v>
      </c>
      <c r="C2046" s="6"/>
      <c r="D2046" s="6"/>
    </row>
    <row r="2047" spans="1:4" ht="13" thickBot="1" x14ac:dyDescent="0.3">
      <c r="A2047" s="9">
        <f ca="1"/>
        <v>38937</v>
      </c>
      <c r="B2047" s="6">
        <v>44.19</v>
      </c>
      <c r="C2047" s="6"/>
      <c r="D2047" s="6"/>
    </row>
    <row r="2048" spans="1:4" ht="13" thickBot="1" x14ac:dyDescent="0.3">
      <c r="A2048" s="9">
        <f ca="1"/>
        <v>38938</v>
      </c>
      <c r="B2048" s="6">
        <v>44.79</v>
      </c>
      <c r="C2048" s="6"/>
      <c r="D2048" s="6"/>
    </row>
    <row r="2049" spans="1:4" ht="13" thickBot="1" x14ac:dyDescent="0.3">
      <c r="A2049" s="9">
        <f ca="1"/>
        <v>38939</v>
      </c>
      <c r="B2049" s="6">
        <v>44.12</v>
      </c>
      <c r="C2049" s="6"/>
      <c r="D2049" s="6"/>
    </row>
    <row r="2050" spans="1:4" ht="13" thickBot="1" x14ac:dyDescent="0.3">
      <c r="A2050" s="9">
        <f ca="1"/>
        <v>38940</v>
      </c>
      <c r="B2050" s="6">
        <v>43.99</v>
      </c>
      <c r="C2050" s="6"/>
      <c r="D2050" s="6"/>
    </row>
    <row r="2051" spans="1:4" ht="13" thickBot="1" x14ac:dyDescent="0.3">
      <c r="A2051" s="9">
        <f ca="1"/>
        <v>38941</v>
      </c>
      <c r="B2051" s="5">
        <f t="shared" ref="B2051:B2052" si="292">B2050</f>
        <v>43.99</v>
      </c>
      <c r="C2051" s="6"/>
      <c r="D2051" s="6"/>
    </row>
    <row r="2052" spans="1:4" ht="13" thickBot="1" x14ac:dyDescent="0.3">
      <c r="A2052" s="9">
        <f ca="1"/>
        <v>38942</v>
      </c>
      <c r="B2052" s="5">
        <f t="shared" si="292"/>
        <v>43.99</v>
      </c>
      <c r="C2052" s="6"/>
      <c r="D2052" s="6"/>
    </row>
    <row r="2053" spans="1:4" ht="13" thickBot="1" x14ac:dyDescent="0.3">
      <c r="A2053" s="9">
        <f ca="1"/>
        <v>38943</v>
      </c>
      <c r="B2053" s="6">
        <v>44.18</v>
      </c>
      <c r="C2053" s="6"/>
      <c r="D2053" s="6"/>
    </row>
    <row r="2054" spans="1:4" ht="13" thickBot="1" x14ac:dyDescent="0.3">
      <c r="A2054" s="9">
        <f ca="1"/>
        <v>38944</v>
      </c>
      <c r="B2054" s="6">
        <v>45.63</v>
      </c>
      <c r="C2054" s="6"/>
      <c r="D2054" s="6"/>
    </row>
    <row r="2055" spans="1:4" ht="13" thickBot="1" x14ac:dyDescent="0.3">
      <c r="A2055" s="9">
        <f ca="1"/>
        <v>38945</v>
      </c>
      <c r="B2055" s="6">
        <v>47.75</v>
      </c>
      <c r="C2055" s="6"/>
      <c r="D2055" s="6"/>
    </row>
    <row r="2056" spans="1:4" ht="13" thickBot="1" x14ac:dyDescent="0.3">
      <c r="A2056" s="9">
        <f ca="1"/>
        <v>38946</v>
      </c>
      <c r="B2056" s="6">
        <v>47.88</v>
      </c>
      <c r="C2056" s="6"/>
      <c r="D2056" s="6"/>
    </row>
    <row r="2057" spans="1:4" ht="13" thickBot="1" x14ac:dyDescent="0.3">
      <c r="A2057" s="9">
        <f ca="1"/>
        <v>38947</v>
      </c>
      <c r="B2057" s="6">
        <v>47.74</v>
      </c>
      <c r="C2057" s="6"/>
      <c r="D2057" s="6"/>
    </row>
    <row r="2058" spans="1:4" ht="13" thickBot="1" x14ac:dyDescent="0.3">
      <c r="A2058" s="9">
        <f ca="1"/>
        <v>38948</v>
      </c>
      <c r="B2058" s="5">
        <f t="shared" ref="B2058:B2059" si="293">B2057</f>
        <v>47.74</v>
      </c>
      <c r="C2058" s="6"/>
      <c r="D2058" s="6"/>
    </row>
    <row r="2059" spans="1:4" ht="13" thickBot="1" x14ac:dyDescent="0.3">
      <c r="A2059" s="9">
        <f ca="1"/>
        <v>38949</v>
      </c>
      <c r="B2059" s="5">
        <f t="shared" si="293"/>
        <v>47.74</v>
      </c>
      <c r="C2059" s="6"/>
      <c r="D2059" s="6"/>
    </row>
    <row r="2060" spans="1:4" ht="13" thickBot="1" x14ac:dyDescent="0.3">
      <c r="A2060" s="9">
        <f ca="1"/>
        <v>38950</v>
      </c>
      <c r="B2060" s="6">
        <v>46.96</v>
      </c>
      <c r="C2060" s="6"/>
      <c r="D2060" s="6"/>
    </row>
    <row r="2061" spans="1:4" ht="13" thickBot="1" x14ac:dyDescent="0.3">
      <c r="A2061" s="9">
        <f ca="1"/>
        <v>38951</v>
      </c>
      <c r="B2061" s="6">
        <v>46.99</v>
      </c>
      <c r="C2061" s="6"/>
      <c r="D2061" s="6"/>
    </row>
    <row r="2062" spans="1:4" ht="13" thickBot="1" x14ac:dyDescent="0.3">
      <c r="A2062" s="9">
        <f ca="1"/>
        <v>38952</v>
      </c>
      <c r="B2062" s="6">
        <v>46.88</v>
      </c>
      <c r="C2062" s="6"/>
      <c r="D2062" s="6"/>
    </row>
    <row r="2063" spans="1:4" ht="13" thickBot="1" x14ac:dyDescent="0.3">
      <c r="A2063" s="9">
        <f ca="1"/>
        <v>38953</v>
      </c>
      <c r="B2063" s="6">
        <v>47.03</v>
      </c>
      <c r="C2063" s="6"/>
      <c r="D2063" s="6"/>
    </row>
    <row r="2064" spans="1:4" ht="13" thickBot="1" x14ac:dyDescent="0.3">
      <c r="A2064" s="9">
        <f ca="1"/>
        <v>38954</v>
      </c>
      <c r="B2064" s="6">
        <v>46.37</v>
      </c>
      <c r="C2064" s="6"/>
      <c r="D2064" s="6"/>
    </row>
    <row r="2065" spans="1:4" ht="13" thickBot="1" x14ac:dyDescent="0.3">
      <c r="A2065" s="9">
        <f ca="1"/>
        <v>38955</v>
      </c>
      <c r="B2065" s="5">
        <f t="shared" ref="B2065:B2066" si="294">B2064</f>
        <v>46.37</v>
      </c>
      <c r="C2065" s="6"/>
      <c r="D2065" s="6"/>
    </row>
    <row r="2066" spans="1:4" ht="13" thickBot="1" x14ac:dyDescent="0.3">
      <c r="A2066" s="9">
        <f ca="1"/>
        <v>38956</v>
      </c>
      <c r="B2066" s="5">
        <f t="shared" si="294"/>
        <v>46.37</v>
      </c>
      <c r="C2066" s="6"/>
      <c r="D2066" s="6"/>
    </row>
    <row r="2067" spans="1:4" ht="13" thickBot="1" x14ac:dyDescent="0.3">
      <c r="A2067" s="9">
        <f ca="1"/>
        <v>38957</v>
      </c>
      <c r="B2067" s="6">
        <v>46.98</v>
      </c>
      <c r="C2067" s="6"/>
      <c r="D2067" s="6"/>
    </row>
    <row r="2068" spans="1:4" ht="13" thickBot="1" x14ac:dyDescent="0.3">
      <c r="A2068" s="9">
        <f ca="1"/>
        <v>38958</v>
      </c>
      <c r="B2068" s="6">
        <v>47.72</v>
      </c>
      <c r="C2068" s="6"/>
      <c r="D2068" s="6"/>
    </row>
    <row r="2069" spans="1:4" ht="13" thickBot="1" x14ac:dyDescent="0.3">
      <c r="A2069" s="9">
        <f ca="1"/>
        <v>38959</v>
      </c>
      <c r="B2069" s="6">
        <v>48.07</v>
      </c>
      <c r="C2069" s="6"/>
      <c r="D2069" s="6"/>
    </row>
    <row r="2070" spans="1:4" ht="13" thickBot="1" x14ac:dyDescent="0.3">
      <c r="A2070" s="9">
        <f ca="1"/>
        <v>38960</v>
      </c>
      <c r="B2070" s="6">
        <v>48.15</v>
      </c>
      <c r="C2070" s="6"/>
      <c r="D2070" s="6"/>
    </row>
    <row r="2071" spans="1:4" ht="13" thickBot="1" x14ac:dyDescent="0.3">
      <c r="A2071" s="9">
        <f ca="1"/>
        <v>38961</v>
      </c>
      <c r="B2071" s="6">
        <v>47.73</v>
      </c>
      <c r="C2071" s="6"/>
      <c r="D2071" s="6"/>
    </row>
    <row r="2072" spans="1:4" ht="13" thickBot="1" x14ac:dyDescent="0.3">
      <c r="A2072" s="9">
        <f ca="1"/>
        <v>38962</v>
      </c>
      <c r="B2072" s="5">
        <f t="shared" ref="B2072:B2074" si="295">B2071</f>
        <v>47.73</v>
      </c>
      <c r="C2072" s="6"/>
      <c r="D2072" s="6"/>
    </row>
    <row r="2073" spans="1:4" ht="13" thickBot="1" x14ac:dyDescent="0.3">
      <c r="A2073" s="9">
        <f ca="1"/>
        <v>38963</v>
      </c>
      <c r="B2073" s="5">
        <f t="shared" si="295"/>
        <v>47.73</v>
      </c>
      <c r="C2073" s="6"/>
      <c r="D2073" s="6"/>
    </row>
    <row r="2074" spans="1:4" ht="13" thickBot="1" x14ac:dyDescent="0.3">
      <c r="A2074" s="9">
        <f ca="1"/>
        <v>38964</v>
      </c>
      <c r="B2074" s="5">
        <f t="shared" si="295"/>
        <v>47.73</v>
      </c>
      <c r="C2074" s="6"/>
      <c r="D2074" s="6"/>
    </row>
    <row r="2075" spans="1:4" ht="13" thickBot="1" x14ac:dyDescent="0.3">
      <c r="A2075" s="9">
        <f ca="1"/>
        <v>38965</v>
      </c>
      <c r="B2075" s="6">
        <v>47.9</v>
      </c>
      <c r="C2075" s="6"/>
      <c r="D2075" s="6"/>
    </row>
    <row r="2076" spans="1:4" ht="13" thickBot="1" x14ac:dyDescent="0.3">
      <c r="A2076" s="9">
        <f ca="1"/>
        <v>38966</v>
      </c>
      <c r="B2076" s="6">
        <v>47.24</v>
      </c>
      <c r="C2076" s="6"/>
      <c r="D2076" s="6"/>
    </row>
    <row r="2077" spans="1:4" ht="13" thickBot="1" x14ac:dyDescent="0.3">
      <c r="A2077" s="9">
        <f ca="1"/>
        <v>38967</v>
      </c>
      <c r="B2077" s="6">
        <v>46.32</v>
      </c>
      <c r="C2077" s="6"/>
      <c r="D2077" s="6"/>
    </row>
    <row r="2078" spans="1:4" ht="13" thickBot="1" x14ac:dyDescent="0.3">
      <c r="A2078" s="9">
        <f ca="1"/>
        <v>38968</v>
      </c>
      <c r="B2078" s="6">
        <v>45.87</v>
      </c>
      <c r="C2078" s="6"/>
      <c r="D2078" s="6"/>
    </row>
    <row r="2079" spans="1:4" ht="13" thickBot="1" x14ac:dyDescent="0.3">
      <c r="A2079" s="9">
        <f ca="1"/>
        <v>38969</v>
      </c>
      <c r="B2079" s="5">
        <f t="shared" ref="B2079:B2080" si="296">B2078</f>
        <v>45.87</v>
      </c>
      <c r="C2079" s="6"/>
      <c r="D2079" s="6"/>
    </row>
    <row r="2080" spans="1:4" ht="13" thickBot="1" x14ac:dyDescent="0.3">
      <c r="A2080" s="9">
        <f ca="1"/>
        <v>38970</v>
      </c>
      <c r="B2080" s="5">
        <f t="shared" si="296"/>
        <v>45.87</v>
      </c>
      <c r="C2080" s="6"/>
      <c r="D2080" s="6"/>
    </row>
    <row r="2081" spans="1:4" ht="13" thickBot="1" x14ac:dyDescent="0.3">
      <c r="A2081" s="9">
        <f ca="1"/>
        <v>38971</v>
      </c>
      <c r="B2081" s="6">
        <v>45.95</v>
      </c>
      <c r="C2081" s="6"/>
      <c r="D2081" s="6"/>
    </row>
    <row r="2082" spans="1:4" ht="13" thickBot="1" x14ac:dyDescent="0.3">
      <c r="A2082" s="9">
        <f ca="1"/>
        <v>38972</v>
      </c>
      <c r="B2082" s="6">
        <v>47.42</v>
      </c>
      <c r="C2082" s="6"/>
      <c r="D2082" s="6"/>
    </row>
    <row r="2083" spans="1:4" ht="13" thickBot="1" x14ac:dyDescent="0.3">
      <c r="A2083" s="9">
        <f ca="1"/>
        <v>38973</v>
      </c>
      <c r="B2083" s="6">
        <v>48.25</v>
      </c>
      <c r="C2083" s="6"/>
      <c r="D2083" s="6"/>
    </row>
    <row r="2084" spans="1:4" ht="13" thickBot="1" x14ac:dyDescent="0.3">
      <c r="A2084" s="9">
        <f ca="1"/>
        <v>38974</v>
      </c>
      <c r="B2084" s="6">
        <v>48.35</v>
      </c>
      <c r="C2084" s="6"/>
      <c r="D2084" s="6"/>
    </row>
    <row r="2085" spans="1:4" ht="13" thickBot="1" x14ac:dyDescent="0.3">
      <c r="A2085" s="9">
        <f ca="1"/>
        <v>38975</v>
      </c>
      <c r="B2085" s="6">
        <v>48.92</v>
      </c>
      <c r="C2085" s="6"/>
      <c r="D2085" s="6"/>
    </row>
    <row r="2086" spans="1:4" ht="13" thickBot="1" x14ac:dyDescent="0.3">
      <c r="A2086" s="9">
        <f ca="1"/>
        <v>38976</v>
      </c>
      <c r="B2086" s="5">
        <f t="shared" ref="B2086:B2087" si="297">B2085</f>
        <v>48.92</v>
      </c>
      <c r="C2086" s="6"/>
      <c r="D2086" s="6"/>
    </row>
    <row r="2087" spans="1:4" ht="13" thickBot="1" x14ac:dyDescent="0.3">
      <c r="A2087" s="9">
        <f ca="1"/>
        <v>38977</v>
      </c>
      <c r="B2087" s="5">
        <f t="shared" si="297"/>
        <v>48.92</v>
      </c>
      <c r="C2087" s="6"/>
      <c r="D2087" s="6"/>
    </row>
    <row r="2088" spans="1:4" ht="13" thickBot="1" x14ac:dyDescent="0.3">
      <c r="A2088" s="9">
        <f ca="1"/>
        <v>38978</v>
      </c>
      <c r="B2088" s="6">
        <v>48.36</v>
      </c>
      <c r="C2088" s="6"/>
      <c r="D2088" s="6"/>
    </row>
    <row r="2089" spans="1:4" ht="13" thickBot="1" x14ac:dyDescent="0.3">
      <c r="A2089" s="9">
        <f ca="1"/>
        <v>38979</v>
      </c>
      <c r="B2089" s="6">
        <v>48.29</v>
      </c>
      <c r="C2089" s="6"/>
      <c r="D2089" s="6"/>
    </row>
    <row r="2090" spans="1:4" ht="13" thickBot="1" x14ac:dyDescent="0.3">
      <c r="A2090" s="9">
        <f ca="1"/>
        <v>38980</v>
      </c>
      <c r="B2090" s="6">
        <v>48.89</v>
      </c>
      <c r="C2090" s="6"/>
      <c r="D2090" s="6"/>
    </row>
    <row r="2091" spans="1:4" ht="13" thickBot="1" x14ac:dyDescent="0.3">
      <c r="A2091" s="9">
        <f ca="1"/>
        <v>38981</v>
      </c>
      <c r="B2091" s="6">
        <v>49.33</v>
      </c>
      <c r="C2091" s="6"/>
      <c r="D2091" s="6"/>
    </row>
    <row r="2092" spans="1:4" ht="13" thickBot="1" x14ac:dyDescent="0.3">
      <c r="A2092" s="9">
        <f ca="1"/>
        <v>38982</v>
      </c>
      <c r="B2092" s="6">
        <v>48.94</v>
      </c>
      <c r="C2092" s="6"/>
      <c r="D2092" s="6"/>
    </row>
    <row r="2093" spans="1:4" ht="13" thickBot="1" x14ac:dyDescent="0.3">
      <c r="A2093" s="9">
        <f ca="1"/>
        <v>38983</v>
      </c>
      <c r="B2093" s="5">
        <f t="shared" ref="B2093:B2094" si="298">B2092</f>
        <v>48.94</v>
      </c>
      <c r="C2093" s="6"/>
      <c r="D2093" s="6"/>
    </row>
    <row r="2094" spans="1:4" ht="13" thickBot="1" x14ac:dyDescent="0.3">
      <c r="A2094" s="9">
        <f ca="1"/>
        <v>38984</v>
      </c>
      <c r="B2094" s="5">
        <f t="shared" si="298"/>
        <v>48.94</v>
      </c>
      <c r="C2094" s="6"/>
      <c r="D2094" s="6"/>
    </row>
    <row r="2095" spans="1:4" ht="13" thickBot="1" x14ac:dyDescent="0.3">
      <c r="A2095" s="9">
        <f ca="1"/>
        <v>38985</v>
      </c>
      <c r="B2095" s="6">
        <v>48.4</v>
      </c>
      <c r="C2095" s="6"/>
      <c r="D2095" s="6"/>
    </row>
    <row r="2096" spans="1:4" ht="13" thickBot="1" x14ac:dyDescent="0.3">
      <c r="A2096" s="9">
        <f ca="1"/>
        <v>38986</v>
      </c>
      <c r="B2096" s="6">
        <v>49.13</v>
      </c>
      <c r="C2096" s="6"/>
      <c r="D2096" s="6"/>
    </row>
    <row r="2097" spans="1:4" ht="13" thickBot="1" x14ac:dyDescent="0.3">
      <c r="A2097" s="9">
        <f ca="1"/>
        <v>38987</v>
      </c>
      <c r="B2097" s="6">
        <v>49.47</v>
      </c>
      <c r="C2097" s="6"/>
      <c r="D2097" s="6"/>
    </row>
    <row r="2098" spans="1:4" ht="13" thickBot="1" x14ac:dyDescent="0.3">
      <c r="A2098" s="9">
        <f ca="1"/>
        <v>38988</v>
      </c>
      <c r="B2098" s="6">
        <v>50.17</v>
      </c>
      <c r="C2098" s="6"/>
      <c r="D2098" s="6"/>
    </row>
    <row r="2099" spans="1:4" ht="13" thickBot="1" x14ac:dyDescent="0.3">
      <c r="A2099" s="9">
        <f ca="1"/>
        <v>38989</v>
      </c>
      <c r="B2099" s="6">
        <v>49.57</v>
      </c>
      <c r="C2099" s="6"/>
      <c r="D2099" s="6"/>
    </row>
    <row r="2100" spans="1:4" ht="13" thickBot="1" x14ac:dyDescent="0.3">
      <c r="A2100" s="9">
        <f ca="1"/>
        <v>38990</v>
      </c>
      <c r="B2100" s="5">
        <f t="shared" ref="B2100:B2101" si="299">B2099</f>
        <v>49.57</v>
      </c>
      <c r="C2100" s="6"/>
      <c r="D2100" s="6"/>
    </row>
    <row r="2101" spans="1:4" ht="13" thickBot="1" x14ac:dyDescent="0.3">
      <c r="A2101" s="9">
        <f ca="1"/>
        <v>38991</v>
      </c>
      <c r="B2101" s="5">
        <f t="shared" si="299"/>
        <v>49.57</v>
      </c>
      <c r="C2101" s="6"/>
      <c r="D2101" s="6"/>
    </row>
    <row r="2102" spans="1:4" ht="13" thickBot="1" x14ac:dyDescent="0.3">
      <c r="A2102" s="9">
        <f ca="1"/>
        <v>38992</v>
      </c>
      <c r="B2102" s="6">
        <v>49.03</v>
      </c>
      <c r="C2102" s="6"/>
      <c r="D2102" s="6"/>
    </row>
    <row r="2103" spans="1:4" ht="13" thickBot="1" x14ac:dyDescent="0.3">
      <c r="A2103" s="9">
        <f ca="1"/>
        <v>38993</v>
      </c>
      <c r="B2103" s="6">
        <v>48.99</v>
      </c>
      <c r="C2103" s="6"/>
      <c r="D2103" s="6"/>
    </row>
    <row r="2104" spans="1:4" ht="13" thickBot="1" x14ac:dyDescent="0.3">
      <c r="A2104" s="9">
        <f ca="1"/>
        <v>38994</v>
      </c>
      <c r="B2104" s="6">
        <v>49.41</v>
      </c>
      <c r="C2104" s="6"/>
      <c r="D2104" s="6"/>
    </row>
    <row r="2105" spans="1:4" ht="13" thickBot="1" x14ac:dyDescent="0.3">
      <c r="A2105" s="9">
        <f ca="1"/>
        <v>38995</v>
      </c>
      <c r="B2105" s="6">
        <v>50.86</v>
      </c>
      <c r="C2105" s="6"/>
      <c r="D2105" s="6"/>
    </row>
    <row r="2106" spans="1:4" ht="13" thickBot="1" x14ac:dyDescent="0.3">
      <c r="A2106" s="9">
        <f ca="1"/>
        <v>38996</v>
      </c>
      <c r="B2106" s="6">
        <v>50.43</v>
      </c>
      <c r="C2106" s="6"/>
      <c r="D2106" s="6"/>
    </row>
    <row r="2107" spans="1:4" ht="13" thickBot="1" x14ac:dyDescent="0.3">
      <c r="A2107" s="9">
        <f ca="1"/>
        <v>38997</v>
      </c>
      <c r="B2107" s="5">
        <f t="shared" ref="B2107:B2108" si="300">B2106</f>
        <v>50.43</v>
      </c>
      <c r="C2107" s="6"/>
      <c r="D2107" s="6"/>
    </row>
    <row r="2108" spans="1:4" ht="13" thickBot="1" x14ac:dyDescent="0.3">
      <c r="A2108" s="9">
        <f ca="1"/>
        <v>38998</v>
      </c>
      <c r="B2108" s="5">
        <f t="shared" si="300"/>
        <v>50.43</v>
      </c>
      <c r="C2108" s="6"/>
      <c r="D2108" s="6"/>
    </row>
    <row r="2109" spans="1:4" ht="13" thickBot="1" x14ac:dyDescent="0.3">
      <c r="A2109" s="9">
        <f ca="1"/>
        <v>38999</v>
      </c>
      <c r="B2109" s="6">
        <v>50.62</v>
      </c>
      <c r="C2109" s="6"/>
      <c r="D2109" s="6"/>
    </row>
    <row r="2110" spans="1:4" ht="13" thickBot="1" x14ac:dyDescent="0.3">
      <c r="A2110" s="9">
        <f ca="1"/>
        <v>39000</v>
      </c>
      <c r="B2110" s="6">
        <v>50.83</v>
      </c>
      <c r="C2110" s="6"/>
      <c r="D2110" s="6"/>
    </row>
    <row r="2111" spans="1:4" ht="13" thickBot="1" x14ac:dyDescent="0.3">
      <c r="A2111" s="9">
        <f ca="1"/>
        <v>39001</v>
      </c>
      <c r="B2111" s="6">
        <v>50.38</v>
      </c>
      <c r="C2111" s="6"/>
      <c r="D2111" s="6"/>
    </row>
    <row r="2112" spans="1:4" ht="13" thickBot="1" x14ac:dyDescent="0.3">
      <c r="A2112" s="9">
        <f ca="1"/>
        <v>39002</v>
      </c>
      <c r="B2112" s="6">
        <v>50.8</v>
      </c>
      <c r="C2112" s="6"/>
      <c r="D2112" s="6"/>
    </row>
    <row r="2113" spans="1:4" ht="13" thickBot="1" x14ac:dyDescent="0.3">
      <c r="A2113" s="9">
        <f ca="1"/>
        <v>39003</v>
      </c>
      <c r="B2113" s="6">
        <v>51.7</v>
      </c>
      <c r="C2113" s="6"/>
      <c r="D2113" s="6"/>
    </row>
    <row r="2114" spans="1:4" ht="13" thickBot="1" x14ac:dyDescent="0.3">
      <c r="A2114" s="9">
        <f ca="1"/>
        <v>39004</v>
      </c>
      <c r="B2114" s="5">
        <f t="shared" ref="B2114:B2115" si="301">B2113</f>
        <v>51.7</v>
      </c>
      <c r="C2114" s="6"/>
      <c r="D2114" s="6"/>
    </row>
    <row r="2115" spans="1:4" ht="13" thickBot="1" x14ac:dyDescent="0.3">
      <c r="A2115" s="9">
        <f ca="1"/>
        <v>39005</v>
      </c>
      <c r="B2115" s="5">
        <f t="shared" si="301"/>
        <v>51.7</v>
      </c>
      <c r="C2115" s="6"/>
      <c r="D2115" s="6"/>
    </row>
    <row r="2116" spans="1:4" ht="13" thickBot="1" x14ac:dyDescent="0.3">
      <c r="A2116" s="9">
        <f ca="1"/>
        <v>39006</v>
      </c>
      <c r="B2116" s="6">
        <v>51.68</v>
      </c>
      <c r="C2116" s="6"/>
      <c r="D2116" s="6"/>
    </row>
    <row r="2117" spans="1:4" ht="13" thickBot="1" x14ac:dyDescent="0.3">
      <c r="A2117" s="9">
        <f ca="1"/>
        <v>39007</v>
      </c>
      <c r="B2117" s="6">
        <v>51.69</v>
      </c>
      <c r="C2117" s="6"/>
      <c r="D2117" s="6"/>
    </row>
    <row r="2118" spans="1:4" ht="13" thickBot="1" x14ac:dyDescent="0.3">
      <c r="A2118" s="9">
        <f ca="1"/>
        <v>39008</v>
      </c>
      <c r="B2118" s="6">
        <v>51.89</v>
      </c>
      <c r="C2118" s="6"/>
      <c r="D2118" s="6"/>
    </row>
    <row r="2119" spans="1:4" ht="13" thickBot="1" x14ac:dyDescent="0.3">
      <c r="A2119" s="9">
        <f ca="1"/>
        <v>39009</v>
      </c>
      <c r="B2119" s="6">
        <v>50.57</v>
      </c>
      <c r="C2119" s="6"/>
      <c r="D2119" s="6"/>
    </row>
    <row r="2120" spans="1:4" ht="13" thickBot="1" x14ac:dyDescent="0.3">
      <c r="A2120" s="9">
        <f ca="1"/>
        <v>39010</v>
      </c>
      <c r="B2120" s="6">
        <v>49.4</v>
      </c>
      <c r="C2120" s="6"/>
      <c r="D2120" s="6"/>
    </row>
    <row r="2121" spans="1:4" ht="13" thickBot="1" x14ac:dyDescent="0.3">
      <c r="A2121" s="9">
        <f ca="1"/>
        <v>39011</v>
      </c>
      <c r="B2121" s="5">
        <f t="shared" ref="B2121:B2122" si="302">B2120</f>
        <v>49.4</v>
      </c>
      <c r="C2121" s="6"/>
      <c r="D2121" s="6"/>
    </row>
    <row r="2122" spans="1:4" ht="13" thickBot="1" x14ac:dyDescent="0.3">
      <c r="A2122" s="9">
        <f ca="1"/>
        <v>39012</v>
      </c>
      <c r="B2122" s="5">
        <f t="shared" si="302"/>
        <v>49.4</v>
      </c>
      <c r="C2122" s="6"/>
      <c r="D2122" s="6"/>
    </row>
    <row r="2123" spans="1:4" ht="13" thickBot="1" x14ac:dyDescent="0.3">
      <c r="A2123" s="9">
        <f ca="1"/>
        <v>39013</v>
      </c>
      <c r="B2123" s="6">
        <v>49.15</v>
      </c>
      <c r="C2123" s="6"/>
      <c r="D2123" s="6"/>
    </row>
    <row r="2124" spans="1:4" ht="13" thickBot="1" x14ac:dyDescent="0.3">
      <c r="A2124" s="9">
        <f ca="1"/>
        <v>39014</v>
      </c>
      <c r="B2124" s="6">
        <v>49.8</v>
      </c>
      <c r="C2124" s="6"/>
      <c r="D2124" s="6"/>
    </row>
    <row r="2125" spans="1:4" ht="13" thickBot="1" x14ac:dyDescent="0.3">
      <c r="A2125" s="9">
        <f ca="1"/>
        <v>39015</v>
      </c>
      <c r="B2125" s="6">
        <v>49.62</v>
      </c>
      <c r="C2125" s="6"/>
      <c r="D2125" s="6"/>
    </row>
    <row r="2126" spans="1:4" ht="13" thickBot="1" x14ac:dyDescent="0.3">
      <c r="A2126" s="9">
        <f ca="1"/>
        <v>39016</v>
      </c>
      <c r="B2126" s="6">
        <v>50</v>
      </c>
      <c r="C2126" s="6"/>
      <c r="D2126" s="6"/>
    </row>
    <row r="2127" spans="1:4" ht="13" thickBot="1" x14ac:dyDescent="0.3">
      <c r="A2127" s="9">
        <f ca="1"/>
        <v>39017</v>
      </c>
      <c r="B2127" s="6">
        <v>49.58</v>
      </c>
      <c r="C2127" s="6"/>
      <c r="D2127" s="6"/>
    </row>
    <row r="2128" spans="1:4" ht="13" thickBot="1" x14ac:dyDescent="0.3">
      <c r="A2128" s="9">
        <f ca="1"/>
        <v>39018</v>
      </c>
      <c r="B2128" s="5">
        <f t="shared" ref="B2128:B2129" si="303">B2127</f>
        <v>49.58</v>
      </c>
      <c r="C2128" s="6"/>
      <c r="D2128" s="6"/>
    </row>
    <row r="2129" spans="1:4" ht="13" thickBot="1" x14ac:dyDescent="0.3">
      <c r="A2129" s="9">
        <f ca="1"/>
        <v>39019</v>
      </c>
      <c r="B2129" s="5">
        <f t="shared" si="303"/>
        <v>49.58</v>
      </c>
      <c r="C2129" s="6"/>
      <c r="D2129" s="6"/>
    </row>
    <row r="2130" spans="1:4" ht="13" thickBot="1" x14ac:dyDescent="0.3">
      <c r="A2130" s="9">
        <f ca="1"/>
        <v>39020</v>
      </c>
      <c r="B2130" s="6">
        <v>49.3</v>
      </c>
      <c r="C2130" s="6"/>
      <c r="D2130" s="6"/>
    </row>
    <row r="2131" spans="1:4" ht="13" thickBot="1" x14ac:dyDescent="0.3">
      <c r="A2131" s="9">
        <f ca="1"/>
        <v>39021</v>
      </c>
      <c r="B2131" s="6">
        <v>49.98</v>
      </c>
      <c r="C2131" s="6"/>
      <c r="D2131" s="6"/>
    </row>
    <row r="2132" spans="1:4" ht="13" thickBot="1" x14ac:dyDescent="0.3">
      <c r="A2132" s="9">
        <f ca="1"/>
        <v>39022</v>
      </c>
      <c r="B2132" s="6">
        <v>50.06</v>
      </c>
      <c r="C2132" s="6"/>
      <c r="D2132" s="6"/>
    </row>
    <row r="2133" spans="1:4" ht="13" thickBot="1" x14ac:dyDescent="0.3">
      <c r="A2133" s="9">
        <f ca="1"/>
        <v>39023</v>
      </c>
      <c r="B2133" s="6">
        <v>49.03</v>
      </c>
      <c r="C2133" s="6"/>
      <c r="D2133" s="6"/>
    </row>
    <row r="2134" spans="1:4" ht="13" thickBot="1" x14ac:dyDescent="0.3">
      <c r="A2134" s="9">
        <f ca="1"/>
        <v>39024</v>
      </c>
      <c r="B2134" s="6">
        <v>49.1</v>
      </c>
      <c r="C2134" s="6"/>
      <c r="D2134" s="6"/>
    </row>
    <row r="2135" spans="1:4" ht="13" thickBot="1" x14ac:dyDescent="0.3">
      <c r="A2135" s="9">
        <f ca="1"/>
        <v>39025</v>
      </c>
      <c r="B2135" s="5">
        <f t="shared" ref="B2135:B2136" si="304">B2134</f>
        <v>49.1</v>
      </c>
      <c r="C2135" s="6"/>
      <c r="D2135" s="6"/>
    </row>
    <row r="2136" spans="1:4" ht="13" thickBot="1" x14ac:dyDescent="0.3">
      <c r="A2136" s="9">
        <f ca="1"/>
        <v>39026</v>
      </c>
      <c r="B2136" s="5">
        <f t="shared" si="304"/>
        <v>49.1</v>
      </c>
      <c r="C2136" s="6"/>
      <c r="D2136" s="6"/>
    </row>
    <row r="2137" spans="1:4" ht="13" thickBot="1" x14ac:dyDescent="0.3">
      <c r="A2137" s="9">
        <f ca="1"/>
        <v>39027</v>
      </c>
      <c r="B2137" s="6">
        <v>49.25</v>
      </c>
      <c r="C2137" s="6"/>
      <c r="D2137" s="6"/>
    </row>
    <row r="2138" spans="1:4" ht="13" thickBot="1" x14ac:dyDescent="0.3">
      <c r="A2138" s="9">
        <f ca="1"/>
        <v>39028</v>
      </c>
      <c r="B2138" s="6">
        <v>50.83</v>
      </c>
      <c r="C2138" s="6"/>
      <c r="D2138" s="6"/>
    </row>
    <row r="2139" spans="1:4" ht="13" thickBot="1" x14ac:dyDescent="0.3">
      <c r="A2139" s="9">
        <f ca="1"/>
        <v>39029</v>
      </c>
      <c r="B2139" s="6">
        <v>50.86</v>
      </c>
      <c r="C2139" s="6"/>
      <c r="D2139" s="6"/>
    </row>
    <row r="2140" spans="1:4" ht="13" thickBot="1" x14ac:dyDescent="0.3">
      <c r="A2140" s="9">
        <f ca="1"/>
        <v>39030</v>
      </c>
      <c r="B2140" s="6">
        <v>50.75</v>
      </c>
      <c r="C2140" s="6"/>
      <c r="D2140" s="6"/>
    </row>
    <row r="2141" spans="1:4" ht="13" thickBot="1" x14ac:dyDescent="0.3">
      <c r="A2141" s="9">
        <f ca="1"/>
        <v>39031</v>
      </c>
      <c r="B2141" s="6">
        <v>50.64</v>
      </c>
      <c r="C2141" s="6"/>
      <c r="D2141" s="6"/>
    </row>
    <row r="2142" spans="1:4" ht="13" thickBot="1" x14ac:dyDescent="0.3">
      <c r="A2142" s="9">
        <f ca="1"/>
        <v>39032</v>
      </c>
      <c r="B2142" s="5">
        <f t="shared" ref="B2142:B2143" si="305">B2141</f>
        <v>50.64</v>
      </c>
      <c r="C2142" s="6"/>
      <c r="D2142" s="6"/>
    </row>
    <row r="2143" spans="1:4" ht="13" thickBot="1" x14ac:dyDescent="0.3">
      <c r="A2143" s="9">
        <f ca="1"/>
        <v>39033</v>
      </c>
      <c r="B2143" s="5">
        <f t="shared" si="305"/>
        <v>50.64</v>
      </c>
      <c r="C2143" s="6"/>
      <c r="D2143" s="6"/>
    </row>
    <row r="2144" spans="1:4" ht="13" thickBot="1" x14ac:dyDescent="0.3">
      <c r="A2144" s="9">
        <f ca="1"/>
        <v>39034</v>
      </c>
      <c r="B2144" s="6">
        <v>50.43</v>
      </c>
      <c r="C2144" s="6"/>
      <c r="D2144" s="6"/>
    </row>
    <row r="2145" spans="1:4" ht="13" thickBot="1" x14ac:dyDescent="0.3">
      <c r="A2145" s="9">
        <f ca="1"/>
        <v>39035</v>
      </c>
      <c r="B2145" s="6">
        <v>51.28</v>
      </c>
      <c r="C2145" s="6"/>
      <c r="D2145" s="6"/>
    </row>
    <row r="2146" spans="1:4" ht="13" thickBot="1" x14ac:dyDescent="0.3">
      <c r="A2146" s="9">
        <f ca="1"/>
        <v>39036</v>
      </c>
      <c r="B2146" s="6">
        <v>51.38</v>
      </c>
      <c r="C2146" s="6"/>
      <c r="D2146" s="6"/>
    </row>
    <row r="2147" spans="1:4" ht="13" thickBot="1" x14ac:dyDescent="0.3">
      <c r="A2147" s="9">
        <f ca="1"/>
        <v>39037</v>
      </c>
      <c r="B2147" s="6">
        <v>51.75</v>
      </c>
      <c r="C2147" s="6"/>
      <c r="D2147" s="6"/>
    </row>
    <row r="2148" spans="1:4" ht="13" thickBot="1" x14ac:dyDescent="0.3">
      <c r="A2148" s="9">
        <f ca="1"/>
        <v>39038</v>
      </c>
      <c r="B2148" s="6">
        <v>51.23</v>
      </c>
      <c r="C2148" s="6"/>
      <c r="D2148" s="6"/>
    </row>
    <row r="2149" spans="1:4" ht="13" thickBot="1" x14ac:dyDescent="0.3">
      <c r="A2149" s="9">
        <f ca="1"/>
        <v>39039</v>
      </c>
      <c r="B2149" s="5">
        <f t="shared" ref="B2149:B2150" si="306">B2148</f>
        <v>51.23</v>
      </c>
      <c r="C2149" s="6"/>
      <c r="D2149" s="6"/>
    </row>
    <row r="2150" spans="1:4" ht="13" thickBot="1" x14ac:dyDescent="0.3">
      <c r="A2150" s="9">
        <f ca="1"/>
        <v>39040</v>
      </c>
      <c r="B2150" s="5">
        <f t="shared" si="306"/>
        <v>51.23</v>
      </c>
      <c r="C2150" s="6"/>
      <c r="D2150" s="6"/>
    </row>
    <row r="2151" spans="1:4" ht="13" thickBot="1" x14ac:dyDescent="0.3">
      <c r="A2151" s="9">
        <f ca="1"/>
        <v>39041</v>
      </c>
      <c r="B2151" s="6">
        <v>51.42</v>
      </c>
      <c r="C2151" s="6"/>
      <c r="D2151" s="6"/>
    </row>
    <row r="2152" spans="1:4" ht="13" thickBot="1" x14ac:dyDescent="0.3">
      <c r="A2152" s="9">
        <f ca="1"/>
        <v>39042</v>
      </c>
      <c r="B2152" s="6">
        <v>52.3</v>
      </c>
      <c r="C2152" s="6"/>
      <c r="D2152" s="6"/>
    </row>
    <row r="2153" spans="1:4" ht="13" thickBot="1" x14ac:dyDescent="0.3">
      <c r="A2153" s="9">
        <f ca="1"/>
        <v>39043</v>
      </c>
      <c r="B2153" s="6">
        <v>52.45</v>
      </c>
      <c r="C2153" s="6"/>
      <c r="D2153" s="6"/>
    </row>
    <row r="2154" spans="1:4" ht="13" thickBot="1" x14ac:dyDescent="0.3">
      <c r="A2154" s="9">
        <f ca="1"/>
        <v>39044</v>
      </c>
      <c r="B2154" s="5">
        <f>B2153</f>
        <v>52.45</v>
      </c>
      <c r="C2154" s="6"/>
      <c r="D2154" s="6"/>
    </row>
    <row r="2155" spans="1:4" ht="13" thickBot="1" x14ac:dyDescent="0.3">
      <c r="A2155" s="9">
        <f ca="1"/>
        <v>39045</v>
      </c>
      <c r="B2155" s="6">
        <v>52.26</v>
      </c>
      <c r="C2155" s="6"/>
      <c r="D2155" s="6"/>
    </row>
    <row r="2156" spans="1:4" ht="13" thickBot="1" x14ac:dyDescent="0.3">
      <c r="A2156" s="9">
        <f ca="1"/>
        <v>39046</v>
      </c>
      <c r="B2156" s="5">
        <f t="shared" ref="B2156:B2157" si="307">B2155</f>
        <v>52.26</v>
      </c>
      <c r="C2156" s="6"/>
      <c r="D2156" s="6"/>
    </row>
    <row r="2157" spans="1:4" ht="13" thickBot="1" x14ac:dyDescent="0.3">
      <c r="A2157" s="9">
        <f ca="1"/>
        <v>39047</v>
      </c>
      <c r="B2157" s="5">
        <f t="shared" si="307"/>
        <v>52.26</v>
      </c>
      <c r="C2157" s="6"/>
      <c r="D2157" s="6"/>
    </row>
    <row r="2158" spans="1:4" ht="13" thickBot="1" x14ac:dyDescent="0.3">
      <c r="A2158" s="9">
        <f ca="1"/>
        <v>39048</v>
      </c>
      <c r="B2158" s="6">
        <v>51.93</v>
      </c>
      <c r="C2158" s="6"/>
      <c r="D2158" s="6"/>
    </row>
    <row r="2159" spans="1:4" ht="13" thickBot="1" x14ac:dyDescent="0.3">
      <c r="A2159" s="9">
        <f ca="1"/>
        <v>39049</v>
      </c>
      <c r="B2159" s="6">
        <v>51.07</v>
      </c>
      <c r="C2159" s="6"/>
      <c r="D2159" s="6"/>
    </row>
    <row r="2160" spans="1:4" ht="13" thickBot="1" x14ac:dyDescent="0.3">
      <c r="A2160" s="9">
        <f ca="1"/>
        <v>39050</v>
      </c>
      <c r="B2160" s="6">
        <v>51.53</v>
      </c>
      <c r="C2160" s="6"/>
      <c r="D2160" s="6"/>
    </row>
    <row r="2161" spans="1:4" ht="13" thickBot="1" x14ac:dyDescent="0.3">
      <c r="A2161" s="9">
        <f ca="1"/>
        <v>39051</v>
      </c>
      <c r="B2161" s="6">
        <v>52.27</v>
      </c>
      <c r="C2161" s="6"/>
      <c r="D2161" s="6"/>
    </row>
    <row r="2162" spans="1:4" ht="13" thickBot="1" x14ac:dyDescent="0.3">
      <c r="A2162" s="9">
        <f ca="1"/>
        <v>39052</v>
      </c>
      <c r="B2162" s="6">
        <v>51.74</v>
      </c>
      <c r="C2162" s="6"/>
      <c r="D2162" s="6"/>
    </row>
    <row r="2163" spans="1:4" ht="13" thickBot="1" x14ac:dyDescent="0.3">
      <c r="A2163" s="9">
        <f ca="1"/>
        <v>39053</v>
      </c>
      <c r="B2163" s="5">
        <f t="shared" ref="B2163:B2164" si="308">B2162</f>
        <v>51.74</v>
      </c>
      <c r="C2163" s="6"/>
      <c r="D2163" s="6"/>
    </row>
    <row r="2164" spans="1:4" ht="13" thickBot="1" x14ac:dyDescent="0.3">
      <c r="A2164" s="9">
        <f ca="1"/>
        <v>39054</v>
      </c>
      <c r="B2164" s="5">
        <f t="shared" si="308"/>
        <v>51.74</v>
      </c>
      <c r="C2164" s="6"/>
      <c r="D2164" s="6"/>
    </row>
    <row r="2165" spans="1:4" ht="13" thickBot="1" x14ac:dyDescent="0.3">
      <c r="A2165" s="9">
        <f ca="1"/>
        <v>39055</v>
      </c>
      <c r="B2165" s="6">
        <v>50.96</v>
      </c>
      <c r="C2165" s="6"/>
      <c r="D2165" s="6"/>
    </row>
    <row r="2166" spans="1:4" ht="13" thickBot="1" x14ac:dyDescent="0.3">
      <c r="A2166" s="9">
        <f ca="1"/>
        <v>39056</v>
      </c>
      <c r="B2166" s="6">
        <v>52.35</v>
      </c>
      <c r="C2166" s="6"/>
      <c r="D2166" s="6"/>
    </row>
    <row r="2167" spans="1:4" ht="13" thickBot="1" x14ac:dyDescent="0.3">
      <c r="A2167" s="9">
        <f ca="1"/>
        <v>39057</v>
      </c>
      <c r="B2167" s="6">
        <v>51.66</v>
      </c>
      <c r="C2167" s="6"/>
      <c r="D2167" s="6"/>
    </row>
    <row r="2168" spans="1:4" ht="13" thickBot="1" x14ac:dyDescent="0.3">
      <c r="A2168" s="9">
        <f ca="1"/>
        <v>39058</v>
      </c>
      <c r="B2168" s="6">
        <v>52.1</v>
      </c>
      <c r="C2168" s="6"/>
      <c r="D2168" s="6"/>
    </row>
    <row r="2169" spans="1:4" ht="13" thickBot="1" x14ac:dyDescent="0.3">
      <c r="A2169" s="9">
        <f ca="1"/>
        <v>39059</v>
      </c>
      <c r="B2169" s="6">
        <v>51.41</v>
      </c>
      <c r="C2169" s="6"/>
      <c r="D2169" s="6"/>
    </row>
    <row r="2170" spans="1:4" ht="13" thickBot="1" x14ac:dyDescent="0.3">
      <c r="A2170" s="9">
        <f ca="1"/>
        <v>39060</v>
      </c>
      <c r="B2170" s="5">
        <f t="shared" ref="B2170:B2171" si="309">B2169</f>
        <v>51.41</v>
      </c>
      <c r="C2170" s="6"/>
      <c r="D2170" s="6"/>
    </row>
    <row r="2171" spans="1:4" ht="13" thickBot="1" x14ac:dyDescent="0.3">
      <c r="A2171" s="9">
        <f ca="1"/>
        <v>39061</v>
      </c>
      <c r="B2171" s="5">
        <f t="shared" si="309"/>
        <v>51.41</v>
      </c>
      <c r="C2171" s="6"/>
      <c r="D2171" s="6"/>
    </row>
    <row r="2172" spans="1:4" ht="13" thickBot="1" x14ac:dyDescent="0.3">
      <c r="A2172" s="9">
        <f ca="1"/>
        <v>39062</v>
      </c>
      <c r="B2172" s="6">
        <v>51.38</v>
      </c>
      <c r="C2172" s="6"/>
      <c r="D2172" s="6"/>
    </row>
    <row r="2173" spans="1:4" ht="13" thickBot="1" x14ac:dyDescent="0.3">
      <c r="A2173" s="9">
        <f ca="1"/>
        <v>39063</v>
      </c>
      <c r="B2173" s="6">
        <v>51.64</v>
      </c>
      <c r="C2173" s="6"/>
      <c r="D2173" s="6"/>
    </row>
    <row r="2174" spans="1:4" ht="13" thickBot="1" x14ac:dyDescent="0.3">
      <c r="A2174" s="9">
        <f ca="1"/>
        <v>39064</v>
      </c>
      <c r="B2174" s="6">
        <v>51.88</v>
      </c>
      <c r="C2174" s="6"/>
      <c r="D2174" s="6"/>
    </row>
    <row r="2175" spans="1:4" ht="13" thickBot="1" x14ac:dyDescent="0.3">
      <c r="A2175" s="9">
        <f ca="1"/>
        <v>39065</v>
      </c>
      <c r="B2175" s="6">
        <v>51.42</v>
      </c>
      <c r="C2175" s="6"/>
      <c r="D2175" s="6"/>
    </row>
    <row r="2176" spans="1:4" ht="13" thickBot="1" x14ac:dyDescent="0.3">
      <c r="A2176" s="9">
        <f ca="1"/>
        <v>39066</v>
      </c>
      <c r="B2176" s="6">
        <v>51.7</v>
      </c>
      <c r="C2176" s="6"/>
      <c r="D2176" s="6"/>
    </row>
    <row r="2177" spans="1:4" ht="13" thickBot="1" x14ac:dyDescent="0.3">
      <c r="A2177" s="9">
        <f ca="1"/>
        <v>39067</v>
      </c>
      <c r="B2177" s="5">
        <f t="shared" ref="B2177:B2178" si="310">B2176</f>
        <v>51.7</v>
      </c>
      <c r="C2177" s="6"/>
      <c r="D2177" s="6"/>
    </row>
    <row r="2178" spans="1:4" ht="13" thickBot="1" x14ac:dyDescent="0.3">
      <c r="A2178" s="9">
        <f ca="1"/>
        <v>39068</v>
      </c>
      <c r="B2178" s="5">
        <f t="shared" si="310"/>
        <v>51.7</v>
      </c>
      <c r="C2178" s="6"/>
      <c r="D2178" s="6"/>
    </row>
    <row r="2179" spans="1:4" ht="13" thickBot="1" x14ac:dyDescent="0.3">
      <c r="A2179" s="9">
        <f ca="1"/>
        <v>39069</v>
      </c>
      <c r="B2179" s="6">
        <v>52.36</v>
      </c>
      <c r="C2179" s="6"/>
      <c r="D2179" s="6"/>
    </row>
    <row r="2180" spans="1:4" ht="13" thickBot="1" x14ac:dyDescent="0.3">
      <c r="A2180" s="9">
        <f ca="1"/>
        <v>39070</v>
      </c>
      <c r="B2180" s="6">
        <v>51.76</v>
      </c>
      <c r="C2180" s="6"/>
      <c r="D2180" s="6"/>
    </row>
    <row r="2181" spans="1:4" ht="13" thickBot="1" x14ac:dyDescent="0.3">
      <c r="A2181" s="9">
        <f ca="1"/>
        <v>39071</v>
      </c>
      <c r="B2181" s="6">
        <v>52.23</v>
      </c>
      <c r="C2181" s="6"/>
      <c r="D2181" s="6"/>
    </row>
    <row r="2182" spans="1:4" ht="13" thickBot="1" x14ac:dyDescent="0.3">
      <c r="A2182" s="9">
        <f ca="1"/>
        <v>39072</v>
      </c>
      <c r="B2182" s="6">
        <v>52.65</v>
      </c>
      <c r="C2182" s="6"/>
      <c r="D2182" s="6"/>
    </row>
    <row r="2183" spans="1:4" ht="13" thickBot="1" x14ac:dyDescent="0.3">
      <c r="A2183" s="9">
        <f ca="1"/>
        <v>39073</v>
      </c>
      <c r="B2183" s="6">
        <v>52.82</v>
      </c>
      <c r="C2183" s="6"/>
      <c r="D2183" s="6"/>
    </row>
    <row r="2184" spans="1:4" ht="13" thickBot="1" x14ac:dyDescent="0.3">
      <c r="A2184" s="9">
        <f ca="1"/>
        <v>39074</v>
      </c>
      <c r="B2184" s="5">
        <f t="shared" ref="B2184:B2186" si="311">B2183</f>
        <v>52.82</v>
      </c>
      <c r="C2184" s="6"/>
      <c r="D2184" s="6"/>
    </row>
    <row r="2185" spans="1:4" ht="13" thickBot="1" x14ac:dyDescent="0.3">
      <c r="A2185" s="9">
        <f ca="1"/>
        <v>39075</v>
      </c>
      <c r="B2185" s="5">
        <f t="shared" si="311"/>
        <v>52.82</v>
      </c>
      <c r="C2185" s="6"/>
      <c r="D2185" s="6"/>
    </row>
    <row r="2186" spans="1:4" ht="13" thickBot="1" x14ac:dyDescent="0.3">
      <c r="A2186" s="9">
        <f ca="1"/>
        <v>39076</v>
      </c>
      <c r="B2186" s="5">
        <f t="shared" si="311"/>
        <v>52.82</v>
      </c>
      <c r="C2186" s="6"/>
      <c r="D2186" s="6"/>
    </row>
    <row r="2187" spans="1:4" ht="13" thickBot="1" x14ac:dyDescent="0.3">
      <c r="A2187" s="9">
        <f ca="1"/>
        <v>39077</v>
      </c>
      <c r="B2187" s="6">
        <v>52.2</v>
      </c>
      <c r="C2187" s="6"/>
      <c r="D2187" s="6"/>
    </row>
    <row r="2188" spans="1:4" ht="13" thickBot="1" x14ac:dyDescent="0.3">
      <c r="A2188" s="9">
        <f ca="1"/>
        <v>39078</v>
      </c>
      <c r="B2188" s="6">
        <v>52.68</v>
      </c>
      <c r="C2188" s="6"/>
      <c r="D2188" s="6"/>
    </row>
    <row r="2189" spans="1:4" ht="13" thickBot="1" x14ac:dyDescent="0.3">
      <c r="A2189" s="9">
        <f ca="1"/>
        <v>39079</v>
      </c>
      <c r="B2189" s="6">
        <v>53.14</v>
      </c>
      <c r="C2189" s="6"/>
      <c r="D2189" s="6"/>
    </row>
    <row r="2190" spans="1:4" ht="13" thickBot="1" x14ac:dyDescent="0.3">
      <c r="A2190" s="9">
        <f ca="1"/>
        <v>39080</v>
      </c>
      <c r="B2190" s="6">
        <v>53.01</v>
      </c>
      <c r="C2190" s="6"/>
      <c r="D2190" s="6"/>
    </row>
    <row r="2191" spans="1:4" ht="13" thickBot="1" x14ac:dyDescent="0.3">
      <c r="A2191" s="9">
        <f ca="1"/>
        <v>39081</v>
      </c>
      <c r="B2191" s="5">
        <f t="shared" ref="B2191:B2194" si="312">B2190</f>
        <v>53.01</v>
      </c>
      <c r="C2191" s="6"/>
      <c r="D2191" s="6"/>
    </row>
    <row r="2192" spans="1:4" ht="13" thickBot="1" x14ac:dyDescent="0.3">
      <c r="A2192" s="9">
        <f ca="1"/>
        <v>39082</v>
      </c>
      <c r="B2192" s="5">
        <f t="shared" si="312"/>
        <v>53.01</v>
      </c>
      <c r="C2192" s="6"/>
      <c r="D2192" s="6"/>
    </row>
    <row r="2193" spans="1:4" ht="13" thickBot="1" x14ac:dyDescent="0.3">
      <c r="A2193" s="9">
        <f ca="1"/>
        <v>39083</v>
      </c>
      <c r="B2193" s="5">
        <f t="shared" si="312"/>
        <v>53.01</v>
      </c>
      <c r="C2193" s="6"/>
      <c r="D2193" s="6"/>
    </row>
    <row r="2194" spans="1:4" ht="13" thickBot="1" x14ac:dyDescent="0.3">
      <c r="A2194" s="9">
        <f ca="1"/>
        <v>39084</v>
      </c>
      <c r="B2194" s="5">
        <f t="shared" si="312"/>
        <v>53.01</v>
      </c>
      <c r="C2194" s="6"/>
      <c r="D2194" s="6"/>
    </row>
    <row r="2195" spans="1:4" ht="13" thickBot="1" x14ac:dyDescent="0.3">
      <c r="A2195" s="9">
        <f ca="1"/>
        <v>39085</v>
      </c>
      <c r="B2195" s="6">
        <v>53.7</v>
      </c>
      <c r="C2195" s="6"/>
      <c r="D2195" s="6"/>
    </row>
    <row r="2196" spans="1:4" ht="13" thickBot="1" x14ac:dyDescent="0.3">
      <c r="A2196" s="9">
        <f ca="1"/>
        <v>39086</v>
      </c>
      <c r="B2196" s="6">
        <v>53.05</v>
      </c>
      <c r="C2196" s="6"/>
      <c r="D2196" s="6"/>
    </row>
    <row r="2197" spans="1:4" ht="13" thickBot="1" x14ac:dyDescent="0.3">
      <c r="A2197" s="9">
        <f ca="1"/>
        <v>39087</v>
      </c>
      <c r="B2197" s="6">
        <v>53.66</v>
      </c>
      <c r="C2197" s="6"/>
      <c r="D2197" s="6"/>
    </row>
    <row r="2198" spans="1:4" ht="13" thickBot="1" x14ac:dyDescent="0.3">
      <c r="A2198" s="9">
        <f ca="1"/>
        <v>39088</v>
      </c>
      <c r="B2198" s="5">
        <f t="shared" ref="B2198:B2199" si="313">B2197</f>
        <v>53.66</v>
      </c>
      <c r="C2198" s="6"/>
      <c r="D2198" s="6"/>
    </row>
    <row r="2199" spans="1:4" ht="13" thickBot="1" x14ac:dyDescent="0.3">
      <c r="A2199" s="9">
        <f ca="1"/>
        <v>39089</v>
      </c>
      <c r="B2199" s="5">
        <f t="shared" si="313"/>
        <v>53.66</v>
      </c>
      <c r="C2199" s="6"/>
      <c r="D2199" s="6"/>
    </row>
    <row r="2200" spans="1:4" ht="13" thickBot="1" x14ac:dyDescent="0.3">
      <c r="A2200" s="9">
        <f ca="1"/>
        <v>39090</v>
      </c>
      <c r="B2200" s="6">
        <v>54.47</v>
      </c>
      <c r="C2200" s="6"/>
      <c r="D2200" s="6"/>
    </row>
    <row r="2201" spans="1:4" ht="13" thickBot="1" x14ac:dyDescent="0.3">
      <c r="A2201" s="9">
        <f ca="1"/>
        <v>39091</v>
      </c>
      <c r="B2201" s="6">
        <v>54.49</v>
      </c>
      <c r="C2201" s="6"/>
      <c r="D2201" s="6"/>
    </row>
    <row r="2202" spans="1:4" ht="13" thickBot="1" x14ac:dyDescent="0.3">
      <c r="A2202" s="9">
        <f ca="1"/>
        <v>39092</v>
      </c>
      <c r="B2202" s="6">
        <v>53.93</v>
      </c>
      <c r="C2202" s="6"/>
      <c r="D2202" s="6"/>
    </row>
    <row r="2203" spans="1:4" ht="13" thickBot="1" x14ac:dyDescent="0.3">
      <c r="A2203" s="9">
        <f ca="1"/>
        <v>39093</v>
      </c>
      <c r="B2203" s="6">
        <v>54.19</v>
      </c>
      <c r="C2203" s="6"/>
      <c r="D2203" s="6"/>
    </row>
    <row r="2204" spans="1:4" ht="13" thickBot="1" x14ac:dyDescent="0.3">
      <c r="A2204" s="9">
        <f ca="1"/>
        <v>39094</v>
      </c>
      <c r="B2204" s="6">
        <v>50.18</v>
      </c>
      <c r="C2204" s="6"/>
      <c r="D2204" s="6"/>
    </row>
    <row r="2205" spans="1:4" ht="13" thickBot="1" x14ac:dyDescent="0.3">
      <c r="A2205" s="9">
        <f ca="1"/>
        <v>39095</v>
      </c>
      <c r="B2205" s="5">
        <f t="shared" ref="B2205:B2207" si="314">B2204</f>
        <v>50.18</v>
      </c>
      <c r="C2205" s="6"/>
      <c r="D2205" s="6"/>
    </row>
    <row r="2206" spans="1:4" ht="13" thickBot="1" x14ac:dyDescent="0.3">
      <c r="A2206" s="9">
        <f ca="1"/>
        <v>39096</v>
      </c>
      <c r="B2206" s="5">
        <f t="shared" si="314"/>
        <v>50.18</v>
      </c>
      <c r="C2206" s="6"/>
      <c r="D2206" s="6"/>
    </row>
    <row r="2207" spans="1:4" ht="13" thickBot="1" x14ac:dyDescent="0.3">
      <c r="A2207" s="9">
        <f ca="1"/>
        <v>39097</v>
      </c>
      <c r="B2207" s="5">
        <f t="shared" si="314"/>
        <v>50.18</v>
      </c>
      <c r="C2207" s="6"/>
      <c r="D2207" s="6"/>
    </row>
    <row r="2208" spans="1:4" ht="13" thickBot="1" x14ac:dyDescent="0.3">
      <c r="A2208" s="9">
        <f ca="1"/>
        <v>39098</v>
      </c>
      <c r="B2208" s="6">
        <v>50.46</v>
      </c>
      <c r="C2208" s="6"/>
      <c r="D2208" s="6"/>
    </row>
    <row r="2209" spans="1:4" ht="13" thickBot="1" x14ac:dyDescent="0.3">
      <c r="A2209" s="9">
        <f ca="1"/>
        <v>39099</v>
      </c>
      <c r="B2209" s="6">
        <v>49.7</v>
      </c>
      <c r="C2209" s="6"/>
      <c r="D2209" s="6"/>
    </row>
    <row r="2210" spans="1:4" ht="13" thickBot="1" x14ac:dyDescent="0.3">
      <c r="A2210" s="9">
        <f ca="1"/>
        <v>39100</v>
      </c>
      <c r="B2210" s="6">
        <v>49.12</v>
      </c>
      <c r="C2210" s="6"/>
      <c r="D2210" s="6"/>
    </row>
    <row r="2211" spans="1:4" ht="13" thickBot="1" x14ac:dyDescent="0.3">
      <c r="A2211" s="9">
        <f ca="1"/>
        <v>39101</v>
      </c>
      <c r="B2211" s="6">
        <v>48.54</v>
      </c>
      <c r="C2211" s="6"/>
      <c r="D2211" s="6"/>
    </row>
    <row r="2212" spans="1:4" ht="13" thickBot="1" x14ac:dyDescent="0.3">
      <c r="A2212" s="9">
        <f ca="1"/>
        <v>39102</v>
      </c>
      <c r="B2212" s="5">
        <f t="shared" ref="B2212:B2213" si="315">B2211</f>
        <v>48.54</v>
      </c>
      <c r="C2212" s="6"/>
      <c r="D2212" s="6"/>
    </row>
    <row r="2213" spans="1:4" ht="13" thickBot="1" x14ac:dyDescent="0.3">
      <c r="A2213" s="9">
        <f ca="1"/>
        <v>39103</v>
      </c>
      <c r="B2213" s="5">
        <f t="shared" si="315"/>
        <v>48.54</v>
      </c>
      <c r="C2213" s="6"/>
      <c r="D2213" s="6"/>
    </row>
    <row r="2214" spans="1:4" ht="13" thickBot="1" x14ac:dyDescent="0.3">
      <c r="A2214" s="9">
        <f ca="1"/>
        <v>39104</v>
      </c>
      <c r="B2214" s="6">
        <v>49.44</v>
      </c>
      <c r="C2214" s="6"/>
      <c r="D2214" s="6"/>
    </row>
    <row r="2215" spans="1:4" ht="13" thickBot="1" x14ac:dyDescent="0.3">
      <c r="A2215" s="9">
        <f ca="1"/>
        <v>39105</v>
      </c>
      <c r="B2215" s="6">
        <v>50.12</v>
      </c>
      <c r="C2215" s="6"/>
      <c r="D2215" s="6"/>
    </row>
    <row r="2216" spans="1:4" ht="13" thickBot="1" x14ac:dyDescent="0.3">
      <c r="A2216" s="9">
        <f ca="1"/>
        <v>39106</v>
      </c>
      <c r="B2216" s="6">
        <v>47.75</v>
      </c>
      <c r="C2216" s="6"/>
      <c r="D2216" s="6"/>
    </row>
    <row r="2217" spans="1:4" ht="13" thickBot="1" x14ac:dyDescent="0.3">
      <c r="A2217" s="9">
        <f ca="1"/>
        <v>39107</v>
      </c>
      <c r="B2217" s="6">
        <v>47.14</v>
      </c>
      <c r="C2217" s="6"/>
      <c r="D2217" s="6"/>
    </row>
    <row r="2218" spans="1:4" ht="13" thickBot="1" x14ac:dyDescent="0.3">
      <c r="A2218" s="9">
        <f ca="1"/>
        <v>39108</v>
      </c>
      <c r="B2218" s="6">
        <v>46.54</v>
      </c>
      <c r="C2218" s="6"/>
      <c r="D2218" s="6"/>
    </row>
    <row r="2219" spans="1:4" ht="13" thickBot="1" x14ac:dyDescent="0.3">
      <c r="A2219" s="9">
        <f ca="1"/>
        <v>39109</v>
      </c>
      <c r="B2219" s="5">
        <f t="shared" ref="B2219:B2220" si="316">B2218</f>
        <v>46.54</v>
      </c>
      <c r="C2219" s="6"/>
      <c r="D2219" s="6"/>
    </row>
    <row r="2220" spans="1:4" ht="13" thickBot="1" x14ac:dyDescent="0.3">
      <c r="A2220" s="9">
        <f ca="1"/>
        <v>39110</v>
      </c>
      <c r="B2220" s="5">
        <f t="shared" si="316"/>
        <v>46.54</v>
      </c>
      <c r="C2220" s="6"/>
      <c r="D2220" s="6"/>
    </row>
    <row r="2221" spans="1:4" ht="13" thickBot="1" x14ac:dyDescent="0.3">
      <c r="A2221" s="9">
        <f ca="1"/>
        <v>39111</v>
      </c>
      <c r="B2221" s="6">
        <v>46.5</v>
      </c>
      <c r="C2221" s="6"/>
      <c r="D2221" s="6"/>
    </row>
    <row r="2222" spans="1:4" ht="13" thickBot="1" x14ac:dyDescent="0.3">
      <c r="A2222" s="9">
        <f ca="1"/>
        <v>39112</v>
      </c>
      <c r="B2222" s="6">
        <v>46.97</v>
      </c>
      <c r="C2222" s="6"/>
      <c r="D2222" s="6"/>
    </row>
    <row r="2223" spans="1:4" ht="13" thickBot="1" x14ac:dyDescent="0.3">
      <c r="A2223" s="9">
        <f ca="1"/>
        <v>39113</v>
      </c>
      <c r="B2223" s="6">
        <v>46.08</v>
      </c>
      <c r="C2223" s="6"/>
      <c r="D2223" s="6"/>
    </row>
    <row r="2224" spans="1:4" ht="13" thickBot="1" x14ac:dyDescent="0.3">
      <c r="A2224" s="9">
        <f ca="1"/>
        <v>39114</v>
      </c>
      <c r="B2224" s="6">
        <v>46.7</v>
      </c>
      <c r="C2224" s="6"/>
      <c r="D2224" s="6"/>
    </row>
    <row r="2225" spans="1:4" ht="13" thickBot="1" x14ac:dyDescent="0.3">
      <c r="A2225" s="9">
        <f ca="1"/>
        <v>39115</v>
      </c>
      <c r="B2225" s="6">
        <v>45.94</v>
      </c>
      <c r="C2225" s="6"/>
      <c r="D2225" s="6"/>
    </row>
    <row r="2226" spans="1:4" ht="13" thickBot="1" x14ac:dyDescent="0.3">
      <c r="A2226" s="9">
        <f ca="1"/>
        <v>39116</v>
      </c>
      <c r="B2226" s="5">
        <f t="shared" ref="B2226:B2227" si="317">B2225</f>
        <v>45.94</v>
      </c>
      <c r="C2226" s="6"/>
      <c r="D2226" s="6"/>
    </row>
    <row r="2227" spans="1:4" ht="13" thickBot="1" x14ac:dyDescent="0.3">
      <c r="A2227" s="9">
        <f ca="1"/>
        <v>39117</v>
      </c>
      <c r="B2227" s="5">
        <f t="shared" si="317"/>
        <v>45.94</v>
      </c>
      <c r="C2227" s="6"/>
      <c r="D2227" s="6"/>
    </row>
    <row r="2228" spans="1:4" ht="13" thickBot="1" x14ac:dyDescent="0.3">
      <c r="A2228" s="9">
        <f ca="1"/>
        <v>39118</v>
      </c>
      <c r="B2228" s="6">
        <v>46.03</v>
      </c>
      <c r="C2228" s="6"/>
      <c r="D2228" s="6"/>
    </row>
    <row r="2229" spans="1:4" ht="13" thickBot="1" x14ac:dyDescent="0.3">
      <c r="A2229" s="9">
        <f ca="1"/>
        <v>39119</v>
      </c>
      <c r="B2229" s="6">
        <v>45.56</v>
      </c>
      <c r="C2229" s="6"/>
      <c r="D2229" s="6"/>
    </row>
    <row r="2230" spans="1:4" ht="13" thickBot="1" x14ac:dyDescent="0.3">
      <c r="A2230" s="9">
        <f ca="1"/>
        <v>39120</v>
      </c>
      <c r="B2230" s="6">
        <v>45.43</v>
      </c>
      <c r="C2230" s="6"/>
      <c r="D2230" s="6"/>
    </row>
    <row r="2231" spans="1:4" ht="13" thickBot="1" x14ac:dyDescent="0.3">
      <c r="A2231" s="9">
        <f ca="1"/>
        <v>39121</v>
      </c>
      <c r="B2231" s="6">
        <v>46.3</v>
      </c>
      <c r="C2231" s="6"/>
      <c r="D2231" s="6"/>
    </row>
    <row r="2232" spans="1:4" ht="13" thickBot="1" x14ac:dyDescent="0.3">
      <c r="A2232" s="9">
        <f ca="1"/>
        <v>39122</v>
      </c>
      <c r="B2232" s="6">
        <v>47</v>
      </c>
      <c r="C2232" s="6"/>
      <c r="D2232" s="6"/>
    </row>
    <row r="2233" spans="1:4" ht="13" thickBot="1" x14ac:dyDescent="0.3">
      <c r="A2233" s="9">
        <f ca="1"/>
        <v>39123</v>
      </c>
      <c r="B2233" s="5">
        <f t="shared" ref="B2233:B2234" si="318">B2232</f>
        <v>47</v>
      </c>
      <c r="C2233" s="6"/>
      <c r="D2233" s="6"/>
    </row>
    <row r="2234" spans="1:4" ht="13" thickBot="1" x14ac:dyDescent="0.3">
      <c r="A2234" s="9">
        <f ca="1"/>
        <v>39124</v>
      </c>
      <c r="B2234" s="5">
        <f t="shared" si="318"/>
        <v>47</v>
      </c>
      <c r="C2234" s="6"/>
      <c r="D2234" s="6"/>
    </row>
    <row r="2235" spans="1:4" ht="13" thickBot="1" x14ac:dyDescent="0.3">
      <c r="A2235" s="9">
        <f ca="1"/>
        <v>39125</v>
      </c>
      <c r="B2235" s="6">
        <v>46.58</v>
      </c>
      <c r="C2235" s="6"/>
      <c r="D2235" s="6"/>
    </row>
    <row r="2236" spans="1:4" ht="13" thickBot="1" x14ac:dyDescent="0.3">
      <c r="A2236" s="9">
        <f ca="1"/>
        <v>39126</v>
      </c>
      <c r="B2236" s="6">
        <v>46.81</v>
      </c>
      <c r="C2236" s="6"/>
      <c r="D2236" s="6"/>
    </row>
    <row r="2237" spans="1:4" ht="13" thickBot="1" x14ac:dyDescent="0.3">
      <c r="A2237" s="9">
        <f ca="1"/>
        <v>39127</v>
      </c>
      <c r="B2237" s="6">
        <v>47.41</v>
      </c>
      <c r="C2237" s="6"/>
      <c r="D2237" s="6"/>
    </row>
    <row r="2238" spans="1:4" ht="13" thickBot="1" x14ac:dyDescent="0.3">
      <c r="A2238" s="9">
        <f ca="1"/>
        <v>39128</v>
      </c>
      <c r="B2238" s="6">
        <v>47.42</v>
      </c>
      <c r="C2238" s="6"/>
      <c r="D2238" s="6"/>
    </row>
    <row r="2239" spans="1:4" ht="13" thickBot="1" x14ac:dyDescent="0.3">
      <c r="A2239" s="9">
        <f ca="1"/>
        <v>39129</v>
      </c>
      <c r="B2239" s="6">
        <v>47</v>
      </c>
      <c r="C2239" s="6"/>
      <c r="D2239" s="6"/>
    </row>
    <row r="2240" spans="1:4" ht="13" thickBot="1" x14ac:dyDescent="0.3">
      <c r="A2240" s="9">
        <f ca="1"/>
        <v>39130</v>
      </c>
      <c r="B2240" s="5">
        <f t="shared" ref="B2240:B2242" si="319">B2239</f>
        <v>47</v>
      </c>
      <c r="C2240" s="6"/>
      <c r="D2240" s="6"/>
    </row>
    <row r="2241" spans="1:4" ht="13" thickBot="1" x14ac:dyDescent="0.3">
      <c r="A2241" s="9">
        <f ca="1"/>
        <v>39131</v>
      </c>
      <c r="B2241" s="5">
        <f t="shared" si="319"/>
        <v>47</v>
      </c>
      <c r="C2241" s="6"/>
      <c r="D2241" s="6"/>
    </row>
    <row r="2242" spans="1:4" ht="13" thickBot="1" x14ac:dyDescent="0.3">
      <c r="A2242" s="9">
        <f ca="1"/>
        <v>39132</v>
      </c>
      <c r="B2242" s="5">
        <f t="shared" si="319"/>
        <v>47</v>
      </c>
      <c r="C2242" s="6"/>
      <c r="D2242" s="6"/>
    </row>
    <row r="2243" spans="1:4" ht="13" thickBot="1" x14ac:dyDescent="0.3">
      <c r="A2243" s="9">
        <f ca="1"/>
        <v>39133</v>
      </c>
      <c r="B2243" s="6">
        <v>46.57</v>
      </c>
      <c r="C2243" s="6"/>
      <c r="D2243" s="6"/>
    </row>
    <row r="2244" spans="1:4" ht="13" thickBot="1" x14ac:dyDescent="0.3">
      <c r="A2244" s="9">
        <f ca="1"/>
        <v>39134</v>
      </c>
      <c r="B2244" s="6">
        <v>46.32</v>
      </c>
      <c r="C2244" s="6"/>
      <c r="D2244" s="6"/>
    </row>
    <row r="2245" spans="1:4" ht="13" thickBot="1" x14ac:dyDescent="0.3">
      <c r="A2245" s="9">
        <f ca="1"/>
        <v>39135</v>
      </c>
      <c r="B2245" s="6">
        <v>46.13</v>
      </c>
      <c r="C2245" s="6"/>
      <c r="D2245" s="6"/>
    </row>
    <row r="2246" spans="1:4" ht="13" thickBot="1" x14ac:dyDescent="0.3">
      <c r="A2246" s="9">
        <f ca="1"/>
        <v>39136</v>
      </c>
      <c r="B2246" s="6">
        <v>45.73</v>
      </c>
      <c r="C2246" s="6"/>
      <c r="D2246" s="6"/>
    </row>
    <row r="2247" spans="1:4" ht="13" thickBot="1" x14ac:dyDescent="0.3">
      <c r="A2247" s="9">
        <f ca="1"/>
        <v>39137</v>
      </c>
      <c r="B2247" s="5">
        <f t="shared" ref="B2247:B2248" si="320">B2246</f>
        <v>45.73</v>
      </c>
      <c r="C2247" s="6"/>
      <c r="D2247" s="6"/>
    </row>
    <row r="2248" spans="1:4" ht="13" thickBot="1" x14ac:dyDescent="0.3">
      <c r="A2248" s="9">
        <f ca="1"/>
        <v>39138</v>
      </c>
      <c r="B2248" s="5">
        <f t="shared" si="320"/>
        <v>45.73</v>
      </c>
      <c r="C2248" s="6"/>
      <c r="D2248" s="6"/>
    </row>
    <row r="2249" spans="1:4" ht="13" thickBot="1" x14ac:dyDescent="0.3">
      <c r="A2249" s="9">
        <f ca="1"/>
        <v>39139</v>
      </c>
      <c r="B2249" s="6">
        <v>46.12</v>
      </c>
      <c r="C2249" s="6"/>
      <c r="D2249" s="6"/>
    </row>
    <row r="2250" spans="1:4" ht="13" thickBot="1" x14ac:dyDescent="0.3">
      <c r="A2250" s="9">
        <f ca="1"/>
        <v>39140</v>
      </c>
      <c r="B2250" s="6">
        <v>46.34</v>
      </c>
      <c r="C2250" s="6"/>
      <c r="D2250" s="6"/>
    </row>
    <row r="2251" spans="1:4" ht="13" thickBot="1" x14ac:dyDescent="0.3">
      <c r="A2251" s="9">
        <f ca="1"/>
        <v>39141</v>
      </c>
      <c r="B2251" s="6">
        <v>46.45</v>
      </c>
      <c r="C2251" s="6"/>
      <c r="D2251" s="6"/>
    </row>
    <row r="2252" spans="1:4" ht="13" thickBot="1" x14ac:dyDescent="0.3">
      <c r="A2252" s="9">
        <f ca="1"/>
        <v>39142</v>
      </c>
      <c r="B2252" s="6">
        <v>45.09</v>
      </c>
      <c r="C2252" s="6"/>
      <c r="D2252" s="6"/>
    </row>
    <row r="2253" spans="1:4" ht="13" thickBot="1" x14ac:dyDescent="0.3">
      <c r="A2253" s="9">
        <f ca="1"/>
        <v>39143</v>
      </c>
      <c r="B2253" s="6">
        <v>47.06</v>
      </c>
      <c r="C2253" s="6"/>
      <c r="D2253" s="6"/>
    </row>
    <row r="2254" spans="1:4" ht="13" thickBot="1" x14ac:dyDescent="0.3">
      <c r="A2254" s="9">
        <f ca="1"/>
        <v>39144</v>
      </c>
      <c r="B2254" s="5">
        <f t="shared" ref="B2254:B2255" si="321">B2253</f>
        <v>47.06</v>
      </c>
      <c r="C2254" s="6"/>
      <c r="D2254" s="6"/>
    </row>
    <row r="2255" spans="1:4" ht="13" thickBot="1" x14ac:dyDescent="0.3">
      <c r="A2255" s="9">
        <f ca="1"/>
        <v>39145</v>
      </c>
      <c r="B2255" s="5">
        <f t="shared" si="321"/>
        <v>47.06</v>
      </c>
      <c r="C2255" s="6"/>
      <c r="D2255" s="6"/>
    </row>
    <row r="2256" spans="1:4" ht="13" thickBot="1" x14ac:dyDescent="0.3">
      <c r="A2256" s="9">
        <f ca="1"/>
        <v>39146</v>
      </c>
      <c r="B2256" s="6">
        <v>45.65</v>
      </c>
      <c r="C2256" s="6"/>
      <c r="D2256" s="6"/>
    </row>
    <row r="2257" spans="1:4" ht="13" thickBot="1" x14ac:dyDescent="0.3">
      <c r="A2257" s="9">
        <f ca="1"/>
        <v>39147</v>
      </c>
      <c r="B2257" s="6">
        <v>45.88</v>
      </c>
      <c r="C2257" s="6"/>
      <c r="D2257" s="6"/>
    </row>
    <row r="2258" spans="1:4" ht="13" thickBot="1" x14ac:dyDescent="0.3">
      <c r="A2258" s="9">
        <f ca="1"/>
        <v>39148</v>
      </c>
      <c r="B2258" s="6">
        <v>45.75</v>
      </c>
      <c r="C2258" s="6"/>
      <c r="D2258" s="6"/>
    </row>
    <row r="2259" spans="1:4" ht="13" thickBot="1" x14ac:dyDescent="0.3">
      <c r="A2259" s="9">
        <f ca="1"/>
        <v>39149</v>
      </c>
      <c r="B2259" s="6">
        <v>46.55</v>
      </c>
      <c r="C2259" s="6"/>
      <c r="D2259" s="6"/>
    </row>
    <row r="2260" spans="1:4" ht="13" thickBot="1" x14ac:dyDescent="0.3">
      <c r="A2260" s="9">
        <f ca="1"/>
        <v>39150</v>
      </c>
      <c r="B2260" s="6">
        <v>45.93</v>
      </c>
      <c r="C2260" s="6"/>
      <c r="D2260" s="6"/>
    </row>
    <row r="2261" spans="1:4" ht="13" thickBot="1" x14ac:dyDescent="0.3">
      <c r="A2261" s="9">
        <f ca="1"/>
        <v>39151</v>
      </c>
      <c r="B2261" s="5">
        <f t="shared" ref="B2261:B2262" si="322">B2260</f>
        <v>45.93</v>
      </c>
      <c r="C2261" s="6"/>
      <c r="D2261" s="6"/>
    </row>
    <row r="2262" spans="1:4" ht="13" thickBot="1" x14ac:dyDescent="0.3">
      <c r="A2262" s="9">
        <f ca="1"/>
        <v>39152</v>
      </c>
      <c r="B2262" s="5">
        <f t="shared" si="322"/>
        <v>45.93</v>
      </c>
      <c r="C2262" s="6"/>
      <c r="D2262" s="6"/>
    </row>
    <row r="2263" spans="1:4" ht="13" thickBot="1" x14ac:dyDescent="0.3">
      <c r="A2263" s="9">
        <f ca="1"/>
        <v>39153</v>
      </c>
      <c r="B2263" s="6">
        <v>46.13</v>
      </c>
      <c r="C2263" s="6"/>
      <c r="D2263" s="6"/>
    </row>
    <row r="2264" spans="1:4" ht="13" thickBot="1" x14ac:dyDescent="0.3">
      <c r="A2264" s="9">
        <f ca="1"/>
        <v>39154</v>
      </c>
      <c r="B2264" s="6">
        <v>45.92</v>
      </c>
      <c r="C2264" s="6"/>
      <c r="D2264" s="6"/>
    </row>
    <row r="2265" spans="1:4" ht="13" thickBot="1" x14ac:dyDescent="0.3">
      <c r="A2265" s="9">
        <f ca="1"/>
        <v>39155</v>
      </c>
      <c r="B2265" s="6">
        <v>44.86</v>
      </c>
      <c r="C2265" s="6"/>
      <c r="D2265" s="6"/>
    </row>
    <row r="2266" spans="1:4" ht="13" thickBot="1" x14ac:dyDescent="0.3">
      <c r="A2266" s="9">
        <f ca="1"/>
        <v>39156</v>
      </c>
      <c r="B2266" s="6">
        <v>45.27</v>
      </c>
      <c r="C2266" s="6"/>
      <c r="D2266" s="6"/>
    </row>
    <row r="2267" spans="1:4" ht="13" thickBot="1" x14ac:dyDescent="0.3">
      <c r="A2267" s="9">
        <f ca="1"/>
        <v>39157</v>
      </c>
      <c r="B2267" s="6">
        <v>45.28</v>
      </c>
      <c r="C2267" s="6"/>
      <c r="D2267" s="6"/>
    </row>
    <row r="2268" spans="1:4" ht="13" thickBot="1" x14ac:dyDescent="0.3">
      <c r="A2268" s="9">
        <f ca="1"/>
        <v>39158</v>
      </c>
      <c r="B2268" s="5">
        <f t="shared" ref="B2268:B2269" si="323">B2267</f>
        <v>45.28</v>
      </c>
      <c r="C2268" s="6"/>
      <c r="D2268" s="6"/>
    </row>
    <row r="2269" spans="1:4" ht="13" thickBot="1" x14ac:dyDescent="0.3">
      <c r="A2269" s="9">
        <f ca="1"/>
        <v>39159</v>
      </c>
      <c r="B2269" s="5">
        <f t="shared" si="323"/>
        <v>45.28</v>
      </c>
      <c r="C2269" s="6"/>
      <c r="D2269" s="6"/>
    </row>
    <row r="2270" spans="1:4" ht="13" thickBot="1" x14ac:dyDescent="0.3">
      <c r="A2270" s="9">
        <f ca="1"/>
        <v>39160</v>
      </c>
      <c r="B2270" s="6">
        <v>45.31</v>
      </c>
      <c r="C2270" s="6"/>
      <c r="D2270" s="6"/>
    </row>
    <row r="2271" spans="1:4" ht="13" thickBot="1" x14ac:dyDescent="0.3">
      <c r="A2271" s="9">
        <f ca="1"/>
        <v>39161</v>
      </c>
      <c r="B2271" s="6">
        <v>44.44</v>
      </c>
      <c r="C2271" s="6"/>
      <c r="D2271" s="6"/>
    </row>
    <row r="2272" spans="1:4" ht="13" thickBot="1" x14ac:dyDescent="0.3">
      <c r="A2272" s="9">
        <f ca="1"/>
        <v>39162</v>
      </c>
      <c r="B2272" s="6">
        <v>45.85</v>
      </c>
      <c r="C2272" s="6"/>
      <c r="D2272" s="6"/>
    </row>
    <row r="2273" spans="1:4" ht="13" thickBot="1" x14ac:dyDescent="0.3">
      <c r="A2273" s="9">
        <f ca="1"/>
        <v>39163</v>
      </c>
      <c r="B2273" s="6">
        <v>46.57</v>
      </c>
      <c r="C2273" s="6"/>
      <c r="D2273" s="6"/>
    </row>
    <row r="2274" spans="1:4" ht="13" thickBot="1" x14ac:dyDescent="0.3">
      <c r="A2274" s="9">
        <f ca="1"/>
        <v>39164</v>
      </c>
      <c r="B2274" s="6">
        <v>45.59</v>
      </c>
      <c r="C2274" s="6"/>
      <c r="D2274" s="6"/>
    </row>
    <row r="2275" spans="1:4" ht="13" thickBot="1" x14ac:dyDescent="0.3">
      <c r="A2275" s="9">
        <f ca="1"/>
        <v>39165</v>
      </c>
      <c r="B2275" s="5">
        <f t="shared" ref="B2275:B2276" si="324">B2274</f>
        <v>45.59</v>
      </c>
      <c r="C2275" s="6"/>
      <c r="D2275" s="6"/>
    </row>
    <row r="2276" spans="1:4" ht="13" thickBot="1" x14ac:dyDescent="0.3">
      <c r="A2276" s="9">
        <f ca="1"/>
        <v>39166</v>
      </c>
      <c r="B2276" s="5">
        <f t="shared" si="324"/>
        <v>45.59</v>
      </c>
      <c r="C2276" s="6"/>
      <c r="D2276" s="6"/>
    </row>
    <row r="2277" spans="1:4" ht="13" thickBot="1" x14ac:dyDescent="0.3">
      <c r="A2277" s="9">
        <f ca="1"/>
        <v>39167</v>
      </c>
      <c r="B2277" s="6">
        <v>45.47</v>
      </c>
      <c r="C2277" s="6"/>
      <c r="D2277" s="6"/>
    </row>
    <row r="2278" spans="1:4" ht="13" thickBot="1" x14ac:dyDescent="0.3">
      <c r="A2278" s="9">
        <f ca="1"/>
        <v>39168</v>
      </c>
      <c r="B2278" s="6">
        <v>45.16</v>
      </c>
      <c r="C2278" s="6"/>
      <c r="D2278" s="6"/>
    </row>
    <row r="2279" spans="1:4" ht="13" thickBot="1" x14ac:dyDescent="0.3">
      <c r="A2279" s="9">
        <f ca="1"/>
        <v>39169</v>
      </c>
      <c r="B2279" s="6">
        <v>44.66</v>
      </c>
      <c r="C2279" s="6"/>
      <c r="D2279" s="6"/>
    </row>
    <row r="2280" spans="1:4" ht="13" thickBot="1" x14ac:dyDescent="0.3">
      <c r="A2280" s="9">
        <f ca="1"/>
        <v>39170</v>
      </c>
      <c r="B2280" s="6">
        <v>44.07</v>
      </c>
      <c r="C2280" s="6"/>
      <c r="D2280" s="6"/>
    </row>
    <row r="2281" spans="1:4" ht="13" thickBot="1" x14ac:dyDescent="0.3">
      <c r="A2281" s="9">
        <f ca="1"/>
        <v>39171</v>
      </c>
      <c r="B2281" s="6">
        <v>44.47</v>
      </c>
      <c r="C2281" s="6"/>
      <c r="D2281" s="6"/>
    </row>
    <row r="2282" spans="1:4" ht="13" thickBot="1" x14ac:dyDescent="0.3">
      <c r="A2282" s="9">
        <f ca="1"/>
        <v>39172</v>
      </c>
      <c r="B2282" s="5">
        <f t="shared" ref="B2282:B2283" si="325">B2281</f>
        <v>44.47</v>
      </c>
      <c r="C2282" s="6"/>
      <c r="D2282" s="6"/>
    </row>
    <row r="2283" spans="1:4" ht="13" thickBot="1" x14ac:dyDescent="0.3">
      <c r="A2283" s="9">
        <f ca="1"/>
        <v>39173</v>
      </c>
      <c r="B2283" s="5">
        <f t="shared" si="325"/>
        <v>44.47</v>
      </c>
      <c r="C2283" s="6"/>
      <c r="D2283" s="6"/>
    </row>
    <row r="2284" spans="1:4" ht="13" thickBot="1" x14ac:dyDescent="0.3">
      <c r="A2284" s="9">
        <f ca="1"/>
        <v>39174</v>
      </c>
      <c r="B2284" s="6">
        <v>44.65</v>
      </c>
      <c r="C2284" s="6"/>
      <c r="D2284" s="6"/>
    </row>
    <row r="2285" spans="1:4" ht="13" thickBot="1" x14ac:dyDescent="0.3">
      <c r="A2285" s="9">
        <f ca="1"/>
        <v>39175</v>
      </c>
      <c r="B2285" s="6">
        <v>45.08</v>
      </c>
      <c r="C2285" s="6"/>
      <c r="D2285" s="6"/>
    </row>
    <row r="2286" spans="1:4" ht="13" thickBot="1" x14ac:dyDescent="0.3">
      <c r="A2286" s="9">
        <f ca="1"/>
        <v>39176</v>
      </c>
      <c r="B2286" s="6">
        <v>46.55</v>
      </c>
      <c r="C2286" s="6"/>
      <c r="D2286" s="6"/>
    </row>
    <row r="2287" spans="1:4" ht="13" thickBot="1" x14ac:dyDescent="0.3">
      <c r="A2287" s="9">
        <f ca="1"/>
        <v>39177</v>
      </c>
      <c r="B2287" s="6">
        <v>46.72</v>
      </c>
      <c r="C2287" s="6"/>
      <c r="D2287" s="6"/>
    </row>
    <row r="2288" spans="1:4" ht="13" thickBot="1" x14ac:dyDescent="0.3">
      <c r="A2288" s="9">
        <f ca="1"/>
        <v>39178</v>
      </c>
      <c r="B2288" s="5">
        <f t="shared" ref="B2288:B2290" si="326">B2287</f>
        <v>46.72</v>
      </c>
      <c r="C2288" s="6"/>
      <c r="D2288" s="6"/>
    </row>
    <row r="2289" spans="1:4" ht="13" thickBot="1" x14ac:dyDescent="0.3">
      <c r="A2289" s="9">
        <f ca="1"/>
        <v>39179</v>
      </c>
      <c r="B2289" s="5">
        <f t="shared" si="326"/>
        <v>46.72</v>
      </c>
      <c r="C2289" s="6"/>
      <c r="D2289" s="6"/>
    </row>
    <row r="2290" spans="1:4" ht="13" thickBot="1" x14ac:dyDescent="0.3">
      <c r="A2290" s="9">
        <f ca="1"/>
        <v>39180</v>
      </c>
      <c r="B2290" s="5">
        <f t="shared" si="326"/>
        <v>46.72</v>
      </c>
      <c r="C2290" s="6"/>
      <c r="D2290" s="6"/>
    </row>
    <row r="2291" spans="1:4" ht="13" thickBot="1" x14ac:dyDescent="0.3">
      <c r="A2291" s="9">
        <f ca="1"/>
        <v>39181</v>
      </c>
      <c r="B2291" s="6">
        <v>46.72</v>
      </c>
      <c r="C2291" s="6"/>
      <c r="D2291" s="6"/>
    </row>
    <row r="2292" spans="1:4" ht="13" thickBot="1" x14ac:dyDescent="0.3">
      <c r="A2292" s="9">
        <f ca="1"/>
        <v>39182</v>
      </c>
      <c r="B2292" s="6">
        <v>46.4</v>
      </c>
      <c r="C2292" s="6"/>
      <c r="D2292" s="6"/>
    </row>
    <row r="2293" spans="1:4" ht="13" thickBot="1" x14ac:dyDescent="0.3">
      <c r="A2293" s="9">
        <f ca="1"/>
        <v>39183</v>
      </c>
      <c r="B2293" s="6">
        <v>46.05</v>
      </c>
      <c r="C2293" s="6"/>
      <c r="D2293" s="6"/>
    </row>
    <row r="2294" spans="1:4" ht="13" thickBot="1" x14ac:dyDescent="0.3">
      <c r="A2294" s="9">
        <f ca="1"/>
        <v>39184</v>
      </c>
      <c r="B2294" s="6">
        <v>46.63</v>
      </c>
      <c r="C2294" s="6"/>
      <c r="D2294" s="6"/>
    </row>
    <row r="2295" spans="1:4" ht="13" thickBot="1" x14ac:dyDescent="0.3">
      <c r="A2295" s="9">
        <f ca="1"/>
        <v>39185</v>
      </c>
      <c r="B2295" s="6">
        <v>48.31</v>
      </c>
      <c r="C2295" s="6"/>
      <c r="D2295" s="6"/>
    </row>
    <row r="2296" spans="1:4" ht="13" thickBot="1" x14ac:dyDescent="0.3">
      <c r="A2296" s="9">
        <f ca="1"/>
        <v>39186</v>
      </c>
      <c r="B2296" s="5">
        <f t="shared" ref="B2296:B2297" si="327">B2295</f>
        <v>48.31</v>
      </c>
      <c r="C2296" s="6"/>
      <c r="D2296" s="6"/>
    </row>
    <row r="2297" spans="1:4" ht="13" thickBot="1" x14ac:dyDescent="0.3">
      <c r="A2297" s="9">
        <f ca="1"/>
        <v>39187</v>
      </c>
      <c r="B2297" s="5">
        <f t="shared" si="327"/>
        <v>48.31</v>
      </c>
      <c r="C2297" s="6"/>
      <c r="D2297" s="6"/>
    </row>
    <row r="2298" spans="1:4" ht="13" thickBot="1" x14ac:dyDescent="0.3">
      <c r="A2298" s="9">
        <f ca="1"/>
        <v>39188</v>
      </c>
      <c r="B2298" s="6">
        <v>48.76</v>
      </c>
      <c r="C2298" s="6"/>
      <c r="D2298" s="6"/>
    </row>
    <row r="2299" spans="1:4" ht="13" thickBot="1" x14ac:dyDescent="0.3">
      <c r="A2299" s="9">
        <f ca="1"/>
        <v>39189</v>
      </c>
      <c r="B2299" s="6">
        <v>49.32</v>
      </c>
      <c r="C2299" s="6"/>
      <c r="D2299" s="6"/>
    </row>
    <row r="2300" spans="1:4" ht="13" thickBot="1" x14ac:dyDescent="0.3">
      <c r="A2300" s="9">
        <f ca="1"/>
        <v>39190</v>
      </c>
      <c r="B2300" s="6">
        <v>49.08</v>
      </c>
      <c r="C2300" s="6"/>
      <c r="D2300" s="6"/>
    </row>
    <row r="2301" spans="1:4" ht="13" thickBot="1" x14ac:dyDescent="0.3">
      <c r="A2301" s="9">
        <f ca="1"/>
        <v>39191</v>
      </c>
      <c r="B2301" s="6">
        <v>48.35</v>
      </c>
      <c r="C2301" s="6"/>
      <c r="D2301" s="6"/>
    </row>
    <row r="2302" spans="1:4" ht="13" thickBot="1" x14ac:dyDescent="0.3">
      <c r="A2302" s="9">
        <f ca="1"/>
        <v>39192</v>
      </c>
      <c r="B2302" s="6">
        <v>50.95</v>
      </c>
      <c r="C2302" s="6"/>
      <c r="D2302" s="6"/>
    </row>
    <row r="2303" spans="1:4" ht="13" thickBot="1" x14ac:dyDescent="0.3">
      <c r="A2303" s="9">
        <f ca="1"/>
        <v>39193</v>
      </c>
      <c r="B2303" s="5">
        <f t="shared" ref="B2303:B2304" si="328">B2302</f>
        <v>50.95</v>
      </c>
      <c r="C2303" s="6"/>
      <c r="D2303" s="6"/>
    </row>
    <row r="2304" spans="1:4" ht="13" thickBot="1" x14ac:dyDescent="0.3">
      <c r="A2304" s="9">
        <f ca="1"/>
        <v>39194</v>
      </c>
      <c r="B2304" s="5">
        <f t="shared" si="328"/>
        <v>50.95</v>
      </c>
      <c r="C2304" s="6"/>
      <c r="D2304" s="6"/>
    </row>
    <row r="2305" spans="1:4" ht="13" thickBot="1" x14ac:dyDescent="0.3">
      <c r="A2305" s="9">
        <f ca="1"/>
        <v>39195</v>
      </c>
      <c r="B2305" s="6">
        <v>50</v>
      </c>
      <c r="C2305" s="6"/>
      <c r="D2305" s="6"/>
    </row>
    <row r="2306" spans="1:4" ht="13" thickBot="1" x14ac:dyDescent="0.3">
      <c r="A2306" s="9">
        <f ca="1"/>
        <v>39196</v>
      </c>
      <c r="B2306" s="6">
        <v>49.85</v>
      </c>
      <c r="C2306" s="6"/>
      <c r="D2306" s="6"/>
    </row>
    <row r="2307" spans="1:4" ht="13" thickBot="1" x14ac:dyDescent="0.3">
      <c r="A2307" s="9">
        <f ca="1"/>
        <v>39197</v>
      </c>
      <c r="B2307" s="6">
        <v>49.75</v>
      </c>
      <c r="C2307" s="6"/>
      <c r="D2307" s="6"/>
    </row>
    <row r="2308" spans="1:4" ht="13" thickBot="1" x14ac:dyDescent="0.3">
      <c r="A2308" s="9">
        <f ca="1"/>
        <v>39198</v>
      </c>
      <c r="B2308" s="6">
        <v>49.15</v>
      </c>
      <c r="C2308" s="6"/>
      <c r="D2308" s="6"/>
    </row>
    <row r="2309" spans="1:4" ht="13" thickBot="1" x14ac:dyDescent="0.3">
      <c r="A2309" s="9">
        <f ca="1"/>
        <v>39199</v>
      </c>
      <c r="B2309" s="6">
        <v>48.5</v>
      </c>
      <c r="C2309" s="6"/>
      <c r="D2309" s="6"/>
    </row>
    <row r="2310" spans="1:4" ht="13" thickBot="1" x14ac:dyDescent="0.3">
      <c r="A2310" s="9">
        <f ca="1"/>
        <v>39200</v>
      </c>
      <c r="B2310" s="5">
        <f t="shared" ref="B2310:B2311" si="329">B2309</f>
        <v>48.5</v>
      </c>
      <c r="C2310" s="6"/>
      <c r="D2310" s="6"/>
    </row>
    <row r="2311" spans="1:4" ht="13" thickBot="1" x14ac:dyDescent="0.3">
      <c r="A2311" s="9">
        <f ca="1"/>
        <v>39201</v>
      </c>
      <c r="B2311" s="5">
        <f t="shared" si="329"/>
        <v>48.5</v>
      </c>
      <c r="C2311" s="6"/>
      <c r="D2311" s="6"/>
    </row>
    <row r="2312" spans="1:4" ht="13" thickBot="1" x14ac:dyDescent="0.3">
      <c r="A2312" s="9">
        <f ca="1"/>
        <v>39202</v>
      </c>
      <c r="B2312" s="6">
        <v>48.58</v>
      </c>
      <c r="C2312" s="6"/>
      <c r="D2312" s="6"/>
    </row>
    <row r="2313" spans="1:4" ht="13" thickBot="1" x14ac:dyDescent="0.3">
      <c r="A2313" s="9">
        <f ca="1"/>
        <v>39203</v>
      </c>
      <c r="B2313" s="6">
        <v>48.13</v>
      </c>
      <c r="C2313" s="6"/>
      <c r="D2313" s="6"/>
    </row>
    <row r="2314" spans="1:4" ht="13" thickBot="1" x14ac:dyDescent="0.3">
      <c r="A2314" s="9">
        <f ca="1"/>
        <v>39204</v>
      </c>
      <c r="B2314" s="6">
        <v>48</v>
      </c>
      <c r="C2314" s="6"/>
      <c r="D2314" s="6"/>
    </row>
    <row r="2315" spans="1:4" ht="13" thickBot="1" x14ac:dyDescent="0.3">
      <c r="A2315" s="9">
        <f ca="1"/>
        <v>39205</v>
      </c>
      <c r="B2315" s="6">
        <v>47.55</v>
      </c>
      <c r="C2315" s="6"/>
      <c r="D2315" s="6"/>
    </row>
    <row r="2316" spans="1:4" ht="13" thickBot="1" x14ac:dyDescent="0.3">
      <c r="A2316" s="9">
        <f ca="1"/>
        <v>39206</v>
      </c>
      <c r="B2316" s="6">
        <v>48.28</v>
      </c>
      <c r="C2316" s="6"/>
      <c r="D2316" s="6"/>
    </row>
    <row r="2317" spans="1:4" ht="13" thickBot="1" x14ac:dyDescent="0.3">
      <c r="A2317" s="9">
        <f ca="1"/>
        <v>39207</v>
      </c>
      <c r="B2317" s="5">
        <f t="shared" ref="B2317:B2318" si="330">B2316</f>
        <v>48.28</v>
      </c>
      <c r="C2317" s="6"/>
      <c r="D2317" s="6"/>
    </row>
    <row r="2318" spans="1:4" ht="13" thickBot="1" x14ac:dyDescent="0.3">
      <c r="A2318" s="9">
        <f ca="1"/>
        <v>39208</v>
      </c>
      <c r="B2318" s="5">
        <f t="shared" si="330"/>
        <v>48.28</v>
      </c>
      <c r="C2318" s="6"/>
      <c r="D2318" s="6"/>
    </row>
    <row r="2319" spans="1:4" ht="13" thickBot="1" x14ac:dyDescent="0.3">
      <c r="A2319" s="9">
        <f ca="1"/>
        <v>39209</v>
      </c>
      <c r="B2319" s="6">
        <v>48.33</v>
      </c>
      <c r="C2319" s="6"/>
      <c r="D2319" s="6"/>
    </row>
    <row r="2320" spans="1:4" ht="13" thickBot="1" x14ac:dyDescent="0.3">
      <c r="A2320" s="9">
        <f ca="1"/>
        <v>39210</v>
      </c>
      <c r="B2320" s="6">
        <v>46.94</v>
      </c>
      <c r="C2320" s="6"/>
      <c r="D2320" s="6"/>
    </row>
    <row r="2321" spans="1:4" ht="13" thickBot="1" x14ac:dyDescent="0.3">
      <c r="A2321" s="9">
        <f ca="1"/>
        <v>39211</v>
      </c>
      <c r="B2321" s="6">
        <v>46.32</v>
      </c>
      <c r="C2321" s="6"/>
      <c r="D2321" s="6"/>
    </row>
    <row r="2322" spans="1:4" ht="13" thickBot="1" x14ac:dyDescent="0.3">
      <c r="A2322" s="9">
        <f ca="1"/>
        <v>39212</v>
      </c>
      <c r="B2322" s="6">
        <v>46.99</v>
      </c>
      <c r="C2322" s="6"/>
      <c r="D2322" s="6"/>
    </row>
    <row r="2323" spans="1:4" ht="13" thickBot="1" x14ac:dyDescent="0.3">
      <c r="A2323" s="9">
        <f ca="1"/>
        <v>39213</v>
      </c>
      <c r="B2323" s="6">
        <v>46.2</v>
      </c>
      <c r="C2323" s="6"/>
      <c r="D2323" s="6"/>
    </row>
    <row r="2324" spans="1:4" ht="13" thickBot="1" x14ac:dyDescent="0.3">
      <c r="A2324" s="9">
        <f ca="1"/>
        <v>39214</v>
      </c>
      <c r="B2324" s="5">
        <f t="shared" ref="B2324:B2325" si="331">B2323</f>
        <v>46.2</v>
      </c>
      <c r="C2324" s="6"/>
      <c r="D2324" s="6"/>
    </row>
    <row r="2325" spans="1:4" ht="13" thickBot="1" x14ac:dyDescent="0.3">
      <c r="A2325" s="9">
        <f ca="1"/>
        <v>39215</v>
      </c>
      <c r="B2325" s="5">
        <f t="shared" si="331"/>
        <v>46.2</v>
      </c>
      <c r="C2325" s="6"/>
      <c r="D2325" s="6"/>
    </row>
    <row r="2326" spans="1:4" ht="13" thickBot="1" x14ac:dyDescent="0.3">
      <c r="A2326" s="9">
        <f ca="1"/>
        <v>39216</v>
      </c>
      <c r="B2326" s="6">
        <v>47.33</v>
      </c>
      <c r="C2326" s="6"/>
      <c r="D2326" s="6"/>
    </row>
    <row r="2327" spans="1:4" ht="13" thickBot="1" x14ac:dyDescent="0.3">
      <c r="A2327" s="9">
        <f ca="1"/>
        <v>39217</v>
      </c>
      <c r="B2327" s="6">
        <v>46.65</v>
      </c>
      <c r="C2327" s="6"/>
      <c r="D2327" s="6"/>
    </row>
    <row r="2328" spans="1:4" ht="13" thickBot="1" x14ac:dyDescent="0.3">
      <c r="A2328" s="9">
        <f ca="1"/>
        <v>39218</v>
      </c>
      <c r="B2328" s="6">
        <v>46.3</v>
      </c>
      <c r="C2328" s="6"/>
      <c r="D2328" s="6"/>
    </row>
    <row r="2329" spans="1:4" ht="13" thickBot="1" x14ac:dyDescent="0.3">
      <c r="A2329" s="9">
        <f ca="1"/>
        <v>39219</v>
      </c>
      <c r="B2329" s="6">
        <v>45.88</v>
      </c>
      <c r="C2329" s="6"/>
      <c r="D2329" s="6"/>
    </row>
    <row r="2330" spans="1:4" ht="13" thickBot="1" x14ac:dyDescent="0.3">
      <c r="A2330" s="9">
        <f ca="1"/>
        <v>39220</v>
      </c>
      <c r="B2330" s="6">
        <v>45.95</v>
      </c>
      <c r="C2330" s="6"/>
      <c r="D2330" s="6"/>
    </row>
    <row r="2331" spans="1:4" ht="13" thickBot="1" x14ac:dyDescent="0.3">
      <c r="A2331" s="9">
        <f ca="1"/>
        <v>39221</v>
      </c>
      <c r="B2331" s="5">
        <f t="shared" ref="B2331:B2332" si="332">B2330</f>
        <v>45.95</v>
      </c>
      <c r="C2331" s="6"/>
      <c r="D2331" s="6"/>
    </row>
    <row r="2332" spans="1:4" ht="13" thickBot="1" x14ac:dyDescent="0.3">
      <c r="A2332" s="9">
        <f ca="1"/>
        <v>39222</v>
      </c>
      <c r="B2332" s="5">
        <f t="shared" si="332"/>
        <v>45.95</v>
      </c>
      <c r="C2332" s="6"/>
      <c r="D2332" s="6"/>
    </row>
    <row r="2333" spans="1:4" ht="13" thickBot="1" x14ac:dyDescent="0.3">
      <c r="A2333" s="9">
        <f ca="1"/>
        <v>39223</v>
      </c>
      <c r="B2333" s="6">
        <v>46.29</v>
      </c>
      <c r="C2333" s="6"/>
      <c r="D2333" s="6"/>
    </row>
    <row r="2334" spans="1:4" ht="13" thickBot="1" x14ac:dyDescent="0.3">
      <c r="A2334" s="9">
        <f ca="1"/>
        <v>39224</v>
      </c>
      <c r="B2334" s="6">
        <v>47.1</v>
      </c>
      <c r="C2334" s="6"/>
      <c r="D2334" s="6"/>
    </row>
    <row r="2335" spans="1:4" ht="13" thickBot="1" x14ac:dyDescent="0.3">
      <c r="A2335" s="9">
        <f ca="1"/>
        <v>39225</v>
      </c>
      <c r="B2335" s="6">
        <v>48.4</v>
      </c>
      <c r="C2335" s="6"/>
      <c r="D2335" s="6"/>
    </row>
    <row r="2336" spans="1:4" ht="13" thickBot="1" x14ac:dyDescent="0.3">
      <c r="A2336" s="9">
        <f ca="1"/>
        <v>39226</v>
      </c>
      <c r="B2336" s="6">
        <v>47.65</v>
      </c>
      <c r="C2336" s="6"/>
      <c r="D2336" s="6"/>
    </row>
    <row r="2337" spans="1:4" ht="13" thickBot="1" x14ac:dyDescent="0.3">
      <c r="A2337" s="9">
        <f ca="1"/>
        <v>39227</v>
      </c>
      <c r="B2337" s="6">
        <v>47.42</v>
      </c>
      <c r="C2337" s="6"/>
      <c r="D2337" s="6"/>
    </row>
    <row r="2338" spans="1:4" ht="13" thickBot="1" x14ac:dyDescent="0.3">
      <c r="A2338" s="9">
        <f ca="1"/>
        <v>39228</v>
      </c>
      <c r="B2338" s="5">
        <f t="shared" ref="B2338:B2340" si="333">B2337</f>
        <v>47.42</v>
      </c>
      <c r="C2338" s="6"/>
      <c r="D2338" s="6"/>
    </row>
    <row r="2339" spans="1:4" ht="13" thickBot="1" x14ac:dyDescent="0.3">
      <c r="A2339" s="9">
        <f ca="1"/>
        <v>39229</v>
      </c>
      <c r="B2339" s="5">
        <f t="shared" si="333"/>
        <v>47.42</v>
      </c>
      <c r="C2339" s="6"/>
      <c r="D2339" s="6"/>
    </row>
    <row r="2340" spans="1:4" ht="13" thickBot="1" x14ac:dyDescent="0.3">
      <c r="A2340" s="9">
        <f ca="1"/>
        <v>39230</v>
      </c>
      <c r="B2340" s="5">
        <f t="shared" si="333"/>
        <v>47.42</v>
      </c>
      <c r="C2340" s="6"/>
      <c r="D2340" s="6"/>
    </row>
    <row r="2341" spans="1:4" ht="13" thickBot="1" x14ac:dyDescent="0.3">
      <c r="A2341" s="9">
        <f ca="1"/>
        <v>39231</v>
      </c>
      <c r="B2341" s="6">
        <v>47.77</v>
      </c>
      <c r="C2341" s="6"/>
      <c r="D2341" s="6"/>
    </row>
    <row r="2342" spans="1:4" ht="13" thickBot="1" x14ac:dyDescent="0.3">
      <c r="A2342" s="9">
        <f ca="1"/>
        <v>39232</v>
      </c>
      <c r="B2342" s="6">
        <v>46.9</v>
      </c>
      <c r="C2342" s="6"/>
      <c r="D2342" s="6"/>
    </row>
    <row r="2343" spans="1:4" ht="13" thickBot="1" x14ac:dyDescent="0.3">
      <c r="A2343" s="9">
        <f ca="1"/>
        <v>39233</v>
      </c>
      <c r="B2343" s="6">
        <v>47.72</v>
      </c>
      <c r="C2343" s="6"/>
      <c r="D2343" s="6"/>
    </row>
    <row r="2344" spans="1:4" ht="13" thickBot="1" x14ac:dyDescent="0.3">
      <c r="A2344" s="9">
        <f ca="1"/>
        <v>39234</v>
      </c>
      <c r="B2344" s="6">
        <v>49.53</v>
      </c>
      <c r="C2344" s="6"/>
      <c r="D2344" s="6"/>
    </row>
    <row r="2345" spans="1:4" ht="13" thickBot="1" x14ac:dyDescent="0.3">
      <c r="A2345" s="9">
        <f ca="1"/>
        <v>39235</v>
      </c>
      <c r="B2345" s="5">
        <f t="shared" ref="B2345:B2346" si="334">B2344</f>
        <v>49.53</v>
      </c>
      <c r="C2345" s="6"/>
      <c r="D2345" s="6"/>
    </row>
    <row r="2346" spans="1:4" ht="13" thickBot="1" x14ac:dyDescent="0.3">
      <c r="A2346" s="9">
        <f ca="1"/>
        <v>39236</v>
      </c>
      <c r="B2346" s="5">
        <f t="shared" si="334"/>
        <v>49.53</v>
      </c>
      <c r="C2346" s="6"/>
      <c r="D2346" s="6"/>
    </row>
    <row r="2347" spans="1:4" ht="13" thickBot="1" x14ac:dyDescent="0.3">
      <c r="A2347" s="9">
        <f ca="1"/>
        <v>39237</v>
      </c>
      <c r="B2347" s="6">
        <v>49.46</v>
      </c>
      <c r="C2347" s="6"/>
      <c r="D2347" s="6"/>
    </row>
    <row r="2348" spans="1:4" ht="13" thickBot="1" x14ac:dyDescent="0.3">
      <c r="A2348" s="9">
        <f ca="1"/>
        <v>39238</v>
      </c>
      <c r="B2348" s="6">
        <v>49.49</v>
      </c>
      <c r="C2348" s="6"/>
      <c r="D2348" s="6"/>
    </row>
    <row r="2349" spans="1:4" ht="13" thickBot="1" x14ac:dyDescent="0.3">
      <c r="A2349" s="9">
        <f ca="1"/>
        <v>39239</v>
      </c>
      <c r="B2349" s="6">
        <v>49.41</v>
      </c>
      <c r="C2349" s="6"/>
      <c r="D2349" s="6"/>
    </row>
    <row r="2350" spans="1:4" ht="13" thickBot="1" x14ac:dyDescent="0.3">
      <c r="A2350" s="9">
        <f ca="1"/>
        <v>39240</v>
      </c>
      <c r="B2350" s="6">
        <v>48.33</v>
      </c>
      <c r="C2350" s="6"/>
      <c r="D2350" s="6"/>
    </row>
    <row r="2351" spans="1:4" ht="13" thickBot="1" x14ac:dyDescent="0.3">
      <c r="A2351" s="9">
        <f ca="1"/>
        <v>39241</v>
      </c>
      <c r="B2351" s="6">
        <v>48.33</v>
      </c>
      <c r="C2351" s="6"/>
      <c r="D2351" s="6"/>
    </row>
    <row r="2352" spans="1:4" ht="13" thickBot="1" x14ac:dyDescent="0.3">
      <c r="A2352" s="9">
        <f ca="1"/>
        <v>39242</v>
      </c>
      <c r="B2352" s="5">
        <f t="shared" ref="B2352:B2353" si="335">B2351</f>
        <v>48.33</v>
      </c>
      <c r="C2352" s="6"/>
      <c r="D2352" s="6"/>
    </row>
    <row r="2353" spans="1:4" ht="13" thickBot="1" x14ac:dyDescent="0.3">
      <c r="A2353" s="9">
        <f ca="1"/>
        <v>39243</v>
      </c>
      <c r="B2353" s="5">
        <f t="shared" si="335"/>
        <v>48.33</v>
      </c>
      <c r="C2353" s="6"/>
      <c r="D2353" s="6"/>
    </row>
    <row r="2354" spans="1:4" ht="13" thickBot="1" x14ac:dyDescent="0.3">
      <c r="A2354" s="9">
        <f ca="1"/>
        <v>39244</v>
      </c>
      <c r="B2354" s="6">
        <v>49.25</v>
      </c>
      <c r="C2354" s="6"/>
      <c r="D2354" s="6"/>
    </row>
    <row r="2355" spans="1:4" ht="13" thickBot="1" x14ac:dyDescent="0.3">
      <c r="A2355" s="9">
        <f ca="1"/>
        <v>39245</v>
      </c>
      <c r="B2355" s="6">
        <v>48.38</v>
      </c>
      <c r="C2355" s="6"/>
      <c r="D2355" s="6"/>
    </row>
    <row r="2356" spans="1:4" ht="13" thickBot="1" x14ac:dyDescent="0.3">
      <c r="A2356" s="9">
        <f ca="1"/>
        <v>39246</v>
      </c>
      <c r="B2356" s="6">
        <v>48.07</v>
      </c>
      <c r="C2356" s="6"/>
      <c r="D2356" s="6"/>
    </row>
    <row r="2357" spans="1:4" ht="13" thickBot="1" x14ac:dyDescent="0.3">
      <c r="A2357" s="9">
        <f ca="1"/>
        <v>39247</v>
      </c>
      <c r="B2357" s="6">
        <v>48.62</v>
      </c>
      <c r="C2357" s="6"/>
      <c r="D2357" s="6"/>
    </row>
    <row r="2358" spans="1:4" ht="13" thickBot="1" x14ac:dyDescent="0.3">
      <c r="A2358" s="9">
        <f ca="1"/>
        <v>39248</v>
      </c>
      <c r="B2358" s="6">
        <v>48.36</v>
      </c>
      <c r="C2358" s="6"/>
      <c r="D2358" s="6"/>
    </row>
    <row r="2359" spans="1:4" ht="13" thickBot="1" x14ac:dyDescent="0.3">
      <c r="A2359" s="9">
        <f ca="1"/>
        <v>39249</v>
      </c>
      <c r="B2359" s="5">
        <f t="shared" ref="B2359:B2360" si="336">B2358</f>
        <v>48.36</v>
      </c>
      <c r="C2359" s="6"/>
      <c r="D2359" s="6"/>
    </row>
    <row r="2360" spans="1:4" ht="13" thickBot="1" x14ac:dyDescent="0.3">
      <c r="A2360" s="9">
        <f ca="1"/>
        <v>39250</v>
      </c>
      <c r="B2360" s="5">
        <f t="shared" si="336"/>
        <v>48.36</v>
      </c>
      <c r="C2360" s="6"/>
      <c r="D2360" s="6"/>
    </row>
    <row r="2361" spans="1:4" ht="13" thickBot="1" x14ac:dyDescent="0.3">
      <c r="A2361" s="9">
        <f ca="1"/>
        <v>39251</v>
      </c>
      <c r="B2361" s="6">
        <v>50.33</v>
      </c>
      <c r="C2361" s="6"/>
      <c r="D2361" s="6"/>
    </row>
    <row r="2362" spans="1:4" ht="13" thickBot="1" x14ac:dyDescent="0.3">
      <c r="A2362" s="9">
        <f ca="1"/>
        <v>39252</v>
      </c>
      <c r="B2362" s="6">
        <v>50.84</v>
      </c>
      <c r="C2362" s="6"/>
      <c r="D2362" s="6"/>
    </row>
    <row r="2363" spans="1:4" ht="13" thickBot="1" x14ac:dyDescent="0.3">
      <c r="A2363" s="9">
        <f ca="1"/>
        <v>39253</v>
      </c>
      <c r="B2363" s="6">
        <v>51.31</v>
      </c>
      <c r="C2363" s="6"/>
      <c r="D2363" s="6"/>
    </row>
    <row r="2364" spans="1:4" ht="13" thickBot="1" x14ac:dyDescent="0.3">
      <c r="A2364" s="9">
        <f ca="1"/>
        <v>39254</v>
      </c>
      <c r="B2364" s="6">
        <v>50.73</v>
      </c>
      <c r="C2364" s="6"/>
      <c r="D2364" s="6"/>
    </row>
    <row r="2365" spans="1:4" ht="13" thickBot="1" x14ac:dyDescent="0.3">
      <c r="A2365" s="9">
        <f ca="1"/>
        <v>39255</v>
      </c>
      <c r="B2365" s="6">
        <v>50.98</v>
      </c>
      <c r="C2365" s="6"/>
      <c r="D2365" s="6"/>
    </row>
    <row r="2366" spans="1:4" ht="13" thickBot="1" x14ac:dyDescent="0.3">
      <c r="A2366" s="9">
        <f ca="1"/>
        <v>39256</v>
      </c>
      <c r="B2366" s="5">
        <f t="shared" ref="B2366:B2367" si="337">B2365</f>
        <v>50.98</v>
      </c>
      <c r="C2366" s="6"/>
      <c r="D2366" s="6"/>
    </row>
    <row r="2367" spans="1:4" ht="13" thickBot="1" x14ac:dyDescent="0.3">
      <c r="A2367" s="9">
        <f ca="1"/>
        <v>39257</v>
      </c>
      <c r="B2367" s="5">
        <f t="shared" si="337"/>
        <v>50.98</v>
      </c>
      <c r="C2367" s="6"/>
      <c r="D2367" s="6"/>
    </row>
    <row r="2368" spans="1:4" ht="13" thickBot="1" x14ac:dyDescent="0.3">
      <c r="A2368" s="9">
        <f ca="1"/>
        <v>39258</v>
      </c>
      <c r="B2368" s="6">
        <v>50.51</v>
      </c>
      <c r="C2368" s="6"/>
      <c r="D2368" s="6"/>
    </row>
    <row r="2369" spans="1:4" ht="13" thickBot="1" x14ac:dyDescent="0.3">
      <c r="A2369" s="9">
        <f ca="1"/>
        <v>39259</v>
      </c>
      <c r="B2369" s="6">
        <v>51.22</v>
      </c>
      <c r="C2369" s="6"/>
      <c r="D2369" s="6"/>
    </row>
    <row r="2370" spans="1:4" ht="13" thickBot="1" x14ac:dyDescent="0.3">
      <c r="A2370" s="9">
        <f ca="1"/>
        <v>39260</v>
      </c>
      <c r="B2370" s="6">
        <v>50.89</v>
      </c>
      <c r="C2370" s="6"/>
      <c r="D2370" s="6"/>
    </row>
    <row r="2371" spans="1:4" ht="13" thickBot="1" x14ac:dyDescent="0.3">
      <c r="A2371" s="9">
        <f ca="1"/>
        <v>39261</v>
      </c>
      <c r="B2371" s="6">
        <v>51.37</v>
      </c>
      <c r="C2371" s="6"/>
      <c r="D2371" s="6"/>
    </row>
    <row r="2372" spans="1:4" ht="13" thickBot="1" x14ac:dyDescent="0.3">
      <c r="A2372" s="9">
        <f ca="1"/>
        <v>39262</v>
      </c>
      <c r="B2372" s="6">
        <v>51.3</v>
      </c>
      <c r="C2372" s="6"/>
      <c r="D2372" s="6"/>
    </row>
    <row r="2373" spans="1:4" ht="13" thickBot="1" x14ac:dyDescent="0.3">
      <c r="A2373" s="9">
        <f ca="1"/>
        <v>39263</v>
      </c>
      <c r="B2373" s="5">
        <f t="shared" ref="B2373:B2374" si="338">B2372</f>
        <v>51.3</v>
      </c>
      <c r="C2373" s="6"/>
      <c r="D2373" s="6"/>
    </row>
    <row r="2374" spans="1:4" ht="13" thickBot="1" x14ac:dyDescent="0.3">
      <c r="A2374" s="9">
        <f ca="1"/>
        <v>39264</v>
      </c>
      <c r="B2374" s="5">
        <f t="shared" si="338"/>
        <v>51.3</v>
      </c>
      <c r="C2374" s="6"/>
      <c r="D2374" s="6"/>
    </row>
    <row r="2375" spans="1:4" ht="13" thickBot="1" x14ac:dyDescent="0.3">
      <c r="A2375" s="9">
        <f ca="1"/>
        <v>39265</v>
      </c>
      <c r="B2375" s="6">
        <v>51.07</v>
      </c>
      <c r="C2375" s="6"/>
      <c r="D2375" s="6"/>
    </row>
    <row r="2376" spans="1:4" ht="13" thickBot="1" x14ac:dyDescent="0.3">
      <c r="A2376" s="9">
        <f ca="1"/>
        <v>39266</v>
      </c>
      <c r="B2376" s="6">
        <v>50.45</v>
      </c>
      <c r="C2376" s="6"/>
      <c r="D2376" s="6"/>
    </row>
    <row r="2377" spans="1:4" ht="13" thickBot="1" x14ac:dyDescent="0.3">
      <c r="A2377" s="9">
        <f ca="1"/>
        <v>39267</v>
      </c>
      <c r="B2377" s="5">
        <f>B2376</f>
        <v>50.45</v>
      </c>
      <c r="C2377" s="6"/>
      <c r="D2377" s="6"/>
    </row>
    <row r="2378" spans="1:4" ht="13" thickBot="1" x14ac:dyDescent="0.3">
      <c r="A2378" s="9">
        <f ca="1"/>
        <v>39268</v>
      </c>
      <c r="B2378" s="6">
        <v>50.7</v>
      </c>
      <c r="C2378" s="6"/>
      <c r="D2378" s="6"/>
    </row>
    <row r="2379" spans="1:4" ht="13" thickBot="1" x14ac:dyDescent="0.3">
      <c r="A2379" s="9">
        <f ca="1"/>
        <v>39269</v>
      </c>
      <c r="B2379" s="6">
        <v>50.41</v>
      </c>
      <c r="C2379" s="6"/>
      <c r="D2379" s="6"/>
    </row>
    <row r="2380" spans="1:4" ht="13" thickBot="1" x14ac:dyDescent="0.3">
      <c r="A2380" s="9">
        <f ca="1"/>
        <v>39270</v>
      </c>
      <c r="B2380" s="5">
        <f t="shared" ref="B2380:B2381" si="339">B2379</f>
        <v>50.41</v>
      </c>
      <c r="C2380" s="6"/>
      <c r="D2380" s="6"/>
    </row>
    <row r="2381" spans="1:4" ht="13" thickBot="1" x14ac:dyDescent="0.3">
      <c r="A2381" s="9">
        <f ca="1"/>
        <v>39271</v>
      </c>
      <c r="B2381" s="5">
        <f t="shared" si="339"/>
        <v>50.41</v>
      </c>
      <c r="C2381" s="6"/>
      <c r="D2381" s="6"/>
    </row>
    <row r="2382" spans="1:4" ht="13" thickBot="1" x14ac:dyDescent="0.3">
      <c r="A2382" s="9">
        <f ca="1"/>
        <v>39272</v>
      </c>
      <c r="B2382" s="6">
        <v>50.33</v>
      </c>
      <c r="C2382" s="6"/>
      <c r="D2382" s="6"/>
    </row>
    <row r="2383" spans="1:4" ht="13" thickBot="1" x14ac:dyDescent="0.3">
      <c r="A2383" s="9">
        <f ca="1"/>
        <v>39273</v>
      </c>
      <c r="B2383" s="6">
        <v>50.85</v>
      </c>
      <c r="C2383" s="6"/>
      <c r="D2383" s="6"/>
    </row>
    <row r="2384" spans="1:4" ht="13" thickBot="1" x14ac:dyDescent="0.3">
      <c r="A2384" s="9">
        <f ca="1"/>
        <v>39274</v>
      </c>
      <c r="B2384" s="6">
        <v>50.06</v>
      </c>
      <c r="C2384" s="6"/>
      <c r="D2384" s="6"/>
    </row>
    <row r="2385" spans="1:4" ht="13" thickBot="1" x14ac:dyDescent="0.3">
      <c r="A2385" s="9">
        <f ca="1"/>
        <v>39275</v>
      </c>
      <c r="B2385" s="6">
        <v>50.97</v>
      </c>
      <c r="C2385" s="6"/>
      <c r="D2385" s="6"/>
    </row>
    <row r="2386" spans="1:4" ht="13" thickBot="1" x14ac:dyDescent="0.3">
      <c r="A2386" s="9">
        <f ca="1"/>
        <v>39276</v>
      </c>
      <c r="B2386" s="6">
        <v>52.35</v>
      </c>
      <c r="C2386" s="6"/>
      <c r="D2386" s="6"/>
    </row>
    <row r="2387" spans="1:4" ht="13" thickBot="1" x14ac:dyDescent="0.3">
      <c r="A2387" s="9">
        <f ca="1"/>
        <v>39277</v>
      </c>
      <c r="B2387" s="5">
        <f t="shared" ref="B2387:B2388" si="340">B2386</f>
        <v>52.35</v>
      </c>
      <c r="C2387" s="6"/>
      <c r="D2387" s="6"/>
    </row>
    <row r="2388" spans="1:4" ht="13" thickBot="1" x14ac:dyDescent="0.3">
      <c r="A2388" s="9">
        <f ca="1"/>
        <v>39278</v>
      </c>
      <c r="B2388" s="5">
        <f t="shared" si="340"/>
        <v>52.35</v>
      </c>
      <c r="C2388" s="6"/>
      <c r="D2388" s="6"/>
    </row>
    <row r="2389" spans="1:4" ht="13" thickBot="1" x14ac:dyDescent="0.3">
      <c r="A2389" s="9">
        <f ca="1"/>
        <v>39279</v>
      </c>
      <c r="B2389" s="6">
        <v>52.48</v>
      </c>
      <c r="C2389" s="6"/>
      <c r="D2389" s="6"/>
    </row>
    <row r="2390" spans="1:4" ht="13" thickBot="1" x14ac:dyDescent="0.3">
      <c r="A2390" s="9">
        <f ca="1"/>
        <v>39280</v>
      </c>
      <c r="B2390" s="6">
        <v>52.26</v>
      </c>
      <c r="C2390" s="6"/>
      <c r="D2390" s="6"/>
    </row>
    <row r="2391" spans="1:4" ht="13" thickBot="1" x14ac:dyDescent="0.3">
      <c r="A2391" s="9">
        <f ca="1"/>
        <v>39281</v>
      </c>
      <c r="B2391" s="6">
        <v>52.24</v>
      </c>
      <c r="C2391" s="6"/>
      <c r="D2391" s="6"/>
    </row>
    <row r="2392" spans="1:4" ht="13" thickBot="1" x14ac:dyDescent="0.3">
      <c r="A2392" s="9">
        <f ca="1"/>
        <v>39282</v>
      </c>
      <c r="B2392" s="6">
        <v>55.1</v>
      </c>
      <c r="C2392" s="6"/>
      <c r="D2392" s="6"/>
    </row>
    <row r="2393" spans="1:4" ht="13" thickBot="1" x14ac:dyDescent="0.3">
      <c r="A2393" s="9">
        <f ca="1"/>
        <v>39283</v>
      </c>
      <c r="B2393" s="6">
        <v>55.44</v>
      </c>
      <c r="C2393" s="6"/>
      <c r="D2393" s="6"/>
    </row>
    <row r="2394" spans="1:4" ht="13" thickBot="1" x14ac:dyDescent="0.3">
      <c r="A2394" s="9">
        <f ca="1"/>
        <v>39284</v>
      </c>
      <c r="B2394" s="5">
        <f t="shared" ref="B2394:B2395" si="341">B2393</f>
        <v>55.44</v>
      </c>
      <c r="C2394" s="6"/>
      <c r="D2394" s="6"/>
    </row>
    <row r="2395" spans="1:4" ht="13" thickBot="1" x14ac:dyDescent="0.3">
      <c r="A2395" s="9">
        <f ca="1"/>
        <v>39285</v>
      </c>
      <c r="B2395" s="5">
        <f t="shared" si="341"/>
        <v>55.44</v>
      </c>
      <c r="C2395" s="6"/>
      <c r="D2395" s="6"/>
    </row>
    <row r="2396" spans="1:4" ht="13" thickBot="1" x14ac:dyDescent="0.3">
      <c r="A2396" s="9">
        <f ca="1"/>
        <v>39286</v>
      </c>
      <c r="B2396" s="6">
        <v>56.77</v>
      </c>
      <c r="C2396" s="6"/>
      <c r="D2396" s="6"/>
    </row>
    <row r="2397" spans="1:4" ht="13" thickBot="1" x14ac:dyDescent="0.3">
      <c r="A2397" s="9">
        <f ca="1"/>
        <v>39287</v>
      </c>
      <c r="B2397" s="6">
        <v>56.37</v>
      </c>
      <c r="C2397" s="6"/>
      <c r="D2397" s="6"/>
    </row>
    <row r="2398" spans="1:4" ht="13" thickBot="1" x14ac:dyDescent="0.3">
      <c r="A2398" s="9">
        <f ca="1"/>
        <v>39288</v>
      </c>
      <c r="B2398" s="6">
        <v>56.01</v>
      </c>
      <c r="C2398" s="6"/>
      <c r="D2398" s="6"/>
    </row>
    <row r="2399" spans="1:4" ht="13" thickBot="1" x14ac:dyDescent="0.3">
      <c r="A2399" s="9">
        <f ca="1"/>
        <v>39289</v>
      </c>
      <c r="B2399" s="6">
        <v>54.48</v>
      </c>
      <c r="C2399" s="6"/>
      <c r="D2399" s="6"/>
    </row>
    <row r="2400" spans="1:4" ht="13" thickBot="1" x14ac:dyDescent="0.3">
      <c r="A2400" s="9">
        <f ca="1"/>
        <v>39290</v>
      </c>
      <c r="B2400" s="6">
        <v>53.93</v>
      </c>
      <c r="C2400" s="6"/>
      <c r="D2400" s="6"/>
    </row>
    <row r="2401" spans="1:4" ht="13" thickBot="1" x14ac:dyDescent="0.3">
      <c r="A2401" s="9">
        <f ca="1"/>
        <v>39291</v>
      </c>
      <c r="B2401" s="5">
        <f t="shared" ref="B2401:B2402" si="342">B2400</f>
        <v>53.93</v>
      </c>
      <c r="C2401" s="6"/>
      <c r="D2401" s="6"/>
    </row>
    <row r="2402" spans="1:4" ht="13" thickBot="1" x14ac:dyDescent="0.3">
      <c r="A2402" s="9">
        <f ca="1"/>
        <v>39292</v>
      </c>
      <c r="B2402" s="5">
        <f t="shared" si="342"/>
        <v>53.93</v>
      </c>
      <c r="C2402" s="6"/>
      <c r="D2402" s="6"/>
    </row>
    <row r="2403" spans="1:4" ht="13" thickBot="1" x14ac:dyDescent="0.3">
      <c r="A2403" s="9">
        <f ca="1"/>
        <v>39293</v>
      </c>
      <c r="B2403" s="6">
        <v>54.12</v>
      </c>
      <c r="C2403" s="6"/>
      <c r="D2403" s="6"/>
    </row>
    <row r="2404" spans="1:4" ht="13" thickBot="1" x14ac:dyDescent="0.3">
      <c r="A2404" s="9">
        <f ca="1"/>
        <v>39294</v>
      </c>
      <c r="B2404" s="6">
        <v>54.76</v>
      </c>
      <c r="C2404" s="6"/>
      <c r="D2404" s="6"/>
    </row>
    <row r="2405" spans="1:4" ht="13" thickBot="1" x14ac:dyDescent="0.3">
      <c r="A2405" s="9">
        <f ca="1"/>
        <v>39295</v>
      </c>
      <c r="B2405" s="6">
        <v>53.92</v>
      </c>
      <c r="C2405" s="6"/>
      <c r="D2405" s="6"/>
    </row>
    <row r="2406" spans="1:4" ht="13" thickBot="1" x14ac:dyDescent="0.3">
      <c r="A2406" s="9">
        <f ca="1"/>
        <v>39296</v>
      </c>
      <c r="B2406" s="6">
        <v>54.74</v>
      </c>
      <c r="C2406" s="6"/>
      <c r="D2406" s="6"/>
    </row>
    <row r="2407" spans="1:4" ht="13" thickBot="1" x14ac:dyDescent="0.3">
      <c r="A2407" s="9">
        <f ca="1"/>
        <v>39297</v>
      </c>
      <c r="B2407" s="6">
        <v>54.54</v>
      </c>
      <c r="C2407" s="6"/>
      <c r="D2407" s="6"/>
    </row>
    <row r="2408" spans="1:4" ht="13" thickBot="1" x14ac:dyDescent="0.3">
      <c r="A2408" s="9">
        <f ca="1"/>
        <v>39298</v>
      </c>
      <c r="B2408" s="5">
        <f t="shared" ref="B2408:B2409" si="343">B2407</f>
        <v>54.54</v>
      </c>
      <c r="C2408" s="6"/>
      <c r="D2408" s="6"/>
    </row>
    <row r="2409" spans="1:4" ht="13" thickBot="1" x14ac:dyDescent="0.3">
      <c r="A2409" s="9">
        <f ca="1"/>
        <v>39299</v>
      </c>
      <c r="B2409" s="5">
        <f t="shared" si="343"/>
        <v>54.54</v>
      </c>
      <c r="C2409" s="6"/>
      <c r="D2409" s="6"/>
    </row>
    <row r="2410" spans="1:4" ht="13" thickBot="1" x14ac:dyDescent="0.3">
      <c r="A2410" s="9">
        <f ca="1"/>
        <v>39300</v>
      </c>
      <c r="B2410" s="6">
        <v>54.51</v>
      </c>
      <c r="C2410" s="6"/>
      <c r="D2410" s="6"/>
    </row>
    <row r="2411" spans="1:4" ht="13" thickBot="1" x14ac:dyDescent="0.3">
      <c r="A2411" s="9">
        <f ca="1"/>
        <v>39301</v>
      </c>
      <c r="B2411" s="6">
        <v>54.42</v>
      </c>
      <c r="C2411" s="6"/>
      <c r="D2411" s="6"/>
    </row>
    <row r="2412" spans="1:4" ht="13" thickBot="1" x14ac:dyDescent="0.3">
      <c r="A2412" s="9">
        <f ca="1"/>
        <v>39302</v>
      </c>
      <c r="B2412" s="6">
        <v>55</v>
      </c>
      <c r="C2412" s="6"/>
      <c r="D2412" s="6"/>
    </row>
    <row r="2413" spans="1:4" ht="13" thickBot="1" x14ac:dyDescent="0.3">
      <c r="A2413" s="9">
        <f ca="1"/>
        <v>39303</v>
      </c>
      <c r="B2413" s="6">
        <v>55.32</v>
      </c>
      <c r="C2413" s="6"/>
      <c r="D2413" s="6"/>
    </row>
    <row r="2414" spans="1:4" ht="13" thickBot="1" x14ac:dyDescent="0.3">
      <c r="A2414" s="9">
        <f ca="1"/>
        <v>39304</v>
      </c>
      <c r="B2414" s="6">
        <v>54.75</v>
      </c>
      <c r="C2414" s="6"/>
      <c r="D2414" s="6"/>
    </row>
    <row r="2415" spans="1:4" ht="13" thickBot="1" x14ac:dyDescent="0.3">
      <c r="A2415" s="9">
        <f ca="1"/>
        <v>39305</v>
      </c>
      <c r="B2415" s="5">
        <f t="shared" ref="B2415:B2416" si="344">B2414</f>
        <v>54.75</v>
      </c>
      <c r="C2415" s="6"/>
      <c r="D2415" s="6"/>
    </row>
    <row r="2416" spans="1:4" ht="13" thickBot="1" x14ac:dyDescent="0.3">
      <c r="A2416" s="9">
        <f ca="1"/>
        <v>39306</v>
      </c>
      <c r="B2416" s="5">
        <f t="shared" si="344"/>
        <v>54.75</v>
      </c>
      <c r="C2416" s="6"/>
      <c r="D2416" s="6"/>
    </row>
    <row r="2417" spans="1:4" ht="13" thickBot="1" x14ac:dyDescent="0.3">
      <c r="A2417" s="9">
        <f ca="1"/>
        <v>39307</v>
      </c>
      <c r="B2417" s="6">
        <v>53.69</v>
      </c>
      <c r="C2417" s="6"/>
      <c r="D2417" s="6"/>
    </row>
    <row r="2418" spans="1:4" ht="13" thickBot="1" x14ac:dyDescent="0.3">
      <c r="A2418" s="9">
        <f ca="1"/>
        <v>39308</v>
      </c>
      <c r="B2418" s="6">
        <v>53.28</v>
      </c>
      <c r="C2418" s="6"/>
      <c r="D2418" s="6"/>
    </row>
    <row r="2419" spans="1:4" ht="13" thickBot="1" x14ac:dyDescent="0.3">
      <c r="A2419" s="9">
        <f ca="1"/>
        <v>39309</v>
      </c>
      <c r="B2419" s="6">
        <v>52.1</v>
      </c>
      <c r="C2419" s="6"/>
      <c r="D2419" s="6"/>
    </row>
    <row r="2420" spans="1:4" ht="13" thickBot="1" x14ac:dyDescent="0.3">
      <c r="A2420" s="9">
        <f ca="1"/>
        <v>39310</v>
      </c>
      <c r="B2420" s="6">
        <v>51.1</v>
      </c>
      <c r="C2420" s="6"/>
      <c r="D2420" s="6"/>
    </row>
    <row r="2421" spans="1:4" ht="13" thickBot="1" x14ac:dyDescent="0.3">
      <c r="A2421" s="9">
        <f ca="1"/>
        <v>39311</v>
      </c>
      <c r="B2421" s="6">
        <v>51.08</v>
      </c>
      <c r="C2421" s="6"/>
      <c r="D2421" s="6"/>
    </row>
    <row r="2422" spans="1:4" ht="13" thickBot="1" x14ac:dyDescent="0.3">
      <c r="A2422" s="9">
        <f ca="1"/>
        <v>39312</v>
      </c>
      <c r="B2422" s="5">
        <f t="shared" ref="B2422:B2423" si="345">B2421</f>
        <v>51.08</v>
      </c>
      <c r="C2422" s="6"/>
      <c r="D2422" s="6"/>
    </row>
    <row r="2423" spans="1:4" ht="13" thickBot="1" x14ac:dyDescent="0.3">
      <c r="A2423" s="9">
        <f ca="1"/>
        <v>39313</v>
      </c>
      <c r="B2423" s="5">
        <f t="shared" si="345"/>
        <v>51.08</v>
      </c>
      <c r="C2423" s="6"/>
      <c r="D2423" s="6"/>
    </row>
    <row r="2424" spans="1:4" ht="13" thickBot="1" x14ac:dyDescent="0.3">
      <c r="A2424" s="9">
        <f ca="1"/>
        <v>39314</v>
      </c>
      <c r="B2424" s="6">
        <v>52.18</v>
      </c>
      <c r="C2424" s="6"/>
      <c r="D2424" s="6"/>
    </row>
    <row r="2425" spans="1:4" ht="13" thickBot="1" x14ac:dyDescent="0.3">
      <c r="A2425" s="9">
        <f ca="1"/>
        <v>39315</v>
      </c>
      <c r="B2425" s="6">
        <v>52.23</v>
      </c>
      <c r="C2425" s="6"/>
      <c r="D2425" s="6"/>
    </row>
    <row r="2426" spans="1:4" ht="13" thickBot="1" x14ac:dyDescent="0.3">
      <c r="A2426" s="9">
        <f ca="1"/>
        <v>39316</v>
      </c>
      <c r="B2426" s="6">
        <v>52.29</v>
      </c>
      <c r="C2426" s="6"/>
      <c r="D2426" s="6"/>
    </row>
    <row r="2427" spans="1:4" ht="13" thickBot="1" x14ac:dyDescent="0.3">
      <c r="A2427" s="9">
        <f ca="1"/>
        <v>39317</v>
      </c>
      <c r="B2427" s="6">
        <v>52.96</v>
      </c>
      <c r="C2427" s="6"/>
      <c r="D2427" s="6"/>
    </row>
    <row r="2428" spans="1:4" ht="13" thickBot="1" x14ac:dyDescent="0.3">
      <c r="A2428" s="9">
        <f ca="1"/>
        <v>39318</v>
      </c>
      <c r="B2428" s="6">
        <v>52.85</v>
      </c>
      <c r="C2428" s="6"/>
      <c r="D2428" s="6"/>
    </row>
    <row r="2429" spans="1:4" ht="13" thickBot="1" x14ac:dyDescent="0.3">
      <c r="A2429" s="9">
        <f ca="1"/>
        <v>39319</v>
      </c>
      <c r="B2429" s="5">
        <f t="shared" ref="B2429:B2430" si="346">B2428</f>
        <v>52.85</v>
      </c>
      <c r="C2429" s="6"/>
      <c r="D2429" s="6"/>
    </row>
    <row r="2430" spans="1:4" ht="13" thickBot="1" x14ac:dyDescent="0.3">
      <c r="A2430" s="9">
        <f ca="1"/>
        <v>39320</v>
      </c>
      <c r="B2430" s="5">
        <f t="shared" si="346"/>
        <v>52.85</v>
      </c>
      <c r="C2430" s="6"/>
      <c r="D2430" s="6"/>
    </row>
    <row r="2431" spans="1:4" ht="13" thickBot="1" x14ac:dyDescent="0.3">
      <c r="A2431" s="9">
        <f ca="1"/>
        <v>39321</v>
      </c>
      <c r="B2431" s="6">
        <v>52.7</v>
      </c>
      <c r="C2431" s="6"/>
      <c r="D2431" s="6"/>
    </row>
    <row r="2432" spans="1:4" ht="13" thickBot="1" x14ac:dyDescent="0.3">
      <c r="A2432" s="9">
        <f ca="1"/>
        <v>39322</v>
      </c>
      <c r="B2432" s="6">
        <v>52.49</v>
      </c>
      <c r="C2432" s="6"/>
      <c r="D2432" s="6"/>
    </row>
    <row r="2433" spans="1:4" ht="13" thickBot="1" x14ac:dyDescent="0.3">
      <c r="A2433" s="9">
        <f ca="1"/>
        <v>39323</v>
      </c>
      <c r="B2433" s="6">
        <v>52.41</v>
      </c>
      <c r="C2433" s="6"/>
      <c r="D2433" s="6"/>
    </row>
    <row r="2434" spans="1:4" ht="13" thickBot="1" x14ac:dyDescent="0.3">
      <c r="A2434" s="9">
        <f ca="1"/>
        <v>39324</v>
      </c>
      <c r="B2434" s="6">
        <v>52.67</v>
      </c>
      <c r="C2434" s="6"/>
      <c r="D2434" s="6"/>
    </row>
    <row r="2435" spans="1:4" ht="13" thickBot="1" x14ac:dyDescent="0.3">
      <c r="A2435" s="9">
        <f ca="1"/>
        <v>39325</v>
      </c>
      <c r="B2435" s="6">
        <v>54.01</v>
      </c>
      <c r="C2435" s="6"/>
      <c r="D2435" s="6"/>
    </row>
    <row r="2436" spans="1:4" ht="13" thickBot="1" x14ac:dyDescent="0.3">
      <c r="A2436" s="9">
        <f ca="1"/>
        <v>39326</v>
      </c>
      <c r="B2436" s="5">
        <f t="shared" ref="B2436:B2438" si="347">B2435</f>
        <v>54.01</v>
      </c>
      <c r="C2436" s="6"/>
      <c r="D2436" s="6"/>
    </row>
    <row r="2437" spans="1:4" ht="13" thickBot="1" x14ac:dyDescent="0.3">
      <c r="A2437" s="9">
        <f ca="1"/>
        <v>39327</v>
      </c>
      <c r="B2437" s="5">
        <f t="shared" si="347"/>
        <v>54.01</v>
      </c>
      <c r="C2437" s="6"/>
      <c r="D2437" s="6"/>
    </row>
    <row r="2438" spans="1:4" ht="13" thickBot="1" x14ac:dyDescent="0.3">
      <c r="A2438" s="9">
        <f ca="1"/>
        <v>39328</v>
      </c>
      <c r="B2438" s="5">
        <f t="shared" si="347"/>
        <v>54.01</v>
      </c>
      <c r="C2438" s="6"/>
      <c r="D2438" s="6"/>
    </row>
    <row r="2439" spans="1:4" ht="13" thickBot="1" x14ac:dyDescent="0.3">
      <c r="A2439" s="9">
        <f ca="1"/>
        <v>39329</v>
      </c>
      <c r="B2439" s="6">
        <v>53.53</v>
      </c>
      <c r="C2439" s="6"/>
      <c r="D2439" s="6"/>
    </row>
    <row r="2440" spans="1:4" ht="13" thickBot="1" x14ac:dyDescent="0.3">
      <c r="A2440" s="9">
        <f ca="1"/>
        <v>39330</v>
      </c>
      <c r="B2440" s="6">
        <v>53.96</v>
      </c>
      <c r="C2440" s="6"/>
      <c r="D2440" s="6"/>
    </row>
    <row r="2441" spans="1:4" ht="13" thickBot="1" x14ac:dyDescent="0.3">
      <c r="A2441" s="9">
        <f ca="1"/>
        <v>39331</v>
      </c>
      <c r="B2441" s="6">
        <v>54.65</v>
      </c>
      <c r="C2441" s="6"/>
      <c r="D2441" s="6"/>
    </row>
    <row r="2442" spans="1:4" ht="13" thickBot="1" x14ac:dyDescent="0.3">
      <c r="A2442" s="9">
        <f ca="1"/>
        <v>39332</v>
      </c>
      <c r="B2442" s="6">
        <v>56.12</v>
      </c>
      <c r="C2442" s="6"/>
      <c r="D2442" s="6"/>
    </row>
    <row r="2443" spans="1:4" ht="13" thickBot="1" x14ac:dyDescent="0.3">
      <c r="A2443" s="9">
        <f ca="1"/>
        <v>39333</v>
      </c>
      <c r="B2443" s="5">
        <f t="shared" ref="B2443:B2444" si="348">B2442</f>
        <v>56.12</v>
      </c>
      <c r="C2443" s="6"/>
      <c r="D2443" s="6"/>
    </row>
    <row r="2444" spans="1:4" ht="13" thickBot="1" x14ac:dyDescent="0.3">
      <c r="A2444" s="9">
        <f ca="1"/>
        <v>39334</v>
      </c>
      <c r="B2444" s="5">
        <f t="shared" si="348"/>
        <v>56.12</v>
      </c>
      <c r="C2444" s="6"/>
      <c r="D2444" s="6"/>
    </row>
    <row r="2445" spans="1:4" ht="13" thickBot="1" x14ac:dyDescent="0.3">
      <c r="A2445" s="9">
        <f ca="1"/>
        <v>39335</v>
      </c>
      <c r="B2445" s="6">
        <v>55.65</v>
      </c>
      <c r="C2445" s="6"/>
      <c r="D2445" s="6"/>
    </row>
    <row r="2446" spans="1:4" ht="13" thickBot="1" x14ac:dyDescent="0.3">
      <c r="A2446" s="9">
        <f ca="1"/>
        <v>39336</v>
      </c>
      <c r="B2446" s="6">
        <v>56.03</v>
      </c>
      <c r="C2446" s="6"/>
      <c r="D2446" s="6"/>
    </row>
    <row r="2447" spans="1:4" ht="13" thickBot="1" x14ac:dyDescent="0.3">
      <c r="A2447" s="9">
        <f ca="1"/>
        <v>39337</v>
      </c>
      <c r="B2447" s="6">
        <v>56.96</v>
      </c>
      <c r="C2447" s="6"/>
      <c r="D2447" s="6"/>
    </row>
    <row r="2448" spans="1:4" ht="13" thickBot="1" x14ac:dyDescent="0.3">
      <c r="A2448" s="9">
        <f ca="1"/>
        <v>39338</v>
      </c>
      <c r="B2448" s="6">
        <v>57.5</v>
      </c>
      <c r="C2448" s="6"/>
      <c r="D2448" s="6"/>
    </row>
    <row r="2449" spans="1:4" ht="13" thickBot="1" x14ac:dyDescent="0.3">
      <c r="A2449" s="9">
        <f ca="1"/>
        <v>39339</v>
      </c>
      <c r="B2449" s="6">
        <v>57.17</v>
      </c>
      <c r="C2449" s="6"/>
      <c r="D2449" s="6"/>
    </row>
    <row r="2450" spans="1:4" ht="13" thickBot="1" x14ac:dyDescent="0.3">
      <c r="A2450" s="9">
        <f ca="1"/>
        <v>39340</v>
      </c>
      <c r="B2450" s="5">
        <f t="shared" ref="B2450:B2451" si="349">B2449</f>
        <v>57.17</v>
      </c>
      <c r="C2450" s="6"/>
      <c r="D2450" s="6"/>
    </row>
    <row r="2451" spans="1:4" ht="13" thickBot="1" x14ac:dyDescent="0.3">
      <c r="A2451" s="9">
        <f ca="1"/>
        <v>39341</v>
      </c>
      <c r="B2451" s="5">
        <f t="shared" si="349"/>
        <v>57.17</v>
      </c>
      <c r="C2451" s="6"/>
      <c r="D2451" s="6"/>
    </row>
    <row r="2452" spans="1:4" ht="13" thickBot="1" x14ac:dyDescent="0.3">
      <c r="A2452" s="9">
        <f ca="1"/>
        <v>39342</v>
      </c>
      <c r="B2452" s="6">
        <v>57.18</v>
      </c>
      <c r="C2452" s="6"/>
      <c r="D2452" s="6"/>
    </row>
    <row r="2453" spans="1:4" ht="13" thickBot="1" x14ac:dyDescent="0.3">
      <c r="A2453" s="9">
        <f ca="1"/>
        <v>39343</v>
      </c>
      <c r="B2453" s="6">
        <v>56.91</v>
      </c>
      <c r="C2453" s="6"/>
      <c r="D2453" s="6"/>
    </row>
    <row r="2454" spans="1:4" ht="13" thickBot="1" x14ac:dyDescent="0.3">
      <c r="A2454" s="9">
        <f ca="1"/>
        <v>39344</v>
      </c>
      <c r="B2454" s="6">
        <v>58.41</v>
      </c>
      <c r="C2454" s="6"/>
      <c r="D2454" s="6"/>
    </row>
    <row r="2455" spans="1:4" ht="13" thickBot="1" x14ac:dyDescent="0.3">
      <c r="A2455" s="9">
        <f ca="1"/>
        <v>39345</v>
      </c>
      <c r="B2455" s="6">
        <v>58.25</v>
      </c>
      <c r="C2455" s="6"/>
      <c r="D2455" s="6"/>
    </row>
    <row r="2456" spans="1:4" ht="13" thickBot="1" x14ac:dyDescent="0.3">
      <c r="A2456" s="9">
        <f ca="1"/>
        <v>39346</v>
      </c>
      <c r="B2456" s="6">
        <v>58.75</v>
      </c>
      <c r="C2456" s="6"/>
      <c r="D2456" s="6"/>
    </row>
    <row r="2457" spans="1:4" ht="13" thickBot="1" x14ac:dyDescent="0.3">
      <c r="A2457" s="9">
        <f ca="1"/>
        <v>39347</v>
      </c>
      <c r="B2457" s="5">
        <f t="shared" ref="B2457:B2458" si="350">B2456</f>
        <v>58.75</v>
      </c>
      <c r="C2457" s="6"/>
      <c r="D2457" s="6"/>
    </row>
    <row r="2458" spans="1:4" ht="13" thickBot="1" x14ac:dyDescent="0.3">
      <c r="A2458" s="9">
        <f ca="1"/>
        <v>39348</v>
      </c>
      <c r="B2458" s="5">
        <f t="shared" si="350"/>
        <v>58.75</v>
      </c>
      <c r="C2458" s="6"/>
      <c r="D2458" s="6"/>
    </row>
    <row r="2459" spans="1:4" ht="13" thickBot="1" x14ac:dyDescent="0.3">
      <c r="A2459" s="9">
        <f ca="1"/>
        <v>39349</v>
      </c>
      <c r="B2459" s="6">
        <v>58.34</v>
      </c>
      <c r="C2459" s="6"/>
      <c r="D2459" s="6"/>
    </row>
    <row r="2460" spans="1:4" ht="13" thickBot="1" x14ac:dyDescent="0.3">
      <c r="A2460" s="9">
        <f ca="1"/>
        <v>39350</v>
      </c>
      <c r="B2460" s="6">
        <v>58.05</v>
      </c>
      <c r="C2460" s="6"/>
      <c r="D2460" s="6"/>
    </row>
    <row r="2461" spans="1:4" ht="13" thickBot="1" x14ac:dyDescent="0.3">
      <c r="A2461" s="9">
        <f ca="1"/>
        <v>39351</v>
      </c>
      <c r="B2461" s="6">
        <v>57.84</v>
      </c>
      <c r="C2461" s="6"/>
      <c r="D2461" s="6"/>
    </row>
    <row r="2462" spans="1:4" ht="13" thickBot="1" x14ac:dyDescent="0.3">
      <c r="A2462" s="9">
        <f ca="1"/>
        <v>39352</v>
      </c>
      <c r="B2462" s="6">
        <v>57.33</v>
      </c>
      <c r="C2462" s="6"/>
      <c r="D2462" s="6"/>
    </row>
    <row r="2463" spans="1:4" ht="13" thickBot="1" x14ac:dyDescent="0.3">
      <c r="A2463" s="9">
        <f ca="1"/>
        <v>39353</v>
      </c>
      <c r="B2463" s="6">
        <v>58.35</v>
      </c>
      <c r="C2463" s="6"/>
      <c r="D2463" s="6"/>
    </row>
    <row r="2464" spans="1:4" ht="13" thickBot="1" x14ac:dyDescent="0.3">
      <c r="A2464" s="9">
        <f ca="1"/>
        <v>39354</v>
      </c>
      <c r="B2464" s="5">
        <f t="shared" ref="B2464:B2465" si="351">B2463</f>
        <v>58.35</v>
      </c>
      <c r="C2464" s="6"/>
      <c r="D2464" s="6"/>
    </row>
    <row r="2465" spans="1:4" ht="13" thickBot="1" x14ac:dyDescent="0.3">
      <c r="A2465" s="9">
        <f ca="1"/>
        <v>39355</v>
      </c>
      <c r="B2465" s="5">
        <f t="shared" si="351"/>
        <v>58.35</v>
      </c>
      <c r="C2465" s="6"/>
      <c r="D2465" s="6"/>
    </row>
    <row r="2466" spans="1:4" ht="13" thickBot="1" x14ac:dyDescent="0.3">
      <c r="A2466" s="9">
        <f ca="1"/>
        <v>39356</v>
      </c>
      <c r="B2466" s="6">
        <v>58.25</v>
      </c>
      <c r="C2466" s="6"/>
      <c r="D2466" s="6"/>
    </row>
    <row r="2467" spans="1:4" ht="13" thickBot="1" x14ac:dyDescent="0.3">
      <c r="A2467" s="9">
        <f ca="1"/>
        <v>39357</v>
      </c>
      <c r="B2467" s="6">
        <v>58.47</v>
      </c>
      <c r="C2467" s="6"/>
      <c r="D2467" s="6"/>
    </row>
    <row r="2468" spans="1:4" ht="13" thickBot="1" x14ac:dyDescent="0.3">
      <c r="A2468" s="9">
        <f ca="1"/>
        <v>39358</v>
      </c>
      <c r="B2468" s="6">
        <v>59.05</v>
      </c>
      <c r="C2468" s="6"/>
      <c r="D2468" s="6"/>
    </row>
    <row r="2469" spans="1:4" ht="13" thickBot="1" x14ac:dyDescent="0.3">
      <c r="A2469" s="9">
        <f ca="1"/>
        <v>39359</v>
      </c>
      <c r="B2469" s="6">
        <v>58.25</v>
      </c>
      <c r="C2469" s="6"/>
      <c r="D2469" s="6"/>
    </row>
    <row r="2470" spans="1:4" ht="13" thickBot="1" x14ac:dyDescent="0.3">
      <c r="A2470" s="9">
        <f ca="1"/>
        <v>39360</v>
      </c>
      <c r="B2470" s="6">
        <v>58.8</v>
      </c>
      <c r="C2470" s="6"/>
      <c r="D2470" s="6"/>
    </row>
    <row r="2471" spans="1:4" ht="13" thickBot="1" x14ac:dyDescent="0.3">
      <c r="A2471" s="9">
        <f ca="1"/>
        <v>39361</v>
      </c>
      <c r="B2471" s="5">
        <f t="shared" ref="B2471:B2472" si="352">B2470</f>
        <v>58.8</v>
      </c>
      <c r="C2471" s="6"/>
      <c r="D2471" s="6"/>
    </row>
    <row r="2472" spans="1:4" ht="13" thickBot="1" x14ac:dyDescent="0.3">
      <c r="A2472" s="9">
        <f ca="1"/>
        <v>39362</v>
      </c>
      <c r="B2472" s="5">
        <f t="shared" si="352"/>
        <v>58.8</v>
      </c>
      <c r="C2472" s="6"/>
      <c r="D2472" s="6"/>
    </row>
    <row r="2473" spans="1:4" ht="13" thickBot="1" x14ac:dyDescent="0.3">
      <c r="A2473" s="9">
        <f ca="1"/>
        <v>39363</v>
      </c>
      <c r="B2473" s="6">
        <v>56.02</v>
      </c>
      <c r="C2473" s="6"/>
      <c r="D2473" s="6"/>
    </row>
    <row r="2474" spans="1:4" ht="13" thickBot="1" x14ac:dyDescent="0.3">
      <c r="A2474" s="9">
        <f ca="1"/>
        <v>39364</v>
      </c>
      <c r="B2474" s="6">
        <v>56.38</v>
      </c>
      <c r="C2474" s="6"/>
      <c r="D2474" s="6"/>
    </row>
    <row r="2475" spans="1:4" ht="13" thickBot="1" x14ac:dyDescent="0.3">
      <c r="A2475" s="9">
        <f ca="1"/>
        <v>39365</v>
      </c>
      <c r="B2475" s="6">
        <v>56.51</v>
      </c>
      <c r="C2475" s="6"/>
      <c r="D2475" s="6"/>
    </row>
    <row r="2476" spans="1:4" ht="13" thickBot="1" x14ac:dyDescent="0.3">
      <c r="A2476" s="9">
        <f ca="1"/>
        <v>39366</v>
      </c>
      <c r="B2476" s="6">
        <v>55.98</v>
      </c>
      <c r="C2476" s="6"/>
      <c r="D2476" s="6"/>
    </row>
    <row r="2477" spans="1:4" ht="13" thickBot="1" x14ac:dyDescent="0.3">
      <c r="A2477" s="9">
        <f ca="1"/>
        <v>39367</v>
      </c>
      <c r="B2477" s="6">
        <v>55.81</v>
      </c>
      <c r="C2477" s="6"/>
      <c r="D2477" s="6"/>
    </row>
    <row r="2478" spans="1:4" ht="13" thickBot="1" x14ac:dyDescent="0.3">
      <c r="A2478" s="9">
        <f ca="1"/>
        <v>39368</v>
      </c>
      <c r="B2478" s="5">
        <f t="shared" ref="B2478:B2479" si="353">B2477</f>
        <v>55.81</v>
      </c>
      <c r="C2478" s="6"/>
      <c r="D2478" s="6"/>
    </row>
    <row r="2479" spans="1:4" ht="13" thickBot="1" x14ac:dyDescent="0.3">
      <c r="A2479" s="9">
        <f ca="1"/>
        <v>39369</v>
      </c>
      <c r="B2479" s="5">
        <f t="shared" si="353"/>
        <v>55.81</v>
      </c>
      <c r="C2479" s="6"/>
      <c r="D2479" s="6"/>
    </row>
    <row r="2480" spans="1:4" ht="13" thickBot="1" x14ac:dyDescent="0.3">
      <c r="A2480" s="9">
        <f ca="1"/>
        <v>39370</v>
      </c>
      <c r="B2480" s="6">
        <v>55.64</v>
      </c>
      <c r="C2480" s="6"/>
      <c r="D2480" s="6"/>
    </row>
    <row r="2481" spans="1:4" ht="13" thickBot="1" x14ac:dyDescent="0.3">
      <c r="A2481" s="9">
        <f ca="1"/>
        <v>39371</v>
      </c>
      <c r="B2481" s="6">
        <v>55.05</v>
      </c>
      <c r="C2481" s="6"/>
      <c r="D2481" s="6"/>
    </row>
    <row r="2482" spans="1:4" ht="13" thickBot="1" x14ac:dyDescent="0.3">
      <c r="A2482" s="9">
        <f ca="1"/>
        <v>39372</v>
      </c>
      <c r="B2482" s="6">
        <v>56.32</v>
      </c>
      <c r="C2482" s="6"/>
      <c r="D2482" s="6"/>
    </row>
    <row r="2483" spans="1:4" ht="13" thickBot="1" x14ac:dyDescent="0.3">
      <c r="A2483" s="9">
        <f ca="1"/>
        <v>39373</v>
      </c>
      <c r="B2483" s="6">
        <v>54.71</v>
      </c>
      <c r="C2483" s="6"/>
      <c r="D2483" s="6"/>
    </row>
    <row r="2484" spans="1:4" ht="13" thickBot="1" x14ac:dyDescent="0.3">
      <c r="A2484" s="9">
        <f ca="1"/>
        <v>39374</v>
      </c>
      <c r="B2484" s="6">
        <v>54.26</v>
      </c>
      <c r="C2484" s="6"/>
      <c r="D2484" s="6"/>
    </row>
    <row r="2485" spans="1:4" ht="13" thickBot="1" x14ac:dyDescent="0.3">
      <c r="A2485" s="9">
        <f ca="1"/>
        <v>39375</v>
      </c>
      <c r="B2485" s="5">
        <f t="shared" ref="B2485:B2486" si="354">B2484</f>
        <v>54.26</v>
      </c>
      <c r="C2485" s="6"/>
      <c r="D2485" s="6"/>
    </row>
    <row r="2486" spans="1:4" ht="13" thickBot="1" x14ac:dyDescent="0.3">
      <c r="A2486" s="9">
        <f ca="1"/>
        <v>39376</v>
      </c>
      <c r="B2486" s="5">
        <f t="shared" si="354"/>
        <v>54.26</v>
      </c>
      <c r="C2486" s="6"/>
      <c r="D2486" s="6"/>
    </row>
    <row r="2487" spans="1:4" ht="13" thickBot="1" x14ac:dyDescent="0.3">
      <c r="A2487" s="9">
        <f ca="1"/>
        <v>39377</v>
      </c>
      <c r="B2487" s="6">
        <v>53.05</v>
      </c>
      <c r="C2487" s="6"/>
      <c r="D2487" s="6"/>
    </row>
    <row r="2488" spans="1:4" ht="13" thickBot="1" x14ac:dyDescent="0.3">
      <c r="A2488" s="9">
        <f ca="1"/>
        <v>39378</v>
      </c>
      <c r="B2488" s="6">
        <v>53.75</v>
      </c>
      <c r="C2488" s="6"/>
      <c r="D2488" s="6"/>
    </row>
    <row r="2489" spans="1:4" ht="13" thickBot="1" x14ac:dyDescent="0.3">
      <c r="A2489" s="9">
        <f ca="1"/>
        <v>39379</v>
      </c>
      <c r="B2489" s="6">
        <v>52.72</v>
      </c>
      <c r="C2489" s="6"/>
      <c r="D2489" s="6"/>
    </row>
    <row r="2490" spans="1:4" ht="13" thickBot="1" x14ac:dyDescent="0.3">
      <c r="A2490" s="9">
        <f ca="1"/>
        <v>39380</v>
      </c>
      <c r="B2490" s="6">
        <v>53.29</v>
      </c>
      <c r="C2490" s="6"/>
      <c r="D2490" s="6"/>
    </row>
    <row r="2491" spans="1:4" ht="13" thickBot="1" x14ac:dyDescent="0.3">
      <c r="A2491" s="9">
        <f ca="1"/>
        <v>39381</v>
      </c>
      <c r="B2491" s="6">
        <v>53.33</v>
      </c>
      <c r="C2491" s="6"/>
      <c r="D2491" s="6"/>
    </row>
    <row r="2492" spans="1:4" ht="13" thickBot="1" x14ac:dyDescent="0.3">
      <c r="A2492" s="9">
        <f ca="1"/>
        <v>39382</v>
      </c>
      <c r="B2492" s="5">
        <f t="shared" ref="B2492:B2493" si="355">B2491</f>
        <v>53.33</v>
      </c>
      <c r="C2492" s="6"/>
      <c r="D2492" s="6"/>
    </row>
    <row r="2493" spans="1:4" ht="13" thickBot="1" x14ac:dyDescent="0.3">
      <c r="A2493" s="9">
        <f ca="1"/>
        <v>39383</v>
      </c>
      <c r="B2493" s="5">
        <f t="shared" si="355"/>
        <v>53.33</v>
      </c>
      <c r="C2493" s="6"/>
      <c r="D2493" s="6"/>
    </row>
    <row r="2494" spans="1:4" ht="13" thickBot="1" x14ac:dyDescent="0.3">
      <c r="A2494" s="9">
        <f ca="1"/>
        <v>39384</v>
      </c>
      <c r="B2494" s="6">
        <v>53.66</v>
      </c>
      <c r="C2494" s="6"/>
      <c r="D2494" s="6"/>
    </row>
    <row r="2495" spans="1:4" ht="13" thickBot="1" x14ac:dyDescent="0.3">
      <c r="A2495" s="9">
        <f ca="1"/>
        <v>39385</v>
      </c>
      <c r="B2495" s="6">
        <v>53.99</v>
      </c>
      <c r="C2495" s="6"/>
      <c r="D2495" s="6"/>
    </row>
    <row r="2496" spans="1:4" ht="13" thickBot="1" x14ac:dyDescent="0.3">
      <c r="A2496" s="9">
        <f ca="1"/>
        <v>39386</v>
      </c>
      <c r="B2496" s="6">
        <v>53.57</v>
      </c>
      <c r="C2496" s="6"/>
      <c r="D2496" s="6"/>
    </row>
    <row r="2497" spans="1:4" ht="13" thickBot="1" x14ac:dyDescent="0.3">
      <c r="A2497" s="9">
        <f ca="1"/>
        <v>39387</v>
      </c>
      <c r="B2497" s="6">
        <v>52.86</v>
      </c>
      <c r="C2497" s="6"/>
      <c r="D2497" s="6"/>
    </row>
    <row r="2498" spans="1:4" ht="13" thickBot="1" x14ac:dyDescent="0.3">
      <c r="A2498" s="9">
        <f ca="1"/>
        <v>39388</v>
      </c>
      <c r="B2498" s="6">
        <v>53.06</v>
      </c>
      <c r="C2498" s="6"/>
      <c r="D2498" s="6"/>
    </row>
    <row r="2499" spans="1:4" ht="13" thickBot="1" x14ac:dyDescent="0.3">
      <c r="A2499" s="9">
        <f ca="1"/>
        <v>39389</v>
      </c>
      <c r="B2499" s="5">
        <f t="shared" ref="B2499:B2500" si="356">B2498</f>
        <v>53.06</v>
      </c>
      <c r="C2499" s="6"/>
      <c r="D2499" s="6"/>
    </row>
    <row r="2500" spans="1:4" ht="13" thickBot="1" x14ac:dyDescent="0.3">
      <c r="A2500" s="9">
        <f ca="1"/>
        <v>39390</v>
      </c>
      <c r="B2500" s="5">
        <f t="shared" si="356"/>
        <v>53.06</v>
      </c>
      <c r="C2500" s="6"/>
      <c r="D2500" s="6"/>
    </row>
    <row r="2501" spans="1:4" ht="13" thickBot="1" x14ac:dyDescent="0.3">
      <c r="A2501" s="9">
        <f ca="1"/>
        <v>39391</v>
      </c>
      <c r="B2501" s="6">
        <v>52.28</v>
      </c>
      <c r="C2501" s="6"/>
      <c r="D2501" s="6"/>
    </row>
    <row r="2502" spans="1:4" ht="13" thickBot="1" x14ac:dyDescent="0.3">
      <c r="A2502" s="9">
        <f ca="1"/>
        <v>39392</v>
      </c>
      <c r="B2502" s="6">
        <v>53.39</v>
      </c>
      <c r="C2502" s="6"/>
      <c r="D2502" s="6"/>
    </row>
    <row r="2503" spans="1:4" ht="13" thickBot="1" x14ac:dyDescent="0.3">
      <c r="A2503" s="9">
        <f ca="1"/>
        <v>39393</v>
      </c>
      <c r="B2503" s="6">
        <v>54</v>
      </c>
      <c r="C2503" s="6"/>
      <c r="D2503" s="6"/>
    </row>
    <row r="2504" spans="1:4" ht="13" thickBot="1" x14ac:dyDescent="0.3">
      <c r="A2504" s="9">
        <f ca="1"/>
        <v>39394</v>
      </c>
      <c r="B2504" s="6">
        <v>53.08</v>
      </c>
      <c r="C2504" s="6"/>
      <c r="D2504" s="6"/>
    </row>
    <row r="2505" spans="1:4" ht="13" thickBot="1" x14ac:dyDescent="0.3">
      <c r="A2505" s="9">
        <f ca="1"/>
        <v>39395</v>
      </c>
      <c r="B2505" s="6">
        <v>51.95</v>
      </c>
      <c r="C2505" s="6"/>
      <c r="D2505" s="6"/>
    </row>
    <row r="2506" spans="1:4" ht="13" thickBot="1" x14ac:dyDescent="0.3">
      <c r="A2506" s="9">
        <f ca="1"/>
        <v>39396</v>
      </c>
      <c r="B2506" s="5">
        <f t="shared" ref="B2506:B2507" si="357">B2505</f>
        <v>51.95</v>
      </c>
      <c r="C2506" s="6"/>
      <c r="D2506" s="6"/>
    </row>
    <row r="2507" spans="1:4" ht="13" thickBot="1" x14ac:dyDescent="0.3">
      <c r="A2507" s="9">
        <f ca="1"/>
        <v>39397</v>
      </c>
      <c r="B2507" s="5">
        <f t="shared" si="357"/>
        <v>51.95</v>
      </c>
      <c r="C2507" s="6"/>
      <c r="D2507" s="6"/>
    </row>
    <row r="2508" spans="1:4" ht="13" thickBot="1" x14ac:dyDescent="0.3">
      <c r="A2508" s="9">
        <f ca="1"/>
        <v>39398</v>
      </c>
      <c r="B2508" s="6">
        <v>50.95</v>
      </c>
      <c r="C2508" s="6"/>
      <c r="D2508" s="6"/>
    </row>
    <row r="2509" spans="1:4" ht="13" thickBot="1" x14ac:dyDescent="0.3">
      <c r="A2509" s="9">
        <f ca="1"/>
        <v>39399</v>
      </c>
      <c r="B2509" s="6">
        <v>50.97</v>
      </c>
      <c r="C2509" s="6"/>
      <c r="D2509" s="6"/>
    </row>
    <row r="2510" spans="1:4" ht="13" thickBot="1" x14ac:dyDescent="0.3">
      <c r="A2510" s="9">
        <f ca="1"/>
        <v>39400</v>
      </c>
      <c r="B2510" s="6">
        <v>51.92</v>
      </c>
      <c r="C2510" s="6"/>
      <c r="D2510" s="6"/>
    </row>
    <row r="2511" spans="1:4" ht="13" thickBot="1" x14ac:dyDescent="0.3">
      <c r="A2511" s="9">
        <f ca="1"/>
        <v>39401</v>
      </c>
      <c r="B2511" s="6">
        <v>50.8</v>
      </c>
      <c r="C2511" s="6"/>
      <c r="D2511" s="6"/>
    </row>
    <row r="2512" spans="1:4" ht="13" thickBot="1" x14ac:dyDescent="0.3">
      <c r="A2512" s="9">
        <f ca="1"/>
        <v>39402</v>
      </c>
      <c r="B2512" s="6">
        <v>51.44</v>
      </c>
      <c r="C2512" s="6"/>
      <c r="D2512" s="6"/>
    </row>
    <row r="2513" spans="1:4" ht="13" thickBot="1" x14ac:dyDescent="0.3">
      <c r="A2513" s="9">
        <f ca="1"/>
        <v>39403</v>
      </c>
      <c r="B2513" s="5">
        <f t="shared" ref="B2513:B2514" si="358">B2512</f>
        <v>51.44</v>
      </c>
      <c r="C2513" s="6"/>
      <c r="D2513" s="6"/>
    </row>
    <row r="2514" spans="1:4" ht="13" thickBot="1" x14ac:dyDescent="0.3">
      <c r="A2514" s="9">
        <f ca="1"/>
        <v>39404</v>
      </c>
      <c r="B2514" s="5">
        <f t="shared" si="358"/>
        <v>51.44</v>
      </c>
      <c r="C2514" s="6"/>
      <c r="D2514" s="6"/>
    </row>
    <row r="2515" spans="1:4" ht="13" thickBot="1" x14ac:dyDescent="0.3">
      <c r="A2515" s="9">
        <f ca="1"/>
        <v>39405</v>
      </c>
      <c r="B2515" s="6">
        <v>51.26</v>
      </c>
      <c r="C2515" s="6"/>
      <c r="D2515" s="6"/>
    </row>
    <row r="2516" spans="1:4" ht="13" thickBot="1" x14ac:dyDescent="0.3">
      <c r="A2516" s="9">
        <f ca="1"/>
        <v>39406</v>
      </c>
      <c r="B2516" s="6">
        <v>52.12</v>
      </c>
      <c r="C2516" s="6"/>
      <c r="D2516" s="6"/>
    </row>
    <row r="2517" spans="1:4" ht="13" thickBot="1" x14ac:dyDescent="0.3">
      <c r="A2517" s="9">
        <f ca="1"/>
        <v>39407</v>
      </c>
      <c r="B2517" s="6">
        <v>51.67</v>
      </c>
      <c r="C2517" s="6"/>
      <c r="D2517" s="6"/>
    </row>
    <row r="2518" spans="1:4" ht="13" thickBot="1" x14ac:dyDescent="0.3">
      <c r="A2518" s="9">
        <f ca="1"/>
        <v>39408</v>
      </c>
      <c r="B2518" s="5">
        <f>B2517</f>
        <v>51.67</v>
      </c>
      <c r="C2518" s="6"/>
      <c r="D2518" s="6"/>
    </row>
    <row r="2519" spans="1:4" ht="13" thickBot="1" x14ac:dyDescent="0.3">
      <c r="A2519" s="9">
        <f ca="1"/>
        <v>39409</v>
      </c>
      <c r="B2519" s="6">
        <v>51.13</v>
      </c>
      <c r="C2519" s="6"/>
      <c r="D2519" s="6"/>
    </row>
    <row r="2520" spans="1:4" ht="13" thickBot="1" x14ac:dyDescent="0.3">
      <c r="A2520" s="9">
        <f ca="1"/>
        <v>39410</v>
      </c>
      <c r="B2520" s="5">
        <f t="shared" ref="B2520:B2521" si="359">B2519</f>
        <v>51.13</v>
      </c>
      <c r="C2520" s="6"/>
      <c r="D2520" s="6"/>
    </row>
    <row r="2521" spans="1:4" ht="13" thickBot="1" x14ac:dyDescent="0.3">
      <c r="A2521" s="9">
        <f ca="1"/>
        <v>39411</v>
      </c>
      <c r="B2521" s="5">
        <f t="shared" si="359"/>
        <v>51.13</v>
      </c>
      <c r="C2521" s="6"/>
      <c r="D2521" s="6"/>
    </row>
    <row r="2522" spans="1:4" ht="13" thickBot="1" x14ac:dyDescent="0.3">
      <c r="A2522" s="9">
        <f ca="1"/>
        <v>39412</v>
      </c>
      <c r="B2522" s="6">
        <v>51.84</v>
      </c>
      <c r="C2522" s="6"/>
      <c r="D2522" s="6"/>
    </row>
    <row r="2523" spans="1:4" ht="13" thickBot="1" x14ac:dyDescent="0.3">
      <c r="A2523" s="9">
        <f ca="1"/>
        <v>39413</v>
      </c>
      <c r="B2523" s="6">
        <v>50.75</v>
      </c>
      <c r="C2523" s="6"/>
      <c r="D2523" s="6"/>
    </row>
    <row r="2524" spans="1:4" ht="13" thickBot="1" x14ac:dyDescent="0.3">
      <c r="A2524" s="9">
        <f ca="1"/>
        <v>39414</v>
      </c>
      <c r="B2524" s="6">
        <v>50.47</v>
      </c>
      <c r="C2524" s="6"/>
      <c r="D2524" s="6"/>
    </row>
    <row r="2525" spans="1:4" ht="13" thickBot="1" x14ac:dyDescent="0.3">
      <c r="A2525" s="9">
        <f ca="1"/>
        <v>39415</v>
      </c>
      <c r="B2525" s="6">
        <v>51.5</v>
      </c>
      <c r="C2525" s="6"/>
      <c r="D2525" s="6"/>
    </row>
    <row r="2526" spans="1:4" ht="13" thickBot="1" x14ac:dyDescent="0.3">
      <c r="A2526" s="9">
        <f ca="1"/>
        <v>39416</v>
      </c>
      <c r="B2526" s="6">
        <v>51.72</v>
      </c>
      <c r="C2526" s="6"/>
      <c r="D2526" s="6"/>
    </row>
    <row r="2527" spans="1:4" ht="13" thickBot="1" x14ac:dyDescent="0.3">
      <c r="A2527" s="9">
        <f ca="1"/>
        <v>39417</v>
      </c>
      <c r="B2527" s="5">
        <f t="shared" ref="B2527:B2528" si="360">B2526</f>
        <v>51.72</v>
      </c>
      <c r="C2527" s="6"/>
      <c r="D2527" s="6"/>
    </row>
    <row r="2528" spans="1:4" ht="13" thickBot="1" x14ac:dyDescent="0.3">
      <c r="A2528" s="9">
        <f ca="1"/>
        <v>39418</v>
      </c>
      <c r="B2528" s="5">
        <f t="shared" si="360"/>
        <v>51.72</v>
      </c>
      <c r="C2528" s="6"/>
      <c r="D2528" s="6"/>
    </row>
    <row r="2529" spans="1:4" ht="13" thickBot="1" x14ac:dyDescent="0.3">
      <c r="A2529" s="9">
        <f ca="1"/>
        <v>39419</v>
      </c>
      <c r="B2529" s="6">
        <v>52.32</v>
      </c>
      <c r="C2529" s="6"/>
      <c r="D2529" s="6"/>
    </row>
    <row r="2530" spans="1:4" ht="13" thickBot="1" x14ac:dyDescent="0.3">
      <c r="A2530" s="9">
        <f ca="1"/>
        <v>39420</v>
      </c>
      <c r="B2530" s="6">
        <v>52.35</v>
      </c>
      <c r="C2530" s="6"/>
      <c r="D2530" s="6"/>
    </row>
    <row r="2531" spans="1:4" ht="13" thickBot="1" x14ac:dyDescent="0.3">
      <c r="A2531" s="9">
        <f ca="1"/>
        <v>39421</v>
      </c>
      <c r="B2531" s="6">
        <v>52.39</v>
      </c>
      <c r="C2531" s="6"/>
      <c r="D2531" s="6"/>
    </row>
    <row r="2532" spans="1:4" ht="13" thickBot="1" x14ac:dyDescent="0.3">
      <c r="A2532" s="9">
        <f ca="1"/>
        <v>39422</v>
      </c>
      <c r="B2532" s="6">
        <v>51.92</v>
      </c>
      <c r="C2532" s="6"/>
      <c r="D2532" s="6"/>
    </row>
    <row r="2533" spans="1:4" ht="13" thickBot="1" x14ac:dyDescent="0.3">
      <c r="A2533" s="9">
        <f ca="1"/>
        <v>39423</v>
      </c>
      <c r="B2533" s="6">
        <v>52.59</v>
      </c>
      <c r="C2533" s="6"/>
      <c r="D2533" s="6"/>
    </row>
    <row r="2534" spans="1:4" ht="13" thickBot="1" x14ac:dyDescent="0.3">
      <c r="A2534" s="9">
        <f ca="1"/>
        <v>39424</v>
      </c>
      <c r="B2534" s="5">
        <f t="shared" ref="B2534:B2535" si="361">B2533</f>
        <v>52.59</v>
      </c>
      <c r="C2534" s="6"/>
      <c r="D2534" s="6"/>
    </row>
    <row r="2535" spans="1:4" ht="13" thickBot="1" x14ac:dyDescent="0.3">
      <c r="A2535" s="9">
        <f ca="1"/>
        <v>39425</v>
      </c>
      <c r="B2535" s="5">
        <f t="shared" si="361"/>
        <v>52.59</v>
      </c>
      <c r="C2535" s="6"/>
      <c r="D2535" s="6"/>
    </row>
    <row r="2536" spans="1:4" ht="13" thickBot="1" x14ac:dyDescent="0.3">
      <c r="A2536" s="9">
        <f ca="1"/>
        <v>39426</v>
      </c>
      <c r="B2536" s="6">
        <v>52.64</v>
      </c>
      <c r="C2536" s="6"/>
      <c r="D2536" s="6"/>
    </row>
    <row r="2537" spans="1:4" ht="13" thickBot="1" x14ac:dyDescent="0.3">
      <c r="A2537" s="9">
        <f ca="1"/>
        <v>39427</v>
      </c>
      <c r="B2537" s="6">
        <v>53.72</v>
      </c>
      <c r="C2537" s="6"/>
      <c r="D2537" s="6"/>
    </row>
    <row r="2538" spans="1:4" ht="13" thickBot="1" x14ac:dyDescent="0.3">
      <c r="A2538" s="9">
        <f ca="1"/>
        <v>39428</v>
      </c>
      <c r="B2538" s="6">
        <v>53.23</v>
      </c>
      <c r="C2538" s="6"/>
      <c r="D2538" s="6"/>
    </row>
    <row r="2539" spans="1:4" ht="13" thickBot="1" x14ac:dyDescent="0.3">
      <c r="A2539" s="9">
        <f ca="1"/>
        <v>39429</v>
      </c>
      <c r="B2539" s="6">
        <v>52.85</v>
      </c>
      <c r="C2539" s="6"/>
      <c r="D2539" s="6"/>
    </row>
    <row r="2540" spans="1:4" ht="13" thickBot="1" x14ac:dyDescent="0.3">
      <c r="A2540" s="9">
        <f ca="1"/>
        <v>39430</v>
      </c>
      <c r="B2540" s="6">
        <v>51.53</v>
      </c>
      <c r="C2540" s="6"/>
      <c r="D2540" s="6"/>
    </row>
    <row r="2541" spans="1:4" ht="13" thickBot="1" x14ac:dyDescent="0.3">
      <c r="A2541" s="9">
        <f ca="1"/>
        <v>39431</v>
      </c>
      <c r="B2541" s="5">
        <f t="shared" ref="B2541:B2542" si="362">B2540</f>
        <v>51.53</v>
      </c>
      <c r="C2541" s="6"/>
      <c r="D2541" s="6"/>
    </row>
    <row r="2542" spans="1:4" ht="13" thickBot="1" x14ac:dyDescent="0.3">
      <c r="A2542" s="9">
        <f ca="1"/>
        <v>39432</v>
      </c>
      <c r="B2542" s="5">
        <f t="shared" si="362"/>
        <v>51.53</v>
      </c>
      <c r="C2542" s="6"/>
      <c r="D2542" s="6"/>
    </row>
    <row r="2543" spans="1:4" ht="13" thickBot="1" x14ac:dyDescent="0.3">
      <c r="A2543" s="9">
        <f ca="1"/>
        <v>39433</v>
      </c>
      <c r="B2543" s="6">
        <v>50.66</v>
      </c>
      <c r="C2543" s="6"/>
      <c r="D2543" s="6"/>
    </row>
    <row r="2544" spans="1:4" ht="13" thickBot="1" x14ac:dyDescent="0.3">
      <c r="A2544" s="9">
        <f ca="1"/>
        <v>39434</v>
      </c>
      <c r="B2544" s="6">
        <v>51.14</v>
      </c>
      <c r="C2544" s="6"/>
      <c r="D2544" s="6"/>
    </row>
    <row r="2545" spans="1:4" ht="13" thickBot="1" x14ac:dyDescent="0.3">
      <c r="A2545" s="9">
        <f ca="1"/>
        <v>39435</v>
      </c>
      <c r="B2545" s="6">
        <v>51.24</v>
      </c>
      <c r="C2545" s="6"/>
      <c r="D2545" s="6"/>
    </row>
    <row r="2546" spans="1:4" ht="13" thickBot="1" x14ac:dyDescent="0.3">
      <c r="A2546" s="9">
        <f ca="1"/>
        <v>39436</v>
      </c>
      <c r="B2546" s="6">
        <v>51.25</v>
      </c>
      <c r="C2546" s="6"/>
      <c r="D2546" s="6"/>
    </row>
    <row r="2547" spans="1:4" ht="13" thickBot="1" x14ac:dyDescent="0.3">
      <c r="A2547" s="9">
        <f ca="1"/>
        <v>39437</v>
      </c>
      <c r="B2547" s="6">
        <v>51.52</v>
      </c>
      <c r="C2547" s="6"/>
      <c r="D2547" s="6"/>
    </row>
    <row r="2548" spans="1:4" ht="13" thickBot="1" x14ac:dyDescent="0.3">
      <c r="A2548" s="9">
        <f ca="1"/>
        <v>39438</v>
      </c>
      <c r="B2548" s="5">
        <f t="shared" ref="B2548:B2549" si="363">B2547</f>
        <v>51.52</v>
      </c>
      <c r="C2548" s="6"/>
      <c r="D2548" s="6"/>
    </row>
    <row r="2549" spans="1:4" ht="13" thickBot="1" x14ac:dyDescent="0.3">
      <c r="A2549" s="9">
        <f ca="1"/>
        <v>39439</v>
      </c>
      <c r="B2549" s="5">
        <f t="shared" si="363"/>
        <v>51.52</v>
      </c>
      <c r="C2549" s="6"/>
      <c r="D2549" s="6"/>
    </row>
    <row r="2550" spans="1:4" ht="13" thickBot="1" x14ac:dyDescent="0.3">
      <c r="A2550" s="9">
        <f ca="1"/>
        <v>39440</v>
      </c>
      <c r="B2550" s="6">
        <v>51.43</v>
      </c>
      <c r="C2550" s="6"/>
      <c r="D2550" s="6"/>
    </row>
    <row r="2551" spans="1:4" ht="13" thickBot="1" x14ac:dyDescent="0.3">
      <c r="A2551" s="9">
        <f ca="1"/>
        <v>39441</v>
      </c>
      <c r="B2551" s="5">
        <f>B2550</f>
        <v>51.43</v>
      </c>
      <c r="C2551" s="6"/>
      <c r="D2551" s="6"/>
    </row>
    <row r="2552" spans="1:4" ht="13" thickBot="1" x14ac:dyDescent="0.3">
      <c r="A2552" s="9">
        <f ca="1"/>
        <v>39442</v>
      </c>
      <c r="B2552" s="6">
        <v>51.36</v>
      </c>
      <c r="C2552" s="6"/>
      <c r="D2552" s="6"/>
    </row>
    <row r="2553" spans="1:4" ht="13" thickBot="1" x14ac:dyDescent="0.3">
      <c r="A2553" s="9">
        <f ca="1"/>
        <v>39443</v>
      </c>
      <c r="B2553" s="6">
        <v>52.18</v>
      </c>
      <c r="C2553" s="6"/>
      <c r="D2553" s="6"/>
    </row>
    <row r="2554" spans="1:4" ht="13" thickBot="1" x14ac:dyDescent="0.3">
      <c r="A2554" s="9">
        <f ca="1"/>
        <v>39444</v>
      </c>
      <c r="B2554" s="6">
        <v>51.85</v>
      </c>
      <c r="C2554" s="6"/>
      <c r="D2554" s="6"/>
    </row>
    <row r="2555" spans="1:4" ht="13" thickBot="1" x14ac:dyDescent="0.3">
      <c r="A2555" s="9">
        <f ca="1"/>
        <v>39445</v>
      </c>
      <c r="B2555" s="5">
        <f t="shared" ref="B2555:B2556" si="364">B2554</f>
        <v>51.85</v>
      </c>
      <c r="C2555" s="6"/>
      <c r="D2555" s="6"/>
    </row>
    <row r="2556" spans="1:4" ht="13" thickBot="1" x14ac:dyDescent="0.3">
      <c r="A2556" s="9">
        <f ca="1"/>
        <v>39446</v>
      </c>
      <c r="B2556" s="5">
        <f t="shared" si="364"/>
        <v>51.85</v>
      </c>
      <c r="C2556" s="6"/>
      <c r="D2556" s="6"/>
    </row>
    <row r="2557" spans="1:4" ht="13" thickBot="1" x14ac:dyDescent="0.3">
      <c r="A2557" s="9">
        <f ca="1"/>
        <v>39447</v>
      </c>
      <c r="B2557" s="6">
        <v>51.4</v>
      </c>
      <c r="C2557" s="6"/>
      <c r="D2557" s="6"/>
    </row>
    <row r="2558" spans="1:4" ht="13" thickBot="1" x14ac:dyDescent="0.3">
      <c r="A2558" s="9">
        <f ca="1"/>
        <v>39448</v>
      </c>
      <c r="B2558" s="5">
        <f>B2557</f>
        <v>51.4</v>
      </c>
      <c r="C2558" s="6"/>
      <c r="D2558" s="6"/>
    </row>
    <row r="2559" spans="1:4" ht="13" thickBot="1" x14ac:dyDescent="0.3">
      <c r="A2559" s="9">
        <f ca="1"/>
        <v>39449</v>
      </c>
      <c r="B2559" s="6">
        <v>51.85</v>
      </c>
      <c r="C2559" s="6"/>
      <c r="D2559" s="6"/>
    </row>
    <row r="2560" spans="1:4" ht="13" thickBot="1" x14ac:dyDescent="0.3">
      <c r="A2560" s="9">
        <f ca="1"/>
        <v>39450</v>
      </c>
      <c r="B2560" s="6">
        <v>50.47</v>
      </c>
      <c r="C2560" s="6"/>
      <c r="D2560" s="6"/>
    </row>
    <row r="2561" spans="1:4" ht="13" thickBot="1" x14ac:dyDescent="0.3">
      <c r="A2561" s="9">
        <f ca="1"/>
        <v>39451</v>
      </c>
      <c r="B2561" s="6">
        <v>50.12</v>
      </c>
      <c r="C2561" s="6"/>
      <c r="D2561" s="6"/>
    </row>
    <row r="2562" spans="1:4" ht="13" thickBot="1" x14ac:dyDescent="0.3">
      <c r="A2562" s="9">
        <f ca="1"/>
        <v>39452</v>
      </c>
      <c r="B2562" s="5">
        <f t="shared" ref="B2562:B2563" si="365">B2561</f>
        <v>50.12</v>
      </c>
      <c r="C2562" s="6"/>
      <c r="D2562" s="6"/>
    </row>
    <row r="2563" spans="1:4" ht="13" thickBot="1" x14ac:dyDescent="0.3">
      <c r="A2563" s="9">
        <f ca="1"/>
        <v>39453</v>
      </c>
      <c r="B2563" s="5">
        <f t="shared" si="365"/>
        <v>50.12</v>
      </c>
      <c r="C2563" s="6"/>
      <c r="D2563" s="6"/>
    </row>
    <row r="2564" spans="1:4" ht="13" thickBot="1" x14ac:dyDescent="0.3">
      <c r="A2564" s="9">
        <f ca="1"/>
        <v>39454</v>
      </c>
      <c r="B2564" s="6">
        <v>48.35</v>
      </c>
      <c r="C2564" s="6"/>
      <c r="D2564" s="6"/>
    </row>
    <row r="2565" spans="1:4" ht="13" thickBot="1" x14ac:dyDescent="0.3">
      <c r="A2565" s="9">
        <f ca="1"/>
        <v>39455</v>
      </c>
      <c r="B2565" s="6">
        <v>48.19</v>
      </c>
      <c r="C2565" s="6"/>
      <c r="D2565" s="6"/>
    </row>
    <row r="2566" spans="1:4" ht="13" thickBot="1" x14ac:dyDescent="0.3">
      <c r="A2566" s="9">
        <f ca="1"/>
        <v>39456</v>
      </c>
      <c r="B2566" s="6">
        <v>47.9</v>
      </c>
      <c r="C2566" s="6"/>
      <c r="D2566" s="6"/>
    </row>
    <row r="2567" spans="1:4" ht="13" thickBot="1" x14ac:dyDescent="0.3">
      <c r="A2567" s="9">
        <f ca="1"/>
        <v>39457</v>
      </c>
      <c r="B2567" s="6">
        <v>48.12</v>
      </c>
      <c r="C2567" s="6"/>
      <c r="D2567" s="6"/>
    </row>
    <row r="2568" spans="1:4" ht="13" thickBot="1" x14ac:dyDescent="0.3">
      <c r="A2568" s="9">
        <f ca="1"/>
        <v>39458</v>
      </c>
      <c r="B2568" s="6">
        <v>48.24</v>
      </c>
      <c r="C2568" s="6"/>
      <c r="D2568" s="6"/>
    </row>
    <row r="2569" spans="1:4" ht="13" thickBot="1" x14ac:dyDescent="0.3">
      <c r="A2569" s="9">
        <f ca="1"/>
        <v>39459</v>
      </c>
      <c r="B2569" s="5">
        <f t="shared" ref="B2569:B2570" si="366">B2568</f>
        <v>48.24</v>
      </c>
      <c r="C2569" s="6"/>
      <c r="D2569" s="6"/>
    </row>
    <row r="2570" spans="1:4" ht="13" thickBot="1" x14ac:dyDescent="0.3">
      <c r="A2570" s="9">
        <f ca="1"/>
        <v>39460</v>
      </c>
      <c r="B2570" s="5">
        <f t="shared" si="366"/>
        <v>48.24</v>
      </c>
      <c r="C2570" s="6"/>
      <c r="D2570" s="6"/>
    </row>
    <row r="2571" spans="1:4" ht="13" thickBot="1" x14ac:dyDescent="0.3">
      <c r="A2571" s="9">
        <f ca="1"/>
        <v>39461</v>
      </c>
      <c r="B2571" s="6">
        <v>49.65</v>
      </c>
      <c r="C2571" s="6"/>
      <c r="D2571" s="6"/>
    </row>
    <row r="2572" spans="1:4" ht="13" thickBot="1" x14ac:dyDescent="0.3">
      <c r="A2572" s="9">
        <f ca="1"/>
        <v>39462</v>
      </c>
      <c r="B2572" s="6">
        <v>49.49</v>
      </c>
      <c r="C2572" s="6"/>
      <c r="D2572" s="6"/>
    </row>
    <row r="2573" spans="1:4" ht="13" thickBot="1" x14ac:dyDescent="0.3">
      <c r="A2573" s="9">
        <f ca="1"/>
        <v>39463</v>
      </c>
      <c r="B2573" s="6">
        <v>49.57</v>
      </c>
      <c r="C2573" s="6"/>
      <c r="D2573" s="6"/>
    </row>
    <row r="2574" spans="1:4" ht="13" thickBot="1" x14ac:dyDescent="0.3">
      <c r="A2574" s="9">
        <f ca="1"/>
        <v>39464</v>
      </c>
      <c r="B2574" s="6">
        <v>49.67</v>
      </c>
      <c r="C2574" s="6"/>
      <c r="D2574" s="6"/>
    </row>
    <row r="2575" spans="1:4" ht="13" thickBot="1" x14ac:dyDescent="0.3">
      <c r="A2575" s="9">
        <f ca="1"/>
        <v>39465</v>
      </c>
      <c r="B2575" s="6">
        <v>50.07</v>
      </c>
      <c r="C2575" s="6"/>
      <c r="D2575" s="6"/>
    </row>
    <row r="2576" spans="1:4" ht="13" thickBot="1" x14ac:dyDescent="0.3">
      <c r="A2576" s="9">
        <f ca="1"/>
        <v>39466</v>
      </c>
      <c r="B2576" s="5">
        <f t="shared" ref="B2576:B2578" si="367">B2575</f>
        <v>50.07</v>
      </c>
      <c r="C2576" s="6"/>
      <c r="D2576" s="6"/>
    </row>
    <row r="2577" spans="1:4" ht="13" thickBot="1" x14ac:dyDescent="0.3">
      <c r="A2577" s="9">
        <f ca="1"/>
        <v>39467</v>
      </c>
      <c r="B2577" s="5">
        <f t="shared" si="367"/>
        <v>50.07</v>
      </c>
      <c r="C2577" s="6"/>
      <c r="D2577" s="6"/>
    </row>
    <row r="2578" spans="1:4" ht="13" thickBot="1" x14ac:dyDescent="0.3">
      <c r="A2578" s="9">
        <f ca="1"/>
        <v>39468</v>
      </c>
      <c r="B2578" s="5">
        <f t="shared" si="367"/>
        <v>50.07</v>
      </c>
      <c r="C2578" s="6"/>
      <c r="D2578" s="6"/>
    </row>
    <row r="2579" spans="1:4" ht="13" thickBot="1" x14ac:dyDescent="0.3">
      <c r="A2579" s="9">
        <f ca="1"/>
        <v>39469</v>
      </c>
      <c r="B2579" s="6">
        <v>44.4</v>
      </c>
      <c r="C2579" s="6"/>
      <c r="D2579" s="6"/>
    </row>
    <row r="2580" spans="1:4" ht="13" thickBot="1" x14ac:dyDescent="0.3">
      <c r="A2580" s="9">
        <f ca="1"/>
        <v>39470</v>
      </c>
      <c r="B2580" s="6">
        <v>43.3</v>
      </c>
      <c r="C2580" s="6"/>
      <c r="D2580" s="6"/>
    </row>
    <row r="2581" spans="1:4" ht="13" thickBot="1" x14ac:dyDescent="0.3">
      <c r="A2581" s="9">
        <f ca="1"/>
        <v>39471</v>
      </c>
      <c r="B2581" s="6">
        <v>45.44</v>
      </c>
      <c r="C2581" s="6"/>
      <c r="D2581" s="6"/>
    </row>
    <row r="2582" spans="1:4" ht="13" thickBot="1" x14ac:dyDescent="0.3">
      <c r="A2582" s="9">
        <f ca="1"/>
        <v>39472</v>
      </c>
      <c r="B2582" s="6">
        <v>46.82</v>
      </c>
      <c r="C2582" s="6"/>
      <c r="D2582" s="6"/>
    </row>
    <row r="2583" spans="1:4" ht="13" thickBot="1" x14ac:dyDescent="0.3">
      <c r="A2583" s="9">
        <f ca="1"/>
        <v>39473</v>
      </c>
      <c r="B2583" s="5">
        <f t="shared" ref="B2583:B2584" si="368">B2582</f>
        <v>46.82</v>
      </c>
      <c r="C2583" s="6"/>
      <c r="D2583" s="6"/>
    </row>
    <row r="2584" spans="1:4" ht="13" thickBot="1" x14ac:dyDescent="0.3">
      <c r="A2584" s="9">
        <f ca="1"/>
        <v>39474</v>
      </c>
      <c r="B2584" s="5">
        <f t="shared" si="368"/>
        <v>46.82</v>
      </c>
      <c r="C2584" s="6"/>
      <c r="D2584" s="6"/>
    </row>
    <row r="2585" spans="1:4" ht="13" thickBot="1" x14ac:dyDescent="0.3">
      <c r="A2585" s="9">
        <f ca="1"/>
        <v>39475</v>
      </c>
      <c r="B2585" s="6">
        <v>45.96</v>
      </c>
      <c r="C2585" s="6"/>
      <c r="D2585" s="6"/>
    </row>
    <row r="2586" spans="1:4" ht="13" thickBot="1" x14ac:dyDescent="0.3">
      <c r="A2586" s="9">
        <f ca="1"/>
        <v>39476</v>
      </c>
      <c r="B2586" s="6">
        <v>46.45</v>
      </c>
      <c r="C2586" s="6"/>
      <c r="D2586" s="6"/>
    </row>
    <row r="2587" spans="1:4" ht="13" thickBot="1" x14ac:dyDescent="0.3">
      <c r="A2587" s="9">
        <f ca="1"/>
        <v>39477</v>
      </c>
      <c r="B2587" s="6">
        <v>46.89</v>
      </c>
      <c r="C2587" s="6"/>
      <c r="D2587" s="6"/>
    </row>
    <row r="2588" spans="1:4" ht="13" thickBot="1" x14ac:dyDescent="0.3">
      <c r="A2588" s="9">
        <f ca="1"/>
        <v>39478</v>
      </c>
      <c r="B2588" s="6">
        <v>46.25</v>
      </c>
      <c r="C2588" s="6"/>
      <c r="D2588" s="6"/>
    </row>
    <row r="2589" spans="1:4" ht="13" thickBot="1" x14ac:dyDescent="0.3">
      <c r="A2589" s="9">
        <f ca="1"/>
        <v>39479</v>
      </c>
      <c r="B2589" s="6">
        <v>48.33</v>
      </c>
      <c r="C2589" s="6"/>
      <c r="D2589" s="6"/>
    </row>
    <row r="2590" spans="1:4" ht="13" thickBot="1" x14ac:dyDescent="0.3">
      <c r="A2590" s="9">
        <f ca="1"/>
        <v>39480</v>
      </c>
      <c r="B2590" s="5">
        <f t="shared" ref="B2590:B2591" si="369">B2589</f>
        <v>48.33</v>
      </c>
      <c r="C2590" s="6"/>
      <c r="D2590" s="6"/>
    </row>
    <row r="2591" spans="1:4" ht="13" thickBot="1" x14ac:dyDescent="0.3">
      <c r="A2591" s="9">
        <f ca="1"/>
        <v>39481</v>
      </c>
      <c r="B2591" s="5">
        <f t="shared" si="369"/>
        <v>48.33</v>
      </c>
      <c r="C2591" s="6"/>
      <c r="D2591" s="6"/>
    </row>
    <row r="2592" spans="1:4" ht="13" thickBot="1" x14ac:dyDescent="0.3">
      <c r="A2592" s="9">
        <f ca="1"/>
        <v>39482</v>
      </c>
      <c r="B2592" s="6">
        <v>48.09</v>
      </c>
      <c r="C2592" s="6"/>
      <c r="D2592" s="6"/>
    </row>
    <row r="2593" spans="1:4" ht="13" thickBot="1" x14ac:dyDescent="0.3">
      <c r="A2593" s="9">
        <f ca="1"/>
        <v>39483</v>
      </c>
      <c r="B2593" s="6">
        <v>46.64</v>
      </c>
      <c r="C2593" s="6"/>
      <c r="D2593" s="6"/>
    </row>
    <row r="2594" spans="1:4" ht="13" thickBot="1" x14ac:dyDescent="0.3">
      <c r="A2594" s="9">
        <f ca="1"/>
        <v>39484</v>
      </c>
      <c r="B2594" s="6">
        <v>47.59</v>
      </c>
      <c r="C2594" s="6"/>
      <c r="D2594" s="6"/>
    </row>
    <row r="2595" spans="1:4" ht="13" thickBot="1" x14ac:dyDescent="0.3">
      <c r="A2595" s="9">
        <f ca="1"/>
        <v>39485</v>
      </c>
      <c r="B2595" s="6">
        <v>46.29</v>
      </c>
      <c r="C2595" s="6"/>
      <c r="D2595" s="6"/>
    </row>
    <row r="2596" spans="1:4" ht="13" thickBot="1" x14ac:dyDescent="0.3">
      <c r="A2596" s="9">
        <f ca="1"/>
        <v>39486</v>
      </c>
      <c r="B2596" s="6">
        <v>47.08</v>
      </c>
      <c r="C2596" s="6"/>
      <c r="D2596" s="6"/>
    </row>
    <row r="2597" spans="1:4" ht="13" thickBot="1" x14ac:dyDescent="0.3">
      <c r="A2597" s="9">
        <f ca="1"/>
        <v>39487</v>
      </c>
      <c r="B2597" s="5">
        <f t="shared" ref="B2597:B2598" si="370">B2596</f>
        <v>47.08</v>
      </c>
      <c r="C2597" s="6"/>
      <c r="D2597" s="6"/>
    </row>
    <row r="2598" spans="1:4" ht="13" thickBot="1" x14ac:dyDescent="0.3">
      <c r="A2598" s="9">
        <f ca="1"/>
        <v>39488</v>
      </c>
      <c r="B2598" s="5">
        <f t="shared" si="370"/>
        <v>47.08</v>
      </c>
      <c r="C2598" s="6"/>
      <c r="D2598" s="6"/>
    </row>
    <row r="2599" spans="1:4" ht="13" thickBot="1" x14ac:dyDescent="0.3">
      <c r="A2599" s="9">
        <f ca="1"/>
        <v>39489</v>
      </c>
      <c r="B2599" s="6">
        <v>47.71</v>
      </c>
      <c r="C2599" s="6"/>
      <c r="D2599" s="6"/>
    </row>
    <row r="2600" spans="1:4" ht="13" thickBot="1" x14ac:dyDescent="0.3">
      <c r="A2600" s="9">
        <f ca="1"/>
        <v>39490</v>
      </c>
      <c r="B2600" s="6">
        <v>48.7</v>
      </c>
      <c r="C2600" s="6"/>
      <c r="D2600" s="6"/>
    </row>
    <row r="2601" spans="1:4" ht="13" thickBot="1" x14ac:dyDescent="0.3">
      <c r="A2601" s="9">
        <f ca="1"/>
        <v>39491</v>
      </c>
      <c r="B2601" s="6">
        <v>48.39</v>
      </c>
      <c r="C2601" s="6"/>
      <c r="D2601" s="6"/>
    </row>
    <row r="2602" spans="1:4" ht="13" thickBot="1" x14ac:dyDescent="0.3">
      <c r="A2602" s="9">
        <f ca="1"/>
        <v>39492</v>
      </c>
      <c r="B2602" s="6">
        <v>48.91</v>
      </c>
      <c r="C2602" s="6"/>
      <c r="D2602" s="6"/>
    </row>
    <row r="2603" spans="1:4" ht="13" thickBot="1" x14ac:dyDescent="0.3">
      <c r="A2603" s="9">
        <f ca="1"/>
        <v>39493</v>
      </c>
      <c r="B2603" s="6">
        <v>47.96</v>
      </c>
      <c r="C2603" s="6"/>
      <c r="D2603" s="6"/>
    </row>
    <row r="2604" spans="1:4" ht="13" thickBot="1" x14ac:dyDescent="0.3">
      <c r="A2604" s="9">
        <f ca="1"/>
        <v>39494</v>
      </c>
      <c r="B2604" s="5">
        <f t="shared" ref="B2604:B2606" si="371">B2603</f>
        <v>47.96</v>
      </c>
      <c r="C2604" s="6"/>
      <c r="D2604" s="6"/>
    </row>
    <row r="2605" spans="1:4" ht="13" thickBot="1" x14ac:dyDescent="0.3">
      <c r="A2605" s="9">
        <f ca="1"/>
        <v>39495</v>
      </c>
      <c r="B2605" s="5">
        <f t="shared" si="371"/>
        <v>47.96</v>
      </c>
      <c r="C2605" s="6"/>
      <c r="D2605" s="6"/>
    </row>
    <row r="2606" spans="1:4" ht="13" thickBot="1" x14ac:dyDescent="0.3">
      <c r="A2606" s="9">
        <f ca="1"/>
        <v>39496</v>
      </c>
      <c r="B2606" s="5">
        <f t="shared" si="371"/>
        <v>47.96</v>
      </c>
      <c r="C2606" s="6"/>
      <c r="D2606" s="6"/>
    </row>
    <row r="2607" spans="1:4" ht="13" thickBot="1" x14ac:dyDescent="0.3">
      <c r="A2607" s="9">
        <f ca="1"/>
        <v>39497</v>
      </c>
      <c r="B2607" s="6">
        <v>49.01</v>
      </c>
      <c r="C2607" s="6"/>
      <c r="D2607" s="6"/>
    </row>
    <row r="2608" spans="1:4" ht="13" thickBot="1" x14ac:dyDescent="0.3">
      <c r="A2608" s="9">
        <f ca="1"/>
        <v>39498</v>
      </c>
      <c r="B2608" s="6">
        <v>47.98</v>
      </c>
      <c r="C2608" s="6"/>
      <c r="D2608" s="6"/>
    </row>
    <row r="2609" spans="1:4" ht="13" thickBot="1" x14ac:dyDescent="0.3">
      <c r="A2609" s="9">
        <f ca="1"/>
        <v>39499</v>
      </c>
      <c r="B2609" s="6">
        <v>49.32</v>
      </c>
      <c r="C2609" s="6"/>
      <c r="D2609" s="6"/>
    </row>
    <row r="2610" spans="1:4" ht="13" thickBot="1" x14ac:dyDescent="0.3">
      <c r="A2610" s="9">
        <f ca="1"/>
        <v>39500</v>
      </c>
      <c r="B2610" s="6">
        <v>48.46</v>
      </c>
      <c r="C2610" s="6"/>
      <c r="D2610" s="6"/>
    </row>
    <row r="2611" spans="1:4" ht="13" thickBot="1" x14ac:dyDescent="0.3">
      <c r="A2611" s="9">
        <f ca="1"/>
        <v>39501</v>
      </c>
      <c r="B2611" s="5">
        <f t="shared" ref="B2611:B2612" si="372">B2610</f>
        <v>48.46</v>
      </c>
      <c r="C2611" s="6"/>
      <c r="D2611" s="6"/>
    </row>
    <row r="2612" spans="1:4" ht="13" thickBot="1" x14ac:dyDescent="0.3">
      <c r="A2612" s="9">
        <f ca="1"/>
        <v>39502</v>
      </c>
      <c r="B2612" s="5">
        <f t="shared" si="372"/>
        <v>48.46</v>
      </c>
      <c r="C2612" s="6"/>
      <c r="D2612" s="6"/>
    </row>
    <row r="2613" spans="1:4" ht="13" thickBot="1" x14ac:dyDescent="0.3">
      <c r="A2613" s="9">
        <f ca="1"/>
        <v>39503</v>
      </c>
      <c r="B2613" s="6">
        <v>47.53</v>
      </c>
      <c r="C2613" s="6"/>
      <c r="D2613" s="6"/>
    </row>
    <row r="2614" spans="1:4" ht="13" thickBot="1" x14ac:dyDescent="0.3">
      <c r="A2614" s="9">
        <f ca="1"/>
        <v>39504</v>
      </c>
      <c r="B2614" s="6">
        <v>47.98</v>
      </c>
      <c r="C2614" s="6"/>
      <c r="D2614" s="6"/>
    </row>
    <row r="2615" spans="1:4" ht="13" thickBot="1" x14ac:dyDescent="0.3">
      <c r="A2615" s="9">
        <f ca="1"/>
        <v>39505</v>
      </c>
      <c r="B2615" s="6">
        <v>48.73</v>
      </c>
      <c r="C2615" s="6"/>
      <c r="D2615" s="6"/>
    </row>
    <row r="2616" spans="1:4" ht="13" thickBot="1" x14ac:dyDescent="0.3">
      <c r="A2616" s="9">
        <f ca="1"/>
        <v>39506</v>
      </c>
      <c r="B2616" s="6">
        <v>49.23</v>
      </c>
      <c r="C2616" s="6"/>
      <c r="D2616" s="6"/>
    </row>
    <row r="2617" spans="1:4" ht="13" thickBot="1" x14ac:dyDescent="0.3">
      <c r="A2617" s="9">
        <f ca="1"/>
        <v>39507</v>
      </c>
      <c r="B2617" s="6">
        <v>48.42</v>
      </c>
      <c r="C2617" s="6"/>
      <c r="D2617" s="6"/>
    </row>
    <row r="2618" spans="1:4" ht="13" thickBot="1" x14ac:dyDescent="0.3">
      <c r="A2618" s="9">
        <f ca="1"/>
        <v>39508</v>
      </c>
      <c r="B2618" s="5">
        <f t="shared" ref="B2618:B2619" si="373">B2617</f>
        <v>48.42</v>
      </c>
      <c r="C2618" s="6"/>
      <c r="D2618" s="6"/>
    </row>
    <row r="2619" spans="1:4" ht="13" thickBot="1" x14ac:dyDescent="0.3">
      <c r="A2619" s="9">
        <f ca="1"/>
        <v>39509</v>
      </c>
      <c r="B2619" s="5">
        <f t="shared" si="373"/>
        <v>48.42</v>
      </c>
      <c r="C2619" s="6"/>
      <c r="D2619" s="6"/>
    </row>
    <row r="2620" spans="1:4" ht="13" thickBot="1" x14ac:dyDescent="0.3">
      <c r="A2620" s="9">
        <f ca="1"/>
        <v>39510</v>
      </c>
      <c r="B2620" s="6">
        <v>47.94</v>
      </c>
      <c r="C2620" s="6"/>
      <c r="D2620" s="6"/>
    </row>
    <row r="2621" spans="1:4" ht="13" thickBot="1" x14ac:dyDescent="0.3">
      <c r="A2621" s="9">
        <f ca="1"/>
        <v>39511</v>
      </c>
      <c r="B2621" s="6">
        <v>47.58</v>
      </c>
      <c r="C2621" s="6"/>
      <c r="D2621" s="6"/>
    </row>
    <row r="2622" spans="1:4" ht="13" thickBot="1" x14ac:dyDescent="0.3">
      <c r="A2622" s="9">
        <f ca="1"/>
        <v>39512</v>
      </c>
      <c r="B2622" s="6">
        <v>47.85</v>
      </c>
      <c r="C2622" s="6"/>
      <c r="D2622" s="6"/>
    </row>
    <row r="2623" spans="1:4" ht="13" thickBot="1" x14ac:dyDescent="0.3">
      <c r="A2623" s="9">
        <f ca="1"/>
        <v>39513</v>
      </c>
      <c r="B2623" s="6">
        <v>48.38</v>
      </c>
      <c r="C2623" s="6"/>
      <c r="D2623" s="6"/>
    </row>
    <row r="2624" spans="1:4" ht="13" thickBot="1" x14ac:dyDescent="0.3">
      <c r="A2624" s="9">
        <f ca="1"/>
        <v>39514</v>
      </c>
      <c r="B2624" s="6">
        <v>48.61</v>
      </c>
      <c r="C2624" s="6"/>
      <c r="D2624" s="6"/>
    </row>
    <row r="2625" spans="1:4" ht="13" thickBot="1" x14ac:dyDescent="0.3">
      <c r="A2625" s="9">
        <f ca="1"/>
        <v>39515</v>
      </c>
      <c r="B2625" s="5">
        <f t="shared" ref="B2625:B2626" si="374">B2624</f>
        <v>48.61</v>
      </c>
      <c r="C2625" s="6"/>
      <c r="D2625" s="6"/>
    </row>
    <row r="2626" spans="1:4" ht="13" thickBot="1" x14ac:dyDescent="0.3">
      <c r="A2626" s="9">
        <f ca="1"/>
        <v>39516</v>
      </c>
      <c r="B2626" s="5">
        <f t="shared" si="374"/>
        <v>48.61</v>
      </c>
      <c r="C2626" s="6"/>
      <c r="D2626" s="6"/>
    </row>
    <row r="2627" spans="1:4" ht="13" thickBot="1" x14ac:dyDescent="0.3">
      <c r="A2627" s="9">
        <f ca="1"/>
        <v>39517</v>
      </c>
      <c r="B2627" s="6">
        <v>49.29</v>
      </c>
      <c r="C2627" s="6"/>
      <c r="D2627" s="6"/>
    </row>
    <row r="2628" spans="1:4" ht="13" thickBot="1" x14ac:dyDescent="0.3">
      <c r="A2628" s="9">
        <f ca="1"/>
        <v>39518</v>
      </c>
      <c r="B2628" s="6">
        <v>49.46</v>
      </c>
      <c r="C2628" s="6"/>
      <c r="D2628" s="6"/>
    </row>
    <row r="2629" spans="1:4" ht="13" thickBot="1" x14ac:dyDescent="0.3">
      <c r="A2629" s="9">
        <f ca="1"/>
        <v>39519</v>
      </c>
      <c r="B2629" s="6">
        <v>49.19</v>
      </c>
      <c r="C2629" s="6"/>
      <c r="D2629" s="6"/>
    </row>
    <row r="2630" spans="1:4" ht="13" thickBot="1" x14ac:dyDescent="0.3">
      <c r="A2630" s="9">
        <f ca="1"/>
        <v>39520</v>
      </c>
      <c r="B2630" s="6">
        <v>49.11</v>
      </c>
      <c r="C2630" s="6"/>
      <c r="D2630" s="6"/>
    </row>
    <row r="2631" spans="1:4" ht="13" thickBot="1" x14ac:dyDescent="0.3">
      <c r="A2631" s="9">
        <f ca="1"/>
        <v>39521</v>
      </c>
      <c r="B2631" s="6">
        <v>49.76</v>
      </c>
      <c r="C2631" s="6"/>
      <c r="D2631" s="6"/>
    </row>
    <row r="2632" spans="1:4" ht="13" thickBot="1" x14ac:dyDescent="0.3">
      <c r="A2632" s="9">
        <f ca="1"/>
        <v>39522</v>
      </c>
      <c r="B2632" s="5">
        <f t="shared" ref="B2632:B2633" si="375">B2631</f>
        <v>49.76</v>
      </c>
      <c r="C2632" s="6"/>
      <c r="D2632" s="6"/>
    </row>
    <row r="2633" spans="1:4" ht="13" thickBot="1" x14ac:dyDescent="0.3">
      <c r="A2633" s="9">
        <f ca="1"/>
        <v>39523</v>
      </c>
      <c r="B2633" s="5">
        <f t="shared" si="375"/>
        <v>49.76</v>
      </c>
      <c r="C2633" s="6"/>
      <c r="D2633" s="6"/>
    </row>
    <row r="2634" spans="1:4" ht="13" thickBot="1" x14ac:dyDescent="0.3">
      <c r="A2634" s="9">
        <f ca="1"/>
        <v>39524</v>
      </c>
      <c r="B2634" s="6">
        <v>48.25</v>
      </c>
      <c r="C2634" s="6"/>
      <c r="D2634" s="6"/>
    </row>
    <row r="2635" spans="1:4" ht="13" thickBot="1" x14ac:dyDescent="0.3">
      <c r="A2635" s="9">
        <f ca="1"/>
        <v>39525</v>
      </c>
      <c r="B2635" s="6">
        <v>49.21</v>
      </c>
      <c r="C2635" s="6"/>
      <c r="D2635" s="6"/>
    </row>
    <row r="2636" spans="1:4" ht="13" thickBot="1" x14ac:dyDescent="0.3">
      <c r="A2636" s="9">
        <f ca="1"/>
        <v>39526</v>
      </c>
      <c r="B2636" s="6">
        <v>49.59</v>
      </c>
      <c r="C2636" s="6"/>
      <c r="D2636" s="6"/>
    </row>
    <row r="2637" spans="1:4" ht="13" thickBot="1" x14ac:dyDescent="0.3">
      <c r="A2637" s="9">
        <f ca="1"/>
        <v>39527</v>
      </c>
      <c r="B2637" s="6">
        <v>48.58</v>
      </c>
      <c r="C2637" s="6"/>
      <c r="D2637" s="6"/>
    </row>
    <row r="2638" spans="1:4" ht="13" thickBot="1" x14ac:dyDescent="0.3">
      <c r="A2638" s="9">
        <f ca="1"/>
        <v>39528</v>
      </c>
      <c r="B2638" s="5">
        <f t="shared" ref="B2638:B2640" si="376">B2637</f>
        <v>48.58</v>
      </c>
      <c r="C2638" s="6"/>
      <c r="D2638" s="6"/>
    </row>
    <row r="2639" spans="1:4" ht="13" thickBot="1" x14ac:dyDescent="0.3">
      <c r="A2639" s="9">
        <f ca="1"/>
        <v>39529</v>
      </c>
      <c r="B2639" s="5">
        <f t="shared" si="376"/>
        <v>48.58</v>
      </c>
      <c r="C2639" s="6"/>
      <c r="D2639" s="6"/>
    </row>
    <row r="2640" spans="1:4" ht="13" thickBot="1" x14ac:dyDescent="0.3">
      <c r="A2640" s="9">
        <f ca="1"/>
        <v>39530</v>
      </c>
      <c r="B2640" s="5">
        <f t="shared" si="376"/>
        <v>48.58</v>
      </c>
      <c r="C2640" s="6"/>
      <c r="D2640" s="6"/>
    </row>
    <row r="2641" spans="1:4" ht="13" thickBot="1" x14ac:dyDescent="0.3">
      <c r="A2641" s="9">
        <f ca="1"/>
        <v>39531</v>
      </c>
      <c r="B2641" s="6">
        <v>49.69</v>
      </c>
      <c r="C2641" s="6"/>
      <c r="D2641" s="6"/>
    </row>
    <row r="2642" spans="1:4" ht="13" thickBot="1" x14ac:dyDescent="0.3">
      <c r="A2642" s="9">
        <f ca="1"/>
        <v>39532</v>
      </c>
      <c r="B2642" s="6">
        <v>50.95</v>
      </c>
      <c r="C2642" s="6"/>
      <c r="D2642" s="6"/>
    </row>
    <row r="2643" spans="1:4" ht="13" thickBot="1" x14ac:dyDescent="0.3">
      <c r="A2643" s="9">
        <f ca="1"/>
        <v>39533</v>
      </c>
      <c r="B2643" s="6">
        <v>51.63</v>
      </c>
      <c r="C2643" s="6"/>
      <c r="D2643" s="6"/>
    </row>
    <row r="2644" spans="1:4" ht="13" thickBot="1" x14ac:dyDescent="0.3">
      <c r="A2644" s="9">
        <f ca="1"/>
        <v>39534</v>
      </c>
      <c r="B2644" s="6">
        <v>49.5</v>
      </c>
      <c r="C2644" s="6"/>
      <c r="D2644" s="6"/>
    </row>
    <row r="2645" spans="1:4" ht="13" thickBot="1" x14ac:dyDescent="0.3">
      <c r="A2645" s="9">
        <f ca="1"/>
        <v>39535</v>
      </c>
      <c r="B2645" s="6">
        <v>49.98</v>
      </c>
      <c r="C2645" s="6"/>
      <c r="D2645" s="6"/>
    </row>
    <row r="2646" spans="1:4" ht="13" thickBot="1" x14ac:dyDescent="0.3">
      <c r="A2646" s="9">
        <f ca="1"/>
        <v>39536</v>
      </c>
      <c r="B2646" s="5">
        <f t="shared" ref="B2646:B2647" si="377">B2645</f>
        <v>49.98</v>
      </c>
      <c r="C2646" s="6"/>
      <c r="D2646" s="6"/>
    </row>
    <row r="2647" spans="1:4" ht="13" thickBot="1" x14ac:dyDescent="0.3">
      <c r="A2647" s="9">
        <f ca="1"/>
        <v>39537</v>
      </c>
      <c r="B2647" s="5">
        <f t="shared" si="377"/>
        <v>49.98</v>
      </c>
      <c r="C2647" s="6"/>
      <c r="D2647" s="6"/>
    </row>
    <row r="2648" spans="1:4" ht="13" thickBot="1" x14ac:dyDescent="0.3">
      <c r="A2648" s="9">
        <f ca="1"/>
        <v>39538</v>
      </c>
      <c r="B2648" s="6">
        <v>49.51</v>
      </c>
      <c r="C2648" s="6"/>
      <c r="D2648" s="6"/>
    </row>
    <row r="2649" spans="1:4" ht="13" thickBot="1" x14ac:dyDescent="0.3">
      <c r="A2649" s="9">
        <f ca="1"/>
        <v>39539</v>
      </c>
      <c r="B2649" s="6">
        <v>48.78</v>
      </c>
      <c r="C2649" s="6"/>
      <c r="D2649" s="6"/>
    </row>
    <row r="2650" spans="1:4" ht="13" thickBot="1" x14ac:dyDescent="0.3">
      <c r="A2650" s="9">
        <f ca="1"/>
        <v>39540</v>
      </c>
      <c r="B2650" s="6">
        <v>49.33</v>
      </c>
      <c r="C2650" s="6"/>
      <c r="D2650" s="6"/>
    </row>
    <row r="2651" spans="1:4" ht="13" thickBot="1" x14ac:dyDescent="0.3">
      <c r="A2651" s="9">
        <f ca="1"/>
        <v>39541</v>
      </c>
      <c r="B2651" s="6">
        <v>49.08</v>
      </c>
      <c r="C2651" s="6"/>
      <c r="D2651" s="6"/>
    </row>
    <row r="2652" spans="1:4" ht="13" thickBot="1" x14ac:dyDescent="0.3">
      <c r="A2652" s="9">
        <f ca="1"/>
        <v>39542</v>
      </c>
      <c r="B2652" s="6">
        <v>52.23</v>
      </c>
      <c r="C2652" s="6"/>
      <c r="D2652" s="6"/>
    </row>
    <row r="2653" spans="1:4" ht="13" thickBot="1" x14ac:dyDescent="0.3">
      <c r="A2653" s="9">
        <f ca="1"/>
        <v>39543</v>
      </c>
      <c r="B2653" s="5">
        <f t="shared" ref="B2653:B2654" si="378">B2652</f>
        <v>52.23</v>
      </c>
      <c r="C2653" s="6"/>
      <c r="D2653" s="6"/>
    </row>
    <row r="2654" spans="1:4" ht="13" thickBot="1" x14ac:dyDescent="0.3">
      <c r="A2654" s="9">
        <f ca="1"/>
        <v>39544</v>
      </c>
      <c r="B2654" s="5">
        <f t="shared" si="378"/>
        <v>52.23</v>
      </c>
      <c r="C2654" s="6"/>
      <c r="D2654" s="6"/>
    </row>
    <row r="2655" spans="1:4" ht="13" thickBot="1" x14ac:dyDescent="0.3">
      <c r="A2655" s="9">
        <f ca="1"/>
        <v>39545</v>
      </c>
      <c r="B2655" s="6">
        <v>52.91</v>
      </c>
      <c r="C2655" s="6"/>
      <c r="D2655" s="6"/>
    </row>
    <row r="2656" spans="1:4" ht="13" thickBot="1" x14ac:dyDescent="0.3">
      <c r="A2656" s="9">
        <f ca="1"/>
        <v>39546</v>
      </c>
      <c r="B2656" s="6">
        <v>52.45</v>
      </c>
      <c r="C2656" s="6"/>
      <c r="D2656" s="6"/>
    </row>
    <row r="2657" spans="1:4" ht="13" thickBot="1" x14ac:dyDescent="0.3">
      <c r="A2657" s="9">
        <f ca="1"/>
        <v>39547</v>
      </c>
      <c r="B2657" s="6">
        <v>53.14</v>
      </c>
      <c r="C2657" s="6"/>
      <c r="D2657" s="6"/>
    </row>
    <row r="2658" spans="1:4" ht="13" thickBot="1" x14ac:dyDescent="0.3">
      <c r="A2658" s="9">
        <f ca="1"/>
        <v>39548</v>
      </c>
      <c r="B2658" s="6">
        <v>52.75</v>
      </c>
      <c r="C2658" s="6"/>
      <c r="D2658" s="6"/>
    </row>
    <row r="2659" spans="1:4" ht="13" thickBot="1" x14ac:dyDescent="0.3">
      <c r="A2659" s="9">
        <f ca="1"/>
        <v>39549</v>
      </c>
      <c r="B2659" s="6">
        <v>52.5</v>
      </c>
      <c r="C2659" s="6"/>
      <c r="D2659" s="6"/>
    </row>
    <row r="2660" spans="1:4" ht="13" thickBot="1" x14ac:dyDescent="0.3">
      <c r="A2660" s="9">
        <f ca="1"/>
        <v>39550</v>
      </c>
      <c r="B2660" s="5">
        <f t="shared" ref="B2660:B2661" si="379">B2659</f>
        <v>52.5</v>
      </c>
      <c r="C2660" s="6"/>
      <c r="D2660" s="6"/>
    </row>
    <row r="2661" spans="1:4" ht="13" thickBot="1" x14ac:dyDescent="0.3">
      <c r="A2661" s="9">
        <f ca="1"/>
        <v>39551</v>
      </c>
      <c r="B2661" s="5">
        <f t="shared" si="379"/>
        <v>52.5</v>
      </c>
      <c r="C2661" s="6"/>
      <c r="D2661" s="6"/>
    </row>
    <row r="2662" spans="1:4" ht="13" thickBot="1" x14ac:dyDescent="0.3">
      <c r="A2662" s="9">
        <f ca="1"/>
        <v>39552</v>
      </c>
      <c r="B2662" s="6">
        <v>51.13</v>
      </c>
      <c r="C2662" s="6"/>
      <c r="D2662" s="6"/>
    </row>
    <row r="2663" spans="1:4" ht="13" thickBot="1" x14ac:dyDescent="0.3">
      <c r="A2663" s="9">
        <f ca="1"/>
        <v>39553</v>
      </c>
      <c r="B2663" s="6">
        <v>50.65</v>
      </c>
      <c r="C2663" s="6"/>
      <c r="D2663" s="6"/>
    </row>
    <row r="2664" spans="1:4" ht="13" thickBot="1" x14ac:dyDescent="0.3">
      <c r="A2664" s="9">
        <f ca="1"/>
        <v>39554</v>
      </c>
      <c r="B2664" s="6">
        <v>51.48</v>
      </c>
      <c r="C2664" s="6"/>
      <c r="D2664" s="6"/>
    </row>
    <row r="2665" spans="1:4" ht="13" thickBot="1" x14ac:dyDescent="0.3">
      <c r="A2665" s="9">
        <f ca="1"/>
        <v>39555</v>
      </c>
      <c r="B2665" s="6">
        <v>51.25</v>
      </c>
      <c r="C2665" s="6"/>
      <c r="D2665" s="6"/>
    </row>
    <row r="2666" spans="1:4" ht="13" thickBot="1" x14ac:dyDescent="0.3">
      <c r="A2666" s="9">
        <f ca="1"/>
        <v>39556</v>
      </c>
      <c r="B2666" s="6">
        <v>51.76</v>
      </c>
      <c r="C2666" s="6"/>
      <c r="D2666" s="6"/>
    </row>
    <row r="2667" spans="1:4" ht="13" thickBot="1" x14ac:dyDescent="0.3">
      <c r="A2667" s="9">
        <f ca="1"/>
        <v>39557</v>
      </c>
      <c r="B2667" s="5">
        <f t="shared" ref="B2667:B2668" si="380">B2666</f>
        <v>51.76</v>
      </c>
      <c r="C2667" s="6"/>
      <c r="D2667" s="6"/>
    </row>
    <row r="2668" spans="1:4" ht="13" thickBot="1" x14ac:dyDescent="0.3">
      <c r="A2668" s="9">
        <f ca="1"/>
        <v>39558</v>
      </c>
      <c r="B2668" s="5">
        <f t="shared" si="380"/>
        <v>51.76</v>
      </c>
      <c r="C2668" s="6"/>
      <c r="D2668" s="6"/>
    </row>
    <row r="2669" spans="1:4" ht="13" thickBot="1" x14ac:dyDescent="0.3">
      <c r="A2669" s="9">
        <f ca="1"/>
        <v>39559</v>
      </c>
      <c r="B2669" s="6">
        <v>51.72</v>
      </c>
      <c r="C2669" s="6"/>
      <c r="D2669" s="6"/>
    </row>
    <row r="2670" spans="1:4" ht="13" thickBot="1" x14ac:dyDescent="0.3">
      <c r="A2670" s="9">
        <f ca="1"/>
        <v>39560</v>
      </c>
      <c r="B2670" s="6">
        <v>51.29</v>
      </c>
      <c r="C2670" s="6"/>
      <c r="D2670" s="6"/>
    </row>
    <row r="2671" spans="1:4" ht="13" thickBot="1" x14ac:dyDescent="0.3">
      <c r="A2671" s="9">
        <f ca="1"/>
        <v>39561</v>
      </c>
      <c r="B2671" s="6">
        <v>50.97</v>
      </c>
      <c r="C2671" s="6"/>
      <c r="D2671" s="6"/>
    </row>
    <row r="2672" spans="1:4" ht="13" thickBot="1" x14ac:dyDescent="0.3">
      <c r="A2672" s="9">
        <f ca="1"/>
        <v>39562</v>
      </c>
      <c r="B2672" s="6">
        <v>51.2</v>
      </c>
      <c r="C2672" s="6"/>
      <c r="D2672" s="6"/>
    </row>
    <row r="2673" spans="1:4" ht="13" thickBot="1" x14ac:dyDescent="0.3">
      <c r="A2673" s="9">
        <f ca="1"/>
        <v>39563</v>
      </c>
      <c r="B2673" s="6">
        <v>51.53</v>
      </c>
      <c r="C2673" s="6"/>
      <c r="D2673" s="6"/>
    </row>
    <row r="2674" spans="1:4" ht="13" thickBot="1" x14ac:dyDescent="0.3">
      <c r="A2674" s="9">
        <f ca="1"/>
        <v>39564</v>
      </c>
      <c r="B2674" s="5">
        <f t="shared" ref="B2674:B2675" si="381">B2673</f>
        <v>51.53</v>
      </c>
      <c r="C2674" s="6"/>
      <c r="D2674" s="6"/>
    </row>
    <row r="2675" spans="1:4" ht="13" thickBot="1" x14ac:dyDescent="0.3">
      <c r="A2675" s="9">
        <f ca="1"/>
        <v>39565</v>
      </c>
      <c r="B2675" s="5">
        <f t="shared" si="381"/>
        <v>51.53</v>
      </c>
      <c r="C2675" s="6"/>
      <c r="D2675" s="6"/>
    </row>
    <row r="2676" spans="1:4" ht="13" thickBot="1" x14ac:dyDescent="0.3">
      <c r="A2676" s="9">
        <f ca="1"/>
        <v>39566</v>
      </c>
      <c r="B2676" s="6">
        <v>51.14</v>
      </c>
      <c r="C2676" s="6"/>
      <c r="D2676" s="6"/>
    </row>
    <row r="2677" spans="1:4" ht="13" thickBot="1" x14ac:dyDescent="0.3">
      <c r="A2677" s="9">
        <f ca="1"/>
        <v>39567</v>
      </c>
      <c r="B2677" s="6">
        <v>51.19</v>
      </c>
      <c r="C2677" s="6"/>
      <c r="D2677" s="6"/>
    </row>
    <row r="2678" spans="1:4" ht="13" thickBot="1" x14ac:dyDescent="0.3">
      <c r="A2678" s="9">
        <f ca="1"/>
        <v>39568</v>
      </c>
      <c r="B2678" s="6">
        <v>49.92</v>
      </c>
      <c r="C2678" s="6"/>
      <c r="D2678" s="6"/>
    </row>
    <row r="2679" spans="1:4" ht="13" thickBot="1" x14ac:dyDescent="0.3">
      <c r="A2679" s="9">
        <f ca="1"/>
        <v>39569</v>
      </c>
      <c r="B2679" s="6">
        <v>50.46</v>
      </c>
      <c r="C2679" s="6"/>
      <c r="D2679" s="6"/>
    </row>
    <row r="2680" spans="1:4" ht="13" thickBot="1" x14ac:dyDescent="0.3">
      <c r="A2680" s="9">
        <f ca="1"/>
        <v>39570</v>
      </c>
      <c r="B2680" s="6">
        <v>50.54</v>
      </c>
      <c r="C2680" s="6"/>
      <c r="D2680" s="6"/>
    </row>
    <row r="2681" spans="1:4" ht="13" thickBot="1" x14ac:dyDescent="0.3">
      <c r="A2681" s="9">
        <f ca="1"/>
        <v>39571</v>
      </c>
      <c r="B2681" s="5">
        <f t="shared" ref="B2681:B2682" si="382">B2680</f>
        <v>50.54</v>
      </c>
      <c r="C2681" s="6"/>
      <c r="D2681" s="6"/>
    </row>
    <row r="2682" spans="1:4" ht="13" thickBot="1" x14ac:dyDescent="0.3">
      <c r="A2682" s="9">
        <f ca="1"/>
        <v>39572</v>
      </c>
      <c r="B2682" s="5">
        <f t="shared" si="382"/>
        <v>50.54</v>
      </c>
      <c r="C2682" s="6"/>
      <c r="D2682" s="6"/>
    </row>
    <row r="2683" spans="1:4" ht="13" thickBot="1" x14ac:dyDescent="0.3">
      <c r="A2683" s="9">
        <f ca="1"/>
        <v>39573</v>
      </c>
      <c r="B2683" s="6">
        <v>50.25</v>
      </c>
      <c r="C2683" s="6"/>
      <c r="D2683" s="6"/>
    </row>
    <row r="2684" spans="1:4" ht="13" thickBot="1" x14ac:dyDescent="0.3">
      <c r="A2684" s="9">
        <f ca="1"/>
        <v>39574</v>
      </c>
      <c r="B2684" s="6">
        <v>49.72</v>
      </c>
      <c r="C2684" s="6"/>
      <c r="D2684" s="6"/>
    </row>
    <row r="2685" spans="1:4" ht="13" thickBot="1" x14ac:dyDescent="0.3">
      <c r="A2685" s="9">
        <f ca="1"/>
        <v>39575</v>
      </c>
      <c r="B2685" s="6">
        <v>49.74</v>
      </c>
      <c r="C2685" s="6"/>
      <c r="D2685" s="6"/>
    </row>
    <row r="2686" spans="1:4" ht="13" thickBot="1" x14ac:dyDescent="0.3">
      <c r="A2686" s="9">
        <f ca="1"/>
        <v>39576</v>
      </c>
      <c r="B2686" s="6">
        <v>49.07</v>
      </c>
      <c r="C2686" s="6"/>
      <c r="D2686" s="6"/>
    </row>
    <row r="2687" spans="1:4" ht="13" thickBot="1" x14ac:dyDescent="0.3">
      <c r="A2687" s="9">
        <f ca="1"/>
        <v>39577</v>
      </c>
      <c r="B2687" s="6">
        <v>48.73</v>
      </c>
      <c r="C2687" s="6"/>
      <c r="D2687" s="6"/>
    </row>
    <row r="2688" spans="1:4" ht="13" thickBot="1" x14ac:dyDescent="0.3">
      <c r="A2688" s="9">
        <f ca="1"/>
        <v>39578</v>
      </c>
      <c r="B2688" s="5">
        <f t="shared" ref="B2688:B2689" si="383">B2687</f>
        <v>48.73</v>
      </c>
      <c r="C2688" s="6"/>
      <c r="D2688" s="6"/>
    </row>
    <row r="2689" spans="1:4" ht="13" thickBot="1" x14ac:dyDescent="0.3">
      <c r="A2689" s="9">
        <f ca="1"/>
        <v>39579</v>
      </c>
      <c r="B2689" s="5">
        <f t="shared" si="383"/>
        <v>48.73</v>
      </c>
      <c r="C2689" s="6"/>
      <c r="D2689" s="6"/>
    </row>
    <row r="2690" spans="1:4" ht="13" thickBot="1" x14ac:dyDescent="0.3">
      <c r="A2690" s="9">
        <f ca="1"/>
        <v>39580</v>
      </c>
      <c r="B2690" s="6">
        <v>49.28</v>
      </c>
      <c r="C2690" s="6"/>
      <c r="D2690" s="6"/>
    </row>
    <row r="2691" spans="1:4" ht="13" thickBot="1" x14ac:dyDescent="0.3">
      <c r="A2691" s="9">
        <f ca="1"/>
        <v>39581</v>
      </c>
      <c r="B2691" s="6">
        <v>50.25</v>
      </c>
      <c r="C2691" s="6"/>
      <c r="D2691" s="6"/>
    </row>
    <row r="2692" spans="1:4" ht="13" thickBot="1" x14ac:dyDescent="0.3">
      <c r="A2692" s="9">
        <f ca="1"/>
        <v>39582</v>
      </c>
      <c r="B2692" s="6">
        <v>50.13</v>
      </c>
      <c r="C2692" s="6"/>
      <c r="D2692" s="6"/>
    </row>
    <row r="2693" spans="1:4" ht="13" thickBot="1" x14ac:dyDescent="0.3">
      <c r="A2693" s="9">
        <f ca="1"/>
        <v>39583</v>
      </c>
      <c r="B2693" s="6">
        <v>50.19</v>
      </c>
      <c r="C2693" s="6"/>
      <c r="D2693" s="6"/>
    </row>
    <row r="2694" spans="1:4" ht="13" thickBot="1" x14ac:dyDescent="0.3">
      <c r="A2694" s="9">
        <f ca="1"/>
        <v>39584</v>
      </c>
      <c r="B2694" s="6">
        <v>51.39</v>
      </c>
      <c r="C2694" s="6"/>
      <c r="D2694" s="6"/>
    </row>
    <row r="2695" spans="1:4" ht="13" thickBot="1" x14ac:dyDescent="0.3">
      <c r="A2695" s="9">
        <f ca="1"/>
        <v>39585</v>
      </c>
      <c r="B2695" s="5">
        <f t="shared" ref="B2695:B2696" si="384">B2694</f>
        <v>51.39</v>
      </c>
      <c r="C2695" s="6"/>
      <c r="D2695" s="6"/>
    </row>
    <row r="2696" spans="1:4" ht="13" thickBot="1" x14ac:dyDescent="0.3">
      <c r="A2696" s="9">
        <f ca="1"/>
        <v>39586</v>
      </c>
      <c r="B2696" s="5">
        <f t="shared" si="384"/>
        <v>51.39</v>
      </c>
      <c r="C2696" s="6"/>
      <c r="D2696" s="6"/>
    </row>
    <row r="2697" spans="1:4" ht="13" thickBot="1" x14ac:dyDescent="0.3">
      <c r="A2697" s="9">
        <f ca="1"/>
        <v>39587</v>
      </c>
      <c r="B2697" s="6">
        <v>51.71</v>
      </c>
      <c r="C2697" s="6"/>
      <c r="D2697" s="6"/>
    </row>
    <row r="2698" spans="1:4" ht="13" thickBot="1" x14ac:dyDescent="0.3">
      <c r="A2698" s="9">
        <f ca="1"/>
        <v>39588</v>
      </c>
      <c r="B2698" s="6">
        <v>52.61</v>
      </c>
      <c r="C2698" s="6"/>
      <c r="D2698" s="6"/>
    </row>
    <row r="2699" spans="1:4" ht="13" thickBot="1" x14ac:dyDescent="0.3">
      <c r="A2699" s="9">
        <f ca="1"/>
        <v>39589</v>
      </c>
      <c r="B2699" s="6">
        <v>52.72</v>
      </c>
      <c r="C2699" s="6"/>
      <c r="D2699" s="6"/>
    </row>
    <row r="2700" spans="1:4" ht="13" thickBot="1" x14ac:dyDescent="0.3">
      <c r="A2700" s="9">
        <f ca="1"/>
        <v>39590</v>
      </c>
      <c r="B2700" s="6">
        <v>52.51</v>
      </c>
      <c r="C2700" s="6"/>
      <c r="D2700" s="6"/>
    </row>
    <row r="2701" spans="1:4" ht="13" thickBot="1" x14ac:dyDescent="0.3">
      <c r="A2701" s="9">
        <f ca="1"/>
        <v>39591</v>
      </c>
      <c r="B2701" s="6">
        <v>53.21</v>
      </c>
      <c r="C2701" s="6"/>
      <c r="D2701" s="6"/>
    </row>
    <row r="2702" spans="1:4" ht="13" thickBot="1" x14ac:dyDescent="0.3">
      <c r="A2702" s="9">
        <f ca="1"/>
        <v>39592</v>
      </c>
      <c r="B2702" s="5">
        <f t="shared" ref="B2702:B2704" si="385">B2701</f>
        <v>53.21</v>
      </c>
      <c r="C2702" s="6"/>
      <c r="D2702" s="6"/>
    </row>
    <row r="2703" spans="1:4" ht="13" thickBot="1" x14ac:dyDescent="0.3">
      <c r="A2703" s="9">
        <f ca="1"/>
        <v>39593</v>
      </c>
      <c r="B2703" s="5">
        <f t="shared" si="385"/>
        <v>53.21</v>
      </c>
      <c r="C2703" s="6"/>
      <c r="D2703" s="6"/>
    </row>
    <row r="2704" spans="1:4" ht="13" thickBot="1" x14ac:dyDescent="0.3">
      <c r="A2704" s="9">
        <f ca="1"/>
        <v>39594</v>
      </c>
      <c r="B2704" s="5">
        <f t="shared" si="385"/>
        <v>53.21</v>
      </c>
      <c r="C2704" s="6"/>
      <c r="D2704" s="6"/>
    </row>
    <row r="2705" spans="1:4" ht="13" thickBot="1" x14ac:dyDescent="0.3">
      <c r="A2705" s="9">
        <f ca="1"/>
        <v>39595</v>
      </c>
      <c r="B2705" s="6">
        <v>52.49</v>
      </c>
      <c r="C2705" s="6"/>
      <c r="D2705" s="6"/>
    </row>
    <row r="2706" spans="1:4" ht="13" thickBot="1" x14ac:dyDescent="0.3">
      <c r="A2706" s="9">
        <f ca="1"/>
        <v>39596</v>
      </c>
      <c r="B2706" s="6">
        <v>54.56</v>
      </c>
      <c r="C2706" s="6"/>
      <c r="D2706" s="6"/>
    </row>
    <row r="2707" spans="1:4" ht="13" thickBot="1" x14ac:dyDescent="0.3">
      <c r="A2707" s="9">
        <f ca="1"/>
        <v>39597</v>
      </c>
      <c r="B2707" s="6">
        <v>54.49</v>
      </c>
      <c r="C2707" s="6"/>
      <c r="D2707" s="6"/>
    </row>
    <row r="2708" spans="1:4" ht="13" thickBot="1" x14ac:dyDescent="0.3">
      <c r="A2708" s="9">
        <f ca="1"/>
        <v>39598</v>
      </c>
      <c r="B2708" s="6">
        <v>54.53</v>
      </c>
      <c r="C2708" s="6"/>
      <c r="D2708" s="6"/>
    </row>
    <row r="2709" spans="1:4" ht="13" thickBot="1" x14ac:dyDescent="0.3">
      <c r="A2709" s="9">
        <f ca="1"/>
        <v>39599</v>
      </c>
      <c r="B2709" s="5">
        <f t="shared" ref="B2709:B2710" si="386">B2708</f>
        <v>54.53</v>
      </c>
      <c r="C2709" s="6"/>
      <c r="D2709" s="6"/>
    </row>
    <row r="2710" spans="1:4" ht="13" thickBot="1" x14ac:dyDescent="0.3">
      <c r="A2710" s="9">
        <f ca="1"/>
        <v>39600</v>
      </c>
      <c r="B2710" s="5">
        <f t="shared" si="386"/>
        <v>54.53</v>
      </c>
      <c r="C2710" s="6"/>
      <c r="D2710" s="6"/>
    </row>
    <row r="2711" spans="1:4" ht="13" thickBot="1" x14ac:dyDescent="0.3">
      <c r="A2711" s="9">
        <f ca="1"/>
        <v>39601</v>
      </c>
      <c r="B2711" s="6">
        <v>54.07</v>
      </c>
      <c r="C2711" s="6"/>
      <c r="D2711" s="6"/>
    </row>
    <row r="2712" spans="1:4" ht="13" thickBot="1" x14ac:dyDescent="0.3">
      <c r="A2712" s="9">
        <f ca="1"/>
        <v>39602</v>
      </c>
      <c r="B2712" s="6">
        <v>54.33</v>
      </c>
      <c r="C2712" s="6"/>
      <c r="D2712" s="6"/>
    </row>
    <row r="2713" spans="1:4" ht="13" thickBot="1" x14ac:dyDescent="0.3">
      <c r="A2713" s="9">
        <f ca="1"/>
        <v>39603</v>
      </c>
      <c r="B2713" s="6">
        <v>54.42</v>
      </c>
      <c r="C2713" s="6"/>
      <c r="D2713" s="6"/>
    </row>
    <row r="2714" spans="1:4" ht="13" thickBot="1" x14ac:dyDescent="0.3">
      <c r="A2714" s="9">
        <f ca="1"/>
        <v>39604</v>
      </c>
      <c r="B2714" s="6">
        <v>54.08</v>
      </c>
      <c r="C2714" s="6"/>
      <c r="D2714" s="6"/>
    </row>
    <row r="2715" spans="1:4" ht="13" thickBot="1" x14ac:dyDescent="0.3">
      <c r="A2715" s="9">
        <f ca="1"/>
        <v>39605</v>
      </c>
      <c r="B2715" s="6">
        <v>53.63</v>
      </c>
      <c r="C2715" s="6"/>
      <c r="D2715" s="6"/>
    </row>
    <row r="2716" spans="1:4" ht="13" thickBot="1" x14ac:dyDescent="0.3">
      <c r="A2716" s="9">
        <f ca="1"/>
        <v>39606</v>
      </c>
      <c r="B2716" s="5">
        <f t="shared" ref="B2716:B2717" si="387">B2715</f>
        <v>53.63</v>
      </c>
      <c r="C2716" s="6"/>
      <c r="D2716" s="6"/>
    </row>
    <row r="2717" spans="1:4" ht="13" thickBot="1" x14ac:dyDescent="0.3">
      <c r="A2717" s="9">
        <f ca="1"/>
        <v>39607</v>
      </c>
      <c r="B2717" s="5">
        <f t="shared" si="387"/>
        <v>53.63</v>
      </c>
      <c r="C2717" s="6"/>
      <c r="D2717" s="6"/>
    </row>
    <row r="2718" spans="1:4" ht="13" thickBot="1" x14ac:dyDescent="0.3">
      <c r="A2718" s="9">
        <f ca="1"/>
        <v>39608</v>
      </c>
      <c r="B2718" s="6">
        <v>53.78</v>
      </c>
      <c r="C2718" s="6"/>
      <c r="D2718" s="6"/>
    </row>
    <row r="2719" spans="1:4" ht="13" thickBot="1" x14ac:dyDescent="0.3">
      <c r="A2719" s="9">
        <f ca="1"/>
        <v>39609</v>
      </c>
      <c r="B2719" s="6">
        <v>53</v>
      </c>
      <c r="C2719" s="6"/>
      <c r="D2719" s="6"/>
    </row>
    <row r="2720" spans="1:4" ht="13" thickBot="1" x14ac:dyDescent="0.3">
      <c r="A2720" s="9">
        <f ca="1"/>
        <v>39610</v>
      </c>
      <c r="B2720" s="6">
        <v>53.43</v>
      </c>
      <c r="C2720" s="6"/>
      <c r="D2720" s="6"/>
    </row>
    <row r="2721" spans="1:4" ht="13" thickBot="1" x14ac:dyDescent="0.3">
      <c r="A2721" s="9">
        <f ca="1"/>
        <v>39611</v>
      </c>
      <c r="B2721" s="6">
        <v>52.63</v>
      </c>
      <c r="C2721" s="6"/>
      <c r="D2721" s="6"/>
    </row>
    <row r="2722" spans="1:4" ht="13" thickBot="1" x14ac:dyDescent="0.3">
      <c r="A2722" s="9">
        <f ca="1"/>
        <v>39612</v>
      </c>
      <c r="B2722" s="6">
        <v>52.51</v>
      </c>
      <c r="C2722" s="6"/>
      <c r="D2722" s="6"/>
    </row>
    <row r="2723" spans="1:4" ht="13" thickBot="1" x14ac:dyDescent="0.3">
      <c r="A2723" s="9">
        <f ca="1"/>
        <v>39613</v>
      </c>
      <c r="B2723" s="5">
        <f t="shared" ref="B2723:B2724" si="388">B2722</f>
        <v>52.51</v>
      </c>
      <c r="C2723" s="6"/>
      <c r="D2723" s="6"/>
    </row>
    <row r="2724" spans="1:4" ht="13" thickBot="1" x14ac:dyDescent="0.3">
      <c r="A2724" s="9">
        <f ca="1"/>
        <v>39614</v>
      </c>
      <c r="B2724" s="5">
        <f t="shared" si="388"/>
        <v>52.51</v>
      </c>
      <c r="C2724" s="6"/>
      <c r="D2724" s="6"/>
    </row>
    <row r="2725" spans="1:4" ht="13" thickBot="1" x14ac:dyDescent="0.3">
      <c r="A2725" s="9">
        <f ca="1"/>
        <v>39615</v>
      </c>
      <c r="B2725" s="6">
        <v>52.97</v>
      </c>
      <c r="C2725" s="6"/>
      <c r="D2725" s="6"/>
    </row>
    <row r="2726" spans="1:4" ht="13" thickBot="1" x14ac:dyDescent="0.3">
      <c r="A2726" s="9">
        <f ca="1"/>
        <v>39616</v>
      </c>
      <c r="B2726" s="6">
        <v>53.45</v>
      </c>
      <c r="C2726" s="6"/>
      <c r="D2726" s="6"/>
    </row>
    <row r="2727" spans="1:4" ht="13" thickBot="1" x14ac:dyDescent="0.3">
      <c r="A2727" s="9">
        <f ca="1"/>
        <v>39617</v>
      </c>
      <c r="B2727" s="6">
        <v>52.91</v>
      </c>
      <c r="C2727" s="6"/>
      <c r="D2727" s="6"/>
    </row>
    <row r="2728" spans="1:4" ht="13" thickBot="1" x14ac:dyDescent="0.3">
      <c r="A2728" s="9">
        <f ca="1"/>
        <v>39618</v>
      </c>
      <c r="B2728" s="6">
        <v>52.96</v>
      </c>
      <c r="C2728" s="6"/>
      <c r="D2728" s="6"/>
    </row>
    <row r="2729" spans="1:4" ht="13" thickBot="1" x14ac:dyDescent="0.3">
      <c r="A2729" s="9">
        <f ca="1"/>
        <v>39619</v>
      </c>
      <c r="B2729" s="6">
        <v>52.23</v>
      </c>
      <c r="C2729" s="6"/>
      <c r="D2729" s="6"/>
    </row>
    <row r="2730" spans="1:4" ht="13" thickBot="1" x14ac:dyDescent="0.3">
      <c r="A2730" s="9">
        <f ca="1"/>
        <v>39620</v>
      </c>
      <c r="B2730" s="5">
        <f t="shared" ref="B2730:B2731" si="389">B2729</f>
        <v>52.23</v>
      </c>
      <c r="C2730" s="6"/>
      <c r="D2730" s="6"/>
    </row>
    <row r="2731" spans="1:4" ht="13" thickBot="1" x14ac:dyDescent="0.3">
      <c r="A2731" s="9">
        <f ca="1"/>
        <v>39621</v>
      </c>
      <c r="B2731" s="5">
        <f t="shared" si="389"/>
        <v>52.23</v>
      </c>
      <c r="C2731" s="6"/>
      <c r="D2731" s="6"/>
    </row>
    <row r="2732" spans="1:4" ht="13" thickBot="1" x14ac:dyDescent="0.3">
      <c r="A2732" s="9">
        <f ca="1"/>
        <v>39622</v>
      </c>
      <c r="B2732" s="6">
        <v>51.62</v>
      </c>
      <c r="C2732" s="6"/>
      <c r="D2732" s="6"/>
    </row>
    <row r="2733" spans="1:4" ht="13" thickBot="1" x14ac:dyDescent="0.3">
      <c r="A2733" s="9">
        <f ca="1"/>
        <v>39623</v>
      </c>
      <c r="B2733" s="6">
        <v>51.7</v>
      </c>
      <c r="C2733" s="6"/>
      <c r="D2733" s="6"/>
    </row>
    <row r="2734" spans="1:4" ht="13" thickBot="1" x14ac:dyDescent="0.3">
      <c r="A2734" s="9">
        <f ca="1"/>
        <v>39624</v>
      </c>
      <c r="B2734" s="6">
        <v>52.36</v>
      </c>
      <c r="C2734" s="6"/>
      <c r="D2734" s="6"/>
    </row>
    <row r="2735" spans="1:4" ht="13" thickBot="1" x14ac:dyDescent="0.3">
      <c r="A2735" s="9">
        <f ca="1"/>
        <v>39625</v>
      </c>
      <c r="B2735" s="6">
        <v>52.71</v>
      </c>
      <c r="C2735" s="6"/>
      <c r="D2735" s="6"/>
    </row>
    <row r="2736" spans="1:4" ht="13" thickBot="1" x14ac:dyDescent="0.3">
      <c r="A2736" s="9">
        <f ca="1"/>
        <v>39626</v>
      </c>
      <c r="B2736" s="6">
        <v>52.81</v>
      </c>
      <c r="C2736" s="6"/>
      <c r="D2736" s="6"/>
    </row>
    <row r="2737" spans="1:4" ht="13" thickBot="1" x14ac:dyDescent="0.3">
      <c r="A2737" s="9">
        <f ca="1"/>
        <v>39627</v>
      </c>
      <c r="B2737" s="5">
        <f t="shared" ref="B2737:B2738" si="390">B2736</f>
        <v>52.81</v>
      </c>
      <c r="C2737" s="6"/>
      <c r="D2737" s="6"/>
    </row>
    <row r="2738" spans="1:4" ht="13" thickBot="1" x14ac:dyDescent="0.3">
      <c r="A2738" s="9">
        <f ca="1"/>
        <v>39628</v>
      </c>
      <c r="B2738" s="5">
        <f t="shared" si="390"/>
        <v>52.81</v>
      </c>
      <c r="C2738" s="6"/>
      <c r="D2738" s="6"/>
    </row>
    <row r="2739" spans="1:4" ht="13" thickBot="1" x14ac:dyDescent="0.3">
      <c r="A2739" s="9">
        <f ca="1"/>
        <v>39629</v>
      </c>
      <c r="B2739" s="6">
        <v>52.68</v>
      </c>
      <c r="C2739" s="6"/>
      <c r="D2739" s="6"/>
    </row>
    <row r="2740" spans="1:4" ht="13" thickBot="1" x14ac:dyDescent="0.3">
      <c r="A2740" s="9">
        <f ca="1"/>
        <v>39630</v>
      </c>
      <c r="B2740" s="6">
        <v>51.64</v>
      </c>
      <c r="C2740" s="6"/>
      <c r="D2740" s="6"/>
    </row>
    <row r="2741" spans="1:4" ht="13" thickBot="1" x14ac:dyDescent="0.3">
      <c r="A2741" s="9">
        <f ca="1"/>
        <v>39631</v>
      </c>
      <c r="B2741" s="6">
        <v>51.84</v>
      </c>
      <c r="C2741" s="6"/>
      <c r="D2741" s="6"/>
    </row>
    <row r="2742" spans="1:4" ht="13" thickBot="1" x14ac:dyDescent="0.3">
      <c r="A2742" s="9">
        <f ca="1"/>
        <v>39632</v>
      </c>
      <c r="B2742" s="6">
        <v>51.99</v>
      </c>
      <c r="C2742" s="6"/>
      <c r="D2742" s="6"/>
    </row>
    <row r="2743" spans="1:4" ht="13" thickBot="1" x14ac:dyDescent="0.3">
      <c r="A2743" s="9">
        <f ca="1"/>
        <v>39633</v>
      </c>
      <c r="B2743" s="5">
        <f t="shared" ref="B2743:B2745" si="391">B2742</f>
        <v>51.99</v>
      </c>
      <c r="C2743" s="6"/>
      <c r="D2743" s="6"/>
    </row>
    <row r="2744" spans="1:4" ht="13" thickBot="1" x14ac:dyDescent="0.3">
      <c r="A2744" s="9">
        <f ca="1"/>
        <v>39634</v>
      </c>
      <c r="B2744" s="5">
        <f t="shared" si="391"/>
        <v>51.99</v>
      </c>
      <c r="C2744" s="6"/>
      <c r="D2744" s="6"/>
    </row>
    <row r="2745" spans="1:4" ht="13" thickBot="1" x14ac:dyDescent="0.3">
      <c r="A2745" s="9">
        <f ca="1"/>
        <v>39635</v>
      </c>
      <c r="B2745" s="5">
        <f t="shared" si="391"/>
        <v>51.99</v>
      </c>
      <c r="C2745" s="6"/>
      <c r="D2745" s="6"/>
    </row>
    <row r="2746" spans="1:4" ht="13" thickBot="1" x14ac:dyDescent="0.3">
      <c r="A2746" s="9">
        <f ca="1"/>
        <v>39636</v>
      </c>
      <c r="B2746" s="6">
        <v>52.24</v>
      </c>
      <c r="C2746" s="6"/>
      <c r="D2746" s="6"/>
    </row>
    <row r="2747" spans="1:4" ht="13" thickBot="1" x14ac:dyDescent="0.3">
      <c r="A2747" s="9">
        <f ca="1"/>
        <v>39637</v>
      </c>
      <c r="B2747" s="6">
        <v>52.13</v>
      </c>
      <c r="C2747" s="6"/>
      <c r="D2747" s="6"/>
    </row>
    <row r="2748" spans="1:4" ht="13" thickBot="1" x14ac:dyDescent="0.3">
      <c r="A2748" s="9">
        <f ca="1"/>
        <v>39638</v>
      </c>
      <c r="B2748" s="6">
        <v>52.47</v>
      </c>
      <c r="C2748" s="6"/>
      <c r="D2748" s="6"/>
    </row>
    <row r="2749" spans="1:4" ht="13" thickBot="1" x14ac:dyDescent="0.3">
      <c r="A2749" s="9">
        <f ca="1"/>
        <v>39639</v>
      </c>
      <c r="B2749" s="6">
        <v>51.98</v>
      </c>
      <c r="C2749" s="6"/>
      <c r="D2749" s="6"/>
    </row>
    <row r="2750" spans="1:4" ht="13" thickBot="1" x14ac:dyDescent="0.3">
      <c r="A2750" s="9">
        <f ca="1"/>
        <v>39640</v>
      </c>
      <c r="B2750" s="6">
        <v>51.67</v>
      </c>
      <c r="C2750" s="6"/>
      <c r="D2750" s="6"/>
    </row>
    <row r="2751" spans="1:4" ht="13" thickBot="1" x14ac:dyDescent="0.3">
      <c r="A2751" s="9">
        <f ca="1"/>
        <v>39641</v>
      </c>
      <c r="B2751" s="5">
        <f t="shared" ref="B2751:B2752" si="392">B2750</f>
        <v>51.67</v>
      </c>
      <c r="C2751" s="6"/>
      <c r="D2751" s="6"/>
    </row>
    <row r="2752" spans="1:4" ht="13" thickBot="1" x14ac:dyDescent="0.3">
      <c r="A2752" s="9">
        <f ca="1"/>
        <v>39642</v>
      </c>
      <c r="B2752" s="5">
        <f t="shared" si="392"/>
        <v>51.67</v>
      </c>
      <c r="C2752" s="6"/>
      <c r="D2752" s="6"/>
    </row>
    <row r="2753" spans="1:4" ht="13" thickBot="1" x14ac:dyDescent="0.3">
      <c r="A2753" s="9">
        <f ca="1"/>
        <v>39643</v>
      </c>
      <c r="B2753" s="6">
        <v>51.98</v>
      </c>
      <c r="C2753" s="6"/>
      <c r="D2753" s="6"/>
    </row>
    <row r="2754" spans="1:4" ht="13" thickBot="1" x14ac:dyDescent="0.3">
      <c r="A2754" s="9">
        <f ca="1"/>
        <v>39644</v>
      </c>
      <c r="B2754" s="6">
        <v>51.95</v>
      </c>
      <c r="C2754" s="6"/>
      <c r="D2754" s="6"/>
    </row>
    <row r="2755" spans="1:4" ht="13" thickBot="1" x14ac:dyDescent="0.3">
      <c r="A2755" s="9">
        <f ca="1"/>
        <v>39645</v>
      </c>
      <c r="B2755" s="6">
        <v>53.49</v>
      </c>
      <c r="C2755" s="6"/>
      <c r="D2755" s="6"/>
    </row>
    <row r="2756" spans="1:4" ht="13" thickBot="1" x14ac:dyDescent="0.3">
      <c r="A2756" s="9">
        <f ca="1"/>
        <v>39646</v>
      </c>
      <c r="B2756" s="6">
        <v>54.62</v>
      </c>
      <c r="C2756" s="6"/>
      <c r="D2756" s="6"/>
    </row>
    <row r="2757" spans="1:4" ht="13" thickBot="1" x14ac:dyDescent="0.3">
      <c r="A2757" s="9">
        <f ca="1"/>
        <v>39647</v>
      </c>
      <c r="B2757" s="6">
        <v>55.45</v>
      </c>
      <c r="C2757" s="6"/>
      <c r="D2757" s="6"/>
    </row>
    <row r="2758" spans="1:4" ht="13" thickBot="1" x14ac:dyDescent="0.3">
      <c r="A2758" s="9">
        <f ca="1"/>
        <v>39648</v>
      </c>
      <c r="B2758" s="5">
        <f t="shared" ref="B2758:B2759" si="393">B2757</f>
        <v>55.45</v>
      </c>
      <c r="C2758" s="6"/>
      <c r="D2758" s="6"/>
    </row>
    <row r="2759" spans="1:4" ht="13" thickBot="1" x14ac:dyDescent="0.3">
      <c r="A2759" s="9">
        <f ca="1"/>
        <v>39649</v>
      </c>
      <c r="B2759" s="5">
        <f t="shared" si="393"/>
        <v>55.45</v>
      </c>
      <c r="C2759" s="6"/>
      <c r="D2759" s="6"/>
    </row>
    <row r="2760" spans="1:4" ht="13" thickBot="1" x14ac:dyDescent="0.3">
      <c r="A2760" s="9">
        <f ca="1"/>
        <v>39650</v>
      </c>
      <c r="B2760" s="6">
        <v>56.11</v>
      </c>
      <c r="C2760" s="6"/>
      <c r="D2760" s="6"/>
    </row>
    <row r="2761" spans="1:4" ht="13" thickBot="1" x14ac:dyDescent="0.3">
      <c r="A2761" s="9">
        <f ca="1"/>
        <v>39651</v>
      </c>
      <c r="B2761" s="6">
        <v>55.75</v>
      </c>
      <c r="C2761" s="6"/>
      <c r="D2761" s="6"/>
    </row>
    <row r="2762" spans="1:4" ht="13" thickBot="1" x14ac:dyDescent="0.3">
      <c r="A2762" s="9">
        <f ca="1"/>
        <v>39652</v>
      </c>
      <c r="B2762" s="6">
        <v>55.13</v>
      </c>
      <c r="C2762" s="6"/>
      <c r="D2762" s="6"/>
    </row>
    <row r="2763" spans="1:4" ht="13" thickBot="1" x14ac:dyDescent="0.3">
      <c r="A2763" s="9">
        <f ca="1"/>
        <v>39653</v>
      </c>
      <c r="B2763" s="6">
        <v>54.67</v>
      </c>
      <c r="C2763" s="6"/>
      <c r="D2763" s="6"/>
    </row>
    <row r="2764" spans="1:4" ht="13" thickBot="1" x14ac:dyDescent="0.3">
      <c r="A2764" s="9">
        <f ca="1"/>
        <v>39654</v>
      </c>
      <c r="B2764" s="6">
        <v>53.67</v>
      </c>
      <c r="C2764" s="6"/>
      <c r="D2764" s="6"/>
    </row>
    <row r="2765" spans="1:4" ht="13" thickBot="1" x14ac:dyDescent="0.3">
      <c r="A2765" s="9">
        <f ca="1"/>
        <v>39655</v>
      </c>
      <c r="B2765" s="5">
        <f t="shared" ref="B2765:B2766" si="394">B2764</f>
        <v>53.67</v>
      </c>
      <c r="C2765" s="6"/>
      <c r="D2765" s="6"/>
    </row>
    <row r="2766" spans="1:4" ht="13" thickBot="1" x14ac:dyDescent="0.3">
      <c r="A2766" s="9">
        <f ca="1"/>
        <v>39656</v>
      </c>
      <c r="B2766" s="5">
        <f t="shared" si="394"/>
        <v>53.67</v>
      </c>
      <c r="C2766" s="6"/>
      <c r="D2766" s="6"/>
    </row>
    <row r="2767" spans="1:4" ht="13" thickBot="1" x14ac:dyDescent="0.3">
      <c r="A2767" s="9">
        <f ca="1"/>
        <v>39657</v>
      </c>
      <c r="B2767" s="6">
        <v>53.56</v>
      </c>
      <c r="C2767" s="6"/>
      <c r="D2767" s="6"/>
    </row>
    <row r="2768" spans="1:4" ht="13" thickBot="1" x14ac:dyDescent="0.3">
      <c r="A2768" s="9">
        <f ca="1"/>
        <v>39658</v>
      </c>
      <c r="B2768" s="6">
        <v>57.14</v>
      </c>
      <c r="C2768" s="6"/>
      <c r="D2768" s="6"/>
    </row>
    <row r="2769" spans="1:4" ht="13" thickBot="1" x14ac:dyDescent="0.3">
      <c r="A2769" s="9">
        <f ca="1"/>
        <v>39659</v>
      </c>
      <c r="B2769" s="6">
        <v>58.2</v>
      </c>
      <c r="C2769" s="6"/>
      <c r="D2769" s="6"/>
    </row>
    <row r="2770" spans="1:4" ht="13" thickBot="1" x14ac:dyDescent="0.3">
      <c r="A2770" s="9">
        <f ca="1"/>
        <v>39660</v>
      </c>
      <c r="B2770" s="6">
        <v>58.14</v>
      </c>
      <c r="C2770" s="6"/>
      <c r="D2770" s="6"/>
    </row>
    <row r="2771" spans="1:4" ht="13" thickBot="1" x14ac:dyDescent="0.3">
      <c r="A2771" s="9">
        <f ca="1"/>
        <v>39661</v>
      </c>
      <c r="B2771" s="6">
        <v>58.03</v>
      </c>
      <c r="C2771" s="6"/>
      <c r="D2771" s="6"/>
    </row>
    <row r="2772" spans="1:4" ht="13" thickBot="1" x14ac:dyDescent="0.3">
      <c r="A2772" s="9">
        <f ca="1"/>
        <v>39662</v>
      </c>
      <c r="B2772" s="5">
        <f t="shared" ref="B2772:B2773" si="395">B2771</f>
        <v>58.03</v>
      </c>
      <c r="C2772" s="6"/>
      <c r="D2772" s="6"/>
    </row>
    <row r="2773" spans="1:4" ht="13" thickBot="1" x14ac:dyDescent="0.3">
      <c r="A2773" s="9">
        <f ca="1"/>
        <v>39663</v>
      </c>
      <c r="B2773" s="5">
        <f t="shared" si="395"/>
        <v>58.03</v>
      </c>
      <c r="C2773" s="6"/>
      <c r="D2773" s="6"/>
    </row>
    <row r="2774" spans="1:4" ht="13" thickBot="1" x14ac:dyDescent="0.3">
      <c r="A2774" s="9">
        <f ca="1"/>
        <v>39664</v>
      </c>
      <c r="B2774" s="6">
        <v>57.76</v>
      </c>
      <c r="C2774" s="6"/>
      <c r="D2774" s="6"/>
    </row>
    <row r="2775" spans="1:4" ht="13" thickBot="1" x14ac:dyDescent="0.3">
      <c r="A2775" s="9">
        <f ca="1"/>
        <v>39665</v>
      </c>
      <c r="B2775" s="6">
        <v>57.94</v>
      </c>
      <c r="C2775" s="6"/>
      <c r="D2775" s="6"/>
    </row>
    <row r="2776" spans="1:4" ht="13" thickBot="1" x14ac:dyDescent="0.3">
      <c r="A2776" s="9">
        <f ca="1"/>
        <v>39666</v>
      </c>
      <c r="B2776" s="6">
        <v>57.99</v>
      </c>
      <c r="C2776" s="6"/>
      <c r="D2776" s="6"/>
    </row>
    <row r="2777" spans="1:4" ht="13" thickBot="1" x14ac:dyDescent="0.3">
      <c r="A2777" s="9">
        <f ca="1"/>
        <v>39667</v>
      </c>
      <c r="B2777" s="6">
        <v>58.52</v>
      </c>
      <c r="C2777" s="6"/>
      <c r="D2777" s="6"/>
    </row>
    <row r="2778" spans="1:4" ht="13" thickBot="1" x14ac:dyDescent="0.3">
      <c r="A2778" s="9">
        <f ca="1"/>
        <v>39668</v>
      </c>
      <c r="B2778" s="6">
        <v>56.68</v>
      </c>
      <c r="C2778" s="6"/>
      <c r="D2778" s="6"/>
    </row>
    <row r="2779" spans="1:4" ht="13" thickBot="1" x14ac:dyDescent="0.3">
      <c r="A2779" s="9">
        <f ca="1"/>
        <v>39669</v>
      </c>
      <c r="B2779" s="5">
        <f t="shared" ref="B2779:B2780" si="396">B2778</f>
        <v>56.68</v>
      </c>
      <c r="C2779" s="6"/>
      <c r="D2779" s="6"/>
    </row>
    <row r="2780" spans="1:4" ht="13" thickBot="1" x14ac:dyDescent="0.3">
      <c r="A2780" s="9">
        <f ca="1"/>
        <v>39670</v>
      </c>
      <c r="B2780" s="5">
        <f t="shared" si="396"/>
        <v>56.68</v>
      </c>
      <c r="C2780" s="6"/>
      <c r="D2780" s="6"/>
    </row>
    <row r="2781" spans="1:4" ht="13" thickBot="1" x14ac:dyDescent="0.3">
      <c r="A2781" s="9">
        <f ca="1"/>
        <v>39671</v>
      </c>
      <c r="B2781" s="6">
        <v>57.65</v>
      </c>
      <c r="C2781" s="6"/>
      <c r="D2781" s="6"/>
    </row>
    <row r="2782" spans="1:4" ht="13" thickBot="1" x14ac:dyDescent="0.3">
      <c r="A2782" s="9">
        <f ca="1"/>
        <v>39672</v>
      </c>
      <c r="B2782" s="6">
        <v>57.16</v>
      </c>
      <c r="C2782" s="6"/>
      <c r="D2782" s="6"/>
    </row>
    <row r="2783" spans="1:4" ht="13" thickBot="1" x14ac:dyDescent="0.3">
      <c r="A2783" s="9">
        <f ca="1"/>
        <v>39673</v>
      </c>
      <c r="B2783" s="6">
        <v>56.92</v>
      </c>
      <c r="C2783" s="6"/>
      <c r="D2783" s="6"/>
    </row>
    <row r="2784" spans="1:4" ht="13" thickBot="1" x14ac:dyDescent="0.3">
      <c r="A2784" s="9">
        <f ca="1"/>
        <v>39674</v>
      </c>
      <c r="B2784" s="6">
        <v>57.23</v>
      </c>
      <c r="C2784" s="6"/>
      <c r="D2784" s="6"/>
    </row>
    <row r="2785" spans="1:4" ht="13" thickBot="1" x14ac:dyDescent="0.3">
      <c r="A2785" s="9">
        <f ca="1"/>
        <v>39675</v>
      </c>
      <c r="B2785" s="6">
        <v>56.63</v>
      </c>
      <c r="C2785" s="6"/>
      <c r="D2785" s="6"/>
    </row>
    <row r="2786" spans="1:4" ht="13" thickBot="1" x14ac:dyDescent="0.3">
      <c r="A2786" s="9">
        <f ca="1"/>
        <v>39676</v>
      </c>
      <c r="B2786" s="5">
        <f t="shared" ref="B2786:B2787" si="397">B2785</f>
        <v>56.63</v>
      </c>
      <c r="C2786" s="6"/>
      <c r="D2786" s="6"/>
    </row>
    <row r="2787" spans="1:4" ht="13" thickBot="1" x14ac:dyDescent="0.3">
      <c r="A2787" s="9">
        <f ca="1"/>
        <v>39677</v>
      </c>
      <c r="B2787" s="5">
        <f t="shared" si="397"/>
        <v>56.63</v>
      </c>
      <c r="C2787" s="6"/>
      <c r="D2787" s="6"/>
    </row>
    <row r="2788" spans="1:4" ht="13" thickBot="1" x14ac:dyDescent="0.3">
      <c r="A2788" s="9">
        <f ca="1"/>
        <v>39678</v>
      </c>
      <c r="B2788" s="6">
        <v>56.52</v>
      </c>
      <c r="C2788" s="6"/>
      <c r="D2788" s="6"/>
    </row>
    <row r="2789" spans="1:4" ht="13" thickBot="1" x14ac:dyDescent="0.3">
      <c r="A2789" s="9">
        <f ca="1"/>
        <v>39679</v>
      </c>
      <c r="B2789" s="6">
        <v>55.86</v>
      </c>
      <c r="C2789" s="6"/>
      <c r="D2789" s="6"/>
    </row>
    <row r="2790" spans="1:4" ht="13" thickBot="1" x14ac:dyDescent="0.3">
      <c r="A2790" s="9">
        <f ca="1"/>
        <v>39680</v>
      </c>
      <c r="B2790" s="6">
        <v>55.5</v>
      </c>
      <c r="C2790" s="6"/>
      <c r="D2790" s="6"/>
    </row>
    <row r="2791" spans="1:4" ht="13" thickBot="1" x14ac:dyDescent="0.3">
      <c r="A2791" s="9">
        <f ca="1"/>
        <v>39681</v>
      </c>
      <c r="B2791" s="6">
        <v>55.5</v>
      </c>
      <c r="C2791" s="6"/>
      <c r="D2791" s="6"/>
    </row>
    <row r="2792" spans="1:4" ht="13" thickBot="1" x14ac:dyDescent="0.3">
      <c r="A2792" s="9">
        <f ca="1"/>
        <v>39682</v>
      </c>
      <c r="B2792" s="6">
        <v>55.88</v>
      </c>
      <c r="C2792" s="6"/>
      <c r="D2792" s="6"/>
    </row>
    <row r="2793" spans="1:4" ht="13" thickBot="1" x14ac:dyDescent="0.3">
      <c r="A2793" s="9">
        <f ca="1"/>
        <v>39683</v>
      </c>
      <c r="B2793" s="5">
        <f t="shared" ref="B2793:B2794" si="398">B2792</f>
        <v>55.88</v>
      </c>
      <c r="C2793" s="6"/>
      <c r="D2793" s="6"/>
    </row>
    <row r="2794" spans="1:4" ht="13" thickBot="1" x14ac:dyDescent="0.3">
      <c r="A2794" s="9">
        <f ca="1"/>
        <v>39684</v>
      </c>
      <c r="B2794" s="5">
        <f t="shared" si="398"/>
        <v>55.88</v>
      </c>
      <c r="C2794" s="6"/>
      <c r="D2794" s="6"/>
    </row>
    <row r="2795" spans="1:4" ht="13" thickBot="1" x14ac:dyDescent="0.3">
      <c r="A2795" s="9">
        <f ca="1"/>
        <v>39685</v>
      </c>
      <c r="B2795" s="6">
        <v>56.19</v>
      </c>
      <c r="C2795" s="6"/>
      <c r="D2795" s="6"/>
    </row>
    <row r="2796" spans="1:4" ht="13" thickBot="1" x14ac:dyDescent="0.3">
      <c r="A2796" s="9">
        <f ca="1"/>
        <v>39686</v>
      </c>
      <c r="B2796" s="6">
        <v>55.58</v>
      </c>
      <c r="C2796" s="6"/>
      <c r="D2796" s="6"/>
    </row>
    <row r="2797" spans="1:4" ht="13" thickBot="1" x14ac:dyDescent="0.3">
      <c r="A2797" s="9">
        <f ca="1"/>
        <v>39687</v>
      </c>
      <c r="B2797" s="6">
        <v>55.79</v>
      </c>
      <c r="C2797" s="6"/>
      <c r="D2797" s="6"/>
    </row>
    <row r="2798" spans="1:4" ht="13" thickBot="1" x14ac:dyDescent="0.3">
      <c r="A2798" s="9">
        <f ca="1"/>
        <v>39688</v>
      </c>
      <c r="B2798" s="6">
        <v>56.39</v>
      </c>
      <c r="C2798" s="6"/>
      <c r="D2798" s="6"/>
    </row>
    <row r="2799" spans="1:4" ht="13" thickBot="1" x14ac:dyDescent="0.3">
      <c r="A2799" s="9">
        <f ca="1"/>
        <v>39689</v>
      </c>
      <c r="B2799" s="6">
        <v>56.08</v>
      </c>
      <c r="C2799" s="6"/>
      <c r="D2799" s="6"/>
    </row>
    <row r="2800" spans="1:4" ht="13" thickBot="1" x14ac:dyDescent="0.3">
      <c r="A2800" s="9">
        <f ca="1"/>
        <v>39690</v>
      </c>
      <c r="B2800" s="5">
        <f t="shared" ref="B2800:B2802" si="399">B2799</f>
        <v>56.08</v>
      </c>
      <c r="C2800" s="6"/>
      <c r="D2800" s="6"/>
    </row>
    <row r="2801" spans="1:4" ht="13" thickBot="1" x14ac:dyDescent="0.3">
      <c r="A2801" s="9">
        <f ca="1"/>
        <v>39691</v>
      </c>
      <c r="B2801" s="5">
        <f t="shared" si="399"/>
        <v>56.08</v>
      </c>
      <c r="C2801" s="6"/>
      <c r="D2801" s="6"/>
    </row>
    <row r="2802" spans="1:4" ht="13" thickBot="1" x14ac:dyDescent="0.3">
      <c r="A2802" s="9">
        <f ca="1"/>
        <v>39692</v>
      </c>
      <c r="B2802" s="5">
        <f t="shared" si="399"/>
        <v>56.08</v>
      </c>
      <c r="C2802" s="6"/>
      <c r="D2802" s="6"/>
    </row>
    <row r="2803" spans="1:4" ht="13" thickBot="1" x14ac:dyDescent="0.3">
      <c r="A2803" s="9">
        <f ca="1"/>
        <v>39693</v>
      </c>
      <c r="B2803" s="6">
        <v>55.94</v>
      </c>
      <c r="C2803" s="6"/>
      <c r="D2803" s="6"/>
    </row>
    <row r="2804" spans="1:4" ht="13" thickBot="1" x14ac:dyDescent="0.3">
      <c r="A2804" s="9">
        <f ca="1"/>
        <v>39694</v>
      </c>
      <c r="B2804" s="6">
        <v>55.65</v>
      </c>
      <c r="C2804" s="6"/>
      <c r="D2804" s="6"/>
    </row>
    <row r="2805" spans="1:4" ht="13" thickBot="1" x14ac:dyDescent="0.3">
      <c r="A2805" s="9">
        <f ca="1"/>
        <v>39695</v>
      </c>
      <c r="B2805" s="6">
        <v>55.33</v>
      </c>
      <c r="C2805" s="6"/>
      <c r="D2805" s="6"/>
    </row>
    <row r="2806" spans="1:4" ht="13" thickBot="1" x14ac:dyDescent="0.3">
      <c r="A2806" s="9">
        <f ca="1"/>
        <v>39696</v>
      </c>
      <c r="B2806" s="6">
        <v>53.85</v>
      </c>
      <c r="C2806" s="6"/>
      <c r="D2806" s="6"/>
    </row>
    <row r="2807" spans="1:4" ht="13" thickBot="1" x14ac:dyDescent="0.3">
      <c r="A2807" s="9">
        <f ca="1"/>
        <v>39697</v>
      </c>
      <c r="B2807" s="5">
        <f t="shared" ref="B2807:B2808" si="400">B2806</f>
        <v>53.85</v>
      </c>
      <c r="C2807" s="6"/>
      <c r="D2807" s="6"/>
    </row>
    <row r="2808" spans="1:4" ht="13" thickBot="1" x14ac:dyDescent="0.3">
      <c r="A2808" s="9">
        <f ca="1"/>
        <v>39698</v>
      </c>
      <c r="B2808" s="5">
        <f t="shared" si="400"/>
        <v>53.85</v>
      </c>
      <c r="C2808" s="6"/>
      <c r="D2808" s="6"/>
    </row>
    <row r="2809" spans="1:4" ht="13" thickBot="1" x14ac:dyDescent="0.3">
      <c r="A2809" s="9">
        <f ca="1"/>
        <v>39699</v>
      </c>
      <c r="B2809" s="6">
        <v>54.49</v>
      </c>
      <c r="C2809" s="6"/>
      <c r="D2809" s="6"/>
    </row>
    <row r="2810" spans="1:4" ht="13" thickBot="1" x14ac:dyDescent="0.3">
      <c r="A2810" s="9">
        <f ca="1"/>
        <v>39700</v>
      </c>
      <c r="B2810" s="6">
        <v>52.68</v>
      </c>
      <c r="C2810" s="6"/>
      <c r="D2810" s="6"/>
    </row>
    <row r="2811" spans="1:4" ht="13" thickBot="1" x14ac:dyDescent="0.3">
      <c r="A2811" s="9">
        <f ca="1"/>
        <v>39701</v>
      </c>
      <c r="B2811" s="6">
        <v>52.77</v>
      </c>
      <c r="C2811" s="6"/>
      <c r="D2811" s="6"/>
    </row>
    <row r="2812" spans="1:4" ht="13" thickBot="1" x14ac:dyDescent="0.3">
      <c r="A2812" s="9">
        <f ca="1"/>
        <v>39702</v>
      </c>
      <c r="B2812" s="6">
        <v>51.11</v>
      </c>
      <c r="C2812" s="6"/>
      <c r="D2812" s="6"/>
    </row>
    <row r="2813" spans="1:4" ht="13" thickBot="1" x14ac:dyDescent="0.3">
      <c r="A2813" s="9">
        <f ca="1"/>
        <v>39703</v>
      </c>
      <c r="B2813" s="6">
        <v>52.7</v>
      </c>
      <c r="C2813" s="6"/>
      <c r="D2813" s="6"/>
    </row>
    <row r="2814" spans="1:4" ht="13" thickBot="1" x14ac:dyDescent="0.3">
      <c r="A2814" s="9">
        <f ca="1"/>
        <v>39704</v>
      </c>
      <c r="B2814" s="5">
        <f t="shared" ref="B2814:B2815" si="401">B2813</f>
        <v>52.7</v>
      </c>
      <c r="C2814" s="6"/>
      <c r="D2814" s="6"/>
    </row>
    <row r="2815" spans="1:4" ht="13" thickBot="1" x14ac:dyDescent="0.3">
      <c r="A2815" s="9">
        <f ca="1"/>
        <v>39705</v>
      </c>
      <c r="B2815" s="5">
        <f t="shared" si="401"/>
        <v>52.7</v>
      </c>
      <c r="C2815" s="6"/>
      <c r="D2815" s="6"/>
    </row>
    <row r="2816" spans="1:4" ht="13" thickBot="1" x14ac:dyDescent="0.3">
      <c r="A2816" s="9">
        <f ca="1"/>
        <v>39706</v>
      </c>
      <c r="B2816" s="6">
        <v>53.86</v>
      </c>
      <c r="C2816" s="6"/>
      <c r="D2816" s="6"/>
    </row>
    <row r="2817" spans="1:4" ht="13" thickBot="1" x14ac:dyDescent="0.3">
      <c r="A2817" s="9">
        <f ca="1"/>
        <v>39707</v>
      </c>
      <c r="B2817" s="6">
        <v>55.17</v>
      </c>
      <c r="C2817" s="6"/>
      <c r="D2817" s="6"/>
    </row>
    <row r="2818" spans="1:4" ht="13" thickBot="1" x14ac:dyDescent="0.3">
      <c r="A2818" s="9">
        <f ca="1"/>
        <v>39708</v>
      </c>
      <c r="B2818" s="6">
        <v>55.28</v>
      </c>
      <c r="C2818" s="6"/>
      <c r="D2818" s="6"/>
    </row>
    <row r="2819" spans="1:4" ht="13" thickBot="1" x14ac:dyDescent="0.3">
      <c r="A2819" s="9">
        <f ca="1"/>
        <v>39709</v>
      </c>
      <c r="B2819" s="6">
        <v>54.94</v>
      </c>
      <c r="C2819" s="6"/>
      <c r="D2819" s="6"/>
    </row>
    <row r="2820" spans="1:4" ht="13" thickBot="1" x14ac:dyDescent="0.3">
      <c r="A2820" s="9">
        <f ca="1"/>
        <v>39710</v>
      </c>
      <c r="B2820" s="6">
        <v>57.45</v>
      </c>
      <c r="C2820" s="6"/>
      <c r="D2820" s="6"/>
    </row>
    <row r="2821" spans="1:4" ht="13" thickBot="1" x14ac:dyDescent="0.3">
      <c r="A2821" s="9">
        <f ca="1"/>
        <v>39711</v>
      </c>
      <c r="B2821" s="5">
        <f t="shared" ref="B2821:B2822" si="402">B2820</f>
        <v>57.45</v>
      </c>
      <c r="C2821" s="6"/>
      <c r="D2821" s="6"/>
    </row>
    <row r="2822" spans="1:4" ht="13" thickBot="1" x14ac:dyDescent="0.3">
      <c r="A2822" s="9">
        <f ca="1"/>
        <v>39712</v>
      </c>
      <c r="B2822" s="5">
        <f t="shared" si="402"/>
        <v>57.45</v>
      </c>
      <c r="C2822" s="6"/>
      <c r="D2822" s="6"/>
    </row>
    <row r="2823" spans="1:4" ht="13" thickBot="1" x14ac:dyDescent="0.3">
      <c r="A2823" s="9">
        <f ca="1"/>
        <v>39713</v>
      </c>
      <c r="B2823" s="6">
        <v>57.81</v>
      </c>
      <c r="C2823" s="6"/>
      <c r="D2823" s="6"/>
    </row>
    <row r="2824" spans="1:4" ht="13" thickBot="1" x14ac:dyDescent="0.3">
      <c r="A2824" s="9">
        <f ca="1"/>
        <v>39714</v>
      </c>
      <c r="B2824" s="6">
        <v>57.41</v>
      </c>
      <c r="C2824" s="6"/>
      <c r="D2824" s="6"/>
    </row>
    <row r="2825" spans="1:4" ht="13" thickBot="1" x14ac:dyDescent="0.3">
      <c r="A2825" s="9">
        <f ca="1"/>
        <v>39715</v>
      </c>
      <c r="B2825" s="6">
        <v>58.35</v>
      </c>
      <c r="C2825" s="6"/>
      <c r="D2825" s="6"/>
    </row>
    <row r="2826" spans="1:4" ht="13" thickBot="1" x14ac:dyDescent="0.3">
      <c r="A2826" s="9">
        <f ca="1"/>
        <v>39716</v>
      </c>
      <c r="B2826" s="6">
        <v>58.17</v>
      </c>
      <c r="C2826" s="6"/>
      <c r="D2826" s="6"/>
    </row>
    <row r="2827" spans="1:4" ht="13" thickBot="1" x14ac:dyDescent="0.3">
      <c r="A2827" s="9">
        <f ca="1"/>
        <v>39717</v>
      </c>
      <c r="B2827" s="6">
        <v>57</v>
      </c>
      <c r="C2827" s="6"/>
      <c r="D2827" s="6"/>
    </row>
    <row r="2828" spans="1:4" ht="13" thickBot="1" x14ac:dyDescent="0.3">
      <c r="A2828" s="9">
        <f ca="1"/>
        <v>39718</v>
      </c>
      <c r="B2828" s="5">
        <f t="shared" ref="B2828:B2829" si="403">B2827</f>
        <v>57</v>
      </c>
      <c r="C2828" s="6"/>
      <c r="D2828" s="6"/>
    </row>
    <row r="2829" spans="1:4" ht="13" thickBot="1" x14ac:dyDescent="0.3">
      <c r="A2829" s="9">
        <f ca="1"/>
        <v>39719</v>
      </c>
      <c r="B2829" s="5">
        <f t="shared" si="403"/>
        <v>57</v>
      </c>
      <c r="C2829" s="6"/>
      <c r="D2829" s="6"/>
    </row>
    <row r="2830" spans="1:4" ht="13" thickBot="1" x14ac:dyDescent="0.3">
      <c r="A2830" s="9">
        <f ca="1"/>
        <v>39720</v>
      </c>
      <c r="B2830" s="6">
        <v>56.23</v>
      </c>
      <c r="C2830" s="6"/>
      <c r="D2830" s="6"/>
    </row>
    <row r="2831" spans="1:4" ht="13" thickBot="1" x14ac:dyDescent="0.3">
      <c r="A2831" s="9">
        <f ca="1"/>
        <v>39721</v>
      </c>
      <c r="B2831" s="6">
        <v>52.56</v>
      </c>
      <c r="C2831" s="6"/>
      <c r="D2831" s="6"/>
    </row>
    <row r="2832" spans="1:4" ht="13" thickBot="1" x14ac:dyDescent="0.3">
      <c r="A2832" s="9">
        <f ca="1"/>
        <v>39722</v>
      </c>
      <c r="B2832" s="6">
        <v>51.87</v>
      </c>
      <c r="C2832" s="6"/>
      <c r="D2832" s="6"/>
    </row>
    <row r="2833" spans="1:4" ht="13" thickBot="1" x14ac:dyDescent="0.3">
      <c r="A2833" s="9">
        <f ca="1"/>
        <v>39723</v>
      </c>
      <c r="B2833" s="6">
        <v>50.04</v>
      </c>
      <c r="C2833" s="6"/>
      <c r="D2833" s="6"/>
    </row>
    <row r="2834" spans="1:4" ht="13" thickBot="1" x14ac:dyDescent="0.3">
      <c r="A2834" s="9">
        <f ca="1"/>
        <v>39724</v>
      </c>
      <c r="B2834" s="6">
        <v>46.91</v>
      </c>
      <c r="C2834" s="6"/>
      <c r="D2834" s="6"/>
    </row>
    <row r="2835" spans="1:4" ht="13" thickBot="1" x14ac:dyDescent="0.3">
      <c r="A2835" s="9">
        <f ca="1"/>
        <v>39725</v>
      </c>
      <c r="B2835" s="5">
        <f t="shared" ref="B2835:B2836" si="404">B2834</f>
        <v>46.91</v>
      </c>
      <c r="C2835" s="6"/>
      <c r="D2835" s="6"/>
    </row>
    <row r="2836" spans="1:4" ht="13" thickBot="1" x14ac:dyDescent="0.3">
      <c r="A2836" s="9">
        <f ca="1"/>
        <v>39726</v>
      </c>
      <c r="B2836" s="5">
        <f t="shared" si="404"/>
        <v>46.91</v>
      </c>
      <c r="C2836" s="6"/>
      <c r="D2836" s="6"/>
    </row>
    <row r="2837" spans="1:4" ht="13" thickBot="1" x14ac:dyDescent="0.3">
      <c r="A2837" s="9">
        <f ca="1"/>
        <v>39727</v>
      </c>
      <c r="B2837" s="6">
        <v>43.89</v>
      </c>
      <c r="C2837" s="6"/>
      <c r="D2837" s="6"/>
    </row>
    <row r="2838" spans="1:4" ht="13" thickBot="1" x14ac:dyDescent="0.3">
      <c r="A2838" s="9">
        <f ca="1"/>
        <v>39728</v>
      </c>
      <c r="B2838" s="6">
        <v>37.450000000000003</v>
      </c>
      <c r="C2838" s="6"/>
      <c r="D2838" s="6"/>
    </row>
    <row r="2839" spans="1:4" ht="13" thickBot="1" x14ac:dyDescent="0.3">
      <c r="A2839" s="9">
        <f ca="1"/>
        <v>39729</v>
      </c>
      <c r="B2839" s="6">
        <v>37.799999999999997</v>
      </c>
      <c r="C2839" s="6"/>
      <c r="D2839" s="6"/>
    </row>
    <row r="2840" spans="1:4" ht="13" thickBot="1" x14ac:dyDescent="0.3">
      <c r="A2840" s="9">
        <f ca="1"/>
        <v>39730</v>
      </c>
      <c r="B2840" s="6">
        <v>36.15</v>
      </c>
      <c r="C2840" s="6"/>
      <c r="D2840" s="6"/>
    </row>
    <row r="2841" spans="1:4" ht="13" thickBot="1" x14ac:dyDescent="0.3">
      <c r="A2841" s="9">
        <f ca="1"/>
        <v>39731</v>
      </c>
      <c r="B2841" s="6">
        <v>32.26</v>
      </c>
      <c r="C2841" s="6"/>
      <c r="D2841" s="6"/>
    </row>
    <row r="2842" spans="1:4" ht="13" thickBot="1" x14ac:dyDescent="0.3">
      <c r="A2842" s="9">
        <f ca="1"/>
        <v>39732</v>
      </c>
      <c r="B2842" s="5">
        <f t="shared" ref="B2842:B2843" si="405">B2841</f>
        <v>32.26</v>
      </c>
      <c r="C2842" s="6"/>
      <c r="D2842" s="6"/>
    </row>
    <row r="2843" spans="1:4" ht="13" thickBot="1" x14ac:dyDescent="0.3">
      <c r="A2843" s="9">
        <f ca="1"/>
        <v>39733</v>
      </c>
      <c r="B2843" s="5">
        <f t="shared" si="405"/>
        <v>32.26</v>
      </c>
      <c r="C2843" s="6"/>
      <c r="D2843" s="6"/>
    </row>
    <row r="2844" spans="1:4" ht="13" thickBot="1" x14ac:dyDescent="0.3">
      <c r="A2844" s="9">
        <f ca="1"/>
        <v>39734</v>
      </c>
      <c r="B2844" s="6">
        <v>36.33</v>
      </c>
      <c r="C2844" s="6"/>
      <c r="D2844" s="6"/>
    </row>
    <row r="2845" spans="1:4" ht="13" thickBot="1" x14ac:dyDescent="0.3">
      <c r="A2845" s="9">
        <f ca="1"/>
        <v>39735</v>
      </c>
      <c r="B2845" s="6">
        <v>39.43</v>
      </c>
      <c r="C2845" s="6"/>
      <c r="D2845" s="6"/>
    </row>
    <row r="2846" spans="1:4" ht="13" thickBot="1" x14ac:dyDescent="0.3">
      <c r="A2846" s="9">
        <f ca="1"/>
        <v>39736</v>
      </c>
      <c r="B2846" s="6">
        <v>36.020000000000003</v>
      </c>
      <c r="C2846" s="6"/>
      <c r="D2846" s="6"/>
    </row>
    <row r="2847" spans="1:4" ht="13" thickBot="1" x14ac:dyDescent="0.3">
      <c r="A2847" s="9">
        <f ca="1"/>
        <v>39737</v>
      </c>
      <c r="B2847" s="6">
        <v>35.090000000000003</v>
      </c>
      <c r="C2847" s="6"/>
      <c r="D2847" s="6"/>
    </row>
    <row r="2848" spans="1:4" ht="13" thickBot="1" x14ac:dyDescent="0.3">
      <c r="A2848" s="9">
        <f ca="1"/>
        <v>39738</v>
      </c>
      <c r="B2848" s="6">
        <v>36.340000000000003</v>
      </c>
      <c r="C2848" s="6"/>
      <c r="D2848" s="6"/>
    </row>
    <row r="2849" spans="1:4" ht="13" thickBot="1" x14ac:dyDescent="0.3">
      <c r="A2849" s="9">
        <f ca="1"/>
        <v>39739</v>
      </c>
      <c r="B2849" s="5">
        <f t="shared" ref="B2849:B2850" si="406">B2848</f>
        <v>36.340000000000003</v>
      </c>
      <c r="C2849" s="6"/>
      <c r="D2849" s="6"/>
    </row>
    <row r="2850" spans="1:4" ht="13" thickBot="1" x14ac:dyDescent="0.3">
      <c r="A2850" s="9">
        <f ca="1"/>
        <v>39740</v>
      </c>
      <c r="B2850" s="5">
        <f t="shared" si="406"/>
        <v>36.340000000000003</v>
      </c>
      <c r="C2850" s="6"/>
      <c r="D2850" s="6"/>
    </row>
    <row r="2851" spans="1:4" ht="13" thickBot="1" x14ac:dyDescent="0.3">
      <c r="A2851" s="9">
        <f ca="1"/>
        <v>39741</v>
      </c>
      <c r="B2851" s="6">
        <v>37.06</v>
      </c>
      <c r="C2851" s="6"/>
      <c r="D2851" s="6"/>
    </row>
    <row r="2852" spans="1:4" ht="13" thickBot="1" x14ac:dyDescent="0.3">
      <c r="A2852" s="9">
        <f ca="1"/>
        <v>39742</v>
      </c>
      <c r="B2852" s="6">
        <v>34.950000000000003</v>
      </c>
      <c r="C2852" s="6"/>
      <c r="D2852" s="6"/>
    </row>
    <row r="2853" spans="1:4" ht="13" thickBot="1" x14ac:dyDescent="0.3">
      <c r="A2853" s="9">
        <f ca="1"/>
        <v>39743</v>
      </c>
      <c r="B2853" s="6">
        <v>34.869999999999997</v>
      </c>
      <c r="C2853" s="6"/>
      <c r="D2853" s="6"/>
    </row>
    <row r="2854" spans="1:4" ht="13" thickBot="1" x14ac:dyDescent="0.3">
      <c r="A2854" s="9">
        <f ca="1"/>
        <v>39744</v>
      </c>
      <c r="B2854" s="6">
        <v>33.979999999999997</v>
      </c>
      <c r="C2854" s="6"/>
      <c r="D2854" s="6"/>
    </row>
    <row r="2855" spans="1:4" ht="13" thickBot="1" x14ac:dyDescent="0.3">
      <c r="A2855" s="9">
        <f ca="1"/>
        <v>39745</v>
      </c>
      <c r="B2855" s="6">
        <v>30.54</v>
      </c>
      <c r="C2855" s="6"/>
      <c r="D2855" s="6"/>
    </row>
    <row r="2856" spans="1:4" ht="13" thickBot="1" x14ac:dyDescent="0.3">
      <c r="A2856" s="9">
        <f ca="1"/>
        <v>39746</v>
      </c>
      <c r="B2856" s="5">
        <f t="shared" ref="B2856:B2857" si="407">B2855</f>
        <v>30.54</v>
      </c>
      <c r="C2856" s="6"/>
      <c r="D2856" s="6"/>
    </row>
    <row r="2857" spans="1:4" ht="13" thickBot="1" x14ac:dyDescent="0.3">
      <c r="A2857" s="9">
        <f ca="1"/>
        <v>39747</v>
      </c>
      <c r="B2857" s="5">
        <f t="shared" si="407"/>
        <v>30.54</v>
      </c>
      <c r="C2857" s="6"/>
      <c r="D2857" s="6"/>
    </row>
    <row r="2858" spans="1:4" ht="13" thickBot="1" x14ac:dyDescent="0.3">
      <c r="A2858" s="9">
        <f ca="1"/>
        <v>39748</v>
      </c>
      <c r="B2858" s="6">
        <v>30.08</v>
      </c>
      <c r="C2858" s="6"/>
      <c r="D2858" s="6"/>
    </row>
    <row r="2859" spans="1:4" ht="13" thickBot="1" x14ac:dyDescent="0.3">
      <c r="A2859" s="9">
        <f ca="1"/>
        <v>39749</v>
      </c>
      <c r="B2859" s="6">
        <v>30.43</v>
      </c>
      <c r="C2859" s="6"/>
      <c r="D2859" s="6"/>
    </row>
    <row r="2860" spans="1:4" ht="13" thickBot="1" x14ac:dyDescent="0.3">
      <c r="A2860" s="9">
        <f ca="1"/>
        <v>39750</v>
      </c>
      <c r="B2860" s="6">
        <v>33.700000000000003</v>
      </c>
      <c r="C2860" s="6"/>
      <c r="D2860" s="6"/>
    </row>
    <row r="2861" spans="1:4" ht="13" thickBot="1" x14ac:dyDescent="0.3">
      <c r="A2861" s="9">
        <f ca="1"/>
        <v>39751</v>
      </c>
      <c r="B2861" s="6">
        <v>35</v>
      </c>
      <c r="C2861" s="6"/>
      <c r="D2861" s="6"/>
    </row>
    <row r="2862" spans="1:4" ht="13" thickBot="1" x14ac:dyDescent="0.3">
      <c r="A2862" s="9">
        <f ca="1"/>
        <v>39752</v>
      </c>
      <c r="B2862" s="6">
        <v>34.549999999999997</v>
      </c>
      <c r="C2862" s="6"/>
      <c r="D2862" s="6"/>
    </row>
    <row r="2863" spans="1:4" ht="13" thickBot="1" x14ac:dyDescent="0.3">
      <c r="A2863" s="9">
        <f ca="1"/>
        <v>39753</v>
      </c>
      <c r="B2863" s="5">
        <f t="shared" ref="B2863:B2864" si="408">B2862</f>
        <v>34.549999999999997</v>
      </c>
      <c r="C2863" s="6"/>
      <c r="D2863" s="6"/>
    </row>
    <row r="2864" spans="1:4" ht="13" thickBot="1" x14ac:dyDescent="0.3">
      <c r="A2864" s="9">
        <f ca="1"/>
        <v>39754</v>
      </c>
      <c r="B2864" s="5">
        <f t="shared" si="408"/>
        <v>34.549999999999997</v>
      </c>
      <c r="C2864" s="6"/>
      <c r="D2864" s="6"/>
    </row>
    <row r="2865" spans="1:4" ht="13" thickBot="1" x14ac:dyDescent="0.3">
      <c r="A2865" s="9">
        <f ca="1"/>
        <v>39755</v>
      </c>
      <c r="B2865" s="6">
        <v>35.33</v>
      </c>
      <c r="C2865" s="6"/>
      <c r="D2865" s="6"/>
    </row>
    <row r="2866" spans="1:4" ht="13" thickBot="1" x14ac:dyDescent="0.3">
      <c r="A2866" s="9">
        <f ca="1"/>
        <v>39756</v>
      </c>
      <c r="B2866" s="6">
        <v>37.75</v>
      </c>
      <c r="C2866" s="6"/>
      <c r="D2866" s="6"/>
    </row>
    <row r="2867" spans="1:4" ht="13" thickBot="1" x14ac:dyDescent="0.3">
      <c r="A2867" s="9">
        <f ca="1"/>
        <v>39757</v>
      </c>
      <c r="B2867" s="6">
        <v>38.39</v>
      </c>
      <c r="C2867" s="6"/>
      <c r="D2867" s="6"/>
    </row>
    <row r="2868" spans="1:4" ht="13" thickBot="1" x14ac:dyDescent="0.3">
      <c r="A2868" s="9">
        <f ca="1"/>
        <v>39758</v>
      </c>
      <c r="B2868" s="6">
        <v>36.159999999999997</v>
      </c>
      <c r="C2868" s="6"/>
      <c r="D2868" s="6"/>
    </row>
    <row r="2869" spans="1:4" ht="13" thickBot="1" x14ac:dyDescent="0.3">
      <c r="A2869" s="9">
        <f ca="1"/>
        <v>39759</v>
      </c>
      <c r="B2869" s="6">
        <v>35.229999999999997</v>
      </c>
      <c r="C2869" s="6"/>
      <c r="D2869" s="6"/>
    </row>
    <row r="2870" spans="1:4" ht="13" thickBot="1" x14ac:dyDescent="0.3">
      <c r="A2870" s="9">
        <f ca="1"/>
        <v>39760</v>
      </c>
      <c r="B2870" s="5">
        <f t="shared" ref="B2870:B2871" si="409">B2869</f>
        <v>35.229999999999997</v>
      </c>
      <c r="C2870" s="6"/>
      <c r="D2870" s="6"/>
    </row>
    <row r="2871" spans="1:4" ht="13" thickBot="1" x14ac:dyDescent="0.3">
      <c r="A2871" s="9">
        <f ca="1"/>
        <v>39761</v>
      </c>
      <c r="B2871" s="5">
        <f t="shared" si="409"/>
        <v>35.229999999999997</v>
      </c>
      <c r="C2871" s="6"/>
      <c r="D2871" s="6"/>
    </row>
    <row r="2872" spans="1:4" ht="13" thickBot="1" x14ac:dyDescent="0.3">
      <c r="A2872" s="9">
        <f ca="1"/>
        <v>39762</v>
      </c>
      <c r="B2872" s="6">
        <v>37.04</v>
      </c>
      <c r="C2872" s="6"/>
      <c r="D2872" s="6"/>
    </row>
    <row r="2873" spans="1:4" ht="13" thickBot="1" x14ac:dyDescent="0.3">
      <c r="A2873" s="9">
        <f ca="1"/>
        <v>39763</v>
      </c>
      <c r="B2873" s="6">
        <v>35.18</v>
      </c>
      <c r="C2873" s="6"/>
      <c r="D2873" s="6"/>
    </row>
    <row r="2874" spans="1:4" ht="13" thickBot="1" x14ac:dyDescent="0.3">
      <c r="A2874" s="9">
        <f ca="1"/>
        <v>39764</v>
      </c>
      <c r="B2874" s="6">
        <v>34.61</v>
      </c>
      <c r="C2874" s="6"/>
      <c r="D2874" s="6"/>
    </row>
    <row r="2875" spans="1:4" ht="13" thickBot="1" x14ac:dyDescent="0.3">
      <c r="A2875" s="9">
        <f ca="1"/>
        <v>39765</v>
      </c>
      <c r="B2875" s="6">
        <v>33.729999999999997</v>
      </c>
      <c r="C2875" s="6"/>
      <c r="D2875" s="6"/>
    </row>
    <row r="2876" spans="1:4" ht="13" thickBot="1" x14ac:dyDescent="0.3">
      <c r="A2876" s="9">
        <f ca="1"/>
        <v>39766</v>
      </c>
      <c r="B2876" s="6">
        <v>35.520000000000003</v>
      </c>
      <c r="C2876" s="6"/>
      <c r="D2876" s="6"/>
    </row>
    <row r="2877" spans="1:4" ht="13" thickBot="1" x14ac:dyDescent="0.3">
      <c r="A2877" s="9">
        <f ca="1"/>
        <v>39767</v>
      </c>
      <c r="B2877" s="5">
        <f t="shared" ref="B2877:B2878" si="410">B2876</f>
        <v>35.520000000000003</v>
      </c>
      <c r="C2877" s="6"/>
      <c r="D2877" s="6"/>
    </row>
    <row r="2878" spans="1:4" ht="13" thickBot="1" x14ac:dyDescent="0.3">
      <c r="A2878" s="9">
        <f ca="1"/>
        <v>39768</v>
      </c>
      <c r="B2878" s="5">
        <f t="shared" si="410"/>
        <v>35.520000000000003</v>
      </c>
      <c r="C2878" s="6"/>
      <c r="D2878" s="6"/>
    </row>
    <row r="2879" spans="1:4" ht="13" thickBot="1" x14ac:dyDescent="0.3">
      <c r="A2879" s="9">
        <f ca="1"/>
        <v>39769</v>
      </c>
      <c r="B2879" s="6">
        <v>34.28</v>
      </c>
      <c r="C2879" s="6"/>
      <c r="D2879" s="6"/>
    </row>
    <row r="2880" spans="1:4" ht="13" thickBot="1" x14ac:dyDescent="0.3">
      <c r="A2880" s="9">
        <f ca="1"/>
        <v>39770</v>
      </c>
      <c r="B2880" s="6">
        <v>33.54</v>
      </c>
      <c r="C2880" s="6"/>
      <c r="D2880" s="6"/>
    </row>
    <row r="2881" spans="1:4" ht="13" thickBot="1" x14ac:dyDescent="0.3">
      <c r="A2881" s="9">
        <f ca="1"/>
        <v>39771</v>
      </c>
      <c r="B2881" s="6">
        <v>33.24</v>
      </c>
      <c r="C2881" s="6"/>
      <c r="D2881" s="6"/>
    </row>
    <row r="2882" spans="1:4" ht="13" thickBot="1" x14ac:dyDescent="0.3">
      <c r="A2882" s="9">
        <f ca="1"/>
        <v>39772</v>
      </c>
      <c r="B2882" s="6">
        <v>30.94</v>
      </c>
      <c r="C2882" s="6"/>
      <c r="D2882" s="6"/>
    </row>
    <row r="2883" spans="1:4" ht="13" thickBot="1" x14ac:dyDescent="0.3">
      <c r="A2883" s="9">
        <f ca="1"/>
        <v>39773</v>
      </c>
      <c r="B2883" s="6">
        <v>31.48</v>
      </c>
      <c r="C2883" s="6"/>
      <c r="D2883" s="6"/>
    </row>
    <row r="2884" spans="1:4" ht="13" thickBot="1" x14ac:dyDescent="0.3">
      <c r="A2884" s="9">
        <f ca="1"/>
        <v>39774</v>
      </c>
      <c r="B2884" s="5">
        <f t="shared" ref="B2884:B2885" si="411">B2883</f>
        <v>31.48</v>
      </c>
      <c r="C2884" s="6"/>
      <c r="D2884" s="6"/>
    </row>
    <row r="2885" spans="1:4" ht="13" thickBot="1" x14ac:dyDescent="0.3">
      <c r="A2885" s="9">
        <f ca="1"/>
        <v>39775</v>
      </c>
      <c r="B2885" s="5">
        <f t="shared" si="411"/>
        <v>31.48</v>
      </c>
      <c r="C2885" s="6"/>
      <c r="D2885" s="6"/>
    </row>
    <row r="2886" spans="1:4" ht="13" thickBot="1" x14ac:dyDescent="0.3">
      <c r="A2886" s="9">
        <f ca="1"/>
        <v>39776</v>
      </c>
      <c r="B2886" s="6">
        <v>32.979999999999997</v>
      </c>
      <c r="C2886" s="6"/>
      <c r="D2886" s="6"/>
    </row>
    <row r="2887" spans="1:4" ht="13" thickBot="1" x14ac:dyDescent="0.3">
      <c r="A2887" s="9">
        <f ca="1"/>
        <v>39777</v>
      </c>
      <c r="B2887" s="6">
        <v>36.85</v>
      </c>
      <c r="C2887" s="6"/>
      <c r="D2887" s="6"/>
    </row>
    <row r="2888" spans="1:4" ht="13" thickBot="1" x14ac:dyDescent="0.3">
      <c r="A2888" s="9">
        <f ca="1"/>
        <v>39778</v>
      </c>
      <c r="B2888" s="6">
        <v>34.28</v>
      </c>
      <c r="C2888" s="6"/>
      <c r="D2888" s="6"/>
    </row>
    <row r="2889" spans="1:4" ht="13" thickBot="1" x14ac:dyDescent="0.3">
      <c r="A2889" s="9">
        <f ca="1"/>
        <v>39779</v>
      </c>
      <c r="B2889" s="5">
        <f>B2888</f>
        <v>34.28</v>
      </c>
      <c r="C2889" s="6"/>
      <c r="D2889" s="6"/>
    </row>
    <row r="2890" spans="1:4" ht="13" thickBot="1" x14ac:dyDescent="0.3">
      <c r="A2890" s="9">
        <f ca="1"/>
        <v>39780</v>
      </c>
      <c r="B2890" s="6">
        <v>33.799999999999997</v>
      </c>
      <c r="C2890" s="6"/>
      <c r="D2890" s="6"/>
    </row>
    <row r="2891" spans="1:4" ht="13" thickBot="1" x14ac:dyDescent="0.3">
      <c r="A2891" s="9">
        <f ca="1"/>
        <v>39781</v>
      </c>
      <c r="B2891" s="5">
        <f t="shared" ref="B2891:B2892" si="412">B2890</f>
        <v>33.799999999999997</v>
      </c>
      <c r="C2891" s="6"/>
      <c r="D2891" s="6"/>
    </row>
    <row r="2892" spans="1:4" ht="13" thickBot="1" x14ac:dyDescent="0.3">
      <c r="A2892" s="9">
        <f ca="1"/>
        <v>39782</v>
      </c>
      <c r="B2892" s="5">
        <f t="shared" si="412"/>
        <v>33.799999999999997</v>
      </c>
      <c r="C2892" s="6"/>
      <c r="D2892" s="6"/>
    </row>
    <row r="2893" spans="1:4" ht="13" thickBot="1" x14ac:dyDescent="0.3">
      <c r="A2893" s="9">
        <f ca="1"/>
        <v>39783</v>
      </c>
      <c r="B2893" s="6">
        <v>33.29</v>
      </c>
      <c r="C2893" s="6"/>
      <c r="D2893" s="6"/>
    </row>
    <row r="2894" spans="1:4" ht="13" thickBot="1" x14ac:dyDescent="0.3">
      <c r="A2894" s="9">
        <f ca="1"/>
        <v>39784</v>
      </c>
      <c r="B2894" s="6">
        <v>32.71</v>
      </c>
      <c r="C2894" s="6"/>
      <c r="D2894" s="6"/>
    </row>
    <row r="2895" spans="1:4" ht="13" thickBot="1" x14ac:dyDescent="0.3">
      <c r="A2895" s="9">
        <f ca="1"/>
        <v>39785</v>
      </c>
      <c r="B2895" s="6">
        <v>31.98</v>
      </c>
      <c r="C2895" s="6"/>
      <c r="D2895" s="6"/>
    </row>
    <row r="2896" spans="1:4" ht="13" thickBot="1" x14ac:dyDescent="0.3">
      <c r="A2896" s="9">
        <f ca="1"/>
        <v>39786</v>
      </c>
      <c r="B2896" s="6">
        <v>33.03</v>
      </c>
      <c r="C2896" s="6"/>
      <c r="D2896" s="6"/>
    </row>
    <row r="2897" spans="1:4" ht="13" thickBot="1" x14ac:dyDescent="0.3">
      <c r="A2897" s="9">
        <f ca="1"/>
        <v>39787</v>
      </c>
      <c r="B2897" s="6">
        <v>32.67</v>
      </c>
      <c r="C2897" s="6"/>
      <c r="D2897" s="6"/>
    </row>
    <row r="2898" spans="1:4" ht="13" thickBot="1" x14ac:dyDescent="0.3">
      <c r="A2898" s="9">
        <f ca="1"/>
        <v>39788</v>
      </c>
      <c r="B2898" s="5">
        <f t="shared" ref="B2898:B2899" si="413">B2897</f>
        <v>32.67</v>
      </c>
      <c r="C2898" s="6"/>
      <c r="D2898" s="6"/>
    </row>
    <row r="2899" spans="1:4" ht="13" thickBot="1" x14ac:dyDescent="0.3">
      <c r="A2899" s="9">
        <f ca="1"/>
        <v>39789</v>
      </c>
      <c r="B2899" s="5">
        <f t="shared" si="413"/>
        <v>32.67</v>
      </c>
      <c r="C2899" s="6"/>
      <c r="D2899" s="6"/>
    </row>
    <row r="2900" spans="1:4" ht="13" thickBot="1" x14ac:dyDescent="0.3">
      <c r="A2900" s="9">
        <f ca="1"/>
        <v>39790</v>
      </c>
      <c r="B2900" s="6">
        <v>34.869999999999997</v>
      </c>
      <c r="C2900" s="6"/>
      <c r="D2900" s="6"/>
    </row>
    <row r="2901" spans="1:4" ht="13" thickBot="1" x14ac:dyDescent="0.3">
      <c r="A2901" s="9">
        <f ca="1"/>
        <v>39791</v>
      </c>
      <c r="B2901" s="6">
        <v>34.549999999999997</v>
      </c>
      <c r="C2901" s="6"/>
      <c r="D2901" s="6"/>
    </row>
    <row r="2902" spans="1:4" ht="13" thickBot="1" x14ac:dyDescent="0.3">
      <c r="A2902" s="9">
        <f ca="1"/>
        <v>39792</v>
      </c>
      <c r="B2902" s="6">
        <v>35.590000000000003</v>
      </c>
      <c r="C2902" s="6"/>
      <c r="D2902" s="6"/>
    </row>
    <row r="2903" spans="1:4" ht="13" thickBot="1" x14ac:dyDescent="0.3">
      <c r="A2903" s="9">
        <f ca="1"/>
        <v>39793</v>
      </c>
      <c r="B2903" s="6">
        <v>33.909999999999997</v>
      </c>
      <c r="C2903" s="6"/>
      <c r="D2903" s="6"/>
    </row>
    <row r="2904" spans="1:4" ht="13" thickBot="1" x14ac:dyDescent="0.3">
      <c r="A2904" s="9">
        <f ca="1"/>
        <v>39794</v>
      </c>
      <c r="B2904" s="6">
        <v>32.96</v>
      </c>
      <c r="C2904" s="6"/>
      <c r="D2904" s="6"/>
    </row>
    <row r="2905" spans="1:4" ht="13" thickBot="1" x14ac:dyDescent="0.3">
      <c r="A2905" s="9">
        <f ca="1"/>
        <v>39795</v>
      </c>
      <c r="B2905" s="5">
        <f t="shared" ref="B2905:B2906" si="414">B2904</f>
        <v>32.96</v>
      </c>
      <c r="C2905" s="6"/>
      <c r="D2905" s="6"/>
    </row>
    <row r="2906" spans="1:4" ht="13" thickBot="1" x14ac:dyDescent="0.3">
      <c r="A2906" s="9">
        <f ca="1"/>
        <v>39796</v>
      </c>
      <c r="B2906" s="5">
        <f t="shared" si="414"/>
        <v>32.96</v>
      </c>
      <c r="C2906" s="6"/>
      <c r="D2906" s="6"/>
    </row>
    <row r="2907" spans="1:4" ht="13" thickBot="1" x14ac:dyDescent="0.3">
      <c r="A2907" s="9">
        <f ca="1"/>
        <v>39797</v>
      </c>
      <c r="B2907" s="6">
        <v>34.409999999999997</v>
      </c>
      <c r="C2907" s="6"/>
      <c r="D2907" s="6"/>
    </row>
    <row r="2908" spans="1:4" ht="13" thickBot="1" x14ac:dyDescent="0.3">
      <c r="A2908" s="9">
        <f ca="1"/>
        <v>39798</v>
      </c>
      <c r="B2908" s="6">
        <v>34.880000000000003</v>
      </c>
      <c r="C2908" s="6"/>
      <c r="D2908" s="6"/>
    </row>
    <row r="2909" spans="1:4" ht="13" thickBot="1" x14ac:dyDescent="0.3">
      <c r="A2909" s="9">
        <f ca="1"/>
        <v>39799</v>
      </c>
      <c r="B2909" s="6">
        <v>34.799999999999997</v>
      </c>
      <c r="C2909" s="6"/>
      <c r="D2909" s="6"/>
    </row>
    <row r="2910" spans="1:4" ht="13" thickBot="1" x14ac:dyDescent="0.3">
      <c r="A2910" s="9">
        <f ca="1"/>
        <v>39800</v>
      </c>
      <c r="B2910" s="6">
        <v>35.76</v>
      </c>
      <c r="C2910" s="6"/>
      <c r="D2910" s="6"/>
    </row>
    <row r="2911" spans="1:4" ht="13" thickBot="1" x14ac:dyDescent="0.3">
      <c r="A2911" s="9">
        <f ca="1"/>
        <v>39801</v>
      </c>
      <c r="B2911" s="6">
        <v>35</v>
      </c>
      <c r="C2911" s="6"/>
      <c r="D2911" s="6"/>
    </row>
    <row r="2912" spans="1:4" ht="13" thickBot="1" x14ac:dyDescent="0.3">
      <c r="A2912" s="9">
        <f ca="1"/>
        <v>39802</v>
      </c>
      <c r="B2912" s="5">
        <f t="shared" ref="B2912:B2913" si="415">B2911</f>
        <v>35</v>
      </c>
      <c r="C2912" s="6"/>
      <c r="D2912" s="6"/>
    </row>
    <row r="2913" spans="1:4" ht="13" thickBot="1" x14ac:dyDescent="0.3">
      <c r="A2913" s="9">
        <f ca="1"/>
        <v>39803</v>
      </c>
      <c r="B2913" s="5">
        <f t="shared" si="415"/>
        <v>35</v>
      </c>
      <c r="C2913" s="6"/>
      <c r="D2913" s="6"/>
    </row>
    <row r="2914" spans="1:4" ht="13" thickBot="1" x14ac:dyDescent="0.3">
      <c r="A2914" s="9">
        <f ca="1"/>
        <v>39804</v>
      </c>
      <c r="B2914" s="6">
        <v>34.72</v>
      </c>
      <c r="C2914" s="6"/>
      <c r="D2914" s="6"/>
    </row>
    <row r="2915" spans="1:4" ht="13" thickBot="1" x14ac:dyDescent="0.3">
      <c r="A2915" s="9">
        <f ca="1"/>
        <v>39805</v>
      </c>
      <c r="B2915" s="6">
        <v>34.08</v>
      </c>
      <c r="C2915" s="6"/>
      <c r="D2915" s="6"/>
    </row>
    <row r="2916" spans="1:4" ht="13" thickBot="1" x14ac:dyDescent="0.3">
      <c r="A2916" s="9">
        <f ca="1"/>
        <v>39806</v>
      </c>
      <c r="B2916" s="6">
        <v>33.89</v>
      </c>
      <c r="C2916" s="6"/>
      <c r="D2916" s="6"/>
    </row>
    <row r="2917" spans="1:4" ht="13" thickBot="1" x14ac:dyDescent="0.3">
      <c r="A2917" s="9">
        <f ca="1"/>
        <v>39807</v>
      </c>
      <c r="B2917" s="5">
        <f>B2916</f>
        <v>33.89</v>
      </c>
      <c r="C2917" s="6"/>
      <c r="D2917" s="6"/>
    </row>
    <row r="2918" spans="1:4" ht="13" thickBot="1" x14ac:dyDescent="0.3">
      <c r="A2918" s="9">
        <f ca="1"/>
        <v>39808</v>
      </c>
      <c r="B2918" s="6">
        <v>33.549999999999997</v>
      </c>
      <c r="C2918" s="6"/>
      <c r="D2918" s="6"/>
    </row>
    <row r="2919" spans="1:4" ht="13" thickBot="1" x14ac:dyDescent="0.3">
      <c r="A2919" s="9">
        <f ca="1"/>
        <v>39809</v>
      </c>
      <c r="B2919" s="5">
        <f t="shared" ref="B2919:B2920" si="416">B2918</f>
        <v>33.549999999999997</v>
      </c>
      <c r="C2919" s="6"/>
      <c r="D2919" s="6"/>
    </row>
    <row r="2920" spans="1:4" ht="13" thickBot="1" x14ac:dyDescent="0.3">
      <c r="A2920" s="9">
        <f ca="1"/>
        <v>39810</v>
      </c>
      <c r="B2920" s="5">
        <f t="shared" si="416"/>
        <v>33.549999999999997</v>
      </c>
      <c r="C2920" s="6"/>
      <c r="D2920" s="6"/>
    </row>
    <row r="2921" spans="1:4" ht="13" thickBot="1" x14ac:dyDescent="0.3">
      <c r="A2921" s="9">
        <f ca="1"/>
        <v>39811</v>
      </c>
      <c r="B2921" s="6">
        <v>34.65</v>
      </c>
      <c r="C2921" s="6"/>
      <c r="D2921" s="6"/>
    </row>
    <row r="2922" spans="1:4" ht="13" thickBot="1" x14ac:dyDescent="0.3">
      <c r="A2922" s="9">
        <f ca="1"/>
        <v>39812</v>
      </c>
      <c r="B2922" s="6">
        <v>35.08</v>
      </c>
      <c r="C2922" s="6"/>
      <c r="D2922" s="6"/>
    </row>
    <row r="2923" spans="1:4" ht="13" thickBot="1" x14ac:dyDescent="0.3">
      <c r="A2923" s="9">
        <f ca="1"/>
        <v>39813</v>
      </c>
      <c r="B2923" s="6">
        <v>35.630000000000003</v>
      </c>
      <c r="C2923" s="6"/>
      <c r="D2923" s="6"/>
    </row>
    <row r="2924" spans="1:4" ht="13" thickBot="1" x14ac:dyDescent="0.3">
      <c r="A2924" s="9">
        <f ca="1"/>
        <v>39814</v>
      </c>
      <c r="B2924" s="5">
        <f>B2923</f>
        <v>35.630000000000003</v>
      </c>
      <c r="C2924" s="6"/>
      <c r="D2924" s="6"/>
    </row>
    <row r="2925" spans="1:4" ht="13" thickBot="1" x14ac:dyDescent="0.3">
      <c r="A2925" s="9">
        <f ca="1"/>
        <v>39815</v>
      </c>
      <c r="B2925" s="6">
        <v>35.65</v>
      </c>
      <c r="C2925" s="6"/>
      <c r="D2925" s="6"/>
    </row>
    <row r="2926" spans="1:4" ht="13" thickBot="1" x14ac:dyDescent="0.3">
      <c r="A2926" s="9">
        <f ca="1"/>
        <v>39816</v>
      </c>
      <c r="B2926" s="5">
        <f t="shared" ref="B2926:B2927" si="417">B2925</f>
        <v>35.65</v>
      </c>
      <c r="C2926" s="6"/>
      <c r="D2926" s="6"/>
    </row>
    <row r="2927" spans="1:4" ht="13" thickBot="1" x14ac:dyDescent="0.3">
      <c r="A2927" s="9">
        <f ca="1"/>
        <v>39817</v>
      </c>
      <c r="B2927" s="5">
        <f t="shared" si="417"/>
        <v>35.65</v>
      </c>
      <c r="C2927" s="6"/>
      <c r="D2927" s="6"/>
    </row>
    <row r="2928" spans="1:4" ht="13" thickBot="1" x14ac:dyDescent="0.3">
      <c r="A2928" s="9">
        <f ca="1"/>
        <v>39818</v>
      </c>
      <c r="B2928" s="6">
        <v>35.39</v>
      </c>
      <c r="C2928" s="6"/>
      <c r="D2928" s="6"/>
    </row>
    <row r="2929" spans="1:4" ht="13" thickBot="1" x14ac:dyDescent="0.3">
      <c r="A2929" s="9">
        <f ca="1"/>
        <v>39819</v>
      </c>
      <c r="B2929" s="6">
        <v>35.64</v>
      </c>
      <c r="C2929" s="6"/>
      <c r="D2929" s="6"/>
    </row>
    <row r="2930" spans="1:4" ht="13" thickBot="1" x14ac:dyDescent="0.3">
      <c r="A2930" s="9">
        <f ca="1"/>
        <v>39820</v>
      </c>
      <c r="B2930" s="6">
        <v>36.68</v>
      </c>
      <c r="C2930" s="6"/>
      <c r="D2930" s="6"/>
    </row>
    <row r="2931" spans="1:4" ht="13" thickBot="1" x14ac:dyDescent="0.3">
      <c r="A2931" s="9">
        <f ca="1"/>
        <v>39821</v>
      </c>
      <c r="B2931" s="6">
        <v>36.74</v>
      </c>
      <c r="C2931" s="6"/>
      <c r="D2931" s="6"/>
    </row>
    <row r="2932" spans="1:4" ht="13" thickBot="1" x14ac:dyDescent="0.3">
      <c r="A2932" s="9">
        <f ca="1"/>
        <v>39822</v>
      </c>
      <c r="B2932" s="6">
        <v>37.04</v>
      </c>
      <c r="C2932" s="6"/>
      <c r="D2932" s="6"/>
    </row>
    <row r="2933" spans="1:4" ht="13" thickBot="1" x14ac:dyDescent="0.3">
      <c r="A2933" s="9">
        <f ca="1"/>
        <v>39823</v>
      </c>
      <c r="B2933" s="5">
        <f t="shared" ref="B2933:B2934" si="418">B2932</f>
        <v>37.04</v>
      </c>
      <c r="C2933" s="6"/>
      <c r="D2933" s="6"/>
    </row>
    <row r="2934" spans="1:4" ht="13" thickBot="1" x14ac:dyDescent="0.3">
      <c r="A2934" s="9">
        <f ca="1"/>
        <v>39824</v>
      </c>
      <c r="B2934" s="5">
        <f t="shared" si="418"/>
        <v>37.04</v>
      </c>
      <c r="C2934" s="6"/>
      <c r="D2934" s="6"/>
    </row>
    <row r="2935" spans="1:4" ht="13" thickBot="1" x14ac:dyDescent="0.3">
      <c r="A2935" s="9">
        <f ca="1"/>
        <v>39825</v>
      </c>
      <c r="B2935" s="6">
        <v>36.67</v>
      </c>
      <c r="C2935" s="6"/>
      <c r="D2935" s="6"/>
    </row>
    <row r="2936" spans="1:4" ht="13" thickBot="1" x14ac:dyDescent="0.3">
      <c r="A2936" s="9">
        <f ca="1"/>
        <v>39826</v>
      </c>
      <c r="B2936" s="6">
        <v>35.82</v>
      </c>
      <c r="C2936" s="6"/>
      <c r="D2936" s="6"/>
    </row>
    <row r="2937" spans="1:4" ht="13" thickBot="1" x14ac:dyDescent="0.3">
      <c r="A2937" s="9">
        <f ca="1"/>
        <v>39827</v>
      </c>
      <c r="B2937" s="6">
        <v>34.92</v>
      </c>
      <c r="C2937" s="6"/>
      <c r="D2937" s="6"/>
    </row>
    <row r="2938" spans="1:4" ht="13" thickBot="1" x14ac:dyDescent="0.3">
      <c r="A2938" s="9">
        <f ca="1"/>
        <v>39828</v>
      </c>
      <c r="B2938" s="6">
        <v>34.090000000000003</v>
      </c>
      <c r="C2938" s="6"/>
      <c r="D2938" s="6"/>
    </row>
    <row r="2939" spans="1:4" ht="13" thickBot="1" x14ac:dyDescent="0.3">
      <c r="A2939" s="9">
        <f ca="1"/>
        <v>39829</v>
      </c>
      <c r="B2939" s="6">
        <v>36.08</v>
      </c>
      <c r="C2939" s="6"/>
      <c r="D2939" s="6"/>
    </row>
    <row r="2940" spans="1:4" ht="13" thickBot="1" x14ac:dyDescent="0.3">
      <c r="A2940" s="9">
        <f ca="1"/>
        <v>39830</v>
      </c>
      <c r="B2940" s="5">
        <f t="shared" ref="B2940:B2942" si="419">B2939</f>
        <v>36.08</v>
      </c>
      <c r="C2940" s="6"/>
      <c r="D2940" s="6"/>
    </row>
    <row r="2941" spans="1:4" ht="13" thickBot="1" x14ac:dyDescent="0.3">
      <c r="A2941" s="9">
        <f ca="1"/>
        <v>39831</v>
      </c>
      <c r="B2941" s="5">
        <f t="shared" si="419"/>
        <v>36.08</v>
      </c>
      <c r="C2941" s="6"/>
      <c r="D2941" s="6"/>
    </row>
    <row r="2942" spans="1:4" ht="13" thickBot="1" x14ac:dyDescent="0.3">
      <c r="A2942" s="9">
        <f ca="1"/>
        <v>39832</v>
      </c>
      <c r="B2942" s="5">
        <f t="shared" si="419"/>
        <v>36.08</v>
      </c>
      <c r="C2942" s="6"/>
      <c r="D2942" s="6"/>
    </row>
    <row r="2943" spans="1:4" ht="13" thickBot="1" x14ac:dyDescent="0.3">
      <c r="A2943" s="9">
        <f ca="1"/>
        <v>39833</v>
      </c>
      <c r="B2943" s="6">
        <v>33.51</v>
      </c>
      <c r="C2943" s="6"/>
      <c r="D2943" s="6"/>
    </row>
    <row r="2944" spans="1:4" ht="13" thickBot="1" x14ac:dyDescent="0.3">
      <c r="A2944" s="9">
        <f ca="1"/>
        <v>39834</v>
      </c>
      <c r="B2944" s="6">
        <v>34.4</v>
      </c>
      <c r="C2944" s="6"/>
      <c r="D2944" s="6"/>
    </row>
    <row r="2945" spans="1:4" ht="13" thickBot="1" x14ac:dyDescent="0.3">
      <c r="A2945" s="9">
        <f ca="1"/>
        <v>39835</v>
      </c>
      <c r="B2945" s="6">
        <v>34.58</v>
      </c>
      <c r="C2945" s="6"/>
      <c r="D2945" s="6"/>
    </row>
    <row r="2946" spans="1:4" ht="13" thickBot="1" x14ac:dyDescent="0.3">
      <c r="A2946" s="9">
        <f ca="1"/>
        <v>39836</v>
      </c>
      <c r="B2946" s="6">
        <v>33.04</v>
      </c>
      <c r="C2946" s="6"/>
      <c r="D2946" s="6"/>
    </row>
    <row r="2947" spans="1:4" ht="13" thickBot="1" x14ac:dyDescent="0.3">
      <c r="A2947" s="9">
        <f ca="1"/>
        <v>39837</v>
      </c>
      <c r="B2947" s="5">
        <f t="shared" ref="B2947:B2948" si="420">B2946</f>
        <v>33.04</v>
      </c>
      <c r="C2947" s="6"/>
      <c r="D2947" s="6"/>
    </row>
    <row r="2948" spans="1:4" ht="13" thickBot="1" x14ac:dyDescent="0.3">
      <c r="A2948" s="9">
        <f ca="1"/>
        <v>39838</v>
      </c>
      <c r="B2948" s="5">
        <f t="shared" si="420"/>
        <v>33.04</v>
      </c>
      <c r="C2948" s="6"/>
      <c r="D2948" s="6"/>
    </row>
    <row r="2949" spans="1:4" ht="13" thickBot="1" x14ac:dyDescent="0.3">
      <c r="A2949" s="9">
        <f ca="1"/>
        <v>39839</v>
      </c>
      <c r="B2949" s="6">
        <v>33.380000000000003</v>
      </c>
      <c r="C2949" s="6"/>
      <c r="D2949" s="6"/>
    </row>
    <row r="2950" spans="1:4" ht="13" thickBot="1" x14ac:dyDescent="0.3">
      <c r="A2950" s="9">
        <f ca="1"/>
        <v>39840</v>
      </c>
      <c r="B2950" s="6">
        <v>34.46</v>
      </c>
      <c r="C2950" s="6"/>
      <c r="D2950" s="6"/>
    </row>
    <row r="2951" spans="1:4" ht="13" thickBot="1" x14ac:dyDescent="0.3">
      <c r="A2951" s="9">
        <f ca="1"/>
        <v>39841</v>
      </c>
      <c r="B2951" s="6">
        <v>36.94</v>
      </c>
      <c r="C2951" s="6"/>
      <c r="D2951" s="6"/>
    </row>
    <row r="2952" spans="1:4" ht="13" thickBot="1" x14ac:dyDescent="0.3">
      <c r="A2952" s="9">
        <f ca="1"/>
        <v>39842</v>
      </c>
      <c r="B2952" s="6">
        <v>36.46</v>
      </c>
      <c r="C2952" s="6"/>
      <c r="D2952" s="6"/>
    </row>
    <row r="2953" spans="1:4" ht="13" thickBot="1" x14ac:dyDescent="0.3">
      <c r="A2953" s="9">
        <f ca="1"/>
        <v>39843</v>
      </c>
      <c r="B2953" s="6">
        <v>36.39</v>
      </c>
      <c r="C2953" s="6"/>
      <c r="D2953" s="6"/>
    </row>
    <row r="2954" spans="1:4" ht="13" thickBot="1" x14ac:dyDescent="0.3">
      <c r="A2954" s="9">
        <f ca="1"/>
        <v>39844</v>
      </c>
      <c r="B2954" s="5">
        <f t="shared" ref="B2954:B2955" si="421">B2953</f>
        <v>36.39</v>
      </c>
      <c r="C2954" s="6"/>
      <c r="D2954" s="6"/>
    </row>
    <row r="2955" spans="1:4" ht="13" thickBot="1" x14ac:dyDescent="0.3">
      <c r="A2955" s="9">
        <f ca="1"/>
        <v>39845</v>
      </c>
      <c r="B2955" s="5">
        <f t="shared" si="421"/>
        <v>36.39</v>
      </c>
      <c r="C2955" s="6"/>
      <c r="D2955" s="6"/>
    </row>
    <row r="2956" spans="1:4" ht="13" thickBot="1" x14ac:dyDescent="0.3">
      <c r="A2956" s="9">
        <f ca="1"/>
        <v>39846</v>
      </c>
      <c r="B2956" s="6">
        <v>35.03</v>
      </c>
      <c r="C2956" s="6"/>
      <c r="D2956" s="6"/>
    </row>
    <row r="2957" spans="1:4" ht="13" thickBot="1" x14ac:dyDescent="0.3">
      <c r="A2957" s="9">
        <f ca="1"/>
        <v>39847</v>
      </c>
      <c r="B2957" s="6">
        <v>35.92</v>
      </c>
      <c r="C2957" s="6"/>
      <c r="D2957" s="6"/>
    </row>
    <row r="2958" spans="1:4" ht="13" thickBot="1" x14ac:dyDescent="0.3">
      <c r="A2958" s="9">
        <f ca="1"/>
        <v>39848</v>
      </c>
      <c r="B2958" s="6">
        <v>36.35</v>
      </c>
      <c r="C2958" s="6"/>
      <c r="D2958" s="6"/>
    </row>
    <row r="2959" spans="1:4" ht="13" thickBot="1" x14ac:dyDescent="0.3">
      <c r="A2959" s="9">
        <f ca="1"/>
        <v>39849</v>
      </c>
      <c r="B2959" s="6">
        <v>37.04</v>
      </c>
      <c r="C2959" s="6"/>
      <c r="D2959" s="6"/>
    </row>
    <row r="2960" spans="1:4" ht="13" thickBot="1" x14ac:dyDescent="0.3">
      <c r="A2960" s="9">
        <f ca="1"/>
        <v>39850</v>
      </c>
      <c r="B2960" s="6">
        <v>37.450000000000003</v>
      </c>
      <c r="C2960" s="6"/>
      <c r="D2960" s="6"/>
    </row>
    <row r="2961" spans="1:4" ht="13" thickBot="1" x14ac:dyDescent="0.3">
      <c r="A2961" s="9">
        <f ca="1"/>
        <v>39851</v>
      </c>
      <c r="B2961" s="5">
        <f t="shared" ref="B2961:B2962" si="422">B2960</f>
        <v>37.450000000000003</v>
      </c>
      <c r="C2961" s="6"/>
      <c r="D2961" s="6"/>
    </row>
    <row r="2962" spans="1:4" ht="13" thickBot="1" x14ac:dyDescent="0.3">
      <c r="A2962" s="9">
        <f ca="1"/>
        <v>39852</v>
      </c>
      <c r="B2962" s="5">
        <f t="shared" si="422"/>
        <v>37.450000000000003</v>
      </c>
      <c r="C2962" s="6"/>
      <c r="D2962" s="6"/>
    </row>
    <row r="2963" spans="1:4" ht="13" thickBot="1" x14ac:dyDescent="0.3">
      <c r="A2963" s="9">
        <f ca="1"/>
        <v>39853</v>
      </c>
      <c r="B2963" s="6">
        <v>38.770000000000003</v>
      </c>
      <c r="C2963" s="6"/>
      <c r="D2963" s="6"/>
    </row>
    <row r="2964" spans="1:4" ht="13" thickBot="1" x14ac:dyDescent="0.3">
      <c r="A2964" s="9">
        <f ca="1"/>
        <v>39854</v>
      </c>
      <c r="B2964" s="6">
        <v>37.94</v>
      </c>
      <c r="C2964" s="6"/>
      <c r="D2964" s="6"/>
    </row>
    <row r="2965" spans="1:4" ht="13" thickBot="1" x14ac:dyDescent="0.3">
      <c r="A2965" s="9">
        <f ca="1"/>
        <v>39855</v>
      </c>
      <c r="B2965" s="6">
        <v>37.44</v>
      </c>
      <c r="C2965" s="6"/>
      <c r="D2965" s="6"/>
    </row>
    <row r="2966" spans="1:4" ht="13" thickBot="1" x14ac:dyDescent="0.3">
      <c r="A2966" s="9">
        <f ca="1"/>
        <v>39856</v>
      </c>
      <c r="B2966" s="6">
        <v>36.299999999999997</v>
      </c>
      <c r="C2966" s="6"/>
      <c r="D2966" s="6"/>
    </row>
    <row r="2967" spans="1:4" ht="13" thickBot="1" x14ac:dyDescent="0.3">
      <c r="A2967" s="9">
        <f ca="1"/>
        <v>39857</v>
      </c>
      <c r="B2967" s="6">
        <v>36.82</v>
      </c>
      <c r="C2967" s="6"/>
      <c r="D2967" s="6"/>
    </row>
    <row r="2968" spans="1:4" ht="13" thickBot="1" x14ac:dyDescent="0.3">
      <c r="A2968" s="9">
        <f ca="1"/>
        <v>39858</v>
      </c>
      <c r="B2968" s="5">
        <f t="shared" ref="B2968:B2970" si="423">B2967</f>
        <v>36.82</v>
      </c>
      <c r="C2968" s="6"/>
      <c r="D2968" s="6"/>
    </row>
    <row r="2969" spans="1:4" ht="13" thickBot="1" x14ac:dyDescent="0.3">
      <c r="A2969" s="9">
        <f ca="1"/>
        <v>39859</v>
      </c>
      <c r="B2969" s="5">
        <f t="shared" si="423"/>
        <v>36.82</v>
      </c>
      <c r="C2969" s="6"/>
      <c r="D2969" s="6"/>
    </row>
    <row r="2970" spans="1:4" ht="13" thickBot="1" x14ac:dyDescent="0.3">
      <c r="A2970" s="9">
        <f ca="1"/>
        <v>39860</v>
      </c>
      <c r="B2970" s="5">
        <f t="shared" si="423"/>
        <v>36.82</v>
      </c>
      <c r="C2970" s="6"/>
      <c r="D2970" s="6"/>
    </row>
    <row r="2971" spans="1:4" ht="13" thickBot="1" x14ac:dyDescent="0.3">
      <c r="A2971" s="9">
        <f ca="1"/>
        <v>39861</v>
      </c>
      <c r="B2971" s="6">
        <v>35.840000000000003</v>
      </c>
      <c r="C2971" s="6"/>
      <c r="D2971" s="6"/>
    </row>
    <row r="2972" spans="1:4" ht="13" thickBot="1" x14ac:dyDescent="0.3">
      <c r="A2972" s="9">
        <f ca="1"/>
        <v>39862</v>
      </c>
      <c r="B2972" s="6">
        <v>35.200000000000003</v>
      </c>
      <c r="C2972" s="6"/>
      <c r="D2972" s="6"/>
    </row>
    <row r="2973" spans="1:4" ht="13" thickBot="1" x14ac:dyDescent="0.3">
      <c r="A2973" s="9">
        <f ca="1"/>
        <v>39863</v>
      </c>
      <c r="B2973" s="6">
        <v>34.880000000000003</v>
      </c>
      <c r="C2973" s="6"/>
      <c r="D2973" s="6"/>
    </row>
    <row r="2974" spans="1:4" ht="13" thickBot="1" x14ac:dyDescent="0.3">
      <c r="A2974" s="9">
        <f ca="1"/>
        <v>39864</v>
      </c>
      <c r="B2974" s="6">
        <v>32.479999999999997</v>
      </c>
      <c r="C2974" s="6"/>
      <c r="D2974" s="6"/>
    </row>
    <row r="2975" spans="1:4" ht="13" thickBot="1" x14ac:dyDescent="0.3">
      <c r="A2975" s="9">
        <f ca="1"/>
        <v>39865</v>
      </c>
      <c r="B2975" s="5">
        <f t="shared" ref="B2975:B2976" si="424">B2974</f>
        <v>32.479999999999997</v>
      </c>
      <c r="C2975" s="6"/>
      <c r="D2975" s="6"/>
    </row>
    <row r="2976" spans="1:4" ht="13" thickBot="1" x14ac:dyDescent="0.3">
      <c r="A2976" s="9">
        <f ca="1"/>
        <v>39866</v>
      </c>
      <c r="B2976" s="5">
        <f t="shared" si="424"/>
        <v>32.479999999999997</v>
      </c>
      <c r="C2976" s="6"/>
      <c r="D2976" s="6"/>
    </row>
    <row r="2977" spans="1:4" ht="13" thickBot="1" x14ac:dyDescent="0.3">
      <c r="A2977" s="9">
        <f ca="1"/>
        <v>39867</v>
      </c>
      <c r="B2977" s="6">
        <v>34.03</v>
      </c>
      <c r="C2977" s="6"/>
      <c r="D2977" s="6"/>
    </row>
    <row r="2978" spans="1:4" ht="13" thickBot="1" x14ac:dyDescent="0.3">
      <c r="A2978" s="9">
        <f ca="1"/>
        <v>39868</v>
      </c>
      <c r="B2978" s="6">
        <v>33.22</v>
      </c>
      <c r="C2978" s="6"/>
      <c r="D2978" s="6"/>
    </row>
    <row r="2979" spans="1:4" ht="13" thickBot="1" x14ac:dyDescent="0.3">
      <c r="A2979" s="9">
        <f ca="1"/>
        <v>39869</v>
      </c>
      <c r="B2979" s="6">
        <v>33.799999999999997</v>
      </c>
      <c r="C2979" s="6"/>
      <c r="D2979" s="6"/>
    </row>
    <row r="2980" spans="1:4" ht="13" thickBot="1" x14ac:dyDescent="0.3">
      <c r="A2980" s="9">
        <f ca="1"/>
        <v>39870</v>
      </c>
      <c r="B2980" s="6">
        <v>33.299999999999997</v>
      </c>
      <c r="C2980" s="6"/>
      <c r="D2980" s="6"/>
    </row>
    <row r="2981" spans="1:4" ht="13" thickBot="1" x14ac:dyDescent="0.3">
      <c r="A2981" s="9">
        <f ca="1"/>
        <v>39871</v>
      </c>
      <c r="B2981" s="6">
        <v>31.97</v>
      </c>
      <c r="C2981" s="6"/>
      <c r="D2981" s="6"/>
    </row>
    <row r="2982" spans="1:4" ht="13" thickBot="1" x14ac:dyDescent="0.3">
      <c r="A2982" s="9">
        <f ca="1"/>
        <v>39872</v>
      </c>
      <c r="B2982" s="5">
        <f t="shared" ref="B2982:B2983" si="425">B2981</f>
        <v>31.97</v>
      </c>
      <c r="C2982" s="6"/>
      <c r="D2982" s="6"/>
    </row>
    <row r="2983" spans="1:4" ht="13" thickBot="1" x14ac:dyDescent="0.3">
      <c r="A2983" s="9">
        <f ca="1"/>
        <v>39873</v>
      </c>
      <c r="B2983" s="5">
        <f t="shared" si="425"/>
        <v>31.97</v>
      </c>
      <c r="C2983" s="6"/>
      <c r="D2983" s="6"/>
    </row>
    <row r="2984" spans="1:4" ht="13" thickBot="1" x14ac:dyDescent="0.3">
      <c r="A2984" s="9">
        <f ca="1"/>
        <v>39874</v>
      </c>
      <c r="B2984" s="6">
        <v>32.03</v>
      </c>
      <c r="C2984" s="6"/>
      <c r="D2984" s="6"/>
    </row>
    <row r="2985" spans="1:4" ht="13" thickBot="1" x14ac:dyDescent="0.3">
      <c r="A2985" s="9">
        <f ca="1"/>
        <v>39875</v>
      </c>
      <c r="B2985" s="6">
        <v>32.64</v>
      </c>
      <c r="C2985" s="6"/>
      <c r="D2985" s="6"/>
    </row>
    <row r="2986" spans="1:4" ht="13" thickBot="1" x14ac:dyDescent="0.3">
      <c r="A2986" s="9">
        <f ca="1"/>
        <v>39876</v>
      </c>
      <c r="B2986" s="6">
        <v>32.64</v>
      </c>
      <c r="C2986" s="6"/>
      <c r="D2986" s="6"/>
    </row>
    <row r="2987" spans="1:4" ht="13" thickBot="1" x14ac:dyDescent="0.3">
      <c r="A2987" s="9">
        <f ca="1"/>
        <v>39877</v>
      </c>
      <c r="B2987" s="6">
        <v>32.53</v>
      </c>
      <c r="C2987" s="6"/>
      <c r="D2987" s="6"/>
    </row>
    <row r="2988" spans="1:4" ht="13" thickBot="1" x14ac:dyDescent="0.3">
      <c r="A2988" s="9">
        <f ca="1"/>
        <v>39878</v>
      </c>
      <c r="B2988" s="6">
        <v>32.36</v>
      </c>
      <c r="C2988" s="6"/>
      <c r="D2988" s="6"/>
    </row>
    <row r="2989" spans="1:4" ht="13" thickBot="1" x14ac:dyDescent="0.3">
      <c r="A2989" s="9">
        <f ca="1"/>
        <v>39879</v>
      </c>
      <c r="B2989" s="5">
        <f t="shared" ref="B2989:B2990" si="426">B2988</f>
        <v>32.36</v>
      </c>
      <c r="C2989" s="6"/>
      <c r="D2989" s="6"/>
    </row>
    <row r="2990" spans="1:4" ht="13" thickBot="1" x14ac:dyDescent="0.3">
      <c r="A2990" s="9">
        <f ca="1"/>
        <v>39880</v>
      </c>
      <c r="B2990" s="5">
        <f t="shared" si="426"/>
        <v>32.36</v>
      </c>
      <c r="C2990" s="6"/>
      <c r="D2990" s="6"/>
    </row>
    <row r="2991" spans="1:4" ht="13" thickBot="1" x14ac:dyDescent="0.3">
      <c r="A2991" s="9">
        <f ca="1"/>
        <v>39881</v>
      </c>
      <c r="B2991" s="6">
        <v>31.13</v>
      </c>
      <c r="C2991" s="6"/>
      <c r="D2991" s="6"/>
    </row>
    <row r="2992" spans="1:4" ht="13" thickBot="1" x14ac:dyDescent="0.3">
      <c r="A2992" s="9">
        <f ca="1"/>
        <v>39882</v>
      </c>
      <c r="B2992" s="6">
        <v>33.159999999999997</v>
      </c>
      <c r="C2992" s="6"/>
      <c r="D2992" s="6"/>
    </row>
    <row r="2993" spans="1:4" ht="13" thickBot="1" x14ac:dyDescent="0.3">
      <c r="A2993" s="9">
        <f ca="1"/>
        <v>39883</v>
      </c>
      <c r="B2993" s="6">
        <v>33.92</v>
      </c>
      <c r="C2993" s="6"/>
      <c r="D2993" s="6"/>
    </row>
    <row r="2994" spans="1:4" ht="13" thickBot="1" x14ac:dyDescent="0.3">
      <c r="A2994" s="9">
        <f ca="1"/>
        <v>39884</v>
      </c>
      <c r="B2994" s="6">
        <v>33.43</v>
      </c>
      <c r="C2994" s="6"/>
      <c r="D2994" s="6"/>
    </row>
    <row r="2995" spans="1:4" ht="13" thickBot="1" x14ac:dyDescent="0.3">
      <c r="A2995" s="9">
        <f ca="1"/>
        <v>39885</v>
      </c>
      <c r="B2995" s="6">
        <v>33.29</v>
      </c>
      <c r="C2995" s="6"/>
      <c r="D2995" s="6"/>
    </row>
    <row r="2996" spans="1:4" ht="13" thickBot="1" x14ac:dyDescent="0.3">
      <c r="A2996" s="9">
        <f ca="1"/>
        <v>39886</v>
      </c>
      <c r="B2996" s="5">
        <f t="shared" ref="B2996:B2997" si="427">B2995</f>
        <v>33.29</v>
      </c>
      <c r="C2996" s="6"/>
      <c r="D2996" s="6"/>
    </row>
    <row r="2997" spans="1:4" ht="13" thickBot="1" x14ac:dyDescent="0.3">
      <c r="A2997" s="9">
        <f ca="1"/>
        <v>39887</v>
      </c>
      <c r="B2997" s="5">
        <f t="shared" si="427"/>
        <v>33.29</v>
      </c>
      <c r="C2997" s="6"/>
      <c r="D2997" s="6"/>
    </row>
    <row r="2998" spans="1:4" ht="13" thickBot="1" x14ac:dyDescent="0.3">
      <c r="A2998" s="9">
        <f ca="1"/>
        <v>39888</v>
      </c>
      <c r="B2998" s="6">
        <v>34.450000000000003</v>
      </c>
      <c r="C2998" s="6"/>
      <c r="D2998" s="6"/>
    </row>
    <row r="2999" spans="1:4" ht="13" thickBot="1" x14ac:dyDescent="0.3">
      <c r="A2999" s="9">
        <f ca="1"/>
        <v>39889</v>
      </c>
      <c r="B2999" s="6">
        <v>33.96</v>
      </c>
      <c r="C2999" s="6"/>
      <c r="D2999" s="6"/>
    </row>
    <row r="3000" spans="1:4" ht="13" thickBot="1" x14ac:dyDescent="0.3">
      <c r="A3000" s="9">
        <f ca="1"/>
        <v>39890</v>
      </c>
      <c r="B3000" s="6">
        <v>34.71</v>
      </c>
      <c r="C3000" s="6"/>
      <c r="D3000" s="6"/>
    </row>
    <row r="3001" spans="1:4" ht="13" thickBot="1" x14ac:dyDescent="0.3">
      <c r="A3001" s="9">
        <f ca="1"/>
        <v>39891</v>
      </c>
      <c r="B3001" s="6">
        <v>37.799999999999997</v>
      </c>
      <c r="C3001" s="6"/>
      <c r="D3001" s="6"/>
    </row>
    <row r="3002" spans="1:4" ht="13" thickBot="1" x14ac:dyDescent="0.3">
      <c r="A3002" s="9">
        <f ca="1"/>
        <v>39892</v>
      </c>
      <c r="B3002" s="6">
        <v>37.35</v>
      </c>
      <c r="C3002" s="6"/>
      <c r="D3002" s="6"/>
    </row>
    <row r="3003" spans="1:4" ht="13" thickBot="1" x14ac:dyDescent="0.3">
      <c r="A3003" s="9">
        <f ca="1"/>
        <v>39893</v>
      </c>
      <c r="B3003" s="5">
        <f t="shared" ref="B3003:B3004" si="428">B3002</f>
        <v>37.35</v>
      </c>
      <c r="C3003" s="6"/>
      <c r="D3003" s="6"/>
    </row>
    <row r="3004" spans="1:4" ht="13" thickBot="1" x14ac:dyDescent="0.3">
      <c r="A3004" s="9">
        <f ca="1"/>
        <v>39894</v>
      </c>
      <c r="B3004" s="5">
        <f t="shared" si="428"/>
        <v>37.35</v>
      </c>
      <c r="C3004" s="6"/>
      <c r="D3004" s="6"/>
    </row>
    <row r="3005" spans="1:4" ht="13" thickBot="1" x14ac:dyDescent="0.3">
      <c r="A3005" s="9">
        <f ca="1"/>
        <v>39895</v>
      </c>
      <c r="B3005" s="6">
        <v>36.57</v>
      </c>
      <c r="C3005" s="6"/>
      <c r="D3005" s="6"/>
    </row>
    <row r="3006" spans="1:4" ht="13" thickBot="1" x14ac:dyDescent="0.3">
      <c r="A3006" s="9">
        <f ca="1"/>
        <v>39896</v>
      </c>
      <c r="B3006" s="6">
        <v>37.25</v>
      </c>
      <c r="C3006" s="6"/>
      <c r="D3006" s="6"/>
    </row>
    <row r="3007" spans="1:4" ht="13" thickBot="1" x14ac:dyDescent="0.3">
      <c r="A3007" s="9">
        <f ca="1"/>
        <v>39897</v>
      </c>
      <c r="B3007" s="6">
        <v>37.28</v>
      </c>
      <c r="C3007" s="6"/>
      <c r="D3007" s="6"/>
    </row>
    <row r="3008" spans="1:4" ht="13" thickBot="1" x14ac:dyDescent="0.3">
      <c r="A3008" s="9">
        <f ca="1"/>
        <v>39898</v>
      </c>
      <c r="B3008" s="6">
        <v>36.83</v>
      </c>
      <c r="C3008" s="6"/>
      <c r="D3008" s="6"/>
    </row>
    <row r="3009" spans="1:4" ht="13" thickBot="1" x14ac:dyDescent="0.3">
      <c r="A3009" s="9">
        <f ca="1"/>
        <v>39899</v>
      </c>
      <c r="B3009" s="6">
        <v>35.479999999999997</v>
      </c>
      <c r="C3009" s="6"/>
      <c r="D3009" s="6"/>
    </row>
    <row r="3010" spans="1:4" ht="13" thickBot="1" x14ac:dyDescent="0.3">
      <c r="A3010" s="9">
        <f ca="1"/>
        <v>39900</v>
      </c>
      <c r="B3010" s="5">
        <f t="shared" ref="B3010:B3011" si="429">B3009</f>
        <v>35.479999999999997</v>
      </c>
      <c r="C3010" s="6"/>
      <c r="D3010" s="6"/>
    </row>
    <row r="3011" spans="1:4" ht="13" thickBot="1" x14ac:dyDescent="0.3">
      <c r="A3011" s="9">
        <f ca="1"/>
        <v>39901</v>
      </c>
      <c r="B3011" s="5">
        <f t="shared" si="429"/>
        <v>35.479999999999997</v>
      </c>
      <c r="C3011" s="6"/>
      <c r="D3011" s="6"/>
    </row>
    <row r="3012" spans="1:4" ht="13" thickBot="1" x14ac:dyDescent="0.3">
      <c r="A3012" s="9">
        <f ca="1"/>
        <v>39902</v>
      </c>
      <c r="B3012" s="6">
        <v>34.479999999999997</v>
      </c>
      <c r="C3012" s="6"/>
      <c r="D3012" s="6"/>
    </row>
    <row r="3013" spans="1:4" ht="13" thickBot="1" x14ac:dyDescent="0.3">
      <c r="A3013" s="9">
        <f ca="1"/>
        <v>39903</v>
      </c>
      <c r="B3013" s="6">
        <v>35.119999999999997</v>
      </c>
      <c r="C3013" s="6"/>
      <c r="D3013" s="6"/>
    </row>
    <row r="3014" spans="1:4" ht="13" thickBot="1" x14ac:dyDescent="0.3">
      <c r="A3014" s="9">
        <f ca="1"/>
        <v>39904</v>
      </c>
      <c r="B3014" s="6">
        <v>34.85</v>
      </c>
      <c r="C3014" s="6"/>
      <c r="D3014" s="6"/>
    </row>
    <row r="3015" spans="1:4" ht="13" thickBot="1" x14ac:dyDescent="0.3">
      <c r="A3015" s="9">
        <f ca="1"/>
        <v>39905</v>
      </c>
      <c r="B3015" s="6">
        <v>36.5</v>
      </c>
      <c r="C3015" s="6"/>
      <c r="D3015" s="6"/>
    </row>
    <row r="3016" spans="1:4" ht="13" thickBot="1" x14ac:dyDescent="0.3">
      <c r="A3016" s="9">
        <f ca="1"/>
        <v>39906</v>
      </c>
      <c r="B3016" s="6">
        <v>36.4</v>
      </c>
      <c r="C3016" s="6"/>
      <c r="D3016" s="6"/>
    </row>
    <row r="3017" spans="1:4" ht="13" thickBot="1" x14ac:dyDescent="0.3">
      <c r="A3017" s="9">
        <f ca="1"/>
        <v>39907</v>
      </c>
      <c r="B3017" s="5">
        <f t="shared" ref="B3017:B3018" si="430">B3016</f>
        <v>36.4</v>
      </c>
      <c r="C3017" s="6"/>
      <c r="D3017" s="6"/>
    </row>
    <row r="3018" spans="1:4" ht="13" thickBot="1" x14ac:dyDescent="0.3">
      <c r="A3018" s="9">
        <f ca="1"/>
        <v>39908</v>
      </c>
      <c r="B3018" s="5">
        <f t="shared" si="430"/>
        <v>36.4</v>
      </c>
      <c r="C3018" s="6"/>
      <c r="D3018" s="6"/>
    </row>
    <row r="3019" spans="1:4" ht="13" thickBot="1" x14ac:dyDescent="0.3">
      <c r="A3019" s="9">
        <f ca="1"/>
        <v>39909</v>
      </c>
      <c r="B3019" s="6">
        <v>36.869999999999997</v>
      </c>
      <c r="C3019" s="6"/>
      <c r="D3019" s="6"/>
    </row>
    <row r="3020" spans="1:4" ht="13" thickBot="1" x14ac:dyDescent="0.3">
      <c r="A3020" s="9">
        <f ca="1"/>
        <v>39910</v>
      </c>
      <c r="B3020" s="6">
        <v>36.81</v>
      </c>
      <c r="C3020" s="6"/>
      <c r="D3020" s="6"/>
    </row>
    <row r="3021" spans="1:4" ht="13" thickBot="1" x14ac:dyDescent="0.3">
      <c r="A3021" s="9">
        <f ca="1"/>
        <v>39911</v>
      </c>
      <c r="B3021" s="6">
        <v>37.54</v>
      </c>
      <c r="C3021" s="6"/>
      <c r="D3021" s="6"/>
    </row>
    <row r="3022" spans="1:4" ht="13" thickBot="1" x14ac:dyDescent="0.3">
      <c r="A3022" s="9">
        <f ca="1"/>
        <v>39912</v>
      </c>
      <c r="B3022" s="6">
        <v>38.68</v>
      </c>
      <c r="C3022" s="6"/>
      <c r="D3022" s="6"/>
    </row>
    <row r="3023" spans="1:4" ht="13" thickBot="1" x14ac:dyDescent="0.3">
      <c r="A3023" s="9">
        <f ca="1"/>
        <v>39913</v>
      </c>
      <c r="B3023" s="5">
        <f t="shared" ref="B3023:B3025" si="431">B3022</f>
        <v>38.68</v>
      </c>
      <c r="C3023" s="6"/>
      <c r="D3023" s="6"/>
    </row>
    <row r="3024" spans="1:4" ht="13" thickBot="1" x14ac:dyDescent="0.3">
      <c r="A3024" s="9">
        <f ca="1"/>
        <v>39914</v>
      </c>
      <c r="B3024" s="5">
        <f t="shared" si="431"/>
        <v>38.68</v>
      </c>
      <c r="C3024" s="6"/>
      <c r="D3024" s="6"/>
    </row>
    <row r="3025" spans="1:4" ht="13" thickBot="1" x14ac:dyDescent="0.3">
      <c r="A3025" s="9">
        <f ca="1"/>
        <v>39915</v>
      </c>
      <c r="B3025" s="5">
        <f t="shared" si="431"/>
        <v>38.68</v>
      </c>
      <c r="C3025" s="6"/>
      <c r="D3025" s="6"/>
    </row>
    <row r="3026" spans="1:4" ht="13" thickBot="1" x14ac:dyDescent="0.3">
      <c r="A3026" s="9">
        <f ca="1"/>
        <v>39916</v>
      </c>
      <c r="B3026" s="6">
        <v>38.07</v>
      </c>
      <c r="C3026" s="6"/>
      <c r="D3026" s="6"/>
    </row>
    <row r="3027" spans="1:4" ht="13" thickBot="1" x14ac:dyDescent="0.3">
      <c r="A3027" s="9">
        <f ca="1"/>
        <v>39917</v>
      </c>
      <c r="B3027" s="6">
        <v>38.31</v>
      </c>
      <c r="C3027" s="6"/>
      <c r="D3027" s="6"/>
    </row>
    <row r="3028" spans="1:4" ht="13" thickBot="1" x14ac:dyDescent="0.3">
      <c r="A3028" s="9">
        <f ca="1"/>
        <v>39918</v>
      </c>
      <c r="B3028" s="6">
        <v>38.35</v>
      </c>
      <c r="C3028" s="6"/>
      <c r="D3028" s="6"/>
    </row>
    <row r="3029" spans="1:4" ht="13" thickBot="1" x14ac:dyDescent="0.3">
      <c r="A3029" s="9">
        <f ca="1"/>
        <v>39919</v>
      </c>
      <c r="B3029" s="6">
        <v>38.409999999999997</v>
      </c>
      <c r="C3029" s="6"/>
      <c r="D3029" s="6"/>
    </row>
    <row r="3030" spans="1:4" ht="13" thickBot="1" x14ac:dyDescent="0.3">
      <c r="A3030" s="9">
        <f ca="1"/>
        <v>39920</v>
      </c>
      <c r="B3030" s="6">
        <v>38.450000000000003</v>
      </c>
      <c r="C3030" s="6"/>
      <c r="D3030" s="6"/>
    </row>
    <row r="3031" spans="1:4" ht="13" thickBot="1" x14ac:dyDescent="0.3">
      <c r="A3031" s="9">
        <f ca="1"/>
        <v>39921</v>
      </c>
      <c r="B3031" s="5">
        <f t="shared" ref="B3031:B3032" si="432">B3030</f>
        <v>38.450000000000003</v>
      </c>
      <c r="C3031" s="6"/>
      <c r="D3031" s="6"/>
    </row>
    <row r="3032" spans="1:4" ht="13" thickBot="1" x14ac:dyDescent="0.3">
      <c r="A3032" s="9">
        <f ca="1"/>
        <v>39922</v>
      </c>
      <c r="B3032" s="5">
        <f t="shared" si="432"/>
        <v>38.450000000000003</v>
      </c>
      <c r="C3032" s="6"/>
      <c r="D3032" s="6"/>
    </row>
    <row r="3033" spans="1:4" ht="13" thickBot="1" x14ac:dyDescent="0.3">
      <c r="A3033" s="9">
        <f ca="1"/>
        <v>39923</v>
      </c>
      <c r="B3033" s="6">
        <v>37.840000000000003</v>
      </c>
      <c r="C3033" s="6"/>
      <c r="D3033" s="6"/>
    </row>
    <row r="3034" spans="1:4" ht="13" thickBot="1" x14ac:dyDescent="0.3">
      <c r="A3034" s="9">
        <f ca="1"/>
        <v>39924</v>
      </c>
      <c r="B3034" s="6">
        <v>37.4</v>
      </c>
      <c r="C3034" s="6"/>
      <c r="D3034" s="6"/>
    </row>
    <row r="3035" spans="1:4" ht="13" thickBot="1" x14ac:dyDescent="0.3">
      <c r="A3035" s="9">
        <f ca="1"/>
        <v>39925</v>
      </c>
      <c r="B3035" s="6">
        <v>38.24</v>
      </c>
      <c r="C3035" s="6"/>
      <c r="D3035" s="6"/>
    </row>
    <row r="3036" spans="1:4" ht="13" thickBot="1" x14ac:dyDescent="0.3">
      <c r="A3036" s="9">
        <f ca="1"/>
        <v>39926</v>
      </c>
      <c r="B3036" s="6">
        <v>40</v>
      </c>
      <c r="C3036" s="6"/>
      <c r="D3036" s="6"/>
    </row>
    <row r="3037" spans="1:4" ht="13" thickBot="1" x14ac:dyDescent="0.3">
      <c r="A3037" s="9">
        <f ca="1"/>
        <v>39927</v>
      </c>
      <c r="B3037" s="6">
        <v>40.909999999999997</v>
      </c>
      <c r="C3037" s="6"/>
      <c r="D3037" s="6"/>
    </row>
    <row r="3038" spans="1:4" ht="13" thickBot="1" x14ac:dyDescent="0.3">
      <c r="A3038" s="9">
        <f ca="1"/>
        <v>39928</v>
      </c>
      <c r="B3038" s="5">
        <f t="shared" ref="B3038:B3039" si="433">B3037</f>
        <v>40.909999999999997</v>
      </c>
      <c r="C3038" s="6"/>
      <c r="D3038" s="6"/>
    </row>
    <row r="3039" spans="1:4" ht="13" thickBot="1" x14ac:dyDescent="0.3">
      <c r="A3039" s="9">
        <f ca="1"/>
        <v>39929</v>
      </c>
      <c r="B3039" s="5">
        <f t="shared" si="433"/>
        <v>40.909999999999997</v>
      </c>
      <c r="C3039" s="6"/>
      <c r="D3039" s="6"/>
    </row>
    <row r="3040" spans="1:4" ht="13" thickBot="1" x14ac:dyDescent="0.3">
      <c r="A3040" s="9">
        <f ca="1"/>
        <v>39930</v>
      </c>
      <c r="B3040" s="6">
        <v>40.31</v>
      </c>
      <c r="C3040" s="6"/>
      <c r="D3040" s="6"/>
    </row>
    <row r="3041" spans="1:4" ht="13" thickBot="1" x14ac:dyDescent="0.3">
      <c r="A3041" s="9">
        <f ca="1"/>
        <v>39931</v>
      </c>
      <c r="B3041" s="6">
        <v>38.96</v>
      </c>
      <c r="C3041" s="6"/>
      <c r="D3041" s="6"/>
    </row>
    <row r="3042" spans="1:4" ht="13" thickBot="1" x14ac:dyDescent="0.3">
      <c r="A3042" s="9">
        <f ca="1"/>
        <v>39932</v>
      </c>
      <c r="B3042" s="6">
        <v>38.549999999999997</v>
      </c>
      <c r="C3042" s="6"/>
      <c r="D3042" s="6"/>
    </row>
    <row r="3043" spans="1:4" ht="13" thickBot="1" x14ac:dyDescent="0.3">
      <c r="A3043" s="9">
        <f ca="1"/>
        <v>39933</v>
      </c>
      <c r="B3043" s="6">
        <v>38.43</v>
      </c>
      <c r="C3043" s="6"/>
      <c r="D3043" s="6"/>
    </row>
    <row r="3044" spans="1:4" ht="13" thickBot="1" x14ac:dyDescent="0.3">
      <c r="A3044" s="9">
        <f ca="1"/>
        <v>39934</v>
      </c>
      <c r="B3044" s="6">
        <v>38.090000000000003</v>
      </c>
      <c r="C3044" s="6"/>
      <c r="D3044" s="6"/>
    </row>
    <row r="3045" spans="1:4" ht="13" thickBot="1" x14ac:dyDescent="0.3">
      <c r="A3045" s="9">
        <f ca="1"/>
        <v>39935</v>
      </c>
      <c r="B3045" s="5">
        <f t="shared" ref="B3045:B3046" si="434">B3044</f>
        <v>38.090000000000003</v>
      </c>
      <c r="C3045" s="6"/>
      <c r="D3045" s="6"/>
    </row>
    <row r="3046" spans="1:4" ht="13" thickBot="1" x14ac:dyDescent="0.3">
      <c r="A3046" s="9">
        <f ca="1"/>
        <v>39936</v>
      </c>
      <c r="B3046" s="5">
        <f t="shared" si="434"/>
        <v>38.090000000000003</v>
      </c>
      <c r="C3046" s="6"/>
      <c r="D3046" s="6"/>
    </row>
    <row r="3047" spans="1:4" ht="13" thickBot="1" x14ac:dyDescent="0.3">
      <c r="A3047" s="9">
        <f ca="1"/>
        <v>39937</v>
      </c>
      <c r="B3047" s="6">
        <v>38.33</v>
      </c>
      <c r="C3047" s="6"/>
      <c r="D3047" s="6"/>
    </row>
    <row r="3048" spans="1:4" ht="13" thickBot="1" x14ac:dyDescent="0.3">
      <c r="A3048" s="9">
        <f ca="1"/>
        <v>39938</v>
      </c>
      <c r="B3048" s="6">
        <v>38.24</v>
      </c>
      <c r="C3048" s="6"/>
      <c r="D3048" s="6"/>
    </row>
    <row r="3049" spans="1:4" ht="13" thickBot="1" x14ac:dyDescent="0.3">
      <c r="A3049" s="9">
        <f ca="1"/>
        <v>39939</v>
      </c>
      <c r="B3049" s="6">
        <v>38.22</v>
      </c>
      <c r="C3049" s="6"/>
      <c r="D3049" s="6"/>
    </row>
    <row r="3050" spans="1:4" ht="13" thickBot="1" x14ac:dyDescent="0.3">
      <c r="A3050" s="9">
        <f ca="1"/>
        <v>39940</v>
      </c>
      <c r="B3050" s="6">
        <v>38.29</v>
      </c>
      <c r="C3050" s="6"/>
      <c r="D3050" s="6"/>
    </row>
    <row r="3051" spans="1:4" ht="13" thickBot="1" x14ac:dyDescent="0.3">
      <c r="A3051" s="9">
        <f ca="1"/>
        <v>39941</v>
      </c>
      <c r="B3051" s="6">
        <v>38.94</v>
      </c>
      <c r="C3051" s="6"/>
      <c r="D3051" s="6"/>
    </row>
    <row r="3052" spans="1:4" ht="13" thickBot="1" x14ac:dyDescent="0.3">
      <c r="A3052" s="9">
        <f ca="1"/>
        <v>39942</v>
      </c>
      <c r="B3052" s="5">
        <f t="shared" ref="B3052:B3053" si="435">B3051</f>
        <v>38.94</v>
      </c>
      <c r="C3052" s="6"/>
      <c r="D3052" s="6"/>
    </row>
    <row r="3053" spans="1:4" ht="13" thickBot="1" x14ac:dyDescent="0.3">
      <c r="A3053" s="9">
        <f ca="1"/>
        <v>39943</v>
      </c>
      <c r="B3053" s="5">
        <f t="shared" si="435"/>
        <v>38.94</v>
      </c>
      <c r="C3053" s="6"/>
      <c r="D3053" s="6"/>
    </row>
    <row r="3054" spans="1:4" ht="13" thickBot="1" x14ac:dyDescent="0.3">
      <c r="A3054" s="9">
        <f ca="1"/>
        <v>39944</v>
      </c>
      <c r="B3054" s="6">
        <v>39.71</v>
      </c>
      <c r="C3054" s="6"/>
      <c r="D3054" s="6"/>
    </row>
    <row r="3055" spans="1:4" ht="13" thickBot="1" x14ac:dyDescent="0.3">
      <c r="A3055" s="9">
        <f ca="1"/>
        <v>39945</v>
      </c>
      <c r="B3055" s="6">
        <v>40.4</v>
      </c>
      <c r="C3055" s="6"/>
      <c r="D3055" s="6"/>
    </row>
    <row r="3056" spans="1:4" ht="13" thickBot="1" x14ac:dyDescent="0.3">
      <c r="A3056" s="9">
        <f ca="1"/>
        <v>39946</v>
      </c>
      <c r="B3056" s="6">
        <v>40.69</v>
      </c>
      <c r="C3056" s="6"/>
      <c r="D3056" s="6"/>
    </row>
    <row r="3057" spans="1:4" ht="13" thickBot="1" x14ac:dyDescent="0.3">
      <c r="A3057" s="9">
        <f ca="1"/>
        <v>39947</v>
      </c>
      <c r="B3057" s="6">
        <v>40.450000000000003</v>
      </c>
      <c r="C3057" s="6"/>
      <c r="D3057" s="6"/>
    </row>
    <row r="3058" spans="1:4" ht="13" thickBot="1" x14ac:dyDescent="0.3">
      <c r="A3058" s="9">
        <f ca="1"/>
        <v>39948</v>
      </c>
      <c r="B3058" s="6">
        <v>39.200000000000003</v>
      </c>
      <c r="C3058" s="6"/>
      <c r="D3058" s="6"/>
    </row>
    <row r="3059" spans="1:4" ht="13" thickBot="1" x14ac:dyDescent="0.3">
      <c r="A3059" s="9">
        <f ca="1"/>
        <v>39949</v>
      </c>
      <c r="B3059" s="5">
        <f t="shared" ref="B3059:B3060" si="436">B3058</f>
        <v>39.200000000000003</v>
      </c>
      <c r="C3059" s="6"/>
      <c r="D3059" s="6"/>
    </row>
    <row r="3060" spans="1:4" ht="13" thickBot="1" x14ac:dyDescent="0.3">
      <c r="A3060" s="9">
        <f ca="1"/>
        <v>39950</v>
      </c>
      <c r="B3060" s="5">
        <f t="shared" si="436"/>
        <v>39.200000000000003</v>
      </c>
      <c r="C3060" s="6"/>
      <c r="D3060" s="6"/>
    </row>
    <row r="3061" spans="1:4" ht="13" thickBot="1" x14ac:dyDescent="0.3">
      <c r="A3061" s="9">
        <f ca="1"/>
        <v>39951</v>
      </c>
      <c r="B3061" s="6">
        <v>40.630000000000003</v>
      </c>
      <c r="C3061" s="6"/>
      <c r="D3061" s="6"/>
    </row>
    <row r="3062" spans="1:4" ht="13" thickBot="1" x14ac:dyDescent="0.3">
      <c r="A3062" s="9">
        <f ca="1"/>
        <v>39952</v>
      </c>
      <c r="B3062" s="6">
        <v>41.01</v>
      </c>
      <c r="C3062" s="6"/>
      <c r="D3062" s="6"/>
    </row>
    <row r="3063" spans="1:4" ht="13" thickBot="1" x14ac:dyDescent="0.3">
      <c r="A3063" s="9">
        <f ca="1"/>
        <v>39953</v>
      </c>
      <c r="B3063" s="6">
        <v>41.42</v>
      </c>
      <c r="C3063" s="6"/>
      <c r="D3063" s="6"/>
    </row>
    <row r="3064" spans="1:4" ht="13" thickBot="1" x14ac:dyDescent="0.3">
      <c r="A3064" s="9">
        <f ca="1"/>
        <v>39954</v>
      </c>
      <c r="B3064" s="6">
        <v>40.85</v>
      </c>
      <c r="C3064" s="6"/>
      <c r="D3064" s="6"/>
    </row>
    <row r="3065" spans="1:4" ht="13" thickBot="1" x14ac:dyDescent="0.3">
      <c r="A3065" s="9">
        <f ca="1"/>
        <v>39955</v>
      </c>
      <c r="B3065" s="6">
        <v>41.6</v>
      </c>
      <c r="C3065" s="6"/>
      <c r="D3065" s="6"/>
    </row>
    <row r="3066" spans="1:4" ht="13" thickBot="1" x14ac:dyDescent="0.3">
      <c r="A3066" s="9">
        <f ca="1"/>
        <v>39956</v>
      </c>
      <c r="B3066" s="5">
        <f t="shared" ref="B3066:B3068" si="437">B3065</f>
        <v>41.6</v>
      </c>
      <c r="C3066" s="6"/>
      <c r="D3066" s="6"/>
    </row>
    <row r="3067" spans="1:4" ht="13" thickBot="1" x14ac:dyDescent="0.3">
      <c r="A3067" s="9">
        <f ca="1"/>
        <v>39957</v>
      </c>
      <c r="B3067" s="5">
        <f t="shared" si="437"/>
        <v>41.6</v>
      </c>
      <c r="C3067" s="6"/>
      <c r="D3067" s="6"/>
    </row>
    <row r="3068" spans="1:4" ht="13" thickBot="1" x14ac:dyDescent="0.3">
      <c r="A3068" s="9">
        <f ca="1"/>
        <v>39958</v>
      </c>
      <c r="B3068" s="5">
        <f t="shared" si="437"/>
        <v>41.6</v>
      </c>
      <c r="C3068" s="6"/>
      <c r="D3068" s="6"/>
    </row>
    <row r="3069" spans="1:4" ht="13" thickBot="1" x14ac:dyDescent="0.3">
      <c r="A3069" s="9">
        <f ca="1"/>
        <v>39959</v>
      </c>
      <c r="B3069" s="6">
        <v>41.32</v>
      </c>
      <c r="C3069" s="6"/>
      <c r="D3069" s="6"/>
    </row>
    <row r="3070" spans="1:4" ht="13" thickBot="1" x14ac:dyDescent="0.3">
      <c r="A3070" s="9">
        <f ca="1"/>
        <v>39960</v>
      </c>
      <c r="B3070" s="6">
        <v>42.15</v>
      </c>
      <c r="C3070" s="6"/>
      <c r="D3070" s="6"/>
    </row>
    <row r="3071" spans="1:4" ht="13" thickBot="1" x14ac:dyDescent="0.3">
      <c r="A3071" s="9">
        <f ca="1"/>
        <v>39961</v>
      </c>
      <c r="B3071" s="6">
        <v>42.23</v>
      </c>
      <c r="C3071" s="6"/>
      <c r="D3071" s="6"/>
    </row>
    <row r="3072" spans="1:4" ht="13" thickBot="1" x14ac:dyDescent="0.3">
      <c r="A3072" s="9">
        <f ca="1"/>
        <v>39962</v>
      </c>
      <c r="B3072" s="6">
        <v>42.95</v>
      </c>
      <c r="C3072" s="6"/>
      <c r="D3072" s="6"/>
    </row>
    <row r="3073" spans="1:4" ht="13" thickBot="1" x14ac:dyDescent="0.3">
      <c r="A3073" s="9">
        <f ca="1"/>
        <v>39963</v>
      </c>
      <c r="B3073" s="5">
        <f t="shared" ref="B3073:B3074" si="438">B3072</f>
        <v>42.95</v>
      </c>
      <c r="C3073" s="6"/>
      <c r="D3073" s="6"/>
    </row>
    <row r="3074" spans="1:4" ht="13" thickBot="1" x14ac:dyDescent="0.3">
      <c r="A3074" s="9">
        <f ca="1"/>
        <v>39964</v>
      </c>
      <c r="B3074" s="5">
        <f t="shared" si="438"/>
        <v>42.95</v>
      </c>
      <c r="C3074" s="6"/>
      <c r="D3074" s="6"/>
    </row>
    <row r="3075" spans="1:4" ht="13" thickBot="1" x14ac:dyDescent="0.3">
      <c r="A3075" s="9">
        <f ca="1"/>
        <v>39965</v>
      </c>
      <c r="B3075" s="6">
        <v>43.64</v>
      </c>
      <c r="C3075" s="6"/>
      <c r="D3075" s="6"/>
    </row>
    <row r="3076" spans="1:4" ht="13" thickBot="1" x14ac:dyDescent="0.3">
      <c r="A3076" s="9">
        <f ca="1"/>
        <v>39966</v>
      </c>
      <c r="B3076" s="6">
        <v>44.27</v>
      </c>
      <c r="C3076" s="6"/>
      <c r="D3076" s="6"/>
    </row>
    <row r="3077" spans="1:4" ht="13" thickBot="1" x14ac:dyDescent="0.3">
      <c r="A3077" s="9">
        <f ca="1"/>
        <v>39967</v>
      </c>
      <c r="B3077" s="6">
        <v>43.72</v>
      </c>
      <c r="C3077" s="6"/>
      <c r="D3077" s="6"/>
    </row>
    <row r="3078" spans="1:4" ht="13" thickBot="1" x14ac:dyDescent="0.3">
      <c r="A3078" s="9">
        <f ca="1"/>
        <v>39968</v>
      </c>
      <c r="B3078" s="6">
        <v>43.12</v>
      </c>
      <c r="C3078" s="6"/>
      <c r="D3078" s="6"/>
    </row>
    <row r="3079" spans="1:4" ht="13" thickBot="1" x14ac:dyDescent="0.3">
      <c r="A3079" s="9">
        <f ca="1"/>
        <v>39969</v>
      </c>
      <c r="B3079" s="6">
        <v>42.77</v>
      </c>
      <c r="C3079" s="6"/>
      <c r="D3079" s="6"/>
    </row>
    <row r="3080" spans="1:4" ht="13" thickBot="1" x14ac:dyDescent="0.3">
      <c r="A3080" s="9">
        <f ca="1"/>
        <v>39970</v>
      </c>
      <c r="B3080" s="5">
        <f t="shared" ref="B3080:B3081" si="439">B3079</f>
        <v>42.77</v>
      </c>
      <c r="C3080" s="6"/>
      <c r="D3080" s="6"/>
    </row>
    <row r="3081" spans="1:4" ht="13" thickBot="1" x14ac:dyDescent="0.3">
      <c r="A3081" s="9">
        <f ca="1"/>
        <v>39971</v>
      </c>
      <c r="B3081" s="5">
        <f t="shared" si="439"/>
        <v>42.77</v>
      </c>
      <c r="C3081" s="6"/>
      <c r="D3081" s="6"/>
    </row>
    <row r="3082" spans="1:4" ht="13" thickBot="1" x14ac:dyDescent="0.3">
      <c r="A3082" s="9">
        <f ca="1"/>
        <v>39972</v>
      </c>
      <c r="B3082" s="6">
        <v>41.93</v>
      </c>
      <c r="C3082" s="6"/>
      <c r="D3082" s="6"/>
    </row>
    <row r="3083" spans="1:4" ht="13" thickBot="1" x14ac:dyDescent="0.3">
      <c r="A3083" s="9">
        <f ca="1"/>
        <v>39973</v>
      </c>
      <c r="B3083" s="6">
        <v>42.56</v>
      </c>
      <c r="C3083" s="6"/>
      <c r="D3083" s="6"/>
    </row>
    <row r="3084" spans="1:4" ht="13" thickBot="1" x14ac:dyDescent="0.3">
      <c r="A3084" s="9">
        <f ca="1"/>
        <v>39974</v>
      </c>
      <c r="B3084" s="6">
        <v>42.47</v>
      </c>
      <c r="C3084" s="6"/>
      <c r="D3084" s="6"/>
    </row>
    <row r="3085" spans="1:4" ht="13" thickBot="1" x14ac:dyDescent="0.3">
      <c r="A3085" s="9">
        <f ca="1"/>
        <v>39975</v>
      </c>
      <c r="B3085" s="6">
        <v>41.85</v>
      </c>
      <c r="C3085" s="6"/>
      <c r="D3085" s="6"/>
    </row>
    <row r="3086" spans="1:4" ht="13" thickBot="1" x14ac:dyDescent="0.3">
      <c r="A3086" s="9">
        <f ca="1"/>
        <v>39976</v>
      </c>
      <c r="B3086" s="6">
        <v>41.07</v>
      </c>
      <c r="C3086" s="6"/>
      <c r="D3086" s="6"/>
    </row>
    <row r="3087" spans="1:4" ht="13" thickBot="1" x14ac:dyDescent="0.3">
      <c r="A3087" s="9">
        <f ca="1"/>
        <v>39977</v>
      </c>
      <c r="B3087" s="5">
        <f t="shared" ref="B3087:B3088" si="440">B3086</f>
        <v>41.07</v>
      </c>
      <c r="C3087" s="6"/>
      <c r="D3087" s="6"/>
    </row>
    <row r="3088" spans="1:4" ht="13" thickBot="1" x14ac:dyDescent="0.3">
      <c r="A3088" s="9">
        <f ca="1"/>
        <v>39978</v>
      </c>
      <c r="B3088" s="5">
        <f t="shared" si="440"/>
        <v>41.07</v>
      </c>
      <c r="C3088" s="6"/>
      <c r="D3088" s="6"/>
    </row>
    <row r="3089" spans="1:4" ht="13" thickBot="1" x14ac:dyDescent="0.3">
      <c r="A3089" s="9">
        <f ca="1"/>
        <v>39979</v>
      </c>
      <c r="B3089" s="6">
        <v>40.75</v>
      </c>
      <c r="C3089" s="6"/>
      <c r="D3089" s="6"/>
    </row>
    <row r="3090" spans="1:4" ht="13" thickBot="1" x14ac:dyDescent="0.3">
      <c r="A3090" s="9">
        <f ca="1"/>
        <v>39980</v>
      </c>
      <c r="B3090" s="6">
        <v>40.619999999999997</v>
      </c>
      <c r="C3090" s="6"/>
      <c r="D3090" s="6"/>
    </row>
    <row r="3091" spans="1:4" ht="13" thickBot="1" x14ac:dyDescent="0.3">
      <c r="A3091" s="9">
        <f ca="1"/>
        <v>39981</v>
      </c>
      <c r="B3091" s="6">
        <v>40.270000000000003</v>
      </c>
      <c r="C3091" s="6"/>
      <c r="D3091" s="6"/>
    </row>
    <row r="3092" spans="1:4" ht="13" thickBot="1" x14ac:dyDescent="0.3">
      <c r="A3092" s="9">
        <f ca="1"/>
        <v>39982</v>
      </c>
      <c r="B3092" s="6">
        <v>40.06</v>
      </c>
      <c r="C3092" s="6"/>
      <c r="D3092" s="6"/>
    </row>
    <row r="3093" spans="1:4" ht="13" thickBot="1" x14ac:dyDescent="0.3">
      <c r="A3093" s="9">
        <f ca="1"/>
        <v>39983</v>
      </c>
      <c r="B3093" s="6">
        <v>40.28</v>
      </c>
      <c r="C3093" s="6"/>
      <c r="D3093" s="6"/>
    </row>
    <row r="3094" spans="1:4" ht="13" thickBot="1" x14ac:dyDescent="0.3">
      <c r="A3094" s="9">
        <f ca="1"/>
        <v>39984</v>
      </c>
      <c r="B3094" s="5">
        <f t="shared" ref="B3094:B3095" si="441">B3093</f>
        <v>40.28</v>
      </c>
      <c r="C3094" s="6"/>
      <c r="D3094" s="6"/>
    </row>
    <row r="3095" spans="1:4" ht="13" thickBot="1" x14ac:dyDescent="0.3">
      <c r="A3095" s="9">
        <f ca="1"/>
        <v>39985</v>
      </c>
      <c r="B3095" s="5">
        <f t="shared" si="441"/>
        <v>40.28</v>
      </c>
      <c r="C3095" s="6"/>
      <c r="D3095" s="6"/>
    </row>
    <row r="3096" spans="1:4" ht="13" thickBot="1" x14ac:dyDescent="0.3">
      <c r="A3096" s="9">
        <f ca="1"/>
        <v>39986</v>
      </c>
      <c r="B3096" s="6">
        <v>39.4</v>
      </c>
      <c r="C3096" s="6"/>
      <c r="D3096" s="6"/>
    </row>
    <row r="3097" spans="1:4" ht="13" thickBot="1" x14ac:dyDescent="0.3">
      <c r="A3097" s="9">
        <f ca="1"/>
        <v>39987</v>
      </c>
      <c r="B3097" s="6">
        <v>39.35</v>
      </c>
      <c r="C3097" s="6"/>
      <c r="D3097" s="6"/>
    </row>
    <row r="3098" spans="1:4" ht="13" thickBot="1" x14ac:dyDescent="0.3">
      <c r="A3098" s="9">
        <f ca="1"/>
        <v>39988</v>
      </c>
      <c r="B3098" s="6">
        <v>40.01</v>
      </c>
      <c r="C3098" s="6"/>
      <c r="D3098" s="6"/>
    </row>
    <row r="3099" spans="1:4" ht="13" thickBot="1" x14ac:dyDescent="0.3">
      <c r="A3099" s="9">
        <f ca="1"/>
        <v>39989</v>
      </c>
      <c r="B3099" s="6">
        <v>39.39</v>
      </c>
      <c r="C3099" s="6"/>
      <c r="D3099" s="6"/>
    </row>
    <row r="3100" spans="1:4" ht="13" thickBot="1" x14ac:dyDescent="0.3">
      <c r="A3100" s="9">
        <f ca="1"/>
        <v>39990</v>
      </c>
      <c r="B3100" s="6">
        <v>39.83</v>
      </c>
      <c r="C3100" s="6"/>
      <c r="D3100" s="6"/>
    </row>
    <row r="3101" spans="1:4" ht="13" thickBot="1" x14ac:dyDescent="0.3">
      <c r="A3101" s="9">
        <f ca="1"/>
        <v>39991</v>
      </c>
      <c r="B3101" s="5">
        <f t="shared" ref="B3101:B3102" si="442">B3100</f>
        <v>39.83</v>
      </c>
      <c r="C3101" s="6"/>
      <c r="D3101" s="6"/>
    </row>
    <row r="3102" spans="1:4" ht="13" thickBot="1" x14ac:dyDescent="0.3">
      <c r="A3102" s="9">
        <f ca="1"/>
        <v>39992</v>
      </c>
      <c r="B3102" s="5">
        <f t="shared" si="442"/>
        <v>39.83</v>
      </c>
      <c r="C3102" s="6"/>
      <c r="D3102" s="6"/>
    </row>
    <row r="3103" spans="1:4" ht="13" thickBot="1" x14ac:dyDescent="0.3">
      <c r="A3103" s="9">
        <f ca="1"/>
        <v>39993</v>
      </c>
      <c r="B3103" s="6">
        <v>39.979999999999997</v>
      </c>
      <c r="C3103" s="6"/>
      <c r="D3103" s="6"/>
    </row>
    <row r="3104" spans="1:4" ht="13" thickBot="1" x14ac:dyDescent="0.3">
      <c r="A3104" s="9">
        <f ca="1"/>
        <v>39994</v>
      </c>
      <c r="B3104" s="6">
        <v>40.54</v>
      </c>
      <c r="C3104" s="6"/>
      <c r="D3104" s="6"/>
    </row>
    <row r="3105" spans="1:4" ht="13" thickBot="1" x14ac:dyDescent="0.3">
      <c r="A3105" s="9">
        <f ca="1"/>
        <v>39995</v>
      </c>
      <c r="B3105" s="6">
        <v>40.32</v>
      </c>
      <c r="C3105" s="6"/>
      <c r="D3105" s="6"/>
    </row>
    <row r="3106" spans="1:4" ht="13" thickBot="1" x14ac:dyDescent="0.3">
      <c r="A3106" s="9">
        <f ca="1"/>
        <v>39996</v>
      </c>
      <c r="B3106" s="6">
        <v>39.700000000000003</v>
      </c>
      <c r="C3106" s="6"/>
      <c r="D3106" s="6"/>
    </row>
    <row r="3107" spans="1:4" ht="13" thickBot="1" x14ac:dyDescent="0.3">
      <c r="A3107" s="9">
        <f ca="1"/>
        <v>39997</v>
      </c>
      <c r="B3107" s="6">
        <v>39.700000000000003</v>
      </c>
      <c r="C3107" s="6"/>
      <c r="D3107" s="6"/>
    </row>
    <row r="3108" spans="1:4" ht="13" thickBot="1" x14ac:dyDescent="0.3">
      <c r="A3108" s="9">
        <f ca="1"/>
        <v>39998</v>
      </c>
      <c r="B3108" s="5">
        <f t="shared" ref="B3108:B3109" si="443">B3107</f>
        <v>39.700000000000003</v>
      </c>
      <c r="C3108" s="6"/>
      <c r="D3108" s="6"/>
    </row>
    <row r="3109" spans="1:4" ht="13" thickBot="1" x14ac:dyDescent="0.3">
      <c r="A3109" s="9">
        <f ca="1"/>
        <v>39999</v>
      </c>
      <c r="B3109" s="5">
        <f t="shared" si="443"/>
        <v>39.700000000000003</v>
      </c>
      <c r="C3109" s="6"/>
      <c r="D3109" s="6"/>
    </row>
    <row r="3110" spans="1:4" ht="13" thickBot="1" x14ac:dyDescent="0.3">
      <c r="A3110" s="9">
        <f ca="1"/>
        <v>40000</v>
      </c>
      <c r="B3110" s="6">
        <v>38.65</v>
      </c>
      <c r="C3110" s="6"/>
      <c r="D3110" s="6"/>
    </row>
    <row r="3111" spans="1:4" ht="13" thickBot="1" x14ac:dyDescent="0.3">
      <c r="A3111" s="9">
        <f ca="1"/>
        <v>40001</v>
      </c>
      <c r="B3111" s="6">
        <v>38.659999999999997</v>
      </c>
      <c r="C3111" s="6"/>
      <c r="D3111" s="6"/>
    </row>
    <row r="3112" spans="1:4" ht="13" thickBot="1" x14ac:dyDescent="0.3">
      <c r="A3112" s="9">
        <f ca="1"/>
        <v>40002</v>
      </c>
      <c r="B3112" s="6">
        <v>38.93</v>
      </c>
      <c r="C3112" s="6"/>
      <c r="D3112" s="6"/>
    </row>
    <row r="3113" spans="1:4" ht="13" thickBot="1" x14ac:dyDescent="0.3">
      <c r="A3113" s="9">
        <f ca="1"/>
        <v>40003</v>
      </c>
      <c r="B3113" s="6">
        <v>40.49</v>
      </c>
      <c r="C3113" s="6"/>
      <c r="D3113" s="6"/>
    </row>
    <row r="3114" spans="1:4" ht="13" thickBot="1" x14ac:dyDescent="0.3">
      <c r="A3114" s="9">
        <f ca="1"/>
        <v>40004</v>
      </c>
      <c r="B3114" s="6">
        <v>39.82</v>
      </c>
      <c r="C3114" s="6"/>
      <c r="D3114" s="6"/>
    </row>
    <row r="3115" spans="1:4" ht="13" thickBot="1" x14ac:dyDescent="0.3">
      <c r="A3115" s="9">
        <f ca="1"/>
        <v>40005</v>
      </c>
      <c r="B3115" s="5">
        <f t="shared" ref="B3115:B3116" si="444">B3114</f>
        <v>39.82</v>
      </c>
      <c r="C3115" s="6"/>
      <c r="D3115" s="6"/>
    </row>
    <row r="3116" spans="1:4" ht="13" thickBot="1" x14ac:dyDescent="0.3">
      <c r="A3116" s="9">
        <f ca="1"/>
        <v>40006</v>
      </c>
      <c r="B3116" s="5">
        <f t="shared" si="444"/>
        <v>39.82</v>
      </c>
      <c r="C3116" s="6"/>
      <c r="D3116" s="6"/>
    </row>
    <row r="3117" spans="1:4" ht="13" thickBot="1" x14ac:dyDescent="0.3">
      <c r="A3117" s="9">
        <f ca="1"/>
        <v>40007</v>
      </c>
      <c r="B3117" s="6">
        <v>40.4</v>
      </c>
      <c r="C3117" s="6"/>
      <c r="D3117" s="6"/>
    </row>
    <row r="3118" spans="1:4" ht="13" thickBot="1" x14ac:dyDescent="0.3">
      <c r="A3118" s="9">
        <f ca="1"/>
        <v>40008</v>
      </c>
      <c r="B3118" s="6">
        <v>40.479999999999997</v>
      </c>
      <c r="C3118" s="6"/>
      <c r="D3118" s="6"/>
    </row>
    <row r="3119" spans="1:4" ht="13" thickBot="1" x14ac:dyDescent="0.3">
      <c r="A3119" s="9">
        <f ca="1"/>
        <v>40009</v>
      </c>
      <c r="B3119" s="6">
        <v>41.69</v>
      </c>
      <c r="C3119" s="6"/>
      <c r="D3119" s="6"/>
    </row>
    <row r="3120" spans="1:4" ht="13" thickBot="1" x14ac:dyDescent="0.3">
      <c r="A3120" s="9">
        <f ca="1"/>
        <v>40010</v>
      </c>
      <c r="B3120" s="6">
        <v>42.27</v>
      </c>
      <c r="C3120" s="6"/>
      <c r="D3120" s="6"/>
    </row>
    <row r="3121" spans="1:4" ht="13" thickBot="1" x14ac:dyDescent="0.3">
      <c r="A3121" s="9">
        <f ca="1"/>
        <v>40011</v>
      </c>
      <c r="B3121" s="6">
        <v>42.57</v>
      </c>
      <c r="C3121" s="6"/>
      <c r="D3121" s="6"/>
    </row>
    <row r="3122" spans="1:4" ht="13" thickBot="1" x14ac:dyDescent="0.3">
      <c r="A3122" s="9">
        <f ca="1"/>
        <v>40012</v>
      </c>
      <c r="B3122" s="5">
        <f t="shared" ref="B3122:B3123" si="445">B3121</f>
        <v>42.57</v>
      </c>
      <c r="C3122" s="6"/>
      <c r="D3122" s="6"/>
    </row>
    <row r="3123" spans="1:4" ht="13" thickBot="1" x14ac:dyDescent="0.3">
      <c r="A3123" s="9">
        <f ca="1"/>
        <v>40013</v>
      </c>
      <c r="B3123" s="5">
        <f t="shared" si="445"/>
        <v>42.57</v>
      </c>
      <c r="C3123" s="6"/>
      <c r="D3123" s="6"/>
    </row>
    <row r="3124" spans="1:4" ht="13" thickBot="1" x14ac:dyDescent="0.3">
      <c r="A3124" s="9">
        <f ca="1"/>
        <v>40014</v>
      </c>
      <c r="B3124" s="6">
        <v>43.17</v>
      </c>
      <c r="C3124" s="6"/>
      <c r="D3124" s="6"/>
    </row>
    <row r="3125" spans="1:4" ht="13" thickBot="1" x14ac:dyDescent="0.3">
      <c r="A3125" s="9">
        <f ca="1"/>
        <v>40015</v>
      </c>
      <c r="B3125" s="6">
        <v>43.5</v>
      </c>
      <c r="C3125" s="6"/>
      <c r="D3125" s="6"/>
    </row>
    <row r="3126" spans="1:4" ht="13" thickBot="1" x14ac:dyDescent="0.3">
      <c r="A3126" s="9">
        <f ca="1"/>
        <v>40016</v>
      </c>
      <c r="B3126" s="6">
        <v>43.98</v>
      </c>
      <c r="C3126" s="6"/>
      <c r="D3126" s="6"/>
    </row>
    <row r="3127" spans="1:4" ht="13" thickBot="1" x14ac:dyDescent="0.3">
      <c r="A3127" s="9">
        <f ca="1"/>
        <v>40017</v>
      </c>
      <c r="B3127" s="6">
        <v>44.05</v>
      </c>
      <c r="C3127" s="6"/>
      <c r="D3127" s="6"/>
    </row>
    <row r="3128" spans="1:4" ht="13" thickBot="1" x14ac:dyDescent="0.3">
      <c r="A3128" s="9">
        <f ca="1"/>
        <v>40018</v>
      </c>
      <c r="B3128" s="6">
        <v>44.86</v>
      </c>
      <c r="C3128" s="6"/>
      <c r="D3128" s="6"/>
    </row>
    <row r="3129" spans="1:4" ht="13" thickBot="1" x14ac:dyDescent="0.3">
      <c r="A3129" s="9">
        <f ca="1"/>
        <v>40019</v>
      </c>
      <c r="B3129" s="5">
        <f t="shared" ref="B3129:B3130" si="446">B3128</f>
        <v>44.86</v>
      </c>
      <c r="C3129" s="6"/>
      <c r="D3129" s="6"/>
    </row>
    <row r="3130" spans="1:4" ht="13" thickBot="1" x14ac:dyDescent="0.3">
      <c r="A3130" s="9">
        <f ca="1"/>
        <v>40020</v>
      </c>
      <c r="B3130" s="5">
        <f t="shared" si="446"/>
        <v>44.86</v>
      </c>
      <c r="C3130" s="6"/>
      <c r="D3130" s="6"/>
    </row>
    <row r="3131" spans="1:4" ht="13" thickBot="1" x14ac:dyDescent="0.3">
      <c r="A3131" s="9">
        <f ca="1"/>
        <v>40021</v>
      </c>
      <c r="B3131" s="6">
        <v>44.99</v>
      </c>
      <c r="C3131" s="6"/>
      <c r="D3131" s="6"/>
    </row>
    <row r="3132" spans="1:4" ht="13" thickBot="1" x14ac:dyDescent="0.3">
      <c r="A3132" s="9">
        <f ca="1"/>
        <v>40022</v>
      </c>
      <c r="B3132" s="6">
        <v>44.48</v>
      </c>
      <c r="C3132" s="6"/>
      <c r="D3132" s="6"/>
    </row>
    <row r="3133" spans="1:4" ht="13" thickBot="1" x14ac:dyDescent="0.3">
      <c r="A3133" s="9">
        <f ca="1"/>
        <v>40023</v>
      </c>
      <c r="B3133" s="6">
        <v>44.94</v>
      </c>
      <c r="C3133" s="6"/>
      <c r="D3133" s="6"/>
    </row>
    <row r="3134" spans="1:4" ht="13" thickBot="1" x14ac:dyDescent="0.3">
      <c r="A3134" s="9">
        <f ca="1"/>
        <v>40024</v>
      </c>
      <c r="B3134" s="6">
        <v>45.81</v>
      </c>
      <c r="C3134" s="6"/>
      <c r="D3134" s="6"/>
    </row>
    <row r="3135" spans="1:4" ht="13" thickBot="1" x14ac:dyDescent="0.3">
      <c r="A3135" s="9">
        <f ca="1"/>
        <v>40025</v>
      </c>
      <c r="B3135" s="6">
        <v>46.64</v>
      </c>
      <c r="C3135" s="6"/>
      <c r="D3135" s="6"/>
    </row>
    <row r="3136" spans="1:4" ht="13" thickBot="1" x14ac:dyDescent="0.3">
      <c r="A3136" s="9">
        <f ca="1"/>
        <v>40026</v>
      </c>
      <c r="B3136" s="5">
        <f t="shared" ref="B3136:B3137" si="447">B3135</f>
        <v>46.64</v>
      </c>
      <c r="C3136" s="6"/>
      <c r="D3136" s="6"/>
    </row>
    <row r="3137" spans="1:4" ht="13" thickBot="1" x14ac:dyDescent="0.3">
      <c r="A3137" s="9">
        <f ca="1"/>
        <v>40027</v>
      </c>
      <c r="B3137" s="5">
        <f t="shared" si="447"/>
        <v>46.64</v>
      </c>
      <c r="C3137" s="6"/>
      <c r="D3137" s="6"/>
    </row>
    <row r="3138" spans="1:4" ht="13" thickBot="1" x14ac:dyDescent="0.3">
      <c r="A3138" s="9">
        <f ca="1"/>
        <v>40028</v>
      </c>
      <c r="B3138" s="6">
        <v>47.38</v>
      </c>
      <c r="C3138" s="6"/>
      <c r="D3138" s="6"/>
    </row>
    <row r="3139" spans="1:4" ht="13" thickBot="1" x14ac:dyDescent="0.3">
      <c r="A3139" s="9">
        <f ca="1"/>
        <v>40029</v>
      </c>
      <c r="B3139" s="6">
        <v>48.13</v>
      </c>
      <c r="C3139" s="6"/>
      <c r="D3139" s="6"/>
    </row>
    <row r="3140" spans="1:4" ht="13" thickBot="1" x14ac:dyDescent="0.3">
      <c r="A3140" s="9">
        <f ca="1"/>
        <v>40030</v>
      </c>
      <c r="B3140" s="6">
        <v>48.15</v>
      </c>
      <c r="C3140" s="6"/>
      <c r="D3140" s="6"/>
    </row>
    <row r="3141" spans="1:4" ht="13" thickBot="1" x14ac:dyDescent="0.3">
      <c r="A3141" s="9">
        <f ca="1"/>
        <v>40031</v>
      </c>
      <c r="B3141" s="6">
        <v>48.21</v>
      </c>
      <c r="C3141" s="6"/>
      <c r="D3141" s="6"/>
    </row>
    <row r="3142" spans="1:4" ht="13" thickBot="1" x14ac:dyDescent="0.3">
      <c r="A3142" s="9">
        <f ca="1"/>
        <v>40032</v>
      </c>
      <c r="B3142" s="6">
        <v>47.78</v>
      </c>
      <c r="C3142" s="6"/>
      <c r="D3142" s="6"/>
    </row>
    <row r="3143" spans="1:4" ht="13" thickBot="1" x14ac:dyDescent="0.3">
      <c r="A3143" s="9">
        <f ca="1"/>
        <v>40033</v>
      </c>
      <c r="B3143" s="5">
        <f t="shared" ref="B3143:B3144" si="448">B3142</f>
        <v>47.78</v>
      </c>
      <c r="C3143" s="6"/>
      <c r="D3143" s="6"/>
    </row>
    <row r="3144" spans="1:4" ht="13" thickBot="1" x14ac:dyDescent="0.3">
      <c r="A3144" s="9">
        <f ca="1"/>
        <v>40034</v>
      </c>
      <c r="B3144" s="5">
        <f t="shared" si="448"/>
        <v>47.78</v>
      </c>
      <c r="C3144" s="6"/>
      <c r="D3144" s="6"/>
    </row>
    <row r="3145" spans="1:4" ht="13" thickBot="1" x14ac:dyDescent="0.3">
      <c r="A3145" s="9">
        <f ca="1"/>
        <v>40035</v>
      </c>
      <c r="B3145" s="6">
        <v>47.23</v>
      </c>
      <c r="C3145" s="6"/>
      <c r="D3145" s="6"/>
    </row>
    <row r="3146" spans="1:4" ht="13" thickBot="1" x14ac:dyDescent="0.3">
      <c r="A3146" s="9">
        <f ca="1"/>
        <v>40036</v>
      </c>
      <c r="B3146" s="6">
        <v>46.75</v>
      </c>
      <c r="C3146" s="6"/>
      <c r="D3146" s="6"/>
    </row>
    <row r="3147" spans="1:4" ht="13" thickBot="1" x14ac:dyDescent="0.3">
      <c r="A3147" s="9">
        <f ca="1"/>
        <v>40037</v>
      </c>
      <c r="B3147" s="6">
        <v>46.59</v>
      </c>
      <c r="C3147" s="6"/>
      <c r="D3147" s="6"/>
    </row>
    <row r="3148" spans="1:4" ht="13" thickBot="1" x14ac:dyDescent="0.3">
      <c r="A3148" s="9">
        <f ca="1"/>
        <v>40038</v>
      </c>
      <c r="B3148" s="6">
        <v>47.42</v>
      </c>
      <c r="C3148" s="6"/>
      <c r="D3148" s="6"/>
    </row>
    <row r="3149" spans="1:4" ht="13" thickBot="1" x14ac:dyDescent="0.3">
      <c r="A3149" s="9">
        <f ca="1"/>
        <v>40039</v>
      </c>
      <c r="B3149" s="6">
        <v>47.15</v>
      </c>
      <c r="C3149" s="6"/>
      <c r="D3149" s="6"/>
    </row>
    <row r="3150" spans="1:4" ht="13" thickBot="1" x14ac:dyDescent="0.3">
      <c r="A3150" s="9">
        <f ca="1"/>
        <v>40040</v>
      </c>
      <c r="B3150" s="5">
        <f t="shared" ref="B3150:B3151" si="449">B3149</f>
        <v>47.15</v>
      </c>
      <c r="C3150" s="6"/>
      <c r="D3150" s="6"/>
    </row>
    <row r="3151" spans="1:4" ht="13" thickBot="1" x14ac:dyDescent="0.3">
      <c r="A3151" s="9">
        <f ca="1"/>
        <v>40041</v>
      </c>
      <c r="B3151" s="5">
        <f t="shared" si="449"/>
        <v>47.15</v>
      </c>
      <c r="C3151" s="6"/>
      <c r="D3151" s="6"/>
    </row>
    <row r="3152" spans="1:4" ht="13" thickBot="1" x14ac:dyDescent="0.3">
      <c r="A3152" s="9">
        <f ca="1"/>
        <v>40042</v>
      </c>
      <c r="B3152" s="6">
        <v>45.9</v>
      </c>
      <c r="C3152" s="6"/>
      <c r="D3152" s="6"/>
    </row>
    <row r="3153" spans="1:4" ht="13" thickBot="1" x14ac:dyDescent="0.3">
      <c r="A3153" s="9">
        <f ca="1"/>
        <v>40043</v>
      </c>
      <c r="B3153" s="6">
        <v>45.58</v>
      </c>
      <c r="C3153" s="6"/>
      <c r="D3153" s="6"/>
    </row>
    <row r="3154" spans="1:4" ht="13" thickBot="1" x14ac:dyDescent="0.3">
      <c r="A3154" s="9">
        <f ca="1"/>
        <v>40044</v>
      </c>
      <c r="B3154" s="6">
        <v>45.77</v>
      </c>
      <c r="C3154" s="6"/>
      <c r="D3154" s="6"/>
    </row>
    <row r="3155" spans="1:4" ht="13" thickBot="1" x14ac:dyDescent="0.3">
      <c r="A3155" s="9">
        <f ca="1"/>
        <v>40045</v>
      </c>
      <c r="B3155" s="6">
        <v>46.55</v>
      </c>
      <c r="C3155" s="6"/>
      <c r="D3155" s="6"/>
    </row>
    <row r="3156" spans="1:4" ht="13" thickBot="1" x14ac:dyDescent="0.3">
      <c r="A3156" s="9">
        <f ca="1"/>
        <v>40046</v>
      </c>
      <c r="B3156" s="6">
        <v>47.34</v>
      </c>
      <c r="C3156" s="6"/>
      <c r="D3156" s="6"/>
    </row>
    <row r="3157" spans="1:4" ht="13" thickBot="1" x14ac:dyDescent="0.3">
      <c r="A3157" s="9">
        <f ca="1"/>
        <v>40047</v>
      </c>
      <c r="B3157" s="5">
        <f t="shared" ref="B3157:B3158" si="450">B3156</f>
        <v>47.34</v>
      </c>
      <c r="C3157" s="6"/>
      <c r="D3157" s="6"/>
    </row>
    <row r="3158" spans="1:4" ht="13" thickBot="1" x14ac:dyDescent="0.3">
      <c r="A3158" s="9">
        <f ca="1"/>
        <v>40048</v>
      </c>
      <c r="B3158" s="5">
        <f t="shared" si="450"/>
        <v>47.34</v>
      </c>
      <c r="C3158" s="6"/>
      <c r="D3158" s="6"/>
    </row>
    <row r="3159" spans="1:4" ht="13" thickBot="1" x14ac:dyDescent="0.3">
      <c r="A3159" s="9">
        <f ca="1"/>
        <v>40049</v>
      </c>
      <c r="B3159" s="6">
        <v>47.54</v>
      </c>
      <c r="C3159" s="6"/>
      <c r="D3159" s="6"/>
    </row>
    <row r="3160" spans="1:4" ht="13" thickBot="1" x14ac:dyDescent="0.3">
      <c r="A3160" s="9">
        <f ca="1"/>
        <v>40050</v>
      </c>
      <c r="B3160" s="6">
        <v>47.71</v>
      </c>
      <c r="C3160" s="6"/>
      <c r="D3160" s="6"/>
    </row>
    <row r="3161" spans="1:4" ht="13" thickBot="1" x14ac:dyDescent="0.3">
      <c r="A3161" s="9">
        <f ca="1"/>
        <v>40051</v>
      </c>
      <c r="B3161" s="6">
        <v>47.81</v>
      </c>
      <c r="C3161" s="6"/>
      <c r="D3161" s="6"/>
    </row>
    <row r="3162" spans="1:4" ht="13" thickBot="1" x14ac:dyDescent="0.3">
      <c r="A3162" s="9">
        <f ca="1"/>
        <v>40052</v>
      </c>
      <c r="B3162" s="6">
        <v>48.09</v>
      </c>
      <c r="C3162" s="6"/>
      <c r="D3162" s="6"/>
    </row>
    <row r="3163" spans="1:4" ht="13" thickBot="1" x14ac:dyDescent="0.3">
      <c r="A3163" s="9">
        <f ca="1"/>
        <v>40053</v>
      </c>
      <c r="B3163" s="6">
        <v>49.07</v>
      </c>
      <c r="C3163" s="6"/>
      <c r="D3163" s="6"/>
    </row>
    <row r="3164" spans="1:4" ht="13" thickBot="1" x14ac:dyDescent="0.3">
      <c r="A3164" s="9">
        <f ca="1"/>
        <v>40054</v>
      </c>
      <c r="B3164" s="5">
        <f t="shared" ref="B3164:B3165" si="451">B3163</f>
        <v>49.07</v>
      </c>
      <c r="C3164" s="6"/>
      <c r="D3164" s="6"/>
    </row>
    <row r="3165" spans="1:4" ht="13" thickBot="1" x14ac:dyDescent="0.3">
      <c r="A3165" s="9">
        <f ca="1"/>
        <v>40055</v>
      </c>
      <c r="B3165" s="5">
        <f t="shared" si="451"/>
        <v>49.07</v>
      </c>
      <c r="C3165" s="6"/>
      <c r="D3165" s="6"/>
    </row>
    <row r="3166" spans="1:4" ht="13" thickBot="1" x14ac:dyDescent="0.3">
      <c r="A3166" s="9">
        <f ca="1"/>
        <v>40056</v>
      </c>
      <c r="B3166" s="6">
        <v>48.75</v>
      </c>
      <c r="C3166" s="6"/>
      <c r="D3166" s="6"/>
    </row>
    <row r="3167" spans="1:4" ht="13" thickBot="1" x14ac:dyDescent="0.3">
      <c r="A3167" s="9">
        <f ca="1"/>
        <v>40057</v>
      </c>
      <c r="B3167" s="6">
        <v>48.54</v>
      </c>
      <c r="C3167" s="6"/>
      <c r="D3167" s="6"/>
    </row>
    <row r="3168" spans="1:4" ht="13" thickBot="1" x14ac:dyDescent="0.3">
      <c r="A3168" s="9">
        <f ca="1"/>
        <v>40058</v>
      </c>
      <c r="B3168" s="6">
        <v>48.26</v>
      </c>
      <c r="C3168" s="6"/>
      <c r="D3168" s="6"/>
    </row>
    <row r="3169" spans="1:4" ht="13" thickBot="1" x14ac:dyDescent="0.3">
      <c r="A3169" s="9">
        <f ca="1"/>
        <v>40059</v>
      </c>
      <c r="B3169" s="6">
        <v>48.3</v>
      </c>
      <c r="C3169" s="6"/>
      <c r="D3169" s="6"/>
    </row>
    <row r="3170" spans="1:4" ht="13" thickBot="1" x14ac:dyDescent="0.3">
      <c r="A3170" s="9">
        <f ca="1"/>
        <v>40060</v>
      </c>
      <c r="B3170" s="6">
        <v>48.02</v>
      </c>
      <c r="C3170" s="6"/>
      <c r="D3170" s="6"/>
    </row>
    <row r="3171" spans="1:4" ht="13" thickBot="1" x14ac:dyDescent="0.3">
      <c r="A3171" s="9">
        <f ca="1"/>
        <v>40061</v>
      </c>
      <c r="B3171" s="5">
        <f t="shared" ref="B3171:B3173" si="452">B3170</f>
        <v>48.02</v>
      </c>
      <c r="C3171" s="6"/>
      <c r="D3171" s="6"/>
    </row>
    <row r="3172" spans="1:4" ht="13" thickBot="1" x14ac:dyDescent="0.3">
      <c r="A3172" s="9">
        <f ca="1"/>
        <v>40062</v>
      </c>
      <c r="B3172" s="5">
        <f t="shared" si="452"/>
        <v>48.02</v>
      </c>
      <c r="C3172" s="6"/>
      <c r="D3172" s="6"/>
    </row>
    <row r="3173" spans="1:4" ht="13" thickBot="1" x14ac:dyDescent="0.3">
      <c r="A3173" s="9">
        <f ca="1"/>
        <v>40063</v>
      </c>
      <c r="B3173" s="5">
        <f t="shared" si="452"/>
        <v>48.02</v>
      </c>
      <c r="C3173" s="6"/>
      <c r="D3173" s="6"/>
    </row>
    <row r="3174" spans="1:4" ht="13" thickBot="1" x14ac:dyDescent="0.3">
      <c r="A3174" s="9">
        <f ca="1"/>
        <v>40064</v>
      </c>
      <c r="B3174" s="6">
        <v>48.98</v>
      </c>
      <c r="C3174" s="6"/>
      <c r="D3174" s="6"/>
    </row>
    <row r="3175" spans="1:4" ht="13" thickBot="1" x14ac:dyDescent="0.3">
      <c r="A3175" s="9">
        <f ca="1"/>
        <v>40065</v>
      </c>
      <c r="B3175" s="6">
        <v>49.35</v>
      </c>
      <c r="C3175" s="6"/>
      <c r="D3175" s="6"/>
    </row>
    <row r="3176" spans="1:4" ht="13" thickBot="1" x14ac:dyDescent="0.3">
      <c r="A3176" s="9">
        <f ca="1"/>
        <v>40066</v>
      </c>
      <c r="B3176" s="6">
        <v>50.83</v>
      </c>
      <c r="C3176" s="6"/>
      <c r="D3176" s="6"/>
    </row>
    <row r="3177" spans="1:4" ht="13" thickBot="1" x14ac:dyDescent="0.3">
      <c r="A3177" s="9">
        <f ca="1"/>
        <v>40067</v>
      </c>
      <c r="B3177" s="6">
        <v>51.42</v>
      </c>
      <c r="C3177" s="6"/>
      <c r="D3177" s="6"/>
    </row>
    <row r="3178" spans="1:4" ht="13" thickBot="1" x14ac:dyDescent="0.3">
      <c r="A3178" s="9">
        <f ca="1"/>
        <v>40068</v>
      </c>
      <c r="B3178" s="5">
        <f t="shared" ref="B3178:B3179" si="453">B3177</f>
        <v>51.42</v>
      </c>
      <c r="C3178" s="6"/>
      <c r="D3178" s="6"/>
    </row>
    <row r="3179" spans="1:4" ht="13" thickBot="1" x14ac:dyDescent="0.3">
      <c r="A3179" s="9">
        <f ca="1"/>
        <v>40069</v>
      </c>
      <c r="B3179" s="5">
        <f t="shared" si="453"/>
        <v>51.42</v>
      </c>
      <c r="C3179" s="6"/>
      <c r="D3179" s="6"/>
    </row>
    <row r="3180" spans="1:4" ht="13" thickBot="1" x14ac:dyDescent="0.3">
      <c r="A3180" s="9">
        <f ca="1"/>
        <v>40070</v>
      </c>
      <c r="B3180" s="6">
        <v>51.15</v>
      </c>
      <c r="C3180" s="6"/>
      <c r="D3180" s="6"/>
    </row>
    <row r="3181" spans="1:4" ht="13" thickBot="1" x14ac:dyDescent="0.3">
      <c r="A3181" s="9">
        <f ca="1"/>
        <v>40071</v>
      </c>
      <c r="B3181" s="6">
        <v>51.31</v>
      </c>
      <c r="C3181" s="6"/>
      <c r="D3181" s="6"/>
    </row>
    <row r="3182" spans="1:4" ht="13" thickBot="1" x14ac:dyDescent="0.3">
      <c r="A3182" s="9">
        <f ca="1"/>
        <v>40072</v>
      </c>
      <c r="B3182" s="6">
        <v>50.93</v>
      </c>
      <c r="C3182" s="6"/>
      <c r="D3182" s="6"/>
    </row>
    <row r="3183" spans="1:4" ht="13" thickBot="1" x14ac:dyDescent="0.3">
      <c r="A3183" s="9">
        <f ca="1"/>
        <v>40073</v>
      </c>
      <c r="B3183" s="6">
        <v>50.05</v>
      </c>
      <c r="C3183" s="6"/>
      <c r="D3183" s="6"/>
    </row>
    <row r="3184" spans="1:4" ht="13" thickBot="1" x14ac:dyDescent="0.3">
      <c r="A3184" s="9">
        <f ca="1"/>
        <v>40074</v>
      </c>
      <c r="B3184" s="6">
        <v>50.24</v>
      </c>
      <c r="C3184" s="6"/>
      <c r="D3184" s="6"/>
    </row>
    <row r="3185" spans="1:4" ht="13" thickBot="1" x14ac:dyDescent="0.3">
      <c r="A3185" s="9">
        <f ca="1"/>
        <v>40075</v>
      </c>
      <c r="B3185" s="5">
        <f t="shared" ref="B3185:B3186" si="454">B3184</f>
        <v>50.24</v>
      </c>
      <c r="C3185" s="6"/>
      <c r="D3185" s="6"/>
    </row>
    <row r="3186" spans="1:4" ht="13" thickBot="1" x14ac:dyDescent="0.3">
      <c r="A3186" s="9">
        <f ca="1"/>
        <v>40076</v>
      </c>
      <c r="B3186" s="5">
        <f t="shared" si="454"/>
        <v>50.24</v>
      </c>
      <c r="C3186" s="6"/>
      <c r="D3186" s="6"/>
    </row>
    <row r="3187" spans="1:4" ht="13" thickBot="1" x14ac:dyDescent="0.3">
      <c r="A3187" s="9">
        <f ca="1"/>
        <v>40077</v>
      </c>
      <c r="B3187" s="6">
        <v>50.16</v>
      </c>
      <c r="C3187" s="6"/>
      <c r="D3187" s="6"/>
    </row>
    <row r="3188" spans="1:4" ht="13" thickBot="1" x14ac:dyDescent="0.3">
      <c r="A3188" s="9">
        <f ca="1"/>
        <v>40078</v>
      </c>
      <c r="B3188" s="6">
        <v>51.18</v>
      </c>
      <c r="C3188" s="6"/>
      <c r="D3188" s="6"/>
    </row>
    <row r="3189" spans="1:4" ht="13" thickBot="1" x14ac:dyDescent="0.3">
      <c r="A3189" s="9">
        <f ca="1"/>
        <v>40079</v>
      </c>
      <c r="B3189" s="6">
        <v>50.89</v>
      </c>
      <c r="C3189" s="6"/>
      <c r="D3189" s="6"/>
    </row>
    <row r="3190" spans="1:4" ht="13" thickBot="1" x14ac:dyDescent="0.3">
      <c r="A3190" s="9">
        <f ca="1"/>
        <v>40080</v>
      </c>
      <c r="B3190" s="6">
        <v>50.12</v>
      </c>
      <c r="C3190" s="6"/>
      <c r="D3190" s="6"/>
    </row>
    <row r="3191" spans="1:4" ht="13" thickBot="1" x14ac:dyDescent="0.3">
      <c r="A3191" s="9">
        <f ca="1"/>
        <v>40081</v>
      </c>
      <c r="B3191" s="6">
        <v>49.1</v>
      </c>
      <c r="C3191" s="6"/>
      <c r="D3191" s="6"/>
    </row>
    <row r="3192" spans="1:4" ht="13" thickBot="1" x14ac:dyDescent="0.3">
      <c r="A3192" s="9">
        <f ca="1"/>
        <v>40082</v>
      </c>
      <c r="B3192" s="5">
        <f t="shared" ref="B3192:B3193" si="455">B3191</f>
        <v>49.1</v>
      </c>
      <c r="C3192" s="6"/>
      <c r="D3192" s="6"/>
    </row>
    <row r="3193" spans="1:4" ht="13" thickBot="1" x14ac:dyDescent="0.3">
      <c r="A3193" s="9">
        <f ca="1"/>
        <v>40083</v>
      </c>
      <c r="B3193" s="5">
        <f t="shared" si="455"/>
        <v>49.1</v>
      </c>
      <c r="C3193" s="6"/>
      <c r="D3193" s="6"/>
    </row>
    <row r="3194" spans="1:4" ht="13" thickBot="1" x14ac:dyDescent="0.3">
      <c r="A3194" s="9">
        <f ca="1"/>
        <v>40084</v>
      </c>
      <c r="B3194" s="6">
        <v>48.6</v>
      </c>
      <c r="C3194" s="6"/>
      <c r="D3194" s="6"/>
    </row>
    <row r="3195" spans="1:4" ht="13" thickBot="1" x14ac:dyDescent="0.3">
      <c r="A3195" s="9">
        <f ca="1"/>
        <v>40085</v>
      </c>
      <c r="B3195" s="6">
        <v>48.39</v>
      </c>
      <c r="C3195" s="6"/>
      <c r="D3195" s="6"/>
    </row>
    <row r="3196" spans="1:4" ht="13" thickBot="1" x14ac:dyDescent="0.3">
      <c r="A3196" s="9">
        <f ca="1"/>
        <v>40086</v>
      </c>
      <c r="B3196" s="6">
        <v>48.78</v>
      </c>
      <c r="C3196" s="6"/>
      <c r="D3196" s="6"/>
    </row>
    <row r="3197" spans="1:4" ht="13" thickBot="1" x14ac:dyDescent="0.3">
      <c r="A3197" s="9">
        <f ca="1"/>
        <v>40087</v>
      </c>
      <c r="B3197" s="6">
        <v>48.97</v>
      </c>
      <c r="C3197" s="6"/>
      <c r="D3197" s="6"/>
    </row>
    <row r="3198" spans="1:4" ht="13" thickBot="1" x14ac:dyDescent="0.3">
      <c r="A3198" s="9">
        <f ca="1"/>
        <v>40088</v>
      </c>
      <c r="B3198" s="6">
        <v>48.04</v>
      </c>
      <c r="C3198" s="6"/>
      <c r="D3198" s="6"/>
    </row>
    <row r="3199" spans="1:4" ht="13" thickBot="1" x14ac:dyDescent="0.3">
      <c r="A3199" s="9">
        <f ca="1"/>
        <v>40089</v>
      </c>
      <c r="B3199" s="5">
        <f t="shared" ref="B3199:B3200" si="456">B3198</f>
        <v>48.04</v>
      </c>
      <c r="C3199" s="6"/>
      <c r="D3199" s="6"/>
    </row>
    <row r="3200" spans="1:4" ht="13" thickBot="1" x14ac:dyDescent="0.3">
      <c r="A3200" s="9">
        <f ca="1"/>
        <v>40090</v>
      </c>
      <c r="B3200" s="5">
        <f t="shared" si="456"/>
        <v>48.04</v>
      </c>
      <c r="C3200" s="6"/>
      <c r="D3200" s="6"/>
    </row>
    <row r="3201" spans="1:4" ht="13" thickBot="1" x14ac:dyDescent="0.3">
      <c r="A3201" s="9">
        <f ca="1"/>
        <v>40091</v>
      </c>
      <c r="B3201" s="6">
        <v>48.18</v>
      </c>
      <c r="C3201" s="6"/>
      <c r="D3201" s="6"/>
    </row>
    <row r="3202" spans="1:4" ht="13" thickBot="1" x14ac:dyDescent="0.3">
      <c r="A3202" s="9">
        <f ca="1"/>
        <v>40092</v>
      </c>
      <c r="B3202" s="6">
        <v>48.78</v>
      </c>
      <c r="C3202" s="6"/>
      <c r="D3202" s="6"/>
    </row>
    <row r="3203" spans="1:4" ht="13" thickBot="1" x14ac:dyDescent="0.3">
      <c r="A3203" s="9">
        <f ca="1"/>
        <v>40093</v>
      </c>
      <c r="B3203" s="6">
        <v>49.1</v>
      </c>
      <c r="C3203" s="6"/>
      <c r="D3203" s="6"/>
    </row>
    <row r="3204" spans="1:4" ht="13" thickBot="1" x14ac:dyDescent="0.3">
      <c r="A3204" s="9">
        <f ca="1"/>
        <v>40094</v>
      </c>
      <c r="B3204" s="6">
        <v>50.55</v>
      </c>
      <c r="C3204" s="6"/>
      <c r="D3204" s="6"/>
    </row>
    <row r="3205" spans="1:4" ht="13" thickBot="1" x14ac:dyDescent="0.3">
      <c r="A3205" s="9">
        <f ca="1"/>
        <v>40095</v>
      </c>
      <c r="B3205" s="6">
        <v>50.87</v>
      </c>
      <c r="C3205" s="6"/>
      <c r="D3205" s="6"/>
    </row>
    <row r="3206" spans="1:4" ht="13" thickBot="1" x14ac:dyDescent="0.3">
      <c r="A3206" s="9">
        <f ca="1"/>
        <v>40096</v>
      </c>
      <c r="B3206" s="5">
        <f t="shared" ref="B3206:B3207" si="457">B3205</f>
        <v>50.87</v>
      </c>
      <c r="C3206" s="6"/>
      <c r="D3206" s="6"/>
    </row>
    <row r="3207" spans="1:4" ht="13" thickBot="1" x14ac:dyDescent="0.3">
      <c r="A3207" s="9">
        <f ca="1"/>
        <v>40097</v>
      </c>
      <c r="B3207" s="5">
        <f t="shared" si="457"/>
        <v>50.87</v>
      </c>
      <c r="C3207" s="6"/>
      <c r="D3207" s="6"/>
    </row>
    <row r="3208" spans="1:4" ht="13" thickBot="1" x14ac:dyDescent="0.3">
      <c r="A3208" s="9">
        <f ca="1"/>
        <v>40098</v>
      </c>
      <c r="B3208" s="6">
        <v>51.36</v>
      </c>
      <c r="C3208" s="6"/>
      <c r="D3208" s="6"/>
    </row>
    <row r="3209" spans="1:4" ht="13" thickBot="1" x14ac:dyDescent="0.3">
      <c r="A3209" s="9">
        <f ca="1"/>
        <v>40099</v>
      </c>
      <c r="B3209" s="6">
        <v>51.4</v>
      </c>
      <c r="C3209" s="6"/>
      <c r="D3209" s="6"/>
    </row>
    <row r="3210" spans="1:4" ht="13" thickBot="1" x14ac:dyDescent="0.3">
      <c r="A3210" s="9">
        <f ca="1"/>
        <v>40100</v>
      </c>
      <c r="B3210" s="6">
        <v>52.31</v>
      </c>
      <c r="C3210" s="6"/>
      <c r="D3210" s="6"/>
    </row>
    <row r="3211" spans="1:4" ht="13" thickBot="1" x14ac:dyDescent="0.3">
      <c r="A3211" s="9">
        <f ca="1"/>
        <v>40101</v>
      </c>
      <c r="B3211" s="6">
        <v>51.86</v>
      </c>
      <c r="C3211" s="6"/>
      <c r="D3211" s="6"/>
    </row>
    <row r="3212" spans="1:4" ht="13" thickBot="1" x14ac:dyDescent="0.3">
      <c r="A3212" s="9">
        <f ca="1"/>
        <v>40102</v>
      </c>
      <c r="B3212" s="6">
        <v>51.13</v>
      </c>
      <c r="C3212" s="6"/>
      <c r="D3212" s="6"/>
    </row>
    <row r="3213" spans="1:4" ht="13" thickBot="1" x14ac:dyDescent="0.3">
      <c r="A3213" s="9">
        <f ca="1"/>
        <v>40103</v>
      </c>
      <c r="B3213" s="5">
        <f t="shared" ref="B3213:B3214" si="458">B3212</f>
        <v>51.13</v>
      </c>
      <c r="C3213" s="6"/>
      <c r="D3213" s="6"/>
    </row>
    <row r="3214" spans="1:4" ht="13" thickBot="1" x14ac:dyDescent="0.3">
      <c r="A3214" s="9">
        <f ca="1"/>
        <v>40104</v>
      </c>
      <c r="B3214" s="5">
        <f t="shared" si="458"/>
        <v>51.13</v>
      </c>
      <c r="C3214" s="6"/>
      <c r="D3214" s="6"/>
    </row>
    <row r="3215" spans="1:4" ht="13" thickBot="1" x14ac:dyDescent="0.3">
      <c r="A3215" s="9">
        <f ca="1"/>
        <v>40105</v>
      </c>
      <c r="B3215" s="6">
        <v>52.06</v>
      </c>
      <c r="C3215" s="6"/>
      <c r="D3215" s="6"/>
    </row>
    <row r="3216" spans="1:4" ht="13" thickBot="1" x14ac:dyDescent="0.3">
      <c r="A3216" s="9">
        <f ca="1"/>
        <v>40106</v>
      </c>
      <c r="B3216" s="6">
        <v>52.19</v>
      </c>
      <c r="C3216" s="6"/>
      <c r="D3216" s="6"/>
    </row>
    <row r="3217" spans="1:4" ht="13" thickBot="1" x14ac:dyDescent="0.3">
      <c r="A3217" s="9">
        <f ca="1"/>
        <v>40107</v>
      </c>
      <c r="B3217" s="6">
        <v>52.22</v>
      </c>
      <c r="C3217" s="6"/>
      <c r="D3217" s="6"/>
    </row>
    <row r="3218" spans="1:4" ht="13" thickBot="1" x14ac:dyDescent="0.3">
      <c r="A3218" s="9">
        <f ca="1"/>
        <v>40108</v>
      </c>
      <c r="B3218" s="6">
        <v>51.43</v>
      </c>
      <c r="C3218" s="6"/>
      <c r="D3218" s="6"/>
    </row>
    <row r="3219" spans="1:4" ht="13" thickBot="1" x14ac:dyDescent="0.3">
      <c r="A3219" s="9">
        <f ca="1"/>
        <v>40109</v>
      </c>
      <c r="B3219" s="6">
        <v>52.25</v>
      </c>
      <c r="C3219" s="6"/>
      <c r="D3219" s="6"/>
    </row>
    <row r="3220" spans="1:4" ht="13" thickBot="1" x14ac:dyDescent="0.3">
      <c r="A3220" s="9">
        <f ca="1"/>
        <v>40110</v>
      </c>
      <c r="B3220" s="5">
        <f t="shared" ref="B3220:B3221" si="459">B3219</f>
        <v>52.25</v>
      </c>
      <c r="C3220" s="6"/>
      <c r="D3220" s="6"/>
    </row>
    <row r="3221" spans="1:4" ht="13" thickBot="1" x14ac:dyDescent="0.3">
      <c r="A3221" s="9">
        <f ca="1"/>
        <v>40111</v>
      </c>
      <c r="B3221" s="5">
        <f t="shared" si="459"/>
        <v>52.25</v>
      </c>
      <c r="C3221" s="6"/>
      <c r="D3221" s="6"/>
    </row>
    <row r="3222" spans="1:4" ht="13" thickBot="1" x14ac:dyDescent="0.3">
      <c r="A3222" s="9">
        <f ca="1"/>
        <v>40112</v>
      </c>
      <c r="B3222" s="6">
        <v>51.53</v>
      </c>
      <c r="C3222" s="6"/>
      <c r="D3222" s="6"/>
    </row>
    <row r="3223" spans="1:4" ht="13" thickBot="1" x14ac:dyDescent="0.3">
      <c r="A3223" s="9">
        <f ca="1"/>
        <v>40113</v>
      </c>
      <c r="B3223" s="6">
        <v>50.99</v>
      </c>
      <c r="C3223" s="6"/>
      <c r="D3223" s="6"/>
    </row>
    <row r="3224" spans="1:4" ht="13" thickBot="1" x14ac:dyDescent="0.3">
      <c r="A3224" s="9">
        <f ca="1"/>
        <v>40114</v>
      </c>
      <c r="B3224" s="6">
        <v>47.22</v>
      </c>
      <c r="C3224" s="6"/>
      <c r="D3224" s="6"/>
    </row>
    <row r="3225" spans="1:4" ht="13" thickBot="1" x14ac:dyDescent="0.3">
      <c r="A3225" s="9">
        <f ca="1"/>
        <v>40115</v>
      </c>
      <c r="B3225" s="6">
        <v>46.73</v>
      </c>
      <c r="C3225" s="6"/>
      <c r="D3225" s="6"/>
    </row>
    <row r="3226" spans="1:4" ht="13" thickBot="1" x14ac:dyDescent="0.3">
      <c r="A3226" s="9">
        <f ca="1"/>
        <v>40116</v>
      </c>
      <c r="B3226" s="6">
        <v>46.62</v>
      </c>
      <c r="C3226" s="6"/>
      <c r="D3226" s="6"/>
    </row>
    <row r="3227" spans="1:4" ht="13" thickBot="1" x14ac:dyDescent="0.3">
      <c r="A3227" s="9">
        <f ca="1"/>
        <v>40117</v>
      </c>
      <c r="B3227" s="5">
        <f t="shared" ref="B3227:B3228" si="460">B3226</f>
        <v>46.62</v>
      </c>
      <c r="C3227" s="6"/>
      <c r="D3227" s="6"/>
    </row>
    <row r="3228" spans="1:4" ht="13" thickBot="1" x14ac:dyDescent="0.3">
      <c r="A3228" s="9">
        <f ca="1"/>
        <v>40118</v>
      </c>
      <c r="B3228" s="5">
        <f t="shared" si="460"/>
        <v>46.62</v>
      </c>
      <c r="C3228" s="6"/>
      <c r="D3228" s="6"/>
    </row>
    <row r="3229" spans="1:4" ht="13" thickBot="1" x14ac:dyDescent="0.3">
      <c r="A3229" s="9">
        <f ca="1"/>
        <v>40119</v>
      </c>
      <c r="B3229" s="6">
        <v>45.89</v>
      </c>
      <c r="C3229" s="6"/>
      <c r="D3229" s="6"/>
    </row>
    <row r="3230" spans="1:4" ht="13" thickBot="1" x14ac:dyDescent="0.3">
      <c r="A3230" s="9">
        <f ca="1"/>
        <v>40120</v>
      </c>
      <c r="B3230" s="6">
        <v>46.04</v>
      </c>
      <c r="C3230" s="6"/>
      <c r="D3230" s="6"/>
    </row>
    <row r="3231" spans="1:4" ht="13" thickBot="1" x14ac:dyDescent="0.3">
      <c r="A3231" s="9">
        <f ca="1"/>
        <v>40121</v>
      </c>
      <c r="B3231" s="6">
        <v>46.88</v>
      </c>
      <c r="C3231" s="6"/>
      <c r="D3231" s="6"/>
    </row>
    <row r="3232" spans="1:4" ht="13" thickBot="1" x14ac:dyDescent="0.3">
      <c r="A3232" s="9">
        <f ca="1"/>
        <v>40122</v>
      </c>
      <c r="B3232" s="6">
        <v>47.21</v>
      </c>
      <c r="C3232" s="6"/>
      <c r="D3232" s="6"/>
    </row>
    <row r="3233" spans="1:4" ht="13" thickBot="1" x14ac:dyDescent="0.3">
      <c r="A3233" s="9">
        <f ca="1"/>
        <v>40123</v>
      </c>
      <c r="B3233" s="6">
        <v>46.66</v>
      </c>
      <c r="C3233" s="6"/>
      <c r="D3233" s="6"/>
    </row>
    <row r="3234" spans="1:4" ht="13" thickBot="1" x14ac:dyDescent="0.3">
      <c r="A3234" s="9">
        <f ca="1"/>
        <v>40124</v>
      </c>
      <c r="B3234" s="5">
        <f t="shared" ref="B3234:B3235" si="461">B3233</f>
        <v>46.66</v>
      </c>
      <c r="C3234" s="6"/>
      <c r="D3234" s="6"/>
    </row>
    <row r="3235" spans="1:4" ht="13" thickBot="1" x14ac:dyDescent="0.3">
      <c r="A3235" s="9">
        <f ca="1"/>
        <v>40125</v>
      </c>
      <c r="B3235" s="5">
        <f t="shared" si="461"/>
        <v>46.66</v>
      </c>
      <c r="C3235" s="6"/>
      <c r="D3235" s="6"/>
    </row>
    <row r="3236" spans="1:4" ht="13" thickBot="1" x14ac:dyDescent="0.3">
      <c r="A3236" s="9">
        <f ca="1"/>
        <v>40126</v>
      </c>
      <c r="B3236" s="6">
        <v>46.87</v>
      </c>
      <c r="C3236" s="6"/>
      <c r="D3236" s="6"/>
    </row>
    <row r="3237" spans="1:4" ht="13" thickBot="1" x14ac:dyDescent="0.3">
      <c r="A3237" s="9">
        <f ca="1"/>
        <v>40127</v>
      </c>
      <c r="B3237" s="6">
        <v>46.95</v>
      </c>
      <c r="C3237" s="6"/>
      <c r="D3237" s="6"/>
    </row>
    <row r="3238" spans="1:4" ht="13" thickBot="1" x14ac:dyDescent="0.3">
      <c r="A3238" s="9">
        <f ca="1"/>
        <v>40128</v>
      </c>
      <c r="B3238" s="6">
        <v>47.79</v>
      </c>
      <c r="C3238" s="6"/>
      <c r="D3238" s="6"/>
    </row>
    <row r="3239" spans="1:4" ht="13" thickBot="1" x14ac:dyDescent="0.3">
      <c r="A3239" s="9">
        <f ca="1"/>
        <v>40129</v>
      </c>
      <c r="B3239" s="6">
        <v>47.97</v>
      </c>
      <c r="C3239" s="6"/>
      <c r="D3239" s="6"/>
    </row>
    <row r="3240" spans="1:4" ht="13" thickBot="1" x14ac:dyDescent="0.3">
      <c r="A3240" s="9">
        <f ca="1"/>
        <v>40130</v>
      </c>
      <c r="B3240" s="6">
        <v>47.8</v>
      </c>
      <c r="C3240" s="6"/>
      <c r="D3240" s="6"/>
    </row>
    <row r="3241" spans="1:4" ht="13" thickBot="1" x14ac:dyDescent="0.3">
      <c r="A3241" s="9">
        <f ca="1"/>
        <v>40131</v>
      </c>
      <c r="B3241" s="5">
        <f t="shared" ref="B3241:B3242" si="462">B3240</f>
        <v>47.8</v>
      </c>
      <c r="C3241" s="6"/>
      <c r="D3241" s="6"/>
    </row>
    <row r="3242" spans="1:4" ht="13" thickBot="1" x14ac:dyDescent="0.3">
      <c r="A3242" s="9">
        <f ca="1"/>
        <v>40132</v>
      </c>
      <c r="B3242" s="5">
        <f t="shared" si="462"/>
        <v>47.8</v>
      </c>
      <c r="C3242" s="6"/>
      <c r="D3242" s="6"/>
    </row>
    <row r="3243" spans="1:4" ht="13" thickBot="1" x14ac:dyDescent="0.3">
      <c r="A3243" s="9">
        <f ca="1"/>
        <v>40133</v>
      </c>
      <c r="B3243" s="6">
        <v>48.78</v>
      </c>
      <c r="C3243" s="6"/>
      <c r="D3243" s="6"/>
    </row>
    <row r="3244" spans="1:4" ht="13" thickBot="1" x14ac:dyDescent="0.3">
      <c r="A3244" s="9">
        <f ca="1"/>
        <v>40134</v>
      </c>
      <c r="B3244" s="6">
        <v>49.12</v>
      </c>
      <c r="C3244" s="6"/>
      <c r="D3244" s="6"/>
    </row>
    <row r="3245" spans="1:4" ht="13" thickBot="1" x14ac:dyDescent="0.3">
      <c r="A3245" s="9">
        <f ca="1"/>
        <v>40135</v>
      </c>
      <c r="B3245" s="6">
        <v>49.36</v>
      </c>
      <c r="C3245" s="6"/>
      <c r="D3245" s="6"/>
    </row>
    <row r="3246" spans="1:4" ht="13" thickBot="1" x14ac:dyDescent="0.3">
      <c r="A3246" s="9">
        <f ca="1"/>
        <v>40136</v>
      </c>
      <c r="B3246" s="6">
        <v>48.3</v>
      </c>
      <c r="C3246" s="6"/>
      <c r="D3246" s="6"/>
    </row>
    <row r="3247" spans="1:4" ht="13" thickBot="1" x14ac:dyDescent="0.3">
      <c r="A3247" s="9">
        <f ca="1"/>
        <v>40137</v>
      </c>
      <c r="B3247" s="6">
        <v>47.81</v>
      </c>
      <c r="C3247" s="6"/>
      <c r="D3247" s="6"/>
    </row>
    <row r="3248" spans="1:4" ht="13" thickBot="1" x14ac:dyDescent="0.3">
      <c r="A3248" s="9">
        <f ca="1"/>
        <v>40138</v>
      </c>
      <c r="B3248" s="5">
        <f t="shared" ref="B3248:B3249" si="463">B3247</f>
        <v>47.81</v>
      </c>
      <c r="C3248" s="6"/>
      <c r="D3248" s="6"/>
    </row>
    <row r="3249" spans="1:4" ht="13" thickBot="1" x14ac:dyDescent="0.3">
      <c r="A3249" s="9">
        <f ca="1"/>
        <v>40139</v>
      </c>
      <c r="B3249" s="5">
        <f t="shared" si="463"/>
        <v>47.81</v>
      </c>
      <c r="C3249" s="6"/>
      <c r="D3249" s="6"/>
    </row>
    <row r="3250" spans="1:4" ht="13" thickBot="1" x14ac:dyDescent="0.3">
      <c r="A3250" s="9">
        <f ca="1"/>
        <v>40140</v>
      </c>
      <c r="B3250" s="6">
        <v>48.67</v>
      </c>
      <c r="C3250" s="6"/>
      <c r="D3250" s="6"/>
    </row>
    <row r="3251" spans="1:4" ht="13" thickBot="1" x14ac:dyDescent="0.3">
      <c r="A3251" s="9">
        <f ca="1"/>
        <v>40141</v>
      </c>
      <c r="B3251" s="6">
        <v>48.3</v>
      </c>
      <c r="C3251" s="6"/>
      <c r="D3251" s="6"/>
    </row>
    <row r="3252" spans="1:4" ht="13" thickBot="1" x14ac:dyDescent="0.3">
      <c r="A3252" s="9">
        <f ca="1"/>
        <v>40142</v>
      </c>
      <c r="B3252" s="6">
        <v>48.62</v>
      </c>
      <c r="C3252" s="6"/>
      <c r="D3252" s="6"/>
    </row>
    <row r="3253" spans="1:4" ht="13" thickBot="1" x14ac:dyDescent="0.3">
      <c r="A3253" s="9">
        <f ca="1"/>
        <v>40143</v>
      </c>
      <c r="B3253" s="5">
        <f>B3252</f>
        <v>48.62</v>
      </c>
      <c r="C3253" s="6"/>
      <c r="D3253" s="6"/>
    </row>
    <row r="3254" spans="1:4" ht="13" thickBot="1" x14ac:dyDescent="0.3">
      <c r="A3254" s="9">
        <f ca="1"/>
        <v>40144</v>
      </c>
      <c r="B3254" s="6">
        <v>47.46</v>
      </c>
      <c r="C3254" s="6"/>
      <c r="D3254" s="6"/>
    </row>
    <row r="3255" spans="1:4" ht="13" thickBot="1" x14ac:dyDescent="0.3">
      <c r="A3255" s="9">
        <f ca="1"/>
        <v>40145</v>
      </c>
      <c r="B3255" s="5">
        <f t="shared" ref="B3255:B3256" si="464">B3254</f>
        <v>47.46</v>
      </c>
      <c r="C3255" s="6"/>
      <c r="D3255" s="6"/>
    </row>
    <row r="3256" spans="1:4" ht="13" thickBot="1" x14ac:dyDescent="0.3">
      <c r="A3256" s="9">
        <f ca="1"/>
        <v>40146</v>
      </c>
      <c r="B3256" s="5">
        <f t="shared" si="464"/>
        <v>47.46</v>
      </c>
      <c r="C3256" s="6"/>
      <c r="D3256" s="6"/>
    </row>
    <row r="3257" spans="1:4" ht="13" thickBot="1" x14ac:dyDescent="0.3">
      <c r="A3257" s="9">
        <f ca="1"/>
        <v>40147</v>
      </c>
      <c r="B3257" s="6">
        <v>47.84</v>
      </c>
      <c r="C3257" s="6"/>
      <c r="D3257" s="6"/>
    </row>
    <row r="3258" spans="1:4" ht="13" thickBot="1" x14ac:dyDescent="0.3">
      <c r="A3258" s="9">
        <f ca="1"/>
        <v>40148</v>
      </c>
      <c r="B3258" s="6">
        <v>48.34</v>
      </c>
      <c r="C3258" s="6"/>
      <c r="D3258" s="6"/>
    </row>
    <row r="3259" spans="1:4" ht="13" thickBot="1" x14ac:dyDescent="0.3">
      <c r="A3259" s="9">
        <f ca="1"/>
        <v>40149</v>
      </c>
      <c r="B3259" s="6">
        <v>47.14</v>
      </c>
      <c r="C3259" s="6"/>
      <c r="D3259" s="6"/>
    </row>
    <row r="3260" spans="1:4" ht="13" thickBot="1" x14ac:dyDescent="0.3">
      <c r="A3260" s="9">
        <f ca="1"/>
        <v>40150</v>
      </c>
      <c r="B3260" s="6">
        <v>46.9</v>
      </c>
      <c r="C3260" s="6"/>
      <c r="D3260" s="6"/>
    </row>
    <row r="3261" spans="1:4" ht="13" thickBot="1" x14ac:dyDescent="0.3">
      <c r="A3261" s="9">
        <f ca="1"/>
        <v>40151</v>
      </c>
      <c r="B3261" s="6">
        <v>46.29</v>
      </c>
      <c r="C3261" s="6"/>
      <c r="D3261" s="6"/>
    </row>
    <row r="3262" spans="1:4" ht="13" thickBot="1" x14ac:dyDescent="0.3">
      <c r="A3262" s="9">
        <f ca="1"/>
        <v>40152</v>
      </c>
      <c r="B3262" s="5">
        <f t="shared" ref="B3262:B3263" si="465">B3261</f>
        <v>46.29</v>
      </c>
      <c r="C3262" s="6"/>
      <c r="D3262" s="6"/>
    </row>
    <row r="3263" spans="1:4" ht="13" thickBot="1" x14ac:dyDescent="0.3">
      <c r="A3263" s="9">
        <f ca="1"/>
        <v>40153</v>
      </c>
      <c r="B3263" s="5">
        <f t="shared" si="465"/>
        <v>46.29</v>
      </c>
      <c r="C3263" s="6"/>
      <c r="D3263" s="6"/>
    </row>
    <row r="3264" spans="1:4" ht="13" thickBot="1" x14ac:dyDescent="0.3">
      <c r="A3264" s="9">
        <f ca="1"/>
        <v>40154</v>
      </c>
      <c r="B3264" s="6">
        <v>45.84</v>
      </c>
      <c r="C3264" s="6"/>
      <c r="D3264" s="6"/>
    </row>
    <row r="3265" spans="1:4" ht="13" thickBot="1" x14ac:dyDescent="0.3">
      <c r="A3265" s="9">
        <f ca="1"/>
        <v>40155</v>
      </c>
      <c r="B3265" s="6">
        <v>44.99</v>
      </c>
      <c r="C3265" s="6"/>
      <c r="D3265" s="6"/>
    </row>
    <row r="3266" spans="1:4" ht="13" thickBot="1" x14ac:dyDescent="0.3">
      <c r="A3266" s="9">
        <f ca="1"/>
        <v>40156</v>
      </c>
      <c r="B3266" s="6">
        <v>44.33</v>
      </c>
      <c r="C3266" s="6"/>
      <c r="D3266" s="6"/>
    </row>
    <row r="3267" spans="1:4" ht="13" thickBot="1" x14ac:dyDescent="0.3">
      <c r="A3267" s="9">
        <f ca="1"/>
        <v>40157</v>
      </c>
      <c r="B3267" s="6">
        <v>44.63</v>
      </c>
      <c r="C3267" s="6"/>
      <c r="D3267" s="6"/>
    </row>
    <row r="3268" spans="1:4" ht="13" thickBot="1" x14ac:dyDescent="0.3">
      <c r="A3268" s="9">
        <f ca="1"/>
        <v>40158</v>
      </c>
      <c r="B3268" s="6">
        <v>44.98</v>
      </c>
      <c r="C3268" s="6"/>
      <c r="D3268" s="6"/>
    </row>
    <row r="3269" spans="1:4" ht="13" thickBot="1" x14ac:dyDescent="0.3">
      <c r="A3269" s="9">
        <f ca="1"/>
        <v>40159</v>
      </c>
      <c r="B3269" s="5">
        <f t="shared" ref="B3269:B3270" si="466">B3268</f>
        <v>44.98</v>
      </c>
      <c r="C3269" s="6"/>
      <c r="D3269" s="6"/>
    </row>
    <row r="3270" spans="1:4" ht="13" thickBot="1" x14ac:dyDescent="0.3">
      <c r="A3270" s="9">
        <f ca="1"/>
        <v>40160</v>
      </c>
      <c r="B3270" s="5">
        <f t="shared" si="466"/>
        <v>44.98</v>
      </c>
      <c r="C3270" s="6"/>
      <c r="D3270" s="6"/>
    </row>
    <row r="3271" spans="1:4" ht="13" thickBot="1" x14ac:dyDescent="0.3">
      <c r="A3271" s="9">
        <f ca="1"/>
        <v>40161</v>
      </c>
      <c r="B3271" s="6">
        <v>45.52</v>
      </c>
      <c r="C3271" s="6"/>
      <c r="D3271" s="6"/>
    </row>
    <row r="3272" spans="1:4" ht="13" thickBot="1" x14ac:dyDescent="0.3">
      <c r="A3272" s="9">
        <f ca="1"/>
        <v>40162</v>
      </c>
      <c r="B3272" s="6">
        <v>44.77</v>
      </c>
      <c r="C3272" s="6"/>
      <c r="D3272" s="6"/>
    </row>
    <row r="3273" spans="1:4" ht="13" thickBot="1" x14ac:dyDescent="0.3">
      <c r="A3273" s="9">
        <f ca="1"/>
        <v>40163</v>
      </c>
      <c r="B3273" s="6">
        <v>45.58</v>
      </c>
      <c r="C3273" s="6"/>
      <c r="D3273" s="6"/>
    </row>
    <row r="3274" spans="1:4" ht="13" thickBot="1" x14ac:dyDescent="0.3">
      <c r="A3274" s="9">
        <f ca="1"/>
        <v>40164</v>
      </c>
      <c r="B3274" s="6">
        <v>45.55</v>
      </c>
      <c r="C3274" s="6"/>
      <c r="D3274" s="6"/>
    </row>
    <row r="3275" spans="1:4" ht="13" thickBot="1" x14ac:dyDescent="0.3">
      <c r="A3275" s="9">
        <f ca="1"/>
        <v>40165</v>
      </c>
      <c r="B3275" s="6">
        <v>45.97</v>
      </c>
      <c r="C3275" s="6"/>
      <c r="D3275" s="6"/>
    </row>
    <row r="3276" spans="1:4" ht="13" thickBot="1" x14ac:dyDescent="0.3">
      <c r="A3276" s="9">
        <f ca="1"/>
        <v>40166</v>
      </c>
      <c r="B3276" s="5">
        <f t="shared" ref="B3276:B3277" si="467">B3275</f>
        <v>45.97</v>
      </c>
      <c r="C3276" s="6"/>
      <c r="D3276" s="6"/>
    </row>
    <row r="3277" spans="1:4" ht="13" thickBot="1" x14ac:dyDescent="0.3">
      <c r="A3277" s="9">
        <f ca="1"/>
        <v>40167</v>
      </c>
      <c r="B3277" s="5">
        <f t="shared" si="467"/>
        <v>45.97</v>
      </c>
      <c r="C3277" s="6"/>
      <c r="D3277" s="6"/>
    </row>
    <row r="3278" spans="1:4" ht="13" thickBot="1" x14ac:dyDescent="0.3">
      <c r="A3278" s="9">
        <f ca="1"/>
        <v>40168</v>
      </c>
      <c r="B3278" s="6">
        <v>46.94</v>
      </c>
      <c r="C3278" s="6"/>
      <c r="D3278" s="6"/>
    </row>
    <row r="3279" spans="1:4" ht="13" thickBot="1" x14ac:dyDescent="0.3">
      <c r="A3279" s="9">
        <f ca="1"/>
        <v>40169</v>
      </c>
      <c r="B3279" s="6">
        <v>46.69</v>
      </c>
      <c r="C3279" s="6"/>
      <c r="D3279" s="6"/>
    </row>
    <row r="3280" spans="1:4" ht="13" thickBot="1" x14ac:dyDescent="0.3">
      <c r="A3280" s="9">
        <f ca="1"/>
        <v>40170</v>
      </c>
      <c r="B3280" s="6">
        <v>46.86</v>
      </c>
      <c r="C3280" s="6"/>
      <c r="D3280" s="6"/>
    </row>
    <row r="3281" spans="1:4" ht="13" thickBot="1" x14ac:dyDescent="0.3">
      <c r="A3281" s="9">
        <f ca="1"/>
        <v>40171</v>
      </c>
      <c r="B3281" s="6">
        <v>46.98</v>
      </c>
      <c r="C3281" s="6"/>
      <c r="D3281" s="6"/>
    </row>
    <row r="3282" spans="1:4" ht="13" thickBot="1" x14ac:dyDescent="0.3">
      <c r="A3282" s="9">
        <f ca="1"/>
        <v>40172</v>
      </c>
      <c r="B3282" s="5">
        <f t="shared" ref="B3282:B3284" si="468">B3281</f>
        <v>46.98</v>
      </c>
      <c r="C3282" s="6"/>
      <c r="D3282" s="6"/>
    </row>
    <row r="3283" spans="1:4" ht="13" thickBot="1" x14ac:dyDescent="0.3">
      <c r="A3283" s="9">
        <f ca="1"/>
        <v>40173</v>
      </c>
      <c r="B3283" s="5">
        <f t="shared" si="468"/>
        <v>46.98</v>
      </c>
      <c r="C3283" s="6"/>
      <c r="D3283" s="6"/>
    </row>
    <row r="3284" spans="1:4" ht="13" thickBot="1" x14ac:dyDescent="0.3">
      <c r="A3284" s="9">
        <f ca="1"/>
        <v>40174</v>
      </c>
      <c r="B3284" s="5">
        <f t="shared" si="468"/>
        <v>46.98</v>
      </c>
      <c r="C3284" s="6"/>
      <c r="D3284" s="6"/>
    </row>
    <row r="3285" spans="1:4" ht="13" thickBot="1" x14ac:dyDescent="0.3">
      <c r="A3285" s="9">
        <f ca="1"/>
        <v>40175</v>
      </c>
      <c r="B3285" s="6">
        <v>47.42</v>
      </c>
      <c r="C3285" s="6"/>
      <c r="D3285" s="6"/>
    </row>
    <row r="3286" spans="1:4" ht="13" thickBot="1" x14ac:dyDescent="0.3">
      <c r="A3286" s="9">
        <f ca="1"/>
        <v>40176</v>
      </c>
      <c r="B3286" s="6">
        <v>47.67</v>
      </c>
      <c r="C3286" s="6"/>
      <c r="D3286" s="6"/>
    </row>
    <row r="3287" spans="1:4" ht="13" thickBot="1" x14ac:dyDescent="0.3">
      <c r="A3287" s="9">
        <f ca="1"/>
        <v>40177</v>
      </c>
      <c r="B3287" s="6">
        <v>47.1</v>
      </c>
      <c r="C3287" s="6"/>
      <c r="D3287" s="6"/>
    </row>
    <row r="3288" spans="1:4" ht="13" thickBot="1" x14ac:dyDescent="0.3">
      <c r="A3288" s="9">
        <f ca="1"/>
        <v>40178</v>
      </c>
      <c r="B3288" s="6">
        <v>47.32</v>
      </c>
      <c r="C3288" s="6"/>
      <c r="D3288" s="6"/>
    </row>
    <row r="3289" spans="1:4" ht="13" thickBot="1" x14ac:dyDescent="0.3">
      <c r="A3289" s="9">
        <f ca="1"/>
        <v>40179</v>
      </c>
      <c r="B3289" s="5">
        <f t="shared" ref="B3289:B3291" si="469">B3288</f>
        <v>47.32</v>
      </c>
      <c r="C3289" s="6"/>
      <c r="D3289" s="6"/>
    </row>
    <row r="3290" spans="1:4" ht="13" thickBot="1" x14ac:dyDescent="0.3">
      <c r="A3290" s="9">
        <f ca="1"/>
        <v>40180</v>
      </c>
      <c r="B3290" s="5">
        <f t="shared" si="469"/>
        <v>47.32</v>
      </c>
      <c r="C3290" s="6"/>
      <c r="D3290" s="6"/>
    </row>
    <row r="3291" spans="1:4" ht="13" thickBot="1" x14ac:dyDescent="0.3">
      <c r="A3291" s="9">
        <f ca="1"/>
        <v>40181</v>
      </c>
      <c r="B3291" s="5">
        <f t="shared" si="469"/>
        <v>47.32</v>
      </c>
      <c r="C3291" s="6"/>
      <c r="D3291" s="6"/>
    </row>
    <row r="3292" spans="1:4" ht="13" thickBot="1" x14ac:dyDescent="0.3">
      <c r="A3292" s="9">
        <f ca="1"/>
        <v>40182</v>
      </c>
      <c r="B3292" s="6">
        <v>47.23</v>
      </c>
      <c r="C3292" s="6"/>
      <c r="D3292" s="6"/>
    </row>
    <row r="3293" spans="1:4" ht="13" thickBot="1" x14ac:dyDescent="0.3">
      <c r="A3293" s="9">
        <f ca="1"/>
        <v>40183</v>
      </c>
      <c r="B3293" s="6">
        <v>46.98</v>
      </c>
      <c r="C3293" s="6"/>
      <c r="D3293" s="6"/>
    </row>
    <row r="3294" spans="1:4" ht="13" thickBot="1" x14ac:dyDescent="0.3">
      <c r="A3294" s="9">
        <f ca="1"/>
        <v>40184</v>
      </c>
      <c r="B3294" s="6">
        <v>47.33</v>
      </c>
      <c r="C3294" s="6"/>
      <c r="D3294" s="6"/>
    </row>
    <row r="3295" spans="1:4" ht="13" thickBot="1" x14ac:dyDescent="0.3">
      <c r="A3295" s="9">
        <f ca="1"/>
        <v>40185</v>
      </c>
      <c r="B3295" s="6">
        <v>48.64</v>
      </c>
      <c r="C3295" s="6"/>
      <c r="D3295" s="6"/>
    </row>
    <row r="3296" spans="1:4" ht="13" thickBot="1" x14ac:dyDescent="0.3">
      <c r="A3296" s="9">
        <f ca="1"/>
        <v>40186</v>
      </c>
      <c r="B3296" s="6">
        <v>49.01</v>
      </c>
      <c r="C3296" s="6"/>
      <c r="D3296" s="6"/>
    </row>
    <row r="3297" spans="1:4" ht="13" thickBot="1" x14ac:dyDescent="0.3">
      <c r="A3297" s="9">
        <f ca="1"/>
        <v>40187</v>
      </c>
      <c r="B3297" s="5">
        <f t="shared" ref="B3297:B3298" si="470">B3296</f>
        <v>49.01</v>
      </c>
      <c r="C3297" s="6"/>
      <c r="D3297" s="6"/>
    </row>
    <row r="3298" spans="1:4" ht="13" thickBot="1" x14ac:dyDescent="0.3">
      <c r="A3298" s="9">
        <f ca="1"/>
        <v>40188</v>
      </c>
      <c r="B3298" s="5">
        <f t="shared" si="470"/>
        <v>49.01</v>
      </c>
      <c r="C3298" s="6"/>
      <c r="D3298" s="6"/>
    </row>
    <row r="3299" spans="1:4" ht="13" thickBot="1" x14ac:dyDescent="0.3">
      <c r="A3299" s="9">
        <f ca="1"/>
        <v>40189</v>
      </c>
      <c r="B3299" s="6">
        <v>50.4</v>
      </c>
      <c r="C3299" s="6"/>
      <c r="D3299" s="6"/>
    </row>
    <row r="3300" spans="1:4" ht="13" thickBot="1" x14ac:dyDescent="0.3">
      <c r="A3300" s="9">
        <f ca="1"/>
        <v>40190</v>
      </c>
      <c r="B3300" s="6">
        <v>49.58</v>
      </c>
      <c r="C3300" s="6"/>
      <c r="D3300" s="6"/>
    </row>
    <row r="3301" spans="1:4" ht="13" thickBot="1" x14ac:dyDescent="0.3">
      <c r="A3301" s="9">
        <f ca="1"/>
        <v>40191</v>
      </c>
      <c r="B3301" s="6">
        <v>50.6</v>
      </c>
      <c r="C3301" s="6"/>
      <c r="D3301" s="6"/>
    </row>
    <row r="3302" spans="1:4" ht="13" thickBot="1" x14ac:dyDescent="0.3">
      <c r="A3302" s="9">
        <f ca="1"/>
        <v>40192</v>
      </c>
      <c r="B3302" s="6">
        <v>51.24</v>
      </c>
      <c r="C3302" s="6"/>
      <c r="D3302" s="6"/>
    </row>
    <row r="3303" spans="1:4" ht="13" thickBot="1" x14ac:dyDescent="0.3">
      <c r="A3303" s="9">
        <f ca="1"/>
        <v>40193</v>
      </c>
      <c r="B3303" s="6">
        <v>49.67</v>
      </c>
      <c r="C3303" s="6"/>
      <c r="D3303" s="6"/>
    </row>
    <row r="3304" spans="1:4" ht="13" thickBot="1" x14ac:dyDescent="0.3">
      <c r="A3304" s="9">
        <f ca="1"/>
        <v>40194</v>
      </c>
      <c r="B3304" s="5">
        <f t="shared" ref="B3304:B3306" si="471">B3303</f>
        <v>49.67</v>
      </c>
      <c r="C3304" s="6"/>
      <c r="D3304" s="6"/>
    </row>
    <row r="3305" spans="1:4" ht="13" thickBot="1" x14ac:dyDescent="0.3">
      <c r="A3305" s="9">
        <f ca="1"/>
        <v>40195</v>
      </c>
      <c r="B3305" s="5">
        <f t="shared" si="471"/>
        <v>49.67</v>
      </c>
      <c r="C3305" s="6"/>
      <c r="D3305" s="6"/>
    </row>
    <row r="3306" spans="1:4" ht="13" thickBot="1" x14ac:dyDescent="0.3">
      <c r="A3306" s="9">
        <f ca="1"/>
        <v>40196</v>
      </c>
      <c r="B3306" s="5">
        <f t="shared" si="471"/>
        <v>49.67</v>
      </c>
      <c r="C3306" s="6"/>
      <c r="D3306" s="6"/>
    </row>
    <row r="3307" spans="1:4" ht="13" thickBot="1" x14ac:dyDescent="0.3">
      <c r="A3307" s="9">
        <f ca="1"/>
        <v>40197</v>
      </c>
      <c r="B3307" s="6">
        <v>48.58</v>
      </c>
      <c r="C3307" s="6"/>
      <c r="D3307" s="6"/>
    </row>
    <row r="3308" spans="1:4" ht="13" thickBot="1" x14ac:dyDescent="0.3">
      <c r="A3308" s="9">
        <f ca="1"/>
        <v>40198</v>
      </c>
      <c r="B3308" s="6">
        <v>48.57</v>
      </c>
      <c r="C3308" s="6"/>
      <c r="D3308" s="6"/>
    </row>
    <row r="3309" spans="1:4" ht="13" thickBot="1" x14ac:dyDescent="0.3">
      <c r="A3309" s="9">
        <f ca="1"/>
        <v>40199</v>
      </c>
      <c r="B3309" s="6">
        <v>47.92</v>
      </c>
      <c r="C3309" s="6"/>
      <c r="D3309" s="6"/>
    </row>
    <row r="3310" spans="1:4" ht="13" thickBot="1" x14ac:dyDescent="0.3">
      <c r="A3310" s="9">
        <f ca="1"/>
        <v>40200</v>
      </c>
      <c r="B3310" s="6">
        <v>46.59</v>
      </c>
      <c r="C3310" s="6"/>
      <c r="D3310" s="6"/>
    </row>
    <row r="3311" spans="1:4" ht="13" thickBot="1" x14ac:dyDescent="0.3">
      <c r="A3311" s="9">
        <f ca="1"/>
        <v>40201</v>
      </c>
      <c r="B3311" s="5">
        <f t="shared" ref="B3311:B3312" si="472">B3310</f>
        <v>46.59</v>
      </c>
      <c r="C3311" s="6"/>
      <c r="D3311" s="6"/>
    </row>
    <row r="3312" spans="1:4" ht="13" thickBot="1" x14ac:dyDescent="0.3">
      <c r="A3312" s="9">
        <f ca="1"/>
        <v>40202</v>
      </c>
      <c r="B3312" s="5">
        <f t="shared" si="472"/>
        <v>46.59</v>
      </c>
      <c r="C3312" s="6"/>
      <c r="D3312" s="6"/>
    </row>
    <row r="3313" spans="1:4" ht="13" thickBot="1" x14ac:dyDescent="0.3">
      <c r="A3313" s="9">
        <f ca="1"/>
        <v>40203</v>
      </c>
      <c r="B3313" s="6">
        <v>46.75</v>
      </c>
      <c r="C3313" s="6"/>
      <c r="D3313" s="6"/>
    </row>
    <row r="3314" spans="1:4" ht="13" thickBot="1" x14ac:dyDescent="0.3">
      <c r="A3314" s="9">
        <f ca="1"/>
        <v>40204</v>
      </c>
      <c r="B3314" s="6">
        <v>45.73</v>
      </c>
      <c r="C3314" s="6"/>
      <c r="D3314" s="6"/>
    </row>
    <row r="3315" spans="1:4" ht="13" thickBot="1" x14ac:dyDescent="0.3">
      <c r="A3315" s="9">
        <f ca="1"/>
        <v>40205</v>
      </c>
      <c r="B3315" s="6">
        <v>45.99</v>
      </c>
      <c r="C3315" s="6"/>
      <c r="D3315" s="6"/>
    </row>
    <row r="3316" spans="1:4" ht="13" thickBot="1" x14ac:dyDescent="0.3">
      <c r="A3316" s="9">
        <f ca="1"/>
        <v>40206</v>
      </c>
      <c r="B3316" s="6">
        <v>46</v>
      </c>
      <c r="C3316" s="6"/>
      <c r="D3316" s="6"/>
    </row>
    <row r="3317" spans="1:4" ht="13" thickBot="1" x14ac:dyDescent="0.3">
      <c r="A3317" s="9">
        <f ca="1"/>
        <v>40207</v>
      </c>
      <c r="B3317" s="6">
        <v>45.81</v>
      </c>
      <c r="C3317" s="6"/>
      <c r="D3317" s="6"/>
    </row>
    <row r="3318" spans="1:4" ht="13" thickBot="1" x14ac:dyDescent="0.3">
      <c r="A3318" s="9">
        <f ca="1"/>
        <v>40208</v>
      </c>
      <c r="B3318" s="5">
        <f t="shared" ref="B3318:B3319" si="473">B3317</f>
        <v>45.81</v>
      </c>
      <c r="C3318" s="6"/>
      <c r="D3318" s="6"/>
    </row>
    <row r="3319" spans="1:4" ht="13" thickBot="1" x14ac:dyDescent="0.3">
      <c r="A3319" s="9">
        <f ca="1"/>
        <v>40209</v>
      </c>
      <c r="B3319" s="5">
        <f t="shared" si="473"/>
        <v>45.81</v>
      </c>
      <c r="C3319" s="6"/>
      <c r="D3319" s="6"/>
    </row>
    <row r="3320" spans="1:4" ht="13" thickBot="1" x14ac:dyDescent="0.3">
      <c r="A3320" s="9">
        <f ca="1"/>
        <v>40210</v>
      </c>
      <c r="B3320" s="6">
        <v>46.65</v>
      </c>
      <c r="C3320" s="6"/>
      <c r="D3320" s="6"/>
    </row>
    <row r="3321" spans="1:4" ht="13" thickBot="1" x14ac:dyDescent="0.3">
      <c r="A3321" s="9">
        <f ca="1"/>
        <v>40211</v>
      </c>
      <c r="B3321" s="6">
        <v>47.22</v>
      </c>
      <c r="C3321" s="6"/>
      <c r="D3321" s="6"/>
    </row>
    <row r="3322" spans="1:4" ht="13" thickBot="1" x14ac:dyDescent="0.3">
      <c r="A3322" s="9">
        <f ca="1"/>
        <v>40212</v>
      </c>
      <c r="B3322" s="6">
        <v>47.29</v>
      </c>
      <c r="C3322" s="6"/>
      <c r="D3322" s="6"/>
    </row>
    <row r="3323" spans="1:4" ht="13" thickBot="1" x14ac:dyDescent="0.3">
      <c r="A3323" s="9">
        <f ca="1"/>
        <v>40213</v>
      </c>
      <c r="B3323" s="6">
        <v>46.99</v>
      </c>
      <c r="C3323" s="6"/>
      <c r="D3323" s="6"/>
    </row>
    <row r="3324" spans="1:4" ht="13" thickBot="1" x14ac:dyDescent="0.3">
      <c r="A3324" s="9">
        <f ca="1"/>
        <v>40214</v>
      </c>
      <c r="B3324" s="6">
        <v>45.82</v>
      </c>
      <c r="C3324" s="6"/>
      <c r="D3324" s="6"/>
    </row>
    <row r="3325" spans="1:4" ht="13" thickBot="1" x14ac:dyDescent="0.3">
      <c r="A3325" s="9">
        <f ca="1"/>
        <v>40215</v>
      </c>
      <c r="B3325" s="5">
        <f t="shared" ref="B3325:B3326" si="474">B3324</f>
        <v>45.82</v>
      </c>
      <c r="C3325" s="6"/>
      <c r="D3325" s="6"/>
    </row>
    <row r="3326" spans="1:4" ht="13" thickBot="1" x14ac:dyDescent="0.3">
      <c r="A3326" s="9">
        <f ca="1"/>
        <v>40216</v>
      </c>
      <c r="B3326" s="5">
        <f t="shared" si="474"/>
        <v>45.82</v>
      </c>
      <c r="C3326" s="6"/>
      <c r="D3326" s="6"/>
    </row>
    <row r="3327" spans="1:4" ht="13" thickBot="1" x14ac:dyDescent="0.3">
      <c r="A3327" s="9">
        <f ca="1"/>
        <v>40217</v>
      </c>
      <c r="B3327" s="6">
        <v>44.64</v>
      </c>
      <c r="C3327" s="6"/>
      <c r="D3327" s="6"/>
    </row>
    <row r="3328" spans="1:4" ht="13" thickBot="1" x14ac:dyDescent="0.3">
      <c r="A3328" s="9">
        <f ca="1"/>
        <v>40218</v>
      </c>
      <c r="B3328" s="6">
        <v>43.67</v>
      </c>
      <c r="C3328" s="6"/>
      <c r="D3328" s="6"/>
    </row>
    <row r="3329" spans="1:4" ht="13" thickBot="1" x14ac:dyDescent="0.3">
      <c r="A3329" s="9">
        <f ca="1"/>
        <v>40219</v>
      </c>
      <c r="B3329" s="6">
        <v>43.83</v>
      </c>
      <c r="C3329" s="6"/>
      <c r="D3329" s="6"/>
    </row>
    <row r="3330" spans="1:4" ht="13" thickBot="1" x14ac:dyDescent="0.3">
      <c r="A3330" s="9">
        <f ca="1"/>
        <v>40220</v>
      </c>
      <c r="B3330" s="6">
        <v>42.53</v>
      </c>
      <c r="C3330" s="6"/>
      <c r="D3330" s="6"/>
    </row>
    <row r="3331" spans="1:4" ht="13" thickBot="1" x14ac:dyDescent="0.3">
      <c r="A3331" s="9">
        <f ca="1"/>
        <v>40221</v>
      </c>
      <c r="B3331" s="6">
        <v>42.25</v>
      </c>
      <c r="C3331" s="6"/>
      <c r="D3331" s="6"/>
    </row>
    <row r="3332" spans="1:4" ht="13" thickBot="1" x14ac:dyDescent="0.3">
      <c r="A3332" s="9">
        <f ca="1"/>
        <v>40222</v>
      </c>
      <c r="B3332" s="5">
        <f t="shared" ref="B3332:B3334" si="475">B3331</f>
        <v>42.25</v>
      </c>
      <c r="C3332" s="6"/>
      <c r="D3332" s="6"/>
    </row>
    <row r="3333" spans="1:4" ht="13" thickBot="1" x14ac:dyDescent="0.3">
      <c r="A3333" s="9">
        <f ca="1"/>
        <v>40223</v>
      </c>
      <c r="B3333" s="5">
        <f t="shared" si="475"/>
        <v>42.25</v>
      </c>
      <c r="C3333" s="6"/>
      <c r="D3333" s="6"/>
    </row>
    <row r="3334" spans="1:4" ht="13" thickBot="1" x14ac:dyDescent="0.3">
      <c r="A3334" s="9">
        <f ca="1"/>
        <v>40224</v>
      </c>
      <c r="B3334" s="5">
        <f t="shared" si="475"/>
        <v>42.25</v>
      </c>
      <c r="C3334" s="6"/>
      <c r="D3334" s="6"/>
    </row>
    <row r="3335" spans="1:4" ht="13" thickBot="1" x14ac:dyDescent="0.3">
      <c r="A3335" s="9">
        <f ca="1"/>
        <v>40225</v>
      </c>
      <c r="B3335" s="6">
        <v>43.56</v>
      </c>
      <c r="C3335" s="6"/>
      <c r="D3335" s="6"/>
    </row>
    <row r="3336" spans="1:4" ht="13" thickBot="1" x14ac:dyDescent="0.3">
      <c r="A3336" s="9">
        <f ca="1"/>
        <v>40226</v>
      </c>
      <c r="B3336" s="6">
        <v>44.57</v>
      </c>
      <c r="C3336" s="6"/>
      <c r="D3336" s="6"/>
    </row>
    <row r="3337" spans="1:4" ht="13" thickBot="1" x14ac:dyDescent="0.3">
      <c r="A3337" s="9">
        <f ca="1"/>
        <v>40227</v>
      </c>
      <c r="B3337" s="6">
        <v>44.01</v>
      </c>
      <c r="C3337" s="6"/>
      <c r="D3337" s="6"/>
    </row>
    <row r="3338" spans="1:4" ht="13" thickBot="1" x14ac:dyDescent="0.3">
      <c r="A3338" s="9">
        <f ca="1"/>
        <v>40228</v>
      </c>
      <c r="B3338" s="6">
        <v>44.25</v>
      </c>
      <c r="C3338" s="6"/>
      <c r="D3338" s="6"/>
    </row>
    <row r="3339" spans="1:4" ht="13" thickBot="1" x14ac:dyDescent="0.3">
      <c r="A3339" s="9">
        <f ca="1"/>
        <v>40229</v>
      </c>
      <c r="B3339" s="5">
        <f t="shared" ref="B3339:B3340" si="476">B3338</f>
        <v>44.25</v>
      </c>
      <c r="C3339" s="6"/>
      <c r="D3339" s="6"/>
    </row>
    <row r="3340" spans="1:4" ht="13" thickBot="1" x14ac:dyDescent="0.3">
      <c r="A3340" s="9">
        <f ca="1"/>
        <v>40230</v>
      </c>
      <c r="B3340" s="5">
        <f t="shared" si="476"/>
        <v>44.25</v>
      </c>
      <c r="C3340" s="6"/>
      <c r="D3340" s="6"/>
    </row>
    <row r="3341" spans="1:4" ht="13" thickBot="1" x14ac:dyDescent="0.3">
      <c r="A3341" s="9">
        <f ca="1"/>
        <v>40231</v>
      </c>
      <c r="B3341" s="6">
        <v>44.51</v>
      </c>
      <c r="C3341" s="6"/>
      <c r="D3341" s="6"/>
    </row>
    <row r="3342" spans="1:4" ht="13" thickBot="1" x14ac:dyDescent="0.3">
      <c r="A3342" s="9">
        <f ca="1"/>
        <v>40232</v>
      </c>
      <c r="B3342" s="6">
        <v>43.92</v>
      </c>
      <c r="C3342" s="6"/>
      <c r="D3342" s="6"/>
    </row>
    <row r="3343" spans="1:4" ht="13" thickBot="1" x14ac:dyDescent="0.3">
      <c r="A3343" s="9">
        <f ca="1"/>
        <v>40233</v>
      </c>
      <c r="B3343" s="6">
        <v>44.35</v>
      </c>
      <c r="C3343" s="6"/>
      <c r="D3343" s="6"/>
    </row>
    <row r="3344" spans="1:4" ht="13" thickBot="1" x14ac:dyDescent="0.3">
      <c r="A3344" s="9">
        <f ca="1"/>
        <v>40234</v>
      </c>
      <c r="B3344" s="6">
        <v>43.55</v>
      </c>
      <c r="C3344" s="6"/>
      <c r="D3344" s="6"/>
    </row>
    <row r="3345" spans="1:4" ht="13" thickBot="1" x14ac:dyDescent="0.3">
      <c r="A3345" s="9">
        <f ca="1"/>
        <v>40235</v>
      </c>
      <c r="B3345" s="6">
        <v>44.21</v>
      </c>
      <c r="C3345" s="6"/>
      <c r="D3345" s="6"/>
    </row>
    <row r="3346" spans="1:4" ht="13" thickBot="1" x14ac:dyDescent="0.3">
      <c r="A3346" s="9">
        <f ca="1"/>
        <v>40236</v>
      </c>
      <c r="B3346" s="5">
        <f t="shared" ref="B3346:B3347" si="477">B3345</f>
        <v>44.21</v>
      </c>
      <c r="C3346" s="6"/>
      <c r="D3346" s="6"/>
    </row>
    <row r="3347" spans="1:4" ht="13" thickBot="1" x14ac:dyDescent="0.3">
      <c r="A3347" s="9">
        <f ca="1"/>
        <v>40237</v>
      </c>
      <c r="B3347" s="5">
        <f t="shared" si="477"/>
        <v>44.21</v>
      </c>
      <c r="C3347" s="6"/>
      <c r="D3347" s="6"/>
    </row>
    <row r="3348" spans="1:4" ht="13" thickBot="1" x14ac:dyDescent="0.3">
      <c r="A3348" s="9">
        <f ca="1"/>
        <v>40238</v>
      </c>
      <c r="B3348" s="6">
        <v>44.95</v>
      </c>
      <c r="C3348" s="6"/>
      <c r="D3348" s="6"/>
    </row>
    <row r="3349" spans="1:4" ht="13" thickBot="1" x14ac:dyDescent="0.3">
      <c r="A3349" s="9">
        <f ca="1"/>
        <v>40239</v>
      </c>
      <c r="B3349" s="6">
        <v>45.77</v>
      </c>
      <c r="C3349" s="6"/>
      <c r="D3349" s="6"/>
    </row>
    <row r="3350" spans="1:4" ht="13" thickBot="1" x14ac:dyDescent="0.3">
      <c r="A3350" s="9">
        <f ca="1"/>
        <v>40240</v>
      </c>
      <c r="B3350" s="6">
        <v>45.99</v>
      </c>
      <c r="C3350" s="6"/>
      <c r="D3350" s="6"/>
    </row>
    <row r="3351" spans="1:4" ht="13" thickBot="1" x14ac:dyDescent="0.3">
      <c r="A3351" s="9">
        <f ca="1"/>
        <v>40241</v>
      </c>
      <c r="B3351" s="6">
        <v>46.03</v>
      </c>
      <c r="C3351" s="6"/>
      <c r="D3351" s="6"/>
    </row>
    <row r="3352" spans="1:4" ht="13" thickBot="1" x14ac:dyDescent="0.3">
      <c r="A3352" s="9">
        <f ca="1"/>
        <v>40242</v>
      </c>
      <c r="B3352" s="6">
        <v>46.08</v>
      </c>
      <c r="C3352" s="6"/>
      <c r="D3352" s="6"/>
    </row>
    <row r="3353" spans="1:4" ht="13" thickBot="1" x14ac:dyDescent="0.3">
      <c r="A3353" s="9">
        <f ca="1"/>
        <v>40243</v>
      </c>
      <c r="B3353" s="5">
        <f t="shared" ref="B3353:B3354" si="478">B3352</f>
        <v>46.08</v>
      </c>
      <c r="C3353" s="6"/>
      <c r="D3353" s="6"/>
    </row>
    <row r="3354" spans="1:4" ht="13" thickBot="1" x14ac:dyDescent="0.3">
      <c r="A3354" s="9">
        <f ca="1"/>
        <v>40244</v>
      </c>
      <c r="B3354" s="5">
        <f t="shared" si="478"/>
        <v>46.08</v>
      </c>
      <c r="C3354" s="6"/>
      <c r="D3354" s="6"/>
    </row>
    <row r="3355" spans="1:4" ht="13" thickBot="1" x14ac:dyDescent="0.3">
      <c r="A3355" s="9">
        <f ca="1"/>
        <v>40245</v>
      </c>
      <c r="B3355" s="6">
        <v>46.52</v>
      </c>
      <c r="C3355" s="6"/>
      <c r="D3355" s="6"/>
    </row>
    <row r="3356" spans="1:4" ht="13" thickBot="1" x14ac:dyDescent="0.3">
      <c r="A3356" s="9">
        <f ca="1"/>
        <v>40246</v>
      </c>
      <c r="B3356" s="6">
        <v>45.9</v>
      </c>
      <c r="C3356" s="6"/>
      <c r="D3356" s="6"/>
    </row>
    <row r="3357" spans="1:4" ht="13" thickBot="1" x14ac:dyDescent="0.3">
      <c r="A3357" s="9">
        <f ca="1"/>
        <v>40247</v>
      </c>
      <c r="B3357" s="6">
        <v>46.03</v>
      </c>
      <c r="C3357" s="6"/>
      <c r="D3357" s="6"/>
    </row>
    <row r="3358" spans="1:4" ht="13" thickBot="1" x14ac:dyDescent="0.3">
      <c r="A3358" s="9">
        <f ca="1"/>
        <v>40248</v>
      </c>
      <c r="B3358" s="6">
        <v>45.99</v>
      </c>
      <c r="C3358" s="6"/>
      <c r="D3358" s="6"/>
    </row>
    <row r="3359" spans="1:4" ht="13" thickBot="1" x14ac:dyDescent="0.3">
      <c r="A3359" s="9">
        <f ca="1"/>
        <v>40249</v>
      </c>
      <c r="B3359" s="6">
        <v>46.13</v>
      </c>
      <c r="C3359" s="6"/>
      <c r="D3359" s="6"/>
    </row>
    <row r="3360" spans="1:4" ht="13" thickBot="1" x14ac:dyDescent="0.3">
      <c r="A3360" s="9">
        <f ca="1"/>
        <v>40250</v>
      </c>
      <c r="B3360" s="5">
        <f t="shared" ref="B3360:B3361" si="479">B3359</f>
        <v>46.13</v>
      </c>
      <c r="C3360" s="6"/>
      <c r="D3360" s="6"/>
    </row>
    <row r="3361" spans="1:4" ht="13" thickBot="1" x14ac:dyDescent="0.3">
      <c r="A3361" s="9">
        <f ca="1"/>
        <v>40251</v>
      </c>
      <c r="B3361" s="5">
        <f t="shared" si="479"/>
        <v>46.13</v>
      </c>
      <c r="C3361" s="6"/>
      <c r="D3361" s="6"/>
    </row>
    <row r="3362" spans="1:4" ht="13" thickBot="1" x14ac:dyDescent="0.3">
      <c r="A3362" s="9">
        <f ca="1"/>
        <v>40252</v>
      </c>
      <c r="B3362" s="6">
        <v>45.98</v>
      </c>
      <c r="C3362" s="6"/>
      <c r="D3362" s="6"/>
    </row>
    <row r="3363" spans="1:4" ht="13" thickBot="1" x14ac:dyDescent="0.3">
      <c r="A3363" s="9">
        <f ca="1"/>
        <v>40253</v>
      </c>
      <c r="B3363" s="6">
        <v>45.8</v>
      </c>
      <c r="C3363" s="6"/>
      <c r="D3363" s="6"/>
    </row>
    <row r="3364" spans="1:4" ht="13" thickBot="1" x14ac:dyDescent="0.3">
      <c r="A3364" s="9">
        <f ca="1"/>
        <v>40254</v>
      </c>
      <c r="B3364" s="6">
        <v>46.99</v>
      </c>
      <c r="C3364" s="6"/>
      <c r="D3364" s="6"/>
    </row>
    <row r="3365" spans="1:4" ht="13" thickBot="1" x14ac:dyDescent="0.3">
      <c r="A3365" s="9">
        <f ca="1"/>
        <v>40255</v>
      </c>
      <c r="B3365" s="6">
        <v>47.45</v>
      </c>
      <c r="C3365" s="6"/>
      <c r="D3365" s="6"/>
    </row>
    <row r="3366" spans="1:4" ht="13" thickBot="1" x14ac:dyDescent="0.3">
      <c r="A3366" s="9">
        <f ca="1"/>
        <v>40256</v>
      </c>
      <c r="B3366" s="6">
        <v>46.88</v>
      </c>
      <c r="C3366" s="6"/>
      <c r="D3366" s="6"/>
    </row>
    <row r="3367" spans="1:4" ht="13" thickBot="1" x14ac:dyDescent="0.3">
      <c r="A3367" s="9">
        <f ca="1"/>
        <v>40257</v>
      </c>
      <c r="B3367" s="5">
        <f t="shared" ref="B3367:B3368" si="480">B3366</f>
        <v>46.88</v>
      </c>
      <c r="C3367" s="6"/>
      <c r="D3367" s="6"/>
    </row>
    <row r="3368" spans="1:4" ht="13" thickBot="1" x14ac:dyDescent="0.3">
      <c r="A3368" s="9">
        <f ca="1"/>
        <v>40258</v>
      </c>
      <c r="B3368" s="5">
        <f t="shared" si="480"/>
        <v>46.88</v>
      </c>
      <c r="C3368" s="6"/>
      <c r="D3368" s="6"/>
    </row>
    <row r="3369" spans="1:4" ht="13" thickBot="1" x14ac:dyDescent="0.3">
      <c r="A3369" s="9">
        <f ca="1"/>
        <v>40259</v>
      </c>
      <c r="B3369" s="6">
        <v>46.47</v>
      </c>
      <c r="C3369" s="6"/>
      <c r="D3369" s="6"/>
    </row>
    <row r="3370" spans="1:4" ht="13" thickBot="1" x14ac:dyDescent="0.3">
      <c r="A3370" s="9">
        <f ca="1"/>
        <v>40260</v>
      </c>
      <c r="B3370" s="6">
        <v>47.42</v>
      </c>
      <c r="C3370" s="6"/>
      <c r="D3370" s="6"/>
    </row>
    <row r="3371" spans="1:4" ht="13" thickBot="1" x14ac:dyDescent="0.3">
      <c r="A3371" s="9">
        <f ca="1"/>
        <v>40261</v>
      </c>
      <c r="B3371" s="6">
        <v>46.75</v>
      </c>
      <c r="C3371" s="6"/>
      <c r="D3371" s="6"/>
    </row>
    <row r="3372" spans="1:4" ht="13" thickBot="1" x14ac:dyDescent="0.3">
      <c r="A3372" s="9">
        <f ca="1"/>
        <v>40262</v>
      </c>
      <c r="B3372" s="6">
        <v>47.7</v>
      </c>
      <c r="C3372" s="6"/>
      <c r="D3372" s="6"/>
    </row>
    <row r="3373" spans="1:4" ht="13" thickBot="1" x14ac:dyDescent="0.3">
      <c r="A3373" s="9">
        <f ca="1"/>
        <v>40263</v>
      </c>
      <c r="B3373" s="6">
        <v>47.29</v>
      </c>
      <c r="C3373" s="6"/>
      <c r="D3373" s="6"/>
    </row>
    <row r="3374" spans="1:4" ht="13" thickBot="1" x14ac:dyDescent="0.3">
      <c r="A3374" s="9">
        <f ca="1"/>
        <v>40264</v>
      </c>
      <c r="B3374" s="5">
        <f t="shared" ref="B3374:B3375" si="481">B3373</f>
        <v>47.29</v>
      </c>
      <c r="C3374" s="6"/>
      <c r="D3374" s="6"/>
    </row>
    <row r="3375" spans="1:4" ht="13" thickBot="1" x14ac:dyDescent="0.3">
      <c r="A3375" s="9">
        <f ca="1"/>
        <v>40265</v>
      </c>
      <c r="B3375" s="5">
        <f t="shared" si="481"/>
        <v>47.29</v>
      </c>
      <c r="C3375" s="6"/>
      <c r="D3375" s="6"/>
    </row>
    <row r="3376" spans="1:4" ht="13" thickBot="1" x14ac:dyDescent="0.3">
      <c r="A3376" s="9">
        <f ca="1"/>
        <v>40266</v>
      </c>
      <c r="B3376" s="6">
        <v>47.67</v>
      </c>
      <c r="C3376" s="6"/>
      <c r="D3376" s="6"/>
    </row>
    <row r="3377" spans="1:4" ht="13" thickBot="1" x14ac:dyDescent="0.3">
      <c r="A3377" s="9">
        <f ca="1"/>
        <v>40267</v>
      </c>
      <c r="B3377" s="6">
        <v>48.07</v>
      </c>
      <c r="C3377" s="6"/>
      <c r="D3377" s="6"/>
    </row>
    <row r="3378" spans="1:4" ht="13" thickBot="1" x14ac:dyDescent="0.3">
      <c r="A3378" s="9">
        <f ca="1"/>
        <v>40268</v>
      </c>
      <c r="B3378" s="6">
        <v>48.15</v>
      </c>
      <c r="C3378" s="6"/>
      <c r="D3378" s="6"/>
    </row>
    <row r="3379" spans="1:4" ht="13" thickBot="1" x14ac:dyDescent="0.3">
      <c r="A3379" s="9">
        <f ca="1"/>
        <v>40269</v>
      </c>
      <c r="B3379" s="6">
        <v>49.01</v>
      </c>
      <c r="C3379" s="6"/>
      <c r="D3379" s="6"/>
    </row>
    <row r="3380" spans="1:4" ht="13" thickBot="1" x14ac:dyDescent="0.3">
      <c r="A3380" s="9">
        <f ca="1"/>
        <v>40270</v>
      </c>
      <c r="B3380" s="5">
        <f t="shared" ref="B3380:B3382" si="482">B3379</f>
        <v>49.01</v>
      </c>
      <c r="C3380" s="6"/>
      <c r="D3380" s="6"/>
    </row>
    <row r="3381" spans="1:4" ht="13" thickBot="1" x14ac:dyDescent="0.3">
      <c r="A3381" s="9">
        <f ca="1"/>
        <v>40271</v>
      </c>
      <c r="B3381" s="5">
        <f t="shared" si="482"/>
        <v>49.01</v>
      </c>
      <c r="C3381" s="6"/>
      <c r="D3381" s="6"/>
    </row>
    <row r="3382" spans="1:4" ht="13" thickBot="1" x14ac:dyDescent="0.3">
      <c r="A3382" s="9">
        <f ca="1"/>
        <v>40272</v>
      </c>
      <c r="B3382" s="5">
        <f t="shared" si="482"/>
        <v>49.01</v>
      </c>
      <c r="C3382" s="6"/>
      <c r="D3382" s="6"/>
    </row>
    <row r="3383" spans="1:4" ht="13" thickBot="1" x14ac:dyDescent="0.3">
      <c r="A3383" s="9">
        <f ca="1"/>
        <v>40273</v>
      </c>
      <c r="B3383" s="6">
        <v>48.66</v>
      </c>
      <c r="C3383" s="6"/>
      <c r="D3383" s="6"/>
    </row>
    <row r="3384" spans="1:4" ht="13" thickBot="1" x14ac:dyDescent="0.3">
      <c r="A3384" s="9">
        <f ca="1"/>
        <v>40274</v>
      </c>
      <c r="B3384" s="6">
        <v>48.08</v>
      </c>
      <c r="C3384" s="6"/>
      <c r="D3384" s="6"/>
    </row>
    <row r="3385" spans="1:4" ht="13" thickBot="1" x14ac:dyDescent="0.3">
      <c r="A3385" s="9">
        <f ca="1"/>
        <v>40275</v>
      </c>
      <c r="B3385" s="6">
        <v>47.94</v>
      </c>
      <c r="C3385" s="6"/>
      <c r="D3385" s="6"/>
    </row>
    <row r="3386" spans="1:4" ht="13" thickBot="1" x14ac:dyDescent="0.3">
      <c r="A3386" s="9">
        <f ca="1"/>
        <v>40276</v>
      </c>
      <c r="B3386" s="6">
        <v>47.66</v>
      </c>
      <c r="C3386" s="6"/>
      <c r="D3386" s="6"/>
    </row>
    <row r="3387" spans="1:4" ht="13" thickBot="1" x14ac:dyDescent="0.3">
      <c r="A3387" s="9">
        <f ca="1"/>
        <v>40277</v>
      </c>
      <c r="B3387" s="6">
        <v>48.12</v>
      </c>
      <c r="C3387" s="6"/>
      <c r="D3387" s="6"/>
    </row>
    <row r="3388" spans="1:4" ht="13" thickBot="1" x14ac:dyDescent="0.3">
      <c r="A3388" s="9">
        <f ca="1"/>
        <v>40278</v>
      </c>
      <c r="B3388" s="5">
        <f t="shared" ref="B3388:B3389" si="483">B3387</f>
        <v>48.12</v>
      </c>
      <c r="C3388" s="6"/>
      <c r="D3388" s="6"/>
    </row>
    <row r="3389" spans="1:4" ht="13" thickBot="1" x14ac:dyDescent="0.3">
      <c r="A3389" s="9">
        <f ca="1"/>
        <v>40279</v>
      </c>
      <c r="B3389" s="5">
        <f t="shared" si="483"/>
        <v>48.12</v>
      </c>
      <c r="C3389" s="6"/>
      <c r="D3389" s="6"/>
    </row>
    <row r="3390" spans="1:4" ht="13" thickBot="1" x14ac:dyDescent="0.3">
      <c r="A3390" s="9">
        <f ca="1"/>
        <v>40280</v>
      </c>
      <c r="B3390" s="6">
        <v>49.06</v>
      </c>
      <c r="C3390" s="6"/>
      <c r="D3390" s="6"/>
    </row>
    <row r="3391" spans="1:4" ht="13" thickBot="1" x14ac:dyDescent="0.3">
      <c r="A3391" s="9">
        <f ca="1"/>
        <v>40281</v>
      </c>
      <c r="B3391" s="6">
        <v>49.14</v>
      </c>
      <c r="C3391" s="6"/>
      <c r="D3391" s="6"/>
    </row>
    <row r="3392" spans="1:4" ht="13" thickBot="1" x14ac:dyDescent="0.3">
      <c r="A3392" s="9">
        <f ca="1"/>
        <v>40282</v>
      </c>
      <c r="B3392" s="6">
        <v>49.52</v>
      </c>
      <c r="C3392" s="6"/>
      <c r="D3392" s="6"/>
    </row>
    <row r="3393" spans="1:4" ht="13" thickBot="1" x14ac:dyDescent="0.3">
      <c r="A3393" s="9">
        <f ca="1"/>
        <v>40283</v>
      </c>
      <c r="B3393" s="6">
        <v>49.34</v>
      </c>
      <c r="C3393" s="6"/>
      <c r="D3393" s="6"/>
    </row>
    <row r="3394" spans="1:4" ht="13" thickBot="1" x14ac:dyDescent="0.3">
      <c r="A3394" s="9">
        <f ca="1"/>
        <v>40284</v>
      </c>
      <c r="B3394" s="6">
        <v>48.93</v>
      </c>
      <c r="C3394" s="6"/>
      <c r="D3394" s="6"/>
    </row>
    <row r="3395" spans="1:4" ht="13" thickBot="1" x14ac:dyDescent="0.3">
      <c r="A3395" s="9">
        <f ca="1"/>
        <v>40285</v>
      </c>
      <c r="B3395" s="5">
        <f t="shared" ref="B3395:B3396" si="484">B3394</f>
        <v>48.93</v>
      </c>
      <c r="C3395" s="6"/>
      <c r="D3395" s="6"/>
    </row>
    <row r="3396" spans="1:4" ht="13" thickBot="1" x14ac:dyDescent="0.3">
      <c r="A3396" s="9">
        <f ca="1"/>
        <v>40286</v>
      </c>
      <c r="B3396" s="5">
        <f t="shared" si="484"/>
        <v>48.93</v>
      </c>
      <c r="C3396" s="6"/>
      <c r="D3396" s="6"/>
    </row>
    <row r="3397" spans="1:4" ht="13" thickBot="1" x14ac:dyDescent="0.3">
      <c r="A3397" s="9">
        <f ca="1"/>
        <v>40287</v>
      </c>
      <c r="B3397" s="6">
        <v>48.12</v>
      </c>
      <c r="C3397" s="6"/>
      <c r="D3397" s="6"/>
    </row>
    <row r="3398" spans="1:4" ht="13" thickBot="1" x14ac:dyDescent="0.3">
      <c r="A3398" s="9">
        <f ca="1"/>
        <v>40288</v>
      </c>
      <c r="B3398" s="6">
        <v>48.83</v>
      </c>
      <c r="C3398" s="6"/>
      <c r="D3398" s="6"/>
    </row>
    <row r="3399" spans="1:4" ht="13" thickBot="1" x14ac:dyDescent="0.3">
      <c r="A3399" s="9">
        <f ca="1"/>
        <v>40289</v>
      </c>
      <c r="B3399" s="6">
        <v>48.66</v>
      </c>
      <c r="C3399" s="6"/>
      <c r="D3399" s="6"/>
    </row>
    <row r="3400" spans="1:4" ht="13" thickBot="1" x14ac:dyDescent="0.3">
      <c r="A3400" s="9">
        <f ca="1"/>
        <v>40290</v>
      </c>
      <c r="B3400" s="6">
        <v>48.22</v>
      </c>
      <c r="C3400" s="6"/>
      <c r="D3400" s="6"/>
    </row>
    <row r="3401" spans="1:4" ht="13" thickBot="1" x14ac:dyDescent="0.3">
      <c r="A3401" s="9">
        <f ca="1"/>
        <v>40291</v>
      </c>
      <c r="B3401" s="6">
        <v>49</v>
      </c>
      <c r="C3401" s="6"/>
      <c r="D3401" s="6"/>
    </row>
    <row r="3402" spans="1:4" ht="13" thickBot="1" x14ac:dyDescent="0.3">
      <c r="A3402" s="9">
        <f ca="1"/>
        <v>40292</v>
      </c>
      <c r="B3402" s="5">
        <f t="shared" ref="B3402:B3403" si="485">B3401</f>
        <v>49</v>
      </c>
      <c r="C3402" s="6"/>
      <c r="D3402" s="6"/>
    </row>
    <row r="3403" spans="1:4" ht="13" thickBot="1" x14ac:dyDescent="0.3">
      <c r="A3403" s="9">
        <f ca="1"/>
        <v>40293</v>
      </c>
      <c r="B3403" s="5">
        <f t="shared" si="485"/>
        <v>49</v>
      </c>
      <c r="C3403" s="6"/>
      <c r="D3403" s="6"/>
    </row>
    <row r="3404" spans="1:4" ht="13" thickBot="1" x14ac:dyDescent="0.3">
      <c r="A3404" s="9">
        <f ca="1"/>
        <v>40294</v>
      </c>
      <c r="B3404" s="6">
        <v>49.55</v>
      </c>
      <c r="C3404" s="6"/>
      <c r="D3404" s="6"/>
    </row>
    <row r="3405" spans="1:4" ht="13" thickBot="1" x14ac:dyDescent="0.3">
      <c r="A3405" s="9">
        <f ca="1"/>
        <v>40295</v>
      </c>
      <c r="B3405" s="6">
        <v>49.26</v>
      </c>
      <c r="C3405" s="6"/>
      <c r="D3405" s="6"/>
    </row>
    <row r="3406" spans="1:4" ht="13" thickBot="1" x14ac:dyDescent="0.3">
      <c r="A3406" s="9">
        <f ca="1"/>
        <v>40296</v>
      </c>
      <c r="B3406" s="6">
        <v>47.79</v>
      </c>
      <c r="C3406" s="6"/>
      <c r="D3406" s="6"/>
    </row>
    <row r="3407" spans="1:4" ht="13" thickBot="1" x14ac:dyDescent="0.3">
      <c r="A3407" s="9">
        <f ca="1"/>
        <v>40297</v>
      </c>
      <c r="B3407" s="6">
        <v>47.18</v>
      </c>
      <c r="C3407" s="6"/>
      <c r="D3407" s="6"/>
    </row>
    <row r="3408" spans="1:4" ht="13" thickBot="1" x14ac:dyDescent="0.3">
      <c r="A3408" s="9">
        <f ca="1"/>
        <v>40298</v>
      </c>
      <c r="B3408" s="6">
        <v>48.37</v>
      </c>
      <c r="C3408" s="6"/>
      <c r="D3408" s="6"/>
    </row>
    <row r="3409" spans="1:4" ht="13" thickBot="1" x14ac:dyDescent="0.3">
      <c r="A3409" s="9">
        <f ca="1"/>
        <v>40299</v>
      </c>
      <c r="B3409" s="5">
        <f t="shared" ref="B3409:B3410" si="486">B3408</f>
        <v>48.37</v>
      </c>
      <c r="C3409" s="6"/>
      <c r="D3409" s="6"/>
    </row>
    <row r="3410" spans="1:4" ht="13" thickBot="1" x14ac:dyDescent="0.3">
      <c r="A3410" s="9">
        <f ca="1"/>
        <v>40300</v>
      </c>
      <c r="B3410" s="5">
        <f t="shared" si="486"/>
        <v>48.37</v>
      </c>
      <c r="C3410" s="6"/>
      <c r="D3410" s="6"/>
    </row>
    <row r="3411" spans="1:4" ht="13" thickBot="1" x14ac:dyDescent="0.3">
      <c r="A3411" s="9">
        <f ca="1"/>
        <v>40301</v>
      </c>
      <c r="B3411" s="6">
        <v>47.68</v>
      </c>
      <c r="C3411" s="6"/>
      <c r="D3411" s="6"/>
    </row>
    <row r="3412" spans="1:4" ht="13" thickBot="1" x14ac:dyDescent="0.3">
      <c r="A3412" s="9">
        <f ca="1"/>
        <v>40302</v>
      </c>
      <c r="B3412" s="6">
        <v>47.11</v>
      </c>
      <c r="C3412" s="6"/>
      <c r="D3412" s="6"/>
    </row>
    <row r="3413" spans="1:4" ht="13" thickBot="1" x14ac:dyDescent="0.3">
      <c r="A3413" s="9">
        <f ca="1"/>
        <v>40303</v>
      </c>
      <c r="B3413" s="6">
        <v>45.53</v>
      </c>
      <c r="C3413" s="6"/>
      <c r="D3413" s="6"/>
    </row>
    <row r="3414" spans="1:4" ht="13" thickBot="1" x14ac:dyDescent="0.3">
      <c r="A3414" s="9">
        <f ca="1"/>
        <v>40304</v>
      </c>
      <c r="B3414" s="6">
        <v>45.15</v>
      </c>
      <c r="C3414" s="6"/>
      <c r="D3414" s="6"/>
    </row>
    <row r="3415" spans="1:4" ht="13" thickBot="1" x14ac:dyDescent="0.3">
      <c r="A3415" s="9">
        <f ca="1"/>
        <v>40305</v>
      </c>
      <c r="B3415" s="6">
        <v>44.77</v>
      </c>
      <c r="C3415" s="6"/>
      <c r="D3415" s="6"/>
    </row>
    <row r="3416" spans="1:4" ht="13" thickBot="1" x14ac:dyDescent="0.3">
      <c r="A3416" s="9">
        <f ca="1"/>
        <v>40306</v>
      </c>
      <c r="B3416" s="5">
        <f t="shared" ref="B3416:B3417" si="487">B3415</f>
        <v>44.77</v>
      </c>
      <c r="C3416" s="6"/>
      <c r="D3416" s="6"/>
    </row>
    <row r="3417" spans="1:4" ht="13" thickBot="1" x14ac:dyDescent="0.3">
      <c r="A3417" s="9">
        <f ca="1"/>
        <v>40307</v>
      </c>
      <c r="B3417" s="5">
        <f t="shared" si="487"/>
        <v>44.77</v>
      </c>
      <c r="C3417" s="6"/>
      <c r="D3417" s="6"/>
    </row>
    <row r="3418" spans="1:4" ht="13" thickBot="1" x14ac:dyDescent="0.3">
      <c r="A3418" s="9">
        <f ca="1"/>
        <v>40308</v>
      </c>
      <c r="B3418" s="6">
        <v>45.4</v>
      </c>
      <c r="C3418" s="6"/>
      <c r="D3418" s="6"/>
    </row>
    <row r="3419" spans="1:4" ht="13" thickBot="1" x14ac:dyDescent="0.3">
      <c r="A3419" s="9">
        <f ca="1"/>
        <v>40309</v>
      </c>
      <c r="B3419" s="6">
        <v>44.98</v>
      </c>
      <c r="C3419" s="6"/>
      <c r="D3419" s="6"/>
    </row>
    <row r="3420" spans="1:4" ht="13" thickBot="1" x14ac:dyDescent="0.3">
      <c r="A3420" s="9">
        <f ca="1"/>
        <v>40310</v>
      </c>
      <c r="B3420" s="6">
        <v>45.76</v>
      </c>
      <c r="C3420" s="6"/>
      <c r="D3420" s="6"/>
    </row>
    <row r="3421" spans="1:4" ht="13" thickBot="1" x14ac:dyDescent="0.3">
      <c r="A3421" s="9">
        <f ca="1"/>
        <v>40311</v>
      </c>
      <c r="B3421" s="6">
        <v>44.25</v>
      </c>
      <c r="C3421" s="6"/>
      <c r="D3421" s="6"/>
    </row>
    <row r="3422" spans="1:4" ht="13" thickBot="1" x14ac:dyDescent="0.3">
      <c r="A3422" s="9">
        <f ca="1"/>
        <v>40312</v>
      </c>
      <c r="B3422" s="6">
        <v>44.61</v>
      </c>
      <c r="C3422" s="6"/>
      <c r="D3422" s="6"/>
    </row>
    <row r="3423" spans="1:4" ht="13" thickBot="1" x14ac:dyDescent="0.3">
      <c r="A3423" s="9">
        <f ca="1"/>
        <v>40313</v>
      </c>
      <c r="B3423" s="5">
        <f t="shared" ref="B3423:B3424" si="488">B3422</f>
        <v>44.61</v>
      </c>
      <c r="C3423" s="6"/>
      <c r="D3423" s="6"/>
    </row>
    <row r="3424" spans="1:4" ht="13" thickBot="1" x14ac:dyDescent="0.3">
      <c r="A3424" s="9">
        <f ca="1"/>
        <v>40314</v>
      </c>
      <c r="B3424" s="5">
        <f t="shared" si="488"/>
        <v>44.61</v>
      </c>
      <c r="C3424" s="6"/>
      <c r="D3424" s="6"/>
    </row>
    <row r="3425" spans="1:4" ht="13" thickBot="1" x14ac:dyDescent="0.3">
      <c r="A3425" s="9">
        <f ca="1"/>
        <v>40315</v>
      </c>
      <c r="B3425" s="6">
        <v>43.5</v>
      </c>
      <c r="C3425" s="6"/>
      <c r="D3425" s="6"/>
    </row>
    <row r="3426" spans="1:4" ht="13" thickBot="1" x14ac:dyDescent="0.3">
      <c r="A3426" s="9">
        <f ca="1"/>
        <v>40316</v>
      </c>
      <c r="B3426" s="6">
        <v>44.18</v>
      </c>
      <c r="C3426" s="6"/>
      <c r="D3426" s="6"/>
    </row>
    <row r="3427" spans="1:4" ht="13" thickBot="1" x14ac:dyDescent="0.3">
      <c r="A3427" s="9">
        <f ca="1"/>
        <v>40317</v>
      </c>
      <c r="B3427" s="6">
        <v>43.3</v>
      </c>
      <c r="C3427" s="6"/>
      <c r="D3427" s="6"/>
    </row>
    <row r="3428" spans="1:4" ht="13" thickBot="1" x14ac:dyDescent="0.3">
      <c r="A3428" s="9">
        <f ca="1"/>
        <v>40318</v>
      </c>
      <c r="B3428" s="6">
        <v>43.1</v>
      </c>
      <c r="C3428" s="6"/>
      <c r="D3428" s="6"/>
    </row>
    <row r="3429" spans="1:4" ht="13" thickBot="1" x14ac:dyDescent="0.3">
      <c r="A3429" s="9">
        <f ca="1"/>
        <v>40319</v>
      </c>
      <c r="B3429" s="6">
        <v>42.92</v>
      </c>
      <c r="C3429" s="6"/>
      <c r="D3429" s="6"/>
    </row>
    <row r="3430" spans="1:4" ht="13" thickBot="1" x14ac:dyDescent="0.3">
      <c r="A3430" s="9">
        <f ca="1"/>
        <v>40320</v>
      </c>
      <c r="B3430" s="5">
        <f t="shared" ref="B3430:B3431" si="489">B3429</f>
        <v>42.92</v>
      </c>
      <c r="C3430" s="6"/>
      <c r="D3430" s="6"/>
    </row>
    <row r="3431" spans="1:4" ht="13" thickBot="1" x14ac:dyDescent="0.3">
      <c r="A3431" s="9">
        <f ca="1"/>
        <v>40321</v>
      </c>
      <c r="B3431" s="5">
        <f t="shared" si="489"/>
        <v>42.92</v>
      </c>
      <c r="C3431" s="6"/>
      <c r="D3431" s="6"/>
    </row>
    <row r="3432" spans="1:4" ht="13" thickBot="1" x14ac:dyDescent="0.3">
      <c r="A3432" s="9">
        <f ca="1"/>
        <v>40322</v>
      </c>
      <c r="B3432" s="6">
        <v>42.58</v>
      </c>
      <c r="C3432" s="6"/>
      <c r="D3432" s="6"/>
    </row>
    <row r="3433" spans="1:4" ht="13" thickBot="1" x14ac:dyDescent="0.3">
      <c r="A3433" s="9">
        <f ca="1"/>
        <v>40323</v>
      </c>
      <c r="B3433" s="6">
        <v>41.28</v>
      </c>
      <c r="C3433" s="6"/>
      <c r="D3433" s="6"/>
    </row>
    <row r="3434" spans="1:4" ht="13" thickBot="1" x14ac:dyDescent="0.3">
      <c r="A3434" s="9">
        <f ca="1"/>
        <v>40324</v>
      </c>
      <c r="B3434" s="6">
        <v>42.41</v>
      </c>
      <c r="C3434" s="6"/>
      <c r="D3434" s="6"/>
    </row>
    <row r="3435" spans="1:4" ht="13" thickBot="1" x14ac:dyDescent="0.3">
      <c r="A3435" s="9">
        <f ca="1"/>
        <v>40325</v>
      </c>
      <c r="B3435" s="6">
        <v>42.32</v>
      </c>
      <c r="C3435" s="6"/>
      <c r="D3435" s="6"/>
    </row>
    <row r="3436" spans="1:4" ht="13" thickBot="1" x14ac:dyDescent="0.3">
      <c r="A3436" s="9">
        <f ca="1"/>
        <v>40326</v>
      </c>
      <c r="B3436" s="6">
        <v>42.86</v>
      </c>
      <c r="C3436" s="6"/>
      <c r="D3436" s="6"/>
    </row>
    <row r="3437" spans="1:4" ht="13" thickBot="1" x14ac:dyDescent="0.3">
      <c r="A3437" s="9">
        <f ca="1"/>
        <v>40327</v>
      </c>
      <c r="B3437" s="5">
        <f t="shared" ref="B3437:B3439" si="490">B3436</f>
        <v>42.86</v>
      </c>
      <c r="C3437" s="6"/>
      <c r="D3437" s="6"/>
    </row>
    <row r="3438" spans="1:4" ht="13" thickBot="1" x14ac:dyDescent="0.3">
      <c r="A3438" s="9">
        <f ca="1"/>
        <v>40328</v>
      </c>
      <c r="B3438" s="5">
        <f t="shared" si="490"/>
        <v>42.86</v>
      </c>
      <c r="C3438" s="6"/>
      <c r="D3438" s="6"/>
    </row>
    <row r="3439" spans="1:4" ht="13" thickBot="1" x14ac:dyDescent="0.3">
      <c r="A3439" s="9">
        <f ca="1"/>
        <v>40329</v>
      </c>
      <c r="B3439" s="5">
        <f t="shared" si="490"/>
        <v>42.86</v>
      </c>
      <c r="C3439" s="6"/>
      <c r="D3439" s="6"/>
    </row>
    <row r="3440" spans="1:4" ht="13" thickBot="1" x14ac:dyDescent="0.3">
      <c r="A3440" s="9">
        <f ca="1"/>
        <v>40330</v>
      </c>
      <c r="B3440" s="6">
        <v>43.18</v>
      </c>
      <c r="C3440" s="6"/>
      <c r="D3440" s="6"/>
    </row>
    <row r="3441" spans="1:4" ht="13" thickBot="1" x14ac:dyDescent="0.3">
      <c r="A3441" s="9">
        <f ca="1"/>
        <v>40331</v>
      </c>
      <c r="B3441" s="6">
        <v>44.19</v>
      </c>
      <c r="C3441" s="6"/>
      <c r="D3441" s="6"/>
    </row>
    <row r="3442" spans="1:4" ht="13" thickBot="1" x14ac:dyDescent="0.3">
      <c r="A3442" s="9">
        <f ca="1"/>
        <v>40332</v>
      </c>
      <c r="B3442" s="6">
        <v>44.78</v>
      </c>
      <c r="C3442" s="6"/>
      <c r="D3442" s="6"/>
    </row>
    <row r="3443" spans="1:4" ht="13" thickBot="1" x14ac:dyDescent="0.3">
      <c r="A3443" s="9">
        <f ca="1"/>
        <v>40333</v>
      </c>
      <c r="B3443" s="6">
        <v>43</v>
      </c>
      <c r="C3443" s="6"/>
      <c r="D3443" s="6"/>
    </row>
    <row r="3444" spans="1:4" ht="13" thickBot="1" x14ac:dyDescent="0.3">
      <c r="A3444" s="9">
        <f ca="1"/>
        <v>40334</v>
      </c>
      <c r="B3444" s="5">
        <f t="shared" ref="B3444:B3445" si="491">B3443</f>
        <v>43</v>
      </c>
      <c r="C3444" s="6"/>
      <c r="D3444" s="6"/>
    </row>
    <row r="3445" spans="1:4" ht="13" thickBot="1" x14ac:dyDescent="0.3">
      <c r="A3445" s="9">
        <f ca="1"/>
        <v>40335</v>
      </c>
      <c r="B3445" s="5">
        <f t="shared" si="491"/>
        <v>43</v>
      </c>
      <c r="C3445" s="6"/>
      <c r="D3445" s="6"/>
    </row>
    <row r="3446" spans="1:4" ht="13" thickBot="1" x14ac:dyDescent="0.3">
      <c r="A3446" s="9">
        <f ca="1"/>
        <v>40336</v>
      </c>
      <c r="B3446" s="6">
        <v>42.63</v>
      </c>
      <c r="C3446" s="6"/>
      <c r="D3446" s="6"/>
    </row>
    <row r="3447" spans="1:4" ht="13" thickBot="1" x14ac:dyDescent="0.3">
      <c r="A3447" s="9">
        <f ca="1"/>
        <v>40337</v>
      </c>
      <c r="B3447" s="6">
        <v>42.27</v>
      </c>
      <c r="C3447" s="6"/>
      <c r="D3447" s="6"/>
    </row>
    <row r="3448" spans="1:4" ht="13" thickBot="1" x14ac:dyDescent="0.3">
      <c r="A3448" s="9">
        <f ca="1"/>
        <v>40338</v>
      </c>
      <c r="B3448" s="6">
        <v>43.43</v>
      </c>
      <c r="C3448" s="6"/>
      <c r="D3448" s="6"/>
    </row>
    <row r="3449" spans="1:4" ht="13" thickBot="1" x14ac:dyDescent="0.3">
      <c r="A3449" s="9">
        <f ca="1"/>
        <v>40339</v>
      </c>
      <c r="B3449" s="6">
        <v>43.93</v>
      </c>
      <c r="C3449" s="6"/>
      <c r="D3449" s="6"/>
    </row>
    <row r="3450" spans="1:4" ht="13" thickBot="1" x14ac:dyDescent="0.3">
      <c r="A3450" s="9">
        <f ca="1"/>
        <v>40340</v>
      </c>
      <c r="B3450" s="6">
        <v>43.66</v>
      </c>
      <c r="C3450" s="6"/>
      <c r="D3450" s="6"/>
    </row>
    <row r="3451" spans="1:4" ht="13" thickBot="1" x14ac:dyDescent="0.3">
      <c r="A3451" s="9">
        <f ca="1"/>
        <v>40341</v>
      </c>
      <c r="B3451" s="5">
        <f t="shared" ref="B3451:B3452" si="492">B3450</f>
        <v>43.66</v>
      </c>
      <c r="C3451" s="6"/>
      <c r="D3451" s="6"/>
    </row>
    <row r="3452" spans="1:4" ht="13" thickBot="1" x14ac:dyDescent="0.3">
      <c r="A3452" s="9">
        <f ca="1"/>
        <v>40342</v>
      </c>
      <c r="B3452" s="5">
        <f t="shared" si="492"/>
        <v>43.66</v>
      </c>
      <c r="C3452" s="6"/>
      <c r="D3452" s="6"/>
    </row>
    <row r="3453" spans="1:4" ht="13" thickBot="1" x14ac:dyDescent="0.3">
      <c r="A3453" s="9">
        <f ca="1"/>
        <v>40343</v>
      </c>
      <c r="B3453" s="6">
        <v>44.73</v>
      </c>
      <c r="C3453" s="6"/>
      <c r="D3453" s="6"/>
    </row>
    <row r="3454" spans="1:4" ht="13" thickBot="1" x14ac:dyDescent="0.3">
      <c r="A3454" s="9">
        <f ca="1"/>
        <v>40344</v>
      </c>
      <c r="B3454" s="6">
        <v>45.12</v>
      </c>
      <c r="C3454" s="6"/>
      <c r="D3454" s="6"/>
    </row>
    <row r="3455" spans="1:4" ht="13" thickBot="1" x14ac:dyDescent="0.3">
      <c r="A3455" s="9">
        <f ca="1"/>
        <v>40345</v>
      </c>
      <c r="B3455" s="6">
        <v>45.41</v>
      </c>
      <c r="C3455" s="6"/>
      <c r="D3455" s="6"/>
    </row>
    <row r="3456" spans="1:4" ht="13" thickBot="1" x14ac:dyDescent="0.3">
      <c r="A3456" s="9">
        <f ca="1"/>
        <v>40346</v>
      </c>
      <c r="B3456" s="6">
        <v>46.29</v>
      </c>
      <c r="C3456" s="6"/>
      <c r="D3456" s="6"/>
    </row>
    <row r="3457" spans="1:4" ht="13" thickBot="1" x14ac:dyDescent="0.3">
      <c r="A3457" s="9">
        <f ca="1"/>
        <v>40347</v>
      </c>
      <c r="B3457" s="6">
        <v>46.43</v>
      </c>
      <c r="C3457" s="6"/>
      <c r="D3457" s="6"/>
    </row>
    <row r="3458" spans="1:4" ht="13" thickBot="1" x14ac:dyDescent="0.3">
      <c r="A3458" s="9">
        <f ca="1"/>
        <v>40348</v>
      </c>
      <c r="B3458" s="5">
        <f t="shared" ref="B3458:B3459" si="493">B3457</f>
        <v>46.43</v>
      </c>
      <c r="C3458" s="6"/>
      <c r="D3458" s="6"/>
    </row>
    <row r="3459" spans="1:4" ht="13" thickBot="1" x14ac:dyDescent="0.3">
      <c r="A3459" s="9">
        <f ca="1"/>
        <v>40349</v>
      </c>
      <c r="B3459" s="5">
        <f t="shared" si="493"/>
        <v>46.43</v>
      </c>
      <c r="C3459" s="6"/>
      <c r="D3459" s="6"/>
    </row>
    <row r="3460" spans="1:4" ht="13" thickBot="1" x14ac:dyDescent="0.3">
      <c r="A3460" s="9">
        <f ca="1"/>
        <v>40350</v>
      </c>
      <c r="B3460" s="6">
        <v>46.56</v>
      </c>
      <c r="C3460" s="6"/>
      <c r="D3460" s="6"/>
    </row>
    <row r="3461" spans="1:4" ht="13" thickBot="1" x14ac:dyDescent="0.3">
      <c r="A3461" s="9">
        <f ca="1"/>
        <v>40351</v>
      </c>
      <c r="B3461" s="6">
        <v>46.14</v>
      </c>
      <c r="C3461" s="6"/>
      <c r="D3461" s="6"/>
    </row>
    <row r="3462" spans="1:4" ht="13" thickBot="1" x14ac:dyDescent="0.3">
      <c r="A3462" s="9">
        <f ca="1"/>
        <v>40352</v>
      </c>
      <c r="B3462" s="6">
        <v>45.89</v>
      </c>
      <c r="C3462" s="6"/>
      <c r="D3462" s="6"/>
    </row>
    <row r="3463" spans="1:4" ht="13" thickBot="1" x14ac:dyDescent="0.3">
      <c r="A3463" s="9">
        <f ca="1"/>
        <v>40353</v>
      </c>
      <c r="B3463" s="6">
        <v>46.04</v>
      </c>
      <c r="C3463" s="6"/>
      <c r="D3463" s="6"/>
    </row>
    <row r="3464" spans="1:4" ht="13" thickBot="1" x14ac:dyDescent="0.3">
      <c r="A3464" s="9">
        <f ca="1"/>
        <v>40354</v>
      </c>
      <c r="B3464" s="6">
        <v>45.65</v>
      </c>
      <c r="C3464" s="6"/>
      <c r="D3464" s="6"/>
    </row>
    <row r="3465" spans="1:4" ht="13" thickBot="1" x14ac:dyDescent="0.3">
      <c r="A3465" s="9">
        <f ca="1"/>
        <v>40355</v>
      </c>
      <c r="B3465" s="5">
        <f t="shared" ref="B3465:B3466" si="494">B3464</f>
        <v>45.65</v>
      </c>
      <c r="C3465" s="6"/>
      <c r="D3465" s="6"/>
    </row>
    <row r="3466" spans="1:4" ht="13" thickBot="1" x14ac:dyDescent="0.3">
      <c r="A3466" s="9">
        <f ca="1"/>
        <v>40356</v>
      </c>
      <c r="B3466" s="5">
        <f t="shared" si="494"/>
        <v>45.65</v>
      </c>
      <c r="C3466" s="6"/>
      <c r="D3466" s="6"/>
    </row>
    <row r="3467" spans="1:4" ht="13" thickBot="1" x14ac:dyDescent="0.3">
      <c r="A3467" s="9">
        <f ca="1"/>
        <v>40357</v>
      </c>
      <c r="B3467" s="6">
        <v>46.02</v>
      </c>
      <c r="C3467" s="6"/>
      <c r="D3467" s="6"/>
    </row>
    <row r="3468" spans="1:4" ht="13" thickBot="1" x14ac:dyDescent="0.3">
      <c r="A3468" s="9">
        <f ca="1"/>
        <v>40358</v>
      </c>
      <c r="B3468" s="6">
        <v>44.95</v>
      </c>
      <c r="C3468" s="6"/>
      <c r="D3468" s="6"/>
    </row>
    <row r="3469" spans="1:4" ht="13" thickBot="1" x14ac:dyDescent="0.3">
      <c r="A3469" s="9">
        <f ca="1"/>
        <v>40359</v>
      </c>
      <c r="B3469" s="6">
        <v>44.94</v>
      </c>
      <c r="C3469" s="6"/>
      <c r="D3469" s="6"/>
    </row>
    <row r="3470" spans="1:4" ht="13" thickBot="1" x14ac:dyDescent="0.3">
      <c r="A3470" s="9">
        <f ca="1"/>
        <v>40360</v>
      </c>
      <c r="B3470" s="6">
        <v>45.13</v>
      </c>
      <c r="C3470" s="6"/>
      <c r="D3470" s="6"/>
    </row>
    <row r="3471" spans="1:4" ht="13" thickBot="1" x14ac:dyDescent="0.3">
      <c r="A3471" s="9">
        <f ca="1"/>
        <v>40361</v>
      </c>
      <c r="B3471" s="6">
        <v>45.39</v>
      </c>
      <c r="C3471" s="6"/>
      <c r="D3471" s="6"/>
    </row>
    <row r="3472" spans="1:4" ht="13" thickBot="1" x14ac:dyDescent="0.3">
      <c r="A3472" s="9">
        <f ca="1"/>
        <v>40362</v>
      </c>
      <c r="B3472" s="5">
        <f t="shared" ref="B3472:B3474" si="495">B3471</f>
        <v>45.39</v>
      </c>
      <c r="C3472" s="6"/>
      <c r="D3472" s="6"/>
    </row>
    <row r="3473" spans="1:4" ht="13" thickBot="1" x14ac:dyDescent="0.3">
      <c r="A3473" s="9">
        <f ca="1"/>
        <v>40363</v>
      </c>
      <c r="B3473" s="5">
        <f t="shared" si="495"/>
        <v>45.39</v>
      </c>
      <c r="C3473" s="6"/>
      <c r="D3473" s="6"/>
    </row>
    <row r="3474" spans="1:4" ht="13" thickBot="1" x14ac:dyDescent="0.3">
      <c r="A3474" s="9">
        <f ca="1"/>
        <v>40364</v>
      </c>
      <c r="B3474" s="5">
        <f t="shared" si="495"/>
        <v>45.39</v>
      </c>
      <c r="C3474" s="6"/>
      <c r="D3474" s="6"/>
    </row>
    <row r="3475" spans="1:4" ht="13" thickBot="1" x14ac:dyDescent="0.3">
      <c r="A3475" s="9">
        <f ca="1"/>
        <v>40365</v>
      </c>
      <c r="B3475" s="6">
        <v>45.85</v>
      </c>
      <c r="C3475" s="6"/>
      <c r="D3475" s="6"/>
    </row>
    <row r="3476" spans="1:4" ht="13" thickBot="1" x14ac:dyDescent="0.3">
      <c r="A3476" s="9">
        <f ca="1"/>
        <v>40366</v>
      </c>
      <c r="B3476" s="6">
        <v>46.23</v>
      </c>
      <c r="C3476" s="6"/>
      <c r="D3476" s="6"/>
    </row>
    <row r="3477" spans="1:4" ht="13" thickBot="1" x14ac:dyDescent="0.3">
      <c r="A3477" s="9">
        <f ca="1"/>
        <v>40367</v>
      </c>
      <c r="B3477" s="6">
        <v>46.64</v>
      </c>
      <c r="C3477" s="6"/>
      <c r="D3477" s="6"/>
    </row>
    <row r="3478" spans="1:4" ht="13" thickBot="1" x14ac:dyDescent="0.3">
      <c r="A3478" s="9">
        <f ca="1"/>
        <v>40368</v>
      </c>
      <c r="B3478" s="6">
        <v>46.83</v>
      </c>
      <c r="C3478" s="6"/>
      <c r="D3478" s="6"/>
    </row>
    <row r="3479" spans="1:4" ht="13" thickBot="1" x14ac:dyDescent="0.3">
      <c r="A3479" s="9">
        <f ca="1"/>
        <v>40369</v>
      </c>
      <c r="B3479" s="5">
        <f t="shared" ref="B3479:B3480" si="496">B3478</f>
        <v>46.83</v>
      </c>
      <c r="C3479" s="6"/>
      <c r="D3479" s="6"/>
    </row>
    <row r="3480" spans="1:4" ht="13" thickBot="1" x14ac:dyDescent="0.3">
      <c r="A3480" s="9">
        <f ca="1"/>
        <v>40370</v>
      </c>
      <c r="B3480" s="5">
        <f t="shared" si="496"/>
        <v>46.83</v>
      </c>
      <c r="C3480" s="6"/>
      <c r="D3480" s="6"/>
    </row>
    <row r="3481" spans="1:4" ht="13" thickBot="1" x14ac:dyDescent="0.3">
      <c r="A3481" s="9">
        <f ca="1"/>
        <v>40371</v>
      </c>
      <c r="B3481" s="6">
        <v>46.87</v>
      </c>
      <c r="C3481" s="6"/>
      <c r="D3481" s="6"/>
    </row>
    <row r="3482" spans="1:4" ht="13" thickBot="1" x14ac:dyDescent="0.3">
      <c r="A3482" s="9">
        <f ca="1"/>
        <v>40372</v>
      </c>
      <c r="B3482" s="6">
        <v>47.43</v>
      </c>
      <c r="C3482" s="6"/>
      <c r="D3482" s="6"/>
    </row>
    <row r="3483" spans="1:4" ht="13" thickBot="1" x14ac:dyDescent="0.3">
      <c r="A3483" s="9">
        <f ca="1"/>
        <v>40373</v>
      </c>
      <c r="B3483" s="6">
        <v>47.86</v>
      </c>
      <c r="C3483" s="6"/>
      <c r="D3483" s="6"/>
    </row>
    <row r="3484" spans="1:4" ht="13" thickBot="1" x14ac:dyDescent="0.3">
      <c r="A3484" s="9">
        <f ca="1"/>
        <v>40374</v>
      </c>
      <c r="B3484" s="6">
        <v>48.66</v>
      </c>
      <c r="C3484" s="6"/>
      <c r="D3484" s="6"/>
    </row>
    <row r="3485" spans="1:4" ht="13" thickBot="1" x14ac:dyDescent="0.3">
      <c r="A3485" s="9">
        <f ca="1"/>
        <v>40375</v>
      </c>
      <c r="B3485" s="6">
        <v>48.67</v>
      </c>
      <c r="C3485" s="6"/>
      <c r="D3485" s="6"/>
    </row>
    <row r="3486" spans="1:4" ht="13" thickBot="1" x14ac:dyDescent="0.3">
      <c r="A3486" s="9">
        <f ca="1"/>
        <v>40376</v>
      </c>
      <c r="B3486" s="5">
        <f t="shared" ref="B3486:B3487" si="497">B3485</f>
        <v>48.67</v>
      </c>
      <c r="C3486" s="6"/>
      <c r="D3486" s="6"/>
    </row>
    <row r="3487" spans="1:4" ht="13" thickBot="1" x14ac:dyDescent="0.3">
      <c r="A3487" s="9">
        <f ca="1"/>
        <v>40377</v>
      </c>
      <c r="B3487" s="5">
        <f t="shared" si="497"/>
        <v>48.67</v>
      </c>
      <c r="C3487" s="6"/>
      <c r="D3487" s="6"/>
    </row>
    <row r="3488" spans="1:4" ht="13" thickBot="1" x14ac:dyDescent="0.3">
      <c r="A3488" s="9">
        <f ca="1"/>
        <v>40378</v>
      </c>
      <c r="B3488" s="6">
        <v>48.47</v>
      </c>
      <c r="C3488" s="6"/>
      <c r="D3488" s="6"/>
    </row>
    <row r="3489" spans="1:4" ht="13" thickBot="1" x14ac:dyDescent="0.3">
      <c r="A3489" s="9">
        <f ca="1"/>
        <v>40379</v>
      </c>
      <c r="B3489" s="6">
        <v>47.03</v>
      </c>
      <c r="C3489" s="6"/>
      <c r="D3489" s="6"/>
    </row>
    <row r="3490" spans="1:4" ht="13" thickBot="1" x14ac:dyDescent="0.3">
      <c r="A3490" s="9">
        <f ca="1"/>
        <v>40380</v>
      </c>
      <c r="B3490" s="6">
        <v>47.19</v>
      </c>
      <c r="C3490" s="6"/>
      <c r="D3490" s="6"/>
    </row>
    <row r="3491" spans="1:4" ht="13" thickBot="1" x14ac:dyDescent="0.3">
      <c r="A3491" s="9">
        <f ca="1"/>
        <v>40381</v>
      </c>
      <c r="B3491" s="6">
        <v>47.44</v>
      </c>
      <c r="C3491" s="6"/>
      <c r="D3491" s="6"/>
    </row>
    <row r="3492" spans="1:4" ht="13" thickBot="1" x14ac:dyDescent="0.3">
      <c r="A3492" s="9">
        <f ca="1"/>
        <v>40382</v>
      </c>
      <c r="B3492" s="6">
        <v>47.74</v>
      </c>
      <c r="C3492" s="6"/>
      <c r="D3492" s="6"/>
    </row>
    <row r="3493" spans="1:4" ht="13" thickBot="1" x14ac:dyDescent="0.3">
      <c r="A3493" s="9">
        <f ca="1"/>
        <v>40383</v>
      </c>
      <c r="B3493" s="5">
        <f t="shared" ref="B3493:B3494" si="498">B3492</f>
        <v>47.74</v>
      </c>
      <c r="C3493" s="6"/>
      <c r="D3493" s="6"/>
    </row>
    <row r="3494" spans="1:4" ht="13" thickBot="1" x14ac:dyDescent="0.3">
      <c r="A3494" s="9">
        <f ca="1"/>
        <v>40384</v>
      </c>
      <c r="B3494" s="5">
        <f t="shared" si="498"/>
        <v>47.74</v>
      </c>
      <c r="C3494" s="6"/>
      <c r="D3494" s="6"/>
    </row>
    <row r="3495" spans="1:4" ht="13" thickBot="1" x14ac:dyDescent="0.3">
      <c r="A3495" s="9">
        <f ca="1"/>
        <v>40385</v>
      </c>
      <c r="B3495" s="6">
        <v>48.17</v>
      </c>
      <c r="C3495" s="6"/>
      <c r="D3495" s="6"/>
    </row>
    <row r="3496" spans="1:4" ht="13" thickBot="1" x14ac:dyDescent="0.3">
      <c r="A3496" s="9">
        <f ca="1"/>
        <v>40386</v>
      </c>
      <c r="B3496" s="6">
        <v>47.41</v>
      </c>
      <c r="C3496" s="6"/>
      <c r="D3496" s="6"/>
    </row>
    <row r="3497" spans="1:4" ht="13" thickBot="1" x14ac:dyDescent="0.3">
      <c r="A3497" s="9">
        <f ca="1"/>
        <v>40387</v>
      </c>
      <c r="B3497" s="6">
        <v>46.75</v>
      </c>
      <c r="C3497" s="6"/>
      <c r="D3497" s="6"/>
    </row>
    <row r="3498" spans="1:4" ht="13" thickBot="1" x14ac:dyDescent="0.3">
      <c r="A3498" s="9">
        <f ca="1"/>
        <v>40388</v>
      </c>
      <c r="B3498" s="6">
        <v>46.88</v>
      </c>
      <c r="C3498" s="6"/>
      <c r="D3498" s="6"/>
    </row>
    <row r="3499" spans="1:4" ht="13" thickBot="1" x14ac:dyDescent="0.3">
      <c r="A3499" s="9">
        <f ca="1"/>
        <v>40389</v>
      </c>
      <c r="B3499" s="6">
        <v>45.47</v>
      </c>
      <c r="C3499" s="6"/>
      <c r="D3499" s="6"/>
    </row>
    <row r="3500" spans="1:4" ht="13" thickBot="1" x14ac:dyDescent="0.3">
      <c r="A3500" s="9">
        <f ca="1"/>
        <v>40390</v>
      </c>
      <c r="B3500" s="5">
        <f t="shared" ref="B3500:B3501" si="499">B3499</f>
        <v>45.47</v>
      </c>
      <c r="C3500" s="6"/>
      <c r="D3500" s="6"/>
    </row>
    <row r="3501" spans="1:4" ht="13" thickBot="1" x14ac:dyDescent="0.3">
      <c r="A3501" s="9">
        <f ca="1"/>
        <v>40391</v>
      </c>
      <c r="B3501" s="5">
        <f t="shared" si="499"/>
        <v>45.47</v>
      </c>
      <c r="C3501" s="6"/>
      <c r="D3501" s="6"/>
    </row>
    <row r="3502" spans="1:4" ht="13" thickBot="1" x14ac:dyDescent="0.3">
      <c r="A3502" s="9">
        <f ca="1"/>
        <v>40392</v>
      </c>
      <c r="B3502" s="6">
        <v>46.26</v>
      </c>
      <c r="C3502" s="6"/>
      <c r="D3502" s="6"/>
    </row>
    <row r="3503" spans="1:4" ht="13" thickBot="1" x14ac:dyDescent="0.3">
      <c r="A3503" s="9">
        <f ca="1"/>
        <v>40393</v>
      </c>
      <c r="B3503" s="6">
        <v>46.41</v>
      </c>
      <c r="C3503" s="6"/>
      <c r="D3503" s="6"/>
    </row>
    <row r="3504" spans="1:4" ht="13" thickBot="1" x14ac:dyDescent="0.3">
      <c r="A3504" s="9">
        <f ca="1"/>
        <v>40394</v>
      </c>
      <c r="B3504" s="6">
        <v>46.8</v>
      </c>
      <c r="C3504" s="6"/>
      <c r="D3504" s="6"/>
    </row>
    <row r="3505" spans="1:4" ht="13" thickBot="1" x14ac:dyDescent="0.3">
      <c r="A3505" s="9">
        <f ca="1"/>
        <v>40395</v>
      </c>
      <c r="B3505" s="6">
        <v>46.69</v>
      </c>
      <c r="C3505" s="6"/>
      <c r="D3505" s="6"/>
    </row>
    <row r="3506" spans="1:4" ht="13" thickBot="1" x14ac:dyDescent="0.3">
      <c r="A3506" s="9">
        <f ca="1"/>
        <v>40396</v>
      </c>
      <c r="B3506" s="6">
        <v>46.64</v>
      </c>
      <c r="C3506" s="6"/>
      <c r="D3506" s="6"/>
    </row>
    <row r="3507" spans="1:4" ht="13" thickBot="1" x14ac:dyDescent="0.3">
      <c r="A3507" s="9">
        <f ca="1"/>
        <v>40397</v>
      </c>
      <c r="B3507" s="5">
        <f t="shared" ref="B3507:B3508" si="500">B3506</f>
        <v>46.64</v>
      </c>
      <c r="C3507" s="6"/>
      <c r="D3507" s="6"/>
    </row>
    <row r="3508" spans="1:4" ht="13" thickBot="1" x14ac:dyDescent="0.3">
      <c r="A3508" s="9">
        <f ca="1"/>
        <v>40398</v>
      </c>
      <c r="B3508" s="5">
        <f t="shared" si="500"/>
        <v>46.64</v>
      </c>
      <c r="C3508" s="6"/>
      <c r="D3508" s="6"/>
    </row>
    <row r="3509" spans="1:4" ht="13" thickBot="1" x14ac:dyDescent="0.3">
      <c r="A3509" s="9">
        <f ca="1"/>
        <v>40399</v>
      </c>
      <c r="B3509" s="6">
        <v>47.2</v>
      </c>
      <c r="C3509" s="6"/>
      <c r="D3509" s="6"/>
    </row>
    <row r="3510" spans="1:4" ht="13" thickBot="1" x14ac:dyDescent="0.3">
      <c r="A3510" s="9">
        <f ca="1"/>
        <v>40400</v>
      </c>
      <c r="B3510" s="6">
        <v>46.53</v>
      </c>
      <c r="C3510" s="6"/>
      <c r="D3510" s="6"/>
    </row>
    <row r="3511" spans="1:4" ht="13" thickBot="1" x14ac:dyDescent="0.3">
      <c r="A3511" s="9">
        <f ca="1"/>
        <v>40401</v>
      </c>
      <c r="B3511" s="6">
        <v>45.41</v>
      </c>
      <c r="C3511" s="6"/>
      <c r="D3511" s="6"/>
    </row>
    <row r="3512" spans="1:4" ht="13" thickBot="1" x14ac:dyDescent="0.3">
      <c r="A3512" s="9">
        <f ca="1"/>
        <v>40402</v>
      </c>
      <c r="B3512" s="6">
        <v>44.61</v>
      </c>
      <c r="C3512" s="6"/>
      <c r="D3512" s="6"/>
    </row>
    <row r="3513" spans="1:4" ht="13" thickBot="1" x14ac:dyDescent="0.3">
      <c r="A3513" s="9">
        <f ca="1"/>
        <v>40403</v>
      </c>
      <c r="B3513" s="6">
        <v>44.53</v>
      </c>
      <c r="C3513" s="6"/>
      <c r="D3513" s="6"/>
    </row>
    <row r="3514" spans="1:4" ht="13" thickBot="1" x14ac:dyDescent="0.3">
      <c r="A3514" s="9">
        <f ca="1"/>
        <v>40404</v>
      </c>
      <c r="B3514" s="5">
        <f t="shared" ref="B3514:B3515" si="501">B3513</f>
        <v>44.53</v>
      </c>
      <c r="C3514" s="6"/>
      <c r="D3514" s="6"/>
    </row>
    <row r="3515" spans="1:4" ht="13" thickBot="1" x14ac:dyDescent="0.3">
      <c r="A3515" s="9">
        <f ca="1"/>
        <v>40405</v>
      </c>
      <c r="B3515" s="5">
        <f t="shared" si="501"/>
        <v>44.53</v>
      </c>
      <c r="C3515" s="6"/>
      <c r="D3515" s="6"/>
    </row>
    <row r="3516" spans="1:4" ht="13" thickBot="1" x14ac:dyDescent="0.3">
      <c r="A3516" s="9">
        <f ca="1"/>
        <v>40406</v>
      </c>
      <c r="B3516" s="6">
        <v>44.5</v>
      </c>
      <c r="C3516" s="6"/>
      <c r="D3516" s="6"/>
    </row>
    <row r="3517" spans="1:4" ht="13" thickBot="1" x14ac:dyDescent="0.3">
      <c r="A3517" s="9">
        <f ca="1"/>
        <v>40407</v>
      </c>
      <c r="B3517" s="6">
        <v>45.59</v>
      </c>
      <c r="C3517" s="6"/>
      <c r="D3517" s="6"/>
    </row>
    <row r="3518" spans="1:4" ht="13" thickBot="1" x14ac:dyDescent="0.3">
      <c r="A3518" s="9">
        <f ca="1"/>
        <v>40408</v>
      </c>
      <c r="B3518" s="6">
        <v>45.66</v>
      </c>
      <c r="C3518" s="6"/>
      <c r="D3518" s="6"/>
    </row>
    <row r="3519" spans="1:4" ht="13" thickBot="1" x14ac:dyDescent="0.3">
      <c r="A3519" s="9">
        <f ca="1"/>
        <v>40409</v>
      </c>
      <c r="B3519" s="6">
        <v>45.8</v>
      </c>
      <c r="C3519" s="6"/>
      <c r="D3519" s="6"/>
    </row>
    <row r="3520" spans="1:4" ht="13" thickBot="1" x14ac:dyDescent="0.3">
      <c r="A3520" s="9">
        <f ca="1"/>
        <v>40410</v>
      </c>
      <c r="B3520" s="6">
        <v>44.42</v>
      </c>
      <c r="C3520" s="6"/>
      <c r="D3520" s="6"/>
    </row>
    <row r="3521" spans="1:4" ht="13" thickBot="1" x14ac:dyDescent="0.3">
      <c r="A3521" s="9">
        <f ca="1"/>
        <v>40411</v>
      </c>
      <c r="B3521" s="5">
        <f t="shared" ref="B3521:B3522" si="502">B3520</f>
        <v>44.42</v>
      </c>
      <c r="C3521" s="6"/>
      <c r="D3521" s="6"/>
    </row>
    <row r="3522" spans="1:4" ht="13" thickBot="1" x14ac:dyDescent="0.3">
      <c r="A3522" s="9">
        <f ca="1"/>
        <v>40412</v>
      </c>
      <c r="B3522" s="5">
        <f t="shared" si="502"/>
        <v>44.42</v>
      </c>
      <c r="C3522" s="6"/>
      <c r="D3522" s="6"/>
    </row>
    <row r="3523" spans="1:4" ht="13" thickBot="1" x14ac:dyDescent="0.3">
      <c r="A3523" s="9">
        <f ca="1"/>
        <v>40413</v>
      </c>
      <c r="B3523" s="6">
        <v>44.92</v>
      </c>
      <c r="C3523" s="6"/>
      <c r="D3523" s="6"/>
    </row>
    <row r="3524" spans="1:4" ht="13" thickBot="1" x14ac:dyDescent="0.3">
      <c r="A3524" s="9">
        <f ca="1"/>
        <v>40414</v>
      </c>
      <c r="B3524" s="6">
        <v>44.22</v>
      </c>
      <c r="C3524" s="6"/>
      <c r="D3524" s="6"/>
    </row>
    <row r="3525" spans="1:4" ht="13" thickBot="1" x14ac:dyDescent="0.3">
      <c r="A3525" s="9">
        <f ca="1"/>
        <v>40415</v>
      </c>
      <c r="B3525" s="6">
        <v>43.71</v>
      </c>
      <c r="C3525" s="6"/>
      <c r="D3525" s="6"/>
    </row>
    <row r="3526" spans="1:4" ht="13" thickBot="1" x14ac:dyDescent="0.3">
      <c r="A3526" s="9">
        <f ca="1"/>
        <v>40416</v>
      </c>
      <c r="B3526" s="6">
        <v>44.13</v>
      </c>
      <c r="C3526" s="6"/>
      <c r="D3526" s="6"/>
    </row>
    <row r="3527" spans="1:4" ht="13" thickBot="1" x14ac:dyDescent="0.3">
      <c r="A3527" s="9">
        <f ca="1"/>
        <v>40417</v>
      </c>
      <c r="B3527" s="6">
        <v>44.27</v>
      </c>
      <c r="C3527" s="6"/>
      <c r="D3527" s="6"/>
    </row>
    <row r="3528" spans="1:4" ht="13" thickBot="1" x14ac:dyDescent="0.3">
      <c r="A3528" s="9">
        <f ca="1"/>
        <v>40418</v>
      </c>
      <c r="B3528" s="5">
        <f t="shared" ref="B3528:B3529" si="503">B3527</f>
        <v>44.27</v>
      </c>
      <c r="C3528" s="6"/>
      <c r="D3528" s="6"/>
    </row>
    <row r="3529" spans="1:4" ht="13" thickBot="1" x14ac:dyDescent="0.3">
      <c r="A3529" s="9">
        <f ca="1"/>
        <v>40419</v>
      </c>
      <c r="B3529" s="5">
        <f t="shared" si="503"/>
        <v>44.27</v>
      </c>
      <c r="C3529" s="6"/>
      <c r="D3529" s="6"/>
    </row>
    <row r="3530" spans="1:4" ht="13" thickBot="1" x14ac:dyDescent="0.3">
      <c r="A3530" s="9">
        <f ca="1"/>
        <v>40420</v>
      </c>
      <c r="B3530" s="6">
        <v>44.07</v>
      </c>
      <c r="C3530" s="6"/>
      <c r="D3530" s="6"/>
    </row>
    <row r="3531" spans="1:4" ht="13" thickBot="1" x14ac:dyDescent="0.3">
      <c r="A3531" s="9">
        <f ca="1"/>
        <v>40421</v>
      </c>
      <c r="B3531" s="6">
        <v>43.58</v>
      </c>
      <c r="C3531" s="6"/>
      <c r="D3531" s="6"/>
    </row>
    <row r="3532" spans="1:4" ht="13" thickBot="1" x14ac:dyDescent="0.3">
      <c r="A3532" s="9">
        <f ca="1"/>
        <v>40422</v>
      </c>
      <c r="B3532" s="6">
        <v>44.58</v>
      </c>
      <c r="C3532" s="6"/>
      <c r="D3532" s="6"/>
    </row>
    <row r="3533" spans="1:4" ht="13" thickBot="1" x14ac:dyDescent="0.3">
      <c r="A3533" s="9">
        <f ca="1"/>
        <v>40423</v>
      </c>
      <c r="B3533" s="6">
        <v>45.49</v>
      </c>
      <c r="C3533" s="6"/>
      <c r="D3533" s="6"/>
    </row>
    <row r="3534" spans="1:4" ht="13" thickBot="1" x14ac:dyDescent="0.3">
      <c r="A3534" s="9">
        <f ca="1"/>
        <v>40424</v>
      </c>
      <c r="B3534" s="6">
        <v>46.03</v>
      </c>
      <c r="C3534" s="6"/>
      <c r="D3534" s="6"/>
    </row>
    <row r="3535" spans="1:4" ht="13" thickBot="1" x14ac:dyDescent="0.3">
      <c r="A3535" s="9">
        <f ca="1"/>
        <v>40425</v>
      </c>
      <c r="B3535" s="5">
        <f t="shared" ref="B3535:B3537" si="504">B3534</f>
        <v>46.03</v>
      </c>
      <c r="C3535" s="6"/>
      <c r="D3535" s="6"/>
    </row>
    <row r="3536" spans="1:4" ht="13" thickBot="1" x14ac:dyDescent="0.3">
      <c r="A3536" s="9">
        <f ca="1"/>
        <v>40426</v>
      </c>
      <c r="B3536" s="5">
        <f t="shared" si="504"/>
        <v>46.03</v>
      </c>
      <c r="C3536" s="6"/>
      <c r="D3536" s="6"/>
    </row>
    <row r="3537" spans="1:4" ht="13" thickBot="1" x14ac:dyDescent="0.3">
      <c r="A3537" s="9">
        <f ca="1"/>
        <v>40427</v>
      </c>
      <c r="B3537" s="5">
        <f t="shared" si="504"/>
        <v>46.03</v>
      </c>
      <c r="C3537" s="6"/>
      <c r="D3537" s="6"/>
    </row>
    <row r="3538" spans="1:4" ht="13" thickBot="1" x14ac:dyDescent="0.3">
      <c r="A3538" s="9">
        <f ca="1"/>
        <v>40428</v>
      </c>
      <c r="B3538" s="6">
        <v>45.1</v>
      </c>
      <c r="C3538" s="6"/>
      <c r="D3538" s="6"/>
    </row>
    <row r="3539" spans="1:4" ht="13" thickBot="1" x14ac:dyDescent="0.3">
      <c r="A3539" s="9">
        <f ca="1"/>
        <v>40429</v>
      </c>
      <c r="B3539" s="6">
        <v>44.97</v>
      </c>
      <c r="C3539" s="6"/>
      <c r="D3539" s="6"/>
    </row>
    <row r="3540" spans="1:4" ht="13" thickBot="1" x14ac:dyDescent="0.3">
      <c r="A3540" s="9">
        <f ca="1"/>
        <v>40430</v>
      </c>
      <c r="B3540" s="6">
        <v>46.24</v>
      </c>
      <c r="C3540" s="6"/>
      <c r="D3540" s="6"/>
    </row>
    <row r="3541" spans="1:4" ht="13" thickBot="1" x14ac:dyDescent="0.3">
      <c r="A3541" s="9">
        <f ca="1"/>
        <v>40431</v>
      </c>
      <c r="B3541" s="6">
        <v>45.5</v>
      </c>
      <c r="C3541" s="6"/>
      <c r="D3541" s="6"/>
    </row>
    <row r="3542" spans="1:4" ht="13" thickBot="1" x14ac:dyDescent="0.3">
      <c r="A3542" s="9">
        <f ca="1"/>
        <v>40432</v>
      </c>
      <c r="B3542" s="5">
        <f t="shared" ref="B3542:B3543" si="505">B3541</f>
        <v>45.5</v>
      </c>
      <c r="C3542" s="6"/>
      <c r="D3542" s="6"/>
    </row>
    <row r="3543" spans="1:4" ht="13" thickBot="1" x14ac:dyDescent="0.3">
      <c r="A3543" s="9">
        <f ca="1"/>
        <v>40433</v>
      </c>
      <c r="B3543" s="5">
        <f t="shared" si="505"/>
        <v>45.5</v>
      </c>
      <c r="C3543" s="6"/>
      <c r="D3543" s="6"/>
    </row>
    <row r="3544" spans="1:4" ht="13" thickBot="1" x14ac:dyDescent="0.3">
      <c r="A3544" s="9">
        <f ca="1"/>
        <v>40434</v>
      </c>
      <c r="B3544" s="6">
        <v>46.18</v>
      </c>
      <c r="C3544" s="6"/>
      <c r="D3544" s="6"/>
    </row>
    <row r="3545" spans="1:4" ht="13" thickBot="1" x14ac:dyDescent="0.3">
      <c r="A3545" s="9">
        <f ca="1"/>
        <v>40435</v>
      </c>
      <c r="B3545" s="6">
        <v>47.32</v>
      </c>
      <c r="C3545" s="6"/>
      <c r="D3545" s="6"/>
    </row>
    <row r="3546" spans="1:4" ht="13" thickBot="1" x14ac:dyDescent="0.3">
      <c r="A3546" s="9">
        <f ca="1"/>
        <v>40436</v>
      </c>
      <c r="B3546" s="6">
        <v>47.4</v>
      </c>
      <c r="C3546" s="6"/>
      <c r="D3546" s="6"/>
    </row>
    <row r="3547" spans="1:4" ht="13" thickBot="1" x14ac:dyDescent="0.3">
      <c r="A3547" s="9">
        <f ca="1"/>
        <v>40437</v>
      </c>
      <c r="B3547" s="6">
        <v>47.89</v>
      </c>
      <c r="C3547" s="6"/>
      <c r="D3547" s="6"/>
    </row>
    <row r="3548" spans="1:4" ht="13" thickBot="1" x14ac:dyDescent="0.3">
      <c r="A3548" s="9">
        <f ca="1"/>
        <v>40438</v>
      </c>
      <c r="B3548" s="6">
        <v>48.53</v>
      </c>
      <c r="C3548" s="6"/>
      <c r="D3548" s="6"/>
    </row>
    <row r="3549" spans="1:4" ht="13" thickBot="1" x14ac:dyDescent="0.3">
      <c r="A3549" s="9">
        <f ca="1"/>
        <v>40439</v>
      </c>
      <c r="B3549" s="5">
        <f t="shared" ref="B3549:B3550" si="506">B3548</f>
        <v>48.53</v>
      </c>
      <c r="C3549" s="6"/>
      <c r="D3549" s="6"/>
    </row>
    <row r="3550" spans="1:4" ht="13" thickBot="1" x14ac:dyDescent="0.3">
      <c r="A3550" s="9">
        <f ca="1"/>
        <v>40440</v>
      </c>
      <c r="B3550" s="5">
        <f t="shared" si="506"/>
        <v>48.53</v>
      </c>
      <c r="C3550" s="6"/>
      <c r="D3550" s="6"/>
    </row>
    <row r="3551" spans="1:4" ht="13" thickBot="1" x14ac:dyDescent="0.3">
      <c r="A3551" s="9">
        <f ca="1"/>
        <v>40441</v>
      </c>
      <c r="B3551" s="6">
        <v>48.07</v>
      </c>
      <c r="C3551" s="6"/>
      <c r="D3551" s="6"/>
    </row>
    <row r="3552" spans="1:4" ht="13" thickBot="1" x14ac:dyDescent="0.3">
      <c r="A3552" s="9">
        <f ca="1"/>
        <v>40442</v>
      </c>
      <c r="B3552" s="6">
        <v>49.01</v>
      </c>
      <c r="C3552" s="6"/>
      <c r="D3552" s="6"/>
    </row>
    <row r="3553" spans="1:4" ht="13" thickBot="1" x14ac:dyDescent="0.3">
      <c r="A3553" s="9">
        <f ca="1"/>
        <v>40443</v>
      </c>
      <c r="B3553" s="6">
        <v>49.04</v>
      </c>
      <c r="C3553" s="6"/>
      <c r="D3553" s="6"/>
    </row>
    <row r="3554" spans="1:4" ht="13" thickBot="1" x14ac:dyDescent="0.3">
      <c r="A3554" s="9">
        <f ca="1"/>
        <v>40444</v>
      </c>
      <c r="B3554" s="6">
        <v>48.4</v>
      </c>
      <c r="C3554" s="6"/>
      <c r="D3554" s="6"/>
    </row>
    <row r="3555" spans="1:4" ht="13" thickBot="1" x14ac:dyDescent="0.3">
      <c r="A3555" s="9">
        <f ca="1"/>
        <v>40445</v>
      </c>
      <c r="B3555" s="6">
        <v>49.36</v>
      </c>
      <c r="C3555" s="6"/>
      <c r="D3555" s="6"/>
    </row>
    <row r="3556" spans="1:4" ht="13" thickBot="1" x14ac:dyDescent="0.3">
      <c r="A3556" s="9">
        <f ca="1"/>
        <v>40446</v>
      </c>
      <c r="B3556" s="5">
        <f t="shared" ref="B3556:B3557" si="507">B3555</f>
        <v>49.36</v>
      </c>
      <c r="C3556" s="6"/>
      <c r="D3556" s="6"/>
    </row>
    <row r="3557" spans="1:4" ht="13" thickBot="1" x14ac:dyDescent="0.3">
      <c r="A3557" s="9">
        <f ca="1"/>
        <v>40447</v>
      </c>
      <c r="B3557" s="5">
        <f t="shared" si="507"/>
        <v>49.36</v>
      </c>
      <c r="C3557" s="6"/>
      <c r="D3557" s="6"/>
    </row>
    <row r="3558" spans="1:4" ht="13" thickBot="1" x14ac:dyDescent="0.3">
      <c r="A3558" s="9">
        <f ca="1"/>
        <v>40448</v>
      </c>
      <c r="B3558" s="6">
        <v>49.85</v>
      </c>
      <c r="C3558" s="6"/>
      <c r="D3558" s="6"/>
    </row>
    <row r="3559" spans="1:4" ht="13" thickBot="1" x14ac:dyDescent="0.3">
      <c r="A3559" s="9">
        <f ca="1"/>
        <v>40449</v>
      </c>
      <c r="B3559" s="6">
        <v>49.75</v>
      </c>
      <c r="C3559" s="6"/>
      <c r="D3559" s="6"/>
    </row>
    <row r="3560" spans="1:4" ht="13" thickBot="1" x14ac:dyDescent="0.3">
      <c r="A3560" s="9">
        <f ca="1"/>
        <v>40450</v>
      </c>
      <c r="B3560" s="6">
        <v>49.66</v>
      </c>
      <c r="C3560" s="6"/>
      <c r="D3560" s="6"/>
    </row>
    <row r="3561" spans="1:4" ht="13" thickBot="1" x14ac:dyDescent="0.3">
      <c r="A3561" s="9">
        <f ca="1"/>
        <v>40451</v>
      </c>
      <c r="B3561" s="6">
        <v>49.88</v>
      </c>
      <c r="C3561" s="6"/>
      <c r="D3561" s="6"/>
    </row>
    <row r="3562" spans="1:4" ht="13" thickBot="1" x14ac:dyDescent="0.3">
      <c r="A3562" s="9">
        <f ca="1"/>
        <v>40452</v>
      </c>
      <c r="B3562" s="6">
        <v>50.76</v>
      </c>
      <c r="C3562" s="6"/>
      <c r="D3562" s="6"/>
    </row>
    <row r="3563" spans="1:4" ht="13" thickBot="1" x14ac:dyDescent="0.3">
      <c r="A3563" s="9">
        <f ca="1"/>
        <v>40453</v>
      </c>
      <c r="B3563" s="5">
        <f t="shared" ref="B3563:B3564" si="508">B3562</f>
        <v>50.76</v>
      </c>
      <c r="C3563" s="6"/>
      <c r="D3563" s="6"/>
    </row>
    <row r="3564" spans="1:4" ht="13" thickBot="1" x14ac:dyDescent="0.3">
      <c r="A3564" s="9">
        <f ca="1"/>
        <v>40454</v>
      </c>
      <c r="B3564" s="5">
        <f t="shared" si="508"/>
        <v>50.76</v>
      </c>
      <c r="C3564" s="6"/>
      <c r="D3564" s="6"/>
    </row>
    <row r="3565" spans="1:4" ht="13" thickBot="1" x14ac:dyDescent="0.3">
      <c r="A3565" s="9">
        <f ca="1"/>
        <v>40455</v>
      </c>
      <c r="B3565" s="6">
        <v>49.86</v>
      </c>
      <c r="C3565" s="6"/>
      <c r="D3565" s="6"/>
    </row>
    <row r="3566" spans="1:4" ht="13" thickBot="1" x14ac:dyDescent="0.3">
      <c r="A3566" s="9">
        <f ca="1"/>
        <v>40456</v>
      </c>
      <c r="B3566" s="6">
        <v>50.57</v>
      </c>
      <c r="C3566" s="6"/>
      <c r="D3566" s="6"/>
    </row>
    <row r="3567" spans="1:4" ht="13" thickBot="1" x14ac:dyDescent="0.3">
      <c r="A3567" s="9">
        <f ca="1"/>
        <v>40457</v>
      </c>
      <c r="B3567" s="6">
        <v>50.78</v>
      </c>
      <c r="C3567" s="6"/>
      <c r="D3567" s="6"/>
    </row>
    <row r="3568" spans="1:4" ht="13" thickBot="1" x14ac:dyDescent="0.3">
      <c r="A3568" s="9">
        <f ca="1"/>
        <v>40458</v>
      </c>
      <c r="B3568" s="6">
        <v>51.46</v>
      </c>
      <c r="C3568" s="6"/>
      <c r="D3568" s="6"/>
    </row>
    <row r="3569" spans="1:4" ht="13" thickBot="1" x14ac:dyDescent="0.3">
      <c r="A3569" s="9">
        <f ca="1"/>
        <v>40459</v>
      </c>
      <c r="B3569" s="6">
        <v>51.03</v>
      </c>
      <c r="C3569" s="6"/>
      <c r="D3569" s="6"/>
    </row>
    <row r="3570" spans="1:4" ht="13" thickBot="1" x14ac:dyDescent="0.3">
      <c r="A3570" s="9">
        <f ca="1"/>
        <v>40460</v>
      </c>
      <c r="B3570" s="5">
        <f t="shared" ref="B3570:B3571" si="509">B3569</f>
        <v>51.03</v>
      </c>
      <c r="C3570" s="6"/>
      <c r="D3570" s="6"/>
    </row>
    <row r="3571" spans="1:4" ht="13" thickBot="1" x14ac:dyDescent="0.3">
      <c r="A3571" s="9">
        <f ca="1"/>
        <v>40461</v>
      </c>
      <c r="B3571" s="5">
        <f t="shared" si="509"/>
        <v>51.03</v>
      </c>
      <c r="C3571" s="6"/>
      <c r="D3571" s="6"/>
    </row>
    <row r="3572" spans="1:4" ht="13" thickBot="1" x14ac:dyDescent="0.3">
      <c r="A3572" s="9">
        <f ca="1"/>
        <v>40462</v>
      </c>
      <c r="B3572" s="6">
        <v>51.32</v>
      </c>
      <c r="C3572" s="6"/>
      <c r="D3572" s="6"/>
    </row>
    <row r="3573" spans="1:4" ht="13" thickBot="1" x14ac:dyDescent="0.3">
      <c r="A3573" s="9">
        <f ca="1"/>
        <v>40463</v>
      </c>
      <c r="B3573" s="6">
        <v>51.58</v>
      </c>
      <c r="C3573" s="6"/>
      <c r="D3573" s="6"/>
    </row>
    <row r="3574" spans="1:4" ht="13" thickBot="1" x14ac:dyDescent="0.3">
      <c r="A3574" s="9">
        <f ca="1"/>
        <v>40464</v>
      </c>
      <c r="B3574" s="6">
        <v>52.69</v>
      </c>
      <c r="C3574" s="6"/>
      <c r="D3574" s="6"/>
    </row>
    <row r="3575" spans="1:4" ht="13" thickBot="1" x14ac:dyDescent="0.3">
      <c r="A3575" s="9">
        <f ca="1"/>
        <v>40465</v>
      </c>
      <c r="B3575" s="6">
        <v>53.83</v>
      </c>
      <c r="C3575" s="6"/>
      <c r="D3575" s="6"/>
    </row>
    <row r="3576" spans="1:4" ht="13" thickBot="1" x14ac:dyDescent="0.3">
      <c r="A3576" s="9">
        <f ca="1"/>
        <v>40466</v>
      </c>
      <c r="B3576" s="6">
        <v>53.85</v>
      </c>
      <c r="C3576" s="6"/>
      <c r="D3576" s="6"/>
    </row>
    <row r="3577" spans="1:4" ht="13" thickBot="1" x14ac:dyDescent="0.3">
      <c r="A3577" s="9">
        <f ca="1"/>
        <v>40467</v>
      </c>
      <c r="B3577" s="5">
        <f t="shared" ref="B3577:B3578" si="510">B3576</f>
        <v>53.85</v>
      </c>
      <c r="C3577" s="6"/>
      <c r="D3577" s="6"/>
    </row>
    <row r="3578" spans="1:4" ht="13" thickBot="1" x14ac:dyDescent="0.3">
      <c r="A3578" s="9">
        <f ca="1"/>
        <v>40468</v>
      </c>
      <c r="B3578" s="5">
        <f t="shared" si="510"/>
        <v>53.85</v>
      </c>
      <c r="C3578" s="6"/>
      <c r="D3578" s="6"/>
    </row>
    <row r="3579" spans="1:4" ht="13" thickBot="1" x14ac:dyDescent="0.3">
      <c r="A3579" s="9">
        <f ca="1"/>
        <v>40469</v>
      </c>
      <c r="B3579" s="6">
        <v>52.54</v>
      </c>
      <c r="C3579" s="6"/>
      <c r="D3579" s="6"/>
    </row>
    <row r="3580" spans="1:4" ht="13" thickBot="1" x14ac:dyDescent="0.3">
      <c r="A3580" s="9">
        <f ca="1"/>
        <v>40470</v>
      </c>
      <c r="B3580" s="6">
        <v>51.58</v>
      </c>
      <c r="C3580" s="6"/>
      <c r="D3580" s="6"/>
    </row>
    <row r="3581" spans="1:4" ht="13" thickBot="1" x14ac:dyDescent="0.3">
      <c r="A3581" s="9">
        <f ca="1"/>
        <v>40471</v>
      </c>
      <c r="B3581" s="6">
        <v>51.52</v>
      </c>
      <c r="C3581" s="6"/>
      <c r="D3581" s="6"/>
    </row>
    <row r="3582" spans="1:4" ht="13" thickBot="1" x14ac:dyDescent="0.3">
      <c r="A3582" s="9">
        <f ca="1"/>
        <v>40472</v>
      </c>
      <c r="B3582" s="6">
        <v>52.61</v>
      </c>
      <c r="C3582" s="6"/>
      <c r="D3582" s="6"/>
    </row>
    <row r="3583" spans="1:4" ht="13" thickBot="1" x14ac:dyDescent="0.3">
      <c r="A3583" s="9">
        <f ca="1"/>
        <v>40473</v>
      </c>
      <c r="B3583" s="6">
        <v>52.99</v>
      </c>
      <c r="C3583" s="6"/>
      <c r="D3583" s="6"/>
    </row>
    <row r="3584" spans="1:4" ht="13" thickBot="1" x14ac:dyDescent="0.3">
      <c r="A3584" s="9">
        <f ca="1"/>
        <v>40474</v>
      </c>
      <c r="B3584" s="5">
        <f t="shared" ref="B3584:B3585" si="511">B3583</f>
        <v>52.99</v>
      </c>
      <c r="C3584" s="6"/>
      <c r="D3584" s="6"/>
    </row>
    <row r="3585" spans="1:4" ht="13" thickBot="1" x14ac:dyDescent="0.3">
      <c r="A3585" s="9">
        <f ca="1"/>
        <v>40475</v>
      </c>
      <c r="B3585" s="5">
        <f t="shared" si="511"/>
        <v>52.99</v>
      </c>
      <c r="C3585" s="6"/>
      <c r="D3585" s="6"/>
    </row>
    <row r="3586" spans="1:4" ht="13" thickBot="1" x14ac:dyDescent="0.3">
      <c r="A3586" s="9">
        <f ca="1"/>
        <v>40476</v>
      </c>
      <c r="B3586" s="6">
        <v>53.52</v>
      </c>
      <c r="C3586" s="6"/>
      <c r="D3586" s="6"/>
    </row>
    <row r="3587" spans="1:4" ht="13" thickBot="1" x14ac:dyDescent="0.3">
      <c r="A3587" s="9">
        <f ca="1"/>
        <v>40477</v>
      </c>
      <c r="B3587" s="6">
        <v>53.03</v>
      </c>
      <c r="C3587" s="6"/>
      <c r="D3587" s="6"/>
    </row>
    <row r="3588" spans="1:4" ht="13" thickBot="1" x14ac:dyDescent="0.3">
      <c r="A3588" s="9">
        <f ca="1"/>
        <v>40478</v>
      </c>
      <c r="B3588" s="6">
        <v>51.33</v>
      </c>
      <c r="C3588" s="6"/>
      <c r="D3588" s="6"/>
    </row>
    <row r="3589" spans="1:4" ht="13" thickBot="1" x14ac:dyDescent="0.3">
      <c r="A3589" s="9">
        <f ca="1"/>
        <v>40479</v>
      </c>
      <c r="B3589" s="6">
        <v>51.76</v>
      </c>
      <c r="C3589" s="6"/>
      <c r="D3589" s="6"/>
    </row>
    <row r="3590" spans="1:4" ht="13" thickBot="1" x14ac:dyDescent="0.3">
      <c r="A3590" s="9">
        <f ca="1"/>
        <v>40480</v>
      </c>
      <c r="B3590" s="6">
        <v>52.04</v>
      </c>
      <c r="C3590" s="6"/>
      <c r="D3590" s="6"/>
    </row>
    <row r="3591" spans="1:4" ht="13" thickBot="1" x14ac:dyDescent="0.3">
      <c r="A3591" s="9">
        <f ca="1"/>
        <v>40481</v>
      </c>
      <c r="B3591" s="5">
        <f t="shared" ref="B3591:B3592" si="512">B3590</f>
        <v>52.04</v>
      </c>
      <c r="C3591" s="6"/>
      <c r="D3591" s="6"/>
    </row>
    <row r="3592" spans="1:4" ht="13" thickBot="1" x14ac:dyDescent="0.3">
      <c r="A3592" s="9">
        <f ca="1"/>
        <v>40482</v>
      </c>
      <c r="B3592" s="5">
        <f t="shared" si="512"/>
        <v>52.04</v>
      </c>
      <c r="C3592" s="6"/>
      <c r="D3592" s="6"/>
    </row>
    <row r="3593" spans="1:4" ht="13" thickBot="1" x14ac:dyDescent="0.3">
      <c r="A3593" s="9">
        <f ca="1"/>
        <v>40483</v>
      </c>
      <c r="B3593" s="6">
        <v>51.82</v>
      </c>
      <c r="C3593" s="6"/>
      <c r="D3593" s="6"/>
    </row>
    <row r="3594" spans="1:4" ht="13" thickBot="1" x14ac:dyDescent="0.3">
      <c r="A3594" s="9">
        <f ca="1"/>
        <v>40484</v>
      </c>
      <c r="B3594" s="6">
        <v>52.48</v>
      </c>
      <c r="C3594" s="6"/>
      <c r="D3594" s="6"/>
    </row>
    <row r="3595" spans="1:4" ht="13" thickBot="1" x14ac:dyDescent="0.3">
      <c r="A3595" s="9">
        <f ca="1"/>
        <v>40485</v>
      </c>
      <c r="B3595" s="6">
        <v>52.12</v>
      </c>
      <c r="C3595" s="6"/>
      <c r="D3595" s="6"/>
    </row>
    <row r="3596" spans="1:4" ht="13" thickBot="1" x14ac:dyDescent="0.3">
      <c r="A3596" s="9">
        <f ca="1"/>
        <v>40486</v>
      </c>
      <c r="B3596" s="6">
        <v>53.17</v>
      </c>
      <c r="C3596" s="6"/>
      <c r="D3596" s="6"/>
    </row>
    <row r="3597" spans="1:4" ht="13" thickBot="1" x14ac:dyDescent="0.3">
      <c r="A3597" s="9">
        <f ca="1"/>
        <v>40487</v>
      </c>
      <c r="B3597" s="6">
        <v>52.49</v>
      </c>
      <c r="C3597" s="6"/>
      <c r="D3597" s="6"/>
    </row>
    <row r="3598" spans="1:4" ht="13" thickBot="1" x14ac:dyDescent="0.3">
      <c r="A3598" s="9">
        <f ca="1"/>
        <v>40488</v>
      </c>
      <c r="B3598" s="5">
        <f t="shared" ref="B3598:B3599" si="513">B3597</f>
        <v>52.49</v>
      </c>
      <c r="C3598" s="6"/>
      <c r="D3598" s="6"/>
    </row>
    <row r="3599" spans="1:4" ht="13" thickBot="1" x14ac:dyDescent="0.3">
      <c r="A3599" s="9">
        <f ca="1"/>
        <v>40489</v>
      </c>
      <c r="B3599" s="5">
        <f t="shared" si="513"/>
        <v>52.49</v>
      </c>
      <c r="C3599" s="6"/>
      <c r="D3599" s="6"/>
    </row>
    <row r="3600" spans="1:4" ht="13" thickBot="1" x14ac:dyDescent="0.3">
      <c r="A3600" s="9">
        <f ca="1"/>
        <v>40490</v>
      </c>
      <c r="B3600" s="6">
        <v>51.71</v>
      </c>
      <c r="C3600" s="6"/>
      <c r="D3600" s="6"/>
    </row>
    <row r="3601" spans="1:4" ht="13" thickBot="1" x14ac:dyDescent="0.3">
      <c r="A3601" s="9">
        <f ca="1"/>
        <v>40491</v>
      </c>
      <c r="B3601" s="6">
        <v>52.26</v>
      </c>
      <c r="C3601" s="6"/>
      <c r="D3601" s="6"/>
    </row>
    <row r="3602" spans="1:4" ht="13" thickBot="1" x14ac:dyDescent="0.3">
      <c r="A3602" s="9">
        <f ca="1"/>
        <v>40492</v>
      </c>
      <c r="B3602" s="6">
        <v>50.96</v>
      </c>
      <c r="C3602" s="6"/>
      <c r="D3602" s="6"/>
    </row>
    <row r="3603" spans="1:4" ht="13" thickBot="1" x14ac:dyDescent="0.3">
      <c r="A3603" s="9">
        <f ca="1"/>
        <v>40493</v>
      </c>
      <c r="B3603" s="6">
        <v>50.54</v>
      </c>
      <c r="C3603" s="6"/>
      <c r="D3603" s="6"/>
    </row>
    <row r="3604" spans="1:4" ht="13" thickBot="1" x14ac:dyDescent="0.3">
      <c r="A3604" s="9">
        <f ca="1"/>
        <v>40494</v>
      </c>
      <c r="B3604" s="6">
        <v>50.51</v>
      </c>
      <c r="C3604" s="6"/>
      <c r="D3604" s="6"/>
    </row>
    <row r="3605" spans="1:4" ht="13" thickBot="1" x14ac:dyDescent="0.3">
      <c r="A3605" s="9">
        <f ca="1"/>
        <v>40495</v>
      </c>
      <c r="B3605" s="5">
        <f t="shared" ref="B3605:B3606" si="514">B3604</f>
        <v>50.51</v>
      </c>
      <c r="C3605" s="6"/>
      <c r="D3605" s="6"/>
    </row>
    <row r="3606" spans="1:4" ht="13" thickBot="1" x14ac:dyDescent="0.3">
      <c r="A3606" s="9">
        <f ca="1"/>
        <v>40496</v>
      </c>
      <c r="B3606" s="5">
        <f t="shared" si="514"/>
        <v>50.51</v>
      </c>
      <c r="C3606" s="6"/>
      <c r="D3606" s="6"/>
    </row>
    <row r="3607" spans="1:4" ht="13" thickBot="1" x14ac:dyDescent="0.3">
      <c r="A3607" s="9">
        <f ca="1"/>
        <v>40497</v>
      </c>
      <c r="B3607" s="6">
        <v>50.11</v>
      </c>
      <c r="C3607" s="6"/>
      <c r="D3607" s="6"/>
    </row>
    <row r="3608" spans="1:4" ht="13" thickBot="1" x14ac:dyDescent="0.3">
      <c r="A3608" s="9">
        <f ca="1"/>
        <v>40498</v>
      </c>
      <c r="B3608" s="6">
        <v>49.3</v>
      </c>
      <c r="C3608" s="6"/>
      <c r="D3608" s="6"/>
    </row>
    <row r="3609" spans="1:4" ht="13" thickBot="1" x14ac:dyDescent="0.3">
      <c r="A3609" s="9">
        <f ca="1"/>
        <v>40499</v>
      </c>
      <c r="B3609" s="6">
        <v>49.01</v>
      </c>
      <c r="C3609" s="6"/>
      <c r="D3609" s="6"/>
    </row>
    <row r="3610" spans="1:4" ht="13" thickBot="1" x14ac:dyDescent="0.3">
      <c r="A3610" s="9">
        <f ca="1"/>
        <v>40500</v>
      </c>
      <c r="B3610" s="6">
        <v>49.74</v>
      </c>
      <c r="C3610" s="6"/>
      <c r="D3610" s="6"/>
    </row>
    <row r="3611" spans="1:4" ht="13" thickBot="1" x14ac:dyDescent="0.3">
      <c r="A3611" s="9">
        <f ca="1"/>
        <v>40501</v>
      </c>
      <c r="B3611" s="6">
        <v>49.89</v>
      </c>
      <c r="C3611" s="6"/>
      <c r="D3611" s="6"/>
    </row>
    <row r="3612" spans="1:4" ht="13" thickBot="1" x14ac:dyDescent="0.3">
      <c r="A3612" s="9">
        <f ca="1"/>
        <v>40502</v>
      </c>
      <c r="B3612" s="5">
        <f t="shared" ref="B3612:B3613" si="515">B3611</f>
        <v>49.89</v>
      </c>
      <c r="C3612" s="6"/>
      <c r="D3612" s="6"/>
    </row>
    <row r="3613" spans="1:4" ht="13" thickBot="1" x14ac:dyDescent="0.3">
      <c r="A3613" s="9">
        <f ca="1"/>
        <v>40503</v>
      </c>
      <c r="B3613" s="5">
        <f t="shared" si="515"/>
        <v>49.89</v>
      </c>
      <c r="C3613" s="6"/>
      <c r="D3613" s="6"/>
    </row>
    <row r="3614" spans="1:4" ht="13" thickBot="1" x14ac:dyDescent="0.3">
      <c r="A3614" s="9">
        <f ca="1"/>
        <v>40504</v>
      </c>
      <c r="B3614" s="6">
        <v>49.43</v>
      </c>
      <c r="C3614" s="6"/>
      <c r="D3614" s="6"/>
    </row>
    <row r="3615" spans="1:4" ht="13" thickBot="1" x14ac:dyDescent="0.3">
      <c r="A3615" s="9">
        <f ca="1"/>
        <v>40505</v>
      </c>
      <c r="B3615" s="6">
        <v>49.13</v>
      </c>
      <c r="C3615" s="6"/>
      <c r="D3615" s="6"/>
    </row>
    <row r="3616" spans="1:4" ht="13" thickBot="1" x14ac:dyDescent="0.3">
      <c r="A3616" s="9">
        <f ca="1"/>
        <v>40506</v>
      </c>
      <c r="B3616" s="6">
        <v>47.95</v>
      </c>
      <c r="C3616" s="6"/>
      <c r="D3616" s="6"/>
    </row>
    <row r="3617" spans="1:4" ht="13" thickBot="1" x14ac:dyDescent="0.3">
      <c r="A3617" s="9">
        <f ca="1"/>
        <v>40507</v>
      </c>
      <c r="B3617" s="5">
        <f>B3616</f>
        <v>47.95</v>
      </c>
      <c r="C3617" s="6"/>
      <c r="D3617" s="6"/>
    </row>
    <row r="3618" spans="1:4" ht="13" thickBot="1" x14ac:dyDescent="0.3">
      <c r="A3618" s="9">
        <f ca="1"/>
        <v>40508</v>
      </c>
      <c r="B3618" s="6">
        <v>48.2</v>
      </c>
      <c r="C3618" s="6"/>
      <c r="D3618" s="6"/>
    </row>
    <row r="3619" spans="1:4" ht="13" thickBot="1" x14ac:dyDescent="0.3">
      <c r="A3619" s="9">
        <f ca="1"/>
        <v>40509</v>
      </c>
      <c r="B3619" s="5">
        <f t="shared" ref="B3619:B3620" si="516">B3618</f>
        <v>48.2</v>
      </c>
      <c r="C3619" s="6"/>
      <c r="D3619" s="6"/>
    </row>
    <row r="3620" spans="1:4" ht="13" thickBot="1" x14ac:dyDescent="0.3">
      <c r="A3620" s="9">
        <f ca="1"/>
        <v>40510</v>
      </c>
      <c r="B3620" s="5">
        <f t="shared" si="516"/>
        <v>48.2</v>
      </c>
      <c r="C3620" s="6"/>
      <c r="D3620" s="6"/>
    </row>
    <row r="3621" spans="1:4" ht="13" thickBot="1" x14ac:dyDescent="0.3">
      <c r="A3621" s="9">
        <f ca="1"/>
        <v>40511</v>
      </c>
      <c r="B3621" s="6">
        <v>47.17</v>
      </c>
      <c r="C3621" s="6"/>
      <c r="D3621" s="6"/>
    </row>
    <row r="3622" spans="1:4" ht="13" thickBot="1" x14ac:dyDescent="0.3">
      <c r="A3622" s="9">
        <f ca="1"/>
        <v>40512</v>
      </c>
      <c r="B3622" s="6">
        <v>46.7</v>
      </c>
      <c r="C3622" s="6"/>
      <c r="D3622" s="6"/>
    </row>
    <row r="3623" spans="1:4" ht="13" thickBot="1" x14ac:dyDescent="0.3">
      <c r="A3623" s="9">
        <f ca="1"/>
        <v>40513</v>
      </c>
      <c r="B3623" s="6">
        <v>47.36</v>
      </c>
      <c r="C3623" s="6"/>
      <c r="D3623" s="6"/>
    </row>
    <row r="3624" spans="1:4" ht="13" thickBot="1" x14ac:dyDescent="0.3">
      <c r="A3624" s="9">
        <f ca="1"/>
        <v>40514</v>
      </c>
      <c r="B3624" s="6">
        <v>47.16</v>
      </c>
      <c r="C3624" s="6"/>
      <c r="D3624" s="6"/>
    </row>
    <row r="3625" spans="1:4" ht="13" thickBot="1" x14ac:dyDescent="0.3">
      <c r="A3625" s="9">
        <f ca="1"/>
        <v>40515</v>
      </c>
      <c r="B3625" s="6">
        <v>48.84</v>
      </c>
      <c r="C3625" s="6"/>
      <c r="D3625" s="6"/>
    </row>
    <row r="3626" spans="1:4" ht="13" thickBot="1" x14ac:dyDescent="0.3">
      <c r="A3626" s="9">
        <f ca="1"/>
        <v>40516</v>
      </c>
      <c r="B3626" s="5">
        <f t="shared" ref="B3626:B3627" si="517">B3625</f>
        <v>48.84</v>
      </c>
      <c r="C3626" s="6"/>
      <c r="D3626" s="6"/>
    </row>
    <row r="3627" spans="1:4" ht="13" thickBot="1" x14ac:dyDescent="0.3">
      <c r="A3627" s="9">
        <f ca="1"/>
        <v>40517</v>
      </c>
      <c r="B3627" s="5">
        <f t="shared" si="517"/>
        <v>48.84</v>
      </c>
      <c r="C3627" s="6"/>
      <c r="D3627" s="6"/>
    </row>
    <row r="3628" spans="1:4" ht="13" thickBot="1" x14ac:dyDescent="0.3">
      <c r="A3628" s="9">
        <f ca="1"/>
        <v>40518</v>
      </c>
      <c r="B3628" s="6">
        <v>48.6</v>
      </c>
      <c r="C3628" s="6"/>
      <c r="D3628" s="6"/>
    </row>
    <row r="3629" spans="1:4" ht="13" thickBot="1" x14ac:dyDescent="0.3">
      <c r="A3629" s="9">
        <f ca="1"/>
        <v>40519</v>
      </c>
      <c r="B3629" s="6">
        <v>49.71</v>
      </c>
      <c r="C3629" s="6"/>
      <c r="D3629" s="6"/>
    </row>
    <row r="3630" spans="1:4" ht="13" thickBot="1" x14ac:dyDescent="0.3">
      <c r="A3630" s="9">
        <f ca="1"/>
        <v>40520</v>
      </c>
      <c r="B3630" s="6">
        <v>48.46</v>
      </c>
      <c r="C3630" s="6"/>
      <c r="D3630" s="6"/>
    </row>
    <row r="3631" spans="1:4" ht="13" thickBot="1" x14ac:dyDescent="0.3">
      <c r="A3631" s="9">
        <f ca="1"/>
        <v>40521</v>
      </c>
      <c r="B3631" s="6">
        <v>48.67</v>
      </c>
      <c r="C3631" s="6"/>
      <c r="D3631" s="6"/>
    </row>
    <row r="3632" spans="1:4" ht="13" thickBot="1" x14ac:dyDescent="0.3">
      <c r="A3632" s="9">
        <f ca="1"/>
        <v>40522</v>
      </c>
      <c r="B3632" s="6">
        <v>48.75</v>
      </c>
      <c r="C3632" s="6"/>
      <c r="D3632" s="6"/>
    </row>
    <row r="3633" spans="1:4" ht="13" thickBot="1" x14ac:dyDescent="0.3">
      <c r="A3633" s="9">
        <f ca="1"/>
        <v>40523</v>
      </c>
      <c r="B3633" s="5">
        <f t="shared" ref="B3633:B3634" si="518">B3632</f>
        <v>48.75</v>
      </c>
      <c r="C3633" s="6"/>
      <c r="D3633" s="6"/>
    </row>
    <row r="3634" spans="1:4" ht="13" thickBot="1" x14ac:dyDescent="0.3">
      <c r="A3634" s="9">
        <f ca="1"/>
        <v>40524</v>
      </c>
      <c r="B3634" s="5">
        <f t="shared" si="518"/>
        <v>48.75</v>
      </c>
      <c r="C3634" s="6"/>
      <c r="D3634" s="6"/>
    </row>
    <row r="3635" spans="1:4" ht="13" thickBot="1" x14ac:dyDescent="0.3">
      <c r="A3635" s="9">
        <f ca="1"/>
        <v>40525</v>
      </c>
      <c r="B3635" s="6">
        <v>49.52</v>
      </c>
      <c r="C3635" s="6"/>
      <c r="D3635" s="6"/>
    </row>
    <row r="3636" spans="1:4" ht="13" thickBot="1" x14ac:dyDescent="0.3">
      <c r="A3636" s="9">
        <f ca="1"/>
        <v>40526</v>
      </c>
      <c r="B3636" s="6">
        <v>50.01</v>
      </c>
      <c r="C3636" s="6"/>
      <c r="D3636" s="6"/>
    </row>
    <row r="3637" spans="1:4" ht="13" thickBot="1" x14ac:dyDescent="0.3">
      <c r="A3637" s="9">
        <f ca="1"/>
        <v>40527</v>
      </c>
      <c r="B3637" s="6">
        <v>49.4</v>
      </c>
      <c r="C3637" s="6"/>
      <c r="D3637" s="6"/>
    </row>
    <row r="3638" spans="1:4" ht="13" thickBot="1" x14ac:dyDescent="0.3">
      <c r="A3638" s="9">
        <f ca="1"/>
        <v>40528</v>
      </c>
      <c r="B3638" s="6">
        <v>49.42</v>
      </c>
      <c r="C3638" s="6"/>
      <c r="D3638" s="6"/>
    </row>
    <row r="3639" spans="1:4" ht="13" thickBot="1" x14ac:dyDescent="0.3">
      <c r="A3639" s="9">
        <f ca="1"/>
        <v>40529</v>
      </c>
      <c r="B3639" s="6">
        <v>50.42</v>
      </c>
      <c r="C3639" s="6"/>
      <c r="D3639" s="6"/>
    </row>
    <row r="3640" spans="1:4" ht="13" thickBot="1" x14ac:dyDescent="0.3">
      <c r="A3640" s="9">
        <f ca="1"/>
        <v>40530</v>
      </c>
      <c r="B3640" s="5">
        <f t="shared" ref="B3640:B3641" si="519">B3639</f>
        <v>50.42</v>
      </c>
      <c r="C3640" s="6"/>
      <c r="D3640" s="6"/>
    </row>
    <row r="3641" spans="1:4" ht="13" thickBot="1" x14ac:dyDescent="0.3">
      <c r="A3641" s="9">
        <f ca="1"/>
        <v>40531</v>
      </c>
      <c r="B3641" s="5">
        <f t="shared" si="519"/>
        <v>50.42</v>
      </c>
      <c r="C3641" s="6"/>
      <c r="D3641" s="6"/>
    </row>
    <row r="3642" spans="1:4" ht="13" thickBot="1" x14ac:dyDescent="0.3">
      <c r="A3642" s="9">
        <f ca="1"/>
        <v>40532</v>
      </c>
      <c r="B3642" s="6">
        <v>49.76</v>
      </c>
      <c r="C3642" s="6"/>
      <c r="D3642" s="6"/>
    </row>
    <row r="3643" spans="1:4" ht="13" thickBot="1" x14ac:dyDescent="0.3">
      <c r="A3643" s="9">
        <f ca="1"/>
        <v>40533</v>
      </c>
      <c r="B3643" s="6">
        <v>50.65</v>
      </c>
      <c r="C3643" s="6"/>
      <c r="D3643" s="6"/>
    </row>
    <row r="3644" spans="1:4" ht="13" thickBot="1" x14ac:dyDescent="0.3">
      <c r="A3644" s="9">
        <f ca="1"/>
        <v>40534</v>
      </c>
      <c r="B3644" s="6">
        <v>50</v>
      </c>
      <c r="C3644" s="6"/>
      <c r="D3644" s="6"/>
    </row>
    <row r="3645" spans="1:4" ht="13" thickBot="1" x14ac:dyDescent="0.3">
      <c r="A3645" s="9">
        <f ca="1"/>
        <v>40535</v>
      </c>
      <c r="B3645" s="6">
        <v>50</v>
      </c>
      <c r="C3645" s="6"/>
      <c r="D3645" s="6"/>
    </row>
    <row r="3646" spans="1:4" ht="13" thickBot="1" x14ac:dyDescent="0.3">
      <c r="A3646" s="9">
        <f ca="1"/>
        <v>40536</v>
      </c>
      <c r="B3646" s="5">
        <f t="shared" ref="B3646:B3648" si="520">B3645</f>
        <v>50</v>
      </c>
      <c r="C3646" s="6"/>
      <c r="D3646" s="6"/>
    </row>
    <row r="3647" spans="1:4" ht="13" thickBot="1" x14ac:dyDescent="0.3">
      <c r="A3647" s="9">
        <f ca="1"/>
        <v>40537</v>
      </c>
      <c r="B3647" s="5">
        <f t="shared" si="520"/>
        <v>50</v>
      </c>
      <c r="C3647" s="6"/>
      <c r="D3647" s="6"/>
    </row>
    <row r="3648" spans="1:4" ht="13" thickBot="1" x14ac:dyDescent="0.3">
      <c r="A3648" s="9">
        <f ca="1"/>
        <v>40538</v>
      </c>
      <c r="B3648" s="5">
        <f t="shared" si="520"/>
        <v>50</v>
      </c>
      <c r="C3648" s="6"/>
      <c r="D3648" s="6"/>
    </row>
    <row r="3649" spans="1:4" ht="13" thickBot="1" x14ac:dyDescent="0.3">
      <c r="A3649" s="9">
        <f ca="1"/>
        <v>40539</v>
      </c>
      <c r="B3649" s="6">
        <v>50.24</v>
      </c>
      <c r="C3649" s="6"/>
      <c r="D3649" s="6"/>
    </row>
    <row r="3650" spans="1:4" ht="13" thickBot="1" x14ac:dyDescent="0.3">
      <c r="A3650" s="9">
        <f ca="1"/>
        <v>40540</v>
      </c>
      <c r="B3650" s="6">
        <v>50.8</v>
      </c>
      <c r="C3650" s="6"/>
      <c r="D3650" s="6"/>
    </row>
    <row r="3651" spans="1:4" ht="13" thickBot="1" x14ac:dyDescent="0.3">
      <c r="A3651" s="9">
        <f ca="1"/>
        <v>40541</v>
      </c>
      <c r="B3651" s="6">
        <v>50.49</v>
      </c>
      <c r="C3651" s="6"/>
      <c r="D3651" s="6"/>
    </row>
    <row r="3652" spans="1:4" ht="13" thickBot="1" x14ac:dyDescent="0.3">
      <c r="A3652" s="9">
        <f ca="1"/>
        <v>40542</v>
      </c>
      <c r="B3652" s="6">
        <v>50.57</v>
      </c>
      <c r="C3652" s="6"/>
      <c r="D3652" s="6"/>
    </row>
    <row r="3653" spans="1:4" ht="13" thickBot="1" x14ac:dyDescent="0.3">
      <c r="A3653" s="9">
        <f ca="1"/>
        <v>40543</v>
      </c>
      <c r="B3653" s="6">
        <v>50.33</v>
      </c>
      <c r="C3653" s="6"/>
      <c r="D3653" s="6"/>
    </row>
    <row r="3654" spans="1:4" ht="13" thickBot="1" x14ac:dyDescent="0.3">
      <c r="A3654" s="9">
        <f ca="1"/>
        <v>40544</v>
      </c>
      <c r="B3654" s="5">
        <f t="shared" ref="B3654:B3655" si="521">B3653</f>
        <v>50.33</v>
      </c>
      <c r="C3654" s="6"/>
      <c r="D3654" s="6"/>
    </row>
    <row r="3655" spans="1:4" ht="13" thickBot="1" x14ac:dyDescent="0.3">
      <c r="A3655" s="9">
        <f ca="1"/>
        <v>40545</v>
      </c>
      <c r="B3655" s="5">
        <f t="shared" si="521"/>
        <v>50.33</v>
      </c>
      <c r="C3655" s="6"/>
      <c r="D3655" s="6"/>
    </row>
    <row r="3656" spans="1:4" ht="13" thickBot="1" x14ac:dyDescent="0.3">
      <c r="A3656" s="9">
        <f ca="1"/>
        <v>40546</v>
      </c>
      <c r="B3656" s="6">
        <v>50.66</v>
      </c>
      <c r="C3656" s="6"/>
      <c r="D3656" s="6"/>
    </row>
    <row r="3657" spans="1:4" ht="13" thickBot="1" x14ac:dyDescent="0.3">
      <c r="A3657" s="9">
        <f ca="1"/>
        <v>40547</v>
      </c>
      <c r="B3657" s="6">
        <v>50.96</v>
      </c>
      <c r="C3657" s="6"/>
      <c r="D3657" s="6"/>
    </row>
    <row r="3658" spans="1:4" ht="13" thickBot="1" x14ac:dyDescent="0.3">
      <c r="A3658" s="9">
        <f ca="1"/>
        <v>40548</v>
      </c>
      <c r="B3658" s="6">
        <v>49.54</v>
      </c>
      <c r="C3658" s="6"/>
      <c r="D3658" s="6"/>
    </row>
    <row r="3659" spans="1:4" ht="13" thickBot="1" x14ac:dyDescent="0.3">
      <c r="A3659" s="9">
        <f ca="1"/>
        <v>40549</v>
      </c>
      <c r="B3659" s="6">
        <v>50.06</v>
      </c>
      <c r="C3659" s="6"/>
      <c r="D3659" s="6"/>
    </row>
    <row r="3660" spans="1:4" ht="13" thickBot="1" x14ac:dyDescent="0.3">
      <c r="A3660" s="9">
        <f ca="1"/>
        <v>40550</v>
      </c>
      <c r="B3660" s="6">
        <v>49.65</v>
      </c>
      <c r="C3660" s="6"/>
      <c r="D3660" s="6"/>
    </row>
    <row r="3661" spans="1:4" ht="13" thickBot="1" x14ac:dyDescent="0.3">
      <c r="A3661" s="9">
        <f ca="1"/>
        <v>40551</v>
      </c>
      <c r="B3661" s="5">
        <f t="shared" ref="B3661:B3662" si="522">B3660</f>
        <v>49.65</v>
      </c>
      <c r="C3661" s="6"/>
      <c r="D3661" s="6"/>
    </row>
    <row r="3662" spans="1:4" ht="13" thickBot="1" x14ac:dyDescent="0.3">
      <c r="A3662" s="9">
        <f ca="1"/>
        <v>40552</v>
      </c>
      <c r="B3662" s="5">
        <f t="shared" si="522"/>
        <v>49.65</v>
      </c>
      <c r="C3662" s="6"/>
      <c r="D3662" s="6"/>
    </row>
    <row r="3663" spans="1:4" ht="13" thickBot="1" x14ac:dyDescent="0.3">
      <c r="A3663" s="9">
        <f ca="1"/>
        <v>40553</v>
      </c>
      <c r="B3663" s="6">
        <v>48.48</v>
      </c>
      <c r="C3663" s="6"/>
      <c r="D3663" s="6"/>
    </row>
    <row r="3664" spans="1:4" ht="13" thickBot="1" x14ac:dyDescent="0.3">
      <c r="A3664" s="9">
        <f ca="1"/>
        <v>40554</v>
      </c>
      <c r="B3664" s="6">
        <v>49.85</v>
      </c>
      <c r="C3664" s="6"/>
      <c r="D3664" s="6"/>
    </row>
    <row r="3665" spans="1:4" ht="13" thickBot="1" x14ac:dyDescent="0.3">
      <c r="A3665" s="9">
        <f ca="1"/>
        <v>40555</v>
      </c>
      <c r="B3665" s="6">
        <v>50.7</v>
      </c>
      <c r="C3665" s="6"/>
      <c r="D3665" s="6"/>
    </row>
    <row r="3666" spans="1:4" ht="13" thickBot="1" x14ac:dyDescent="0.3">
      <c r="A3666" s="9">
        <f ca="1"/>
        <v>40556</v>
      </c>
      <c r="B3666" s="6">
        <v>52.38</v>
      </c>
      <c r="C3666" s="6"/>
      <c r="D3666" s="6"/>
    </row>
    <row r="3667" spans="1:4" ht="13" thickBot="1" x14ac:dyDescent="0.3">
      <c r="A3667" s="9">
        <f ca="1"/>
        <v>40557</v>
      </c>
      <c r="B3667" s="6">
        <v>53.7</v>
      </c>
      <c r="C3667" s="6"/>
      <c r="D3667" s="6"/>
    </row>
    <row r="3668" spans="1:4" ht="13" thickBot="1" x14ac:dyDescent="0.3">
      <c r="A3668" s="9">
        <f ca="1"/>
        <v>40558</v>
      </c>
      <c r="B3668" s="5">
        <f t="shared" ref="B3668:B3670" si="523">B3667</f>
        <v>53.7</v>
      </c>
      <c r="C3668" s="6"/>
      <c r="D3668" s="6"/>
    </row>
    <row r="3669" spans="1:4" ht="13" thickBot="1" x14ac:dyDescent="0.3">
      <c r="A3669" s="9">
        <f ca="1"/>
        <v>40559</v>
      </c>
      <c r="B3669" s="5">
        <f t="shared" si="523"/>
        <v>53.7</v>
      </c>
      <c r="C3669" s="6"/>
      <c r="D3669" s="6"/>
    </row>
    <row r="3670" spans="1:4" ht="13" thickBot="1" x14ac:dyDescent="0.3">
      <c r="A3670" s="9">
        <f ca="1"/>
        <v>40560</v>
      </c>
      <c r="B3670" s="5">
        <f t="shared" si="523"/>
        <v>53.7</v>
      </c>
      <c r="C3670" s="6"/>
      <c r="D3670" s="6"/>
    </row>
    <row r="3671" spans="1:4" ht="13" thickBot="1" x14ac:dyDescent="0.3">
      <c r="A3671" s="9">
        <f ca="1"/>
        <v>40561</v>
      </c>
      <c r="B3671" s="6">
        <v>54.32</v>
      </c>
      <c r="C3671" s="6"/>
      <c r="D3671" s="6"/>
    </row>
    <row r="3672" spans="1:4" ht="13" thickBot="1" x14ac:dyDescent="0.3">
      <c r="A3672" s="9">
        <f ca="1"/>
        <v>40562</v>
      </c>
      <c r="B3672" s="6">
        <v>55.16</v>
      </c>
      <c r="C3672" s="6"/>
      <c r="D3672" s="6"/>
    </row>
    <row r="3673" spans="1:4" ht="13" thickBot="1" x14ac:dyDescent="0.3">
      <c r="A3673" s="9">
        <f ca="1"/>
        <v>40563</v>
      </c>
      <c r="B3673" s="6">
        <v>54.13</v>
      </c>
      <c r="C3673" s="6"/>
      <c r="D3673" s="6"/>
    </row>
    <row r="3674" spans="1:4" ht="13" thickBot="1" x14ac:dyDescent="0.3">
      <c r="A3674" s="9">
        <f ca="1"/>
        <v>40564</v>
      </c>
      <c r="B3674" s="6">
        <v>54.88</v>
      </c>
      <c r="C3674" s="6"/>
      <c r="D3674" s="6"/>
    </row>
    <row r="3675" spans="1:4" ht="13" thickBot="1" x14ac:dyDescent="0.3">
      <c r="A3675" s="9">
        <f ca="1"/>
        <v>40565</v>
      </c>
      <c r="B3675" s="5">
        <f t="shared" ref="B3675:B3676" si="524">B3674</f>
        <v>54.88</v>
      </c>
      <c r="C3675" s="6"/>
      <c r="D3675" s="6"/>
    </row>
    <row r="3676" spans="1:4" ht="13" thickBot="1" x14ac:dyDescent="0.3">
      <c r="A3676" s="9">
        <f ca="1"/>
        <v>40566</v>
      </c>
      <c r="B3676" s="5">
        <f t="shared" si="524"/>
        <v>54.88</v>
      </c>
      <c r="C3676" s="6"/>
      <c r="D3676" s="6"/>
    </row>
    <row r="3677" spans="1:4" ht="13" thickBot="1" x14ac:dyDescent="0.3">
      <c r="A3677" s="9">
        <f ca="1"/>
        <v>40567</v>
      </c>
      <c r="B3677" s="6">
        <v>54.8</v>
      </c>
      <c r="C3677" s="6"/>
      <c r="D3677" s="6"/>
    </row>
    <row r="3678" spans="1:4" ht="13" thickBot="1" x14ac:dyDescent="0.3">
      <c r="A3678" s="9">
        <f ca="1"/>
        <v>40568</v>
      </c>
      <c r="B3678" s="6">
        <v>55.23</v>
      </c>
      <c r="C3678" s="6"/>
      <c r="D3678" s="6"/>
    </row>
    <row r="3679" spans="1:4" ht="13" thickBot="1" x14ac:dyDescent="0.3">
      <c r="A3679" s="9">
        <f ca="1"/>
        <v>40569</v>
      </c>
      <c r="B3679" s="6">
        <v>56.38</v>
      </c>
      <c r="C3679" s="6"/>
      <c r="D3679" s="6"/>
    </row>
    <row r="3680" spans="1:4" ht="13" thickBot="1" x14ac:dyDescent="0.3">
      <c r="A3680" s="9">
        <f ca="1"/>
        <v>40570</v>
      </c>
      <c r="B3680" s="6">
        <v>57.22</v>
      </c>
      <c r="C3680" s="6"/>
      <c r="D3680" s="6"/>
    </row>
    <row r="3681" spans="1:4" ht="13" thickBot="1" x14ac:dyDescent="0.3">
      <c r="A3681" s="9">
        <f ca="1"/>
        <v>40571</v>
      </c>
      <c r="B3681" s="6">
        <v>58.17</v>
      </c>
      <c r="C3681" s="6"/>
      <c r="D3681" s="6"/>
    </row>
    <row r="3682" spans="1:4" ht="13" thickBot="1" x14ac:dyDescent="0.3">
      <c r="A3682" s="9">
        <f ca="1"/>
        <v>40572</v>
      </c>
      <c r="B3682" s="5">
        <f t="shared" ref="B3682:B3683" si="525">B3681</f>
        <v>58.17</v>
      </c>
      <c r="C3682" s="6"/>
      <c r="D3682" s="6"/>
    </row>
    <row r="3683" spans="1:4" ht="13" thickBot="1" x14ac:dyDescent="0.3">
      <c r="A3683" s="9">
        <f ca="1"/>
        <v>40573</v>
      </c>
      <c r="B3683" s="5">
        <f t="shared" si="525"/>
        <v>58.17</v>
      </c>
      <c r="C3683" s="6"/>
      <c r="D3683" s="6"/>
    </row>
    <row r="3684" spans="1:4" ht="13" thickBot="1" x14ac:dyDescent="0.3">
      <c r="A3684" s="9">
        <f ca="1"/>
        <v>40574</v>
      </c>
      <c r="B3684" s="6">
        <v>57.97</v>
      </c>
      <c r="C3684" s="6"/>
      <c r="D3684" s="6"/>
    </row>
    <row r="3685" spans="1:4" ht="13" thickBot="1" x14ac:dyDescent="0.3">
      <c r="A3685" s="9">
        <f ca="1"/>
        <v>40575</v>
      </c>
      <c r="B3685" s="6">
        <v>58.32</v>
      </c>
      <c r="C3685" s="6"/>
      <c r="D3685" s="6"/>
    </row>
    <row r="3686" spans="1:4" ht="13" thickBot="1" x14ac:dyDescent="0.3">
      <c r="A3686" s="9">
        <f ca="1"/>
        <v>40576</v>
      </c>
      <c r="B3686" s="6">
        <v>59.43</v>
      </c>
      <c r="C3686" s="6"/>
      <c r="D3686" s="6"/>
    </row>
    <row r="3687" spans="1:4" ht="13" thickBot="1" x14ac:dyDescent="0.3">
      <c r="A3687" s="9">
        <f ca="1"/>
        <v>40577</v>
      </c>
      <c r="B3687" s="6">
        <v>58.65</v>
      </c>
      <c r="C3687" s="6"/>
      <c r="D3687" s="6"/>
    </row>
    <row r="3688" spans="1:4" ht="13" thickBot="1" x14ac:dyDescent="0.3">
      <c r="A3688" s="9">
        <f ca="1"/>
        <v>40578</v>
      </c>
      <c r="B3688" s="6">
        <v>58.42</v>
      </c>
      <c r="C3688" s="6"/>
      <c r="D3688" s="6"/>
    </row>
    <row r="3689" spans="1:4" ht="13" thickBot="1" x14ac:dyDescent="0.3">
      <c r="A3689" s="9">
        <f ca="1"/>
        <v>40579</v>
      </c>
      <c r="B3689" s="5">
        <f t="shared" ref="B3689:B3690" si="526">B3688</f>
        <v>58.42</v>
      </c>
      <c r="C3689" s="6"/>
      <c r="D3689" s="6"/>
    </row>
    <row r="3690" spans="1:4" ht="13" thickBot="1" x14ac:dyDescent="0.3">
      <c r="A3690" s="9">
        <f ca="1"/>
        <v>40580</v>
      </c>
      <c r="B3690" s="5">
        <f t="shared" si="526"/>
        <v>58.42</v>
      </c>
      <c r="C3690" s="6"/>
      <c r="D3690" s="6"/>
    </row>
    <row r="3691" spans="1:4" ht="13" thickBot="1" x14ac:dyDescent="0.3">
      <c r="A3691" s="9">
        <f ca="1"/>
        <v>40581</v>
      </c>
      <c r="B3691" s="6">
        <v>58.66</v>
      </c>
      <c r="C3691" s="6"/>
      <c r="D3691" s="6"/>
    </row>
    <row r="3692" spans="1:4" ht="13" thickBot="1" x14ac:dyDescent="0.3">
      <c r="A3692" s="9">
        <f ca="1"/>
        <v>40582</v>
      </c>
      <c r="B3692" s="6">
        <v>59.11</v>
      </c>
      <c r="C3692" s="6"/>
      <c r="D3692" s="6"/>
    </row>
    <row r="3693" spans="1:4" ht="13" thickBot="1" x14ac:dyDescent="0.3">
      <c r="A3693" s="9">
        <f ca="1"/>
        <v>40583</v>
      </c>
      <c r="B3693" s="6">
        <v>59.11</v>
      </c>
      <c r="C3693" s="6"/>
      <c r="D3693" s="6"/>
    </row>
    <row r="3694" spans="1:4" ht="13" thickBot="1" x14ac:dyDescent="0.3">
      <c r="A3694" s="9">
        <f ca="1"/>
        <v>40584</v>
      </c>
      <c r="B3694" s="6">
        <v>58.74</v>
      </c>
      <c r="C3694" s="6"/>
      <c r="D3694" s="6"/>
    </row>
    <row r="3695" spans="1:4" ht="13" thickBot="1" x14ac:dyDescent="0.3">
      <c r="A3695" s="9">
        <f ca="1"/>
        <v>40585</v>
      </c>
      <c r="B3695" s="6">
        <v>59.85</v>
      </c>
      <c r="C3695" s="6"/>
      <c r="D3695" s="6"/>
    </row>
    <row r="3696" spans="1:4" ht="13" thickBot="1" x14ac:dyDescent="0.3">
      <c r="A3696" s="9">
        <f ca="1"/>
        <v>40586</v>
      </c>
      <c r="B3696" s="5">
        <f t="shared" ref="B3696:B3697" si="527">B3695</f>
        <v>59.85</v>
      </c>
      <c r="C3696" s="6"/>
      <c r="D3696" s="6"/>
    </row>
    <row r="3697" spans="1:4" ht="13" thickBot="1" x14ac:dyDescent="0.3">
      <c r="A3697" s="9">
        <f ca="1"/>
        <v>40587</v>
      </c>
      <c r="B3697" s="5">
        <f t="shared" si="527"/>
        <v>59.85</v>
      </c>
      <c r="C3697" s="6"/>
      <c r="D3697" s="6"/>
    </row>
    <row r="3698" spans="1:4" ht="13" thickBot="1" x14ac:dyDescent="0.3">
      <c r="A3698" s="9">
        <f ca="1"/>
        <v>40588</v>
      </c>
      <c r="B3698" s="6">
        <v>59.97</v>
      </c>
      <c r="C3698" s="6"/>
      <c r="D3698" s="6"/>
    </row>
    <row r="3699" spans="1:4" ht="13" thickBot="1" x14ac:dyDescent="0.3">
      <c r="A3699" s="9">
        <f ca="1"/>
        <v>40589</v>
      </c>
      <c r="B3699" s="6">
        <v>59.35</v>
      </c>
      <c r="C3699" s="6"/>
      <c r="D3699" s="6"/>
    </row>
    <row r="3700" spans="1:4" ht="13" thickBot="1" x14ac:dyDescent="0.3">
      <c r="A3700" s="9">
        <f ca="1"/>
        <v>40590</v>
      </c>
      <c r="B3700" s="6">
        <v>59.44</v>
      </c>
      <c r="C3700" s="6"/>
      <c r="D3700" s="6"/>
    </row>
    <row r="3701" spans="1:4" ht="13" thickBot="1" x14ac:dyDescent="0.3">
      <c r="A3701" s="9">
        <f ca="1"/>
        <v>40591</v>
      </c>
      <c r="B3701" s="6">
        <v>60.24</v>
      </c>
      <c r="C3701" s="6"/>
      <c r="D3701" s="6"/>
    </row>
    <row r="3702" spans="1:4" ht="13" thickBot="1" x14ac:dyDescent="0.3">
      <c r="A3702" s="9">
        <f ca="1"/>
        <v>40592</v>
      </c>
      <c r="B3702" s="6">
        <v>60.06</v>
      </c>
      <c r="C3702" s="6"/>
      <c r="D3702" s="6"/>
    </row>
    <row r="3703" spans="1:4" ht="13" thickBot="1" x14ac:dyDescent="0.3">
      <c r="A3703" s="9">
        <f ca="1"/>
        <v>40593</v>
      </c>
      <c r="B3703" s="5">
        <f t="shared" ref="B3703:B3705" si="528">B3702</f>
        <v>60.06</v>
      </c>
      <c r="C3703" s="6"/>
      <c r="D3703" s="6"/>
    </row>
    <row r="3704" spans="1:4" ht="13" thickBot="1" x14ac:dyDescent="0.3">
      <c r="A3704" s="9">
        <f ca="1"/>
        <v>40594</v>
      </c>
      <c r="B3704" s="5">
        <f t="shared" si="528"/>
        <v>60.06</v>
      </c>
      <c r="C3704" s="6"/>
      <c r="D3704" s="6"/>
    </row>
    <row r="3705" spans="1:4" ht="13" thickBot="1" x14ac:dyDescent="0.3">
      <c r="A3705" s="9">
        <f ca="1"/>
        <v>40595</v>
      </c>
      <c r="B3705" s="5">
        <f t="shared" si="528"/>
        <v>60.06</v>
      </c>
      <c r="C3705" s="6"/>
      <c r="D3705" s="6"/>
    </row>
    <row r="3706" spans="1:4" ht="13" thickBot="1" x14ac:dyDescent="0.3">
      <c r="A3706" s="9">
        <f ca="1"/>
        <v>40596</v>
      </c>
      <c r="B3706" s="6">
        <v>59.82</v>
      </c>
      <c r="C3706" s="6"/>
      <c r="D3706" s="6"/>
    </row>
    <row r="3707" spans="1:4" ht="13" thickBot="1" x14ac:dyDescent="0.3">
      <c r="A3707" s="9">
        <f ca="1"/>
        <v>40597</v>
      </c>
      <c r="B3707" s="6">
        <v>59.65</v>
      </c>
      <c r="C3707" s="6"/>
      <c r="D3707" s="6"/>
    </row>
    <row r="3708" spans="1:4" ht="13" thickBot="1" x14ac:dyDescent="0.3">
      <c r="A3708" s="9">
        <f ca="1"/>
        <v>40598</v>
      </c>
      <c r="B3708" s="6">
        <v>59.25</v>
      </c>
      <c r="C3708" s="6"/>
      <c r="D3708" s="6"/>
    </row>
    <row r="3709" spans="1:4" ht="13" thickBot="1" x14ac:dyDescent="0.3">
      <c r="A3709" s="9">
        <f ca="1"/>
        <v>40599</v>
      </c>
      <c r="B3709" s="6">
        <v>59</v>
      </c>
      <c r="C3709" s="6"/>
      <c r="D3709" s="6"/>
    </row>
    <row r="3710" spans="1:4" ht="13" thickBot="1" x14ac:dyDescent="0.3">
      <c r="A3710" s="9">
        <f ca="1"/>
        <v>40600</v>
      </c>
      <c r="B3710" s="5">
        <f t="shared" ref="B3710:B3711" si="529">B3709</f>
        <v>59</v>
      </c>
      <c r="C3710" s="6"/>
      <c r="D3710" s="6"/>
    </row>
    <row r="3711" spans="1:4" ht="13" thickBot="1" x14ac:dyDescent="0.3">
      <c r="A3711" s="9">
        <f ca="1"/>
        <v>40601</v>
      </c>
      <c r="B3711" s="5">
        <f t="shared" si="529"/>
        <v>59</v>
      </c>
      <c r="C3711" s="6"/>
      <c r="D3711" s="6"/>
    </row>
    <row r="3712" spans="1:4" ht="13" thickBot="1" x14ac:dyDescent="0.3">
      <c r="A3712" s="9">
        <f ca="1"/>
        <v>40602</v>
      </c>
      <c r="B3712" s="6">
        <v>61.23</v>
      </c>
      <c r="C3712" s="6"/>
      <c r="D3712" s="6"/>
    </row>
    <row r="3713" spans="1:4" ht="13" thickBot="1" x14ac:dyDescent="0.3">
      <c r="A3713" s="9">
        <f ca="1"/>
        <v>40603</v>
      </c>
      <c r="B3713" s="6">
        <v>61.15</v>
      </c>
      <c r="C3713" s="6"/>
      <c r="D3713" s="6"/>
    </row>
    <row r="3714" spans="1:4" ht="13" thickBot="1" x14ac:dyDescent="0.3">
      <c r="A3714" s="9">
        <f ca="1"/>
        <v>40604</v>
      </c>
      <c r="B3714" s="6">
        <v>60.11</v>
      </c>
      <c r="C3714" s="6"/>
      <c r="D3714" s="6"/>
    </row>
    <row r="3715" spans="1:4" ht="13" thickBot="1" x14ac:dyDescent="0.3">
      <c r="A3715" s="9">
        <f ca="1"/>
        <v>40605</v>
      </c>
      <c r="B3715" s="6">
        <v>61.55</v>
      </c>
      <c r="C3715" s="6"/>
      <c r="D3715" s="6"/>
    </row>
    <row r="3716" spans="1:4" ht="13" thickBot="1" x14ac:dyDescent="0.3">
      <c r="A3716" s="9">
        <f ca="1"/>
        <v>40606</v>
      </c>
      <c r="B3716" s="6">
        <v>62.15</v>
      </c>
      <c r="C3716" s="6"/>
      <c r="D3716" s="6"/>
    </row>
    <row r="3717" spans="1:4" ht="13" thickBot="1" x14ac:dyDescent="0.3">
      <c r="A3717" s="9">
        <f ca="1"/>
        <v>40607</v>
      </c>
      <c r="B3717" s="5">
        <f t="shared" ref="B3717:B3718" si="530">B3716</f>
        <v>62.15</v>
      </c>
      <c r="C3717" s="6"/>
      <c r="D3717" s="6"/>
    </row>
    <row r="3718" spans="1:4" ht="13" thickBot="1" x14ac:dyDescent="0.3">
      <c r="A3718" s="9">
        <f ca="1"/>
        <v>40608</v>
      </c>
      <c r="B3718" s="5">
        <f t="shared" si="530"/>
        <v>62.15</v>
      </c>
      <c r="C3718" s="6"/>
      <c r="D3718" s="6"/>
    </row>
    <row r="3719" spans="1:4" ht="13" thickBot="1" x14ac:dyDescent="0.3">
      <c r="A3719" s="9">
        <f ca="1"/>
        <v>40609</v>
      </c>
      <c r="B3719" s="6">
        <v>61.74</v>
      </c>
      <c r="C3719" s="6"/>
      <c r="D3719" s="6"/>
    </row>
    <row r="3720" spans="1:4" ht="13" thickBot="1" x14ac:dyDescent="0.3">
      <c r="A3720" s="9">
        <f ca="1"/>
        <v>40610</v>
      </c>
      <c r="B3720" s="6">
        <v>59.57</v>
      </c>
      <c r="C3720" s="6"/>
      <c r="D3720" s="6"/>
    </row>
    <row r="3721" spans="1:4" ht="13" thickBot="1" x14ac:dyDescent="0.3">
      <c r="A3721" s="9">
        <f ca="1"/>
        <v>40611</v>
      </c>
      <c r="B3721" s="6">
        <v>59.87</v>
      </c>
      <c r="C3721" s="6"/>
      <c r="D3721" s="6"/>
    </row>
    <row r="3722" spans="1:4" ht="13" thickBot="1" x14ac:dyDescent="0.3">
      <c r="A3722" s="9">
        <f ca="1"/>
        <v>40612</v>
      </c>
      <c r="B3722" s="6">
        <v>59.77</v>
      </c>
      <c r="C3722" s="6"/>
      <c r="D3722" s="6"/>
    </row>
    <row r="3723" spans="1:4" ht="13" thickBot="1" x14ac:dyDescent="0.3">
      <c r="A3723" s="9">
        <f ca="1"/>
        <v>40613</v>
      </c>
      <c r="B3723" s="6">
        <v>58.6</v>
      </c>
      <c r="C3723" s="6"/>
      <c r="D3723" s="6"/>
    </row>
    <row r="3724" spans="1:4" ht="13" thickBot="1" x14ac:dyDescent="0.3">
      <c r="A3724" s="9">
        <f ca="1"/>
        <v>40614</v>
      </c>
      <c r="B3724" s="5">
        <f t="shared" ref="B3724:B3725" si="531">B3723</f>
        <v>58.6</v>
      </c>
      <c r="C3724" s="6"/>
      <c r="D3724" s="6"/>
    </row>
    <row r="3725" spans="1:4" ht="13" thickBot="1" x14ac:dyDescent="0.3">
      <c r="A3725" s="9">
        <f ca="1"/>
        <v>40615</v>
      </c>
      <c r="B3725" s="5">
        <f t="shared" si="531"/>
        <v>58.6</v>
      </c>
      <c r="C3725" s="6"/>
      <c r="D3725" s="6"/>
    </row>
    <row r="3726" spans="1:4" ht="13" thickBot="1" x14ac:dyDescent="0.3">
      <c r="A3726" s="9">
        <f ca="1"/>
        <v>40616</v>
      </c>
      <c r="B3726" s="6">
        <v>58.57</v>
      </c>
      <c r="C3726" s="6"/>
      <c r="D3726" s="6"/>
    </row>
    <row r="3727" spans="1:4" ht="13" thickBot="1" x14ac:dyDescent="0.3">
      <c r="A3727" s="9">
        <f ca="1"/>
        <v>40617</v>
      </c>
      <c r="B3727" s="6">
        <v>55.71</v>
      </c>
      <c r="C3727" s="6"/>
      <c r="D3727" s="6"/>
    </row>
    <row r="3728" spans="1:4" ht="13" thickBot="1" x14ac:dyDescent="0.3">
      <c r="A3728" s="9">
        <f ca="1"/>
        <v>40618</v>
      </c>
      <c r="B3728" s="6">
        <v>55.72</v>
      </c>
      <c r="C3728" s="6"/>
      <c r="D3728" s="6"/>
    </row>
    <row r="3729" spans="1:4" ht="13" thickBot="1" x14ac:dyDescent="0.3">
      <c r="A3729" s="9">
        <f ca="1"/>
        <v>40619</v>
      </c>
      <c r="B3729" s="6">
        <v>56.67</v>
      </c>
      <c r="C3729" s="6"/>
      <c r="D3729" s="6"/>
    </row>
    <row r="3730" spans="1:4" ht="13" thickBot="1" x14ac:dyDescent="0.3">
      <c r="A3730" s="9">
        <f ca="1"/>
        <v>40620</v>
      </c>
      <c r="B3730" s="6">
        <v>58.21</v>
      </c>
      <c r="C3730" s="6"/>
      <c r="D3730" s="6"/>
    </row>
    <row r="3731" spans="1:4" ht="13" thickBot="1" x14ac:dyDescent="0.3">
      <c r="A3731" s="9">
        <f ca="1"/>
        <v>40621</v>
      </c>
      <c r="B3731" s="5">
        <f t="shared" ref="B3731:B3732" si="532">B3730</f>
        <v>58.21</v>
      </c>
      <c r="C3731" s="6"/>
      <c r="D3731" s="6"/>
    </row>
    <row r="3732" spans="1:4" ht="13" thickBot="1" x14ac:dyDescent="0.3">
      <c r="A3732" s="9">
        <f ca="1"/>
        <v>40622</v>
      </c>
      <c r="B3732" s="5">
        <f t="shared" si="532"/>
        <v>58.21</v>
      </c>
      <c r="C3732" s="6"/>
      <c r="D3732" s="6"/>
    </row>
    <row r="3733" spans="1:4" ht="13" thickBot="1" x14ac:dyDescent="0.3">
      <c r="A3733" s="9">
        <f ca="1"/>
        <v>40623</v>
      </c>
      <c r="B3733" s="6">
        <v>58.16</v>
      </c>
      <c r="C3733" s="6"/>
      <c r="D3733" s="6"/>
    </row>
    <row r="3734" spans="1:4" ht="13" thickBot="1" x14ac:dyDescent="0.3">
      <c r="A3734" s="9">
        <f ca="1"/>
        <v>40624</v>
      </c>
      <c r="B3734" s="6">
        <v>58.1</v>
      </c>
      <c r="C3734" s="6"/>
      <c r="D3734" s="6"/>
    </row>
    <row r="3735" spans="1:4" ht="13" thickBot="1" x14ac:dyDescent="0.3">
      <c r="A3735" s="9">
        <f ca="1"/>
        <v>40625</v>
      </c>
      <c r="B3735" s="6">
        <v>57.49</v>
      </c>
      <c r="C3735" s="6"/>
      <c r="D3735" s="6"/>
    </row>
    <row r="3736" spans="1:4" ht="13" thickBot="1" x14ac:dyDescent="0.3">
      <c r="A3736" s="9">
        <f ca="1"/>
        <v>40626</v>
      </c>
      <c r="B3736" s="6">
        <v>58.97</v>
      </c>
      <c r="C3736" s="6"/>
      <c r="D3736" s="6"/>
    </row>
    <row r="3737" spans="1:4" ht="13" thickBot="1" x14ac:dyDescent="0.3">
      <c r="A3737" s="9">
        <f ca="1"/>
        <v>40627</v>
      </c>
      <c r="B3737" s="6">
        <v>60.65</v>
      </c>
      <c r="C3737" s="6"/>
      <c r="D3737" s="6"/>
    </row>
    <row r="3738" spans="1:4" ht="13" thickBot="1" x14ac:dyDescent="0.3">
      <c r="A3738" s="9">
        <f ca="1"/>
        <v>40628</v>
      </c>
      <c r="B3738" s="5">
        <f t="shared" ref="B3738:B3739" si="533">B3737</f>
        <v>60.65</v>
      </c>
      <c r="C3738" s="6"/>
      <c r="D3738" s="6"/>
    </row>
    <row r="3739" spans="1:4" ht="13" thickBot="1" x14ac:dyDescent="0.3">
      <c r="A3739" s="9">
        <f ca="1"/>
        <v>40629</v>
      </c>
      <c r="B3739" s="5">
        <f t="shared" si="533"/>
        <v>60.65</v>
      </c>
      <c r="C3739" s="6"/>
      <c r="D3739" s="6"/>
    </row>
    <row r="3740" spans="1:4" ht="13" thickBot="1" x14ac:dyDescent="0.3">
      <c r="A3740" s="9">
        <f ca="1"/>
        <v>40630</v>
      </c>
      <c r="B3740" s="6">
        <v>60.46</v>
      </c>
      <c r="C3740" s="6"/>
      <c r="D3740" s="6"/>
    </row>
    <row r="3741" spans="1:4" ht="13" thickBot="1" x14ac:dyDescent="0.3">
      <c r="A3741" s="9">
        <f ca="1"/>
        <v>40631</v>
      </c>
      <c r="B3741" s="6">
        <v>60.18</v>
      </c>
      <c r="C3741" s="6"/>
      <c r="D3741" s="6"/>
    </row>
    <row r="3742" spans="1:4" ht="13" thickBot="1" x14ac:dyDescent="0.3">
      <c r="A3742" s="9">
        <f ca="1"/>
        <v>40632</v>
      </c>
      <c r="B3742" s="6">
        <v>60.88</v>
      </c>
      <c r="C3742" s="6"/>
      <c r="D3742" s="6"/>
    </row>
    <row r="3743" spans="1:4" ht="13" thickBot="1" x14ac:dyDescent="0.3">
      <c r="A3743" s="9">
        <f ca="1"/>
        <v>40633</v>
      </c>
      <c r="B3743" s="6">
        <v>61.21</v>
      </c>
      <c r="C3743" s="6"/>
      <c r="D3743" s="6"/>
    </row>
    <row r="3744" spans="1:4" ht="13" thickBot="1" x14ac:dyDescent="0.3">
      <c r="A3744" s="9">
        <f ca="1"/>
        <v>40634</v>
      </c>
      <c r="B3744" s="6">
        <v>61.41</v>
      </c>
      <c r="C3744" s="6"/>
      <c r="D3744" s="6"/>
    </row>
    <row r="3745" spans="1:4" ht="13" thickBot="1" x14ac:dyDescent="0.3">
      <c r="A3745" s="9">
        <f ca="1"/>
        <v>40635</v>
      </c>
      <c r="B3745" s="5">
        <f t="shared" ref="B3745:B3746" si="534">B3744</f>
        <v>61.41</v>
      </c>
      <c r="C3745" s="6"/>
      <c r="D3745" s="6"/>
    </row>
    <row r="3746" spans="1:4" ht="13" thickBot="1" x14ac:dyDescent="0.3">
      <c r="A3746" s="9">
        <f ca="1"/>
        <v>40636</v>
      </c>
      <c r="B3746" s="5">
        <f t="shared" si="534"/>
        <v>61.41</v>
      </c>
      <c r="C3746" s="6"/>
      <c r="D3746" s="6"/>
    </row>
    <row r="3747" spans="1:4" ht="13" thickBot="1" x14ac:dyDescent="0.3">
      <c r="A3747" s="9">
        <f ca="1"/>
        <v>40637</v>
      </c>
      <c r="B3747" s="6">
        <v>62.31</v>
      </c>
      <c r="C3747" s="6"/>
      <c r="D3747" s="6"/>
    </row>
    <row r="3748" spans="1:4" ht="13" thickBot="1" x14ac:dyDescent="0.3">
      <c r="A3748" s="9">
        <f ca="1"/>
        <v>40638</v>
      </c>
      <c r="B3748" s="6">
        <v>62.28</v>
      </c>
      <c r="C3748" s="6"/>
      <c r="D3748" s="6"/>
    </row>
    <row r="3749" spans="1:4" ht="13" thickBot="1" x14ac:dyDescent="0.3">
      <c r="A3749" s="9">
        <f ca="1"/>
        <v>40639</v>
      </c>
      <c r="B3749" s="6">
        <v>62.88</v>
      </c>
      <c r="C3749" s="6"/>
      <c r="D3749" s="6"/>
    </row>
    <row r="3750" spans="1:4" ht="13" thickBot="1" x14ac:dyDescent="0.3">
      <c r="A3750" s="9">
        <f ca="1"/>
        <v>40640</v>
      </c>
      <c r="B3750" s="6">
        <v>62.62</v>
      </c>
      <c r="C3750" s="6"/>
      <c r="D3750" s="6"/>
    </row>
    <row r="3751" spans="1:4" ht="13" thickBot="1" x14ac:dyDescent="0.3">
      <c r="A3751" s="9">
        <f ca="1"/>
        <v>40641</v>
      </c>
      <c r="B3751" s="6">
        <v>63.93</v>
      </c>
      <c r="C3751" s="6"/>
      <c r="D3751" s="6"/>
    </row>
    <row r="3752" spans="1:4" ht="13" thickBot="1" x14ac:dyDescent="0.3">
      <c r="A3752" s="9">
        <f ca="1"/>
        <v>40642</v>
      </c>
      <c r="B3752" s="5">
        <f t="shared" ref="B3752:B3753" si="535">B3751</f>
        <v>63.93</v>
      </c>
      <c r="C3752" s="6"/>
      <c r="D3752" s="6"/>
    </row>
    <row r="3753" spans="1:4" ht="13" thickBot="1" x14ac:dyDescent="0.3">
      <c r="A3753" s="9">
        <f ca="1"/>
        <v>40643</v>
      </c>
      <c r="B3753" s="5">
        <f t="shared" si="535"/>
        <v>63.93</v>
      </c>
      <c r="C3753" s="6"/>
      <c r="D3753" s="6"/>
    </row>
    <row r="3754" spans="1:4" ht="13" thickBot="1" x14ac:dyDescent="0.3">
      <c r="A3754" s="9">
        <f ca="1"/>
        <v>40644</v>
      </c>
      <c r="B3754" s="6">
        <v>63.83</v>
      </c>
      <c r="C3754" s="6"/>
      <c r="D3754" s="6"/>
    </row>
    <row r="3755" spans="1:4" ht="13" thickBot="1" x14ac:dyDescent="0.3">
      <c r="A3755" s="9">
        <f ca="1"/>
        <v>40645</v>
      </c>
      <c r="B3755" s="6">
        <v>63.3</v>
      </c>
      <c r="C3755" s="6"/>
      <c r="D3755" s="6"/>
    </row>
    <row r="3756" spans="1:4" ht="13" thickBot="1" x14ac:dyDescent="0.3">
      <c r="A3756" s="9">
        <f ca="1"/>
        <v>40646</v>
      </c>
      <c r="B3756" s="6">
        <v>63.66</v>
      </c>
      <c r="C3756" s="6"/>
      <c r="D3756" s="6"/>
    </row>
    <row r="3757" spans="1:4" ht="13" thickBot="1" x14ac:dyDescent="0.3">
      <c r="A3757" s="9">
        <f ca="1"/>
        <v>40647</v>
      </c>
      <c r="B3757" s="6">
        <v>63.02</v>
      </c>
      <c r="C3757" s="6"/>
      <c r="D3757" s="6"/>
    </row>
    <row r="3758" spans="1:4" ht="13" thickBot="1" x14ac:dyDescent="0.3">
      <c r="A3758" s="9">
        <f ca="1"/>
        <v>40648</v>
      </c>
      <c r="B3758" s="6">
        <v>63.83</v>
      </c>
      <c r="C3758" s="6"/>
      <c r="D3758" s="6"/>
    </row>
    <row r="3759" spans="1:4" ht="13" thickBot="1" x14ac:dyDescent="0.3">
      <c r="A3759" s="9">
        <f ca="1"/>
        <v>40649</v>
      </c>
      <c r="B3759" s="5">
        <f t="shared" ref="B3759:B3760" si="536">B3758</f>
        <v>63.83</v>
      </c>
      <c r="C3759" s="6"/>
      <c r="D3759" s="6"/>
    </row>
    <row r="3760" spans="1:4" ht="13" thickBot="1" x14ac:dyDescent="0.3">
      <c r="A3760" s="9">
        <f ca="1"/>
        <v>40650</v>
      </c>
      <c r="B3760" s="5">
        <f t="shared" si="536"/>
        <v>63.83</v>
      </c>
      <c r="C3760" s="6"/>
      <c r="D3760" s="6"/>
    </row>
    <row r="3761" spans="1:4" ht="13" thickBot="1" x14ac:dyDescent="0.3">
      <c r="A3761" s="9">
        <f ca="1"/>
        <v>40651</v>
      </c>
      <c r="B3761" s="6">
        <v>62.77</v>
      </c>
      <c r="C3761" s="6"/>
      <c r="D3761" s="6"/>
    </row>
    <row r="3762" spans="1:4" ht="13" thickBot="1" x14ac:dyDescent="0.3">
      <c r="A3762" s="9">
        <f ca="1"/>
        <v>40652</v>
      </c>
      <c r="B3762" s="6">
        <v>63.15</v>
      </c>
      <c r="C3762" s="6"/>
      <c r="D3762" s="6"/>
    </row>
    <row r="3763" spans="1:4" ht="13" thickBot="1" x14ac:dyDescent="0.3">
      <c r="A3763" s="9">
        <f ca="1"/>
        <v>40653</v>
      </c>
      <c r="B3763" s="6">
        <v>65.260000000000005</v>
      </c>
      <c r="C3763" s="6"/>
      <c r="D3763" s="6"/>
    </row>
    <row r="3764" spans="1:4" ht="13" thickBot="1" x14ac:dyDescent="0.3">
      <c r="A3764" s="9">
        <f ca="1"/>
        <v>40654</v>
      </c>
      <c r="B3764" s="6">
        <v>66.650000000000006</v>
      </c>
      <c r="C3764" s="6"/>
      <c r="D3764" s="6"/>
    </row>
    <row r="3765" spans="1:4" ht="13" thickBot="1" x14ac:dyDescent="0.3">
      <c r="A3765" s="9">
        <f ca="1"/>
        <v>40655</v>
      </c>
      <c r="B3765" s="5">
        <f t="shared" ref="B3765:B3767" si="537">B3764</f>
        <v>66.650000000000006</v>
      </c>
      <c r="C3765" s="6"/>
      <c r="D3765" s="6"/>
    </row>
    <row r="3766" spans="1:4" ht="13" thickBot="1" x14ac:dyDescent="0.3">
      <c r="A3766" s="9">
        <f ca="1"/>
        <v>40656</v>
      </c>
      <c r="B3766" s="5">
        <f t="shared" si="537"/>
        <v>66.650000000000006</v>
      </c>
      <c r="C3766" s="6"/>
      <c r="D3766" s="6"/>
    </row>
    <row r="3767" spans="1:4" ht="13" thickBot="1" x14ac:dyDescent="0.3">
      <c r="A3767" s="9">
        <f ca="1"/>
        <v>40657</v>
      </c>
      <c r="B3767" s="5">
        <f t="shared" si="537"/>
        <v>66.650000000000006</v>
      </c>
      <c r="C3767" s="6"/>
      <c r="D3767" s="6"/>
    </row>
    <row r="3768" spans="1:4" ht="13" thickBot="1" x14ac:dyDescent="0.3">
      <c r="A3768" s="9">
        <f ca="1"/>
        <v>40658</v>
      </c>
      <c r="B3768" s="6">
        <v>66.75</v>
      </c>
      <c r="C3768" s="6"/>
      <c r="D3768" s="6"/>
    </row>
    <row r="3769" spans="1:4" ht="13" thickBot="1" x14ac:dyDescent="0.3">
      <c r="A3769" s="9">
        <f ca="1"/>
        <v>40659</v>
      </c>
      <c r="B3769" s="6">
        <v>66.959999999999994</v>
      </c>
      <c r="C3769" s="6"/>
      <c r="D3769" s="6"/>
    </row>
    <row r="3770" spans="1:4" ht="13" thickBot="1" x14ac:dyDescent="0.3">
      <c r="A3770" s="9">
        <f ca="1"/>
        <v>40660</v>
      </c>
      <c r="B3770" s="6">
        <v>67.150000000000006</v>
      </c>
      <c r="C3770" s="6"/>
      <c r="D3770" s="6"/>
    </row>
    <row r="3771" spans="1:4" ht="13" thickBot="1" x14ac:dyDescent="0.3">
      <c r="A3771" s="9">
        <f ca="1"/>
        <v>40661</v>
      </c>
      <c r="B3771" s="6">
        <v>63.78</v>
      </c>
      <c r="C3771" s="6"/>
      <c r="D3771" s="6"/>
    </row>
    <row r="3772" spans="1:4" ht="13" thickBot="1" x14ac:dyDescent="0.3">
      <c r="A3772" s="9">
        <f ca="1"/>
        <v>40662</v>
      </c>
      <c r="B3772" s="6">
        <v>64.53</v>
      </c>
      <c r="C3772" s="6"/>
      <c r="D3772" s="6"/>
    </row>
    <row r="3773" spans="1:4" ht="13" thickBot="1" x14ac:dyDescent="0.3">
      <c r="A3773" s="9">
        <f ca="1"/>
        <v>40663</v>
      </c>
      <c r="B3773" s="5">
        <f t="shared" ref="B3773:B3774" si="538">B3772</f>
        <v>64.53</v>
      </c>
      <c r="C3773" s="6"/>
      <c r="D3773" s="6"/>
    </row>
    <row r="3774" spans="1:4" ht="13" thickBot="1" x14ac:dyDescent="0.3">
      <c r="A3774" s="9">
        <f ca="1"/>
        <v>40664</v>
      </c>
      <c r="B3774" s="5">
        <f t="shared" si="538"/>
        <v>64.53</v>
      </c>
      <c r="C3774" s="6"/>
      <c r="D3774" s="6"/>
    </row>
    <row r="3775" spans="1:4" ht="13" thickBot="1" x14ac:dyDescent="0.3">
      <c r="A3775" s="9">
        <f ca="1"/>
        <v>40665</v>
      </c>
      <c r="B3775" s="6">
        <v>65.540000000000006</v>
      </c>
      <c r="C3775" s="6"/>
      <c r="D3775" s="6"/>
    </row>
    <row r="3776" spans="1:4" ht="13" thickBot="1" x14ac:dyDescent="0.3">
      <c r="A3776" s="9">
        <f ca="1"/>
        <v>40666</v>
      </c>
      <c r="B3776" s="6">
        <v>65.319999999999993</v>
      </c>
      <c r="C3776" s="6"/>
      <c r="D3776" s="6"/>
    </row>
    <row r="3777" spans="1:4" ht="13" thickBot="1" x14ac:dyDescent="0.3">
      <c r="A3777" s="9">
        <f ca="1"/>
        <v>40667</v>
      </c>
      <c r="B3777" s="6">
        <v>64.95</v>
      </c>
      <c r="C3777" s="6"/>
      <c r="D3777" s="6"/>
    </row>
    <row r="3778" spans="1:4" ht="13" thickBot="1" x14ac:dyDescent="0.3">
      <c r="A3778" s="9">
        <f ca="1"/>
        <v>40668</v>
      </c>
      <c r="B3778" s="6">
        <v>62.93</v>
      </c>
      <c r="C3778" s="6"/>
      <c r="D3778" s="6"/>
    </row>
    <row r="3779" spans="1:4" ht="13" thickBot="1" x14ac:dyDescent="0.3">
      <c r="A3779" s="9">
        <f ca="1"/>
        <v>40669</v>
      </c>
      <c r="B3779" s="6">
        <v>62.92</v>
      </c>
      <c r="C3779" s="6"/>
      <c r="D3779" s="6"/>
    </row>
    <row r="3780" spans="1:4" ht="13" thickBot="1" x14ac:dyDescent="0.3">
      <c r="A3780" s="9">
        <f ca="1"/>
        <v>40670</v>
      </c>
      <c r="B3780" s="5">
        <f t="shared" ref="B3780:B3781" si="539">B3779</f>
        <v>62.92</v>
      </c>
      <c r="C3780" s="6"/>
      <c r="D3780" s="6"/>
    </row>
    <row r="3781" spans="1:4" ht="13" thickBot="1" x14ac:dyDescent="0.3">
      <c r="A3781" s="9">
        <f ca="1"/>
        <v>40671</v>
      </c>
      <c r="B3781" s="5">
        <f t="shared" si="539"/>
        <v>62.92</v>
      </c>
      <c r="C3781" s="6"/>
      <c r="D3781" s="6"/>
    </row>
    <row r="3782" spans="1:4" ht="13" thickBot="1" x14ac:dyDescent="0.3">
      <c r="A3782" s="9">
        <f ca="1"/>
        <v>40672</v>
      </c>
      <c r="B3782" s="6">
        <v>62.37</v>
      </c>
      <c r="C3782" s="6"/>
      <c r="D3782" s="6"/>
    </row>
    <row r="3783" spans="1:4" ht="13" thickBot="1" x14ac:dyDescent="0.3">
      <c r="A3783" s="9">
        <f ca="1"/>
        <v>40673</v>
      </c>
      <c r="B3783" s="6">
        <v>63.49</v>
      </c>
      <c r="C3783" s="6"/>
      <c r="D3783" s="6"/>
    </row>
    <row r="3784" spans="1:4" ht="13" thickBot="1" x14ac:dyDescent="0.3">
      <c r="A3784" s="9">
        <f ca="1"/>
        <v>40674</v>
      </c>
      <c r="B3784" s="6">
        <v>64.349999999999994</v>
      </c>
      <c r="C3784" s="6"/>
      <c r="D3784" s="6"/>
    </row>
    <row r="3785" spans="1:4" ht="13" thickBot="1" x14ac:dyDescent="0.3">
      <c r="A3785" s="9">
        <f ca="1"/>
        <v>40675</v>
      </c>
      <c r="B3785" s="6">
        <v>62.92</v>
      </c>
      <c r="C3785" s="6"/>
      <c r="D3785" s="6"/>
    </row>
    <row r="3786" spans="1:4" ht="13" thickBot="1" x14ac:dyDescent="0.3">
      <c r="A3786" s="9">
        <f ca="1"/>
        <v>40676</v>
      </c>
      <c r="B3786" s="6">
        <v>63.38</v>
      </c>
      <c r="C3786" s="6"/>
      <c r="D3786" s="6"/>
    </row>
    <row r="3787" spans="1:4" ht="13" thickBot="1" x14ac:dyDescent="0.3">
      <c r="A3787" s="9">
        <f ca="1"/>
        <v>40677</v>
      </c>
      <c r="B3787" s="5">
        <f t="shared" ref="B3787:B3788" si="540">B3786</f>
        <v>63.38</v>
      </c>
      <c r="C3787" s="6"/>
      <c r="D3787" s="6"/>
    </row>
    <row r="3788" spans="1:4" ht="13" thickBot="1" x14ac:dyDescent="0.3">
      <c r="A3788" s="9">
        <f ca="1"/>
        <v>40678</v>
      </c>
      <c r="B3788" s="5">
        <f t="shared" si="540"/>
        <v>63.38</v>
      </c>
      <c r="C3788" s="6"/>
      <c r="D3788" s="6"/>
    </row>
    <row r="3789" spans="1:4" ht="13" thickBot="1" x14ac:dyDescent="0.3">
      <c r="A3789" s="9">
        <f ca="1"/>
        <v>40679</v>
      </c>
      <c r="B3789" s="6">
        <v>62.57</v>
      </c>
      <c r="C3789" s="6"/>
      <c r="D3789" s="6"/>
    </row>
    <row r="3790" spans="1:4" ht="13" thickBot="1" x14ac:dyDescent="0.3">
      <c r="A3790" s="9">
        <f ca="1"/>
        <v>40680</v>
      </c>
      <c r="B3790" s="6">
        <v>61.71</v>
      </c>
      <c r="C3790" s="6"/>
      <c r="D3790" s="6"/>
    </row>
    <row r="3791" spans="1:4" ht="13" thickBot="1" x14ac:dyDescent="0.3">
      <c r="A3791" s="9">
        <f ca="1"/>
        <v>40681</v>
      </c>
      <c r="B3791" s="6">
        <v>61.88</v>
      </c>
      <c r="C3791" s="6"/>
      <c r="D3791" s="6"/>
    </row>
    <row r="3792" spans="1:4" ht="13" thickBot="1" x14ac:dyDescent="0.3">
      <c r="A3792" s="9">
        <f ca="1"/>
        <v>40682</v>
      </c>
      <c r="B3792" s="6">
        <v>63.08</v>
      </c>
      <c r="C3792" s="6"/>
      <c r="D3792" s="6"/>
    </row>
    <row r="3793" spans="1:4" ht="13" thickBot="1" x14ac:dyDescent="0.3">
      <c r="A3793" s="9">
        <f ca="1"/>
        <v>40683</v>
      </c>
      <c r="B3793" s="6">
        <v>62.43</v>
      </c>
      <c r="C3793" s="6"/>
      <c r="D3793" s="6"/>
    </row>
    <row r="3794" spans="1:4" ht="13" thickBot="1" x14ac:dyDescent="0.3">
      <c r="A3794" s="9">
        <f ca="1"/>
        <v>40684</v>
      </c>
      <c r="B3794" s="5">
        <f t="shared" ref="B3794:B3795" si="541">B3793</f>
        <v>62.43</v>
      </c>
      <c r="C3794" s="6"/>
      <c r="D3794" s="6"/>
    </row>
    <row r="3795" spans="1:4" ht="13" thickBot="1" x14ac:dyDescent="0.3">
      <c r="A3795" s="9">
        <f ca="1"/>
        <v>40685</v>
      </c>
      <c r="B3795" s="5">
        <f t="shared" si="541"/>
        <v>62.43</v>
      </c>
      <c r="C3795" s="6"/>
      <c r="D3795" s="6"/>
    </row>
    <row r="3796" spans="1:4" ht="13" thickBot="1" x14ac:dyDescent="0.3">
      <c r="A3796" s="9">
        <f ca="1"/>
        <v>40686</v>
      </c>
      <c r="B3796" s="6">
        <v>59.25</v>
      </c>
      <c r="C3796" s="6"/>
      <c r="D3796" s="6"/>
    </row>
    <row r="3797" spans="1:4" ht="13" thickBot="1" x14ac:dyDescent="0.3">
      <c r="A3797" s="9">
        <f ca="1"/>
        <v>40687</v>
      </c>
      <c r="B3797" s="6">
        <v>59.98</v>
      </c>
      <c r="C3797" s="6"/>
      <c r="D3797" s="6"/>
    </row>
    <row r="3798" spans="1:4" ht="13" thickBot="1" x14ac:dyDescent="0.3">
      <c r="A3798" s="9">
        <f ca="1"/>
        <v>40688</v>
      </c>
      <c r="B3798" s="6">
        <v>59.34</v>
      </c>
      <c r="C3798" s="6"/>
      <c r="D3798" s="6"/>
    </row>
    <row r="3799" spans="1:4" ht="13" thickBot="1" x14ac:dyDescent="0.3">
      <c r="A3799" s="9">
        <f ca="1"/>
        <v>40689</v>
      </c>
      <c r="B3799" s="6">
        <v>60</v>
      </c>
      <c r="C3799" s="6"/>
      <c r="D3799" s="6"/>
    </row>
    <row r="3800" spans="1:4" ht="13" thickBot="1" x14ac:dyDescent="0.3">
      <c r="A3800" s="9">
        <f ca="1"/>
        <v>40690</v>
      </c>
      <c r="B3800" s="6">
        <v>59.95</v>
      </c>
      <c r="C3800" s="6"/>
      <c r="D3800" s="6"/>
    </row>
    <row r="3801" spans="1:4" ht="13" thickBot="1" x14ac:dyDescent="0.3">
      <c r="A3801" s="9">
        <f ca="1"/>
        <v>40691</v>
      </c>
      <c r="B3801" s="5">
        <f t="shared" ref="B3801:B3803" si="542">B3800</f>
        <v>59.95</v>
      </c>
      <c r="C3801" s="6"/>
      <c r="D3801" s="6"/>
    </row>
    <row r="3802" spans="1:4" ht="13" thickBot="1" x14ac:dyDescent="0.3">
      <c r="A3802" s="9">
        <f ca="1"/>
        <v>40692</v>
      </c>
      <c r="B3802" s="5">
        <f t="shared" si="542"/>
        <v>59.95</v>
      </c>
      <c r="C3802" s="6"/>
      <c r="D3802" s="6"/>
    </row>
    <row r="3803" spans="1:4" ht="13" thickBot="1" x14ac:dyDescent="0.3">
      <c r="A3803" s="9">
        <f ca="1"/>
        <v>40693</v>
      </c>
      <c r="B3803" s="5">
        <f t="shared" si="542"/>
        <v>59.95</v>
      </c>
      <c r="C3803" s="6"/>
      <c r="D3803" s="6"/>
    </row>
    <row r="3804" spans="1:4" ht="13" thickBot="1" x14ac:dyDescent="0.3">
      <c r="A3804" s="9">
        <f ca="1"/>
        <v>40694</v>
      </c>
      <c r="B3804" s="6">
        <v>62.21</v>
      </c>
      <c r="C3804" s="6"/>
      <c r="D3804" s="6"/>
    </row>
    <row r="3805" spans="1:4" ht="13" thickBot="1" x14ac:dyDescent="0.3">
      <c r="A3805" s="9">
        <f ca="1"/>
        <v>40695</v>
      </c>
      <c r="B3805" s="6">
        <v>62.08</v>
      </c>
      <c r="C3805" s="6"/>
      <c r="D3805" s="6"/>
    </row>
    <row r="3806" spans="1:4" ht="13" thickBot="1" x14ac:dyDescent="0.3">
      <c r="A3806" s="9">
        <f ca="1"/>
        <v>40696</v>
      </c>
      <c r="B3806" s="6">
        <v>61.01</v>
      </c>
      <c r="C3806" s="6"/>
      <c r="D3806" s="6"/>
    </row>
    <row r="3807" spans="1:4" ht="13" thickBot="1" x14ac:dyDescent="0.3">
      <c r="A3807" s="9">
        <f ca="1"/>
        <v>40697</v>
      </c>
      <c r="B3807" s="6">
        <v>60.77</v>
      </c>
      <c r="C3807" s="6"/>
      <c r="D3807" s="6"/>
    </row>
    <row r="3808" spans="1:4" ht="13" thickBot="1" x14ac:dyDescent="0.3">
      <c r="A3808" s="9">
        <f ca="1"/>
        <v>40698</v>
      </c>
      <c r="B3808" s="5">
        <f t="shared" ref="B3808:B3809" si="543">B3807</f>
        <v>60.77</v>
      </c>
      <c r="C3808" s="6"/>
      <c r="D3808" s="6"/>
    </row>
    <row r="3809" spans="1:4" ht="13" thickBot="1" x14ac:dyDescent="0.3">
      <c r="A3809" s="9">
        <f ca="1"/>
        <v>40699</v>
      </c>
      <c r="B3809" s="5">
        <f t="shared" si="543"/>
        <v>60.77</v>
      </c>
      <c r="C3809" s="6"/>
      <c r="D3809" s="6"/>
    </row>
    <row r="3810" spans="1:4" ht="13" thickBot="1" x14ac:dyDescent="0.3">
      <c r="A3810" s="9">
        <f ca="1"/>
        <v>40700</v>
      </c>
      <c r="B3810" s="6">
        <v>61.51</v>
      </c>
      <c r="C3810" s="6"/>
      <c r="D3810" s="6"/>
    </row>
    <row r="3811" spans="1:4" ht="13" thickBot="1" x14ac:dyDescent="0.3">
      <c r="A3811" s="9">
        <f ca="1"/>
        <v>40701</v>
      </c>
      <c r="B3811" s="6">
        <v>62.19</v>
      </c>
      <c r="C3811" s="6"/>
      <c r="D3811" s="6"/>
    </row>
    <row r="3812" spans="1:4" ht="13" thickBot="1" x14ac:dyDescent="0.3">
      <c r="A3812" s="9">
        <f ca="1"/>
        <v>40702</v>
      </c>
      <c r="B3812" s="6">
        <v>61.1</v>
      </c>
      <c r="C3812" s="6"/>
      <c r="D3812" s="6"/>
    </row>
    <row r="3813" spans="1:4" ht="13" thickBot="1" x14ac:dyDescent="0.3">
      <c r="A3813" s="9">
        <f ca="1"/>
        <v>40703</v>
      </c>
      <c r="B3813" s="6">
        <v>60.8</v>
      </c>
      <c r="C3813" s="6"/>
      <c r="D3813" s="6"/>
    </row>
    <row r="3814" spans="1:4" ht="13" thickBot="1" x14ac:dyDescent="0.3">
      <c r="A3814" s="9">
        <f ca="1"/>
        <v>40704</v>
      </c>
      <c r="B3814" s="6">
        <v>60.85</v>
      </c>
      <c r="C3814" s="6"/>
      <c r="D3814" s="6"/>
    </row>
    <row r="3815" spans="1:4" ht="13" thickBot="1" x14ac:dyDescent="0.3">
      <c r="A3815" s="9">
        <f ca="1"/>
        <v>40705</v>
      </c>
      <c r="B3815" s="5">
        <f t="shared" ref="B3815:B3816" si="544">B3814</f>
        <v>60.85</v>
      </c>
      <c r="C3815" s="6"/>
      <c r="D3815" s="6"/>
    </row>
    <row r="3816" spans="1:4" ht="13" thickBot="1" x14ac:dyDescent="0.3">
      <c r="A3816" s="9">
        <f ca="1"/>
        <v>40706</v>
      </c>
      <c r="B3816" s="5">
        <f t="shared" si="544"/>
        <v>60.85</v>
      </c>
      <c r="C3816" s="6"/>
      <c r="D3816" s="6"/>
    </row>
    <row r="3817" spans="1:4" ht="13" thickBot="1" x14ac:dyDescent="0.3">
      <c r="A3817" s="9">
        <f ca="1"/>
        <v>40707</v>
      </c>
      <c r="B3817" s="6">
        <v>60.21</v>
      </c>
      <c r="C3817" s="6"/>
      <c r="D3817" s="6"/>
    </row>
    <row r="3818" spans="1:4" ht="13" thickBot="1" x14ac:dyDescent="0.3">
      <c r="A3818" s="9">
        <f ca="1"/>
        <v>40708</v>
      </c>
      <c r="B3818" s="6">
        <v>61.71</v>
      </c>
      <c r="C3818" s="6"/>
      <c r="D3818" s="6"/>
    </row>
    <row r="3819" spans="1:4" ht="13" thickBot="1" x14ac:dyDescent="0.3">
      <c r="A3819" s="9">
        <f ca="1"/>
        <v>40709</v>
      </c>
      <c r="B3819" s="6">
        <v>60.02</v>
      </c>
      <c r="C3819" s="6"/>
      <c r="D3819" s="6"/>
    </row>
    <row r="3820" spans="1:4" ht="13" thickBot="1" x14ac:dyDescent="0.3">
      <c r="A3820" s="9">
        <f ca="1"/>
        <v>40710</v>
      </c>
      <c r="B3820" s="6">
        <v>59.28</v>
      </c>
      <c r="C3820" s="6"/>
      <c r="D3820" s="6"/>
    </row>
    <row r="3821" spans="1:4" ht="13" thickBot="1" x14ac:dyDescent="0.3">
      <c r="A3821" s="9">
        <f ca="1"/>
        <v>40711</v>
      </c>
      <c r="B3821" s="6">
        <v>61.17</v>
      </c>
      <c r="C3821" s="6"/>
      <c r="D3821" s="6"/>
    </row>
    <row r="3822" spans="1:4" ht="13" thickBot="1" x14ac:dyDescent="0.3">
      <c r="A3822" s="9">
        <f ca="1"/>
        <v>40712</v>
      </c>
      <c r="B3822" s="5">
        <f t="shared" ref="B3822:B3823" si="545">B3821</f>
        <v>61.17</v>
      </c>
      <c r="C3822" s="6"/>
      <c r="D3822" s="6"/>
    </row>
    <row r="3823" spans="1:4" ht="13" thickBot="1" x14ac:dyDescent="0.3">
      <c r="A3823" s="9">
        <f ca="1"/>
        <v>40713</v>
      </c>
      <c r="B3823" s="5">
        <f t="shared" si="545"/>
        <v>61.17</v>
      </c>
      <c r="C3823" s="6"/>
      <c r="D3823" s="6"/>
    </row>
    <row r="3824" spans="1:4" ht="13" thickBot="1" x14ac:dyDescent="0.3">
      <c r="A3824" s="9">
        <f ca="1"/>
        <v>40714</v>
      </c>
      <c r="B3824" s="6">
        <v>59.83</v>
      </c>
      <c r="C3824" s="6"/>
      <c r="D3824" s="6"/>
    </row>
    <row r="3825" spans="1:4" ht="13" thickBot="1" x14ac:dyDescent="0.3">
      <c r="A3825" s="9">
        <f ca="1"/>
        <v>40715</v>
      </c>
      <c r="B3825" s="6">
        <v>61.26</v>
      </c>
      <c r="C3825" s="6"/>
      <c r="D3825" s="6"/>
    </row>
    <row r="3826" spans="1:4" ht="13" thickBot="1" x14ac:dyDescent="0.3">
      <c r="A3826" s="9">
        <f ca="1"/>
        <v>40716</v>
      </c>
      <c r="B3826" s="6">
        <v>61.26</v>
      </c>
      <c r="C3826" s="6"/>
      <c r="D3826" s="6"/>
    </row>
    <row r="3827" spans="1:4" ht="13" thickBot="1" x14ac:dyDescent="0.3">
      <c r="A3827" s="9">
        <f ca="1"/>
        <v>40717</v>
      </c>
      <c r="B3827" s="6">
        <v>59.08</v>
      </c>
      <c r="C3827" s="6"/>
      <c r="D3827" s="6"/>
    </row>
    <row r="3828" spans="1:4" ht="13" thickBot="1" x14ac:dyDescent="0.3">
      <c r="A3828" s="9">
        <f ca="1"/>
        <v>40718</v>
      </c>
      <c r="B3828" s="6">
        <v>58.64</v>
      </c>
      <c r="C3828" s="6"/>
      <c r="D3828" s="6"/>
    </row>
    <row r="3829" spans="1:4" ht="13" thickBot="1" x14ac:dyDescent="0.3">
      <c r="A3829" s="9">
        <f ca="1"/>
        <v>40719</v>
      </c>
      <c r="B3829" s="5">
        <f t="shared" ref="B3829:B3830" si="546">B3828</f>
        <v>58.64</v>
      </c>
      <c r="C3829" s="6"/>
      <c r="D3829" s="6"/>
    </row>
    <row r="3830" spans="1:4" ht="13" thickBot="1" x14ac:dyDescent="0.3">
      <c r="A3830" s="9">
        <f ca="1"/>
        <v>40720</v>
      </c>
      <c r="B3830" s="5">
        <f t="shared" si="546"/>
        <v>58.64</v>
      </c>
      <c r="C3830" s="6"/>
      <c r="D3830" s="6"/>
    </row>
    <row r="3831" spans="1:4" ht="13" thickBot="1" x14ac:dyDescent="0.3">
      <c r="A3831" s="9">
        <f ca="1"/>
        <v>40721</v>
      </c>
      <c r="B3831" s="6">
        <v>58.11</v>
      </c>
      <c r="C3831" s="6"/>
      <c r="D3831" s="6"/>
    </row>
    <row r="3832" spans="1:4" ht="13" thickBot="1" x14ac:dyDescent="0.3">
      <c r="A3832" s="9">
        <f ca="1"/>
        <v>40722</v>
      </c>
      <c r="B3832" s="6">
        <v>58.98</v>
      </c>
      <c r="C3832" s="6"/>
      <c r="D3832" s="6"/>
    </row>
    <row r="3833" spans="1:4" ht="13" thickBot="1" x14ac:dyDescent="0.3">
      <c r="A3833" s="9">
        <f ca="1"/>
        <v>40723</v>
      </c>
      <c r="B3833" s="6">
        <v>59.65</v>
      </c>
      <c r="C3833" s="6"/>
      <c r="D3833" s="6"/>
    </row>
    <row r="3834" spans="1:4" ht="13" thickBot="1" x14ac:dyDescent="0.3">
      <c r="A3834" s="9">
        <f ca="1"/>
        <v>40724</v>
      </c>
      <c r="B3834" s="6">
        <v>60.01</v>
      </c>
      <c r="C3834" s="6"/>
      <c r="D3834" s="6"/>
    </row>
    <row r="3835" spans="1:4" ht="13" thickBot="1" x14ac:dyDescent="0.3">
      <c r="A3835" s="9">
        <f ca="1"/>
        <v>40725</v>
      </c>
      <c r="B3835" s="6">
        <v>60.17</v>
      </c>
      <c r="C3835" s="6"/>
      <c r="D3835" s="6"/>
    </row>
    <row r="3836" spans="1:4" ht="13" thickBot="1" x14ac:dyDescent="0.3">
      <c r="A3836" s="9">
        <f ca="1"/>
        <v>40726</v>
      </c>
      <c r="B3836" s="5">
        <f t="shared" ref="B3836:B3838" si="547">B3835</f>
        <v>60.17</v>
      </c>
      <c r="C3836" s="6"/>
      <c r="D3836" s="6"/>
    </row>
    <row r="3837" spans="1:4" ht="13" thickBot="1" x14ac:dyDescent="0.3">
      <c r="A3837" s="9">
        <f ca="1"/>
        <v>40727</v>
      </c>
      <c r="B3837" s="5">
        <f t="shared" si="547"/>
        <v>60.17</v>
      </c>
      <c r="C3837" s="6"/>
      <c r="D3837" s="6"/>
    </row>
    <row r="3838" spans="1:4" ht="13" thickBot="1" x14ac:dyDescent="0.3">
      <c r="A3838" s="9">
        <f ca="1"/>
        <v>40728</v>
      </c>
      <c r="B3838" s="5">
        <f t="shared" si="547"/>
        <v>60.17</v>
      </c>
      <c r="C3838" s="6"/>
      <c r="D3838" s="6"/>
    </row>
    <row r="3839" spans="1:4" ht="13" thickBot="1" x14ac:dyDescent="0.3">
      <c r="A3839" s="9">
        <f ca="1"/>
        <v>40729</v>
      </c>
      <c r="B3839" s="6">
        <v>61.02</v>
      </c>
      <c r="C3839" s="6"/>
      <c r="D3839" s="6"/>
    </row>
    <row r="3840" spans="1:4" ht="13" thickBot="1" x14ac:dyDescent="0.3">
      <c r="A3840" s="9">
        <f ca="1"/>
        <v>40730</v>
      </c>
      <c r="B3840" s="6">
        <v>60.27</v>
      </c>
      <c r="C3840" s="6"/>
      <c r="D3840" s="6"/>
    </row>
    <row r="3841" spans="1:4" ht="13" thickBot="1" x14ac:dyDescent="0.3">
      <c r="A3841" s="9">
        <f ca="1"/>
        <v>40731</v>
      </c>
      <c r="B3841" s="6">
        <v>61.57</v>
      </c>
      <c r="C3841" s="6"/>
      <c r="D3841" s="6"/>
    </row>
    <row r="3842" spans="1:4" ht="13" thickBot="1" x14ac:dyDescent="0.3">
      <c r="A3842" s="9">
        <f ca="1"/>
        <v>40732</v>
      </c>
      <c r="B3842" s="6">
        <v>61.92</v>
      </c>
      <c r="C3842" s="6"/>
      <c r="D3842" s="6"/>
    </row>
    <row r="3843" spans="1:4" ht="13" thickBot="1" x14ac:dyDescent="0.3">
      <c r="A3843" s="9">
        <f ca="1"/>
        <v>40733</v>
      </c>
      <c r="B3843" s="5">
        <f t="shared" ref="B3843:B3844" si="548">B3842</f>
        <v>61.92</v>
      </c>
      <c r="C3843" s="6"/>
      <c r="D3843" s="6"/>
    </row>
    <row r="3844" spans="1:4" ht="13" thickBot="1" x14ac:dyDescent="0.3">
      <c r="A3844" s="9">
        <f ca="1"/>
        <v>40734</v>
      </c>
      <c r="B3844" s="5">
        <f t="shared" si="548"/>
        <v>61.92</v>
      </c>
      <c r="C3844" s="6"/>
      <c r="D3844" s="6"/>
    </row>
    <row r="3845" spans="1:4" ht="13" thickBot="1" x14ac:dyDescent="0.3">
      <c r="A3845" s="9">
        <f ca="1"/>
        <v>40735</v>
      </c>
      <c r="B3845" s="6">
        <v>59.97</v>
      </c>
      <c r="C3845" s="6"/>
      <c r="D3845" s="6"/>
    </row>
    <row r="3846" spans="1:4" ht="13" thickBot="1" x14ac:dyDescent="0.3">
      <c r="A3846" s="9">
        <f ca="1"/>
        <v>40736</v>
      </c>
      <c r="B3846" s="6">
        <v>58.6</v>
      </c>
      <c r="C3846" s="6"/>
      <c r="D3846" s="6"/>
    </row>
    <row r="3847" spans="1:4" ht="13" thickBot="1" x14ac:dyDescent="0.3">
      <c r="A3847" s="9">
        <f ca="1"/>
        <v>40737</v>
      </c>
      <c r="B3847" s="6">
        <v>58.6</v>
      </c>
      <c r="C3847" s="6"/>
      <c r="D3847" s="6"/>
    </row>
    <row r="3848" spans="1:4" ht="13" thickBot="1" x14ac:dyDescent="0.3">
      <c r="A3848" s="9">
        <f ca="1"/>
        <v>40738</v>
      </c>
      <c r="B3848" s="6">
        <v>58.33</v>
      </c>
      <c r="C3848" s="6"/>
      <c r="D3848" s="6"/>
    </row>
    <row r="3849" spans="1:4" ht="13" thickBot="1" x14ac:dyDescent="0.3">
      <c r="A3849" s="9">
        <f ca="1"/>
        <v>40739</v>
      </c>
      <c r="B3849" s="6">
        <v>58.23</v>
      </c>
      <c r="C3849" s="6"/>
      <c r="D3849" s="6"/>
    </row>
    <row r="3850" spans="1:4" ht="13" thickBot="1" x14ac:dyDescent="0.3">
      <c r="A3850" s="9">
        <f ca="1"/>
        <v>40740</v>
      </c>
      <c r="B3850" s="5">
        <f t="shared" ref="B3850:B3851" si="549">B3849</f>
        <v>58.23</v>
      </c>
      <c r="C3850" s="6"/>
      <c r="D3850" s="6"/>
    </row>
    <row r="3851" spans="1:4" ht="13" thickBot="1" x14ac:dyDescent="0.3">
      <c r="A3851" s="9">
        <f ca="1"/>
        <v>40741</v>
      </c>
      <c r="B3851" s="5">
        <f t="shared" si="549"/>
        <v>58.23</v>
      </c>
      <c r="C3851" s="6"/>
      <c r="D3851" s="6"/>
    </row>
    <row r="3852" spans="1:4" ht="13" thickBot="1" x14ac:dyDescent="0.3">
      <c r="A3852" s="9">
        <f ca="1"/>
        <v>40742</v>
      </c>
      <c r="B3852" s="6">
        <v>57</v>
      </c>
      <c r="C3852" s="6"/>
      <c r="D3852" s="6"/>
    </row>
    <row r="3853" spans="1:4" ht="13" thickBot="1" x14ac:dyDescent="0.3">
      <c r="A3853" s="9">
        <f ca="1"/>
        <v>40743</v>
      </c>
      <c r="B3853" s="6">
        <v>57.8</v>
      </c>
      <c r="C3853" s="6"/>
      <c r="D3853" s="6"/>
    </row>
    <row r="3854" spans="1:4" ht="13" thickBot="1" x14ac:dyDescent="0.3">
      <c r="A3854" s="9">
        <f ca="1"/>
        <v>40744</v>
      </c>
      <c r="B3854" s="6">
        <v>58.65</v>
      </c>
      <c r="C3854" s="6"/>
      <c r="D3854" s="6"/>
    </row>
    <row r="3855" spans="1:4" ht="13" thickBot="1" x14ac:dyDescent="0.3">
      <c r="A3855" s="9">
        <f ca="1"/>
        <v>40745</v>
      </c>
      <c r="B3855" s="6">
        <v>59.28</v>
      </c>
      <c r="C3855" s="6"/>
      <c r="D3855" s="6"/>
    </row>
    <row r="3856" spans="1:4" ht="13" thickBot="1" x14ac:dyDescent="0.3">
      <c r="A3856" s="9">
        <f ca="1"/>
        <v>40746</v>
      </c>
      <c r="B3856" s="6">
        <v>60.56</v>
      </c>
      <c r="C3856" s="6"/>
      <c r="D3856" s="6"/>
    </row>
    <row r="3857" spans="1:4" ht="13" thickBot="1" x14ac:dyDescent="0.3">
      <c r="A3857" s="9">
        <f ca="1"/>
        <v>40747</v>
      </c>
      <c r="B3857" s="5">
        <f t="shared" ref="B3857:B3858" si="550">B3856</f>
        <v>60.56</v>
      </c>
      <c r="C3857" s="6"/>
      <c r="D3857" s="6"/>
    </row>
    <row r="3858" spans="1:4" ht="13" thickBot="1" x14ac:dyDescent="0.3">
      <c r="A3858" s="9">
        <f ca="1"/>
        <v>40748</v>
      </c>
      <c r="B3858" s="5">
        <f t="shared" si="550"/>
        <v>60.56</v>
      </c>
      <c r="C3858" s="6"/>
      <c r="D3858" s="6"/>
    </row>
    <row r="3859" spans="1:4" ht="13" thickBot="1" x14ac:dyDescent="0.3">
      <c r="A3859" s="9">
        <f ca="1"/>
        <v>40749</v>
      </c>
      <c r="B3859" s="6">
        <v>60.08</v>
      </c>
      <c r="C3859" s="6"/>
      <c r="D3859" s="6"/>
    </row>
    <row r="3860" spans="1:4" ht="13" thickBot="1" x14ac:dyDescent="0.3">
      <c r="A3860" s="9">
        <f ca="1"/>
        <v>40750</v>
      </c>
      <c r="B3860" s="6">
        <v>60.38</v>
      </c>
      <c r="C3860" s="6"/>
      <c r="D3860" s="6"/>
    </row>
    <row r="3861" spans="1:4" ht="13" thickBot="1" x14ac:dyDescent="0.3">
      <c r="A3861" s="9">
        <f ca="1"/>
        <v>40751</v>
      </c>
      <c r="B3861" s="6">
        <v>63.91</v>
      </c>
      <c r="C3861" s="6"/>
      <c r="D3861" s="6"/>
    </row>
    <row r="3862" spans="1:4" ht="13" thickBot="1" x14ac:dyDescent="0.3">
      <c r="A3862" s="9">
        <f ca="1"/>
        <v>40752</v>
      </c>
      <c r="B3862" s="6">
        <v>62.52</v>
      </c>
      <c r="C3862" s="6"/>
      <c r="D3862" s="6"/>
    </row>
    <row r="3863" spans="1:4" ht="13" thickBot="1" x14ac:dyDescent="0.3">
      <c r="A3863" s="9">
        <f ca="1"/>
        <v>40753</v>
      </c>
      <c r="B3863" s="6">
        <v>61.45</v>
      </c>
      <c r="C3863" s="6"/>
      <c r="D3863" s="6"/>
    </row>
    <row r="3864" spans="1:4" ht="13" thickBot="1" x14ac:dyDescent="0.3">
      <c r="A3864" s="9">
        <f ca="1"/>
        <v>40754</v>
      </c>
      <c r="B3864" s="5">
        <f t="shared" ref="B3864:B3865" si="551">B3863</f>
        <v>61.45</v>
      </c>
      <c r="C3864" s="6"/>
      <c r="D3864" s="6"/>
    </row>
    <row r="3865" spans="1:4" ht="13" thickBot="1" x14ac:dyDescent="0.3">
      <c r="A3865" s="9">
        <f ca="1"/>
        <v>40755</v>
      </c>
      <c r="B3865" s="5">
        <f t="shared" si="551"/>
        <v>61.45</v>
      </c>
      <c r="C3865" s="6"/>
      <c r="D3865" s="6"/>
    </row>
    <row r="3866" spans="1:4" ht="13" thickBot="1" x14ac:dyDescent="0.3">
      <c r="A3866" s="9">
        <f ca="1"/>
        <v>40756</v>
      </c>
      <c r="B3866" s="6">
        <v>63.17</v>
      </c>
      <c r="C3866" s="6"/>
      <c r="D3866" s="6"/>
    </row>
    <row r="3867" spans="1:4" ht="13" thickBot="1" x14ac:dyDescent="0.3">
      <c r="A3867" s="9">
        <f ca="1"/>
        <v>40757</v>
      </c>
      <c r="B3867" s="6">
        <v>60.06</v>
      </c>
      <c r="C3867" s="6"/>
      <c r="D3867" s="6"/>
    </row>
    <row r="3868" spans="1:4" ht="13" thickBot="1" x14ac:dyDescent="0.3">
      <c r="A3868" s="9">
        <f ca="1"/>
        <v>40758</v>
      </c>
      <c r="B3868" s="6">
        <v>59.88</v>
      </c>
      <c r="C3868" s="6"/>
      <c r="D3868" s="6"/>
    </row>
    <row r="3869" spans="1:4" ht="13" thickBot="1" x14ac:dyDescent="0.3">
      <c r="A3869" s="9">
        <f ca="1"/>
        <v>40759</v>
      </c>
      <c r="B3869" s="6">
        <v>57.84</v>
      </c>
      <c r="C3869" s="6"/>
      <c r="D3869" s="6"/>
    </row>
    <row r="3870" spans="1:4" ht="13" thickBot="1" x14ac:dyDescent="0.3">
      <c r="A3870" s="9">
        <f ca="1"/>
        <v>40760</v>
      </c>
      <c r="B3870" s="6">
        <v>56.71</v>
      </c>
      <c r="C3870" s="6"/>
      <c r="D3870" s="6"/>
    </row>
    <row r="3871" spans="1:4" ht="13" thickBot="1" x14ac:dyDescent="0.3">
      <c r="A3871" s="9">
        <f ca="1"/>
        <v>40761</v>
      </c>
      <c r="B3871" s="5">
        <f t="shared" ref="B3871:B3872" si="552">B3870</f>
        <v>56.71</v>
      </c>
      <c r="C3871" s="6"/>
      <c r="D3871" s="6"/>
    </row>
    <row r="3872" spans="1:4" ht="13" thickBot="1" x14ac:dyDescent="0.3">
      <c r="A3872" s="9">
        <f ca="1"/>
        <v>40762</v>
      </c>
      <c r="B3872" s="5">
        <f t="shared" si="552"/>
        <v>56.71</v>
      </c>
      <c r="C3872" s="6"/>
      <c r="D3872" s="6"/>
    </row>
    <row r="3873" spans="1:4" ht="13" thickBot="1" x14ac:dyDescent="0.3">
      <c r="A3873" s="9">
        <f ca="1"/>
        <v>40763</v>
      </c>
      <c r="B3873" s="6">
        <v>53.18</v>
      </c>
      <c r="C3873" s="6"/>
      <c r="D3873" s="6"/>
    </row>
    <row r="3874" spans="1:4" ht="13" thickBot="1" x14ac:dyDescent="0.3">
      <c r="A3874" s="9">
        <f ca="1"/>
        <v>40764</v>
      </c>
      <c r="B3874" s="6">
        <v>53.08</v>
      </c>
      <c r="C3874" s="6"/>
      <c r="D3874" s="6"/>
    </row>
    <row r="3875" spans="1:4" ht="13" thickBot="1" x14ac:dyDescent="0.3">
      <c r="A3875" s="9">
        <f ca="1"/>
        <v>40765</v>
      </c>
      <c r="B3875" s="6">
        <v>52.48</v>
      </c>
      <c r="C3875" s="6"/>
      <c r="D3875" s="6"/>
    </row>
    <row r="3876" spans="1:4" ht="13" thickBot="1" x14ac:dyDescent="0.3">
      <c r="A3876" s="9">
        <f ca="1"/>
        <v>40766</v>
      </c>
      <c r="B3876" s="6">
        <v>50.48</v>
      </c>
      <c r="C3876" s="6"/>
      <c r="D3876" s="6"/>
    </row>
    <row r="3877" spans="1:4" ht="13" thickBot="1" x14ac:dyDescent="0.3">
      <c r="A3877" s="9">
        <f ca="1"/>
        <v>40767</v>
      </c>
      <c r="B3877" s="6">
        <v>52.81</v>
      </c>
      <c r="C3877" s="6"/>
      <c r="D3877" s="6"/>
    </row>
    <row r="3878" spans="1:4" ht="13" thickBot="1" x14ac:dyDescent="0.3">
      <c r="A3878" s="9">
        <f ca="1"/>
        <v>40768</v>
      </c>
      <c r="B3878" s="5">
        <f t="shared" ref="B3878:B3879" si="553">B3877</f>
        <v>52.81</v>
      </c>
      <c r="C3878" s="6"/>
      <c r="D3878" s="6"/>
    </row>
    <row r="3879" spans="1:4" ht="13" thickBot="1" x14ac:dyDescent="0.3">
      <c r="A3879" s="9">
        <f ca="1"/>
        <v>40769</v>
      </c>
      <c r="B3879" s="5">
        <f t="shared" si="553"/>
        <v>52.81</v>
      </c>
      <c r="C3879" s="6"/>
      <c r="D3879" s="6"/>
    </row>
    <row r="3880" spans="1:4" ht="13" thickBot="1" x14ac:dyDescent="0.3">
      <c r="A3880" s="9">
        <f ca="1"/>
        <v>40770</v>
      </c>
      <c r="B3880" s="6">
        <v>53.73</v>
      </c>
      <c r="C3880" s="6"/>
      <c r="D3880" s="6"/>
    </row>
    <row r="3881" spans="1:4" ht="13" thickBot="1" x14ac:dyDescent="0.3">
      <c r="A3881" s="9">
        <f ca="1"/>
        <v>40771</v>
      </c>
      <c r="B3881" s="6">
        <v>52.99</v>
      </c>
      <c r="C3881" s="6"/>
      <c r="D3881" s="6"/>
    </row>
    <row r="3882" spans="1:4" ht="13" thickBot="1" x14ac:dyDescent="0.3">
      <c r="A3882" s="9">
        <f ca="1"/>
        <v>40772</v>
      </c>
      <c r="B3882" s="6">
        <v>52.84</v>
      </c>
      <c r="C3882" s="6"/>
      <c r="D3882" s="6"/>
    </row>
    <row r="3883" spans="1:4" ht="13" thickBot="1" x14ac:dyDescent="0.3">
      <c r="A3883" s="9">
        <f ca="1"/>
        <v>40773</v>
      </c>
      <c r="B3883" s="6">
        <v>49.91</v>
      </c>
      <c r="C3883" s="6"/>
      <c r="D3883" s="6"/>
    </row>
    <row r="3884" spans="1:4" ht="13" thickBot="1" x14ac:dyDescent="0.3">
      <c r="A3884" s="9">
        <f ca="1"/>
        <v>40774</v>
      </c>
      <c r="B3884" s="6">
        <v>48.39</v>
      </c>
      <c r="C3884" s="6"/>
      <c r="D3884" s="6"/>
    </row>
    <row r="3885" spans="1:4" ht="13" thickBot="1" x14ac:dyDescent="0.3">
      <c r="A3885" s="9">
        <f ca="1"/>
        <v>40775</v>
      </c>
      <c r="B3885" s="5">
        <f t="shared" ref="B3885:B3886" si="554">B3884</f>
        <v>48.39</v>
      </c>
      <c r="C3885" s="6"/>
      <c r="D3885" s="6"/>
    </row>
    <row r="3886" spans="1:4" ht="13" thickBot="1" x14ac:dyDescent="0.3">
      <c r="A3886" s="9">
        <f ca="1"/>
        <v>40776</v>
      </c>
      <c r="B3886" s="5">
        <f t="shared" si="554"/>
        <v>48.39</v>
      </c>
      <c r="C3886" s="6"/>
      <c r="D3886" s="6"/>
    </row>
    <row r="3887" spans="1:4" ht="13" thickBot="1" x14ac:dyDescent="0.3">
      <c r="A3887" s="9">
        <f ca="1"/>
        <v>40777</v>
      </c>
      <c r="B3887" s="6">
        <v>50.78</v>
      </c>
      <c r="C3887" s="6"/>
      <c r="D3887" s="6"/>
    </row>
    <row r="3888" spans="1:4" ht="13" thickBot="1" x14ac:dyDescent="0.3">
      <c r="A3888" s="9">
        <f ca="1"/>
        <v>40778</v>
      </c>
      <c r="B3888" s="6">
        <v>50.77</v>
      </c>
      <c r="C3888" s="6"/>
      <c r="D3888" s="6"/>
    </row>
    <row r="3889" spans="1:4" ht="13" thickBot="1" x14ac:dyDescent="0.3">
      <c r="A3889" s="9">
        <f ca="1"/>
        <v>40779</v>
      </c>
      <c r="B3889" s="6">
        <v>52.55</v>
      </c>
      <c r="C3889" s="6"/>
      <c r="D3889" s="6"/>
    </row>
    <row r="3890" spans="1:4" ht="13" thickBot="1" x14ac:dyDescent="0.3">
      <c r="A3890" s="9">
        <f ca="1"/>
        <v>40780</v>
      </c>
      <c r="B3890" s="6">
        <v>52.48</v>
      </c>
      <c r="C3890" s="6"/>
      <c r="D3890" s="6"/>
    </row>
    <row r="3891" spans="1:4" ht="13" thickBot="1" x14ac:dyDescent="0.3">
      <c r="A3891" s="9">
        <f ca="1"/>
        <v>40781</v>
      </c>
      <c r="B3891" s="6">
        <v>51.87</v>
      </c>
      <c r="C3891" s="6"/>
      <c r="D3891" s="6"/>
    </row>
    <row r="3892" spans="1:4" ht="13" thickBot="1" x14ac:dyDescent="0.3">
      <c r="A3892" s="9">
        <f ca="1"/>
        <v>40782</v>
      </c>
      <c r="B3892" s="5">
        <f t="shared" ref="B3892:B3893" si="555">B3891</f>
        <v>51.87</v>
      </c>
      <c r="C3892" s="6"/>
      <c r="D3892" s="6"/>
    </row>
    <row r="3893" spans="1:4" ht="13" thickBot="1" x14ac:dyDescent="0.3">
      <c r="A3893" s="9">
        <f ca="1"/>
        <v>40783</v>
      </c>
      <c r="B3893" s="5">
        <f t="shared" si="555"/>
        <v>51.87</v>
      </c>
      <c r="C3893" s="6"/>
      <c r="D3893" s="6"/>
    </row>
    <row r="3894" spans="1:4" ht="13" thickBot="1" x14ac:dyDescent="0.3">
      <c r="A3894" s="9">
        <f ca="1"/>
        <v>40784</v>
      </c>
      <c r="B3894" s="6">
        <v>53.66</v>
      </c>
      <c r="C3894" s="6"/>
      <c r="D3894" s="6"/>
    </row>
    <row r="3895" spans="1:4" ht="13" thickBot="1" x14ac:dyDescent="0.3">
      <c r="A3895" s="9">
        <f ca="1"/>
        <v>40785</v>
      </c>
      <c r="B3895" s="6">
        <v>53.25</v>
      </c>
      <c r="C3895" s="6"/>
      <c r="D3895" s="6"/>
    </row>
    <row r="3896" spans="1:4" ht="13" thickBot="1" x14ac:dyDescent="0.3">
      <c r="A3896" s="9">
        <f ca="1"/>
        <v>40786</v>
      </c>
      <c r="B3896" s="6">
        <v>54.65</v>
      </c>
      <c r="C3896" s="6"/>
      <c r="D3896" s="6"/>
    </row>
    <row r="3897" spans="1:4" ht="13" thickBot="1" x14ac:dyDescent="0.3">
      <c r="A3897" s="9">
        <f ca="1"/>
        <v>40787</v>
      </c>
      <c r="B3897" s="6">
        <v>53.77</v>
      </c>
      <c r="C3897" s="6"/>
      <c r="D3897" s="6"/>
    </row>
    <row r="3898" spans="1:4" ht="13" thickBot="1" x14ac:dyDescent="0.3">
      <c r="A3898" s="9">
        <f ca="1"/>
        <v>40788</v>
      </c>
      <c r="B3898" s="6">
        <v>52.54</v>
      </c>
      <c r="C3898" s="6"/>
      <c r="D3898" s="6"/>
    </row>
    <row r="3899" spans="1:4" ht="13" thickBot="1" x14ac:dyDescent="0.3">
      <c r="A3899" s="9">
        <f ca="1"/>
        <v>40789</v>
      </c>
      <c r="B3899" s="5">
        <f t="shared" ref="B3899:B3901" si="556">B3898</f>
        <v>52.54</v>
      </c>
      <c r="C3899" s="6"/>
      <c r="D3899" s="6"/>
    </row>
    <row r="3900" spans="1:4" ht="13" thickBot="1" x14ac:dyDescent="0.3">
      <c r="A3900" s="9">
        <f ca="1"/>
        <v>40790</v>
      </c>
      <c r="B3900" s="5">
        <f t="shared" si="556"/>
        <v>52.54</v>
      </c>
      <c r="C3900" s="6"/>
      <c r="D3900" s="6"/>
    </row>
    <row r="3901" spans="1:4" ht="13" thickBot="1" x14ac:dyDescent="0.3">
      <c r="A3901" s="9">
        <f ca="1"/>
        <v>40791</v>
      </c>
      <c r="B3901" s="5">
        <f t="shared" si="556"/>
        <v>52.54</v>
      </c>
      <c r="C3901" s="6"/>
      <c r="D3901" s="6"/>
    </row>
    <row r="3902" spans="1:4" ht="13" thickBot="1" x14ac:dyDescent="0.3">
      <c r="A3902" s="9">
        <f ca="1"/>
        <v>40792</v>
      </c>
      <c r="B3902" s="6">
        <v>49.92</v>
      </c>
      <c r="C3902" s="6"/>
      <c r="D3902" s="6"/>
    </row>
    <row r="3903" spans="1:4" ht="13" thickBot="1" x14ac:dyDescent="0.3">
      <c r="A3903" s="9">
        <f ca="1"/>
        <v>40793</v>
      </c>
      <c r="B3903" s="6">
        <v>51.86</v>
      </c>
      <c r="C3903" s="6"/>
      <c r="D3903" s="6"/>
    </row>
    <row r="3904" spans="1:4" ht="13" thickBot="1" x14ac:dyDescent="0.3">
      <c r="A3904" s="9">
        <f ca="1"/>
        <v>40794</v>
      </c>
      <c r="B3904" s="6">
        <v>51.78</v>
      </c>
      <c r="C3904" s="6"/>
      <c r="D3904" s="6"/>
    </row>
    <row r="3905" spans="1:4" ht="13" thickBot="1" x14ac:dyDescent="0.3">
      <c r="A3905" s="9">
        <f ca="1"/>
        <v>40795</v>
      </c>
      <c r="B3905" s="6">
        <v>50.19</v>
      </c>
      <c r="C3905" s="6"/>
      <c r="D3905" s="6"/>
    </row>
    <row r="3906" spans="1:4" ht="13" thickBot="1" x14ac:dyDescent="0.3">
      <c r="A3906" s="9">
        <f ca="1"/>
        <v>40796</v>
      </c>
      <c r="B3906" s="5">
        <f t="shared" ref="B3906:B3907" si="557">B3905</f>
        <v>50.19</v>
      </c>
      <c r="C3906" s="6"/>
      <c r="D3906" s="6"/>
    </row>
    <row r="3907" spans="1:4" ht="13" thickBot="1" x14ac:dyDescent="0.3">
      <c r="A3907" s="9">
        <f ca="1"/>
        <v>40797</v>
      </c>
      <c r="B3907" s="5">
        <f t="shared" si="557"/>
        <v>50.19</v>
      </c>
      <c r="C3907" s="6"/>
      <c r="D3907" s="6"/>
    </row>
    <row r="3908" spans="1:4" ht="13" thickBot="1" x14ac:dyDescent="0.3">
      <c r="A3908" s="9">
        <f ca="1"/>
        <v>40798</v>
      </c>
      <c r="B3908" s="6">
        <v>47.92</v>
      </c>
      <c r="C3908" s="6"/>
      <c r="D3908" s="6"/>
    </row>
    <row r="3909" spans="1:4" ht="13" thickBot="1" x14ac:dyDescent="0.3">
      <c r="A3909" s="9">
        <f ca="1"/>
        <v>40799</v>
      </c>
      <c r="B3909" s="6">
        <v>48.48</v>
      </c>
      <c r="C3909" s="6"/>
      <c r="D3909" s="6"/>
    </row>
    <row r="3910" spans="1:4" ht="13" thickBot="1" x14ac:dyDescent="0.3">
      <c r="A3910" s="9">
        <f ca="1"/>
        <v>40800</v>
      </c>
      <c r="B3910" s="6">
        <v>49.15</v>
      </c>
      <c r="C3910" s="6"/>
      <c r="D3910" s="6"/>
    </row>
    <row r="3911" spans="1:4" ht="13" thickBot="1" x14ac:dyDescent="0.3">
      <c r="A3911" s="9">
        <f ca="1"/>
        <v>40801</v>
      </c>
      <c r="B3911" s="6">
        <v>51.42</v>
      </c>
      <c r="C3911" s="6"/>
      <c r="D3911" s="6"/>
    </row>
    <row r="3912" spans="1:4" ht="13" thickBot="1" x14ac:dyDescent="0.3">
      <c r="A3912" s="9">
        <f ca="1"/>
        <v>40802</v>
      </c>
      <c r="B3912" s="6">
        <v>51.59</v>
      </c>
      <c r="C3912" s="6"/>
      <c r="D3912" s="6"/>
    </row>
    <row r="3913" spans="1:4" ht="13" thickBot="1" x14ac:dyDescent="0.3">
      <c r="A3913" s="9">
        <f ca="1"/>
        <v>40803</v>
      </c>
      <c r="B3913" s="5">
        <f t="shared" ref="B3913:B3914" si="558">B3912</f>
        <v>51.59</v>
      </c>
      <c r="C3913" s="6"/>
      <c r="D3913" s="6"/>
    </row>
    <row r="3914" spans="1:4" ht="13" thickBot="1" x14ac:dyDescent="0.3">
      <c r="A3914" s="9">
        <f ca="1"/>
        <v>40804</v>
      </c>
      <c r="B3914" s="5">
        <f t="shared" si="558"/>
        <v>51.59</v>
      </c>
      <c r="C3914" s="6"/>
      <c r="D3914" s="6"/>
    </row>
    <row r="3915" spans="1:4" ht="13" thickBot="1" x14ac:dyDescent="0.3">
      <c r="A3915" s="9">
        <f ca="1"/>
        <v>40805</v>
      </c>
      <c r="B3915" s="6">
        <v>49.32</v>
      </c>
      <c r="C3915" s="6"/>
      <c r="D3915" s="6"/>
    </row>
    <row r="3916" spans="1:4" ht="13" thickBot="1" x14ac:dyDescent="0.3">
      <c r="A3916" s="9">
        <f ca="1"/>
        <v>40806</v>
      </c>
      <c r="B3916" s="6">
        <v>50.87</v>
      </c>
      <c r="C3916" s="6"/>
      <c r="D3916" s="6"/>
    </row>
    <row r="3917" spans="1:4" ht="13" thickBot="1" x14ac:dyDescent="0.3">
      <c r="A3917" s="9">
        <f ca="1"/>
        <v>40807</v>
      </c>
      <c r="B3917" s="6">
        <v>51.45</v>
      </c>
      <c r="C3917" s="6"/>
      <c r="D3917" s="6"/>
    </row>
    <row r="3918" spans="1:4" ht="13" thickBot="1" x14ac:dyDescent="0.3">
      <c r="A3918" s="9">
        <f ca="1"/>
        <v>40808</v>
      </c>
      <c r="B3918" s="6">
        <v>48.59</v>
      </c>
      <c r="C3918" s="6"/>
      <c r="D3918" s="6"/>
    </row>
    <row r="3919" spans="1:4" ht="13" thickBot="1" x14ac:dyDescent="0.3">
      <c r="A3919" s="9">
        <f ca="1"/>
        <v>40809</v>
      </c>
      <c r="B3919" s="6">
        <v>47.43</v>
      </c>
      <c r="C3919" s="6"/>
      <c r="D3919" s="6"/>
    </row>
    <row r="3920" spans="1:4" ht="13" thickBot="1" x14ac:dyDescent="0.3">
      <c r="A3920" s="9">
        <f ca="1"/>
        <v>40810</v>
      </c>
      <c r="B3920" s="5">
        <f t="shared" ref="B3920:B3921" si="559">B3919</f>
        <v>47.43</v>
      </c>
      <c r="C3920" s="6"/>
      <c r="D3920" s="6"/>
    </row>
    <row r="3921" spans="1:4" ht="13" thickBot="1" x14ac:dyDescent="0.3">
      <c r="A3921" s="9">
        <f ca="1"/>
        <v>40811</v>
      </c>
      <c r="B3921" s="5">
        <f t="shared" si="559"/>
        <v>47.43</v>
      </c>
      <c r="C3921" s="6"/>
      <c r="D3921" s="6"/>
    </row>
    <row r="3922" spans="1:4" ht="13" thickBot="1" x14ac:dyDescent="0.3">
      <c r="A3922" s="9">
        <f ca="1"/>
        <v>40812</v>
      </c>
      <c r="B3922" s="6">
        <v>49.22</v>
      </c>
      <c r="C3922" s="6"/>
      <c r="D3922" s="6"/>
    </row>
    <row r="3923" spans="1:4" ht="13" thickBot="1" x14ac:dyDescent="0.3">
      <c r="A3923" s="9">
        <f ca="1"/>
        <v>40813</v>
      </c>
      <c r="B3923" s="6">
        <v>51.16</v>
      </c>
      <c r="C3923" s="6"/>
      <c r="D3923" s="6"/>
    </row>
    <row r="3924" spans="1:4" ht="13" thickBot="1" x14ac:dyDescent="0.3">
      <c r="A3924" s="9">
        <f ca="1"/>
        <v>40814</v>
      </c>
      <c r="B3924" s="6">
        <v>52.78</v>
      </c>
      <c r="C3924" s="6"/>
      <c r="D3924" s="6"/>
    </row>
    <row r="3925" spans="1:4" ht="13" thickBot="1" x14ac:dyDescent="0.3">
      <c r="A3925" s="9">
        <f ca="1"/>
        <v>40815</v>
      </c>
      <c r="B3925" s="6">
        <v>52.8</v>
      </c>
      <c r="C3925" s="6"/>
      <c r="D3925" s="6"/>
    </row>
    <row r="3926" spans="1:4" ht="13" thickBot="1" x14ac:dyDescent="0.3">
      <c r="A3926" s="9">
        <f ca="1"/>
        <v>40816</v>
      </c>
      <c r="B3926" s="6">
        <v>50.84</v>
      </c>
      <c r="C3926" s="6"/>
      <c r="D3926" s="6"/>
    </row>
    <row r="3927" spans="1:4" ht="13" thickBot="1" x14ac:dyDescent="0.3">
      <c r="A3927" s="9">
        <f ca="1"/>
        <v>40817</v>
      </c>
      <c r="B3927" s="5">
        <f t="shared" ref="B3927:B3928" si="560">B3926</f>
        <v>50.84</v>
      </c>
      <c r="C3927" s="6"/>
      <c r="D3927" s="6"/>
    </row>
    <row r="3928" spans="1:4" ht="13" thickBot="1" x14ac:dyDescent="0.3">
      <c r="A3928" s="9">
        <f ca="1"/>
        <v>40818</v>
      </c>
      <c r="B3928" s="5">
        <f t="shared" si="560"/>
        <v>50.84</v>
      </c>
      <c r="C3928" s="6"/>
      <c r="D3928" s="6"/>
    </row>
    <row r="3929" spans="1:4" ht="13" thickBot="1" x14ac:dyDescent="0.3">
      <c r="A3929" s="9">
        <f ca="1"/>
        <v>40819</v>
      </c>
      <c r="B3929" s="6">
        <v>49.73</v>
      </c>
      <c r="C3929" s="6"/>
      <c r="D3929" s="6"/>
    </row>
    <row r="3930" spans="1:4" ht="13" thickBot="1" x14ac:dyDescent="0.3">
      <c r="A3930" s="9">
        <f ca="1"/>
        <v>40820</v>
      </c>
      <c r="B3930" s="6">
        <v>48.5</v>
      </c>
      <c r="C3930" s="6"/>
      <c r="D3930" s="6"/>
    </row>
    <row r="3931" spans="1:4" ht="13" thickBot="1" x14ac:dyDescent="0.3">
      <c r="A3931" s="9">
        <f ca="1"/>
        <v>40821</v>
      </c>
      <c r="B3931" s="6">
        <v>50.31</v>
      </c>
      <c r="C3931" s="6"/>
      <c r="D3931" s="6"/>
    </row>
    <row r="3932" spans="1:4" ht="13" thickBot="1" x14ac:dyDescent="0.3">
      <c r="A3932" s="9">
        <f ca="1"/>
        <v>40822</v>
      </c>
      <c r="B3932" s="6">
        <v>50.88</v>
      </c>
      <c r="C3932" s="6"/>
      <c r="D3932" s="6"/>
    </row>
    <row r="3933" spans="1:4" ht="13" thickBot="1" x14ac:dyDescent="0.3">
      <c r="A3933" s="9">
        <f ca="1"/>
        <v>40823</v>
      </c>
      <c r="B3933" s="6">
        <v>53.1</v>
      </c>
      <c r="C3933" s="6"/>
      <c r="D3933" s="6"/>
    </row>
    <row r="3934" spans="1:4" ht="13" thickBot="1" x14ac:dyDescent="0.3">
      <c r="A3934" s="9">
        <f ca="1"/>
        <v>40824</v>
      </c>
      <c r="B3934" s="5">
        <f t="shared" ref="B3934:B3935" si="561">B3933</f>
        <v>53.1</v>
      </c>
      <c r="C3934" s="6"/>
      <c r="D3934" s="6"/>
    </row>
    <row r="3935" spans="1:4" ht="13" thickBot="1" x14ac:dyDescent="0.3">
      <c r="A3935" s="9">
        <f ca="1"/>
        <v>40825</v>
      </c>
      <c r="B3935" s="5">
        <f t="shared" si="561"/>
        <v>53.1</v>
      </c>
      <c r="C3935" s="6"/>
      <c r="D3935" s="6"/>
    </row>
    <row r="3936" spans="1:4" ht="13" thickBot="1" x14ac:dyDescent="0.3">
      <c r="A3936" s="9">
        <f ca="1"/>
        <v>40826</v>
      </c>
      <c r="B3936" s="6">
        <v>53.72</v>
      </c>
      <c r="C3936" s="6"/>
      <c r="D3936" s="6"/>
    </row>
    <row r="3937" spans="1:4" ht="13" thickBot="1" x14ac:dyDescent="0.3">
      <c r="A3937" s="9">
        <f ca="1"/>
        <v>40827</v>
      </c>
      <c r="B3937" s="6">
        <v>54.49</v>
      </c>
      <c r="C3937" s="6"/>
      <c r="D3937" s="6"/>
    </row>
    <row r="3938" spans="1:4" ht="13" thickBot="1" x14ac:dyDescent="0.3">
      <c r="A3938" s="9">
        <f ca="1"/>
        <v>40828</v>
      </c>
      <c r="B3938" s="6">
        <v>55.37</v>
      </c>
      <c r="C3938" s="6"/>
      <c r="D3938" s="6"/>
    </row>
    <row r="3939" spans="1:4" ht="13" thickBot="1" x14ac:dyDescent="0.3">
      <c r="A3939" s="9">
        <f ca="1"/>
        <v>40829</v>
      </c>
      <c r="B3939" s="6">
        <v>55.5</v>
      </c>
      <c r="C3939" s="6"/>
      <c r="D3939" s="6"/>
    </row>
    <row r="3940" spans="1:4" ht="13" thickBot="1" x14ac:dyDescent="0.3">
      <c r="A3940" s="9">
        <f ca="1"/>
        <v>40830</v>
      </c>
      <c r="B3940" s="6">
        <v>57.42</v>
      </c>
      <c r="C3940" s="6"/>
      <c r="D3940" s="6"/>
    </row>
    <row r="3941" spans="1:4" ht="13" thickBot="1" x14ac:dyDescent="0.3">
      <c r="A3941" s="9">
        <f ca="1"/>
        <v>40831</v>
      </c>
      <c r="B3941" s="5">
        <f t="shared" ref="B3941:B3942" si="562">B3940</f>
        <v>57.42</v>
      </c>
      <c r="C3941" s="6"/>
      <c r="D3941" s="6"/>
    </row>
    <row r="3942" spans="1:4" ht="13" thickBot="1" x14ac:dyDescent="0.3">
      <c r="A3942" s="9">
        <f ca="1"/>
        <v>40832</v>
      </c>
      <c r="B3942" s="5">
        <f t="shared" si="562"/>
        <v>57.42</v>
      </c>
      <c r="C3942" s="6"/>
      <c r="D3942" s="6"/>
    </row>
    <row r="3943" spans="1:4" ht="13" thickBot="1" x14ac:dyDescent="0.3">
      <c r="A3943" s="9">
        <f ca="1"/>
        <v>40833</v>
      </c>
      <c r="B3943" s="6">
        <v>57.14</v>
      </c>
      <c r="C3943" s="6"/>
      <c r="D3943" s="6"/>
    </row>
    <row r="3944" spans="1:4" ht="13" thickBot="1" x14ac:dyDescent="0.3">
      <c r="A3944" s="9">
        <f ca="1"/>
        <v>40834</v>
      </c>
      <c r="B3944" s="6">
        <v>57.19</v>
      </c>
      <c r="C3944" s="6"/>
      <c r="D3944" s="6"/>
    </row>
    <row r="3945" spans="1:4" ht="13" thickBot="1" x14ac:dyDescent="0.3">
      <c r="A3945" s="9">
        <f ca="1"/>
        <v>40835</v>
      </c>
      <c r="B3945" s="6">
        <v>57.36</v>
      </c>
      <c r="C3945" s="6"/>
      <c r="D3945" s="6"/>
    </row>
    <row r="3946" spans="1:4" ht="13" thickBot="1" x14ac:dyDescent="0.3">
      <c r="A3946" s="9">
        <f ca="1"/>
        <v>40836</v>
      </c>
      <c r="B3946" s="6">
        <v>57.32</v>
      </c>
      <c r="C3946" s="6"/>
      <c r="D3946" s="6"/>
    </row>
    <row r="3947" spans="1:4" ht="13" thickBot="1" x14ac:dyDescent="0.3">
      <c r="A3947" s="9">
        <f ca="1"/>
        <v>40837</v>
      </c>
      <c r="B3947" s="6">
        <v>58.38</v>
      </c>
      <c r="C3947" s="6"/>
      <c r="D3947" s="6"/>
    </row>
    <row r="3948" spans="1:4" ht="13" thickBot="1" x14ac:dyDescent="0.3">
      <c r="A3948" s="9">
        <f ca="1"/>
        <v>40838</v>
      </c>
      <c r="B3948" s="5">
        <f t="shared" ref="B3948:B3949" si="563">B3947</f>
        <v>58.38</v>
      </c>
      <c r="C3948" s="6"/>
      <c r="D3948" s="6"/>
    </row>
    <row r="3949" spans="1:4" ht="13" thickBot="1" x14ac:dyDescent="0.3">
      <c r="A3949" s="9">
        <f ca="1"/>
        <v>40839</v>
      </c>
      <c r="B3949" s="5">
        <f t="shared" si="563"/>
        <v>58.38</v>
      </c>
      <c r="C3949" s="6"/>
      <c r="D3949" s="6"/>
    </row>
    <row r="3950" spans="1:4" ht="13" thickBot="1" x14ac:dyDescent="0.3">
      <c r="A3950" s="9">
        <f ca="1"/>
        <v>40840</v>
      </c>
      <c r="B3950" s="6">
        <v>58.47</v>
      </c>
      <c r="C3950" s="6"/>
      <c r="D3950" s="6"/>
    </row>
    <row r="3951" spans="1:4" ht="13" thickBot="1" x14ac:dyDescent="0.3">
      <c r="A3951" s="9">
        <f ca="1"/>
        <v>40841</v>
      </c>
      <c r="B3951" s="6">
        <v>59.67</v>
      </c>
      <c r="C3951" s="6"/>
      <c r="D3951" s="6"/>
    </row>
    <row r="3952" spans="1:4" ht="13" thickBot="1" x14ac:dyDescent="0.3">
      <c r="A3952" s="9">
        <f ca="1"/>
        <v>40842</v>
      </c>
      <c r="B3952" s="6">
        <v>61</v>
      </c>
      <c r="C3952" s="6"/>
      <c r="D3952" s="6"/>
    </row>
    <row r="3953" spans="1:4" ht="13" thickBot="1" x14ac:dyDescent="0.3">
      <c r="A3953" s="9">
        <f ca="1"/>
        <v>40843</v>
      </c>
      <c r="B3953" s="6">
        <v>61.89</v>
      </c>
      <c r="C3953" s="6"/>
      <c r="D3953" s="6"/>
    </row>
    <row r="3954" spans="1:4" ht="13" thickBot="1" x14ac:dyDescent="0.3">
      <c r="A3954" s="9">
        <f ca="1"/>
        <v>40844</v>
      </c>
      <c r="B3954" s="6">
        <v>62.08</v>
      </c>
      <c r="C3954" s="6"/>
      <c r="D3954" s="6"/>
    </row>
    <row r="3955" spans="1:4" ht="13" thickBot="1" x14ac:dyDescent="0.3">
      <c r="A3955" s="9">
        <f ca="1"/>
        <v>40845</v>
      </c>
      <c r="B3955" s="5">
        <f t="shared" ref="B3955:B3956" si="564">B3954</f>
        <v>62.08</v>
      </c>
      <c r="C3955" s="6"/>
      <c r="D3955" s="6"/>
    </row>
    <row r="3956" spans="1:4" ht="13" thickBot="1" x14ac:dyDescent="0.3">
      <c r="A3956" s="9">
        <f ca="1"/>
        <v>40846</v>
      </c>
      <c r="B3956" s="5">
        <f t="shared" si="564"/>
        <v>62.08</v>
      </c>
      <c r="C3956" s="6"/>
      <c r="D3956" s="6"/>
    </row>
    <row r="3957" spans="1:4" ht="13" thickBot="1" x14ac:dyDescent="0.3">
      <c r="A3957" s="9">
        <f ca="1"/>
        <v>40847</v>
      </c>
      <c r="B3957" s="6">
        <v>61.22</v>
      </c>
      <c r="C3957" s="6"/>
      <c r="D3957" s="6"/>
    </row>
    <row r="3958" spans="1:4" ht="13" thickBot="1" x14ac:dyDescent="0.3">
      <c r="A3958" s="9">
        <f ca="1"/>
        <v>40848</v>
      </c>
      <c r="B3958" s="6">
        <v>58.29</v>
      </c>
      <c r="C3958" s="6"/>
      <c r="D3958" s="6"/>
    </row>
    <row r="3959" spans="1:4" ht="13" thickBot="1" x14ac:dyDescent="0.3">
      <c r="A3959" s="9">
        <f ca="1"/>
        <v>40849</v>
      </c>
      <c r="B3959" s="6">
        <v>59.71</v>
      </c>
      <c r="C3959" s="6"/>
      <c r="D3959" s="6"/>
    </row>
    <row r="3960" spans="1:4" ht="13" thickBot="1" x14ac:dyDescent="0.3">
      <c r="A3960" s="9">
        <f ca="1"/>
        <v>40850</v>
      </c>
      <c r="B3960" s="6">
        <v>60.85</v>
      </c>
      <c r="C3960" s="6"/>
      <c r="D3960" s="6"/>
    </row>
    <row r="3961" spans="1:4" ht="13" thickBot="1" x14ac:dyDescent="0.3">
      <c r="A3961" s="9">
        <f ca="1"/>
        <v>40851</v>
      </c>
      <c r="B3961" s="6">
        <v>60.86</v>
      </c>
      <c r="C3961" s="6"/>
      <c r="D3961" s="6"/>
    </row>
    <row r="3962" spans="1:4" ht="13" thickBot="1" x14ac:dyDescent="0.3">
      <c r="A3962" s="9">
        <f ca="1"/>
        <v>40852</v>
      </c>
      <c r="B3962" s="5">
        <f t="shared" ref="B3962:B3963" si="565">B3961</f>
        <v>60.86</v>
      </c>
      <c r="C3962" s="6"/>
      <c r="D3962" s="6"/>
    </row>
    <row r="3963" spans="1:4" ht="13" thickBot="1" x14ac:dyDescent="0.3">
      <c r="A3963" s="9">
        <f ca="1"/>
        <v>40853</v>
      </c>
      <c r="B3963" s="5">
        <f t="shared" si="565"/>
        <v>60.86</v>
      </c>
      <c r="C3963" s="6"/>
      <c r="D3963" s="6"/>
    </row>
    <row r="3964" spans="1:4" ht="13" thickBot="1" x14ac:dyDescent="0.3">
      <c r="A3964" s="9">
        <f ca="1"/>
        <v>40854</v>
      </c>
      <c r="B3964" s="6">
        <v>60.48</v>
      </c>
      <c r="C3964" s="6"/>
      <c r="D3964" s="6"/>
    </row>
    <row r="3965" spans="1:4" ht="13" thickBot="1" x14ac:dyDescent="0.3">
      <c r="A3965" s="9">
        <f ca="1"/>
        <v>40855</v>
      </c>
      <c r="B3965" s="6">
        <v>61.72</v>
      </c>
      <c r="C3965" s="6"/>
      <c r="D3965" s="6"/>
    </row>
    <row r="3966" spans="1:4" ht="13" thickBot="1" x14ac:dyDescent="0.3">
      <c r="A3966" s="9">
        <f ca="1"/>
        <v>40856</v>
      </c>
      <c r="B3966" s="6">
        <v>59.58</v>
      </c>
      <c r="C3966" s="6"/>
      <c r="D3966" s="6"/>
    </row>
    <row r="3967" spans="1:4" ht="13" thickBot="1" x14ac:dyDescent="0.3">
      <c r="A3967" s="9">
        <f ca="1"/>
        <v>40857</v>
      </c>
      <c r="B3967" s="6">
        <v>59.61</v>
      </c>
      <c r="C3967" s="6"/>
      <c r="D3967" s="6"/>
    </row>
    <row r="3968" spans="1:4" ht="13" thickBot="1" x14ac:dyDescent="0.3">
      <c r="A3968" s="9">
        <f ca="1"/>
        <v>40858</v>
      </c>
      <c r="B3968" s="6">
        <v>60.8</v>
      </c>
      <c r="C3968" s="6"/>
      <c r="D3968" s="6"/>
    </row>
    <row r="3969" spans="1:4" ht="13" thickBot="1" x14ac:dyDescent="0.3">
      <c r="A3969" s="9">
        <f ca="1"/>
        <v>40859</v>
      </c>
      <c r="B3969" s="5">
        <f t="shared" ref="B3969:B3970" si="566">B3968</f>
        <v>60.8</v>
      </c>
      <c r="C3969" s="6"/>
      <c r="D3969" s="6"/>
    </row>
    <row r="3970" spans="1:4" ht="13" thickBot="1" x14ac:dyDescent="0.3">
      <c r="A3970" s="9">
        <f ca="1"/>
        <v>40860</v>
      </c>
      <c r="B3970" s="5">
        <f t="shared" si="566"/>
        <v>60.8</v>
      </c>
      <c r="C3970" s="6"/>
      <c r="D3970" s="6"/>
    </row>
    <row r="3971" spans="1:4" ht="13" thickBot="1" x14ac:dyDescent="0.3">
      <c r="A3971" s="9">
        <f ca="1"/>
        <v>40861</v>
      </c>
      <c r="B3971" s="6">
        <v>60.02</v>
      </c>
      <c r="C3971" s="6"/>
      <c r="D3971" s="6"/>
    </row>
    <row r="3972" spans="1:4" ht="13" thickBot="1" x14ac:dyDescent="0.3">
      <c r="A3972" s="9">
        <f ca="1"/>
        <v>40862</v>
      </c>
      <c r="B3972" s="6">
        <v>59.8</v>
      </c>
      <c r="C3972" s="6"/>
      <c r="D3972" s="6"/>
    </row>
    <row r="3973" spans="1:4" ht="13" thickBot="1" x14ac:dyDescent="0.3">
      <c r="A3973" s="9">
        <f ca="1"/>
        <v>40863</v>
      </c>
      <c r="B3973" s="6">
        <v>59.42</v>
      </c>
      <c r="C3973" s="6"/>
      <c r="D3973" s="6"/>
    </row>
    <row r="3974" spans="1:4" ht="13" thickBot="1" x14ac:dyDescent="0.3">
      <c r="A3974" s="9">
        <f ca="1"/>
        <v>40864</v>
      </c>
      <c r="B3974" s="6">
        <v>59.61</v>
      </c>
      <c r="C3974" s="6"/>
      <c r="D3974" s="6"/>
    </row>
    <row r="3975" spans="1:4" ht="13" thickBot="1" x14ac:dyDescent="0.3">
      <c r="A3975" s="9">
        <f ca="1"/>
        <v>40865</v>
      </c>
      <c r="B3975" s="6">
        <v>59.27</v>
      </c>
      <c r="C3975" s="6"/>
      <c r="D3975" s="6"/>
    </row>
    <row r="3976" spans="1:4" ht="13" thickBot="1" x14ac:dyDescent="0.3">
      <c r="A3976" s="9">
        <f ca="1"/>
        <v>40866</v>
      </c>
      <c r="B3976" s="5">
        <f t="shared" ref="B3976:B3977" si="567">B3975</f>
        <v>59.27</v>
      </c>
      <c r="C3976" s="6"/>
      <c r="D3976" s="6"/>
    </row>
    <row r="3977" spans="1:4" ht="13" thickBot="1" x14ac:dyDescent="0.3">
      <c r="A3977" s="9">
        <f ca="1"/>
        <v>40867</v>
      </c>
      <c r="B3977" s="5">
        <f t="shared" si="567"/>
        <v>59.27</v>
      </c>
      <c r="C3977" s="6"/>
      <c r="D3977" s="6"/>
    </row>
    <row r="3978" spans="1:4" ht="13" thickBot="1" x14ac:dyDescent="0.3">
      <c r="A3978" s="9">
        <f ca="1"/>
        <v>40868</v>
      </c>
      <c r="B3978" s="6">
        <v>58.05</v>
      </c>
      <c r="C3978" s="6"/>
      <c r="D3978" s="6"/>
    </row>
    <row r="3979" spans="1:4" ht="13" thickBot="1" x14ac:dyDescent="0.3">
      <c r="A3979" s="9">
        <f ca="1"/>
        <v>40869</v>
      </c>
      <c r="B3979" s="6">
        <v>57.52</v>
      </c>
      <c r="C3979" s="6"/>
      <c r="D3979" s="6"/>
    </row>
    <row r="3980" spans="1:4" ht="13" thickBot="1" x14ac:dyDescent="0.3">
      <c r="A3980" s="9">
        <f ca="1"/>
        <v>40870</v>
      </c>
      <c r="B3980" s="6">
        <v>57.18</v>
      </c>
      <c r="C3980" s="6"/>
      <c r="D3980" s="6"/>
    </row>
    <row r="3981" spans="1:4" ht="13" thickBot="1" x14ac:dyDescent="0.3">
      <c r="A3981" s="9">
        <f ca="1"/>
        <v>40871</v>
      </c>
      <c r="B3981" s="5">
        <f>B3980</f>
        <v>57.18</v>
      </c>
      <c r="C3981" s="6"/>
      <c r="D3981" s="6"/>
    </row>
    <row r="3982" spans="1:4" ht="13" thickBot="1" x14ac:dyDescent="0.3">
      <c r="A3982" s="9">
        <f ca="1"/>
        <v>40872</v>
      </c>
      <c r="B3982" s="6">
        <v>55.14</v>
      </c>
      <c r="C3982" s="6"/>
      <c r="D3982" s="6"/>
    </row>
    <row r="3983" spans="1:4" ht="13" thickBot="1" x14ac:dyDescent="0.3">
      <c r="A3983" s="9">
        <f ca="1"/>
        <v>40873</v>
      </c>
      <c r="B3983" s="5">
        <f t="shared" ref="B3983:B3984" si="568">B3982</f>
        <v>55.14</v>
      </c>
      <c r="C3983" s="6"/>
      <c r="D3983" s="6"/>
    </row>
    <row r="3984" spans="1:4" ht="13" thickBot="1" x14ac:dyDescent="0.3">
      <c r="A3984" s="9">
        <f ca="1"/>
        <v>40874</v>
      </c>
      <c r="B3984" s="5">
        <f t="shared" si="568"/>
        <v>55.14</v>
      </c>
      <c r="C3984" s="6"/>
      <c r="D3984" s="6"/>
    </row>
    <row r="3985" spans="1:4" ht="13" thickBot="1" x14ac:dyDescent="0.3">
      <c r="A3985" s="9">
        <f ca="1"/>
        <v>40875</v>
      </c>
      <c r="B3985" s="6">
        <v>56.95</v>
      </c>
      <c r="C3985" s="6"/>
      <c r="D3985" s="6"/>
    </row>
    <row r="3986" spans="1:4" ht="13" thickBot="1" x14ac:dyDescent="0.3">
      <c r="A3986" s="9">
        <f ca="1"/>
        <v>40876</v>
      </c>
      <c r="B3986" s="6">
        <v>57.05</v>
      </c>
      <c r="C3986" s="6"/>
      <c r="D3986" s="6"/>
    </row>
    <row r="3987" spans="1:4" ht="13" thickBot="1" x14ac:dyDescent="0.3">
      <c r="A3987" s="9">
        <f ca="1"/>
        <v>40877</v>
      </c>
      <c r="B3987" s="6">
        <v>59.33</v>
      </c>
      <c r="C3987" s="6"/>
      <c r="D3987" s="6"/>
    </row>
    <row r="3988" spans="1:4" ht="13" thickBot="1" x14ac:dyDescent="0.3">
      <c r="A3988" s="9">
        <f ca="1"/>
        <v>40878</v>
      </c>
      <c r="B3988" s="6">
        <v>60.15</v>
      </c>
      <c r="C3988" s="6"/>
      <c r="D3988" s="6"/>
    </row>
    <row r="3989" spans="1:4" ht="13" thickBot="1" x14ac:dyDescent="0.3">
      <c r="A3989" s="9">
        <f ca="1"/>
        <v>40879</v>
      </c>
      <c r="B3989" s="6">
        <v>60.38</v>
      </c>
      <c r="C3989" s="6"/>
      <c r="D3989" s="6"/>
    </row>
    <row r="3990" spans="1:4" ht="13" thickBot="1" x14ac:dyDescent="0.3">
      <c r="A3990" s="9">
        <f ca="1"/>
        <v>40880</v>
      </c>
      <c r="B3990" s="5">
        <f t="shared" ref="B3990:B3991" si="569">B3989</f>
        <v>60.38</v>
      </c>
      <c r="C3990" s="6"/>
      <c r="D3990" s="6"/>
    </row>
    <row r="3991" spans="1:4" ht="13" thickBot="1" x14ac:dyDescent="0.3">
      <c r="A3991" s="9">
        <f ca="1"/>
        <v>40881</v>
      </c>
      <c r="B3991" s="5">
        <f t="shared" si="569"/>
        <v>60.38</v>
      </c>
      <c r="C3991" s="6"/>
      <c r="D3991" s="6"/>
    </row>
    <row r="3992" spans="1:4" ht="13" thickBot="1" x14ac:dyDescent="0.3">
      <c r="A3992" s="9">
        <f ca="1"/>
        <v>40882</v>
      </c>
      <c r="B3992" s="6">
        <v>59.09</v>
      </c>
      <c r="C3992" s="6"/>
      <c r="D3992" s="6"/>
    </row>
    <row r="3993" spans="1:4" ht="13" thickBot="1" x14ac:dyDescent="0.3">
      <c r="A3993" s="9">
        <f ca="1"/>
        <v>40883</v>
      </c>
      <c r="B3993" s="6">
        <v>58.57</v>
      </c>
      <c r="C3993" s="6"/>
      <c r="D3993" s="6"/>
    </row>
    <row r="3994" spans="1:4" ht="13" thickBot="1" x14ac:dyDescent="0.3">
      <c r="A3994" s="9">
        <f ca="1"/>
        <v>40884</v>
      </c>
      <c r="B3994" s="6">
        <v>58.29</v>
      </c>
      <c r="C3994" s="6"/>
      <c r="D3994" s="6"/>
    </row>
    <row r="3995" spans="1:4" ht="13" thickBot="1" x14ac:dyDescent="0.3">
      <c r="A3995" s="9">
        <f ca="1"/>
        <v>40885</v>
      </c>
      <c r="B3995" s="6">
        <v>58.06</v>
      </c>
      <c r="C3995" s="6"/>
      <c r="D3995" s="6"/>
    </row>
    <row r="3996" spans="1:4" ht="13" thickBot="1" x14ac:dyDescent="0.3">
      <c r="A3996" s="9">
        <f ca="1"/>
        <v>40886</v>
      </c>
      <c r="B3996" s="6">
        <v>58.04</v>
      </c>
      <c r="C3996" s="6"/>
      <c r="D3996" s="6"/>
    </row>
    <row r="3997" spans="1:4" ht="13" thickBot="1" x14ac:dyDescent="0.3">
      <c r="A3997" s="9">
        <f ca="1"/>
        <v>40887</v>
      </c>
      <c r="B3997" s="5">
        <f t="shared" ref="B3997:B3998" si="570">B3996</f>
        <v>58.04</v>
      </c>
      <c r="C3997" s="6"/>
      <c r="D3997" s="6"/>
    </row>
    <row r="3998" spans="1:4" ht="13" thickBot="1" x14ac:dyDescent="0.3">
      <c r="A3998" s="9">
        <f ca="1"/>
        <v>40888</v>
      </c>
      <c r="B3998" s="5">
        <f t="shared" si="570"/>
        <v>58.04</v>
      </c>
      <c r="C3998" s="6"/>
      <c r="D3998" s="6"/>
    </row>
    <row r="3999" spans="1:4" ht="13" thickBot="1" x14ac:dyDescent="0.3">
      <c r="A3999" s="9">
        <f ca="1"/>
        <v>40889</v>
      </c>
      <c r="B3999" s="6">
        <v>57.79</v>
      </c>
      <c r="C3999" s="6"/>
      <c r="D3999" s="6"/>
    </row>
    <row r="4000" spans="1:4" ht="13" thickBot="1" x14ac:dyDescent="0.3">
      <c r="A4000" s="9">
        <f ca="1"/>
        <v>40890</v>
      </c>
      <c r="B4000" s="6">
        <v>57.72</v>
      </c>
      <c r="C4000" s="6"/>
      <c r="D4000" s="6"/>
    </row>
    <row r="4001" spans="1:4" ht="13" thickBot="1" x14ac:dyDescent="0.3">
      <c r="A4001" s="9">
        <f ca="1"/>
        <v>40891</v>
      </c>
      <c r="B4001" s="6">
        <v>56.46</v>
      </c>
      <c r="C4001" s="6"/>
      <c r="D4001" s="6"/>
    </row>
    <row r="4002" spans="1:4" ht="13" thickBot="1" x14ac:dyDescent="0.3">
      <c r="A4002" s="9">
        <f ca="1"/>
        <v>40892</v>
      </c>
      <c r="B4002" s="6">
        <v>57.09</v>
      </c>
      <c r="C4002" s="6"/>
      <c r="D4002" s="6"/>
    </row>
    <row r="4003" spans="1:4" ht="13" thickBot="1" x14ac:dyDescent="0.3">
      <c r="A4003" s="9">
        <f ca="1"/>
        <v>40893</v>
      </c>
      <c r="B4003" s="6">
        <v>55.17</v>
      </c>
      <c r="C4003" s="6"/>
      <c r="D4003" s="6"/>
    </row>
    <row r="4004" spans="1:4" ht="13" thickBot="1" x14ac:dyDescent="0.3">
      <c r="A4004" s="9">
        <f ca="1"/>
        <v>40894</v>
      </c>
      <c r="B4004" s="5">
        <f t="shared" ref="B4004:B4005" si="571">B4003</f>
        <v>55.17</v>
      </c>
      <c r="C4004" s="6"/>
      <c r="D4004" s="6"/>
    </row>
    <row r="4005" spans="1:4" ht="13" thickBot="1" x14ac:dyDescent="0.3">
      <c r="A4005" s="9">
        <f ca="1"/>
        <v>40895</v>
      </c>
      <c r="B4005" s="5">
        <f t="shared" si="571"/>
        <v>55.17</v>
      </c>
      <c r="C4005" s="6"/>
      <c r="D4005" s="6"/>
    </row>
    <row r="4006" spans="1:4" ht="13" thickBot="1" x14ac:dyDescent="0.3">
      <c r="A4006" s="9">
        <f ca="1"/>
        <v>40896</v>
      </c>
      <c r="B4006" s="6">
        <v>55.06</v>
      </c>
      <c r="C4006" s="6"/>
      <c r="D4006" s="6"/>
    </row>
    <row r="4007" spans="1:4" ht="13" thickBot="1" x14ac:dyDescent="0.3">
      <c r="A4007" s="9">
        <f ca="1"/>
        <v>40897</v>
      </c>
      <c r="B4007" s="6">
        <v>55.66</v>
      </c>
      <c r="C4007" s="6"/>
      <c r="D4007" s="6"/>
    </row>
    <row r="4008" spans="1:4" ht="13" thickBot="1" x14ac:dyDescent="0.3">
      <c r="A4008" s="9">
        <f ca="1"/>
        <v>40898</v>
      </c>
      <c r="B4008" s="6">
        <v>52.71</v>
      </c>
      <c r="C4008" s="6"/>
      <c r="D4008" s="6"/>
    </row>
    <row r="4009" spans="1:4" ht="13" thickBot="1" x14ac:dyDescent="0.3">
      <c r="A4009" s="9">
        <f ca="1"/>
        <v>40899</v>
      </c>
      <c r="B4009" s="6">
        <v>53.04</v>
      </c>
      <c r="C4009" s="6"/>
      <c r="D4009" s="6"/>
    </row>
    <row r="4010" spans="1:4" ht="13" thickBot="1" x14ac:dyDescent="0.3">
      <c r="A4010" s="9">
        <f ca="1"/>
        <v>40900</v>
      </c>
      <c r="B4010" s="6">
        <v>52.55</v>
      </c>
      <c r="C4010" s="6"/>
      <c r="D4010" s="6"/>
    </row>
    <row r="4011" spans="1:4" ht="13" thickBot="1" x14ac:dyDescent="0.3">
      <c r="A4011" s="9">
        <f ca="1"/>
        <v>40901</v>
      </c>
      <c r="B4011" s="5">
        <f t="shared" ref="B4011:B4013" si="572">B4010</f>
        <v>52.55</v>
      </c>
      <c r="C4011" s="6"/>
      <c r="D4011" s="6"/>
    </row>
    <row r="4012" spans="1:4" ht="13" thickBot="1" x14ac:dyDescent="0.3">
      <c r="A4012" s="9">
        <f ca="1"/>
        <v>40902</v>
      </c>
      <c r="B4012" s="5">
        <f t="shared" si="572"/>
        <v>52.55</v>
      </c>
      <c r="C4012" s="6"/>
      <c r="D4012" s="6"/>
    </row>
    <row r="4013" spans="1:4" ht="13" thickBot="1" x14ac:dyDescent="0.3">
      <c r="A4013" s="9">
        <f ca="1"/>
        <v>40903</v>
      </c>
      <c r="B4013" s="5">
        <f t="shared" si="572"/>
        <v>52.55</v>
      </c>
      <c r="C4013" s="6"/>
      <c r="D4013" s="6"/>
    </row>
    <row r="4014" spans="1:4" ht="13" thickBot="1" x14ac:dyDescent="0.3">
      <c r="A4014" s="9">
        <f ca="1"/>
        <v>40904</v>
      </c>
      <c r="B4014" s="6">
        <v>53.59</v>
      </c>
      <c r="C4014" s="6"/>
      <c r="D4014" s="6"/>
    </row>
    <row r="4015" spans="1:4" ht="13" thickBot="1" x14ac:dyDescent="0.3">
      <c r="A4015" s="9">
        <f ca="1"/>
        <v>40905</v>
      </c>
      <c r="B4015" s="6">
        <v>52.81</v>
      </c>
      <c r="C4015" s="6"/>
      <c r="D4015" s="6"/>
    </row>
    <row r="4016" spans="1:4" ht="13" thickBot="1" x14ac:dyDescent="0.3">
      <c r="A4016" s="9">
        <f ca="1"/>
        <v>40906</v>
      </c>
      <c r="B4016" s="6">
        <v>52.39</v>
      </c>
      <c r="C4016" s="6"/>
      <c r="D4016" s="6"/>
    </row>
    <row r="4017" spans="1:4" ht="13" thickBot="1" x14ac:dyDescent="0.3">
      <c r="A4017" s="9">
        <f ca="1"/>
        <v>40907</v>
      </c>
      <c r="B4017" s="6">
        <v>52.99</v>
      </c>
      <c r="C4017" s="6"/>
      <c r="D4017" s="6"/>
    </row>
    <row r="4018" spans="1:4" ht="13" thickBot="1" x14ac:dyDescent="0.3">
      <c r="A4018" s="9">
        <f ca="1"/>
        <v>40908</v>
      </c>
      <c r="B4018" s="5">
        <f t="shared" ref="B4018:B4020" si="573">B4017</f>
        <v>52.99</v>
      </c>
      <c r="C4018" s="6"/>
      <c r="D4018" s="6"/>
    </row>
    <row r="4019" spans="1:4" ht="13" thickBot="1" x14ac:dyDescent="0.3">
      <c r="A4019" s="9">
        <f ca="1"/>
        <v>40909</v>
      </c>
      <c r="B4019" s="5">
        <f t="shared" si="573"/>
        <v>52.99</v>
      </c>
      <c r="C4019" s="6"/>
      <c r="D4019" s="6"/>
    </row>
    <row r="4020" spans="1:4" ht="13" thickBot="1" x14ac:dyDescent="0.3">
      <c r="A4020" s="9">
        <f ca="1"/>
        <v>40910</v>
      </c>
      <c r="B4020" s="5">
        <f t="shared" si="573"/>
        <v>52.99</v>
      </c>
      <c r="C4020" s="6"/>
      <c r="D4020" s="6"/>
    </row>
    <row r="4021" spans="1:4" ht="13" thickBot="1" x14ac:dyDescent="0.3">
      <c r="A4021" s="9">
        <f ca="1"/>
        <v>40911</v>
      </c>
      <c r="B4021" s="6">
        <v>54.28</v>
      </c>
      <c r="C4021" s="6"/>
      <c r="D4021" s="6"/>
    </row>
    <row r="4022" spans="1:4" ht="13" thickBot="1" x14ac:dyDescent="0.3">
      <c r="A4022" s="9">
        <f ca="1"/>
        <v>40912</v>
      </c>
      <c r="B4022" s="6">
        <v>54.67</v>
      </c>
      <c r="C4022" s="6"/>
      <c r="D4022" s="6"/>
    </row>
    <row r="4023" spans="1:4" ht="13" thickBot="1" x14ac:dyDescent="0.3">
      <c r="A4023" s="9">
        <f ca="1"/>
        <v>40913</v>
      </c>
      <c r="B4023" s="6">
        <v>53.91</v>
      </c>
      <c r="C4023" s="6"/>
      <c r="D4023" s="6"/>
    </row>
    <row r="4024" spans="1:4" ht="13" thickBot="1" x14ac:dyDescent="0.3">
      <c r="A4024" s="9">
        <f ca="1"/>
        <v>40914</v>
      </c>
      <c r="B4024" s="6">
        <v>53.76</v>
      </c>
      <c r="C4024" s="6"/>
      <c r="D4024" s="6"/>
    </row>
    <row r="4025" spans="1:4" ht="13" thickBot="1" x14ac:dyDescent="0.3">
      <c r="A4025" s="9">
        <f ca="1"/>
        <v>40915</v>
      </c>
      <c r="B4025" s="5">
        <f t="shared" ref="B4025:B4026" si="574">B4024</f>
        <v>53.76</v>
      </c>
      <c r="C4025" s="6"/>
      <c r="D4025" s="6"/>
    </row>
    <row r="4026" spans="1:4" ht="13" thickBot="1" x14ac:dyDescent="0.3">
      <c r="A4026" s="9">
        <f ca="1"/>
        <v>40916</v>
      </c>
      <c r="B4026" s="5">
        <f t="shared" si="574"/>
        <v>53.76</v>
      </c>
      <c r="C4026" s="6"/>
      <c r="D4026" s="6"/>
    </row>
    <row r="4027" spans="1:4" ht="13" thickBot="1" x14ac:dyDescent="0.3">
      <c r="A4027" s="9">
        <f ca="1"/>
        <v>40917</v>
      </c>
      <c r="B4027" s="6">
        <v>54.57</v>
      </c>
      <c r="C4027" s="6"/>
      <c r="D4027" s="6"/>
    </row>
    <row r="4028" spans="1:4" ht="13" thickBot="1" x14ac:dyDescent="0.3">
      <c r="A4028" s="9">
        <f ca="1"/>
        <v>40918</v>
      </c>
      <c r="B4028" s="6">
        <v>53.42</v>
      </c>
      <c r="C4028" s="6"/>
      <c r="D4028" s="6"/>
    </row>
    <row r="4029" spans="1:4" ht="13" thickBot="1" x14ac:dyDescent="0.3">
      <c r="A4029" s="9">
        <f ca="1"/>
        <v>40919</v>
      </c>
      <c r="B4029" s="6">
        <v>52.93</v>
      </c>
      <c r="C4029" s="6"/>
      <c r="D4029" s="6"/>
    </row>
    <row r="4030" spans="1:4" ht="13" thickBot="1" x14ac:dyDescent="0.3">
      <c r="A4030" s="9">
        <f ca="1"/>
        <v>40920</v>
      </c>
      <c r="B4030" s="6">
        <v>53.22</v>
      </c>
      <c r="C4030" s="6"/>
      <c r="D4030" s="6"/>
    </row>
    <row r="4031" spans="1:4" ht="13" thickBot="1" x14ac:dyDescent="0.3">
      <c r="A4031" s="9">
        <f ca="1"/>
        <v>40921</v>
      </c>
      <c r="B4031" s="6">
        <v>54.64</v>
      </c>
      <c r="C4031" s="6"/>
      <c r="D4031" s="6"/>
    </row>
    <row r="4032" spans="1:4" ht="13" thickBot="1" x14ac:dyDescent="0.3">
      <c r="A4032" s="9">
        <f ca="1"/>
        <v>40922</v>
      </c>
      <c r="B4032" s="5">
        <f t="shared" ref="B4032:B4034" si="575">B4031</f>
        <v>54.64</v>
      </c>
      <c r="C4032" s="6"/>
      <c r="D4032" s="6"/>
    </row>
    <row r="4033" spans="1:4" ht="13" thickBot="1" x14ac:dyDescent="0.3">
      <c r="A4033" s="9">
        <f ca="1"/>
        <v>40923</v>
      </c>
      <c r="B4033" s="5">
        <f t="shared" si="575"/>
        <v>54.64</v>
      </c>
      <c r="C4033" s="6"/>
      <c r="D4033" s="6"/>
    </row>
    <row r="4034" spans="1:4" ht="13" thickBot="1" x14ac:dyDescent="0.3">
      <c r="A4034" s="9">
        <f ca="1"/>
        <v>40924</v>
      </c>
      <c r="B4034" s="5">
        <f t="shared" si="575"/>
        <v>54.64</v>
      </c>
      <c r="C4034" s="6"/>
      <c r="D4034" s="6"/>
    </row>
    <row r="4035" spans="1:4" ht="13" thickBot="1" x14ac:dyDescent="0.3">
      <c r="A4035" s="9">
        <f ca="1"/>
        <v>40925</v>
      </c>
      <c r="B4035" s="6">
        <v>55.73</v>
      </c>
      <c r="C4035" s="6"/>
      <c r="D4035" s="6"/>
    </row>
    <row r="4036" spans="1:4" ht="13" thickBot="1" x14ac:dyDescent="0.3">
      <c r="A4036" s="9">
        <f ca="1"/>
        <v>40926</v>
      </c>
      <c r="B4036" s="6">
        <v>56.71</v>
      </c>
      <c r="C4036" s="6"/>
      <c r="D4036" s="6"/>
    </row>
    <row r="4037" spans="1:4" ht="13" thickBot="1" x14ac:dyDescent="0.3">
      <c r="A4037" s="9">
        <f ca="1"/>
        <v>40927</v>
      </c>
      <c r="B4037" s="6">
        <v>56.61</v>
      </c>
      <c r="C4037" s="6"/>
      <c r="D4037" s="6"/>
    </row>
    <row r="4038" spans="1:4" ht="13" thickBot="1" x14ac:dyDescent="0.3">
      <c r="A4038" s="9">
        <f ca="1"/>
        <v>40928</v>
      </c>
      <c r="B4038" s="6">
        <v>56.91</v>
      </c>
      <c r="C4038" s="6"/>
      <c r="D4038" s="6"/>
    </row>
    <row r="4039" spans="1:4" ht="13" thickBot="1" x14ac:dyDescent="0.3">
      <c r="A4039" s="9">
        <f ca="1"/>
        <v>40929</v>
      </c>
      <c r="B4039" s="5">
        <f t="shared" ref="B4039:B4040" si="576">B4038</f>
        <v>56.91</v>
      </c>
      <c r="C4039" s="6"/>
      <c r="D4039" s="6"/>
    </row>
    <row r="4040" spans="1:4" ht="13" thickBot="1" x14ac:dyDescent="0.3">
      <c r="A4040" s="9">
        <f ca="1"/>
        <v>40930</v>
      </c>
      <c r="B4040" s="5">
        <f t="shared" si="576"/>
        <v>56.91</v>
      </c>
      <c r="C4040" s="6"/>
      <c r="D4040" s="6"/>
    </row>
    <row r="4041" spans="1:4" ht="13" thickBot="1" x14ac:dyDescent="0.3">
      <c r="A4041" s="9">
        <f ca="1"/>
        <v>40931</v>
      </c>
      <c r="B4041" s="6">
        <v>57.53</v>
      </c>
      <c r="C4041" s="6"/>
      <c r="D4041" s="6"/>
    </row>
    <row r="4042" spans="1:4" ht="13" thickBot="1" x14ac:dyDescent="0.3">
      <c r="A4042" s="9">
        <f ca="1"/>
        <v>40932</v>
      </c>
      <c r="B4042" s="6">
        <v>57.58</v>
      </c>
      <c r="C4042" s="6"/>
      <c r="D4042" s="6"/>
    </row>
    <row r="4043" spans="1:4" ht="13" thickBot="1" x14ac:dyDescent="0.3">
      <c r="A4043" s="9">
        <f ca="1"/>
        <v>40933</v>
      </c>
      <c r="B4043" s="6">
        <v>57.76</v>
      </c>
      <c r="C4043" s="6"/>
      <c r="D4043" s="6"/>
    </row>
    <row r="4044" spans="1:4" ht="13" thickBot="1" x14ac:dyDescent="0.3">
      <c r="A4044" s="9">
        <f ca="1"/>
        <v>40934</v>
      </c>
      <c r="B4044" s="6">
        <v>59.74</v>
      </c>
      <c r="C4044" s="6"/>
      <c r="D4044" s="6"/>
    </row>
    <row r="4045" spans="1:4" ht="13" thickBot="1" x14ac:dyDescent="0.3">
      <c r="A4045" s="9">
        <f ca="1"/>
        <v>40935</v>
      </c>
      <c r="B4045" s="6">
        <v>59.82</v>
      </c>
      <c r="C4045" s="6"/>
      <c r="D4045" s="6"/>
    </row>
    <row r="4046" spans="1:4" ht="13" thickBot="1" x14ac:dyDescent="0.3">
      <c r="A4046" s="9">
        <f ca="1"/>
        <v>40936</v>
      </c>
      <c r="B4046" s="5">
        <f t="shared" ref="B4046:B4047" si="577">B4045</f>
        <v>59.82</v>
      </c>
      <c r="C4046" s="6"/>
      <c r="D4046" s="6"/>
    </row>
    <row r="4047" spans="1:4" ht="13" thickBot="1" x14ac:dyDescent="0.3">
      <c r="A4047" s="9">
        <f ca="1"/>
        <v>40937</v>
      </c>
      <c r="B4047" s="5">
        <f t="shared" si="577"/>
        <v>59.82</v>
      </c>
      <c r="C4047" s="6"/>
      <c r="D4047" s="6"/>
    </row>
    <row r="4048" spans="1:4" ht="13" thickBot="1" x14ac:dyDescent="0.3">
      <c r="A4048" s="9">
        <f ca="1"/>
        <v>40938</v>
      </c>
      <c r="B4048" s="6">
        <v>59.87</v>
      </c>
      <c r="C4048" s="6"/>
      <c r="D4048" s="6"/>
    </row>
    <row r="4049" spans="1:4" ht="13" thickBot="1" x14ac:dyDescent="0.3">
      <c r="A4049" s="9">
        <f ca="1"/>
        <v>40939</v>
      </c>
      <c r="B4049" s="6">
        <v>60.76</v>
      </c>
      <c r="C4049" s="6"/>
      <c r="D4049" s="6"/>
    </row>
    <row r="4050" spans="1:4" ht="13" thickBot="1" x14ac:dyDescent="0.3">
      <c r="A4050" s="9">
        <f ca="1"/>
        <v>40940</v>
      </c>
      <c r="B4050" s="6">
        <v>61.39</v>
      </c>
      <c r="C4050" s="6"/>
      <c r="D4050" s="6"/>
    </row>
    <row r="4051" spans="1:4" ht="13" thickBot="1" x14ac:dyDescent="0.3">
      <c r="A4051" s="9">
        <f ca="1"/>
        <v>40941</v>
      </c>
      <c r="B4051" s="6">
        <v>62.06</v>
      </c>
      <c r="C4051" s="6"/>
      <c r="D4051" s="6"/>
    </row>
    <row r="4052" spans="1:4" ht="13" thickBot="1" x14ac:dyDescent="0.3">
      <c r="A4052" s="9">
        <f ca="1"/>
        <v>40942</v>
      </c>
      <c r="B4052" s="6">
        <v>63.02</v>
      </c>
      <c r="C4052" s="6"/>
      <c r="D4052" s="6"/>
    </row>
    <row r="4053" spans="1:4" ht="13" thickBot="1" x14ac:dyDescent="0.3">
      <c r="A4053" s="9">
        <f ca="1"/>
        <v>40943</v>
      </c>
      <c r="B4053" s="5">
        <f t="shared" ref="B4053:B4054" si="578">B4052</f>
        <v>63.02</v>
      </c>
      <c r="C4053" s="6"/>
      <c r="D4053" s="6"/>
    </row>
    <row r="4054" spans="1:4" ht="13" thickBot="1" x14ac:dyDescent="0.3">
      <c r="A4054" s="9">
        <f ca="1"/>
        <v>40944</v>
      </c>
      <c r="B4054" s="5">
        <f t="shared" si="578"/>
        <v>63.02</v>
      </c>
      <c r="C4054" s="6"/>
      <c r="D4054" s="6"/>
    </row>
    <row r="4055" spans="1:4" ht="13" thickBot="1" x14ac:dyDescent="0.3">
      <c r="A4055" s="9">
        <f ca="1"/>
        <v>40945</v>
      </c>
      <c r="B4055" s="6">
        <v>62.92</v>
      </c>
      <c r="C4055" s="6"/>
      <c r="D4055" s="6"/>
    </row>
    <row r="4056" spans="1:4" ht="13" thickBot="1" x14ac:dyDescent="0.3">
      <c r="A4056" s="9">
        <f ca="1"/>
        <v>40946</v>
      </c>
      <c r="B4056" s="6">
        <v>63.49</v>
      </c>
      <c r="C4056" s="6"/>
      <c r="D4056" s="6"/>
    </row>
    <row r="4057" spans="1:4" ht="13" thickBot="1" x14ac:dyDescent="0.3">
      <c r="A4057" s="9">
        <f ca="1"/>
        <v>40947</v>
      </c>
      <c r="B4057" s="6">
        <v>63.08</v>
      </c>
      <c r="C4057" s="6"/>
      <c r="D4057" s="6"/>
    </row>
    <row r="4058" spans="1:4" ht="13" thickBot="1" x14ac:dyDescent="0.3">
      <c r="A4058" s="9">
        <f ca="1"/>
        <v>40948</v>
      </c>
      <c r="B4058" s="6">
        <v>63.4</v>
      </c>
      <c r="C4058" s="6"/>
      <c r="D4058" s="6"/>
    </row>
    <row r="4059" spans="1:4" ht="13" thickBot="1" x14ac:dyDescent="0.3">
      <c r="A4059" s="9">
        <f ca="1"/>
        <v>40949</v>
      </c>
      <c r="B4059" s="6">
        <v>62.78</v>
      </c>
      <c r="C4059" s="6"/>
      <c r="D4059" s="6"/>
    </row>
    <row r="4060" spans="1:4" ht="13" thickBot="1" x14ac:dyDescent="0.3">
      <c r="A4060" s="9">
        <f ca="1"/>
        <v>40950</v>
      </c>
      <c r="B4060" s="5">
        <f t="shared" ref="B4060:B4061" si="579">B4059</f>
        <v>62.78</v>
      </c>
      <c r="C4060" s="6"/>
      <c r="D4060" s="6"/>
    </row>
    <row r="4061" spans="1:4" ht="13" thickBot="1" x14ac:dyDescent="0.3">
      <c r="A4061" s="9">
        <f ca="1"/>
        <v>40951</v>
      </c>
      <c r="B4061" s="5">
        <f t="shared" si="579"/>
        <v>62.78</v>
      </c>
      <c r="C4061" s="6"/>
      <c r="D4061" s="6"/>
    </row>
    <row r="4062" spans="1:4" ht="13" thickBot="1" x14ac:dyDescent="0.3">
      <c r="A4062" s="9">
        <f ca="1"/>
        <v>40952</v>
      </c>
      <c r="B4062" s="6">
        <v>63.26</v>
      </c>
      <c r="C4062" s="6"/>
      <c r="D4062" s="6"/>
    </row>
    <row r="4063" spans="1:4" ht="13" thickBot="1" x14ac:dyDescent="0.3">
      <c r="A4063" s="9">
        <f ca="1"/>
        <v>40953</v>
      </c>
      <c r="B4063" s="6">
        <v>63.67</v>
      </c>
      <c r="C4063" s="6"/>
      <c r="D4063" s="6"/>
    </row>
    <row r="4064" spans="1:4" ht="13" thickBot="1" x14ac:dyDescent="0.3">
      <c r="A4064" s="9">
        <f ca="1"/>
        <v>40954</v>
      </c>
      <c r="B4064" s="6">
        <v>63.86</v>
      </c>
      <c r="C4064" s="6"/>
      <c r="D4064" s="6"/>
    </row>
    <row r="4065" spans="1:4" ht="13" thickBot="1" x14ac:dyDescent="0.3">
      <c r="A4065" s="9">
        <f ca="1"/>
        <v>40955</v>
      </c>
      <c r="B4065" s="6">
        <v>63.58</v>
      </c>
      <c r="C4065" s="6"/>
      <c r="D4065" s="6"/>
    </row>
    <row r="4066" spans="1:4" ht="13" thickBot="1" x14ac:dyDescent="0.3">
      <c r="A4066" s="9">
        <f ca="1"/>
        <v>40956</v>
      </c>
      <c r="B4066" s="6">
        <v>64.94</v>
      </c>
      <c r="C4066" s="6"/>
      <c r="D4066" s="6"/>
    </row>
    <row r="4067" spans="1:4" ht="13" thickBot="1" x14ac:dyDescent="0.3">
      <c r="A4067" s="9">
        <f ca="1"/>
        <v>40957</v>
      </c>
      <c r="B4067" s="5">
        <f t="shared" ref="B4067:B4069" si="580">B4066</f>
        <v>64.94</v>
      </c>
      <c r="C4067" s="6"/>
      <c r="D4067" s="6"/>
    </row>
    <row r="4068" spans="1:4" ht="13" thickBot="1" x14ac:dyDescent="0.3">
      <c r="A4068" s="9">
        <f ca="1"/>
        <v>40958</v>
      </c>
      <c r="B4068" s="5">
        <f t="shared" si="580"/>
        <v>64.94</v>
      </c>
      <c r="C4068" s="6"/>
      <c r="D4068" s="6"/>
    </row>
    <row r="4069" spans="1:4" ht="13" thickBot="1" x14ac:dyDescent="0.3">
      <c r="A4069" s="9">
        <f ca="1"/>
        <v>40959</v>
      </c>
      <c r="B4069" s="5">
        <f t="shared" si="580"/>
        <v>64.94</v>
      </c>
      <c r="C4069" s="6"/>
      <c r="D4069" s="6"/>
    </row>
    <row r="4070" spans="1:4" ht="13" thickBot="1" x14ac:dyDescent="0.3">
      <c r="A4070" s="9">
        <f ca="1"/>
        <v>40960</v>
      </c>
      <c r="B4070" s="6">
        <v>65.59</v>
      </c>
      <c r="C4070" s="6"/>
      <c r="D4070" s="6"/>
    </row>
    <row r="4071" spans="1:4" ht="13" thickBot="1" x14ac:dyDescent="0.3">
      <c r="A4071" s="9">
        <f ca="1"/>
        <v>40961</v>
      </c>
      <c r="B4071" s="6">
        <v>65.38</v>
      </c>
      <c r="C4071" s="6"/>
      <c r="D4071" s="6"/>
    </row>
    <row r="4072" spans="1:4" ht="13" thickBot="1" x14ac:dyDescent="0.3">
      <c r="A4072" s="9">
        <f ca="1"/>
        <v>40962</v>
      </c>
      <c r="B4072" s="6">
        <v>66</v>
      </c>
      <c r="C4072" s="6"/>
      <c r="D4072" s="6"/>
    </row>
    <row r="4073" spans="1:4" ht="13" thickBot="1" x14ac:dyDescent="0.3">
      <c r="A4073" s="9">
        <f ca="1"/>
        <v>40963</v>
      </c>
      <c r="B4073" s="6">
        <v>67.75</v>
      </c>
      <c r="C4073" s="6"/>
      <c r="D4073" s="6"/>
    </row>
    <row r="4074" spans="1:4" ht="13" thickBot="1" x14ac:dyDescent="0.3">
      <c r="A4074" s="9">
        <f ca="1"/>
        <v>40964</v>
      </c>
      <c r="B4074" s="5">
        <f t="shared" ref="B4074:B4075" si="581">B4073</f>
        <v>67.75</v>
      </c>
      <c r="C4074" s="6"/>
      <c r="D4074" s="6"/>
    </row>
    <row r="4075" spans="1:4" ht="13" thickBot="1" x14ac:dyDescent="0.3">
      <c r="A4075" s="9">
        <f ca="1"/>
        <v>40965</v>
      </c>
      <c r="B4075" s="5">
        <f t="shared" si="581"/>
        <v>67.75</v>
      </c>
      <c r="C4075" s="6"/>
      <c r="D4075" s="6"/>
    </row>
    <row r="4076" spans="1:4" ht="13" thickBot="1" x14ac:dyDescent="0.3">
      <c r="A4076" s="9">
        <f ca="1"/>
        <v>40966</v>
      </c>
      <c r="B4076" s="6">
        <v>66.11</v>
      </c>
      <c r="C4076" s="6"/>
      <c r="D4076" s="6"/>
    </row>
    <row r="4077" spans="1:4" ht="13" thickBot="1" x14ac:dyDescent="0.3">
      <c r="A4077" s="9">
        <f ca="1"/>
        <v>40967</v>
      </c>
      <c r="B4077" s="6">
        <v>67.430000000000007</v>
      </c>
      <c r="C4077" s="6"/>
      <c r="D4077" s="6"/>
    </row>
    <row r="4078" spans="1:4" ht="13" thickBot="1" x14ac:dyDescent="0.3">
      <c r="A4078" s="9">
        <f ca="1"/>
        <v>40968</v>
      </c>
      <c r="B4078" s="6">
        <v>67.97</v>
      </c>
      <c r="C4078" s="6"/>
      <c r="D4078" s="6"/>
    </row>
    <row r="4079" spans="1:4" ht="13" thickBot="1" x14ac:dyDescent="0.3">
      <c r="A4079" s="9">
        <f ca="1"/>
        <v>40969</v>
      </c>
      <c r="B4079" s="6">
        <v>67.83</v>
      </c>
      <c r="C4079" s="6"/>
      <c r="D4079" s="6"/>
    </row>
    <row r="4080" spans="1:4" ht="13" thickBot="1" x14ac:dyDescent="0.3">
      <c r="A4080" s="9">
        <f ca="1"/>
        <v>40970</v>
      </c>
      <c r="B4080" s="6">
        <v>67.81</v>
      </c>
      <c r="C4080" s="6"/>
      <c r="D4080" s="6"/>
    </row>
    <row r="4081" spans="1:4" ht="13" thickBot="1" x14ac:dyDescent="0.3">
      <c r="A4081" s="9">
        <f ca="1"/>
        <v>40971</v>
      </c>
      <c r="B4081" s="5">
        <f t="shared" ref="B4081:B4082" si="582">B4080</f>
        <v>67.81</v>
      </c>
      <c r="C4081" s="6"/>
      <c r="D4081" s="6"/>
    </row>
    <row r="4082" spans="1:4" ht="13" thickBot="1" x14ac:dyDescent="0.3">
      <c r="A4082" s="9">
        <f ca="1"/>
        <v>40972</v>
      </c>
      <c r="B4082" s="5">
        <f t="shared" si="582"/>
        <v>67.81</v>
      </c>
      <c r="C4082" s="6"/>
      <c r="D4082" s="6"/>
    </row>
    <row r="4083" spans="1:4" ht="13" thickBot="1" x14ac:dyDescent="0.3">
      <c r="A4083" s="9">
        <f ca="1"/>
        <v>40973</v>
      </c>
      <c r="B4083" s="6">
        <v>68.319999999999993</v>
      </c>
      <c r="C4083" s="6"/>
      <c r="D4083" s="6"/>
    </row>
    <row r="4084" spans="1:4" ht="13" thickBot="1" x14ac:dyDescent="0.3">
      <c r="A4084" s="9">
        <f ca="1"/>
        <v>40974</v>
      </c>
      <c r="B4084" s="6">
        <v>67.150000000000006</v>
      </c>
      <c r="C4084" s="6"/>
      <c r="D4084" s="6"/>
    </row>
    <row r="4085" spans="1:4" ht="13" thickBot="1" x14ac:dyDescent="0.3">
      <c r="A4085" s="9">
        <f ca="1"/>
        <v>40975</v>
      </c>
      <c r="B4085" s="6">
        <v>66.489999999999995</v>
      </c>
      <c r="C4085" s="6"/>
      <c r="D4085" s="6"/>
    </row>
    <row r="4086" spans="1:4" ht="13" thickBot="1" x14ac:dyDescent="0.3">
      <c r="A4086" s="9">
        <f ca="1"/>
        <v>40976</v>
      </c>
      <c r="B4086" s="6">
        <v>67.849999999999994</v>
      </c>
      <c r="C4086" s="6"/>
      <c r="D4086" s="6"/>
    </row>
    <row r="4087" spans="1:4" ht="13" thickBot="1" x14ac:dyDescent="0.3">
      <c r="A4087" s="9">
        <f ca="1"/>
        <v>40977</v>
      </c>
      <c r="B4087" s="6">
        <v>68.69</v>
      </c>
      <c r="C4087" s="6"/>
      <c r="D4087" s="6"/>
    </row>
    <row r="4088" spans="1:4" ht="13" thickBot="1" x14ac:dyDescent="0.3">
      <c r="A4088" s="9">
        <f ca="1"/>
        <v>40978</v>
      </c>
      <c r="B4088" s="5">
        <f t="shared" ref="B4088:B4089" si="583">B4087</f>
        <v>68.69</v>
      </c>
      <c r="C4088" s="6"/>
      <c r="D4088" s="6"/>
    </row>
    <row r="4089" spans="1:4" ht="13" thickBot="1" x14ac:dyDescent="0.3">
      <c r="A4089" s="9">
        <f ca="1"/>
        <v>40979</v>
      </c>
      <c r="B4089" s="5">
        <f t="shared" si="583"/>
        <v>68.69</v>
      </c>
      <c r="C4089" s="6"/>
      <c r="D4089" s="6"/>
    </row>
    <row r="4090" spans="1:4" ht="13" thickBot="1" x14ac:dyDescent="0.3">
      <c r="A4090" s="9">
        <f ca="1"/>
        <v>40980</v>
      </c>
      <c r="B4090" s="6">
        <v>68.64</v>
      </c>
      <c r="C4090" s="6"/>
      <c r="D4090" s="6"/>
    </row>
    <row r="4091" spans="1:4" ht="13" thickBot="1" x14ac:dyDescent="0.3">
      <c r="A4091" s="9">
        <f ca="1"/>
        <v>40981</v>
      </c>
      <c r="B4091" s="6">
        <v>69.64</v>
      </c>
      <c r="C4091" s="6"/>
      <c r="D4091" s="6"/>
    </row>
    <row r="4092" spans="1:4" ht="13" thickBot="1" x14ac:dyDescent="0.3">
      <c r="A4092" s="9">
        <f ca="1"/>
        <v>40982</v>
      </c>
      <c r="B4092" s="6">
        <v>70.47</v>
      </c>
      <c r="C4092" s="6"/>
      <c r="D4092" s="6"/>
    </row>
    <row r="4093" spans="1:4" ht="13" thickBot="1" x14ac:dyDescent="0.3">
      <c r="A4093" s="9">
        <f ca="1"/>
        <v>40983</v>
      </c>
      <c r="B4093" s="6">
        <v>70.56</v>
      </c>
      <c r="C4093" s="6"/>
      <c r="D4093" s="6"/>
    </row>
    <row r="4094" spans="1:4" ht="13" thickBot="1" x14ac:dyDescent="0.3">
      <c r="A4094" s="9">
        <f ca="1"/>
        <v>40984</v>
      </c>
      <c r="B4094" s="6">
        <v>71.739999999999995</v>
      </c>
      <c r="C4094" s="6"/>
      <c r="D4094" s="6"/>
    </row>
    <row r="4095" spans="1:4" ht="13" thickBot="1" x14ac:dyDescent="0.3">
      <c r="A4095" s="9">
        <f ca="1"/>
        <v>40985</v>
      </c>
      <c r="B4095" s="5">
        <f t="shared" ref="B4095:B4096" si="584">B4094</f>
        <v>71.739999999999995</v>
      </c>
      <c r="C4095" s="6"/>
      <c r="D4095" s="6"/>
    </row>
    <row r="4096" spans="1:4" ht="13" thickBot="1" x14ac:dyDescent="0.3">
      <c r="A4096" s="9">
        <f ca="1"/>
        <v>40986</v>
      </c>
      <c r="B4096" s="5">
        <f t="shared" si="584"/>
        <v>71.739999999999995</v>
      </c>
      <c r="C4096" s="6"/>
      <c r="D4096" s="6"/>
    </row>
    <row r="4097" spans="1:4" ht="13" thickBot="1" x14ac:dyDescent="0.3">
      <c r="A4097" s="9">
        <f ca="1"/>
        <v>40987</v>
      </c>
      <c r="B4097" s="6">
        <v>71.92</v>
      </c>
      <c r="C4097" s="6"/>
      <c r="D4097" s="6"/>
    </row>
    <row r="4098" spans="1:4" ht="13" thickBot="1" x14ac:dyDescent="0.3">
      <c r="A4098" s="9">
        <f ca="1"/>
        <v>40988</v>
      </c>
      <c r="B4098" s="6">
        <v>71.31</v>
      </c>
      <c r="C4098" s="6"/>
      <c r="D4098" s="6"/>
    </row>
    <row r="4099" spans="1:4" ht="13" thickBot="1" x14ac:dyDescent="0.3">
      <c r="A4099" s="9">
        <f ca="1"/>
        <v>40989</v>
      </c>
      <c r="B4099" s="6">
        <v>71.3</v>
      </c>
      <c r="C4099" s="6"/>
      <c r="D4099" s="6"/>
    </row>
    <row r="4100" spans="1:4" ht="13" thickBot="1" x14ac:dyDescent="0.3">
      <c r="A4100" s="9">
        <f ca="1"/>
        <v>40990</v>
      </c>
      <c r="B4100" s="6">
        <v>70.260000000000005</v>
      </c>
      <c r="C4100" s="6"/>
      <c r="D4100" s="6"/>
    </row>
    <row r="4101" spans="1:4" ht="13" thickBot="1" x14ac:dyDescent="0.3">
      <c r="A4101" s="9">
        <f ca="1"/>
        <v>40991</v>
      </c>
      <c r="B4101" s="6">
        <v>70.22</v>
      </c>
      <c r="C4101" s="6"/>
      <c r="D4101" s="6"/>
    </row>
    <row r="4102" spans="1:4" ht="13" thickBot="1" x14ac:dyDescent="0.3">
      <c r="A4102" s="9">
        <f ca="1"/>
        <v>40992</v>
      </c>
      <c r="B4102" s="5">
        <f t="shared" ref="B4102:B4103" si="585">B4101</f>
        <v>70.22</v>
      </c>
      <c r="C4102" s="6"/>
      <c r="D4102" s="6"/>
    </row>
    <row r="4103" spans="1:4" ht="13" thickBot="1" x14ac:dyDescent="0.3">
      <c r="A4103" s="9">
        <f ca="1"/>
        <v>40993</v>
      </c>
      <c r="B4103" s="5">
        <f t="shared" si="585"/>
        <v>70.22</v>
      </c>
      <c r="C4103" s="6"/>
      <c r="D4103" s="6"/>
    </row>
    <row r="4104" spans="1:4" ht="13" thickBot="1" x14ac:dyDescent="0.3">
      <c r="A4104" s="9">
        <f ca="1"/>
        <v>40994</v>
      </c>
      <c r="B4104" s="6">
        <v>70.760000000000005</v>
      </c>
      <c r="C4104" s="6"/>
      <c r="D4104" s="6"/>
    </row>
    <row r="4105" spans="1:4" ht="13" thickBot="1" x14ac:dyDescent="0.3">
      <c r="A4105" s="9">
        <f ca="1"/>
        <v>40995</v>
      </c>
      <c r="B4105" s="6">
        <v>71.22</v>
      </c>
      <c r="C4105" s="6"/>
      <c r="D4105" s="6"/>
    </row>
    <row r="4106" spans="1:4" ht="13" thickBot="1" x14ac:dyDescent="0.3">
      <c r="A4106" s="9">
        <f ca="1"/>
        <v>40996</v>
      </c>
      <c r="B4106" s="6">
        <v>71.17</v>
      </c>
      <c r="C4106" s="6"/>
      <c r="D4106" s="6"/>
    </row>
    <row r="4107" spans="1:4" ht="13" thickBot="1" x14ac:dyDescent="0.3">
      <c r="A4107" s="9">
        <f ca="1"/>
        <v>40997</v>
      </c>
      <c r="B4107" s="6">
        <v>69.16</v>
      </c>
      <c r="C4107" s="6"/>
      <c r="D4107" s="6"/>
    </row>
    <row r="4108" spans="1:4" ht="13" thickBot="1" x14ac:dyDescent="0.3">
      <c r="A4108" s="9">
        <f ca="1"/>
        <v>40998</v>
      </c>
      <c r="B4108" s="6">
        <v>69.89</v>
      </c>
      <c r="C4108" s="6"/>
      <c r="D4108" s="6"/>
    </row>
    <row r="4109" spans="1:4" ht="13" thickBot="1" x14ac:dyDescent="0.3">
      <c r="A4109" s="9">
        <f ca="1"/>
        <v>40999</v>
      </c>
      <c r="B4109" s="5">
        <f t="shared" ref="B4109:B4110" si="586">B4108</f>
        <v>69.89</v>
      </c>
      <c r="C4109" s="6"/>
      <c r="D4109" s="6"/>
    </row>
    <row r="4110" spans="1:4" ht="13" thickBot="1" x14ac:dyDescent="0.3">
      <c r="A4110" s="9">
        <f ca="1"/>
        <v>41000</v>
      </c>
      <c r="B4110" s="5">
        <f t="shared" si="586"/>
        <v>69.89</v>
      </c>
      <c r="C4110" s="6"/>
      <c r="D4110" s="6"/>
    </row>
    <row r="4111" spans="1:4" ht="13" thickBot="1" x14ac:dyDescent="0.3">
      <c r="A4111" s="9">
        <f ca="1"/>
        <v>41001</v>
      </c>
      <c r="B4111" s="6">
        <v>70.19</v>
      </c>
      <c r="C4111" s="6"/>
      <c r="D4111" s="6"/>
    </row>
    <row r="4112" spans="1:4" ht="13" thickBot="1" x14ac:dyDescent="0.3">
      <c r="A4112" s="9">
        <f ca="1"/>
        <v>41002</v>
      </c>
      <c r="B4112" s="6">
        <v>70.760000000000005</v>
      </c>
      <c r="C4112" s="6"/>
      <c r="D4112" s="6"/>
    </row>
    <row r="4113" spans="1:4" ht="13" thickBot="1" x14ac:dyDescent="0.3">
      <c r="A4113" s="9">
        <f ca="1"/>
        <v>41003</v>
      </c>
      <c r="B4113" s="6">
        <v>67.95</v>
      </c>
      <c r="C4113" s="6"/>
      <c r="D4113" s="6"/>
    </row>
    <row r="4114" spans="1:4" ht="13" thickBot="1" x14ac:dyDescent="0.3">
      <c r="A4114" s="9">
        <f ca="1"/>
        <v>41004</v>
      </c>
      <c r="B4114" s="6">
        <v>66.11</v>
      </c>
      <c r="C4114" s="6"/>
      <c r="D4114" s="6"/>
    </row>
    <row r="4115" spans="1:4" ht="13" thickBot="1" x14ac:dyDescent="0.3">
      <c r="A4115" s="9">
        <f ca="1"/>
        <v>41005</v>
      </c>
      <c r="B4115" s="5">
        <f t="shared" ref="B4115:B4117" si="587">B4114</f>
        <v>66.11</v>
      </c>
      <c r="C4115" s="6"/>
      <c r="D4115" s="6"/>
    </row>
    <row r="4116" spans="1:4" ht="13" thickBot="1" x14ac:dyDescent="0.3">
      <c r="A4116" s="9">
        <f ca="1"/>
        <v>41006</v>
      </c>
      <c r="B4116" s="5">
        <f t="shared" si="587"/>
        <v>66.11</v>
      </c>
      <c r="C4116" s="6"/>
      <c r="D4116" s="6"/>
    </row>
    <row r="4117" spans="1:4" ht="13" thickBot="1" x14ac:dyDescent="0.3">
      <c r="A4117" s="9">
        <f ca="1"/>
        <v>41007</v>
      </c>
      <c r="B4117" s="5">
        <f t="shared" si="587"/>
        <v>66.11</v>
      </c>
      <c r="C4117" s="6"/>
      <c r="D4117" s="6"/>
    </row>
    <row r="4118" spans="1:4" ht="13" thickBot="1" x14ac:dyDescent="0.3">
      <c r="A4118" s="9">
        <f ca="1"/>
        <v>41008</v>
      </c>
      <c r="B4118" s="6">
        <v>65.97</v>
      </c>
      <c r="C4118" s="6"/>
      <c r="D4118" s="6"/>
    </row>
    <row r="4119" spans="1:4" ht="13" thickBot="1" x14ac:dyDescent="0.3">
      <c r="A4119" s="9">
        <f ca="1"/>
        <v>41009</v>
      </c>
      <c r="B4119" s="6">
        <v>66.13</v>
      </c>
      <c r="C4119" s="6"/>
      <c r="D4119" s="6"/>
    </row>
    <row r="4120" spans="1:4" ht="13" thickBot="1" x14ac:dyDescent="0.3">
      <c r="A4120" s="9">
        <f ca="1"/>
        <v>41010</v>
      </c>
      <c r="B4120" s="6">
        <v>65.75</v>
      </c>
      <c r="C4120" s="6"/>
      <c r="D4120" s="6"/>
    </row>
    <row r="4121" spans="1:4" ht="13" thickBot="1" x14ac:dyDescent="0.3">
      <c r="A4121" s="9">
        <f ca="1"/>
        <v>41011</v>
      </c>
      <c r="B4121" s="6">
        <v>66.94</v>
      </c>
      <c r="C4121" s="6"/>
      <c r="D4121" s="6"/>
    </row>
    <row r="4122" spans="1:4" ht="13" thickBot="1" x14ac:dyDescent="0.3">
      <c r="A4122" s="9">
        <f ca="1"/>
        <v>41012</v>
      </c>
      <c r="B4122" s="6">
        <v>66.489999999999995</v>
      </c>
      <c r="C4122" s="6"/>
      <c r="D4122" s="6"/>
    </row>
    <row r="4123" spans="1:4" ht="13" thickBot="1" x14ac:dyDescent="0.3">
      <c r="A4123" s="9">
        <f ca="1"/>
        <v>41013</v>
      </c>
      <c r="B4123" s="5">
        <f t="shared" ref="B4123:B4124" si="588">B4122</f>
        <v>66.489999999999995</v>
      </c>
      <c r="C4123" s="6"/>
      <c r="D4123" s="6"/>
    </row>
    <row r="4124" spans="1:4" ht="13" thickBot="1" x14ac:dyDescent="0.3">
      <c r="A4124" s="9">
        <f ca="1"/>
        <v>41014</v>
      </c>
      <c r="B4124" s="5">
        <f t="shared" si="588"/>
        <v>66.489999999999995</v>
      </c>
      <c r="C4124" s="6"/>
      <c r="D4124" s="6"/>
    </row>
    <row r="4125" spans="1:4" ht="13" thickBot="1" x14ac:dyDescent="0.3">
      <c r="A4125" s="9">
        <f ca="1"/>
        <v>41015</v>
      </c>
      <c r="B4125" s="6">
        <v>63.87</v>
      </c>
      <c r="C4125" s="6"/>
      <c r="D4125" s="6"/>
    </row>
    <row r="4126" spans="1:4" ht="13" thickBot="1" x14ac:dyDescent="0.3">
      <c r="A4126" s="9">
        <f ca="1"/>
        <v>41016</v>
      </c>
      <c r="B4126" s="6">
        <v>64.27</v>
      </c>
      <c r="C4126" s="6"/>
      <c r="D4126" s="6"/>
    </row>
    <row r="4127" spans="1:4" ht="13" thickBot="1" x14ac:dyDescent="0.3">
      <c r="A4127" s="9">
        <f ca="1"/>
        <v>41017</v>
      </c>
      <c r="B4127" s="6">
        <v>65.05</v>
      </c>
      <c r="C4127" s="6"/>
      <c r="D4127" s="6"/>
    </row>
    <row r="4128" spans="1:4" ht="13" thickBot="1" x14ac:dyDescent="0.3">
      <c r="A4128" s="9">
        <f ca="1"/>
        <v>41018</v>
      </c>
      <c r="B4128" s="6">
        <v>65</v>
      </c>
      <c r="C4128" s="6"/>
      <c r="D4128" s="6"/>
    </row>
    <row r="4129" spans="1:4" ht="13" thickBot="1" x14ac:dyDescent="0.3">
      <c r="A4129" s="9">
        <f ca="1"/>
        <v>41019</v>
      </c>
      <c r="B4129" s="6">
        <v>65.290000000000006</v>
      </c>
      <c r="C4129" s="6"/>
      <c r="D4129" s="6"/>
    </row>
    <row r="4130" spans="1:4" ht="13" thickBot="1" x14ac:dyDescent="0.3">
      <c r="A4130" s="9">
        <f ca="1"/>
        <v>41020</v>
      </c>
      <c r="B4130" s="5">
        <f t="shared" ref="B4130:B4131" si="589">B4129</f>
        <v>65.290000000000006</v>
      </c>
      <c r="C4130" s="6"/>
      <c r="D4130" s="6"/>
    </row>
    <row r="4131" spans="1:4" ht="13" thickBot="1" x14ac:dyDescent="0.3">
      <c r="A4131" s="9">
        <f ca="1"/>
        <v>41021</v>
      </c>
      <c r="B4131" s="5">
        <f t="shared" si="589"/>
        <v>65.290000000000006</v>
      </c>
      <c r="C4131" s="6"/>
      <c r="D4131" s="6"/>
    </row>
    <row r="4132" spans="1:4" ht="13" thickBot="1" x14ac:dyDescent="0.3">
      <c r="A4132" s="9">
        <f ca="1"/>
        <v>41022</v>
      </c>
      <c r="B4132" s="6">
        <v>64.12</v>
      </c>
      <c r="C4132" s="6"/>
      <c r="D4132" s="6"/>
    </row>
    <row r="4133" spans="1:4" ht="13" thickBot="1" x14ac:dyDescent="0.3">
      <c r="A4133" s="9">
        <f ca="1"/>
        <v>41023</v>
      </c>
      <c r="B4133" s="6">
        <v>64.64</v>
      </c>
      <c r="C4133" s="6"/>
      <c r="D4133" s="6"/>
    </row>
    <row r="4134" spans="1:4" ht="13" thickBot="1" x14ac:dyDescent="0.3">
      <c r="A4134" s="9">
        <f ca="1"/>
        <v>41024</v>
      </c>
      <c r="B4134" s="6">
        <v>65.45</v>
      </c>
      <c r="C4134" s="6"/>
      <c r="D4134" s="6"/>
    </row>
    <row r="4135" spans="1:4" ht="13" thickBot="1" x14ac:dyDescent="0.3">
      <c r="A4135" s="9">
        <f ca="1"/>
        <v>41025</v>
      </c>
      <c r="B4135" s="6">
        <v>65.400000000000006</v>
      </c>
      <c r="C4135" s="6"/>
      <c r="D4135" s="6"/>
    </row>
    <row r="4136" spans="1:4" ht="13" thickBot="1" x14ac:dyDescent="0.3">
      <c r="A4136" s="9">
        <f ca="1"/>
        <v>41026</v>
      </c>
      <c r="B4136" s="6">
        <v>66.77</v>
      </c>
      <c r="C4136" s="6"/>
      <c r="D4136" s="6"/>
    </row>
    <row r="4137" spans="1:4" ht="13" thickBot="1" x14ac:dyDescent="0.3">
      <c r="A4137" s="9">
        <f ca="1"/>
        <v>41027</v>
      </c>
      <c r="B4137" s="5">
        <f t="shared" ref="B4137:B4138" si="590">B4136</f>
        <v>66.77</v>
      </c>
      <c r="C4137" s="6"/>
      <c r="D4137" s="6"/>
    </row>
    <row r="4138" spans="1:4" ht="13" thickBot="1" x14ac:dyDescent="0.3">
      <c r="A4138" s="9">
        <f ca="1"/>
        <v>41028</v>
      </c>
      <c r="B4138" s="5">
        <f t="shared" si="590"/>
        <v>66.77</v>
      </c>
      <c r="C4138" s="6"/>
      <c r="D4138" s="6"/>
    </row>
    <row r="4139" spans="1:4" ht="13" thickBot="1" x14ac:dyDescent="0.3">
      <c r="A4139" s="9">
        <f ca="1"/>
        <v>41029</v>
      </c>
      <c r="B4139" s="6">
        <v>66.17</v>
      </c>
      <c r="C4139" s="6"/>
      <c r="D4139" s="6"/>
    </row>
    <row r="4140" spans="1:4" ht="13" thickBot="1" x14ac:dyDescent="0.3">
      <c r="A4140" s="9">
        <f ca="1"/>
        <v>41030</v>
      </c>
      <c r="B4140" s="6">
        <v>66.2</v>
      </c>
      <c r="C4140" s="6"/>
      <c r="D4140" s="6"/>
    </row>
    <row r="4141" spans="1:4" ht="13" thickBot="1" x14ac:dyDescent="0.3">
      <c r="A4141" s="9">
        <f ca="1"/>
        <v>41031</v>
      </c>
      <c r="B4141" s="6">
        <v>65.849999999999994</v>
      </c>
      <c r="C4141" s="6"/>
      <c r="D4141" s="6"/>
    </row>
    <row r="4142" spans="1:4" ht="13" thickBot="1" x14ac:dyDescent="0.3">
      <c r="A4142" s="9">
        <f ca="1"/>
        <v>41032</v>
      </c>
      <c r="B4142" s="6">
        <v>65.150000000000006</v>
      </c>
      <c r="C4142" s="6"/>
      <c r="D4142" s="6"/>
    </row>
    <row r="4143" spans="1:4" ht="13" thickBot="1" x14ac:dyDescent="0.3">
      <c r="A4143" s="9">
        <f ca="1"/>
        <v>41033</v>
      </c>
      <c r="B4143" s="6">
        <v>63.5</v>
      </c>
      <c r="C4143" s="6"/>
      <c r="D4143" s="6"/>
    </row>
    <row r="4144" spans="1:4" ht="13" thickBot="1" x14ac:dyDescent="0.3">
      <c r="A4144" s="9">
        <f ca="1"/>
        <v>41034</v>
      </c>
      <c r="B4144" s="5">
        <f t="shared" ref="B4144:B4145" si="591">B4143</f>
        <v>63.5</v>
      </c>
      <c r="C4144" s="6"/>
      <c r="D4144" s="6"/>
    </row>
    <row r="4145" spans="1:4" ht="13" thickBot="1" x14ac:dyDescent="0.3">
      <c r="A4145" s="9">
        <f ca="1"/>
        <v>41035</v>
      </c>
      <c r="B4145" s="5">
        <f t="shared" si="591"/>
        <v>63.5</v>
      </c>
      <c r="C4145" s="6"/>
      <c r="D4145" s="6"/>
    </row>
    <row r="4146" spans="1:4" ht="13" thickBot="1" x14ac:dyDescent="0.3">
      <c r="A4146" s="9">
        <f ca="1"/>
        <v>41036</v>
      </c>
      <c r="B4146" s="6">
        <v>62.63</v>
      </c>
      <c r="C4146" s="6"/>
      <c r="D4146" s="6"/>
    </row>
    <row r="4147" spans="1:4" ht="13" thickBot="1" x14ac:dyDescent="0.3">
      <c r="A4147" s="9">
        <f ca="1"/>
        <v>41037</v>
      </c>
      <c r="B4147" s="6">
        <v>62.26</v>
      </c>
      <c r="C4147" s="6"/>
      <c r="D4147" s="6"/>
    </row>
    <row r="4148" spans="1:4" ht="13" thickBot="1" x14ac:dyDescent="0.3">
      <c r="A4148" s="9">
        <f ca="1"/>
        <v>41038</v>
      </c>
      <c r="B4148" s="6">
        <v>61.42</v>
      </c>
      <c r="C4148" s="6"/>
      <c r="D4148" s="6"/>
    </row>
    <row r="4149" spans="1:4" ht="13" thickBot="1" x14ac:dyDescent="0.3">
      <c r="A4149" s="9">
        <f ca="1"/>
        <v>41039</v>
      </c>
      <c r="B4149" s="6">
        <v>62.54</v>
      </c>
      <c r="C4149" s="6"/>
      <c r="D4149" s="6"/>
    </row>
    <row r="4150" spans="1:4" ht="13" thickBot="1" x14ac:dyDescent="0.3">
      <c r="A4150" s="9">
        <f ca="1"/>
        <v>41040</v>
      </c>
      <c r="B4150" s="6">
        <v>62.11</v>
      </c>
      <c r="C4150" s="6"/>
      <c r="D4150" s="6"/>
    </row>
    <row r="4151" spans="1:4" ht="13" thickBot="1" x14ac:dyDescent="0.3">
      <c r="A4151" s="9">
        <f ca="1"/>
        <v>41041</v>
      </c>
      <c r="B4151" s="5">
        <f t="shared" ref="B4151:B4152" si="592">B4150</f>
        <v>62.11</v>
      </c>
      <c r="C4151" s="6"/>
      <c r="D4151" s="6"/>
    </row>
    <row r="4152" spans="1:4" ht="13" thickBot="1" x14ac:dyDescent="0.3">
      <c r="A4152" s="9">
        <f ca="1"/>
        <v>41042</v>
      </c>
      <c r="B4152" s="5">
        <f t="shared" si="592"/>
        <v>62.11</v>
      </c>
      <c r="C4152" s="6"/>
      <c r="D4152" s="6"/>
    </row>
    <row r="4153" spans="1:4" ht="13" thickBot="1" x14ac:dyDescent="0.3">
      <c r="A4153" s="9">
        <f ca="1"/>
        <v>41043</v>
      </c>
      <c r="B4153" s="6">
        <v>61.98</v>
      </c>
      <c r="C4153" s="6"/>
      <c r="D4153" s="6"/>
    </row>
    <row r="4154" spans="1:4" ht="13" thickBot="1" x14ac:dyDescent="0.3">
      <c r="A4154" s="9">
        <f ca="1"/>
        <v>41044</v>
      </c>
      <c r="B4154" s="6">
        <v>61.45</v>
      </c>
      <c r="C4154" s="6"/>
      <c r="D4154" s="6"/>
    </row>
    <row r="4155" spans="1:4" ht="13" thickBot="1" x14ac:dyDescent="0.3">
      <c r="A4155" s="9">
        <f ca="1"/>
        <v>41045</v>
      </c>
      <c r="B4155" s="6">
        <v>61.02</v>
      </c>
      <c r="C4155" s="6"/>
      <c r="D4155" s="6"/>
    </row>
    <row r="4156" spans="1:4" ht="13" thickBot="1" x14ac:dyDescent="0.3">
      <c r="A4156" s="9">
        <f ca="1"/>
        <v>41046</v>
      </c>
      <c r="B4156" s="6">
        <v>60.71</v>
      </c>
      <c r="C4156" s="6"/>
      <c r="D4156" s="6"/>
    </row>
    <row r="4157" spans="1:4" ht="13" thickBot="1" x14ac:dyDescent="0.3">
      <c r="A4157" s="9">
        <f ca="1"/>
        <v>41047</v>
      </c>
      <c r="B4157" s="6">
        <v>59.96</v>
      </c>
      <c r="C4157" s="6"/>
      <c r="D4157" s="6"/>
    </row>
    <row r="4158" spans="1:4" ht="13" thickBot="1" x14ac:dyDescent="0.3">
      <c r="A4158" s="9">
        <f ca="1"/>
        <v>41048</v>
      </c>
      <c r="B4158" s="5">
        <f t="shared" ref="B4158:B4159" si="593">B4157</f>
        <v>59.96</v>
      </c>
      <c r="C4158" s="6"/>
      <c r="D4158" s="6"/>
    </row>
    <row r="4159" spans="1:4" ht="13" thickBot="1" x14ac:dyDescent="0.3">
      <c r="A4159" s="9">
        <f ca="1"/>
        <v>41049</v>
      </c>
      <c r="B4159" s="5">
        <f t="shared" si="593"/>
        <v>59.96</v>
      </c>
      <c r="C4159" s="6"/>
      <c r="D4159" s="6"/>
    </row>
    <row r="4160" spans="1:4" ht="13" thickBot="1" x14ac:dyDescent="0.3">
      <c r="A4160" s="9">
        <f ca="1"/>
        <v>41050</v>
      </c>
      <c r="B4160" s="6">
        <v>58.34</v>
      </c>
      <c r="C4160" s="6"/>
      <c r="D4160" s="6"/>
    </row>
    <row r="4161" spans="1:4" ht="13" thickBot="1" x14ac:dyDescent="0.3">
      <c r="A4161" s="9">
        <f ca="1"/>
        <v>41051</v>
      </c>
      <c r="B4161" s="6">
        <v>59.41</v>
      </c>
      <c r="C4161" s="6"/>
      <c r="D4161" s="6"/>
    </row>
    <row r="4162" spans="1:4" ht="13" thickBot="1" x14ac:dyDescent="0.3">
      <c r="A4162" s="9">
        <f ca="1"/>
        <v>41052</v>
      </c>
      <c r="B4162" s="6">
        <v>58.53</v>
      </c>
      <c r="C4162" s="6"/>
      <c r="D4162" s="6"/>
    </row>
    <row r="4163" spans="1:4" ht="13" thickBot="1" x14ac:dyDescent="0.3">
      <c r="A4163" s="9">
        <f ca="1"/>
        <v>41053</v>
      </c>
      <c r="B4163" s="6">
        <v>58.52</v>
      </c>
      <c r="C4163" s="6"/>
      <c r="D4163" s="6"/>
    </row>
    <row r="4164" spans="1:4" ht="13" thickBot="1" x14ac:dyDescent="0.3">
      <c r="A4164" s="9">
        <f ca="1"/>
        <v>41054</v>
      </c>
      <c r="B4164" s="6">
        <v>57.08</v>
      </c>
      <c r="C4164" s="6"/>
      <c r="D4164" s="6"/>
    </row>
    <row r="4165" spans="1:4" ht="13" thickBot="1" x14ac:dyDescent="0.3">
      <c r="A4165" s="9">
        <f ca="1"/>
        <v>41055</v>
      </c>
      <c r="B4165" s="5">
        <f t="shared" ref="B4165:B4167" si="594">B4164</f>
        <v>57.08</v>
      </c>
      <c r="C4165" s="6"/>
      <c r="D4165" s="6"/>
    </row>
    <row r="4166" spans="1:4" ht="13" thickBot="1" x14ac:dyDescent="0.3">
      <c r="A4166" s="9">
        <f ca="1"/>
        <v>41056</v>
      </c>
      <c r="B4166" s="5">
        <f t="shared" si="594"/>
        <v>57.08</v>
      </c>
      <c r="C4166" s="6"/>
      <c r="D4166" s="6"/>
    </row>
    <row r="4167" spans="1:4" ht="13" thickBot="1" x14ac:dyDescent="0.3">
      <c r="A4167" s="9">
        <f ca="1"/>
        <v>41057</v>
      </c>
      <c r="B4167" s="5">
        <f t="shared" si="594"/>
        <v>57.08</v>
      </c>
      <c r="C4167" s="6"/>
      <c r="D4167" s="6"/>
    </row>
    <row r="4168" spans="1:4" ht="13" thickBot="1" x14ac:dyDescent="0.3">
      <c r="A4168" s="9">
        <f ca="1"/>
        <v>41058</v>
      </c>
      <c r="B4168" s="6">
        <v>58.73</v>
      </c>
      <c r="C4168" s="6"/>
      <c r="D4168" s="6"/>
    </row>
    <row r="4169" spans="1:4" ht="13" thickBot="1" x14ac:dyDescent="0.3">
      <c r="A4169" s="9">
        <f ca="1"/>
        <v>41059</v>
      </c>
      <c r="B4169" s="6">
        <v>57.13</v>
      </c>
      <c r="C4169" s="6"/>
      <c r="D4169" s="6"/>
    </row>
    <row r="4170" spans="1:4" ht="13" thickBot="1" x14ac:dyDescent="0.3">
      <c r="A4170" s="9">
        <f ca="1"/>
        <v>41060</v>
      </c>
      <c r="B4170" s="6">
        <v>58.05</v>
      </c>
      <c r="C4170" s="6"/>
      <c r="D4170" s="6"/>
    </row>
    <row r="4171" spans="1:4" ht="13" thickBot="1" x14ac:dyDescent="0.3">
      <c r="A4171" s="9">
        <f ca="1"/>
        <v>41061</v>
      </c>
      <c r="B4171" s="6">
        <v>55.69</v>
      </c>
      <c r="C4171" s="6"/>
      <c r="D4171" s="6"/>
    </row>
    <row r="4172" spans="1:4" ht="13" thickBot="1" x14ac:dyDescent="0.3">
      <c r="A4172" s="9">
        <f ca="1"/>
        <v>41062</v>
      </c>
      <c r="B4172" s="5">
        <f t="shared" ref="B4172:B4173" si="595">B4171</f>
        <v>55.69</v>
      </c>
      <c r="C4172" s="6"/>
      <c r="D4172" s="6"/>
    </row>
    <row r="4173" spans="1:4" ht="13" thickBot="1" x14ac:dyDescent="0.3">
      <c r="A4173" s="9">
        <f ca="1"/>
        <v>41063</v>
      </c>
      <c r="B4173" s="5">
        <f t="shared" si="595"/>
        <v>55.69</v>
      </c>
      <c r="C4173" s="6"/>
      <c r="D4173" s="6"/>
    </row>
    <row r="4174" spans="1:4" ht="13" thickBot="1" x14ac:dyDescent="0.3">
      <c r="A4174" s="9">
        <f ca="1"/>
        <v>41064</v>
      </c>
      <c r="B4174" s="6">
        <v>55.2</v>
      </c>
      <c r="C4174" s="6"/>
      <c r="D4174" s="6"/>
    </row>
    <row r="4175" spans="1:4" ht="13" thickBot="1" x14ac:dyDescent="0.3">
      <c r="A4175" s="9">
        <f ca="1"/>
        <v>41065</v>
      </c>
      <c r="B4175" s="6">
        <v>54.91</v>
      </c>
      <c r="C4175" s="6"/>
      <c r="D4175" s="6"/>
    </row>
    <row r="4176" spans="1:4" ht="13" thickBot="1" x14ac:dyDescent="0.3">
      <c r="A4176" s="9">
        <f ca="1"/>
        <v>41066</v>
      </c>
      <c r="B4176" s="6">
        <v>56.07</v>
      </c>
      <c r="C4176" s="6"/>
      <c r="D4176" s="6"/>
    </row>
    <row r="4177" spans="1:4" ht="13" thickBot="1" x14ac:dyDescent="0.3">
      <c r="A4177" s="9">
        <f ca="1"/>
        <v>41067</v>
      </c>
      <c r="B4177" s="6">
        <v>58.04</v>
      </c>
      <c r="C4177" s="6"/>
      <c r="D4177" s="6"/>
    </row>
    <row r="4178" spans="1:4" ht="13" thickBot="1" x14ac:dyDescent="0.3">
      <c r="A4178" s="9">
        <f ca="1"/>
        <v>41068</v>
      </c>
      <c r="B4178" s="6">
        <v>56.4</v>
      </c>
      <c r="C4178" s="6"/>
      <c r="D4178" s="6"/>
    </row>
    <row r="4179" spans="1:4" ht="13" thickBot="1" x14ac:dyDescent="0.3">
      <c r="A4179" s="9">
        <f ca="1"/>
        <v>41069</v>
      </c>
      <c r="B4179" s="5">
        <f t="shared" ref="B4179:B4180" si="596">B4178</f>
        <v>56.4</v>
      </c>
      <c r="C4179" s="6"/>
      <c r="D4179" s="6"/>
    </row>
    <row r="4180" spans="1:4" ht="13" thickBot="1" x14ac:dyDescent="0.3">
      <c r="A4180" s="9">
        <f ca="1"/>
        <v>41070</v>
      </c>
      <c r="B4180" s="5">
        <f t="shared" si="596"/>
        <v>56.4</v>
      </c>
      <c r="C4180" s="6"/>
      <c r="D4180" s="6"/>
    </row>
    <row r="4181" spans="1:4" ht="13" thickBot="1" x14ac:dyDescent="0.3">
      <c r="A4181" s="9">
        <f ca="1"/>
        <v>41071</v>
      </c>
      <c r="B4181" s="6">
        <v>58.7</v>
      </c>
      <c r="C4181" s="6"/>
      <c r="D4181" s="6"/>
    </row>
    <row r="4182" spans="1:4" ht="13" thickBot="1" x14ac:dyDescent="0.3">
      <c r="A4182" s="9">
        <f ca="1"/>
        <v>41072</v>
      </c>
      <c r="B4182" s="6">
        <v>57.29</v>
      </c>
      <c r="C4182" s="6"/>
      <c r="D4182" s="6"/>
    </row>
    <row r="4183" spans="1:4" ht="13" thickBot="1" x14ac:dyDescent="0.3">
      <c r="A4183" s="9">
        <f ca="1"/>
        <v>41073</v>
      </c>
      <c r="B4183" s="6">
        <v>57.56</v>
      </c>
      <c r="C4183" s="6"/>
      <c r="D4183" s="6"/>
    </row>
    <row r="4184" spans="1:4" ht="13" thickBot="1" x14ac:dyDescent="0.3">
      <c r="A4184" s="9">
        <f ca="1"/>
        <v>41074</v>
      </c>
      <c r="B4184" s="6">
        <v>57.54</v>
      </c>
      <c r="C4184" s="6"/>
      <c r="D4184" s="6"/>
    </row>
    <row r="4185" spans="1:4" ht="13" thickBot="1" x14ac:dyDescent="0.3">
      <c r="A4185" s="9">
        <f ca="1"/>
        <v>41075</v>
      </c>
      <c r="B4185" s="6">
        <v>58.34</v>
      </c>
      <c r="C4185" s="6"/>
      <c r="D4185" s="6"/>
    </row>
    <row r="4186" spans="1:4" ht="13" thickBot="1" x14ac:dyDescent="0.3">
      <c r="A4186" s="9">
        <f ca="1"/>
        <v>41076</v>
      </c>
      <c r="B4186" s="5">
        <f t="shared" ref="B4186:B4187" si="597">B4185</f>
        <v>58.34</v>
      </c>
      <c r="C4186" s="6"/>
      <c r="D4186" s="6"/>
    </row>
    <row r="4187" spans="1:4" ht="13" thickBot="1" x14ac:dyDescent="0.3">
      <c r="A4187" s="9">
        <f ca="1"/>
        <v>41077</v>
      </c>
      <c r="B4187" s="5">
        <f t="shared" si="597"/>
        <v>58.34</v>
      </c>
      <c r="C4187" s="6"/>
      <c r="D4187" s="6"/>
    </row>
    <row r="4188" spans="1:4" ht="13" thickBot="1" x14ac:dyDescent="0.3">
      <c r="A4188" s="9">
        <f ca="1"/>
        <v>41078</v>
      </c>
      <c r="B4188" s="6">
        <v>58.58</v>
      </c>
      <c r="C4188" s="6"/>
      <c r="D4188" s="6"/>
    </row>
    <row r="4189" spans="1:4" ht="13" thickBot="1" x14ac:dyDescent="0.3">
      <c r="A4189" s="9">
        <f ca="1"/>
        <v>41079</v>
      </c>
      <c r="B4189" s="6">
        <v>59.93</v>
      </c>
      <c r="C4189" s="6"/>
      <c r="D4189" s="6"/>
    </row>
    <row r="4190" spans="1:4" ht="13" thickBot="1" x14ac:dyDescent="0.3">
      <c r="A4190" s="9">
        <f ca="1"/>
        <v>41080</v>
      </c>
      <c r="B4190" s="6">
        <v>60.27</v>
      </c>
      <c r="C4190" s="6"/>
      <c r="D4190" s="6"/>
    </row>
    <row r="4191" spans="1:4" ht="13" thickBot="1" x14ac:dyDescent="0.3">
      <c r="A4191" s="9">
        <f ca="1"/>
        <v>41081</v>
      </c>
      <c r="B4191" s="6">
        <v>59.69</v>
      </c>
      <c r="C4191" s="6"/>
      <c r="D4191" s="6"/>
    </row>
    <row r="4192" spans="1:4" ht="13" thickBot="1" x14ac:dyDescent="0.3">
      <c r="A4192" s="9">
        <f ca="1"/>
        <v>41082</v>
      </c>
      <c r="B4192" s="6">
        <v>57.85</v>
      </c>
      <c r="C4192" s="6"/>
      <c r="D4192" s="6"/>
    </row>
    <row r="4193" spans="1:4" ht="13" thickBot="1" x14ac:dyDescent="0.3">
      <c r="A4193" s="9">
        <f ca="1"/>
        <v>41083</v>
      </c>
      <c r="B4193" s="5">
        <f t="shared" ref="B4193:B4194" si="598">B4192</f>
        <v>57.85</v>
      </c>
      <c r="C4193" s="6"/>
      <c r="D4193" s="6"/>
    </row>
    <row r="4194" spans="1:4" ht="13" thickBot="1" x14ac:dyDescent="0.3">
      <c r="A4194" s="9">
        <f ca="1"/>
        <v>41084</v>
      </c>
      <c r="B4194" s="5">
        <f t="shared" si="598"/>
        <v>57.85</v>
      </c>
      <c r="C4194" s="6"/>
      <c r="D4194" s="6"/>
    </row>
    <row r="4195" spans="1:4" ht="13" thickBot="1" x14ac:dyDescent="0.3">
      <c r="A4195" s="9">
        <f ca="1"/>
        <v>41085</v>
      </c>
      <c r="B4195" s="6">
        <v>56.26</v>
      </c>
      <c r="C4195" s="6"/>
      <c r="D4195" s="6"/>
    </row>
    <row r="4196" spans="1:4" ht="13" thickBot="1" x14ac:dyDescent="0.3">
      <c r="A4196" s="9">
        <f ca="1"/>
        <v>41086</v>
      </c>
      <c r="B4196" s="6">
        <v>56.25</v>
      </c>
      <c r="C4196" s="6"/>
      <c r="D4196" s="6"/>
    </row>
    <row r="4197" spans="1:4" ht="13" thickBot="1" x14ac:dyDescent="0.3">
      <c r="A4197" s="9">
        <f ca="1"/>
        <v>41087</v>
      </c>
      <c r="B4197" s="6">
        <v>56.84</v>
      </c>
      <c r="C4197" s="6"/>
      <c r="D4197" s="6"/>
    </row>
    <row r="4198" spans="1:4" ht="13" thickBot="1" x14ac:dyDescent="0.3">
      <c r="A4198" s="9">
        <f ca="1"/>
        <v>41088</v>
      </c>
      <c r="B4198" s="6">
        <v>56.06</v>
      </c>
      <c r="C4198" s="6"/>
      <c r="D4198" s="6"/>
    </row>
    <row r="4199" spans="1:4" ht="13" thickBot="1" x14ac:dyDescent="0.3">
      <c r="A4199" s="9">
        <f ca="1"/>
        <v>41089</v>
      </c>
      <c r="B4199" s="6">
        <v>58.58</v>
      </c>
      <c r="C4199" s="6"/>
      <c r="D4199" s="6"/>
    </row>
    <row r="4200" spans="1:4" ht="13" thickBot="1" x14ac:dyDescent="0.3">
      <c r="A4200" s="9">
        <f ca="1"/>
        <v>41090</v>
      </c>
      <c r="B4200" s="5">
        <f t="shared" ref="B4200:B4201" si="599">B4199</f>
        <v>58.58</v>
      </c>
      <c r="C4200" s="6"/>
      <c r="D4200" s="6"/>
    </row>
    <row r="4201" spans="1:4" ht="13" thickBot="1" x14ac:dyDescent="0.3">
      <c r="A4201" s="9">
        <f ca="1"/>
        <v>41091</v>
      </c>
      <c r="B4201" s="5">
        <f t="shared" si="599"/>
        <v>58.58</v>
      </c>
      <c r="C4201" s="6"/>
      <c r="D4201" s="6"/>
    </row>
    <row r="4202" spans="1:4" ht="13" thickBot="1" x14ac:dyDescent="0.3">
      <c r="A4202" s="9">
        <f ca="1"/>
        <v>41092</v>
      </c>
      <c r="B4202" s="6">
        <v>60.03</v>
      </c>
      <c r="C4202" s="6"/>
      <c r="D4202" s="6"/>
    </row>
    <row r="4203" spans="1:4" ht="13" thickBot="1" x14ac:dyDescent="0.3">
      <c r="A4203" s="9">
        <f ca="1"/>
        <v>41093</v>
      </c>
      <c r="B4203" s="6">
        <v>60.06</v>
      </c>
      <c r="C4203" s="6"/>
      <c r="D4203" s="6"/>
    </row>
    <row r="4204" spans="1:4" ht="13" thickBot="1" x14ac:dyDescent="0.3">
      <c r="A4204" s="9">
        <f ca="1"/>
        <v>41094</v>
      </c>
      <c r="B4204" s="5">
        <f>B4203</f>
        <v>60.06</v>
      </c>
      <c r="C4204" s="6"/>
      <c r="D4204" s="6"/>
    </row>
    <row r="4205" spans="1:4" ht="13" thickBot="1" x14ac:dyDescent="0.3">
      <c r="A4205" s="9">
        <f ca="1"/>
        <v>41095</v>
      </c>
      <c r="B4205" s="6">
        <v>58.35</v>
      </c>
      <c r="C4205" s="6"/>
      <c r="D4205" s="6"/>
    </row>
    <row r="4206" spans="1:4" ht="13" thickBot="1" x14ac:dyDescent="0.3">
      <c r="A4206" s="9">
        <f ca="1"/>
        <v>41096</v>
      </c>
      <c r="B4206" s="6">
        <v>56.71</v>
      </c>
      <c r="C4206" s="6"/>
      <c r="D4206" s="6"/>
    </row>
    <row r="4207" spans="1:4" ht="13" thickBot="1" x14ac:dyDescent="0.3">
      <c r="A4207" s="9">
        <f ca="1"/>
        <v>41097</v>
      </c>
      <c r="B4207" s="5">
        <f t="shared" ref="B4207:B4208" si="600">B4206</f>
        <v>56.71</v>
      </c>
      <c r="C4207" s="6"/>
      <c r="D4207" s="6"/>
    </row>
    <row r="4208" spans="1:4" ht="13" thickBot="1" x14ac:dyDescent="0.3">
      <c r="A4208" s="9">
        <f ca="1"/>
        <v>41098</v>
      </c>
      <c r="B4208" s="5">
        <f t="shared" si="600"/>
        <v>56.71</v>
      </c>
      <c r="C4208" s="6"/>
      <c r="D4208" s="6"/>
    </row>
    <row r="4209" spans="1:4" ht="13" thickBot="1" x14ac:dyDescent="0.3">
      <c r="A4209" s="9">
        <f ca="1"/>
        <v>41099</v>
      </c>
      <c r="B4209" s="6">
        <v>55.34</v>
      </c>
      <c r="C4209" s="6"/>
      <c r="D4209" s="6"/>
    </row>
    <row r="4210" spans="1:4" ht="13" thickBot="1" x14ac:dyDescent="0.3">
      <c r="A4210" s="9">
        <f ca="1"/>
        <v>41100</v>
      </c>
      <c r="B4210" s="6">
        <v>55.87</v>
      </c>
      <c r="C4210" s="6"/>
      <c r="D4210" s="6"/>
    </row>
    <row r="4211" spans="1:4" ht="13" thickBot="1" x14ac:dyDescent="0.3">
      <c r="A4211" s="9">
        <f ca="1"/>
        <v>41101</v>
      </c>
      <c r="B4211" s="6">
        <v>56.35</v>
      </c>
      <c r="C4211" s="6"/>
      <c r="D4211" s="6"/>
    </row>
    <row r="4212" spans="1:4" ht="13" thickBot="1" x14ac:dyDescent="0.3">
      <c r="A4212" s="9">
        <f ca="1"/>
        <v>41102</v>
      </c>
      <c r="B4212" s="6">
        <v>59.2</v>
      </c>
      <c r="C4212" s="6"/>
      <c r="D4212" s="6"/>
    </row>
    <row r="4213" spans="1:4" ht="13" thickBot="1" x14ac:dyDescent="0.3">
      <c r="A4213" s="9">
        <f ca="1"/>
        <v>41103</v>
      </c>
      <c r="B4213" s="6">
        <v>58.89</v>
      </c>
      <c r="C4213" s="6"/>
      <c r="D4213" s="6"/>
    </row>
    <row r="4214" spans="1:4" ht="13" thickBot="1" x14ac:dyDescent="0.3">
      <c r="A4214" s="9">
        <f ca="1"/>
        <v>41104</v>
      </c>
      <c r="B4214" s="5">
        <f t="shared" ref="B4214:B4215" si="601">B4213</f>
        <v>58.89</v>
      </c>
      <c r="C4214" s="6"/>
      <c r="D4214" s="6"/>
    </row>
    <row r="4215" spans="1:4" ht="13" thickBot="1" x14ac:dyDescent="0.3">
      <c r="A4215" s="9">
        <f ca="1"/>
        <v>41105</v>
      </c>
      <c r="B4215" s="5">
        <f t="shared" si="601"/>
        <v>58.89</v>
      </c>
      <c r="C4215" s="6"/>
      <c r="D4215" s="6"/>
    </row>
    <row r="4216" spans="1:4" ht="13" thickBot="1" x14ac:dyDescent="0.3">
      <c r="A4216" s="9">
        <f ca="1"/>
        <v>41106</v>
      </c>
      <c r="B4216" s="6">
        <v>59.95</v>
      </c>
      <c r="C4216" s="6"/>
      <c r="D4216" s="6"/>
    </row>
    <row r="4217" spans="1:4" ht="13" thickBot="1" x14ac:dyDescent="0.3">
      <c r="A4217" s="9">
        <f ca="1"/>
        <v>41107</v>
      </c>
      <c r="B4217" s="6">
        <v>60.29</v>
      </c>
      <c r="C4217" s="6"/>
      <c r="D4217" s="6"/>
    </row>
    <row r="4218" spans="1:4" ht="13" thickBot="1" x14ac:dyDescent="0.3">
      <c r="A4218" s="9">
        <f ca="1"/>
        <v>41108</v>
      </c>
      <c r="B4218" s="6">
        <v>60.48</v>
      </c>
      <c r="C4218" s="6"/>
      <c r="D4218" s="6"/>
    </row>
    <row r="4219" spans="1:4" ht="13" thickBot="1" x14ac:dyDescent="0.3">
      <c r="A4219" s="9">
        <f ca="1"/>
        <v>41109</v>
      </c>
      <c r="B4219" s="6">
        <v>62.6</v>
      </c>
      <c r="C4219" s="6"/>
      <c r="D4219" s="6"/>
    </row>
    <row r="4220" spans="1:4" ht="13" thickBot="1" x14ac:dyDescent="0.3">
      <c r="A4220" s="9">
        <f ca="1"/>
        <v>41110</v>
      </c>
      <c r="B4220" s="6">
        <v>61.81</v>
      </c>
      <c r="C4220" s="6"/>
      <c r="D4220" s="6"/>
    </row>
    <row r="4221" spans="1:4" ht="13" thickBot="1" x14ac:dyDescent="0.3">
      <c r="A4221" s="9">
        <f ca="1"/>
        <v>41111</v>
      </c>
      <c r="B4221" s="5">
        <f t="shared" ref="B4221:B4222" si="602">B4220</f>
        <v>61.81</v>
      </c>
      <c r="C4221" s="6"/>
      <c r="D4221" s="6"/>
    </row>
    <row r="4222" spans="1:4" ht="13" thickBot="1" x14ac:dyDescent="0.3">
      <c r="A4222" s="9">
        <f ca="1"/>
        <v>41112</v>
      </c>
      <c r="B4222" s="5">
        <f t="shared" si="602"/>
        <v>61.81</v>
      </c>
      <c r="C4222" s="6"/>
      <c r="D4222" s="6"/>
    </row>
    <row r="4223" spans="1:4" ht="13" thickBot="1" x14ac:dyDescent="0.3">
      <c r="A4223" s="9">
        <f ca="1"/>
        <v>41113</v>
      </c>
      <c r="B4223" s="6">
        <v>59.01</v>
      </c>
      <c r="C4223" s="6"/>
      <c r="D4223" s="6"/>
    </row>
    <row r="4224" spans="1:4" ht="13" thickBot="1" x14ac:dyDescent="0.3">
      <c r="A4224" s="9">
        <f ca="1"/>
        <v>41114</v>
      </c>
      <c r="B4224" s="6">
        <v>61.74</v>
      </c>
      <c r="C4224" s="6"/>
      <c r="D4224" s="6"/>
    </row>
    <row r="4225" spans="1:4" ht="13" thickBot="1" x14ac:dyDescent="0.3">
      <c r="A4225" s="9">
        <f ca="1"/>
        <v>41115</v>
      </c>
      <c r="B4225" s="6">
        <v>61.81</v>
      </c>
      <c r="C4225" s="6"/>
      <c r="D4225" s="6"/>
    </row>
    <row r="4226" spans="1:4" ht="13" thickBot="1" x14ac:dyDescent="0.3">
      <c r="A4226" s="9">
        <f ca="1"/>
        <v>41116</v>
      </c>
      <c r="B4226" s="6">
        <v>62.83</v>
      </c>
      <c r="C4226" s="6"/>
      <c r="D4226" s="6"/>
    </row>
    <row r="4227" spans="1:4" ht="13" thickBot="1" x14ac:dyDescent="0.3">
      <c r="A4227" s="9">
        <f ca="1"/>
        <v>41117</v>
      </c>
      <c r="B4227" s="6">
        <v>64.010000000000005</v>
      </c>
      <c r="C4227" s="6"/>
      <c r="D4227" s="6"/>
    </row>
    <row r="4228" spans="1:4" ht="13" thickBot="1" x14ac:dyDescent="0.3">
      <c r="A4228" s="9">
        <f ca="1"/>
        <v>41118</v>
      </c>
      <c r="B4228" s="5">
        <f t="shared" ref="B4228:B4229" si="603">B4227</f>
        <v>64.010000000000005</v>
      </c>
      <c r="C4228" s="6"/>
      <c r="D4228" s="6"/>
    </row>
    <row r="4229" spans="1:4" ht="13" thickBot="1" x14ac:dyDescent="0.3">
      <c r="A4229" s="9">
        <f ca="1"/>
        <v>41119</v>
      </c>
      <c r="B4229" s="5">
        <f t="shared" si="603"/>
        <v>64.010000000000005</v>
      </c>
      <c r="C4229" s="6"/>
      <c r="D4229" s="6"/>
    </row>
    <row r="4230" spans="1:4" ht="13" thickBot="1" x14ac:dyDescent="0.3">
      <c r="A4230" s="9">
        <f ca="1"/>
        <v>41120</v>
      </c>
      <c r="B4230" s="6">
        <v>63.76</v>
      </c>
      <c r="C4230" s="6"/>
      <c r="D4230" s="6"/>
    </row>
    <row r="4231" spans="1:4" ht="13" thickBot="1" x14ac:dyDescent="0.3">
      <c r="A4231" s="9">
        <f ca="1"/>
        <v>41121</v>
      </c>
      <c r="B4231" s="6">
        <v>64.12</v>
      </c>
      <c r="C4231" s="6"/>
      <c r="D4231" s="6"/>
    </row>
    <row r="4232" spans="1:4" ht="13" thickBot="1" x14ac:dyDescent="0.3">
      <c r="A4232" s="9">
        <f ca="1"/>
        <v>41122</v>
      </c>
      <c r="B4232" s="6">
        <v>63.84</v>
      </c>
      <c r="C4232" s="6"/>
      <c r="D4232" s="6"/>
    </row>
    <row r="4233" spans="1:4" ht="13" thickBot="1" x14ac:dyDescent="0.3">
      <c r="A4233" s="9">
        <f ca="1"/>
        <v>41123</v>
      </c>
      <c r="B4233" s="6">
        <v>62.52</v>
      </c>
      <c r="C4233" s="6"/>
      <c r="D4233" s="6"/>
    </row>
    <row r="4234" spans="1:4" ht="13" thickBot="1" x14ac:dyDescent="0.3">
      <c r="A4234" s="9">
        <f ca="1"/>
        <v>41124</v>
      </c>
      <c r="B4234" s="6">
        <v>63.9</v>
      </c>
      <c r="C4234" s="6"/>
      <c r="D4234" s="6"/>
    </row>
    <row r="4235" spans="1:4" ht="13" thickBot="1" x14ac:dyDescent="0.3">
      <c r="A4235" s="9">
        <f ca="1"/>
        <v>41125</v>
      </c>
      <c r="B4235" s="5">
        <f t="shared" ref="B4235:B4236" si="604">B4234</f>
        <v>63.9</v>
      </c>
      <c r="C4235" s="6"/>
      <c r="D4235" s="6"/>
    </row>
    <row r="4236" spans="1:4" ht="13" thickBot="1" x14ac:dyDescent="0.3">
      <c r="A4236" s="9">
        <f ca="1"/>
        <v>41126</v>
      </c>
      <c r="B4236" s="5">
        <f t="shared" si="604"/>
        <v>63.9</v>
      </c>
      <c r="C4236" s="6"/>
      <c r="D4236" s="6"/>
    </row>
    <row r="4237" spans="1:4" ht="13" thickBot="1" x14ac:dyDescent="0.3">
      <c r="A4237" s="9">
        <f ca="1"/>
        <v>41127</v>
      </c>
      <c r="B4237" s="6">
        <v>65.47</v>
      </c>
      <c r="C4237" s="6"/>
      <c r="D4237" s="6"/>
    </row>
    <row r="4238" spans="1:4" ht="13" thickBot="1" x14ac:dyDescent="0.3">
      <c r="A4238" s="9">
        <f ca="1"/>
        <v>41128</v>
      </c>
      <c r="B4238" s="6">
        <v>65.180000000000007</v>
      </c>
      <c r="C4238" s="6"/>
      <c r="D4238" s="6"/>
    </row>
    <row r="4239" spans="1:4" ht="13" thickBot="1" x14ac:dyDescent="0.3">
      <c r="A4239" s="9">
        <f ca="1"/>
        <v>41129</v>
      </c>
      <c r="B4239" s="6">
        <v>64.87</v>
      </c>
      <c r="C4239" s="6"/>
      <c r="D4239" s="6"/>
    </row>
    <row r="4240" spans="1:4" ht="13" thickBot="1" x14ac:dyDescent="0.3">
      <c r="A4240" s="9">
        <f ca="1"/>
        <v>41130</v>
      </c>
      <c r="B4240" s="6">
        <v>64.05</v>
      </c>
      <c r="C4240" s="6"/>
      <c r="D4240" s="6"/>
    </row>
    <row r="4241" spans="1:4" ht="13" thickBot="1" x14ac:dyDescent="0.3">
      <c r="A4241" s="9">
        <f ca="1"/>
        <v>41131</v>
      </c>
      <c r="B4241" s="6">
        <v>63.34</v>
      </c>
      <c r="C4241" s="6"/>
      <c r="D4241" s="6"/>
    </row>
    <row r="4242" spans="1:4" ht="13" thickBot="1" x14ac:dyDescent="0.3">
      <c r="A4242" s="9">
        <f ca="1"/>
        <v>41132</v>
      </c>
      <c r="B4242" s="5">
        <f t="shared" ref="B4242:B4243" si="605">B4241</f>
        <v>63.34</v>
      </c>
      <c r="C4242" s="6"/>
      <c r="D4242" s="6"/>
    </row>
    <row r="4243" spans="1:4" ht="13" thickBot="1" x14ac:dyDescent="0.3">
      <c r="A4243" s="9">
        <f ca="1"/>
        <v>41133</v>
      </c>
      <c r="B4243" s="5">
        <f t="shared" si="605"/>
        <v>63.34</v>
      </c>
      <c r="C4243" s="6"/>
      <c r="D4243" s="6"/>
    </row>
    <row r="4244" spans="1:4" ht="13" thickBot="1" x14ac:dyDescent="0.3">
      <c r="A4244" s="9">
        <f ca="1"/>
        <v>41134</v>
      </c>
      <c r="B4244" s="6">
        <v>64.2</v>
      </c>
      <c r="C4244" s="6"/>
      <c r="D4244" s="6"/>
    </row>
    <row r="4245" spans="1:4" ht="13" thickBot="1" x14ac:dyDescent="0.3">
      <c r="A4245" s="9">
        <f ca="1"/>
        <v>41135</v>
      </c>
      <c r="B4245" s="6">
        <v>64.739999999999995</v>
      </c>
      <c r="C4245" s="6"/>
      <c r="D4245" s="6"/>
    </row>
    <row r="4246" spans="1:4" ht="13" thickBot="1" x14ac:dyDescent="0.3">
      <c r="A4246" s="9">
        <f ca="1"/>
        <v>41136</v>
      </c>
      <c r="B4246" s="6">
        <v>63.7</v>
      </c>
      <c r="C4246" s="6"/>
      <c r="D4246" s="6"/>
    </row>
    <row r="4247" spans="1:4" ht="13" thickBot="1" x14ac:dyDescent="0.3">
      <c r="A4247" s="9">
        <f ca="1"/>
        <v>41137</v>
      </c>
      <c r="B4247" s="6">
        <v>63.65</v>
      </c>
      <c r="C4247" s="6"/>
      <c r="D4247" s="6"/>
    </row>
    <row r="4248" spans="1:4" ht="13" thickBot="1" x14ac:dyDescent="0.3">
      <c r="A4248" s="9">
        <f ca="1"/>
        <v>41138</v>
      </c>
      <c r="B4248" s="6">
        <v>64.02</v>
      </c>
      <c r="C4248" s="6"/>
      <c r="D4248" s="6"/>
    </row>
    <row r="4249" spans="1:4" ht="13" thickBot="1" x14ac:dyDescent="0.3">
      <c r="A4249" s="9">
        <f ca="1"/>
        <v>41139</v>
      </c>
      <c r="B4249" s="5">
        <f t="shared" ref="B4249:B4250" si="606">B4248</f>
        <v>64.02</v>
      </c>
      <c r="C4249" s="6"/>
      <c r="D4249" s="6"/>
    </row>
    <row r="4250" spans="1:4" ht="13" thickBot="1" x14ac:dyDescent="0.3">
      <c r="A4250" s="9">
        <f ca="1"/>
        <v>41140</v>
      </c>
      <c r="B4250" s="5">
        <f t="shared" si="606"/>
        <v>64.02</v>
      </c>
      <c r="C4250" s="6"/>
      <c r="D4250" s="6"/>
    </row>
    <row r="4251" spans="1:4" ht="13" thickBot="1" x14ac:dyDescent="0.3">
      <c r="A4251" s="9">
        <f ca="1"/>
        <v>41141</v>
      </c>
      <c r="B4251" s="6">
        <v>64.849999999999994</v>
      </c>
      <c r="C4251" s="6"/>
      <c r="D4251" s="6"/>
    </row>
    <row r="4252" spans="1:4" ht="13" thickBot="1" x14ac:dyDescent="0.3">
      <c r="A4252" s="9">
        <f ca="1"/>
        <v>41142</v>
      </c>
      <c r="B4252" s="6">
        <v>65.81</v>
      </c>
      <c r="C4252" s="6"/>
      <c r="D4252" s="6"/>
    </row>
    <row r="4253" spans="1:4" ht="13" thickBot="1" x14ac:dyDescent="0.3">
      <c r="A4253" s="9">
        <f ca="1"/>
        <v>41143</v>
      </c>
      <c r="B4253" s="6">
        <v>64.47</v>
      </c>
      <c r="C4253" s="6"/>
      <c r="D4253" s="6"/>
    </row>
    <row r="4254" spans="1:4" ht="13" thickBot="1" x14ac:dyDescent="0.3">
      <c r="A4254" s="9">
        <f ca="1"/>
        <v>41144</v>
      </c>
      <c r="B4254" s="6">
        <v>64.739999999999995</v>
      </c>
      <c r="C4254" s="6"/>
      <c r="D4254" s="6"/>
    </row>
    <row r="4255" spans="1:4" ht="13" thickBot="1" x14ac:dyDescent="0.3">
      <c r="A4255" s="9">
        <f ca="1"/>
        <v>41145</v>
      </c>
      <c r="B4255" s="6">
        <v>64.16</v>
      </c>
      <c r="C4255" s="6"/>
      <c r="D4255" s="6"/>
    </row>
    <row r="4256" spans="1:4" ht="13" thickBot="1" x14ac:dyDescent="0.3">
      <c r="A4256" s="9">
        <f ca="1"/>
        <v>41146</v>
      </c>
      <c r="B4256" s="5">
        <f t="shared" ref="B4256:B4257" si="607">B4255</f>
        <v>64.16</v>
      </c>
      <c r="C4256" s="6"/>
      <c r="D4256" s="6"/>
    </row>
    <row r="4257" spans="1:4" ht="13" thickBot="1" x14ac:dyDescent="0.3">
      <c r="A4257" s="9">
        <f ca="1"/>
        <v>41147</v>
      </c>
      <c r="B4257" s="5">
        <f t="shared" si="607"/>
        <v>64.16</v>
      </c>
      <c r="C4257" s="6"/>
      <c r="D4257" s="6"/>
    </row>
    <row r="4258" spans="1:4" ht="13" thickBot="1" x14ac:dyDescent="0.3">
      <c r="A4258" s="9">
        <f ca="1"/>
        <v>41148</v>
      </c>
      <c r="B4258" s="6">
        <v>65.14</v>
      </c>
      <c r="C4258" s="6"/>
      <c r="D4258" s="6"/>
    </row>
    <row r="4259" spans="1:4" ht="13" thickBot="1" x14ac:dyDescent="0.3">
      <c r="A4259" s="9">
        <f ca="1"/>
        <v>41149</v>
      </c>
      <c r="B4259" s="6">
        <v>65.16</v>
      </c>
      <c r="C4259" s="6"/>
      <c r="D4259" s="6"/>
    </row>
    <row r="4260" spans="1:4" ht="13" thickBot="1" x14ac:dyDescent="0.3">
      <c r="A4260" s="9">
        <f ca="1"/>
        <v>41150</v>
      </c>
      <c r="B4260" s="6">
        <v>65.209999999999994</v>
      </c>
      <c r="C4260" s="6"/>
      <c r="D4260" s="6"/>
    </row>
    <row r="4261" spans="1:4" ht="13" thickBot="1" x14ac:dyDescent="0.3">
      <c r="A4261" s="9">
        <f ca="1"/>
        <v>41151</v>
      </c>
      <c r="B4261" s="6">
        <v>65.19</v>
      </c>
      <c r="C4261" s="6"/>
      <c r="D4261" s="6"/>
    </row>
    <row r="4262" spans="1:4" ht="13" thickBot="1" x14ac:dyDescent="0.3">
      <c r="A4262" s="9">
        <f ca="1"/>
        <v>41152</v>
      </c>
      <c r="B4262" s="6">
        <v>66.14</v>
      </c>
      <c r="C4262" s="6"/>
      <c r="D4262" s="6"/>
    </row>
    <row r="4263" spans="1:4" ht="13" thickBot="1" x14ac:dyDescent="0.3">
      <c r="A4263" s="9">
        <f ca="1"/>
        <v>41153</v>
      </c>
      <c r="B4263" s="5">
        <f t="shared" ref="B4263:B4265" si="608">B4262</f>
        <v>66.14</v>
      </c>
      <c r="C4263" s="6"/>
      <c r="D4263" s="6"/>
    </row>
    <row r="4264" spans="1:4" ht="13" thickBot="1" x14ac:dyDescent="0.3">
      <c r="A4264" s="9">
        <f ca="1"/>
        <v>41154</v>
      </c>
      <c r="B4264" s="5">
        <f t="shared" si="608"/>
        <v>66.14</v>
      </c>
      <c r="C4264" s="6"/>
      <c r="D4264" s="6"/>
    </row>
    <row r="4265" spans="1:4" ht="13" thickBot="1" x14ac:dyDescent="0.3">
      <c r="A4265" s="9">
        <f ca="1"/>
        <v>41155</v>
      </c>
      <c r="B4265" s="5">
        <f t="shared" si="608"/>
        <v>66.14</v>
      </c>
      <c r="C4265" s="6"/>
      <c r="D4265" s="6"/>
    </row>
    <row r="4266" spans="1:4" ht="13" thickBot="1" x14ac:dyDescent="0.3">
      <c r="A4266" s="9">
        <f ca="1"/>
        <v>41156</v>
      </c>
      <c r="B4266" s="6">
        <v>66.52</v>
      </c>
      <c r="C4266" s="6"/>
      <c r="D4266" s="6"/>
    </row>
    <row r="4267" spans="1:4" ht="13" thickBot="1" x14ac:dyDescent="0.3">
      <c r="A4267" s="9">
        <f ca="1"/>
        <v>41157</v>
      </c>
      <c r="B4267" s="6">
        <v>66.89</v>
      </c>
      <c r="C4267" s="6"/>
      <c r="D4267" s="6"/>
    </row>
    <row r="4268" spans="1:4" ht="13" thickBot="1" x14ac:dyDescent="0.3">
      <c r="A4268" s="9">
        <f ca="1"/>
        <v>41158</v>
      </c>
      <c r="B4268" s="6">
        <v>67.13</v>
      </c>
      <c r="C4268" s="6"/>
      <c r="D4268" s="6"/>
    </row>
    <row r="4269" spans="1:4" ht="13" thickBot="1" x14ac:dyDescent="0.3">
      <c r="A4269" s="9">
        <f ca="1"/>
        <v>41159</v>
      </c>
      <c r="B4269" s="6">
        <v>68.22</v>
      </c>
      <c r="C4269" s="6"/>
      <c r="D4269" s="6"/>
    </row>
    <row r="4270" spans="1:4" ht="13" thickBot="1" x14ac:dyDescent="0.3">
      <c r="A4270" s="9">
        <f ca="1"/>
        <v>41160</v>
      </c>
      <c r="B4270" s="5">
        <f t="shared" ref="B4270:B4271" si="609">B4269</f>
        <v>68.22</v>
      </c>
      <c r="C4270" s="6"/>
      <c r="D4270" s="6"/>
    </row>
    <row r="4271" spans="1:4" ht="13" thickBot="1" x14ac:dyDescent="0.3">
      <c r="A4271" s="9">
        <f ca="1"/>
        <v>41161</v>
      </c>
      <c r="B4271" s="5">
        <f t="shared" si="609"/>
        <v>68.22</v>
      </c>
      <c r="C4271" s="6"/>
      <c r="D4271" s="6"/>
    </row>
    <row r="4272" spans="1:4" ht="13" thickBot="1" x14ac:dyDescent="0.3">
      <c r="A4272" s="9">
        <f ca="1"/>
        <v>41162</v>
      </c>
      <c r="B4272" s="6">
        <v>68.09</v>
      </c>
      <c r="C4272" s="6"/>
      <c r="D4272" s="6"/>
    </row>
    <row r="4273" spans="1:4" ht="13" thickBot="1" x14ac:dyDescent="0.3">
      <c r="A4273" s="9">
        <f ca="1"/>
        <v>41163</v>
      </c>
      <c r="B4273" s="6">
        <v>68.319999999999993</v>
      </c>
      <c r="C4273" s="6"/>
      <c r="D4273" s="6"/>
    </row>
    <row r="4274" spans="1:4" ht="13" thickBot="1" x14ac:dyDescent="0.3">
      <c r="A4274" s="9">
        <f ca="1"/>
        <v>41164</v>
      </c>
      <c r="B4274" s="6">
        <v>70.28</v>
      </c>
      <c r="C4274" s="6"/>
      <c r="D4274" s="6"/>
    </row>
    <row r="4275" spans="1:4" ht="13" thickBot="1" x14ac:dyDescent="0.3">
      <c r="A4275" s="9">
        <f ca="1"/>
        <v>41165</v>
      </c>
      <c r="B4275" s="6">
        <v>70.27</v>
      </c>
      <c r="C4275" s="6"/>
      <c r="D4275" s="6"/>
    </row>
    <row r="4276" spans="1:4" ht="13" thickBot="1" x14ac:dyDescent="0.3">
      <c r="A4276" s="9">
        <f ca="1"/>
        <v>41166</v>
      </c>
      <c r="B4276" s="6">
        <v>71.930000000000007</v>
      </c>
      <c r="C4276" s="6"/>
      <c r="D4276" s="6"/>
    </row>
    <row r="4277" spans="1:4" ht="13" thickBot="1" x14ac:dyDescent="0.3">
      <c r="A4277" s="9">
        <f ca="1"/>
        <v>41167</v>
      </c>
      <c r="B4277" s="5">
        <f t="shared" ref="B4277:B4278" si="610">B4276</f>
        <v>71.930000000000007</v>
      </c>
      <c r="C4277" s="6"/>
      <c r="D4277" s="6"/>
    </row>
    <row r="4278" spans="1:4" ht="13" thickBot="1" x14ac:dyDescent="0.3">
      <c r="A4278" s="9">
        <f ca="1"/>
        <v>41168</v>
      </c>
      <c r="B4278" s="5">
        <f t="shared" si="610"/>
        <v>71.930000000000007</v>
      </c>
      <c r="C4278" s="6"/>
      <c r="D4278" s="6"/>
    </row>
    <row r="4279" spans="1:4" ht="13" thickBot="1" x14ac:dyDescent="0.3">
      <c r="A4279" s="9">
        <f ca="1"/>
        <v>41169</v>
      </c>
      <c r="B4279" s="6">
        <v>72.17</v>
      </c>
      <c r="C4279" s="6"/>
      <c r="D4279" s="6"/>
    </row>
    <row r="4280" spans="1:4" ht="13" thickBot="1" x14ac:dyDescent="0.3">
      <c r="A4280" s="9">
        <f ca="1"/>
        <v>41170</v>
      </c>
      <c r="B4280" s="6">
        <v>72.17</v>
      </c>
      <c r="C4280" s="6"/>
      <c r="D4280" s="6"/>
    </row>
    <row r="4281" spans="1:4" ht="13" thickBot="1" x14ac:dyDescent="0.3">
      <c r="A4281" s="9">
        <f ca="1"/>
        <v>41171</v>
      </c>
      <c r="B4281" s="6">
        <v>72.819999999999993</v>
      </c>
      <c r="C4281" s="6"/>
      <c r="D4281" s="6"/>
    </row>
    <row r="4282" spans="1:4" ht="13" thickBot="1" x14ac:dyDescent="0.3">
      <c r="A4282" s="9">
        <f ca="1"/>
        <v>41172</v>
      </c>
      <c r="B4282" s="6">
        <v>72.3</v>
      </c>
      <c r="C4282" s="6"/>
      <c r="D4282" s="6"/>
    </row>
    <row r="4283" spans="1:4" ht="13" thickBot="1" x14ac:dyDescent="0.3">
      <c r="A4283" s="9">
        <f ca="1"/>
        <v>41173</v>
      </c>
      <c r="B4283" s="6">
        <v>73.78</v>
      </c>
      <c r="C4283" s="6"/>
      <c r="D4283" s="6"/>
    </row>
    <row r="4284" spans="1:4" ht="13" thickBot="1" x14ac:dyDescent="0.3">
      <c r="A4284" s="9">
        <f ca="1"/>
        <v>41174</v>
      </c>
      <c r="B4284" s="5">
        <f t="shared" ref="B4284:B4285" si="611">B4283</f>
        <v>73.78</v>
      </c>
      <c r="C4284" s="6"/>
      <c r="D4284" s="6"/>
    </row>
    <row r="4285" spans="1:4" ht="13" thickBot="1" x14ac:dyDescent="0.3">
      <c r="A4285" s="9">
        <f ca="1"/>
        <v>41175</v>
      </c>
      <c r="B4285" s="5">
        <f t="shared" si="611"/>
        <v>73.78</v>
      </c>
      <c r="C4285" s="6"/>
      <c r="D4285" s="6"/>
    </row>
    <row r="4286" spans="1:4" ht="13" thickBot="1" x14ac:dyDescent="0.3">
      <c r="A4286" s="9">
        <f ca="1"/>
        <v>41176</v>
      </c>
      <c r="B4286" s="6">
        <v>72.260000000000005</v>
      </c>
      <c r="C4286" s="6"/>
      <c r="D4286" s="6"/>
    </row>
    <row r="4287" spans="1:4" ht="13" thickBot="1" x14ac:dyDescent="0.3">
      <c r="A4287" s="9">
        <f ca="1"/>
        <v>41177</v>
      </c>
      <c r="B4287" s="6">
        <v>73.209999999999994</v>
      </c>
      <c r="C4287" s="6"/>
      <c r="D4287" s="6"/>
    </row>
    <row r="4288" spans="1:4" ht="13" thickBot="1" x14ac:dyDescent="0.3">
      <c r="A4288" s="9">
        <f ca="1"/>
        <v>41178</v>
      </c>
      <c r="B4288" s="6">
        <v>70.97</v>
      </c>
      <c r="C4288" s="6"/>
      <c r="D4288" s="6"/>
    </row>
    <row r="4289" spans="1:4" ht="13" thickBot="1" x14ac:dyDescent="0.3">
      <c r="A4289" s="9">
        <f ca="1"/>
        <v>41179</v>
      </c>
      <c r="B4289" s="6">
        <v>71.319999999999993</v>
      </c>
      <c r="C4289" s="6"/>
      <c r="D4289" s="6"/>
    </row>
    <row r="4290" spans="1:4" ht="13" thickBot="1" x14ac:dyDescent="0.3">
      <c r="A4290" s="9">
        <f ca="1"/>
        <v>41180</v>
      </c>
      <c r="B4290" s="6">
        <v>71.400000000000006</v>
      </c>
      <c r="C4290" s="6"/>
      <c r="D4290" s="6"/>
    </row>
    <row r="4291" spans="1:4" ht="13" thickBot="1" x14ac:dyDescent="0.3">
      <c r="A4291" s="9">
        <f ca="1"/>
        <v>41181</v>
      </c>
      <c r="B4291" s="5">
        <f t="shared" ref="B4291:B4292" si="612">B4290</f>
        <v>71.400000000000006</v>
      </c>
      <c r="C4291" s="6"/>
      <c r="D4291" s="6"/>
    </row>
    <row r="4292" spans="1:4" ht="13" thickBot="1" x14ac:dyDescent="0.3">
      <c r="A4292" s="9">
        <f ca="1"/>
        <v>41182</v>
      </c>
      <c r="B4292" s="5">
        <f t="shared" si="612"/>
        <v>71.400000000000006</v>
      </c>
      <c r="C4292" s="6"/>
      <c r="D4292" s="6"/>
    </row>
    <row r="4293" spans="1:4" ht="13" thickBot="1" x14ac:dyDescent="0.3">
      <c r="A4293" s="9">
        <f ca="1"/>
        <v>41183</v>
      </c>
      <c r="B4293" s="6">
        <v>72.11</v>
      </c>
      <c r="C4293" s="6"/>
      <c r="D4293" s="6"/>
    </row>
    <row r="4294" spans="1:4" ht="13" thickBot="1" x14ac:dyDescent="0.3">
      <c r="A4294" s="9">
        <f ca="1"/>
        <v>41184</v>
      </c>
      <c r="B4294" s="6">
        <v>71.010000000000005</v>
      </c>
      <c r="C4294" s="6"/>
      <c r="D4294" s="6"/>
    </row>
    <row r="4295" spans="1:4" ht="13" thickBot="1" x14ac:dyDescent="0.3">
      <c r="A4295" s="9">
        <f ca="1"/>
        <v>41185</v>
      </c>
      <c r="B4295" s="6">
        <v>70.989999999999995</v>
      </c>
      <c r="C4295" s="6"/>
      <c r="D4295" s="6"/>
    </row>
    <row r="4296" spans="1:4" ht="13" thickBot="1" x14ac:dyDescent="0.3">
      <c r="A4296" s="9">
        <f ca="1"/>
        <v>41186</v>
      </c>
      <c r="B4296" s="6">
        <v>69.81</v>
      </c>
      <c r="C4296" s="6"/>
      <c r="D4296" s="6"/>
    </row>
    <row r="4297" spans="1:4" ht="13" thickBot="1" x14ac:dyDescent="0.3">
      <c r="A4297" s="9">
        <f ca="1"/>
        <v>41187</v>
      </c>
      <c r="B4297" s="6">
        <v>71.86</v>
      </c>
      <c r="C4297" s="6"/>
      <c r="D4297" s="6"/>
    </row>
    <row r="4298" spans="1:4" ht="13" thickBot="1" x14ac:dyDescent="0.3">
      <c r="A4298" s="9">
        <f ca="1"/>
        <v>41188</v>
      </c>
      <c r="B4298" s="5">
        <f t="shared" ref="B4298:B4299" si="613">B4297</f>
        <v>71.86</v>
      </c>
      <c r="C4298" s="6"/>
      <c r="D4298" s="6"/>
    </row>
    <row r="4299" spans="1:4" ht="13" thickBot="1" x14ac:dyDescent="0.3">
      <c r="A4299" s="9">
        <f ca="1"/>
        <v>41189</v>
      </c>
      <c r="B4299" s="5">
        <f t="shared" si="613"/>
        <v>71.86</v>
      </c>
      <c r="C4299" s="6"/>
      <c r="D4299" s="6"/>
    </row>
    <row r="4300" spans="1:4" ht="13" thickBot="1" x14ac:dyDescent="0.3">
      <c r="A4300" s="9">
        <f ca="1"/>
        <v>41190</v>
      </c>
      <c r="B4300" s="6">
        <v>71.75</v>
      </c>
      <c r="C4300" s="6"/>
      <c r="D4300" s="6"/>
    </row>
    <row r="4301" spans="1:4" ht="13" thickBot="1" x14ac:dyDescent="0.3">
      <c r="A4301" s="9">
        <f ca="1"/>
        <v>41191</v>
      </c>
      <c r="B4301" s="6">
        <v>70.959999999999994</v>
      </c>
      <c r="C4301" s="6"/>
      <c r="D4301" s="6"/>
    </row>
    <row r="4302" spans="1:4" ht="13" thickBot="1" x14ac:dyDescent="0.3">
      <c r="A4302" s="9">
        <f ca="1"/>
        <v>41192</v>
      </c>
      <c r="B4302" s="6">
        <v>68.989999999999995</v>
      </c>
      <c r="C4302" s="6"/>
      <c r="D4302" s="6"/>
    </row>
    <row r="4303" spans="1:4" ht="13" thickBot="1" x14ac:dyDescent="0.3">
      <c r="A4303" s="9">
        <f ca="1"/>
        <v>41193</v>
      </c>
      <c r="B4303" s="6">
        <v>69.959999999999994</v>
      </c>
      <c r="C4303" s="6"/>
      <c r="D4303" s="6"/>
    </row>
    <row r="4304" spans="1:4" ht="13" thickBot="1" x14ac:dyDescent="0.3">
      <c r="A4304" s="9">
        <f ca="1"/>
        <v>41194</v>
      </c>
      <c r="B4304" s="6">
        <v>70.55</v>
      </c>
      <c r="C4304" s="6"/>
      <c r="D4304" s="6"/>
    </row>
    <row r="4305" spans="1:4" ht="13" thickBot="1" x14ac:dyDescent="0.3">
      <c r="A4305" s="9">
        <f ca="1"/>
        <v>41195</v>
      </c>
      <c r="B4305" s="5">
        <f t="shared" ref="B4305:B4306" si="614">B4304</f>
        <v>70.55</v>
      </c>
      <c r="C4305" s="6"/>
      <c r="D4305" s="6"/>
    </row>
    <row r="4306" spans="1:4" ht="13" thickBot="1" x14ac:dyDescent="0.3">
      <c r="A4306" s="9">
        <f ca="1"/>
        <v>41196</v>
      </c>
      <c r="B4306" s="5">
        <f t="shared" si="614"/>
        <v>70.55</v>
      </c>
      <c r="C4306" s="6"/>
      <c r="D4306" s="6"/>
    </row>
    <row r="4307" spans="1:4" ht="13" thickBot="1" x14ac:dyDescent="0.3">
      <c r="A4307" s="9">
        <f ca="1"/>
        <v>41197</v>
      </c>
      <c r="B4307" s="6">
        <v>71.2</v>
      </c>
      <c r="C4307" s="6"/>
      <c r="D4307" s="6"/>
    </row>
    <row r="4308" spans="1:4" ht="13" thickBot="1" x14ac:dyDescent="0.3">
      <c r="A4308" s="9">
        <f ca="1"/>
        <v>41198</v>
      </c>
      <c r="B4308" s="6">
        <v>72.510000000000005</v>
      </c>
      <c r="C4308" s="6"/>
      <c r="D4308" s="6"/>
    </row>
    <row r="4309" spans="1:4" ht="13" thickBot="1" x14ac:dyDescent="0.3">
      <c r="A4309" s="9">
        <f ca="1"/>
        <v>41199</v>
      </c>
      <c r="B4309" s="6">
        <v>71.819999999999993</v>
      </c>
      <c r="C4309" s="6"/>
      <c r="D4309" s="6"/>
    </row>
    <row r="4310" spans="1:4" ht="13" thickBot="1" x14ac:dyDescent="0.3">
      <c r="A4310" s="9">
        <f ca="1"/>
        <v>41200</v>
      </c>
      <c r="B4310" s="6">
        <v>71.25</v>
      </c>
      <c r="C4310" s="6"/>
      <c r="D4310" s="6"/>
    </row>
    <row r="4311" spans="1:4" ht="13" thickBot="1" x14ac:dyDescent="0.3">
      <c r="A4311" s="9">
        <f ca="1"/>
        <v>41201</v>
      </c>
      <c r="B4311" s="6">
        <v>71.459999999999994</v>
      </c>
      <c r="C4311" s="6"/>
      <c r="D4311" s="6"/>
    </row>
    <row r="4312" spans="1:4" ht="13" thickBot="1" x14ac:dyDescent="0.3">
      <c r="A4312" s="9">
        <f ca="1"/>
        <v>41202</v>
      </c>
      <c r="B4312" s="5">
        <f t="shared" ref="B4312:B4313" si="615">B4311</f>
        <v>71.459999999999994</v>
      </c>
      <c r="C4312" s="6"/>
      <c r="D4312" s="6"/>
    </row>
    <row r="4313" spans="1:4" ht="13" thickBot="1" x14ac:dyDescent="0.3">
      <c r="A4313" s="9">
        <f ca="1"/>
        <v>41203</v>
      </c>
      <c r="B4313" s="5">
        <f t="shared" si="615"/>
        <v>71.459999999999994</v>
      </c>
      <c r="C4313" s="6"/>
      <c r="D4313" s="6"/>
    </row>
    <row r="4314" spans="1:4" ht="13" thickBot="1" x14ac:dyDescent="0.3">
      <c r="A4314" s="9">
        <f ca="1"/>
        <v>41204</v>
      </c>
      <c r="B4314" s="6">
        <v>70.510000000000005</v>
      </c>
      <c r="C4314" s="6"/>
      <c r="D4314" s="6"/>
    </row>
    <row r="4315" spans="1:4" ht="13" thickBot="1" x14ac:dyDescent="0.3">
      <c r="A4315" s="9">
        <f ca="1"/>
        <v>41205</v>
      </c>
      <c r="B4315" s="6">
        <v>68.67</v>
      </c>
      <c r="C4315" s="6"/>
      <c r="D4315" s="6"/>
    </row>
    <row r="4316" spans="1:4" ht="13" thickBot="1" x14ac:dyDescent="0.3">
      <c r="A4316" s="9">
        <f ca="1"/>
        <v>41206</v>
      </c>
      <c r="B4316" s="6">
        <v>72.069999999999993</v>
      </c>
      <c r="C4316" s="6"/>
      <c r="D4316" s="6"/>
    </row>
    <row r="4317" spans="1:4" ht="13" thickBot="1" x14ac:dyDescent="0.3">
      <c r="A4317" s="9">
        <f ca="1"/>
        <v>41207</v>
      </c>
      <c r="B4317" s="6">
        <v>71.55</v>
      </c>
      <c r="C4317" s="6"/>
      <c r="D4317" s="6"/>
    </row>
    <row r="4318" spans="1:4" ht="13" thickBot="1" x14ac:dyDescent="0.3">
      <c r="A4318" s="9">
        <f ca="1"/>
        <v>41208</v>
      </c>
      <c r="B4318" s="6">
        <v>71.73</v>
      </c>
      <c r="C4318" s="6"/>
      <c r="D4318" s="6"/>
    </row>
    <row r="4319" spans="1:4" ht="13" thickBot="1" x14ac:dyDescent="0.3">
      <c r="A4319" s="9">
        <f ca="1"/>
        <v>41209</v>
      </c>
      <c r="B4319" s="5">
        <f t="shared" ref="B4319:B4322" si="616">B4318</f>
        <v>71.73</v>
      </c>
      <c r="C4319" s="6"/>
      <c r="D4319" s="6"/>
    </row>
    <row r="4320" spans="1:4" ht="13" thickBot="1" x14ac:dyDescent="0.3">
      <c r="A4320" s="9">
        <f ca="1"/>
        <v>41210</v>
      </c>
      <c r="B4320" s="5">
        <f t="shared" si="616"/>
        <v>71.73</v>
      </c>
      <c r="C4320" s="6"/>
      <c r="D4320" s="6"/>
    </row>
    <row r="4321" spans="1:4" ht="13" thickBot="1" x14ac:dyDescent="0.3">
      <c r="A4321" s="9">
        <f ca="1"/>
        <v>41211</v>
      </c>
      <c r="B4321" s="5">
        <f t="shared" si="616"/>
        <v>71.73</v>
      </c>
      <c r="C4321" s="6"/>
      <c r="D4321" s="6"/>
    </row>
    <row r="4322" spans="1:4" ht="13" thickBot="1" x14ac:dyDescent="0.3">
      <c r="A4322" s="9">
        <f ca="1"/>
        <v>41212</v>
      </c>
      <c r="B4322" s="5">
        <f t="shared" si="616"/>
        <v>71.73</v>
      </c>
      <c r="C4322" s="6"/>
      <c r="D4322" s="6"/>
    </row>
    <row r="4323" spans="1:4" ht="13" thickBot="1" x14ac:dyDescent="0.3">
      <c r="A4323" s="9">
        <f ca="1"/>
        <v>41213</v>
      </c>
      <c r="B4323" s="6">
        <v>73.260000000000005</v>
      </c>
      <c r="C4323" s="6"/>
      <c r="D4323" s="6"/>
    </row>
    <row r="4324" spans="1:4" ht="13" thickBot="1" x14ac:dyDescent="0.3">
      <c r="A4324" s="9">
        <f ca="1"/>
        <v>41214</v>
      </c>
      <c r="B4324" s="6">
        <v>73.58</v>
      </c>
      <c r="C4324" s="6"/>
      <c r="D4324" s="6"/>
    </row>
    <row r="4325" spans="1:4" ht="13" thickBot="1" x14ac:dyDescent="0.3">
      <c r="A4325" s="9">
        <f ca="1"/>
        <v>41215</v>
      </c>
      <c r="B4325" s="6">
        <v>73.64</v>
      </c>
      <c r="C4325" s="6"/>
      <c r="D4325" s="6"/>
    </row>
    <row r="4326" spans="1:4" ht="13" thickBot="1" x14ac:dyDescent="0.3">
      <c r="A4326" s="9">
        <f ca="1"/>
        <v>41216</v>
      </c>
      <c r="B4326" s="5">
        <f t="shared" ref="B4326:B4327" si="617">B4325</f>
        <v>73.64</v>
      </c>
      <c r="C4326" s="6"/>
      <c r="D4326" s="6"/>
    </row>
    <row r="4327" spans="1:4" ht="13" thickBot="1" x14ac:dyDescent="0.3">
      <c r="A4327" s="9">
        <f ca="1"/>
        <v>41217</v>
      </c>
      <c r="B4327" s="5">
        <f t="shared" si="617"/>
        <v>73.64</v>
      </c>
      <c r="C4327" s="6"/>
      <c r="D4327" s="6"/>
    </row>
    <row r="4328" spans="1:4" ht="13" thickBot="1" x14ac:dyDescent="0.3">
      <c r="A4328" s="9">
        <f ca="1"/>
        <v>41218</v>
      </c>
      <c r="B4328" s="6">
        <v>72.7</v>
      </c>
      <c r="C4328" s="6"/>
      <c r="D4328" s="6"/>
    </row>
    <row r="4329" spans="1:4" ht="13" thickBot="1" x14ac:dyDescent="0.3">
      <c r="A4329" s="9">
        <f ca="1"/>
        <v>41219</v>
      </c>
      <c r="B4329" s="6">
        <v>73.34</v>
      </c>
      <c r="C4329" s="6"/>
      <c r="D4329" s="6"/>
    </row>
    <row r="4330" spans="1:4" ht="13" thickBot="1" x14ac:dyDescent="0.3">
      <c r="A4330" s="9">
        <f ca="1"/>
        <v>41220</v>
      </c>
      <c r="B4330" s="6">
        <v>72.040000000000006</v>
      </c>
      <c r="C4330" s="6"/>
      <c r="D4330" s="6"/>
    </row>
    <row r="4331" spans="1:4" ht="13" thickBot="1" x14ac:dyDescent="0.3">
      <c r="A4331" s="9">
        <f ca="1"/>
        <v>41221</v>
      </c>
      <c r="B4331" s="6">
        <v>71.599999999999994</v>
      </c>
      <c r="C4331" s="6"/>
      <c r="D4331" s="6"/>
    </row>
    <row r="4332" spans="1:4" ht="13" thickBot="1" x14ac:dyDescent="0.3">
      <c r="A4332" s="9">
        <f ca="1"/>
        <v>41222</v>
      </c>
      <c r="B4332" s="6">
        <v>70.59</v>
      </c>
      <c r="C4332" s="6"/>
      <c r="D4332" s="6"/>
    </row>
    <row r="4333" spans="1:4" ht="13" thickBot="1" x14ac:dyDescent="0.3">
      <c r="A4333" s="9">
        <f ca="1"/>
        <v>41223</v>
      </c>
      <c r="B4333" s="5">
        <f t="shared" ref="B4333:B4334" si="618">B4332</f>
        <v>70.59</v>
      </c>
      <c r="C4333" s="6"/>
      <c r="D4333" s="6"/>
    </row>
    <row r="4334" spans="1:4" ht="13" thickBot="1" x14ac:dyDescent="0.3">
      <c r="A4334" s="9">
        <f ca="1"/>
        <v>41224</v>
      </c>
      <c r="B4334" s="5">
        <f t="shared" si="618"/>
        <v>70.59</v>
      </c>
      <c r="C4334" s="6"/>
      <c r="D4334" s="6"/>
    </row>
    <row r="4335" spans="1:4" ht="13" thickBot="1" x14ac:dyDescent="0.3">
      <c r="A4335" s="9">
        <f ca="1"/>
        <v>41225</v>
      </c>
      <c r="B4335" s="6">
        <v>70.94</v>
      </c>
      <c r="C4335" s="6"/>
      <c r="D4335" s="6"/>
    </row>
    <row r="4336" spans="1:4" ht="13" thickBot="1" x14ac:dyDescent="0.3">
      <c r="A4336" s="9">
        <f ca="1"/>
        <v>41226</v>
      </c>
      <c r="B4336" s="6">
        <v>71.2</v>
      </c>
      <c r="C4336" s="6"/>
      <c r="D4336" s="6"/>
    </row>
    <row r="4337" spans="1:4" ht="13" thickBot="1" x14ac:dyDescent="0.3">
      <c r="A4337" s="9">
        <f ca="1"/>
        <v>41227</v>
      </c>
      <c r="B4337" s="6">
        <v>72.069999999999993</v>
      </c>
      <c r="C4337" s="6"/>
      <c r="D4337" s="6"/>
    </row>
    <row r="4338" spans="1:4" ht="13" thickBot="1" x14ac:dyDescent="0.3">
      <c r="A4338" s="9">
        <f ca="1"/>
        <v>41228</v>
      </c>
      <c r="B4338" s="6">
        <v>70.87</v>
      </c>
      <c r="C4338" s="6"/>
      <c r="D4338" s="6"/>
    </row>
    <row r="4339" spans="1:4" ht="13" thickBot="1" x14ac:dyDescent="0.3">
      <c r="A4339" s="9">
        <f ca="1"/>
        <v>41229</v>
      </c>
      <c r="B4339" s="6">
        <v>71.180000000000007</v>
      </c>
      <c r="C4339" s="6"/>
      <c r="D4339" s="6"/>
    </row>
    <row r="4340" spans="1:4" ht="13" thickBot="1" x14ac:dyDescent="0.3">
      <c r="A4340" s="9">
        <f ca="1"/>
        <v>41230</v>
      </c>
      <c r="B4340" s="5">
        <f t="shared" ref="B4340:B4341" si="619">B4339</f>
        <v>71.180000000000007</v>
      </c>
      <c r="C4340" s="6"/>
      <c r="D4340" s="6"/>
    </row>
    <row r="4341" spans="1:4" ht="13" thickBot="1" x14ac:dyDescent="0.3">
      <c r="A4341" s="9">
        <f ca="1"/>
        <v>41231</v>
      </c>
      <c r="B4341" s="5">
        <f t="shared" si="619"/>
        <v>71.180000000000007</v>
      </c>
      <c r="C4341" s="6"/>
      <c r="D4341" s="6"/>
    </row>
    <row r="4342" spans="1:4" ht="13" thickBot="1" x14ac:dyDescent="0.3">
      <c r="A4342" s="9">
        <f ca="1"/>
        <v>41232</v>
      </c>
      <c r="B4342" s="6">
        <v>72.349999999999994</v>
      </c>
      <c r="C4342" s="6"/>
      <c r="D4342" s="6"/>
    </row>
    <row r="4343" spans="1:4" ht="13" thickBot="1" x14ac:dyDescent="0.3">
      <c r="A4343" s="9">
        <f ca="1"/>
        <v>41233</v>
      </c>
      <c r="B4343" s="6">
        <v>73.599999999999994</v>
      </c>
      <c r="C4343" s="6"/>
      <c r="D4343" s="6"/>
    </row>
    <row r="4344" spans="1:4" ht="13" thickBot="1" x14ac:dyDescent="0.3">
      <c r="A4344" s="9">
        <f ca="1"/>
        <v>41234</v>
      </c>
      <c r="B4344" s="6">
        <v>74.98</v>
      </c>
      <c r="C4344" s="6"/>
      <c r="D4344" s="6"/>
    </row>
    <row r="4345" spans="1:4" ht="13" thickBot="1" x14ac:dyDescent="0.3">
      <c r="A4345" s="9">
        <f ca="1"/>
        <v>41235</v>
      </c>
      <c r="B4345" s="5">
        <f>B4344</f>
        <v>74.98</v>
      </c>
      <c r="C4345" s="6"/>
      <c r="D4345" s="6"/>
    </row>
    <row r="4346" spans="1:4" ht="13" thickBot="1" x14ac:dyDescent="0.3">
      <c r="A4346" s="9">
        <f ca="1"/>
        <v>41236</v>
      </c>
      <c r="B4346" s="6">
        <v>76.83</v>
      </c>
      <c r="C4346" s="6"/>
      <c r="D4346" s="6"/>
    </row>
    <row r="4347" spans="1:4" ht="13" thickBot="1" x14ac:dyDescent="0.3">
      <c r="A4347" s="9">
        <f ca="1"/>
        <v>41237</v>
      </c>
      <c r="B4347" s="5">
        <f t="shared" ref="B4347:B4348" si="620">B4346</f>
        <v>76.83</v>
      </c>
      <c r="C4347" s="6"/>
      <c r="D4347" s="6"/>
    </row>
    <row r="4348" spans="1:4" ht="13" thickBot="1" x14ac:dyDescent="0.3">
      <c r="A4348" s="9">
        <f ca="1"/>
        <v>41238</v>
      </c>
      <c r="B4348" s="5">
        <f t="shared" si="620"/>
        <v>76.83</v>
      </c>
      <c r="C4348" s="6"/>
      <c r="D4348" s="6"/>
    </row>
    <row r="4349" spans="1:4" ht="13" thickBot="1" x14ac:dyDescent="0.3">
      <c r="A4349" s="9">
        <f ca="1"/>
        <v>41239</v>
      </c>
      <c r="B4349" s="6">
        <v>77.37</v>
      </c>
      <c r="C4349" s="6"/>
      <c r="D4349" s="6"/>
    </row>
    <row r="4350" spans="1:4" ht="13" thickBot="1" x14ac:dyDescent="0.3">
      <c r="A4350" s="9">
        <f ca="1"/>
        <v>41240</v>
      </c>
      <c r="B4350" s="6">
        <v>77.02</v>
      </c>
      <c r="C4350" s="6"/>
      <c r="D4350" s="6"/>
    </row>
    <row r="4351" spans="1:4" ht="13" thickBot="1" x14ac:dyDescent="0.3">
      <c r="A4351" s="9">
        <f ca="1"/>
        <v>41241</v>
      </c>
      <c r="B4351" s="6">
        <v>76.58</v>
      </c>
      <c r="C4351" s="6"/>
      <c r="D4351" s="6"/>
    </row>
    <row r="4352" spans="1:4" ht="13" thickBot="1" x14ac:dyDescent="0.3">
      <c r="A4352" s="9">
        <f ca="1"/>
        <v>41242</v>
      </c>
      <c r="B4352" s="6">
        <v>78.19</v>
      </c>
      <c r="C4352" s="6"/>
      <c r="D4352" s="6"/>
    </row>
    <row r="4353" spans="1:4" ht="13" thickBot="1" x14ac:dyDescent="0.3">
      <c r="A4353" s="9">
        <f ca="1"/>
        <v>41243</v>
      </c>
      <c r="B4353" s="6">
        <v>78.319999999999993</v>
      </c>
      <c r="C4353" s="6"/>
      <c r="D4353" s="6"/>
    </row>
    <row r="4354" spans="1:4" ht="13" thickBot="1" x14ac:dyDescent="0.3">
      <c r="A4354" s="9">
        <f ca="1"/>
        <v>41244</v>
      </c>
      <c r="B4354" s="5">
        <f t="shared" ref="B4354:B4355" si="621">B4353</f>
        <v>78.319999999999993</v>
      </c>
      <c r="C4354" s="6"/>
      <c r="D4354" s="6"/>
    </row>
    <row r="4355" spans="1:4" ht="13" thickBot="1" x14ac:dyDescent="0.3">
      <c r="A4355" s="9">
        <f ca="1"/>
        <v>41245</v>
      </c>
      <c r="B4355" s="5">
        <f t="shared" si="621"/>
        <v>78.319999999999993</v>
      </c>
      <c r="C4355" s="6"/>
      <c r="D4355" s="6"/>
    </row>
    <row r="4356" spans="1:4" ht="13" thickBot="1" x14ac:dyDescent="0.3">
      <c r="A4356" s="9">
        <f ca="1"/>
        <v>41246</v>
      </c>
      <c r="B4356" s="6">
        <v>79.5</v>
      </c>
      <c r="C4356" s="6"/>
      <c r="D4356" s="6"/>
    </row>
    <row r="4357" spans="1:4" ht="13" thickBot="1" x14ac:dyDescent="0.3">
      <c r="A4357" s="9">
        <f ca="1"/>
        <v>41247</v>
      </c>
      <c r="B4357" s="6">
        <v>80.08</v>
      </c>
      <c r="C4357" s="6"/>
      <c r="D4357" s="6"/>
    </row>
    <row r="4358" spans="1:4" ht="13" thickBot="1" x14ac:dyDescent="0.3">
      <c r="A4358" s="9">
        <f ca="1"/>
        <v>41248</v>
      </c>
      <c r="B4358" s="6">
        <v>79.09</v>
      </c>
      <c r="C4358" s="6"/>
      <c r="D4358" s="6"/>
    </row>
    <row r="4359" spans="1:4" ht="13" thickBot="1" x14ac:dyDescent="0.3">
      <c r="A4359" s="9">
        <f ca="1"/>
        <v>41249</v>
      </c>
      <c r="B4359" s="6">
        <v>79.040000000000006</v>
      </c>
      <c r="C4359" s="6"/>
      <c r="D4359" s="6"/>
    </row>
    <row r="4360" spans="1:4" ht="13" thickBot="1" x14ac:dyDescent="0.3">
      <c r="A4360" s="9">
        <f ca="1"/>
        <v>41250</v>
      </c>
      <c r="B4360" s="6">
        <v>79.14</v>
      </c>
      <c r="C4360" s="6"/>
      <c r="D4360" s="6"/>
    </row>
    <row r="4361" spans="1:4" ht="13" thickBot="1" x14ac:dyDescent="0.3">
      <c r="A4361" s="9">
        <f ca="1"/>
        <v>41251</v>
      </c>
      <c r="B4361" s="5">
        <f t="shared" ref="B4361:B4362" si="622">B4360</f>
        <v>79.14</v>
      </c>
      <c r="C4361" s="6"/>
      <c r="D4361" s="6"/>
    </row>
    <row r="4362" spans="1:4" ht="13" thickBot="1" x14ac:dyDescent="0.3">
      <c r="A4362" s="9">
        <f ca="1"/>
        <v>41252</v>
      </c>
      <c r="B4362" s="5">
        <f t="shared" si="622"/>
        <v>79.14</v>
      </c>
      <c r="C4362" s="6"/>
      <c r="D4362" s="6"/>
    </row>
    <row r="4363" spans="1:4" ht="13" thickBot="1" x14ac:dyDescent="0.3">
      <c r="A4363" s="9">
        <f ca="1"/>
        <v>41253</v>
      </c>
      <c r="B4363" s="6">
        <v>79.12</v>
      </c>
      <c r="C4363" s="6"/>
      <c r="D4363" s="6"/>
    </row>
    <row r="4364" spans="1:4" ht="13" thickBot="1" x14ac:dyDescent="0.3">
      <c r="A4364" s="9">
        <f ca="1"/>
        <v>41254</v>
      </c>
      <c r="B4364" s="6">
        <v>79.73</v>
      </c>
      <c r="C4364" s="6"/>
      <c r="D4364" s="6"/>
    </row>
    <row r="4365" spans="1:4" ht="13" thickBot="1" x14ac:dyDescent="0.3">
      <c r="A4365" s="9">
        <f ca="1"/>
        <v>41255</v>
      </c>
      <c r="B4365" s="6">
        <v>79.92</v>
      </c>
      <c r="C4365" s="6"/>
      <c r="D4365" s="6"/>
    </row>
    <row r="4366" spans="1:4" ht="13" thickBot="1" x14ac:dyDescent="0.3">
      <c r="A4366" s="9">
        <f ca="1"/>
        <v>41256</v>
      </c>
      <c r="B4366" s="6">
        <v>79.56</v>
      </c>
      <c r="C4366" s="6"/>
      <c r="D4366" s="6"/>
    </row>
    <row r="4367" spans="1:4" ht="13" thickBot="1" x14ac:dyDescent="0.3">
      <c r="A4367" s="9">
        <f ca="1"/>
        <v>41257</v>
      </c>
      <c r="B4367" s="6">
        <v>79.39</v>
      </c>
      <c r="C4367" s="6"/>
      <c r="D4367" s="6"/>
    </row>
    <row r="4368" spans="1:4" ht="13" thickBot="1" x14ac:dyDescent="0.3">
      <c r="A4368" s="9">
        <f ca="1"/>
        <v>41258</v>
      </c>
      <c r="B4368" s="5">
        <f t="shared" ref="B4368:B4369" si="623">B4367</f>
        <v>79.39</v>
      </c>
      <c r="C4368" s="6"/>
      <c r="D4368" s="6"/>
    </row>
    <row r="4369" spans="1:4" ht="13" thickBot="1" x14ac:dyDescent="0.3">
      <c r="A4369" s="9">
        <f ca="1"/>
        <v>41259</v>
      </c>
      <c r="B4369" s="5">
        <f t="shared" si="623"/>
        <v>79.39</v>
      </c>
      <c r="C4369" s="6"/>
      <c r="D4369" s="6"/>
    </row>
    <row r="4370" spans="1:4" ht="13" thickBot="1" x14ac:dyDescent="0.3">
      <c r="A4370" s="9">
        <f ca="1"/>
        <v>41260</v>
      </c>
      <c r="B4370" s="6">
        <v>80.13</v>
      </c>
      <c r="C4370" s="6"/>
      <c r="D4370" s="6"/>
    </row>
    <row r="4371" spans="1:4" ht="13" thickBot="1" x14ac:dyDescent="0.3">
      <c r="A4371" s="9">
        <f ca="1"/>
        <v>41261</v>
      </c>
      <c r="B4371" s="6">
        <v>79.959999999999994</v>
      </c>
      <c r="C4371" s="6"/>
      <c r="D4371" s="6"/>
    </row>
    <row r="4372" spans="1:4" ht="13" thickBot="1" x14ac:dyDescent="0.3">
      <c r="A4372" s="9">
        <f ca="1"/>
        <v>41262</v>
      </c>
      <c r="B4372" s="6">
        <v>81.209999999999994</v>
      </c>
      <c r="C4372" s="6"/>
      <c r="D4372" s="6"/>
    </row>
    <row r="4373" spans="1:4" ht="13" thickBot="1" x14ac:dyDescent="0.3">
      <c r="A4373" s="9">
        <f ca="1"/>
        <v>41263</v>
      </c>
      <c r="B4373" s="6">
        <v>80.900000000000006</v>
      </c>
      <c r="C4373" s="6"/>
      <c r="D4373" s="6"/>
    </row>
    <row r="4374" spans="1:4" ht="13" thickBot="1" x14ac:dyDescent="0.3">
      <c r="A4374" s="9">
        <f ca="1"/>
        <v>41264</v>
      </c>
      <c r="B4374" s="6">
        <v>79.739999999999995</v>
      </c>
      <c r="C4374" s="6"/>
      <c r="D4374" s="6"/>
    </row>
    <row r="4375" spans="1:4" ht="13" thickBot="1" x14ac:dyDescent="0.3">
      <c r="A4375" s="9">
        <f ca="1"/>
        <v>41265</v>
      </c>
      <c r="B4375" s="5">
        <f t="shared" ref="B4375:B4376" si="624">B4374</f>
        <v>79.739999999999995</v>
      </c>
      <c r="C4375" s="6"/>
      <c r="D4375" s="6"/>
    </row>
    <row r="4376" spans="1:4" ht="13" thickBot="1" x14ac:dyDescent="0.3">
      <c r="A4376" s="9">
        <f ca="1"/>
        <v>41266</v>
      </c>
      <c r="B4376" s="5">
        <f t="shared" si="624"/>
        <v>79.739999999999995</v>
      </c>
      <c r="C4376" s="6"/>
      <c r="D4376" s="6"/>
    </row>
    <row r="4377" spans="1:4" ht="13" thickBot="1" x14ac:dyDescent="0.3">
      <c r="A4377" s="9">
        <f ca="1"/>
        <v>41267</v>
      </c>
      <c r="B4377" s="6">
        <v>79.930000000000007</v>
      </c>
      <c r="C4377" s="6"/>
      <c r="D4377" s="6"/>
    </row>
    <row r="4378" spans="1:4" ht="13" thickBot="1" x14ac:dyDescent="0.3">
      <c r="A4378" s="9">
        <f ca="1"/>
        <v>41268</v>
      </c>
      <c r="B4378" s="5">
        <f>B4377</f>
        <v>79.930000000000007</v>
      </c>
      <c r="C4378" s="6"/>
      <c r="D4378" s="6"/>
    </row>
    <row r="4379" spans="1:4" ht="13" thickBot="1" x14ac:dyDescent="0.3">
      <c r="A4379" s="9">
        <f ca="1"/>
        <v>41269</v>
      </c>
      <c r="B4379" s="6">
        <v>79.959999999999994</v>
      </c>
      <c r="C4379" s="6"/>
      <c r="D4379" s="6"/>
    </row>
    <row r="4380" spans="1:4" ht="13" thickBot="1" x14ac:dyDescent="0.3">
      <c r="A4380" s="9">
        <f ca="1"/>
        <v>41270</v>
      </c>
      <c r="B4380" s="6">
        <v>80.8</v>
      </c>
      <c r="C4380" s="6"/>
      <c r="D4380" s="6"/>
    </row>
    <row r="4381" spans="1:4" ht="13" thickBot="1" x14ac:dyDescent="0.3">
      <c r="A4381" s="9">
        <f ca="1"/>
        <v>41271</v>
      </c>
      <c r="B4381" s="6">
        <v>79.87</v>
      </c>
      <c r="C4381" s="6"/>
      <c r="D4381" s="6"/>
    </row>
    <row r="4382" spans="1:4" ht="13" thickBot="1" x14ac:dyDescent="0.3">
      <c r="A4382" s="9">
        <f ca="1"/>
        <v>41272</v>
      </c>
      <c r="B4382" s="5">
        <f t="shared" ref="B4382:B4383" si="625">B4381</f>
        <v>79.87</v>
      </c>
      <c r="C4382" s="6"/>
      <c r="D4382" s="6"/>
    </row>
    <row r="4383" spans="1:4" ht="13" thickBot="1" x14ac:dyDescent="0.3">
      <c r="A4383" s="9">
        <f ca="1"/>
        <v>41273</v>
      </c>
      <c r="B4383" s="5">
        <f t="shared" si="625"/>
        <v>79.87</v>
      </c>
      <c r="C4383" s="6"/>
      <c r="D4383" s="6"/>
    </row>
    <row r="4384" spans="1:4" ht="13" thickBot="1" x14ac:dyDescent="0.3">
      <c r="A4384" s="9">
        <f ca="1"/>
        <v>41274</v>
      </c>
      <c r="B4384" s="6">
        <v>79.62</v>
      </c>
      <c r="C4384" s="6"/>
      <c r="D4384" s="6"/>
    </row>
    <row r="4385" spans="1:4" ht="13" thickBot="1" x14ac:dyDescent="0.3">
      <c r="A4385" s="9">
        <f ca="1"/>
        <v>41275</v>
      </c>
      <c r="B4385" s="5">
        <f>B4384</f>
        <v>79.62</v>
      </c>
      <c r="C4385" s="6"/>
      <c r="D4385" s="6"/>
    </row>
    <row r="4386" spans="1:4" ht="13" thickBot="1" x14ac:dyDescent="0.3">
      <c r="A4386" s="9">
        <f ca="1"/>
        <v>41276</v>
      </c>
      <c r="B4386" s="6">
        <v>82.05</v>
      </c>
      <c r="C4386" s="6"/>
      <c r="D4386" s="6"/>
    </row>
    <row r="4387" spans="1:4" ht="13" thickBot="1" x14ac:dyDescent="0.3">
      <c r="A4387" s="9">
        <f ca="1"/>
        <v>41277</v>
      </c>
      <c r="B4387" s="6">
        <v>81.3</v>
      </c>
      <c r="C4387" s="6"/>
      <c r="D4387" s="6"/>
    </row>
    <row r="4388" spans="1:4" ht="13" thickBot="1" x14ac:dyDescent="0.3">
      <c r="A4388" s="9">
        <f ca="1"/>
        <v>41278</v>
      </c>
      <c r="B4388" s="6">
        <v>79.98</v>
      </c>
      <c r="C4388" s="6"/>
      <c r="D4388" s="6"/>
    </row>
    <row r="4389" spans="1:4" ht="13" thickBot="1" x14ac:dyDescent="0.3">
      <c r="A4389" s="9">
        <f ca="1"/>
        <v>41279</v>
      </c>
      <c r="B4389" s="5">
        <f t="shared" ref="B4389:B4390" si="626">B4388</f>
        <v>79.98</v>
      </c>
      <c r="C4389" s="6"/>
      <c r="D4389" s="6"/>
    </row>
    <row r="4390" spans="1:4" ht="13" thickBot="1" x14ac:dyDescent="0.3">
      <c r="A4390" s="9">
        <f ca="1"/>
        <v>41280</v>
      </c>
      <c r="B4390" s="5">
        <f t="shared" si="626"/>
        <v>79.98</v>
      </c>
      <c r="C4390" s="6"/>
      <c r="D4390" s="6"/>
    </row>
    <row r="4391" spans="1:4" ht="13" thickBot="1" x14ac:dyDescent="0.3">
      <c r="A4391" s="9">
        <f ca="1"/>
        <v>41281</v>
      </c>
      <c r="B4391" s="6">
        <v>79.61</v>
      </c>
      <c r="C4391" s="6"/>
      <c r="D4391" s="6"/>
    </row>
    <row r="4392" spans="1:4" ht="13" thickBot="1" x14ac:dyDescent="0.3">
      <c r="A4392" s="9">
        <f ca="1"/>
        <v>41282</v>
      </c>
      <c r="B4392" s="6">
        <v>79.959999999999994</v>
      </c>
      <c r="C4392" s="6"/>
      <c r="D4392" s="6"/>
    </row>
    <row r="4393" spans="1:4" ht="13" thickBot="1" x14ac:dyDescent="0.3">
      <c r="A4393" s="9">
        <f ca="1"/>
        <v>41283</v>
      </c>
      <c r="B4393" s="6">
        <v>79.510000000000005</v>
      </c>
      <c r="C4393" s="6"/>
      <c r="D4393" s="6"/>
    </row>
    <row r="4394" spans="1:4" ht="13" thickBot="1" x14ac:dyDescent="0.3">
      <c r="A4394" s="9">
        <f ca="1"/>
        <v>41284</v>
      </c>
      <c r="B4394" s="6">
        <v>80.709999999999994</v>
      </c>
      <c r="C4394" s="6"/>
      <c r="D4394" s="6"/>
    </row>
    <row r="4395" spans="1:4" ht="13" thickBot="1" x14ac:dyDescent="0.3">
      <c r="A4395" s="9">
        <f ca="1"/>
        <v>41285</v>
      </c>
      <c r="B4395" s="6">
        <v>81.790000000000006</v>
      </c>
      <c r="C4395" s="6"/>
      <c r="D4395" s="6"/>
    </row>
    <row r="4396" spans="1:4" ht="13" thickBot="1" x14ac:dyDescent="0.3">
      <c r="A4396" s="9">
        <f ca="1"/>
        <v>41286</v>
      </c>
      <c r="B4396" s="5">
        <f t="shared" ref="B4396:B4397" si="627">B4395</f>
        <v>81.790000000000006</v>
      </c>
      <c r="C4396" s="6"/>
      <c r="D4396" s="6"/>
    </row>
    <row r="4397" spans="1:4" ht="13" thickBot="1" x14ac:dyDescent="0.3">
      <c r="A4397" s="9">
        <f ca="1"/>
        <v>41287</v>
      </c>
      <c r="B4397" s="5">
        <f t="shared" si="627"/>
        <v>81.790000000000006</v>
      </c>
      <c r="C4397" s="6"/>
      <c r="D4397" s="6"/>
    </row>
    <row r="4398" spans="1:4" ht="13" thickBot="1" x14ac:dyDescent="0.3">
      <c r="A4398" s="9">
        <f ca="1"/>
        <v>41288</v>
      </c>
      <c r="B4398" s="6">
        <v>81.92</v>
      </c>
      <c r="C4398" s="6"/>
      <c r="D4398" s="6"/>
    </row>
    <row r="4399" spans="1:4" ht="13" thickBot="1" x14ac:dyDescent="0.3">
      <c r="A4399" s="9">
        <f ca="1"/>
        <v>41289</v>
      </c>
      <c r="B4399" s="6">
        <v>77.72</v>
      </c>
      <c r="C4399" s="6"/>
      <c r="D4399" s="6"/>
    </row>
    <row r="4400" spans="1:4" ht="13" thickBot="1" x14ac:dyDescent="0.3">
      <c r="A4400" s="9">
        <f ca="1"/>
        <v>41290</v>
      </c>
      <c r="B4400" s="6">
        <v>77.81</v>
      </c>
      <c r="C4400" s="6"/>
      <c r="D4400" s="6"/>
    </row>
    <row r="4401" spans="1:4" ht="13" thickBot="1" x14ac:dyDescent="0.3">
      <c r="A4401" s="9">
        <f ca="1"/>
        <v>41291</v>
      </c>
      <c r="B4401" s="6">
        <v>78.209999999999994</v>
      </c>
      <c r="C4401" s="6"/>
      <c r="D4401" s="6"/>
    </row>
    <row r="4402" spans="1:4" ht="13" thickBot="1" x14ac:dyDescent="0.3">
      <c r="A4402" s="9">
        <f ca="1"/>
        <v>41292</v>
      </c>
      <c r="B4402" s="6">
        <v>77.61</v>
      </c>
      <c r="C4402" s="6"/>
      <c r="D4402" s="6"/>
    </row>
    <row r="4403" spans="1:4" ht="13" thickBot="1" x14ac:dyDescent="0.3">
      <c r="A4403" s="9">
        <f ca="1"/>
        <v>41293</v>
      </c>
      <c r="B4403" s="5">
        <f t="shared" ref="B4403:B4405" si="628">B4402</f>
        <v>77.61</v>
      </c>
      <c r="C4403" s="6"/>
      <c r="D4403" s="6"/>
    </row>
    <row r="4404" spans="1:4" ht="13" thickBot="1" x14ac:dyDescent="0.3">
      <c r="A4404" s="9">
        <f ca="1"/>
        <v>41294</v>
      </c>
      <c r="B4404" s="5">
        <f t="shared" si="628"/>
        <v>77.61</v>
      </c>
      <c r="C4404" s="6"/>
      <c r="D4404" s="6"/>
    </row>
    <row r="4405" spans="1:4" ht="13" thickBot="1" x14ac:dyDescent="0.3">
      <c r="A4405" s="9">
        <f ca="1"/>
        <v>41295</v>
      </c>
      <c r="B4405" s="5">
        <f t="shared" si="628"/>
        <v>77.61</v>
      </c>
      <c r="C4405" s="6"/>
      <c r="D4405" s="6"/>
    </row>
    <row r="4406" spans="1:4" ht="13" thickBot="1" x14ac:dyDescent="0.3">
      <c r="A4406" s="9">
        <f ca="1"/>
        <v>41296</v>
      </c>
      <c r="B4406" s="6">
        <v>77.06</v>
      </c>
      <c r="C4406" s="6"/>
      <c r="D4406" s="6"/>
    </row>
    <row r="4407" spans="1:4" ht="13" thickBot="1" x14ac:dyDescent="0.3">
      <c r="A4407" s="9">
        <f ca="1"/>
        <v>41297</v>
      </c>
      <c r="B4407" s="6">
        <v>77.78</v>
      </c>
      <c r="C4407" s="6"/>
      <c r="D4407" s="6"/>
    </row>
    <row r="4408" spans="1:4" ht="13" thickBot="1" x14ac:dyDescent="0.3">
      <c r="A4408" s="9">
        <f ca="1"/>
        <v>41298</v>
      </c>
      <c r="B4408" s="6">
        <v>78.569999999999993</v>
      </c>
      <c r="C4408" s="6"/>
      <c r="D4408" s="6"/>
    </row>
    <row r="4409" spans="1:4" ht="13" thickBot="1" x14ac:dyDescent="0.3">
      <c r="A4409" s="9">
        <f ca="1"/>
        <v>41299</v>
      </c>
      <c r="B4409" s="6">
        <v>80.540000000000006</v>
      </c>
      <c r="C4409" s="6"/>
      <c r="D4409" s="6"/>
    </row>
    <row r="4410" spans="1:4" ht="13" thickBot="1" x14ac:dyDescent="0.3">
      <c r="A4410" s="9">
        <f ca="1"/>
        <v>41300</v>
      </c>
      <c r="B4410" s="5">
        <f t="shared" ref="B4410:B4411" si="629">B4409</f>
        <v>80.540000000000006</v>
      </c>
      <c r="C4410" s="6"/>
      <c r="D4410" s="6"/>
    </row>
    <row r="4411" spans="1:4" ht="13" thickBot="1" x14ac:dyDescent="0.3">
      <c r="A4411" s="9">
        <f ca="1"/>
        <v>41301</v>
      </c>
      <c r="B4411" s="5">
        <f t="shared" si="629"/>
        <v>80.540000000000006</v>
      </c>
      <c r="C4411" s="6"/>
      <c r="D4411" s="6"/>
    </row>
    <row r="4412" spans="1:4" ht="13" thickBot="1" x14ac:dyDescent="0.3">
      <c r="A4412" s="9">
        <f ca="1"/>
        <v>41302</v>
      </c>
      <c r="B4412" s="6">
        <v>80.930000000000007</v>
      </c>
      <c r="C4412" s="6"/>
      <c r="D4412" s="6"/>
    </row>
    <row r="4413" spans="1:4" ht="13" thickBot="1" x14ac:dyDescent="0.3">
      <c r="A4413" s="9">
        <f ca="1"/>
        <v>41303</v>
      </c>
      <c r="B4413" s="6">
        <v>80.430000000000007</v>
      </c>
      <c r="C4413" s="6"/>
      <c r="D4413" s="6"/>
    </row>
    <row r="4414" spans="1:4" ht="13" thickBot="1" x14ac:dyDescent="0.3">
      <c r="A4414" s="9">
        <f ca="1"/>
        <v>41304</v>
      </c>
      <c r="B4414" s="6">
        <v>81.41</v>
      </c>
      <c r="C4414" s="6"/>
      <c r="D4414" s="6"/>
    </row>
    <row r="4415" spans="1:4" ht="13" thickBot="1" x14ac:dyDescent="0.3">
      <c r="A4415" s="9">
        <f ca="1"/>
        <v>41305</v>
      </c>
      <c r="B4415" s="6">
        <v>81.83</v>
      </c>
      <c r="C4415" s="6"/>
      <c r="D4415" s="6"/>
    </row>
    <row r="4416" spans="1:4" ht="13" thickBot="1" x14ac:dyDescent="0.3">
      <c r="A4416" s="9">
        <f ca="1"/>
        <v>41306</v>
      </c>
      <c r="B4416" s="6">
        <v>83.31</v>
      </c>
      <c r="C4416" s="6"/>
      <c r="D4416" s="6"/>
    </row>
    <row r="4417" spans="1:4" ht="13" thickBot="1" x14ac:dyDescent="0.3">
      <c r="A4417" s="9">
        <f ca="1"/>
        <v>41307</v>
      </c>
      <c r="B4417" s="5">
        <f t="shared" ref="B4417:B4418" si="630">B4416</f>
        <v>83.31</v>
      </c>
      <c r="C4417" s="6"/>
      <c r="D4417" s="6"/>
    </row>
    <row r="4418" spans="1:4" ht="13" thickBot="1" x14ac:dyDescent="0.3">
      <c r="A4418" s="9">
        <f ca="1"/>
        <v>41308</v>
      </c>
      <c r="B4418" s="5">
        <f t="shared" si="630"/>
        <v>83.31</v>
      </c>
      <c r="C4418" s="6"/>
      <c r="D4418" s="6"/>
    </row>
    <row r="4419" spans="1:4" ht="13" thickBot="1" x14ac:dyDescent="0.3">
      <c r="A4419" s="9">
        <f ca="1"/>
        <v>41309</v>
      </c>
      <c r="B4419" s="6">
        <v>82.19</v>
      </c>
      <c r="C4419" s="6"/>
      <c r="D4419" s="6"/>
    </row>
    <row r="4420" spans="1:4" ht="13" thickBot="1" x14ac:dyDescent="0.3">
      <c r="A4420" s="9">
        <f ca="1"/>
        <v>41310</v>
      </c>
      <c r="B4420" s="6">
        <v>81.430000000000007</v>
      </c>
      <c r="C4420" s="6"/>
      <c r="D4420" s="6"/>
    </row>
    <row r="4421" spans="1:4" ht="13" thickBot="1" x14ac:dyDescent="0.3">
      <c r="A4421" s="9">
        <f ca="1"/>
        <v>41311</v>
      </c>
      <c r="B4421" s="6">
        <v>80.13</v>
      </c>
      <c r="C4421" s="6"/>
      <c r="D4421" s="6"/>
    </row>
    <row r="4422" spans="1:4" ht="13" thickBot="1" x14ac:dyDescent="0.3">
      <c r="A4422" s="9">
        <f ca="1"/>
        <v>41312</v>
      </c>
      <c r="B4422" s="6">
        <v>79.930000000000007</v>
      </c>
      <c r="C4422" s="6"/>
      <c r="D4422" s="6"/>
    </row>
    <row r="4423" spans="1:4" ht="13" thickBot="1" x14ac:dyDescent="0.3">
      <c r="A4423" s="9">
        <f ca="1"/>
        <v>41313</v>
      </c>
      <c r="B4423" s="6">
        <v>79.510000000000005</v>
      </c>
      <c r="C4423" s="6"/>
      <c r="D4423" s="6"/>
    </row>
    <row r="4424" spans="1:4" ht="13" thickBot="1" x14ac:dyDescent="0.3">
      <c r="A4424" s="9">
        <f ca="1"/>
        <v>41314</v>
      </c>
      <c r="B4424" s="5">
        <f t="shared" ref="B4424:B4425" si="631">B4423</f>
        <v>79.510000000000005</v>
      </c>
      <c r="C4424" s="6"/>
      <c r="D4424" s="6"/>
    </row>
    <row r="4425" spans="1:4" ht="13" thickBot="1" x14ac:dyDescent="0.3">
      <c r="A4425" s="9">
        <f ca="1"/>
        <v>41315</v>
      </c>
      <c r="B4425" s="5">
        <f t="shared" si="631"/>
        <v>79.510000000000005</v>
      </c>
      <c r="C4425" s="6"/>
      <c r="D4425" s="6"/>
    </row>
    <row r="4426" spans="1:4" ht="13" thickBot="1" x14ac:dyDescent="0.3">
      <c r="A4426" s="9">
        <f ca="1"/>
        <v>41316</v>
      </c>
      <c r="B4426" s="6">
        <v>79.209999999999994</v>
      </c>
      <c r="C4426" s="6"/>
      <c r="D4426" s="6"/>
    </row>
    <row r="4427" spans="1:4" ht="13" thickBot="1" x14ac:dyDescent="0.3">
      <c r="A4427" s="9">
        <f ca="1"/>
        <v>41317</v>
      </c>
      <c r="B4427" s="6">
        <v>79.62</v>
      </c>
      <c r="C4427" s="6"/>
      <c r="D4427" s="6"/>
    </row>
    <row r="4428" spans="1:4" ht="13" thickBot="1" x14ac:dyDescent="0.3">
      <c r="A4428" s="9">
        <f ca="1"/>
        <v>41318</v>
      </c>
      <c r="B4428" s="6">
        <v>80.760000000000005</v>
      </c>
      <c r="C4428" s="6"/>
      <c r="D4428" s="6"/>
    </row>
    <row r="4429" spans="1:4" ht="13" thickBot="1" x14ac:dyDescent="0.3">
      <c r="A4429" s="9">
        <f ca="1"/>
        <v>41319</v>
      </c>
      <c r="B4429" s="6">
        <v>79.45</v>
      </c>
      <c r="C4429" s="6"/>
      <c r="D4429" s="6"/>
    </row>
    <row r="4430" spans="1:4" ht="13" thickBot="1" x14ac:dyDescent="0.3">
      <c r="A4430" s="9">
        <f ca="1"/>
        <v>41320</v>
      </c>
      <c r="B4430" s="6">
        <v>80.23</v>
      </c>
      <c r="C4430" s="6"/>
      <c r="D4430" s="6"/>
    </row>
    <row r="4431" spans="1:4" ht="13" thickBot="1" x14ac:dyDescent="0.3">
      <c r="A4431" s="9">
        <f ca="1"/>
        <v>41321</v>
      </c>
      <c r="B4431" s="5">
        <f t="shared" ref="B4431:B4433" si="632">B4430</f>
        <v>80.23</v>
      </c>
      <c r="C4431" s="6"/>
      <c r="D4431" s="6"/>
    </row>
    <row r="4432" spans="1:4" ht="13" thickBot="1" x14ac:dyDescent="0.3">
      <c r="A4432" s="9">
        <f ca="1"/>
        <v>41322</v>
      </c>
      <c r="B4432" s="5">
        <f t="shared" si="632"/>
        <v>80.23</v>
      </c>
      <c r="C4432" s="6"/>
      <c r="D4432" s="6"/>
    </row>
    <row r="4433" spans="1:4" ht="13" thickBot="1" x14ac:dyDescent="0.3">
      <c r="A4433" s="9">
        <f ca="1"/>
        <v>41323</v>
      </c>
      <c r="B4433" s="5">
        <f t="shared" si="632"/>
        <v>80.23</v>
      </c>
      <c r="C4433" s="6"/>
      <c r="D4433" s="6"/>
    </row>
    <row r="4434" spans="1:4" ht="13" thickBot="1" x14ac:dyDescent="0.3">
      <c r="A4434" s="9">
        <f ca="1"/>
        <v>41324</v>
      </c>
      <c r="B4434" s="6">
        <v>79.94</v>
      </c>
      <c r="C4434" s="6"/>
      <c r="D4434" s="6"/>
    </row>
    <row r="4435" spans="1:4" ht="13" thickBot="1" x14ac:dyDescent="0.3">
      <c r="A4435" s="9">
        <f ca="1"/>
        <v>41325</v>
      </c>
      <c r="B4435" s="6">
        <v>80.650000000000006</v>
      </c>
      <c r="C4435" s="6"/>
      <c r="D4435" s="6"/>
    </row>
    <row r="4436" spans="1:4" ht="13" thickBot="1" x14ac:dyDescent="0.3">
      <c r="A4436" s="9">
        <f ca="1"/>
        <v>41326</v>
      </c>
      <c r="B4436" s="6">
        <v>78.180000000000007</v>
      </c>
      <c r="C4436" s="6"/>
      <c r="D4436" s="6"/>
    </row>
    <row r="4437" spans="1:4" ht="13" thickBot="1" x14ac:dyDescent="0.3">
      <c r="A4437" s="9">
        <f ca="1"/>
        <v>41327</v>
      </c>
      <c r="B4437" s="6">
        <v>78.209999999999994</v>
      </c>
      <c r="C4437" s="6"/>
      <c r="D4437" s="6"/>
    </row>
    <row r="4438" spans="1:4" ht="13" thickBot="1" x14ac:dyDescent="0.3">
      <c r="A4438" s="9">
        <f ca="1"/>
        <v>41328</v>
      </c>
      <c r="B4438" s="5">
        <f t="shared" ref="B4438:B4439" si="633">B4437</f>
        <v>78.209999999999994</v>
      </c>
      <c r="C4438" s="6"/>
      <c r="D4438" s="6"/>
    </row>
    <row r="4439" spans="1:4" ht="13" thickBot="1" x14ac:dyDescent="0.3">
      <c r="A4439" s="9">
        <f ca="1"/>
        <v>41329</v>
      </c>
      <c r="B4439" s="5">
        <f t="shared" si="633"/>
        <v>78.209999999999994</v>
      </c>
      <c r="C4439" s="6"/>
      <c r="D4439" s="6"/>
    </row>
    <row r="4440" spans="1:4" ht="13" thickBot="1" x14ac:dyDescent="0.3">
      <c r="A4440" s="9">
        <f ca="1"/>
        <v>41330</v>
      </c>
      <c r="B4440" s="6">
        <v>80.900000000000006</v>
      </c>
      <c r="C4440" s="6"/>
      <c r="D4440" s="6"/>
    </row>
    <row r="4441" spans="1:4" ht="13" thickBot="1" x14ac:dyDescent="0.3">
      <c r="A4441" s="9">
        <f ca="1"/>
        <v>41331</v>
      </c>
      <c r="B4441" s="6">
        <v>77.69</v>
      </c>
      <c r="C4441" s="6"/>
      <c r="D4441" s="6"/>
    </row>
    <row r="4442" spans="1:4" ht="13" thickBot="1" x14ac:dyDescent="0.3">
      <c r="A4442" s="9">
        <f ca="1"/>
        <v>41332</v>
      </c>
      <c r="B4442" s="6">
        <v>77.44</v>
      </c>
      <c r="C4442" s="6"/>
      <c r="D4442" s="6"/>
    </row>
    <row r="4443" spans="1:4" ht="13" thickBot="1" x14ac:dyDescent="0.3">
      <c r="A4443" s="9">
        <f ca="1"/>
        <v>41333</v>
      </c>
      <c r="B4443" s="6">
        <v>78.55</v>
      </c>
      <c r="C4443" s="6"/>
      <c r="D4443" s="6"/>
    </row>
    <row r="4444" spans="1:4" ht="13" thickBot="1" x14ac:dyDescent="0.3">
      <c r="A4444" s="9">
        <f ca="1"/>
        <v>41334</v>
      </c>
      <c r="B4444" s="6">
        <v>78.25</v>
      </c>
      <c r="C4444" s="6"/>
      <c r="D4444" s="6"/>
    </row>
    <row r="4445" spans="1:4" ht="13" thickBot="1" x14ac:dyDescent="0.3">
      <c r="A4445" s="9">
        <f ca="1"/>
        <v>41335</v>
      </c>
      <c r="B4445" s="5">
        <f t="shared" ref="B4445:B4446" si="634">B4444</f>
        <v>78.25</v>
      </c>
      <c r="C4445" s="6"/>
      <c r="D4445" s="6"/>
    </row>
    <row r="4446" spans="1:4" ht="13" thickBot="1" x14ac:dyDescent="0.3">
      <c r="A4446" s="9">
        <f ca="1"/>
        <v>41336</v>
      </c>
      <c r="B4446" s="5">
        <f t="shared" si="634"/>
        <v>78.25</v>
      </c>
      <c r="C4446" s="6"/>
      <c r="D4446" s="6"/>
    </row>
    <row r="4447" spans="1:4" ht="13" thickBot="1" x14ac:dyDescent="0.3">
      <c r="A4447" s="9">
        <f ca="1"/>
        <v>41337</v>
      </c>
      <c r="B4447" s="6">
        <v>79.209999999999994</v>
      </c>
      <c r="C4447" s="6"/>
      <c r="D4447" s="6"/>
    </row>
    <row r="4448" spans="1:4" ht="13" thickBot="1" x14ac:dyDescent="0.3">
      <c r="A4448" s="9">
        <f ca="1"/>
        <v>41338</v>
      </c>
      <c r="B4448" s="6">
        <v>80.900000000000006</v>
      </c>
      <c r="C4448" s="6"/>
      <c r="D4448" s="6"/>
    </row>
    <row r="4449" spans="1:4" ht="13" thickBot="1" x14ac:dyDescent="0.3">
      <c r="A4449" s="9">
        <f ca="1"/>
        <v>41339</v>
      </c>
      <c r="B4449" s="6">
        <v>82.93</v>
      </c>
      <c r="C4449" s="6"/>
      <c r="D4449" s="6"/>
    </row>
    <row r="4450" spans="1:4" ht="13" thickBot="1" x14ac:dyDescent="0.3">
      <c r="A4450" s="9">
        <f ca="1"/>
        <v>41340</v>
      </c>
      <c r="B4450" s="6">
        <v>83.67</v>
      </c>
      <c r="C4450" s="6"/>
      <c r="D4450" s="6"/>
    </row>
    <row r="4451" spans="1:4" ht="13" thickBot="1" x14ac:dyDescent="0.3">
      <c r="A4451" s="9">
        <f ca="1"/>
        <v>41341</v>
      </c>
      <c r="B4451" s="6">
        <v>82.91</v>
      </c>
      <c r="C4451" s="6"/>
      <c r="D4451" s="6"/>
    </row>
    <row r="4452" spans="1:4" ht="13" thickBot="1" x14ac:dyDescent="0.3">
      <c r="A4452" s="9">
        <f ca="1"/>
        <v>41342</v>
      </c>
      <c r="B4452" s="5">
        <f t="shared" ref="B4452:B4453" si="635">B4451</f>
        <v>82.91</v>
      </c>
      <c r="C4452" s="6"/>
      <c r="D4452" s="6"/>
    </row>
    <row r="4453" spans="1:4" ht="13" thickBot="1" x14ac:dyDescent="0.3">
      <c r="A4453" s="9">
        <f ca="1"/>
        <v>41343</v>
      </c>
      <c r="B4453" s="5">
        <f t="shared" si="635"/>
        <v>82.91</v>
      </c>
      <c r="C4453" s="6"/>
      <c r="D4453" s="6"/>
    </row>
    <row r="4454" spans="1:4" ht="13" thickBot="1" x14ac:dyDescent="0.3">
      <c r="A4454" s="9">
        <f ca="1"/>
        <v>41344</v>
      </c>
      <c r="B4454" s="6">
        <v>82.93</v>
      </c>
      <c r="C4454" s="6"/>
      <c r="D4454" s="6"/>
    </row>
    <row r="4455" spans="1:4" ht="13" thickBot="1" x14ac:dyDescent="0.3">
      <c r="A4455" s="9">
        <f ca="1"/>
        <v>41345</v>
      </c>
      <c r="B4455" s="6">
        <v>83.84</v>
      </c>
      <c r="C4455" s="6"/>
      <c r="D4455" s="6"/>
    </row>
    <row r="4456" spans="1:4" ht="13" thickBot="1" x14ac:dyDescent="0.3">
      <c r="A4456" s="9">
        <f ca="1"/>
        <v>41346</v>
      </c>
      <c r="B4456" s="6">
        <v>82.83</v>
      </c>
      <c r="C4456" s="6"/>
      <c r="D4456" s="6"/>
    </row>
    <row r="4457" spans="1:4" ht="13" thickBot="1" x14ac:dyDescent="0.3">
      <c r="A4457" s="9">
        <f ca="1"/>
        <v>41347</v>
      </c>
      <c r="B4457" s="6">
        <v>83.65</v>
      </c>
      <c r="C4457" s="6"/>
      <c r="D4457" s="6"/>
    </row>
    <row r="4458" spans="1:4" ht="13" thickBot="1" x14ac:dyDescent="0.3">
      <c r="A4458" s="9">
        <f ca="1"/>
        <v>41348</v>
      </c>
      <c r="B4458" s="6">
        <v>84.54</v>
      </c>
      <c r="C4458" s="6"/>
      <c r="D4458" s="6"/>
    </row>
    <row r="4459" spans="1:4" ht="13" thickBot="1" x14ac:dyDescent="0.3">
      <c r="A4459" s="9">
        <f ca="1"/>
        <v>41349</v>
      </c>
      <c r="B4459" s="5">
        <f t="shared" ref="B4459:B4460" si="636">B4458</f>
        <v>84.54</v>
      </c>
      <c r="C4459" s="6"/>
      <c r="D4459" s="6"/>
    </row>
    <row r="4460" spans="1:4" ht="13" thickBot="1" x14ac:dyDescent="0.3">
      <c r="A4460" s="9">
        <f ca="1"/>
        <v>41350</v>
      </c>
      <c r="B4460" s="5">
        <f t="shared" si="636"/>
        <v>84.54</v>
      </c>
      <c r="C4460" s="6"/>
      <c r="D4460" s="6"/>
    </row>
    <row r="4461" spans="1:4" ht="13" thickBot="1" x14ac:dyDescent="0.3">
      <c r="A4461" s="9">
        <f ca="1"/>
        <v>41351</v>
      </c>
      <c r="B4461" s="6">
        <v>82.72</v>
      </c>
      <c r="C4461" s="6"/>
      <c r="D4461" s="6"/>
    </row>
    <row r="4462" spans="1:4" ht="13" thickBot="1" x14ac:dyDescent="0.3">
      <c r="A4462" s="9">
        <f ca="1"/>
        <v>41352</v>
      </c>
      <c r="B4462" s="6">
        <v>83.29</v>
      </c>
      <c r="C4462" s="6"/>
      <c r="D4462" s="6"/>
    </row>
    <row r="4463" spans="1:4" ht="13" thickBot="1" x14ac:dyDescent="0.3">
      <c r="A4463" s="9">
        <f ca="1"/>
        <v>41353</v>
      </c>
      <c r="B4463" s="6">
        <v>83.46</v>
      </c>
      <c r="C4463" s="6"/>
      <c r="D4463" s="6"/>
    </row>
    <row r="4464" spans="1:4" ht="13" thickBot="1" x14ac:dyDescent="0.3">
      <c r="A4464" s="9">
        <f ca="1"/>
        <v>41354</v>
      </c>
      <c r="B4464" s="6">
        <v>81.08</v>
      </c>
      <c r="C4464" s="6"/>
      <c r="D4464" s="6"/>
    </row>
    <row r="4465" spans="1:4" ht="13" thickBot="1" x14ac:dyDescent="0.3">
      <c r="A4465" s="9">
        <f ca="1"/>
        <v>41355</v>
      </c>
      <c r="B4465" s="6">
        <v>81.09</v>
      </c>
      <c r="C4465" s="6"/>
      <c r="D4465" s="6"/>
    </row>
    <row r="4466" spans="1:4" ht="13" thickBot="1" x14ac:dyDescent="0.3">
      <c r="A4466" s="9">
        <f ca="1"/>
        <v>41356</v>
      </c>
      <c r="B4466" s="5">
        <f t="shared" ref="B4466:B4467" si="637">B4465</f>
        <v>81.09</v>
      </c>
      <c r="C4466" s="6"/>
      <c r="D4466" s="6"/>
    </row>
    <row r="4467" spans="1:4" ht="13" thickBot="1" x14ac:dyDescent="0.3">
      <c r="A4467" s="9">
        <f ca="1"/>
        <v>41357</v>
      </c>
      <c r="B4467" s="5">
        <f t="shared" si="637"/>
        <v>81.09</v>
      </c>
      <c r="C4467" s="6"/>
      <c r="D4467" s="6"/>
    </row>
    <row r="4468" spans="1:4" ht="13" thickBot="1" x14ac:dyDescent="0.3">
      <c r="A4468" s="9">
        <f ca="1"/>
        <v>41358</v>
      </c>
      <c r="B4468" s="6">
        <v>81.58</v>
      </c>
      <c r="C4468" s="6"/>
      <c r="D4468" s="6"/>
    </row>
    <row r="4469" spans="1:4" ht="13" thickBot="1" x14ac:dyDescent="0.3">
      <c r="A4469" s="9">
        <f ca="1"/>
        <v>41359</v>
      </c>
      <c r="B4469" s="6">
        <v>79.72</v>
      </c>
      <c r="C4469" s="6"/>
      <c r="D4469" s="6"/>
    </row>
    <row r="4470" spans="1:4" ht="13" thickBot="1" x14ac:dyDescent="0.3">
      <c r="A4470" s="9">
        <f ca="1"/>
        <v>41360</v>
      </c>
      <c r="B4470" s="6">
        <v>78.7</v>
      </c>
      <c r="C4470" s="6"/>
      <c r="D4470" s="6"/>
    </row>
    <row r="4471" spans="1:4" ht="13" thickBot="1" x14ac:dyDescent="0.3">
      <c r="A4471" s="9">
        <f ca="1"/>
        <v>41361</v>
      </c>
      <c r="B4471" s="6">
        <v>79.510000000000005</v>
      </c>
      <c r="C4471" s="6"/>
      <c r="D4471" s="6"/>
    </row>
    <row r="4472" spans="1:4" ht="13" thickBot="1" x14ac:dyDescent="0.3">
      <c r="A4472" s="9">
        <f ca="1"/>
        <v>41362</v>
      </c>
      <c r="B4472" s="5">
        <f t="shared" ref="B4472:B4474" si="638">B4471</f>
        <v>79.510000000000005</v>
      </c>
      <c r="C4472" s="6"/>
      <c r="D4472" s="6"/>
    </row>
    <row r="4473" spans="1:4" ht="13" thickBot="1" x14ac:dyDescent="0.3">
      <c r="A4473" s="9">
        <f ca="1"/>
        <v>41363</v>
      </c>
      <c r="B4473" s="5">
        <f t="shared" si="638"/>
        <v>79.510000000000005</v>
      </c>
      <c r="C4473" s="6"/>
      <c r="D4473" s="6"/>
    </row>
    <row r="4474" spans="1:4" ht="13" thickBot="1" x14ac:dyDescent="0.3">
      <c r="A4474" s="9">
        <f ca="1"/>
        <v>41364</v>
      </c>
      <c r="B4474" s="5">
        <f t="shared" si="638"/>
        <v>79.510000000000005</v>
      </c>
      <c r="C4474" s="6"/>
      <c r="D4474" s="6"/>
    </row>
    <row r="4475" spans="1:4" ht="13" thickBot="1" x14ac:dyDescent="0.3">
      <c r="A4475" s="9">
        <f ca="1"/>
        <v>41365</v>
      </c>
      <c r="B4475" s="6">
        <v>80.63</v>
      </c>
      <c r="C4475" s="6"/>
      <c r="D4475" s="6"/>
    </row>
    <row r="4476" spans="1:4" ht="13" thickBot="1" x14ac:dyDescent="0.3">
      <c r="A4476" s="9">
        <f ca="1"/>
        <v>41366</v>
      </c>
      <c r="B4476" s="6">
        <v>80.459999999999994</v>
      </c>
      <c r="C4476" s="6"/>
      <c r="D4476" s="6"/>
    </row>
    <row r="4477" spans="1:4" ht="13" thickBot="1" x14ac:dyDescent="0.3">
      <c r="A4477" s="9">
        <f ca="1"/>
        <v>41367</v>
      </c>
      <c r="B4477" s="6">
        <v>81.14</v>
      </c>
      <c r="C4477" s="6"/>
      <c r="D4477" s="6"/>
    </row>
    <row r="4478" spans="1:4" ht="13" thickBot="1" x14ac:dyDescent="0.3">
      <c r="A4478" s="9">
        <f ca="1"/>
        <v>41368</v>
      </c>
      <c r="B4478" s="6">
        <v>79.790000000000006</v>
      </c>
      <c r="C4478" s="6"/>
      <c r="D4478" s="6"/>
    </row>
    <row r="4479" spans="1:4" ht="13" thickBot="1" x14ac:dyDescent="0.3">
      <c r="A4479" s="9">
        <f ca="1"/>
        <v>41369</v>
      </c>
      <c r="B4479" s="6">
        <v>78.25</v>
      </c>
      <c r="C4479" s="6"/>
      <c r="D4479" s="6"/>
    </row>
    <row r="4480" spans="1:4" ht="13" thickBot="1" x14ac:dyDescent="0.3">
      <c r="A4480" s="9">
        <f ca="1"/>
        <v>41370</v>
      </c>
      <c r="B4480" s="5">
        <f t="shared" ref="B4480:B4481" si="639">B4479</f>
        <v>78.25</v>
      </c>
      <c r="C4480" s="6"/>
      <c r="D4480" s="6"/>
    </row>
    <row r="4481" spans="1:4" ht="13" thickBot="1" x14ac:dyDescent="0.3">
      <c r="A4481" s="9">
        <f ca="1"/>
        <v>41371</v>
      </c>
      <c r="B4481" s="5">
        <f t="shared" si="639"/>
        <v>78.25</v>
      </c>
      <c r="C4481" s="6"/>
      <c r="D4481" s="6"/>
    </row>
    <row r="4482" spans="1:4" ht="13" thickBot="1" x14ac:dyDescent="0.3">
      <c r="A4482" s="9">
        <f ca="1"/>
        <v>41372</v>
      </c>
      <c r="B4482" s="6">
        <v>78.31</v>
      </c>
      <c r="C4482" s="6"/>
      <c r="D4482" s="6"/>
    </row>
    <row r="4483" spans="1:4" ht="13" thickBot="1" x14ac:dyDescent="0.3">
      <c r="A4483" s="9">
        <f ca="1"/>
        <v>41373</v>
      </c>
      <c r="B4483" s="6">
        <v>77.63</v>
      </c>
      <c r="C4483" s="6"/>
      <c r="D4483" s="6"/>
    </row>
    <row r="4484" spans="1:4" ht="13" thickBot="1" x14ac:dyDescent="0.3">
      <c r="A4484" s="9">
        <f ca="1"/>
        <v>41374</v>
      </c>
      <c r="B4484" s="6">
        <v>77.150000000000006</v>
      </c>
      <c r="C4484" s="6"/>
      <c r="D4484" s="6"/>
    </row>
    <row r="4485" spans="1:4" ht="13" thickBot="1" x14ac:dyDescent="0.3">
      <c r="A4485" s="9">
        <f ca="1"/>
        <v>41375</v>
      </c>
      <c r="B4485" s="6">
        <v>77.45</v>
      </c>
      <c r="C4485" s="6"/>
      <c r="D4485" s="6"/>
    </row>
    <row r="4486" spans="1:4" ht="13" thickBot="1" x14ac:dyDescent="0.3">
      <c r="A4486" s="9">
        <f ca="1"/>
        <v>41376</v>
      </c>
      <c r="B4486" s="6">
        <v>77.489999999999995</v>
      </c>
      <c r="C4486" s="6"/>
      <c r="D4486" s="6"/>
    </row>
    <row r="4487" spans="1:4" ht="13" thickBot="1" x14ac:dyDescent="0.3">
      <c r="A4487" s="9">
        <f ca="1"/>
        <v>41377</v>
      </c>
      <c r="B4487" s="5">
        <f t="shared" ref="B4487:B4488" si="640">B4486</f>
        <v>77.489999999999995</v>
      </c>
      <c r="C4487" s="6"/>
      <c r="D4487" s="6"/>
    </row>
    <row r="4488" spans="1:4" ht="13" thickBot="1" x14ac:dyDescent="0.3">
      <c r="A4488" s="9">
        <f ca="1"/>
        <v>41378</v>
      </c>
      <c r="B4488" s="5">
        <f t="shared" si="640"/>
        <v>77.489999999999995</v>
      </c>
      <c r="C4488" s="6"/>
      <c r="D4488" s="6"/>
    </row>
    <row r="4489" spans="1:4" ht="13" thickBot="1" x14ac:dyDescent="0.3">
      <c r="A4489" s="9">
        <f ca="1"/>
        <v>41379</v>
      </c>
      <c r="B4489" s="6">
        <v>77.260000000000005</v>
      </c>
      <c r="C4489" s="6"/>
      <c r="D4489" s="6"/>
    </row>
    <row r="4490" spans="1:4" ht="13" thickBot="1" x14ac:dyDescent="0.3">
      <c r="A4490" s="9">
        <f ca="1"/>
        <v>41380</v>
      </c>
      <c r="B4490" s="6">
        <v>78.75</v>
      </c>
      <c r="C4490" s="6"/>
      <c r="D4490" s="6"/>
    </row>
    <row r="4491" spans="1:4" ht="13" thickBot="1" x14ac:dyDescent="0.3">
      <c r="A4491" s="9">
        <f ca="1"/>
        <v>41381</v>
      </c>
      <c r="B4491" s="6">
        <v>77.84</v>
      </c>
      <c r="C4491" s="6"/>
      <c r="D4491" s="6"/>
    </row>
    <row r="4492" spans="1:4" ht="13" thickBot="1" x14ac:dyDescent="0.3">
      <c r="A4492" s="9">
        <f ca="1"/>
        <v>41382</v>
      </c>
      <c r="B4492" s="6">
        <v>77.81</v>
      </c>
      <c r="C4492" s="6"/>
      <c r="D4492" s="6"/>
    </row>
    <row r="4493" spans="1:4" ht="13" thickBot="1" x14ac:dyDescent="0.3">
      <c r="A4493" s="9">
        <f ca="1"/>
        <v>41383</v>
      </c>
      <c r="B4493" s="6">
        <v>75.97</v>
      </c>
      <c r="C4493" s="6"/>
      <c r="D4493" s="6"/>
    </row>
    <row r="4494" spans="1:4" ht="13" thickBot="1" x14ac:dyDescent="0.3">
      <c r="A4494" s="9">
        <f ca="1"/>
        <v>41384</v>
      </c>
      <c r="B4494" s="5">
        <f t="shared" ref="B4494:B4495" si="641">B4493</f>
        <v>75.97</v>
      </c>
      <c r="C4494" s="6"/>
      <c r="D4494" s="6"/>
    </row>
    <row r="4495" spans="1:4" ht="13" thickBot="1" x14ac:dyDescent="0.3">
      <c r="A4495" s="9">
        <f ca="1"/>
        <v>41385</v>
      </c>
      <c r="B4495" s="5">
        <f t="shared" si="641"/>
        <v>75.97</v>
      </c>
      <c r="C4495" s="6"/>
      <c r="D4495" s="6"/>
    </row>
    <row r="4496" spans="1:4" ht="13" thickBot="1" x14ac:dyDescent="0.3">
      <c r="A4496" s="9">
        <f ca="1"/>
        <v>41386</v>
      </c>
      <c r="B4496" s="6">
        <v>75.13</v>
      </c>
      <c r="C4496" s="6"/>
      <c r="D4496" s="6"/>
    </row>
    <row r="4497" spans="1:4" ht="13" thickBot="1" x14ac:dyDescent="0.3">
      <c r="A4497" s="9">
        <f ca="1"/>
        <v>41387</v>
      </c>
      <c r="B4497" s="6">
        <v>74.959999999999994</v>
      </c>
      <c r="C4497" s="6"/>
      <c r="D4497" s="6"/>
    </row>
    <row r="4498" spans="1:4" ht="13" thickBot="1" x14ac:dyDescent="0.3">
      <c r="A4498" s="9">
        <f ca="1"/>
        <v>41388</v>
      </c>
      <c r="B4498" s="6">
        <v>76.7</v>
      </c>
      <c r="C4498" s="6"/>
      <c r="D4498" s="6"/>
    </row>
    <row r="4499" spans="1:4" ht="13" thickBot="1" x14ac:dyDescent="0.3">
      <c r="A4499" s="9">
        <f ca="1"/>
        <v>41389</v>
      </c>
      <c r="B4499" s="6">
        <v>78.209999999999994</v>
      </c>
      <c r="C4499" s="6"/>
      <c r="D4499" s="6"/>
    </row>
    <row r="4500" spans="1:4" ht="13" thickBot="1" x14ac:dyDescent="0.3">
      <c r="A4500" s="9">
        <f ca="1"/>
        <v>41390</v>
      </c>
      <c r="B4500" s="6">
        <v>77.64</v>
      </c>
      <c r="C4500" s="6"/>
      <c r="D4500" s="6"/>
    </row>
    <row r="4501" spans="1:4" ht="13" thickBot="1" x14ac:dyDescent="0.3">
      <c r="A4501" s="9">
        <f ca="1"/>
        <v>41391</v>
      </c>
      <c r="B4501" s="5">
        <f t="shared" ref="B4501:B4502" si="642">B4500</f>
        <v>77.64</v>
      </c>
      <c r="C4501" s="6"/>
      <c r="D4501" s="6"/>
    </row>
    <row r="4502" spans="1:4" ht="13" thickBot="1" x14ac:dyDescent="0.3">
      <c r="A4502" s="9">
        <f ca="1"/>
        <v>41392</v>
      </c>
      <c r="B4502" s="5">
        <f t="shared" si="642"/>
        <v>77.64</v>
      </c>
      <c r="C4502" s="6"/>
      <c r="D4502" s="6"/>
    </row>
    <row r="4503" spans="1:4" ht="13" thickBot="1" x14ac:dyDescent="0.3">
      <c r="A4503" s="9">
        <f ca="1"/>
        <v>41393</v>
      </c>
      <c r="B4503" s="6">
        <v>78.2</v>
      </c>
      <c r="C4503" s="6"/>
      <c r="D4503" s="6"/>
    </row>
    <row r="4504" spans="1:4" ht="13" thickBot="1" x14ac:dyDescent="0.3">
      <c r="A4504" s="9">
        <f ca="1"/>
        <v>41394</v>
      </c>
      <c r="B4504" s="6">
        <v>78.900000000000006</v>
      </c>
      <c r="C4504" s="6"/>
      <c r="D4504" s="6"/>
    </row>
    <row r="4505" spans="1:4" ht="13" thickBot="1" x14ac:dyDescent="0.3">
      <c r="A4505" s="9">
        <f ca="1"/>
        <v>41395</v>
      </c>
      <c r="B4505" s="6">
        <v>79.819999999999993</v>
      </c>
      <c r="C4505" s="6"/>
      <c r="D4505" s="6"/>
    </row>
    <row r="4506" spans="1:4" ht="13" thickBot="1" x14ac:dyDescent="0.3">
      <c r="A4506" s="9">
        <f ca="1"/>
        <v>41396</v>
      </c>
      <c r="B4506" s="6">
        <v>78.510000000000005</v>
      </c>
      <c r="C4506" s="6"/>
      <c r="D4506" s="6"/>
    </row>
    <row r="4507" spans="1:4" ht="13" thickBot="1" x14ac:dyDescent="0.3">
      <c r="A4507" s="9">
        <f ca="1"/>
        <v>41397</v>
      </c>
      <c r="B4507" s="6">
        <v>80.11</v>
      </c>
      <c r="C4507" s="6"/>
      <c r="D4507" s="6"/>
    </row>
    <row r="4508" spans="1:4" ht="13" thickBot="1" x14ac:dyDescent="0.3">
      <c r="A4508" s="9">
        <f ca="1"/>
        <v>41398</v>
      </c>
      <c r="B4508" s="5">
        <f t="shared" ref="B4508:B4509" si="643">B4507</f>
        <v>80.11</v>
      </c>
      <c r="C4508" s="6"/>
      <c r="D4508" s="6"/>
    </row>
    <row r="4509" spans="1:4" ht="13" thickBot="1" x14ac:dyDescent="0.3">
      <c r="A4509" s="9">
        <f ca="1"/>
        <v>41399</v>
      </c>
      <c r="B4509" s="5">
        <f t="shared" si="643"/>
        <v>80.11</v>
      </c>
      <c r="C4509" s="6"/>
      <c r="D4509" s="6"/>
    </row>
    <row r="4510" spans="1:4" ht="13" thickBot="1" x14ac:dyDescent="0.3">
      <c r="A4510" s="9">
        <f ca="1"/>
        <v>41400</v>
      </c>
      <c r="B4510" s="6">
        <v>81.319999999999993</v>
      </c>
      <c r="C4510" s="6"/>
      <c r="D4510" s="6"/>
    </row>
    <row r="4511" spans="1:4" ht="13" thickBot="1" x14ac:dyDescent="0.3">
      <c r="A4511" s="9">
        <f ca="1"/>
        <v>41401</v>
      </c>
      <c r="B4511" s="6">
        <v>82.26</v>
      </c>
      <c r="C4511" s="6"/>
      <c r="D4511" s="6"/>
    </row>
    <row r="4512" spans="1:4" ht="13" thickBot="1" x14ac:dyDescent="0.3">
      <c r="A4512" s="9">
        <f ca="1"/>
        <v>41402</v>
      </c>
      <c r="B4512" s="6">
        <v>82.7</v>
      </c>
      <c r="C4512" s="6"/>
      <c r="D4512" s="6"/>
    </row>
    <row r="4513" spans="1:4" ht="13" thickBot="1" x14ac:dyDescent="0.3">
      <c r="A4513" s="9">
        <f ca="1"/>
        <v>41403</v>
      </c>
      <c r="B4513" s="6">
        <v>82.21</v>
      </c>
      <c r="C4513" s="6"/>
      <c r="D4513" s="6"/>
    </row>
    <row r="4514" spans="1:4" ht="13" thickBot="1" x14ac:dyDescent="0.3">
      <c r="A4514" s="9">
        <f ca="1"/>
        <v>41404</v>
      </c>
      <c r="B4514" s="6">
        <v>82.22</v>
      </c>
      <c r="C4514" s="6"/>
      <c r="D4514" s="6"/>
    </row>
    <row r="4515" spans="1:4" ht="13" thickBot="1" x14ac:dyDescent="0.3">
      <c r="A4515" s="9">
        <f ca="1"/>
        <v>41405</v>
      </c>
      <c r="B4515" s="5">
        <f t="shared" ref="B4515:B4516" si="644">B4514</f>
        <v>82.22</v>
      </c>
      <c r="C4515" s="6"/>
      <c r="D4515" s="6"/>
    </row>
    <row r="4516" spans="1:4" ht="13" thickBot="1" x14ac:dyDescent="0.3">
      <c r="A4516" s="9">
        <f ca="1"/>
        <v>41406</v>
      </c>
      <c r="B4516" s="5">
        <f t="shared" si="644"/>
        <v>82.22</v>
      </c>
      <c r="C4516" s="6"/>
      <c r="D4516" s="6"/>
    </row>
    <row r="4517" spans="1:4" ht="13" thickBot="1" x14ac:dyDescent="0.3">
      <c r="A4517" s="9">
        <f ca="1"/>
        <v>41407</v>
      </c>
      <c r="B4517" s="6">
        <v>82.53</v>
      </c>
      <c r="C4517" s="6"/>
      <c r="D4517" s="6"/>
    </row>
    <row r="4518" spans="1:4" ht="13" thickBot="1" x14ac:dyDescent="0.3">
      <c r="A4518" s="9">
        <f ca="1"/>
        <v>41408</v>
      </c>
      <c r="B4518" s="6">
        <v>82.63</v>
      </c>
      <c r="C4518" s="6"/>
      <c r="D4518" s="6"/>
    </row>
    <row r="4519" spans="1:4" ht="13" thickBot="1" x14ac:dyDescent="0.3">
      <c r="A4519" s="9">
        <f ca="1"/>
        <v>41409</v>
      </c>
      <c r="B4519" s="6">
        <v>81.94</v>
      </c>
      <c r="C4519" s="6"/>
      <c r="D4519" s="6"/>
    </row>
    <row r="4520" spans="1:4" ht="13" thickBot="1" x14ac:dyDescent="0.3">
      <c r="A4520" s="9">
        <f ca="1"/>
        <v>41410</v>
      </c>
      <c r="B4520" s="6">
        <v>81.459999999999994</v>
      </c>
      <c r="C4520" s="6"/>
      <c r="D4520" s="6"/>
    </row>
    <row r="4521" spans="1:4" ht="13" thickBot="1" x14ac:dyDescent="0.3">
      <c r="A4521" s="9">
        <f ca="1"/>
        <v>41411</v>
      </c>
      <c r="B4521" s="6">
        <v>80.19</v>
      </c>
      <c r="C4521" s="6"/>
      <c r="D4521" s="6"/>
    </row>
    <row r="4522" spans="1:4" ht="13" thickBot="1" x14ac:dyDescent="0.3">
      <c r="A4522" s="9">
        <f ca="1"/>
        <v>41412</v>
      </c>
      <c r="B4522" s="5">
        <f t="shared" ref="B4522:B4523" si="645">B4521</f>
        <v>80.19</v>
      </c>
      <c r="C4522" s="6"/>
      <c r="D4522" s="6"/>
    </row>
    <row r="4523" spans="1:4" ht="13" thickBot="1" x14ac:dyDescent="0.3">
      <c r="A4523" s="9">
        <f ca="1"/>
        <v>41413</v>
      </c>
      <c r="B4523" s="5">
        <f t="shared" si="645"/>
        <v>80.19</v>
      </c>
      <c r="C4523" s="6"/>
      <c r="D4523" s="6"/>
    </row>
    <row r="4524" spans="1:4" ht="13" thickBot="1" x14ac:dyDescent="0.3">
      <c r="A4524" s="9">
        <f ca="1"/>
        <v>41414</v>
      </c>
      <c r="B4524" s="6">
        <v>80.03</v>
      </c>
      <c r="C4524" s="6"/>
      <c r="D4524" s="6"/>
    </row>
    <row r="4525" spans="1:4" ht="13" thickBot="1" x14ac:dyDescent="0.3">
      <c r="A4525" s="9">
        <f ca="1"/>
        <v>41415</v>
      </c>
      <c r="B4525" s="6">
        <v>79.48</v>
      </c>
      <c r="C4525" s="6"/>
      <c r="D4525" s="6"/>
    </row>
    <row r="4526" spans="1:4" ht="13" thickBot="1" x14ac:dyDescent="0.3">
      <c r="A4526" s="9">
        <f ca="1"/>
        <v>41416</v>
      </c>
      <c r="B4526" s="6">
        <v>79.83</v>
      </c>
      <c r="C4526" s="6"/>
      <c r="D4526" s="6"/>
    </row>
    <row r="4527" spans="1:4" ht="13" thickBot="1" x14ac:dyDescent="0.3">
      <c r="A4527" s="9">
        <f ca="1"/>
        <v>41417</v>
      </c>
      <c r="B4527" s="6">
        <v>78.05</v>
      </c>
      <c r="C4527" s="6"/>
      <c r="D4527" s="6"/>
    </row>
    <row r="4528" spans="1:4" ht="13" thickBot="1" x14ac:dyDescent="0.3">
      <c r="A4528" s="9">
        <f ca="1"/>
        <v>41418</v>
      </c>
      <c r="B4528" s="6">
        <v>77.099999999999994</v>
      </c>
      <c r="C4528" s="6"/>
      <c r="D4528" s="6"/>
    </row>
    <row r="4529" spans="1:4" ht="13" thickBot="1" x14ac:dyDescent="0.3">
      <c r="A4529" s="9">
        <f ca="1"/>
        <v>41419</v>
      </c>
      <c r="B4529" s="5">
        <f t="shared" ref="B4529:B4531" si="646">B4528</f>
        <v>77.099999999999994</v>
      </c>
      <c r="C4529" s="6"/>
      <c r="D4529" s="6"/>
    </row>
    <row r="4530" spans="1:4" ht="13" thickBot="1" x14ac:dyDescent="0.3">
      <c r="A4530" s="9">
        <f ca="1"/>
        <v>41420</v>
      </c>
      <c r="B4530" s="5">
        <f t="shared" si="646"/>
        <v>77.099999999999994</v>
      </c>
      <c r="C4530" s="6"/>
      <c r="D4530" s="6"/>
    </row>
    <row r="4531" spans="1:4" ht="13" thickBot="1" x14ac:dyDescent="0.3">
      <c r="A4531" s="9">
        <f ca="1"/>
        <v>41421</v>
      </c>
      <c r="B4531" s="5">
        <f t="shared" si="646"/>
        <v>77.099999999999994</v>
      </c>
      <c r="C4531" s="6"/>
      <c r="D4531" s="6"/>
    </row>
    <row r="4532" spans="1:4" ht="13" thickBot="1" x14ac:dyDescent="0.3">
      <c r="A4532" s="9">
        <f ca="1"/>
        <v>41422</v>
      </c>
      <c r="B4532" s="6">
        <v>77.92</v>
      </c>
      <c r="C4532" s="6"/>
      <c r="D4532" s="6"/>
    </row>
    <row r="4533" spans="1:4" ht="13" thickBot="1" x14ac:dyDescent="0.3">
      <c r="A4533" s="9">
        <f ca="1"/>
        <v>41423</v>
      </c>
      <c r="B4533" s="6">
        <v>76.2</v>
      </c>
      <c r="C4533" s="6"/>
      <c r="D4533" s="6"/>
    </row>
    <row r="4534" spans="1:4" ht="13" thickBot="1" x14ac:dyDescent="0.3">
      <c r="A4534" s="9">
        <f ca="1"/>
        <v>41424</v>
      </c>
      <c r="B4534" s="6">
        <v>76.14</v>
      </c>
      <c r="C4534" s="6"/>
      <c r="D4534" s="6"/>
    </row>
    <row r="4535" spans="1:4" ht="13" thickBot="1" x14ac:dyDescent="0.3">
      <c r="A4535" s="9">
        <f ca="1"/>
        <v>41425</v>
      </c>
      <c r="B4535" s="6">
        <v>74.44</v>
      </c>
      <c r="C4535" s="6"/>
      <c r="D4535" s="6"/>
    </row>
    <row r="4536" spans="1:4" ht="13" thickBot="1" x14ac:dyDescent="0.3">
      <c r="A4536" s="9">
        <f ca="1"/>
        <v>41426</v>
      </c>
      <c r="B4536" s="5">
        <f t="shared" ref="B4536:B4537" si="647">B4535</f>
        <v>74.44</v>
      </c>
      <c r="C4536" s="6"/>
      <c r="D4536" s="6"/>
    </row>
    <row r="4537" spans="1:4" ht="13" thickBot="1" x14ac:dyDescent="0.3">
      <c r="A4537" s="9">
        <f ca="1"/>
        <v>41427</v>
      </c>
      <c r="B4537" s="5">
        <f t="shared" si="647"/>
        <v>74.44</v>
      </c>
      <c r="C4537" s="6"/>
      <c r="D4537" s="6"/>
    </row>
    <row r="4538" spans="1:4" ht="13" thickBot="1" x14ac:dyDescent="0.3">
      <c r="A4538" s="9">
        <f ca="1"/>
        <v>41428</v>
      </c>
      <c r="B4538" s="6">
        <v>75.010000000000005</v>
      </c>
      <c r="C4538" s="6"/>
      <c r="D4538" s="6"/>
    </row>
    <row r="4539" spans="1:4" ht="13" thickBot="1" x14ac:dyDescent="0.3">
      <c r="A4539" s="9">
        <f ca="1"/>
        <v>41429</v>
      </c>
      <c r="B4539" s="6">
        <v>75.31</v>
      </c>
      <c r="C4539" s="6"/>
      <c r="D4539" s="6"/>
    </row>
    <row r="4540" spans="1:4" ht="13" thickBot="1" x14ac:dyDescent="0.3">
      <c r="A4540" s="9">
        <f ca="1"/>
        <v>41430</v>
      </c>
      <c r="B4540" s="6">
        <v>74.599999999999994</v>
      </c>
      <c r="C4540" s="6"/>
      <c r="D4540" s="6"/>
    </row>
    <row r="4541" spans="1:4" ht="13" thickBot="1" x14ac:dyDescent="0.3">
      <c r="A4541" s="9">
        <f ca="1"/>
        <v>41431</v>
      </c>
      <c r="B4541" s="6">
        <v>75.84</v>
      </c>
      <c r="C4541" s="6"/>
      <c r="D4541" s="6"/>
    </row>
    <row r="4542" spans="1:4" ht="13" thickBot="1" x14ac:dyDescent="0.3">
      <c r="A4542" s="9">
        <f ca="1"/>
        <v>41432</v>
      </c>
      <c r="B4542" s="6">
        <v>75.81</v>
      </c>
      <c r="C4542" s="6"/>
      <c r="D4542" s="6"/>
    </row>
    <row r="4543" spans="1:4" ht="13" thickBot="1" x14ac:dyDescent="0.3">
      <c r="A4543" s="9">
        <f ca="1"/>
        <v>41433</v>
      </c>
      <c r="B4543" s="5">
        <f t="shared" ref="B4543:B4544" si="648">B4542</f>
        <v>75.81</v>
      </c>
      <c r="C4543" s="6"/>
      <c r="D4543" s="6"/>
    </row>
    <row r="4544" spans="1:4" ht="13" thickBot="1" x14ac:dyDescent="0.3">
      <c r="A4544" s="9">
        <f ca="1"/>
        <v>41434</v>
      </c>
      <c r="B4544" s="5">
        <f t="shared" si="648"/>
        <v>75.81</v>
      </c>
      <c r="C4544" s="6"/>
      <c r="D4544" s="6"/>
    </row>
    <row r="4545" spans="1:4" ht="13" thickBot="1" x14ac:dyDescent="0.3">
      <c r="A4545" s="9">
        <f ca="1"/>
        <v>41435</v>
      </c>
      <c r="B4545" s="6">
        <v>77.260000000000005</v>
      </c>
      <c r="C4545" s="6"/>
      <c r="D4545" s="6"/>
    </row>
    <row r="4546" spans="1:4" ht="13" thickBot="1" x14ac:dyDescent="0.3">
      <c r="A4546" s="9">
        <f ca="1"/>
        <v>41436</v>
      </c>
      <c r="B4546" s="6">
        <v>76.319999999999993</v>
      </c>
      <c r="C4546" s="6"/>
      <c r="D4546" s="6"/>
    </row>
    <row r="4547" spans="1:4" ht="13" thickBot="1" x14ac:dyDescent="0.3">
      <c r="A4547" s="9">
        <f ca="1"/>
        <v>41437</v>
      </c>
      <c r="B4547" s="6">
        <v>77.040000000000006</v>
      </c>
      <c r="C4547" s="6"/>
      <c r="D4547" s="6"/>
    </row>
    <row r="4548" spans="1:4" ht="13" thickBot="1" x14ac:dyDescent="0.3">
      <c r="A4548" s="9">
        <f ca="1"/>
        <v>41438</v>
      </c>
      <c r="B4548" s="6">
        <v>75.81</v>
      </c>
      <c r="C4548" s="6"/>
      <c r="D4548" s="6"/>
    </row>
    <row r="4549" spans="1:4" ht="13" thickBot="1" x14ac:dyDescent="0.3">
      <c r="A4549" s="9">
        <f ca="1"/>
        <v>41439</v>
      </c>
      <c r="B4549" s="6">
        <v>76.349999999999994</v>
      </c>
      <c r="C4549" s="6"/>
      <c r="D4549" s="6"/>
    </row>
    <row r="4550" spans="1:4" ht="13" thickBot="1" x14ac:dyDescent="0.3">
      <c r="A4550" s="9">
        <f ca="1"/>
        <v>41440</v>
      </c>
      <c r="B4550" s="5">
        <f t="shared" ref="B4550:B4551" si="649">B4549</f>
        <v>76.349999999999994</v>
      </c>
      <c r="C4550" s="6"/>
      <c r="D4550" s="6"/>
    </row>
    <row r="4551" spans="1:4" ht="13" thickBot="1" x14ac:dyDescent="0.3">
      <c r="A4551" s="9">
        <f ca="1"/>
        <v>41441</v>
      </c>
      <c r="B4551" s="5">
        <f t="shared" si="649"/>
        <v>76.349999999999994</v>
      </c>
      <c r="C4551" s="6"/>
      <c r="D4551" s="6"/>
    </row>
    <row r="4552" spans="1:4" ht="13" thickBot="1" x14ac:dyDescent="0.3">
      <c r="A4552" s="9">
        <f ca="1"/>
        <v>41442</v>
      </c>
      <c r="B4552" s="6">
        <v>77.52</v>
      </c>
      <c r="C4552" s="6"/>
      <c r="D4552" s="6"/>
    </row>
    <row r="4553" spans="1:4" ht="13" thickBot="1" x14ac:dyDescent="0.3">
      <c r="A4553" s="9">
        <f ca="1"/>
        <v>41443</v>
      </c>
      <c r="B4553" s="6">
        <v>77.040000000000006</v>
      </c>
      <c r="C4553" s="6"/>
      <c r="D4553" s="6"/>
    </row>
    <row r="4554" spans="1:4" ht="13" thickBot="1" x14ac:dyDescent="0.3">
      <c r="A4554" s="9">
        <f ca="1"/>
        <v>41444</v>
      </c>
      <c r="B4554" s="6">
        <v>77.09</v>
      </c>
      <c r="C4554" s="6"/>
      <c r="D4554" s="6"/>
    </row>
    <row r="4555" spans="1:4" ht="13" thickBot="1" x14ac:dyDescent="0.3">
      <c r="A4555" s="9">
        <f ca="1"/>
        <v>41445</v>
      </c>
      <c r="B4555" s="6">
        <v>75.34</v>
      </c>
      <c r="C4555" s="6"/>
      <c r="D4555" s="6"/>
    </row>
    <row r="4556" spans="1:4" ht="13" thickBot="1" x14ac:dyDescent="0.3">
      <c r="A4556" s="9">
        <f ca="1"/>
        <v>41446</v>
      </c>
      <c r="B4556" s="6">
        <v>72.989999999999995</v>
      </c>
      <c r="C4556" s="6"/>
      <c r="D4556" s="6"/>
    </row>
    <row r="4557" spans="1:4" ht="13" thickBot="1" x14ac:dyDescent="0.3">
      <c r="A4557" s="9">
        <f ca="1"/>
        <v>41447</v>
      </c>
      <c r="B4557" s="5">
        <f t="shared" ref="B4557:B4558" si="650">B4556</f>
        <v>72.989999999999995</v>
      </c>
      <c r="C4557" s="6"/>
      <c r="D4557" s="6"/>
    </row>
    <row r="4558" spans="1:4" ht="13" thickBot="1" x14ac:dyDescent="0.3">
      <c r="A4558" s="9">
        <f ca="1"/>
        <v>41448</v>
      </c>
      <c r="B4558" s="5">
        <f t="shared" si="650"/>
        <v>72.989999999999995</v>
      </c>
      <c r="C4558" s="6"/>
      <c r="D4558" s="6"/>
    </row>
    <row r="4559" spans="1:4" ht="13" thickBot="1" x14ac:dyDescent="0.3">
      <c r="A4559" s="9">
        <f ca="1"/>
        <v>41449</v>
      </c>
      <c r="B4559" s="6">
        <v>71.19</v>
      </c>
      <c r="C4559" s="6"/>
      <c r="D4559" s="6"/>
    </row>
    <row r="4560" spans="1:4" ht="13" thickBot="1" x14ac:dyDescent="0.3">
      <c r="A4560" s="9">
        <f ca="1"/>
        <v>41450</v>
      </c>
      <c r="B4560" s="6">
        <v>72.239999999999995</v>
      </c>
      <c r="C4560" s="6"/>
      <c r="D4560" s="6"/>
    </row>
    <row r="4561" spans="1:4" ht="13" thickBot="1" x14ac:dyDescent="0.3">
      <c r="A4561" s="9">
        <f ca="1"/>
        <v>41451</v>
      </c>
      <c r="B4561" s="6">
        <v>74.430000000000007</v>
      </c>
      <c r="C4561" s="6"/>
      <c r="D4561" s="6"/>
    </row>
    <row r="4562" spans="1:4" ht="13" thickBot="1" x14ac:dyDescent="0.3">
      <c r="A4562" s="9">
        <f ca="1"/>
        <v>41452</v>
      </c>
      <c r="B4562" s="6">
        <v>75.55</v>
      </c>
      <c r="C4562" s="6"/>
      <c r="D4562" s="6"/>
    </row>
    <row r="4563" spans="1:4" ht="13" thickBot="1" x14ac:dyDescent="0.3">
      <c r="A4563" s="9">
        <f ca="1"/>
        <v>41453</v>
      </c>
      <c r="B4563" s="6">
        <v>73.36</v>
      </c>
      <c r="C4563" s="6"/>
      <c r="D4563" s="6"/>
    </row>
    <row r="4564" spans="1:4" ht="13" thickBot="1" x14ac:dyDescent="0.3">
      <c r="A4564" s="9">
        <f ca="1"/>
        <v>41454</v>
      </c>
      <c r="B4564" s="5">
        <f t="shared" ref="B4564:B4565" si="651">B4563</f>
        <v>73.36</v>
      </c>
      <c r="C4564" s="6"/>
      <c r="D4564" s="6"/>
    </row>
    <row r="4565" spans="1:4" ht="13" thickBot="1" x14ac:dyDescent="0.3">
      <c r="A4565" s="9">
        <f ca="1"/>
        <v>41455</v>
      </c>
      <c r="B4565" s="5">
        <f t="shared" si="651"/>
        <v>73.36</v>
      </c>
      <c r="C4565" s="6"/>
      <c r="D4565" s="6"/>
    </row>
    <row r="4566" spans="1:4" ht="13" thickBot="1" x14ac:dyDescent="0.3">
      <c r="A4566" s="9">
        <f ca="1"/>
        <v>41456</v>
      </c>
      <c r="B4566" s="6">
        <v>72.709999999999994</v>
      </c>
      <c r="C4566" s="6"/>
      <c r="D4566" s="6"/>
    </row>
    <row r="4567" spans="1:4" ht="13" thickBot="1" x14ac:dyDescent="0.3">
      <c r="A4567" s="9">
        <f ca="1"/>
        <v>41457</v>
      </c>
      <c r="B4567" s="6">
        <v>71.92</v>
      </c>
      <c r="C4567" s="6"/>
      <c r="D4567" s="6"/>
    </row>
    <row r="4568" spans="1:4" ht="13" thickBot="1" x14ac:dyDescent="0.3">
      <c r="A4568" s="9">
        <f ca="1"/>
        <v>41458</v>
      </c>
      <c r="B4568" s="6">
        <v>71.06</v>
      </c>
      <c r="C4568" s="6"/>
      <c r="D4568" s="6"/>
    </row>
    <row r="4569" spans="1:4" ht="13" thickBot="1" x14ac:dyDescent="0.3">
      <c r="A4569" s="9">
        <f ca="1"/>
        <v>41459</v>
      </c>
      <c r="B4569" s="5">
        <f>B4568</f>
        <v>71.06</v>
      </c>
      <c r="C4569" s="6"/>
      <c r="D4569" s="6"/>
    </row>
    <row r="4570" spans="1:4" ht="13" thickBot="1" x14ac:dyDescent="0.3">
      <c r="A4570" s="9">
        <f ca="1"/>
        <v>41460</v>
      </c>
      <c r="B4570" s="6">
        <v>70.42</v>
      </c>
      <c r="C4570" s="6"/>
      <c r="D4570" s="6"/>
    </row>
    <row r="4571" spans="1:4" ht="13" thickBot="1" x14ac:dyDescent="0.3">
      <c r="A4571" s="9">
        <f ca="1"/>
        <v>41461</v>
      </c>
      <c r="B4571" s="5">
        <f t="shared" ref="B4571:B4572" si="652">B4570</f>
        <v>70.42</v>
      </c>
      <c r="C4571" s="6"/>
      <c r="D4571" s="6"/>
    </row>
    <row r="4572" spans="1:4" ht="13" thickBot="1" x14ac:dyDescent="0.3">
      <c r="A4572" s="9">
        <f ca="1"/>
        <v>41462</v>
      </c>
      <c r="B4572" s="5">
        <f t="shared" si="652"/>
        <v>70.42</v>
      </c>
      <c r="C4572" s="6"/>
      <c r="D4572" s="6"/>
    </row>
    <row r="4573" spans="1:4" ht="13" thickBot="1" x14ac:dyDescent="0.3">
      <c r="A4573" s="9">
        <f ca="1"/>
        <v>41463</v>
      </c>
      <c r="B4573" s="6">
        <v>71.56</v>
      </c>
      <c r="C4573" s="6"/>
      <c r="D4573" s="6"/>
    </row>
    <row r="4574" spans="1:4" ht="13" thickBot="1" x14ac:dyDescent="0.3">
      <c r="A4574" s="9">
        <f ca="1"/>
        <v>41464</v>
      </c>
      <c r="B4574" s="6">
        <v>72.22</v>
      </c>
      <c r="C4574" s="6"/>
      <c r="D4574" s="6"/>
    </row>
    <row r="4575" spans="1:4" ht="13" thickBot="1" x14ac:dyDescent="0.3">
      <c r="A4575" s="9">
        <f ca="1"/>
        <v>41465</v>
      </c>
      <c r="B4575" s="6">
        <v>71.849999999999994</v>
      </c>
      <c r="C4575" s="6"/>
      <c r="D4575" s="6"/>
    </row>
    <row r="4576" spans="1:4" ht="13" thickBot="1" x14ac:dyDescent="0.3">
      <c r="A4576" s="9">
        <f ca="1"/>
        <v>41466</v>
      </c>
      <c r="B4576" s="6">
        <v>73.73</v>
      </c>
      <c r="C4576" s="6"/>
      <c r="D4576" s="6"/>
    </row>
    <row r="4577" spans="1:4" ht="13" thickBot="1" x14ac:dyDescent="0.3">
      <c r="A4577" s="9">
        <f ca="1"/>
        <v>41467</v>
      </c>
      <c r="B4577" s="6">
        <v>74.87</v>
      </c>
      <c r="C4577" s="6"/>
      <c r="D4577" s="6"/>
    </row>
    <row r="4578" spans="1:4" ht="13" thickBot="1" x14ac:dyDescent="0.3">
      <c r="A4578" s="9">
        <f ca="1"/>
        <v>41468</v>
      </c>
      <c r="B4578" s="5">
        <f t="shared" ref="B4578:B4579" si="653">B4577</f>
        <v>74.87</v>
      </c>
      <c r="C4578" s="6"/>
      <c r="D4578" s="6"/>
    </row>
    <row r="4579" spans="1:4" ht="13" thickBot="1" x14ac:dyDescent="0.3">
      <c r="A4579" s="9">
        <f ca="1"/>
        <v>41469</v>
      </c>
      <c r="B4579" s="5">
        <f t="shared" si="653"/>
        <v>74.87</v>
      </c>
      <c r="C4579" s="6"/>
      <c r="D4579" s="6"/>
    </row>
    <row r="4580" spans="1:4" ht="13" thickBot="1" x14ac:dyDescent="0.3">
      <c r="A4580" s="9">
        <f ca="1"/>
        <v>41470</v>
      </c>
      <c r="B4580" s="6">
        <v>75.58</v>
      </c>
      <c r="C4580" s="6"/>
      <c r="D4580" s="6"/>
    </row>
    <row r="4581" spans="1:4" ht="13" thickBot="1" x14ac:dyDescent="0.3">
      <c r="A4581" s="9">
        <f ca="1"/>
        <v>41471</v>
      </c>
      <c r="B4581" s="6">
        <v>75.510000000000005</v>
      </c>
      <c r="C4581" s="6"/>
      <c r="D4581" s="6"/>
    </row>
    <row r="4582" spans="1:4" ht="13" thickBot="1" x14ac:dyDescent="0.3">
      <c r="A4582" s="9">
        <f ca="1"/>
        <v>41472</v>
      </c>
      <c r="B4582" s="6">
        <v>76.099999999999994</v>
      </c>
      <c r="C4582" s="6"/>
      <c r="D4582" s="6"/>
    </row>
    <row r="4583" spans="1:4" ht="13" thickBot="1" x14ac:dyDescent="0.3">
      <c r="A4583" s="9">
        <f ca="1"/>
        <v>41473</v>
      </c>
      <c r="B4583" s="6">
        <v>75.48</v>
      </c>
      <c r="C4583" s="6"/>
      <c r="D4583" s="6"/>
    </row>
    <row r="4584" spans="1:4" ht="13" thickBot="1" x14ac:dyDescent="0.3">
      <c r="A4584" s="9">
        <f ca="1"/>
        <v>41474</v>
      </c>
      <c r="B4584" s="6">
        <v>72.87</v>
      </c>
      <c r="C4584" s="6"/>
      <c r="D4584" s="6"/>
    </row>
    <row r="4585" spans="1:4" ht="13" thickBot="1" x14ac:dyDescent="0.3">
      <c r="A4585" s="9">
        <f ca="1"/>
        <v>41475</v>
      </c>
      <c r="B4585" s="5">
        <f t="shared" ref="B4585:B4586" si="654">B4584</f>
        <v>72.87</v>
      </c>
      <c r="C4585" s="6"/>
      <c r="D4585" s="6"/>
    </row>
    <row r="4586" spans="1:4" ht="13" thickBot="1" x14ac:dyDescent="0.3">
      <c r="A4586" s="9">
        <f ca="1"/>
        <v>41476</v>
      </c>
      <c r="B4586" s="5">
        <f t="shared" si="654"/>
        <v>72.87</v>
      </c>
      <c r="C4586" s="6"/>
      <c r="D4586" s="6"/>
    </row>
    <row r="4587" spans="1:4" ht="13" thickBot="1" x14ac:dyDescent="0.3">
      <c r="A4587" s="9">
        <f ca="1"/>
        <v>41477</v>
      </c>
      <c r="B4587" s="6">
        <v>72.53</v>
      </c>
      <c r="C4587" s="6"/>
      <c r="D4587" s="6"/>
    </row>
    <row r="4588" spans="1:4" ht="13" thickBot="1" x14ac:dyDescent="0.3">
      <c r="A4588" s="9">
        <f ca="1"/>
        <v>41478</v>
      </c>
      <c r="B4588" s="6">
        <v>72.89</v>
      </c>
      <c r="C4588" s="6"/>
      <c r="D4588" s="6"/>
    </row>
    <row r="4589" spans="1:4" ht="13" thickBot="1" x14ac:dyDescent="0.3">
      <c r="A4589" s="9">
        <f ca="1"/>
        <v>41479</v>
      </c>
      <c r="B4589" s="6">
        <v>73.680000000000007</v>
      </c>
      <c r="C4589" s="6"/>
      <c r="D4589" s="6"/>
    </row>
    <row r="4590" spans="1:4" ht="13" thickBot="1" x14ac:dyDescent="0.3">
      <c r="A4590" s="9">
        <f ca="1"/>
        <v>41480</v>
      </c>
      <c r="B4590" s="6">
        <v>73.28</v>
      </c>
      <c r="C4590" s="6"/>
      <c r="D4590" s="6"/>
    </row>
    <row r="4591" spans="1:4" ht="13" thickBot="1" x14ac:dyDescent="0.3">
      <c r="A4591" s="9">
        <f ca="1"/>
        <v>41481</v>
      </c>
      <c r="B4591" s="6">
        <v>73.260000000000005</v>
      </c>
      <c r="C4591" s="6"/>
      <c r="D4591" s="6"/>
    </row>
    <row r="4592" spans="1:4" ht="13" thickBot="1" x14ac:dyDescent="0.3">
      <c r="A4592" s="9">
        <f ca="1"/>
        <v>41482</v>
      </c>
      <c r="B4592" s="5">
        <f t="shared" ref="B4592:B4593" si="655">B4591</f>
        <v>73.260000000000005</v>
      </c>
      <c r="C4592" s="6"/>
      <c r="D4592" s="6"/>
    </row>
    <row r="4593" spans="1:4" ht="13" thickBot="1" x14ac:dyDescent="0.3">
      <c r="A4593" s="9">
        <f ca="1"/>
        <v>41483</v>
      </c>
      <c r="B4593" s="5">
        <f t="shared" si="655"/>
        <v>73.260000000000005</v>
      </c>
      <c r="C4593" s="6"/>
      <c r="D4593" s="6"/>
    </row>
    <row r="4594" spans="1:4" ht="13" thickBot="1" x14ac:dyDescent="0.3">
      <c r="A4594" s="9">
        <f ca="1"/>
        <v>41484</v>
      </c>
      <c r="B4594" s="6">
        <v>73.069999999999993</v>
      </c>
      <c r="C4594" s="6"/>
      <c r="D4594" s="6"/>
    </row>
    <row r="4595" spans="1:4" ht="13" thickBot="1" x14ac:dyDescent="0.3">
      <c r="A4595" s="9">
        <f ca="1"/>
        <v>41485</v>
      </c>
      <c r="B4595" s="6">
        <v>74.11</v>
      </c>
      <c r="C4595" s="6"/>
      <c r="D4595" s="6"/>
    </row>
    <row r="4596" spans="1:4" ht="13" thickBot="1" x14ac:dyDescent="0.3">
      <c r="A4596" s="9">
        <f ca="1"/>
        <v>41486</v>
      </c>
      <c r="B4596" s="6">
        <v>73.5</v>
      </c>
      <c r="C4596" s="6"/>
      <c r="D4596" s="6"/>
    </row>
    <row r="4597" spans="1:4" ht="13" thickBot="1" x14ac:dyDescent="0.3">
      <c r="A4597" s="9">
        <f ca="1"/>
        <v>41487</v>
      </c>
      <c r="B4597" s="6">
        <v>73.930000000000007</v>
      </c>
      <c r="C4597" s="6"/>
      <c r="D4597" s="6"/>
    </row>
    <row r="4598" spans="1:4" ht="13" thickBot="1" x14ac:dyDescent="0.3">
      <c r="A4598" s="9">
        <f ca="1"/>
        <v>41488</v>
      </c>
      <c r="B4598" s="6">
        <v>74.36</v>
      </c>
      <c r="C4598" s="6"/>
      <c r="D4598" s="6"/>
    </row>
    <row r="4599" spans="1:4" ht="13" thickBot="1" x14ac:dyDescent="0.3">
      <c r="A4599" s="9">
        <f ca="1"/>
        <v>41489</v>
      </c>
      <c r="B4599" s="5">
        <f t="shared" ref="B4599:B4600" si="656">B4598</f>
        <v>74.36</v>
      </c>
      <c r="C4599" s="6"/>
      <c r="D4599" s="6"/>
    </row>
    <row r="4600" spans="1:4" ht="13" thickBot="1" x14ac:dyDescent="0.3">
      <c r="A4600" s="9">
        <f ca="1"/>
        <v>41490</v>
      </c>
      <c r="B4600" s="5">
        <f t="shared" si="656"/>
        <v>74.36</v>
      </c>
      <c r="C4600" s="6"/>
      <c r="D4600" s="6"/>
    </row>
    <row r="4601" spans="1:4" ht="13" thickBot="1" x14ac:dyDescent="0.3">
      <c r="A4601" s="9">
        <f ca="1"/>
        <v>41491</v>
      </c>
      <c r="B4601" s="6">
        <v>74.87</v>
      </c>
      <c r="C4601" s="6"/>
      <c r="D4601" s="6"/>
    </row>
    <row r="4602" spans="1:4" ht="13" thickBot="1" x14ac:dyDescent="0.3">
      <c r="A4602" s="9">
        <f ca="1"/>
        <v>41492</v>
      </c>
      <c r="B4602" s="6">
        <v>76.53</v>
      </c>
      <c r="C4602" s="6"/>
      <c r="D4602" s="6"/>
    </row>
    <row r="4603" spans="1:4" ht="13" thickBot="1" x14ac:dyDescent="0.3">
      <c r="A4603" s="9">
        <f ca="1"/>
        <v>41493</v>
      </c>
      <c r="B4603" s="6">
        <v>75.09</v>
      </c>
      <c r="C4603" s="6"/>
      <c r="D4603" s="6"/>
    </row>
    <row r="4604" spans="1:4" ht="13" thickBot="1" x14ac:dyDescent="0.3">
      <c r="A4604" s="9">
        <f ca="1"/>
        <v>41494</v>
      </c>
      <c r="B4604" s="6">
        <v>75.13</v>
      </c>
      <c r="C4604" s="6"/>
      <c r="D4604" s="6"/>
    </row>
    <row r="4605" spans="1:4" ht="13" thickBot="1" x14ac:dyDescent="0.3">
      <c r="A4605" s="9">
        <f ca="1"/>
        <v>41495</v>
      </c>
      <c r="B4605" s="6">
        <v>74.95</v>
      </c>
      <c r="C4605" s="6"/>
      <c r="D4605" s="6"/>
    </row>
    <row r="4606" spans="1:4" ht="13" thickBot="1" x14ac:dyDescent="0.3">
      <c r="A4606" s="9">
        <f ca="1"/>
        <v>41496</v>
      </c>
      <c r="B4606" s="5">
        <f t="shared" ref="B4606:B4607" si="657">B4605</f>
        <v>74.95</v>
      </c>
      <c r="C4606" s="6"/>
      <c r="D4606" s="6"/>
    </row>
    <row r="4607" spans="1:4" ht="13" thickBot="1" x14ac:dyDescent="0.3">
      <c r="A4607" s="9">
        <f ca="1"/>
        <v>41497</v>
      </c>
      <c r="B4607" s="5">
        <f t="shared" si="657"/>
        <v>74.95</v>
      </c>
      <c r="C4607" s="6"/>
      <c r="D4607" s="6"/>
    </row>
    <row r="4608" spans="1:4" ht="13" thickBot="1" x14ac:dyDescent="0.3">
      <c r="A4608" s="9">
        <f ca="1"/>
        <v>41498</v>
      </c>
      <c r="B4608" s="6">
        <v>73.989999999999995</v>
      </c>
      <c r="C4608" s="6"/>
      <c r="D4608" s="6"/>
    </row>
    <row r="4609" spans="1:4" ht="13" thickBot="1" x14ac:dyDescent="0.3">
      <c r="A4609" s="9">
        <f ca="1"/>
        <v>41499</v>
      </c>
      <c r="B4609" s="6">
        <v>74.53</v>
      </c>
      <c r="C4609" s="6"/>
      <c r="D4609" s="6"/>
    </row>
    <row r="4610" spans="1:4" ht="13" thickBot="1" x14ac:dyDescent="0.3">
      <c r="A4610" s="9">
        <f ca="1"/>
        <v>41500</v>
      </c>
      <c r="B4610" s="6">
        <v>76.010000000000005</v>
      </c>
      <c r="C4610" s="6"/>
      <c r="D4610" s="6"/>
    </row>
    <row r="4611" spans="1:4" ht="13" thickBot="1" x14ac:dyDescent="0.3">
      <c r="A4611" s="9">
        <f ca="1"/>
        <v>41501</v>
      </c>
      <c r="B4611" s="6">
        <v>75.55</v>
      </c>
      <c r="C4611" s="6"/>
      <c r="D4611" s="6"/>
    </row>
    <row r="4612" spans="1:4" ht="13" thickBot="1" x14ac:dyDescent="0.3">
      <c r="A4612" s="9">
        <f ca="1"/>
        <v>41502</v>
      </c>
      <c r="B4612" s="6">
        <v>75.83</v>
      </c>
      <c r="C4612" s="6"/>
      <c r="D4612" s="6"/>
    </row>
    <row r="4613" spans="1:4" ht="13" thickBot="1" x14ac:dyDescent="0.3">
      <c r="A4613" s="9">
        <f ca="1"/>
        <v>41503</v>
      </c>
      <c r="B4613" s="5">
        <f t="shared" ref="B4613:B4614" si="658">B4612</f>
        <v>75.83</v>
      </c>
      <c r="C4613" s="6"/>
      <c r="D4613" s="6"/>
    </row>
    <row r="4614" spans="1:4" ht="13" thickBot="1" x14ac:dyDescent="0.3">
      <c r="A4614" s="9">
        <f ca="1"/>
        <v>41504</v>
      </c>
      <c r="B4614" s="5">
        <f t="shared" si="658"/>
        <v>75.83</v>
      </c>
      <c r="C4614" s="6"/>
      <c r="D4614" s="6"/>
    </row>
    <row r="4615" spans="1:4" ht="13" thickBot="1" x14ac:dyDescent="0.3">
      <c r="A4615" s="9">
        <f ca="1"/>
        <v>41505</v>
      </c>
      <c r="B4615" s="6">
        <v>76.150000000000006</v>
      </c>
      <c r="C4615" s="6"/>
      <c r="D4615" s="6"/>
    </row>
    <row r="4616" spans="1:4" ht="13" thickBot="1" x14ac:dyDescent="0.3">
      <c r="A4616" s="9">
        <f ca="1"/>
        <v>41506</v>
      </c>
      <c r="B4616" s="6">
        <v>75.77</v>
      </c>
      <c r="C4616" s="6"/>
      <c r="D4616" s="6"/>
    </row>
    <row r="4617" spans="1:4" ht="13" thickBot="1" x14ac:dyDescent="0.3">
      <c r="A4617" s="9">
        <f ca="1"/>
        <v>41507</v>
      </c>
      <c r="B4617" s="6">
        <v>75.569999999999993</v>
      </c>
      <c r="C4617" s="6"/>
      <c r="D4617" s="6"/>
    </row>
    <row r="4618" spans="1:4" ht="13" thickBot="1" x14ac:dyDescent="0.3">
      <c r="A4618" s="9">
        <f ca="1"/>
        <v>41508</v>
      </c>
      <c r="B4618" s="6">
        <v>75.67</v>
      </c>
      <c r="C4618" s="6"/>
      <c r="D4618" s="6"/>
    </row>
    <row r="4619" spans="1:4" ht="13" thickBot="1" x14ac:dyDescent="0.3">
      <c r="A4619" s="9">
        <f ca="1"/>
        <v>41509</v>
      </c>
      <c r="B4619" s="6">
        <v>76.599999999999994</v>
      </c>
      <c r="C4619" s="6"/>
      <c r="D4619" s="6"/>
    </row>
    <row r="4620" spans="1:4" ht="13" thickBot="1" x14ac:dyDescent="0.3">
      <c r="A4620" s="9">
        <f ca="1"/>
        <v>41510</v>
      </c>
      <c r="B4620" s="5">
        <f t="shared" ref="B4620:B4621" si="659">B4619</f>
        <v>76.599999999999994</v>
      </c>
      <c r="C4620" s="6"/>
      <c r="D4620" s="6"/>
    </row>
    <row r="4621" spans="1:4" ht="13" thickBot="1" x14ac:dyDescent="0.3">
      <c r="A4621" s="9">
        <f ca="1"/>
        <v>41511</v>
      </c>
      <c r="B4621" s="5">
        <f t="shared" si="659"/>
        <v>76.599999999999994</v>
      </c>
      <c r="C4621" s="6"/>
      <c r="D4621" s="6"/>
    </row>
    <row r="4622" spans="1:4" ht="13" thickBot="1" x14ac:dyDescent="0.3">
      <c r="A4622" s="9">
        <f ca="1"/>
        <v>41512</v>
      </c>
      <c r="B4622" s="6">
        <v>77.239999999999995</v>
      </c>
      <c r="C4622" s="6"/>
      <c r="D4622" s="6"/>
    </row>
    <row r="4623" spans="1:4" ht="13" thickBot="1" x14ac:dyDescent="0.3">
      <c r="A4623" s="9">
        <f ca="1"/>
        <v>41513</v>
      </c>
      <c r="B4623" s="6">
        <v>76.41</v>
      </c>
      <c r="C4623" s="6"/>
      <c r="D4623" s="6"/>
    </row>
    <row r="4624" spans="1:4" ht="13" thickBot="1" x14ac:dyDescent="0.3">
      <c r="A4624" s="9">
        <f ca="1"/>
        <v>41514</v>
      </c>
      <c r="B4624" s="6">
        <v>74.62</v>
      </c>
      <c r="C4624" s="6"/>
      <c r="D4624" s="6"/>
    </row>
    <row r="4625" spans="1:4" ht="13" thickBot="1" x14ac:dyDescent="0.3">
      <c r="A4625" s="9">
        <f ca="1"/>
        <v>41515</v>
      </c>
      <c r="B4625" s="6">
        <v>74.41</v>
      </c>
      <c r="C4625" s="6"/>
      <c r="D4625" s="6"/>
    </row>
    <row r="4626" spans="1:4" ht="13" thickBot="1" x14ac:dyDescent="0.3">
      <c r="A4626" s="9">
        <f ca="1"/>
        <v>41516</v>
      </c>
      <c r="B4626" s="6">
        <v>74.239999999999995</v>
      </c>
      <c r="C4626" s="6"/>
      <c r="D4626" s="6"/>
    </row>
    <row r="4627" spans="1:4" ht="13" thickBot="1" x14ac:dyDescent="0.3">
      <c r="A4627" s="9">
        <f ca="1"/>
        <v>41517</v>
      </c>
      <c r="B4627" s="5">
        <f t="shared" ref="B4627:B4629" si="660">B4626</f>
        <v>74.239999999999995</v>
      </c>
      <c r="C4627" s="6"/>
      <c r="D4627" s="6"/>
    </row>
    <row r="4628" spans="1:4" ht="13" thickBot="1" x14ac:dyDescent="0.3">
      <c r="A4628" s="9">
        <f ca="1"/>
        <v>41518</v>
      </c>
      <c r="B4628" s="5">
        <f t="shared" si="660"/>
        <v>74.239999999999995</v>
      </c>
      <c r="C4628" s="6"/>
      <c r="D4628" s="6"/>
    </row>
    <row r="4629" spans="1:4" ht="13" thickBot="1" x14ac:dyDescent="0.3">
      <c r="A4629" s="9">
        <f ca="1"/>
        <v>41519</v>
      </c>
      <c r="B4629" s="5">
        <f t="shared" si="660"/>
        <v>74.239999999999995</v>
      </c>
      <c r="C4629" s="6"/>
      <c r="D4629" s="6"/>
    </row>
    <row r="4630" spans="1:4" ht="13" thickBot="1" x14ac:dyDescent="0.3">
      <c r="A4630" s="9">
        <f ca="1"/>
        <v>41520</v>
      </c>
      <c r="B4630" s="6">
        <v>73</v>
      </c>
      <c r="C4630" s="6"/>
      <c r="D4630" s="6"/>
    </row>
    <row r="4631" spans="1:4" ht="13" thickBot="1" x14ac:dyDescent="0.3">
      <c r="A4631" s="9">
        <f ca="1"/>
        <v>41521</v>
      </c>
      <c r="B4631" s="6">
        <v>71.13</v>
      </c>
      <c r="C4631" s="6"/>
      <c r="D4631" s="6"/>
    </row>
    <row r="4632" spans="1:4" ht="13" thickBot="1" x14ac:dyDescent="0.3">
      <c r="A4632" s="9">
        <f ca="1"/>
        <v>41522</v>
      </c>
      <c r="B4632" s="6">
        <v>70.180000000000007</v>
      </c>
      <c r="C4632" s="6"/>
      <c r="D4632" s="6"/>
    </row>
    <row r="4633" spans="1:4" ht="13" thickBot="1" x14ac:dyDescent="0.3">
      <c r="A4633" s="9">
        <f ca="1"/>
        <v>41523</v>
      </c>
      <c r="B4633" s="6">
        <v>70.540000000000006</v>
      </c>
      <c r="C4633" s="6"/>
      <c r="D4633" s="6"/>
    </row>
    <row r="4634" spans="1:4" ht="13" thickBot="1" x14ac:dyDescent="0.3">
      <c r="A4634" s="9">
        <f ca="1"/>
        <v>41524</v>
      </c>
      <c r="B4634" s="5">
        <f t="shared" ref="B4634:B4635" si="661">B4633</f>
        <v>70.540000000000006</v>
      </c>
      <c r="C4634" s="6"/>
      <c r="D4634" s="6"/>
    </row>
    <row r="4635" spans="1:4" ht="13" thickBot="1" x14ac:dyDescent="0.3">
      <c r="A4635" s="9">
        <f ca="1"/>
        <v>41525</v>
      </c>
      <c r="B4635" s="5">
        <f t="shared" si="661"/>
        <v>70.540000000000006</v>
      </c>
      <c r="C4635" s="6"/>
      <c r="D4635" s="6"/>
    </row>
    <row r="4636" spans="1:4" ht="13" thickBot="1" x14ac:dyDescent="0.3">
      <c r="A4636" s="9">
        <f ca="1"/>
        <v>41526</v>
      </c>
      <c r="B4636" s="6">
        <v>70.88</v>
      </c>
      <c r="C4636" s="6"/>
      <c r="D4636" s="6"/>
    </row>
    <row r="4637" spans="1:4" ht="13" thickBot="1" x14ac:dyDescent="0.3">
      <c r="A4637" s="9">
        <f ca="1"/>
        <v>41527</v>
      </c>
      <c r="B4637" s="6">
        <v>72.48</v>
      </c>
      <c r="C4637" s="6"/>
      <c r="D4637" s="6"/>
    </row>
    <row r="4638" spans="1:4" ht="13" thickBot="1" x14ac:dyDescent="0.3">
      <c r="A4638" s="9">
        <f ca="1"/>
        <v>41528</v>
      </c>
      <c r="B4638" s="6">
        <v>71.989999999999995</v>
      </c>
      <c r="C4638" s="6"/>
      <c r="D4638" s="6"/>
    </row>
    <row r="4639" spans="1:4" ht="13" thickBot="1" x14ac:dyDescent="0.3">
      <c r="A4639" s="9">
        <f ca="1"/>
        <v>41529</v>
      </c>
      <c r="B4639" s="6">
        <v>73.260000000000005</v>
      </c>
      <c r="C4639" s="6"/>
      <c r="D4639" s="6"/>
    </row>
    <row r="4640" spans="1:4" ht="13" thickBot="1" x14ac:dyDescent="0.3">
      <c r="A4640" s="9">
        <f ca="1"/>
        <v>41530</v>
      </c>
      <c r="B4640" s="6">
        <v>73.010000000000005</v>
      </c>
      <c r="C4640" s="6"/>
      <c r="D4640" s="6"/>
    </row>
    <row r="4641" spans="1:4" ht="13" thickBot="1" x14ac:dyDescent="0.3">
      <c r="A4641" s="9">
        <f ca="1"/>
        <v>41531</v>
      </c>
      <c r="B4641" s="5">
        <f t="shared" ref="B4641:B4642" si="662">B4640</f>
        <v>73.010000000000005</v>
      </c>
      <c r="C4641" s="6"/>
      <c r="D4641" s="6"/>
    </row>
    <row r="4642" spans="1:4" ht="13" thickBot="1" x14ac:dyDescent="0.3">
      <c r="A4642" s="9">
        <f ca="1"/>
        <v>41532</v>
      </c>
      <c r="B4642" s="5">
        <f t="shared" si="662"/>
        <v>73.010000000000005</v>
      </c>
      <c r="C4642" s="6"/>
      <c r="D4642" s="6"/>
    </row>
    <row r="4643" spans="1:4" ht="13" thickBot="1" x14ac:dyDescent="0.3">
      <c r="A4643" s="9">
        <f ca="1"/>
        <v>41533</v>
      </c>
      <c r="B4643" s="6">
        <v>73.64</v>
      </c>
      <c r="C4643" s="6"/>
      <c r="D4643" s="6"/>
    </row>
    <row r="4644" spans="1:4" ht="13" thickBot="1" x14ac:dyDescent="0.3">
      <c r="A4644" s="9">
        <f ca="1"/>
        <v>41534</v>
      </c>
      <c r="B4644" s="6">
        <v>73.099999999999994</v>
      </c>
      <c r="C4644" s="6"/>
      <c r="D4644" s="6"/>
    </row>
    <row r="4645" spans="1:4" ht="13" thickBot="1" x14ac:dyDescent="0.3">
      <c r="A4645" s="9">
        <f ca="1"/>
        <v>41535</v>
      </c>
      <c r="B4645" s="6">
        <v>73.53</v>
      </c>
      <c r="C4645" s="6"/>
      <c r="D4645" s="6"/>
    </row>
    <row r="4646" spans="1:4" ht="13" thickBot="1" x14ac:dyDescent="0.3">
      <c r="A4646" s="9">
        <f ca="1"/>
        <v>41536</v>
      </c>
      <c r="B4646" s="6">
        <v>75.72</v>
      </c>
      <c r="C4646" s="6"/>
      <c r="D4646" s="6"/>
    </row>
    <row r="4647" spans="1:4" ht="13" thickBot="1" x14ac:dyDescent="0.3">
      <c r="A4647" s="9">
        <f ca="1"/>
        <v>41537</v>
      </c>
      <c r="B4647" s="6">
        <v>75.209999999999994</v>
      </c>
      <c r="C4647" s="6"/>
      <c r="D4647" s="6"/>
    </row>
    <row r="4648" spans="1:4" ht="13" thickBot="1" x14ac:dyDescent="0.3">
      <c r="A4648" s="9">
        <f ca="1"/>
        <v>41538</v>
      </c>
      <c r="B4648" s="5">
        <f t="shared" ref="B4648:B4649" si="663">B4647</f>
        <v>75.209999999999994</v>
      </c>
      <c r="C4648" s="6"/>
      <c r="D4648" s="6"/>
    </row>
    <row r="4649" spans="1:4" ht="13" thickBot="1" x14ac:dyDescent="0.3">
      <c r="A4649" s="9">
        <f ca="1"/>
        <v>41539</v>
      </c>
      <c r="B4649" s="5">
        <f t="shared" si="663"/>
        <v>75.209999999999994</v>
      </c>
      <c r="C4649" s="6"/>
      <c r="D4649" s="6"/>
    </row>
    <row r="4650" spans="1:4" ht="13" thickBot="1" x14ac:dyDescent="0.3">
      <c r="A4650" s="9">
        <f ca="1"/>
        <v>41540</v>
      </c>
      <c r="B4650" s="6">
        <v>74.09</v>
      </c>
      <c r="C4650" s="6"/>
      <c r="D4650" s="6"/>
    </row>
    <row r="4651" spans="1:4" ht="13" thickBot="1" x14ac:dyDescent="0.3">
      <c r="A4651" s="9">
        <f ca="1"/>
        <v>41541</v>
      </c>
      <c r="B4651" s="6">
        <v>74.58</v>
      </c>
      <c r="C4651" s="6"/>
      <c r="D4651" s="6"/>
    </row>
    <row r="4652" spans="1:4" ht="13" thickBot="1" x14ac:dyDescent="0.3">
      <c r="A4652" s="9">
        <f ca="1"/>
        <v>41542</v>
      </c>
      <c r="B4652" s="6">
        <v>75.44</v>
      </c>
      <c r="C4652" s="6"/>
      <c r="D4652" s="6"/>
    </row>
    <row r="4653" spans="1:4" ht="13" thickBot="1" x14ac:dyDescent="0.3">
      <c r="A4653" s="9">
        <f ca="1"/>
        <v>41543</v>
      </c>
      <c r="B4653" s="6">
        <v>74.75</v>
      </c>
      <c r="C4653" s="6"/>
      <c r="D4653" s="6"/>
    </row>
    <row r="4654" spans="1:4" ht="13" thickBot="1" x14ac:dyDescent="0.3">
      <c r="A4654" s="9">
        <f ca="1"/>
        <v>41544</v>
      </c>
      <c r="B4654" s="6">
        <v>74.56</v>
      </c>
      <c r="C4654" s="6"/>
      <c r="D4654" s="6"/>
    </row>
    <row r="4655" spans="1:4" ht="13" thickBot="1" x14ac:dyDescent="0.3">
      <c r="A4655" s="9">
        <f ca="1"/>
        <v>41545</v>
      </c>
      <c r="B4655" s="5">
        <f t="shared" ref="B4655:B4656" si="664">B4654</f>
        <v>74.56</v>
      </c>
      <c r="C4655" s="6"/>
      <c r="D4655" s="6"/>
    </row>
    <row r="4656" spans="1:4" ht="13" thickBot="1" x14ac:dyDescent="0.3">
      <c r="A4656" s="9">
        <f ca="1"/>
        <v>41546</v>
      </c>
      <c r="B4656" s="5">
        <f t="shared" si="664"/>
        <v>74.56</v>
      </c>
      <c r="C4656" s="6"/>
      <c r="D4656" s="6"/>
    </row>
    <row r="4657" spans="1:4" ht="13" thickBot="1" x14ac:dyDescent="0.3">
      <c r="A4657" s="9">
        <f ca="1"/>
        <v>41547</v>
      </c>
      <c r="B4657" s="6">
        <v>73.91</v>
      </c>
      <c r="C4657" s="6"/>
      <c r="D4657" s="6"/>
    </row>
    <row r="4658" spans="1:4" ht="13" thickBot="1" x14ac:dyDescent="0.3">
      <c r="A4658" s="9">
        <f ca="1"/>
        <v>41548</v>
      </c>
      <c r="B4658" s="6">
        <v>73.849999999999994</v>
      </c>
      <c r="C4658" s="6"/>
      <c r="D4658" s="6"/>
    </row>
    <row r="4659" spans="1:4" ht="13" thickBot="1" x14ac:dyDescent="0.3">
      <c r="A4659" s="9">
        <f ca="1"/>
        <v>41549</v>
      </c>
      <c r="B4659" s="6">
        <v>74.38</v>
      </c>
      <c r="C4659" s="6"/>
      <c r="D4659" s="6"/>
    </row>
    <row r="4660" spans="1:4" ht="13" thickBot="1" x14ac:dyDescent="0.3">
      <c r="A4660" s="9">
        <f ca="1"/>
        <v>41550</v>
      </c>
      <c r="B4660" s="6">
        <v>74.599999999999994</v>
      </c>
      <c r="C4660" s="6"/>
      <c r="D4660" s="6"/>
    </row>
    <row r="4661" spans="1:4" ht="13" thickBot="1" x14ac:dyDescent="0.3">
      <c r="A4661" s="9">
        <f ca="1"/>
        <v>41551</v>
      </c>
      <c r="B4661" s="6">
        <v>73.489999999999995</v>
      </c>
      <c r="C4661" s="6"/>
      <c r="D4661" s="6"/>
    </row>
    <row r="4662" spans="1:4" ht="13" thickBot="1" x14ac:dyDescent="0.3">
      <c r="A4662" s="9">
        <f ca="1"/>
        <v>41552</v>
      </c>
      <c r="B4662" s="5">
        <f t="shared" ref="B4662:B4663" si="665">B4661</f>
        <v>73.489999999999995</v>
      </c>
      <c r="C4662" s="6"/>
      <c r="D4662" s="6"/>
    </row>
    <row r="4663" spans="1:4" ht="13" thickBot="1" x14ac:dyDescent="0.3">
      <c r="A4663" s="9">
        <f ca="1"/>
        <v>41553</v>
      </c>
      <c r="B4663" s="5">
        <f t="shared" si="665"/>
        <v>73.489999999999995</v>
      </c>
      <c r="C4663" s="6"/>
      <c r="D4663" s="6"/>
    </row>
    <row r="4664" spans="1:4" ht="13" thickBot="1" x14ac:dyDescent="0.3">
      <c r="A4664" s="9">
        <f ca="1"/>
        <v>41554</v>
      </c>
      <c r="B4664" s="6">
        <v>71.900000000000006</v>
      </c>
      <c r="C4664" s="6"/>
      <c r="D4664" s="6"/>
    </row>
    <row r="4665" spans="1:4" ht="13" thickBot="1" x14ac:dyDescent="0.3">
      <c r="A4665" s="9">
        <f ca="1"/>
        <v>41555</v>
      </c>
      <c r="B4665" s="6">
        <v>71.52</v>
      </c>
      <c r="C4665" s="6"/>
      <c r="D4665" s="6"/>
    </row>
    <row r="4666" spans="1:4" ht="13" thickBot="1" x14ac:dyDescent="0.3">
      <c r="A4666" s="9">
        <f ca="1"/>
        <v>41556</v>
      </c>
      <c r="B4666" s="6">
        <v>71.069999999999993</v>
      </c>
      <c r="C4666" s="6"/>
      <c r="D4666" s="6"/>
    </row>
    <row r="4667" spans="1:4" ht="13" thickBot="1" x14ac:dyDescent="0.3">
      <c r="A4667" s="9">
        <f ca="1"/>
        <v>41557</v>
      </c>
      <c r="B4667" s="6">
        <v>72.510000000000005</v>
      </c>
      <c r="C4667" s="6"/>
      <c r="D4667" s="6"/>
    </row>
    <row r="4668" spans="1:4" ht="13" thickBot="1" x14ac:dyDescent="0.3">
      <c r="A4668" s="9">
        <f ca="1"/>
        <v>41558</v>
      </c>
      <c r="B4668" s="6">
        <v>73.36</v>
      </c>
      <c r="C4668" s="6"/>
      <c r="D4668" s="6"/>
    </row>
    <row r="4669" spans="1:4" ht="13" thickBot="1" x14ac:dyDescent="0.3">
      <c r="A4669" s="9">
        <f ca="1"/>
        <v>41559</v>
      </c>
      <c r="B4669" s="5">
        <f t="shared" ref="B4669:B4670" si="666">B4668</f>
        <v>73.36</v>
      </c>
      <c r="C4669" s="6"/>
      <c r="D4669" s="6"/>
    </row>
    <row r="4670" spans="1:4" ht="13" thickBot="1" x14ac:dyDescent="0.3">
      <c r="A4670" s="9">
        <f ca="1"/>
        <v>41560</v>
      </c>
      <c r="B4670" s="5">
        <f t="shared" si="666"/>
        <v>73.36</v>
      </c>
      <c r="C4670" s="6"/>
      <c r="D4670" s="6"/>
    </row>
    <row r="4671" spans="1:4" ht="13" thickBot="1" x14ac:dyDescent="0.3">
      <c r="A4671" s="9">
        <f ca="1"/>
        <v>41561</v>
      </c>
      <c r="B4671" s="6">
        <v>73.08</v>
      </c>
      <c r="C4671" s="6"/>
      <c r="D4671" s="6"/>
    </row>
    <row r="4672" spans="1:4" ht="13" thickBot="1" x14ac:dyDescent="0.3">
      <c r="A4672" s="9">
        <f ca="1"/>
        <v>41562</v>
      </c>
      <c r="B4672" s="6">
        <v>72.489999999999995</v>
      </c>
      <c r="C4672" s="6"/>
      <c r="D4672" s="6"/>
    </row>
    <row r="4673" spans="1:4" ht="13" thickBot="1" x14ac:dyDescent="0.3">
      <c r="A4673" s="9">
        <f ca="1"/>
        <v>41563</v>
      </c>
      <c r="B4673" s="6">
        <v>72.5</v>
      </c>
      <c r="C4673" s="6"/>
      <c r="D4673" s="6"/>
    </row>
    <row r="4674" spans="1:4" ht="13" thickBot="1" x14ac:dyDescent="0.3">
      <c r="A4674" s="9">
        <f ca="1"/>
        <v>41564</v>
      </c>
      <c r="B4674" s="6">
        <v>72.819999999999993</v>
      </c>
      <c r="C4674" s="6"/>
      <c r="D4674" s="6"/>
    </row>
    <row r="4675" spans="1:4" ht="13" thickBot="1" x14ac:dyDescent="0.3">
      <c r="A4675" s="9">
        <f ca="1"/>
        <v>41565</v>
      </c>
      <c r="B4675" s="6">
        <v>72.12</v>
      </c>
      <c r="C4675" s="6"/>
      <c r="D4675" s="6"/>
    </row>
    <row r="4676" spans="1:4" ht="13" thickBot="1" x14ac:dyDescent="0.3">
      <c r="A4676" s="9">
        <f ca="1"/>
        <v>41566</v>
      </c>
      <c r="B4676" s="5">
        <f t="shared" ref="B4676:B4677" si="667">B4675</f>
        <v>72.12</v>
      </c>
      <c r="C4676" s="6"/>
      <c r="D4676" s="6"/>
    </row>
    <row r="4677" spans="1:4" ht="13" thickBot="1" x14ac:dyDescent="0.3">
      <c r="A4677" s="9">
        <f ca="1"/>
        <v>41567</v>
      </c>
      <c r="B4677" s="5">
        <f t="shared" si="667"/>
        <v>72.12</v>
      </c>
      <c r="C4677" s="6"/>
      <c r="D4677" s="6"/>
    </row>
    <row r="4678" spans="1:4" ht="13" thickBot="1" x14ac:dyDescent="0.3">
      <c r="A4678" s="9">
        <f ca="1"/>
        <v>41568</v>
      </c>
      <c r="B4678" s="6">
        <v>77.349999999999994</v>
      </c>
      <c r="C4678" s="6"/>
      <c r="D4678" s="6"/>
    </row>
    <row r="4679" spans="1:4" ht="13" thickBot="1" x14ac:dyDescent="0.3">
      <c r="A4679" s="9">
        <f ca="1"/>
        <v>41569</v>
      </c>
      <c r="B4679" s="6">
        <v>78.17</v>
      </c>
      <c r="C4679" s="6"/>
      <c r="D4679" s="6"/>
    </row>
    <row r="4680" spans="1:4" ht="13" thickBot="1" x14ac:dyDescent="0.3">
      <c r="A4680" s="9">
        <f ca="1"/>
        <v>41570</v>
      </c>
      <c r="B4680" s="6">
        <v>78.349999999999994</v>
      </c>
      <c r="C4680" s="6"/>
      <c r="D4680" s="6"/>
    </row>
    <row r="4681" spans="1:4" ht="13" thickBot="1" x14ac:dyDescent="0.3">
      <c r="A4681" s="9">
        <f ca="1"/>
        <v>41571</v>
      </c>
      <c r="B4681" s="6">
        <v>78.8</v>
      </c>
      <c r="C4681" s="6"/>
      <c r="D4681" s="6"/>
    </row>
    <row r="4682" spans="1:4" ht="13" thickBot="1" x14ac:dyDescent="0.3">
      <c r="A4682" s="9">
        <f ca="1"/>
        <v>41572</v>
      </c>
      <c r="B4682" s="6">
        <v>79.81</v>
      </c>
      <c r="C4682" s="6"/>
      <c r="D4682" s="6"/>
    </row>
    <row r="4683" spans="1:4" ht="13" thickBot="1" x14ac:dyDescent="0.3">
      <c r="A4683" s="9">
        <f ca="1"/>
        <v>41573</v>
      </c>
      <c r="B4683" s="5">
        <f t="shared" ref="B4683:B4684" si="668">B4682</f>
        <v>79.81</v>
      </c>
      <c r="C4683" s="6"/>
      <c r="D4683" s="6"/>
    </row>
    <row r="4684" spans="1:4" ht="13" thickBot="1" x14ac:dyDescent="0.3">
      <c r="A4684" s="9">
        <f ca="1"/>
        <v>41574</v>
      </c>
      <c r="B4684" s="5">
        <f t="shared" si="668"/>
        <v>79.81</v>
      </c>
      <c r="C4684" s="6"/>
      <c r="D4684" s="6"/>
    </row>
    <row r="4685" spans="1:4" ht="13" thickBot="1" x14ac:dyDescent="0.3">
      <c r="A4685" s="9">
        <f ca="1"/>
        <v>41575</v>
      </c>
      <c r="B4685" s="6">
        <v>80.02</v>
      </c>
      <c r="C4685" s="6"/>
      <c r="D4685" s="6"/>
    </row>
    <row r="4686" spans="1:4" ht="13" thickBot="1" x14ac:dyDescent="0.3">
      <c r="A4686" s="9">
        <f ca="1"/>
        <v>41576</v>
      </c>
      <c r="B4686" s="6">
        <v>79.760000000000005</v>
      </c>
      <c r="C4686" s="6"/>
      <c r="D4686" s="6"/>
    </row>
    <row r="4687" spans="1:4" ht="13" thickBot="1" x14ac:dyDescent="0.3">
      <c r="A4687" s="9">
        <f ca="1"/>
        <v>41577</v>
      </c>
      <c r="B4687" s="6">
        <v>79.39</v>
      </c>
      <c r="C4687" s="6"/>
      <c r="D4687" s="6"/>
    </row>
    <row r="4688" spans="1:4" ht="13" thickBot="1" x14ac:dyDescent="0.3">
      <c r="A4688" s="9">
        <f ca="1"/>
        <v>41578</v>
      </c>
      <c r="B4688" s="6">
        <v>78.81</v>
      </c>
      <c r="C4688" s="6"/>
      <c r="D4688" s="6"/>
    </row>
    <row r="4689" spans="1:4" ht="13" thickBot="1" x14ac:dyDescent="0.3">
      <c r="A4689" s="9">
        <f ca="1"/>
        <v>41579</v>
      </c>
      <c r="B4689" s="6">
        <v>78.14</v>
      </c>
      <c r="C4689" s="6"/>
      <c r="D4689" s="6"/>
    </row>
    <row r="4690" spans="1:4" ht="13" thickBot="1" x14ac:dyDescent="0.3">
      <c r="A4690" s="9">
        <f ca="1"/>
        <v>41580</v>
      </c>
      <c r="B4690" s="5">
        <f t="shared" ref="B4690:B4691" si="669">B4689</f>
        <v>78.14</v>
      </c>
      <c r="C4690" s="6"/>
      <c r="D4690" s="6"/>
    </row>
    <row r="4691" spans="1:4" ht="13" thickBot="1" x14ac:dyDescent="0.3">
      <c r="A4691" s="9">
        <f ca="1"/>
        <v>41581</v>
      </c>
      <c r="B4691" s="5">
        <f t="shared" si="669"/>
        <v>78.14</v>
      </c>
      <c r="C4691" s="6"/>
      <c r="D4691" s="6"/>
    </row>
    <row r="4692" spans="1:4" ht="13" thickBot="1" x14ac:dyDescent="0.3">
      <c r="A4692" s="9">
        <f ca="1"/>
        <v>41582</v>
      </c>
      <c r="B4692" s="6">
        <v>78.12</v>
      </c>
      <c r="C4692" s="6"/>
      <c r="D4692" s="6"/>
    </row>
    <row r="4693" spans="1:4" ht="13" thickBot="1" x14ac:dyDescent="0.3">
      <c r="A4693" s="9">
        <f ca="1"/>
        <v>41583</v>
      </c>
      <c r="B4693" s="6">
        <v>77.48</v>
      </c>
      <c r="C4693" s="6"/>
      <c r="D4693" s="6"/>
    </row>
    <row r="4694" spans="1:4" ht="13" thickBot="1" x14ac:dyDescent="0.3">
      <c r="A4694" s="9">
        <f ca="1"/>
        <v>41584</v>
      </c>
      <c r="B4694" s="6">
        <v>79.209999999999994</v>
      </c>
      <c r="C4694" s="6"/>
      <c r="D4694" s="6"/>
    </row>
    <row r="4695" spans="1:4" ht="13" thickBot="1" x14ac:dyDescent="0.3">
      <c r="A4695" s="9">
        <f ca="1"/>
        <v>41585</v>
      </c>
      <c r="B4695" s="6">
        <v>78.849999999999994</v>
      </c>
      <c r="C4695" s="6"/>
      <c r="D4695" s="6"/>
    </row>
    <row r="4696" spans="1:4" ht="13" thickBot="1" x14ac:dyDescent="0.3">
      <c r="A4696" s="9">
        <f ca="1"/>
        <v>41586</v>
      </c>
      <c r="B4696" s="6">
        <v>78.34</v>
      </c>
      <c r="C4696" s="6"/>
      <c r="D4696" s="6"/>
    </row>
    <row r="4697" spans="1:4" ht="13" thickBot="1" x14ac:dyDescent="0.3">
      <c r="A4697" s="9">
        <f ca="1"/>
        <v>41587</v>
      </c>
      <c r="B4697" s="5">
        <f t="shared" ref="B4697:B4698" si="670">B4696</f>
        <v>78.34</v>
      </c>
      <c r="C4697" s="6"/>
      <c r="D4697" s="6"/>
    </row>
    <row r="4698" spans="1:4" ht="13" thickBot="1" x14ac:dyDescent="0.3">
      <c r="A4698" s="9">
        <f ca="1"/>
        <v>41588</v>
      </c>
      <c r="B4698" s="5">
        <f t="shared" si="670"/>
        <v>78.34</v>
      </c>
      <c r="C4698" s="6"/>
      <c r="D4698" s="6"/>
    </row>
    <row r="4699" spans="1:4" ht="13" thickBot="1" x14ac:dyDescent="0.3">
      <c r="A4699" s="9">
        <f ca="1"/>
        <v>41589</v>
      </c>
      <c r="B4699" s="6">
        <v>79.78</v>
      </c>
      <c r="C4699" s="6"/>
      <c r="D4699" s="6"/>
    </row>
    <row r="4700" spans="1:4" ht="13" thickBot="1" x14ac:dyDescent="0.3">
      <c r="A4700" s="9">
        <f ca="1"/>
        <v>41590</v>
      </c>
      <c r="B4700" s="6">
        <v>80.37</v>
      </c>
      <c r="C4700" s="6"/>
      <c r="D4700" s="6"/>
    </row>
    <row r="4701" spans="1:4" ht="13" thickBot="1" x14ac:dyDescent="0.3">
      <c r="A4701" s="9">
        <f ca="1"/>
        <v>41591</v>
      </c>
      <c r="B4701" s="6">
        <v>79.33</v>
      </c>
      <c r="C4701" s="6"/>
      <c r="D4701" s="6"/>
    </row>
    <row r="4702" spans="1:4" ht="13" thickBot="1" x14ac:dyDescent="0.3">
      <c r="A4702" s="9">
        <f ca="1"/>
        <v>41592</v>
      </c>
      <c r="B4702" s="6">
        <v>80.489999999999995</v>
      </c>
      <c r="C4702" s="6"/>
      <c r="D4702" s="6"/>
    </row>
    <row r="4703" spans="1:4" ht="13" thickBot="1" x14ac:dyDescent="0.3">
      <c r="A4703" s="9">
        <f ca="1"/>
        <v>41593</v>
      </c>
      <c r="B4703" s="6">
        <v>81.59</v>
      </c>
      <c r="C4703" s="6"/>
      <c r="D4703" s="6"/>
    </row>
    <row r="4704" spans="1:4" ht="13" thickBot="1" x14ac:dyDescent="0.3">
      <c r="A4704" s="9">
        <f ca="1"/>
        <v>41594</v>
      </c>
      <c r="B4704" s="5">
        <f t="shared" ref="B4704:B4705" si="671">B4703</f>
        <v>81.59</v>
      </c>
      <c r="C4704" s="6"/>
      <c r="D4704" s="6"/>
    </row>
    <row r="4705" spans="1:4" ht="13" thickBot="1" x14ac:dyDescent="0.3">
      <c r="A4705" s="9">
        <f ca="1"/>
        <v>41595</v>
      </c>
      <c r="B4705" s="5">
        <f t="shared" si="671"/>
        <v>81.59</v>
      </c>
      <c r="C4705" s="6"/>
      <c r="D4705" s="6"/>
    </row>
    <row r="4706" spans="1:4" ht="13" thickBot="1" x14ac:dyDescent="0.3">
      <c r="A4706" s="9">
        <f ca="1"/>
        <v>41596</v>
      </c>
      <c r="B4706" s="6">
        <v>82.59</v>
      </c>
      <c r="C4706" s="6"/>
      <c r="D4706" s="6"/>
    </row>
    <row r="4707" spans="1:4" ht="13" thickBot="1" x14ac:dyDescent="0.3">
      <c r="A4707" s="9">
        <f ca="1"/>
        <v>41597</v>
      </c>
      <c r="B4707" s="6">
        <v>82.29</v>
      </c>
      <c r="C4707" s="6"/>
      <c r="D4707" s="6"/>
    </row>
    <row r="4708" spans="1:4" ht="13" thickBot="1" x14ac:dyDescent="0.3">
      <c r="A4708" s="9">
        <f ca="1"/>
        <v>41598</v>
      </c>
      <c r="B4708" s="6">
        <v>82.21</v>
      </c>
      <c r="C4708" s="6"/>
      <c r="D4708" s="6"/>
    </row>
    <row r="4709" spans="1:4" ht="13" thickBot="1" x14ac:dyDescent="0.3">
      <c r="A4709" s="9">
        <f ca="1"/>
        <v>41599</v>
      </c>
      <c r="B4709" s="6">
        <v>81.34</v>
      </c>
      <c r="C4709" s="6"/>
      <c r="D4709" s="6"/>
    </row>
    <row r="4710" spans="1:4" ht="13" thickBot="1" x14ac:dyDescent="0.3">
      <c r="A4710" s="9">
        <f ca="1"/>
        <v>41600</v>
      </c>
      <c r="B4710" s="6">
        <v>81.55</v>
      </c>
      <c r="C4710" s="6"/>
      <c r="D4710" s="6"/>
    </row>
    <row r="4711" spans="1:4" ht="13" thickBot="1" x14ac:dyDescent="0.3">
      <c r="A4711" s="9">
        <f ca="1"/>
        <v>41601</v>
      </c>
      <c r="B4711" s="5">
        <f t="shared" ref="B4711:B4712" si="672">B4710</f>
        <v>81.55</v>
      </c>
      <c r="C4711" s="6"/>
      <c r="D4711" s="6"/>
    </row>
    <row r="4712" spans="1:4" ht="13" thickBot="1" x14ac:dyDescent="0.3">
      <c r="A4712" s="9">
        <f ca="1"/>
        <v>41602</v>
      </c>
      <c r="B4712" s="5">
        <f t="shared" si="672"/>
        <v>81.55</v>
      </c>
      <c r="C4712" s="6"/>
      <c r="D4712" s="6"/>
    </row>
    <row r="4713" spans="1:4" ht="13" thickBot="1" x14ac:dyDescent="0.3">
      <c r="A4713" s="9">
        <f ca="1"/>
        <v>41603</v>
      </c>
      <c r="B4713" s="6">
        <v>82.44</v>
      </c>
      <c r="C4713" s="6"/>
      <c r="D4713" s="6"/>
    </row>
    <row r="4714" spans="1:4" ht="13" thickBot="1" x14ac:dyDescent="0.3">
      <c r="A4714" s="9">
        <f ca="1"/>
        <v>41604</v>
      </c>
      <c r="B4714" s="6">
        <v>82.12</v>
      </c>
      <c r="C4714" s="6"/>
      <c r="D4714" s="6"/>
    </row>
    <row r="4715" spans="1:4" ht="13" thickBot="1" x14ac:dyDescent="0.3">
      <c r="A4715" s="9">
        <f ca="1"/>
        <v>41605</v>
      </c>
      <c r="B4715" s="6">
        <v>83.14</v>
      </c>
      <c r="C4715" s="6"/>
      <c r="D4715" s="6"/>
    </row>
    <row r="4716" spans="1:4" ht="13" thickBot="1" x14ac:dyDescent="0.3">
      <c r="A4716" s="9">
        <f ca="1"/>
        <v>41606</v>
      </c>
      <c r="B4716" s="5">
        <f>B4715</f>
        <v>83.14</v>
      </c>
      <c r="C4716" s="6"/>
      <c r="D4716" s="6"/>
    </row>
    <row r="4717" spans="1:4" ht="13" thickBot="1" x14ac:dyDescent="0.3">
      <c r="A4717" s="9">
        <f ca="1"/>
        <v>41607</v>
      </c>
      <c r="B4717" s="6">
        <v>82.83</v>
      </c>
      <c r="C4717" s="6"/>
      <c r="D4717" s="6"/>
    </row>
    <row r="4718" spans="1:4" ht="13" thickBot="1" x14ac:dyDescent="0.3">
      <c r="A4718" s="9">
        <f ca="1"/>
        <v>41608</v>
      </c>
      <c r="B4718" s="5">
        <f t="shared" ref="B4718:B4719" si="673">B4717</f>
        <v>82.83</v>
      </c>
      <c r="C4718" s="6"/>
      <c r="D4718" s="6"/>
    </row>
    <row r="4719" spans="1:4" ht="13" thickBot="1" x14ac:dyDescent="0.3">
      <c r="A4719" s="9">
        <f ca="1"/>
        <v>41609</v>
      </c>
      <c r="B4719" s="5">
        <f t="shared" si="673"/>
        <v>82.83</v>
      </c>
      <c r="C4719" s="6"/>
      <c r="D4719" s="6"/>
    </row>
    <row r="4720" spans="1:4" ht="13" thickBot="1" x14ac:dyDescent="0.3">
      <c r="A4720" s="9">
        <f ca="1"/>
        <v>41610</v>
      </c>
      <c r="B4720" s="6">
        <v>82.14</v>
      </c>
      <c r="C4720" s="6"/>
      <c r="D4720" s="6"/>
    </row>
    <row r="4721" spans="1:4" ht="13" thickBot="1" x14ac:dyDescent="0.3">
      <c r="A4721" s="9">
        <f ca="1"/>
        <v>41611</v>
      </c>
      <c r="B4721" s="6">
        <v>81.45</v>
      </c>
      <c r="C4721" s="6"/>
      <c r="D4721" s="6"/>
    </row>
    <row r="4722" spans="1:4" ht="13" thickBot="1" x14ac:dyDescent="0.3">
      <c r="A4722" s="9">
        <f ca="1"/>
        <v>41612</v>
      </c>
      <c r="B4722" s="6">
        <v>80.349999999999994</v>
      </c>
      <c r="C4722" s="6"/>
      <c r="D4722" s="6"/>
    </row>
    <row r="4723" spans="1:4" ht="13" thickBot="1" x14ac:dyDescent="0.3">
      <c r="A4723" s="9">
        <f ca="1"/>
        <v>41613</v>
      </c>
      <c r="B4723" s="6">
        <v>81.069999999999993</v>
      </c>
      <c r="C4723" s="6"/>
      <c r="D4723" s="6"/>
    </row>
    <row r="4724" spans="1:4" ht="13" thickBot="1" x14ac:dyDescent="0.3">
      <c r="A4724" s="9">
        <f ca="1"/>
        <v>41614</v>
      </c>
      <c r="B4724" s="6">
        <v>81.819999999999993</v>
      </c>
      <c r="C4724" s="6"/>
      <c r="D4724" s="6"/>
    </row>
    <row r="4725" spans="1:4" ht="13" thickBot="1" x14ac:dyDescent="0.3">
      <c r="A4725" s="9">
        <f ca="1"/>
        <v>41615</v>
      </c>
      <c r="B4725" s="5">
        <f t="shared" ref="B4725:B4726" si="674">B4724</f>
        <v>81.819999999999993</v>
      </c>
      <c r="C4725" s="6"/>
      <c r="D4725" s="6"/>
    </row>
    <row r="4726" spans="1:4" ht="13" thickBot="1" x14ac:dyDescent="0.3">
      <c r="A4726" s="9">
        <f ca="1"/>
        <v>41616</v>
      </c>
      <c r="B4726" s="5">
        <f t="shared" si="674"/>
        <v>81.819999999999993</v>
      </c>
      <c r="C4726" s="6"/>
      <c r="D4726" s="6"/>
    </row>
    <row r="4727" spans="1:4" ht="13" thickBot="1" x14ac:dyDescent="0.3">
      <c r="A4727" s="9">
        <f ca="1"/>
        <v>41617</v>
      </c>
      <c r="B4727" s="6">
        <v>82.2</v>
      </c>
      <c r="C4727" s="6"/>
      <c r="D4727" s="6"/>
    </row>
    <row r="4728" spans="1:4" ht="13" thickBot="1" x14ac:dyDescent="0.3">
      <c r="A4728" s="9">
        <f ca="1"/>
        <v>41618</v>
      </c>
      <c r="B4728" s="6">
        <v>81.78</v>
      </c>
      <c r="C4728" s="6"/>
      <c r="D4728" s="6"/>
    </row>
    <row r="4729" spans="1:4" ht="13" thickBot="1" x14ac:dyDescent="0.3">
      <c r="A4729" s="9">
        <f ca="1"/>
        <v>41619</v>
      </c>
      <c r="B4729" s="6">
        <v>82.06</v>
      </c>
      <c r="C4729" s="6"/>
      <c r="D4729" s="6"/>
    </row>
    <row r="4730" spans="1:4" ht="13" thickBot="1" x14ac:dyDescent="0.3">
      <c r="A4730" s="9">
        <f ca="1"/>
        <v>41620</v>
      </c>
      <c r="B4730" s="6">
        <v>80.650000000000006</v>
      </c>
      <c r="C4730" s="6"/>
      <c r="D4730" s="6"/>
    </row>
    <row r="4731" spans="1:4" ht="13" thickBot="1" x14ac:dyDescent="0.3">
      <c r="A4731" s="9">
        <f ca="1"/>
        <v>41621</v>
      </c>
      <c r="B4731" s="6">
        <v>81.06</v>
      </c>
      <c r="C4731" s="6"/>
      <c r="D4731" s="6"/>
    </row>
    <row r="4732" spans="1:4" ht="13" thickBot="1" x14ac:dyDescent="0.3">
      <c r="A4732" s="9">
        <f ca="1"/>
        <v>41622</v>
      </c>
      <c r="B4732" s="5">
        <f t="shared" ref="B4732:B4733" si="675">B4731</f>
        <v>81.06</v>
      </c>
      <c r="C4732" s="6"/>
      <c r="D4732" s="6"/>
    </row>
    <row r="4733" spans="1:4" ht="13" thickBot="1" x14ac:dyDescent="0.3">
      <c r="A4733" s="9">
        <f ca="1"/>
        <v>41623</v>
      </c>
      <c r="B4733" s="5">
        <f t="shared" si="675"/>
        <v>81.06</v>
      </c>
      <c r="C4733" s="6"/>
      <c r="D4733" s="6"/>
    </row>
    <row r="4734" spans="1:4" ht="13" thickBot="1" x14ac:dyDescent="0.3">
      <c r="A4734" s="9">
        <f ca="1"/>
        <v>41624</v>
      </c>
      <c r="B4734" s="6">
        <v>82</v>
      </c>
      <c r="C4734" s="6"/>
      <c r="D4734" s="6"/>
    </row>
    <row r="4735" spans="1:4" ht="13" thickBot="1" x14ac:dyDescent="0.3">
      <c r="A4735" s="9">
        <f ca="1"/>
        <v>41625</v>
      </c>
      <c r="B4735" s="6">
        <v>81.31</v>
      </c>
      <c r="C4735" s="6"/>
      <c r="D4735" s="6"/>
    </row>
    <row r="4736" spans="1:4" ht="13" thickBot="1" x14ac:dyDescent="0.3">
      <c r="A4736" s="9">
        <f ca="1"/>
        <v>41626</v>
      </c>
      <c r="B4736" s="6">
        <v>81.78</v>
      </c>
      <c r="C4736" s="6"/>
      <c r="D4736" s="6"/>
    </row>
    <row r="4737" spans="1:4" ht="13" thickBot="1" x14ac:dyDescent="0.3">
      <c r="A4737" s="9">
        <f ca="1"/>
        <v>41627</v>
      </c>
      <c r="B4737" s="6">
        <v>82.66</v>
      </c>
      <c r="C4737" s="6"/>
      <c r="D4737" s="6"/>
    </row>
    <row r="4738" spans="1:4" ht="13" thickBot="1" x14ac:dyDescent="0.3">
      <c r="A4738" s="9">
        <f ca="1"/>
        <v>41628</v>
      </c>
      <c r="B4738" s="6">
        <v>83.73</v>
      </c>
      <c r="C4738" s="6"/>
      <c r="D4738" s="6"/>
    </row>
    <row r="4739" spans="1:4" ht="13" thickBot="1" x14ac:dyDescent="0.3">
      <c r="A4739" s="9">
        <f ca="1"/>
        <v>41629</v>
      </c>
      <c r="B4739" s="5">
        <f t="shared" ref="B4739:B4740" si="676">B4738</f>
        <v>83.73</v>
      </c>
      <c r="C4739" s="6"/>
      <c r="D4739" s="6"/>
    </row>
    <row r="4740" spans="1:4" ht="13" thickBot="1" x14ac:dyDescent="0.3">
      <c r="A4740" s="9">
        <f ca="1"/>
        <v>41630</v>
      </c>
      <c r="B4740" s="5">
        <f t="shared" si="676"/>
        <v>83.73</v>
      </c>
      <c r="C4740" s="6"/>
      <c r="D4740" s="6"/>
    </row>
    <row r="4741" spans="1:4" ht="13" thickBot="1" x14ac:dyDescent="0.3">
      <c r="A4741" s="9">
        <f ca="1"/>
        <v>41631</v>
      </c>
      <c r="B4741" s="6">
        <v>84.43</v>
      </c>
      <c r="C4741" s="6"/>
      <c r="D4741" s="6"/>
    </row>
    <row r="4742" spans="1:4" ht="13" thickBot="1" x14ac:dyDescent="0.3">
      <c r="A4742" s="9">
        <f ca="1"/>
        <v>41632</v>
      </c>
      <c r="B4742" s="6">
        <v>84.86</v>
      </c>
      <c r="C4742" s="6"/>
      <c r="D4742" s="6"/>
    </row>
    <row r="4743" spans="1:4" ht="13" thickBot="1" x14ac:dyDescent="0.3">
      <c r="A4743" s="9">
        <f ca="1"/>
        <v>41633</v>
      </c>
      <c r="B4743" s="5">
        <f>B4742</f>
        <v>84.86</v>
      </c>
      <c r="C4743" s="6"/>
      <c r="D4743" s="6"/>
    </row>
    <row r="4744" spans="1:4" ht="13" thickBot="1" x14ac:dyDescent="0.3">
      <c r="A4744" s="9">
        <f ca="1"/>
        <v>41634</v>
      </c>
      <c r="B4744" s="6">
        <v>85.24</v>
      </c>
      <c r="C4744" s="6"/>
      <c r="D4744" s="6"/>
    </row>
    <row r="4745" spans="1:4" ht="13" thickBot="1" x14ac:dyDescent="0.3">
      <c r="A4745" s="9">
        <f ca="1"/>
        <v>41635</v>
      </c>
      <c r="B4745" s="6">
        <v>85.58</v>
      </c>
      <c r="C4745" s="6"/>
      <c r="D4745" s="6"/>
    </row>
    <row r="4746" spans="1:4" ht="13" thickBot="1" x14ac:dyDescent="0.3">
      <c r="A4746" s="9">
        <f ca="1"/>
        <v>41636</v>
      </c>
      <c r="B4746" s="5">
        <f t="shared" ref="B4746:B4747" si="677">B4745</f>
        <v>85.58</v>
      </c>
      <c r="C4746" s="6"/>
      <c r="D4746" s="6"/>
    </row>
    <row r="4747" spans="1:4" ht="13" thickBot="1" x14ac:dyDescent="0.3">
      <c r="A4747" s="9">
        <f ca="1"/>
        <v>41637</v>
      </c>
      <c r="B4747" s="5">
        <f t="shared" si="677"/>
        <v>85.58</v>
      </c>
      <c r="C4747" s="6"/>
      <c r="D4747" s="6"/>
    </row>
    <row r="4748" spans="1:4" ht="13" thickBot="1" x14ac:dyDescent="0.3">
      <c r="A4748" s="9">
        <f ca="1"/>
        <v>41638</v>
      </c>
      <c r="B4748" s="6">
        <v>85.99</v>
      </c>
      <c r="C4748" s="6"/>
      <c r="D4748" s="6"/>
    </row>
    <row r="4749" spans="1:4" ht="13" thickBot="1" x14ac:dyDescent="0.3">
      <c r="A4749" s="9">
        <f ca="1"/>
        <v>41639</v>
      </c>
      <c r="B4749" s="6">
        <v>86.78</v>
      </c>
      <c r="C4749" s="6"/>
      <c r="D4749" s="6"/>
    </row>
    <row r="4750" spans="1:4" ht="13" thickBot="1" x14ac:dyDescent="0.3">
      <c r="A4750" s="9">
        <f ca="1"/>
        <v>41640</v>
      </c>
      <c r="B4750" s="5">
        <f>B4749</f>
        <v>86.78</v>
      </c>
      <c r="C4750" s="6"/>
      <c r="D4750" s="6"/>
    </row>
    <row r="4751" spans="1:4" ht="13" thickBot="1" x14ac:dyDescent="0.3">
      <c r="A4751" s="9">
        <f ca="1"/>
        <v>41641</v>
      </c>
      <c r="B4751" s="6">
        <v>84.97</v>
      </c>
      <c r="C4751" s="6"/>
      <c r="D4751" s="6"/>
    </row>
    <row r="4752" spans="1:4" ht="13" thickBot="1" x14ac:dyDescent="0.3">
      <c r="A4752" s="9">
        <f ca="1"/>
        <v>41642</v>
      </c>
      <c r="B4752" s="6">
        <v>84.04</v>
      </c>
      <c r="C4752" s="6"/>
      <c r="D4752" s="6"/>
    </row>
    <row r="4753" spans="1:4" ht="13" thickBot="1" x14ac:dyDescent="0.3">
      <c r="A4753" s="9">
        <f ca="1"/>
        <v>41643</v>
      </c>
      <c r="B4753" s="5">
        <f t="shared" ref="B4753:B4754" si="678">B4752</f>
        <v>84.04</v>
      </c>
      <c r="C4753" s="6"/>
      <c r="D4753" s="6"/>
    </row>
    <row r="4754" spans="1:4" ht="13" thickBot="1" x14ac:dyDescent="0.3">
      <c r="A4754" s="9">
        <f ca="1"/>
        <v>41644</v>
      </c>
      <c r="B4754" s="5">
        <f t="shared" si="678"/>
        <v>84.04</v>
      </c>
      <c r="C4754" s="6"/>
      <c r="D4754" s="6"/>
    </row>
    <row r="4755" spans="1:4" ht="13" thickBot="1" x14ac:dyDescent="0.3">
      <c r="A4755" s="9">
        <f ca="1"/>
        <v>41645</v>
      </c>
      <c r="B4755" s="6">
        <v>84.88</v>
      </c>
      <c r="C4755" s="6"/>
      <c r="D4755" s="6"/>
    </row>
    <row r="4756" spans="1:4" ht="13" thickBot="1" x14ac:dyDescent="0.3">
      <c r="A4756" s="9">
        <f ca="1"/>
        <v>41646</v>
      </c>
      <c r="B4756" s="6">
        <v>84.21</v>
      </c>
      <c r="C4756" s="6"/>
      <c r="D4756" s="6"/>
    </row>
    <row r="4757" spans="1:4" ht="13" thickBot="1" x14ac:dyDescent="0.3">
      <c r="A4757" s="9">
        <f ca="1"/>
        <v>41647</v>
      </c>
      <c r="B4757" s="6">
        <v>85.1</v>
      </c>
      <c r="C4757" s="6"/>
      <c r="D4757" s="6"/>
    </row>
    <row r="4758" spans="1:4" ht="13" thickBot="1" x14ac:dyDescent="0.3">
      <c r="A4758" s="9">
        <f ca="1"/>
        <v>41648</v>
      </c>
      <c r="B4758" s="6">
        <v>84.7</v>
      </c>
      <c r="C4758" s="6"/>
      <c r="D4758" s="6"/>
    </row>
    <row r="4759" spans="1:4" ht="13" thickBot="1" x14ac:dyDescent="0.3">
      <c r="A4759" s="9">
        <f ca="1"/>
        <v>41649</v>
      </c>
      <c r="B4759" s="6">
        <v>82.91</v>
      </c>
      <c r="C4759" s="6"/>
      <c r="D4759" s="6"/>
    </row>
    <row r="4760" spans="1:4" ht="13" thickBot="1" x14ac:dyDescent="0.3">
      <c r="A4760" s="9">
        <f ca="1"/>
        <v>41650</v>
      </c>
      <c r="B4760" s="5">
        <f t="shared" ref="B4760:B4761" si="679">B4759</f>
        <v>82.91</v>
      </c>
      <c r="C4760" s="6"/>
      <c r="D4760" s="6"/>
    </row>
    <row r="4761" spans="1:4" ht="13" thickBot="1" x14ac:dyDescent="0.3">
      <c r="A4761" s="9">
        <f ca="1"/>
        <v>41651</v>
      </c>
      <c r="B4761" s="5">
        <f t="shared" si="679"/>
        <v>82.91</v>
      </c>
      <c r="C4761" s="6"/>
      <c r="D4761" s="6"/>
    </row>
    <row r="4762" spans="1:4" ht="13" thickBot="1" x14ac:dyDescent="0.3">
      <c r="A4762" s="9">
        <f ca="1"/>
        <v>41652</v>
      </c>
      <c r="B4762" s="6">
        <v>83.04</v>
      </c>
      <c r="C4762" s="6"/>
      <c r="D4762" s="6"/>
    </row>
    <row r="4763" spans="1:4" ht="13" thickBot="1" x14ac:dyDescent="0.3">
      <c r="A4763" s="9">
        <f ca="1"/>
        <v>41653</v>
      </c>
      <c r="B4763" s="6">
        <v>82.59</v>
      </c>
      <c r="C4763" s="6"/>
      <c r="D4763" s="6"/>
    </row>
    <row r="4764" spans="1:4" ht="13" thickBot="1" x14ac:dyDescent="0.3">
      <c r="A4764" s="9">
        <f ca="1"/>
        <v>41654</v>
      </c>
      <c r="B4764" s="6">
        <v>82.3</v>
      </c>
      <c r="C4764" s="6"/>
      <c r="D4764" s="6"/>
    </row>
    <row r="4765" spans="1:4" ht="13" thickBot="1" x14ac:dyDescent="0.3">
      <c r="A4765" s="9">
        <f ca="1"/>
        <v>41655</v>
      </c>
      <c r="B4765" s="6">
        <v>83.08</v>
      </c>
      <c r="C4765" s="6"/>
      <c r="D4765" s="6"/>
    </row>
    <row r="4766" spans="1:4" ht="13" thickBot="1" x14ac:dyDescent="0.3">
      <c r="A4766" s="9">
        <f ca="1"/>
        <v>41656</v>
      </c>
      <c r="B4766" s="6">
        <v>82.19</v>
      </c>
      <c r="C4766" s="6"/>
      <c r="D4766" s="6"/>
    </row>
    <row r="4767" spans="1:4" ht="13" thickBot="1" x14ac:dyDescent="0.3">
      <c r="A4767" s="9">
        <f ca="1"/>
        <v>41657</v>
      </c>
      <c r="B4767" s="5">
        <f t="shared" ref="B4767:B4769" si="680">B4766</f>
        <v>82.19</v>
      </c>
      <c r="C4767" s="6"/>
      <c r="D4767" s="6"/>
    </row>
    <row r="4768" spans="1:4" ht="13" thickBot="1" x14ac:dyDescent="0.3">
      <c r="A4768" s="9">
        <f ca="1"/>
        <v>41658</v>
      </c>
      <c r="B4768" s="5">
        <f t="shared" si="680"/>
        <v>82.19</v>
      </c>
      <c r="C4768" s="6"/>
      <c r="D4768" s="6"/>
    </row>
    <row r="4769" spans="1:4" ht="13" thickBot="1" x14ac:dyDescent="0.3">
      <c r="A4769" s="9">
        <f ca="1"/>
        <v>41659</v>
      </c>
      <c r="B4769" s="5">
        <f t="shared" si="680"/>
        <v>82.19</v>
      </c>
      <c r="C4769" s="6"/>
      <c r="D4769" s="6"/>
    </row>
    <row r="4770" spans="1:4" ht="13" thickBot="1" x14ac:dyDescent="0.3">
      <c r="A4770" s="9">
        <f ca="1"/>
        <v>41660</v>
      </c>
      <c r="B4770" s="6">
        <v>81.62</v>
      </c>
      <c r="C4770" s="6"/>
      <c r="D4770" s="6"/>
    </row>
    <row r="4771" spans="1:4" ht="13" thickBot="1" x14ac:dyDescent="0.3">
      <c r="A4771" s="9">
        <f ca="1"/>
        <v>41661</v>
      </c>
      <c r="B4771" s="6">
        <v>80.349999999999994</v>
      </c>
      <c r="C4771" s="6"/>
      <c r="D4771" s="6"/>
    </row>
    <row r="4772" spans="1:4" ht="13" thickBot="1" x14ac:dyDescent="0.3">
      <c r="A4772" s="9">
        <f ca="1"/>
        <v>41662</v>
      </c>
      <c r="B4772" s="6">
        <v>79.31</v>
      </c>
      <c r="C4772" s="6"/>
      <c r="D4772" s="6"/>
    </row>
    <row r="4773" spans="1:4" ht="13" thickBot="1" x14ac:dyDescent="0.3">
      <c r="A4773" s="9">
        <f ca="1"/>
        <v>41663</v>
      </c>
      <c r="B4773" s="6">
        <v>78.58</v>
      </c>
      <c r="C4773" s="6"/>
      <c r="D4773" s="6"/>
    </row>
    <row r="4774" spans="1:4" ht="13" thickBot="1" x14ac:dyDescent="0.3">
      <c r="A4774" s="9">
        <f ca="1"/>
        <v>41664</v>
      </c>
      <c r="B4774" s="5">
        <f t="shared" ref="B4774:B4775" si="681">B4773</f>
        <v>78.58</v>
      </c>
      <c r="C4774" s="6"/>
      <c r="D4774" s="6"/>
    </row>
    <row r="4775" spans="1:4" ht="13" thickBot="1" x14ac:dyDescent="0.3">
      <c r="A4775" s="9">
        <f ca="1"/>
        <v>41665</v>
      </c>
      <c r="B4775" s="5">
        <f t="shared" si="681"/>
        <v>78.58</v>
      </c>
      <c r="C4775" s="6"/>
      <c r="D4775" s="6"/>
    </row>
    <row r="4776" spans="1:4" ht="13" thickBot="1" x14ac:dyDescent="0.3">
      <c r="A4776" s="9">
        <f ca="1"/>
        <v>41666</v>
      </c>
      <c r="B4776" s="6">
        <v>78.540000000000006</v>
      </c>
      <c r="C4776" s="6"/>
      <c r="D4776" s="6"/>
    </row>
    <row r="4777" spans="1:4" ht="13" thickBot="1" x14ac:dyDescent="0.3">
      <c r="A4777" s="9">
        <f ca="1"/>
        <v>41667</v>
      </c>
      <c r="B4777" s="6">
        <v>77.040000000000006</v>
      </c>
      <c r="C4777" s="6"/>
      <c r="D4777" s="6"/>
    </row>
    <row r="4778" spans="1:4" ht="13" thickBot="1" x14ac:dyDescent="0.3">
      <c r="A4778" s="9">
        <f ca="1"/>
        <v>41668</v>
      </c>
      <c r="B4778" s="6">
        <v>76.930000000000007</v>
      </c>
      <c r="C4778" s="6"/>
      <c r="D4778" s="6"/>
    </row>
    <row r="4779" spans="1:4" ht="13" thickBot="1" x14ac:dyDescent="0.3">
      <c r="A4779" s="9">
        <f ca="1"/>
        <v>41669</v>
      </c>
      <c r="B4779" s="6">
        <v>77.66</v>
      </c>
      <c r="C4779" s="6"/>
      <c r="D4779" s="6"/>
    </row>
    <row r="4780" spans="1:4" ht="13" thickBot="1" x14ac:dyDescent="0.3">
      <c r="A4780" s="9">
        <f ca="1"/>
        <v>41670</v>
      </c>
      <c r="B4780" s="6">
        <v>75.930000000000007</v>
      </c>
      <c r="C4780" s="6"/>
      <c r="D4780" s="6"/>
    </row>
    <row r="4781" spans="1:4" ht="13" thickBot="1" x14ac:dyDescent="0.3">
      <c r="A4781" s="9">
        <f ca="1"/>
        <v>41671</v>
      </c>
      <c r="B4781" s="5">
        <f t="shared" ref="B4781:B4782" si="682">B4780</f>
        <v>75.930000000000007</v>
      </c>
      <c r="C4781" s="6"/>
      <c r="D4781" s="6"/>
    </row>
    <row r="4782" spans="1:4" ht="13" thickBot="1" x14ac:dyDescent="0.3">
      <c r="A4782" s="9">
        <f ca="1"/>
        <v>41672</v>
      </c>
      <c r="B4782" s="5">
        <f t="shared" si="682"/>
        <v>75.930000000000007</v>
      </c>
      <c r="C4782" s="6"/>
      <c r="D4782" s="6"/>
    </row>
    <row r="4783" spans="1:4" ht="13" thickBot="1" x14ac:dyDescent="0.3">
      <c r="A4783" s="9">
        <f ca="1"/>
        <v>41673</v>
      </c>
      <c r="B4783" s="6">
        <v>76.2</v>
      </c>
      <c r="C4783" s="6"/>
      <c r="D4783" s="6"/>
    </row>
    <row r="4784" spans="1:4" ht="13" thickBot="1" x14ac:dyDescent="0.3">
      <c r="A4784" s="9">
        <f ca="1"/>
        <v>41674</v>
      </c>
      <c r="B4784" s="6">
        <v>75.569999999999993</v>
      </c>
      <c r="C4784" s="6"/>
      <c r="D4784" s="6"/>
    </row>
    <row r="4785" spans="1:4" ht="13" thickBot="1" x14ac:dyDescent="0.3">
      <c r="A4785" s="9">
        <f ca="1"/>
        <v>41675</v>
      </c>
      <c r="B4785" s="6">
        <v>74.69</v>
      </c>
      <c r="C4785" s="6"/>
      <c r="D4785" s="6"/>
    </row>
    <row r="4786" spans="1:4" ht="13" thickBot="1" x14ac:dyDescent="0.3">
      <c r="A4786" s="9">
        <f ca="1"/>
        <v>41676</v>
      </c>
      <c r="B4786" s="6">
        <v>75.45</v>
      </c>
      <c r="C4786" s="6"/>
      <c r="D4786" s="6"/>
    </row>
    <row r="4787" spans="1:4" ht="13" thickBot="1" x14ac:dyDescent="0.3">
      <c r="A4787" s="9">
        <f ca="1"/>
        <v>41677</v>
      </c>
      <c r="B4787" s="6">
        <v>76.39</v>
      </c>
      <c r="C4787" s="6"/>
      <c r="D4787" s="6"/>
    </row>
    <row r="4788" spans="1:4" ht="13" thickBot="1" x14ac:dyDescent="0.3">
      <c r="A4788" s="9">
        <f ca="1"/>
        <v>41678</v>
      </c>
      <c r="B4788" s="5">
        <f t="shared" ref="B4788:B4789" si="683">B4787</f>
        <v>76.39</v>
      </c>
      <c r="C4788" s="6"/>
      <c r="D4788" s="6"/>
    </row>
    <row r="4789" spans="1:4" ht="13" thickBot="1" x14ac:dyDescent="0.3">
      <c r="A4789" s="9">
        <f ca="1"/>
        <v>41679</v>
      </c>
      <c r="B4789" s="5">
        <f t="shared" si="683"/>
        <v>76.39</v>
      </c>
      <c r="C4789" s="6"/>
      <c r="D4789" s="6"/>
    </row>
    <row r="4790" spans="1:4" ht="13" thickBot="1" x14ac:dyDescent="0.3">
      <c r="A4790" s="9">
        <f ca="1"/>
        <v>41680</v>
      </c>
      <c r="B4790" s="6">
        <v>76.42</v>
      </c>
      <c r="C4790" s="6"/>
      <c r="D4790" s="6"/>
    </row>
    <row r="4791" spans="1:4" ht="13" thickBot="1" x14ac:dyDescent="0.3">
      <c r="A4791" s="9">
        <f ca="1"/>
        <v>41681</v>
      </c>
      <c r="B4791" s="6">
        <v>77.02</v>
      </c>
      <c r="C4791" s="6"/>
      <c r="D4791" s="6"/>
    </row>
    <row r="4792" spans="1:4" ht="13" thickBot="1" x14ac:dyDescent="0.3">
      <c r="A4792" s="9">
        <f ca="1"/>
        <v>41682</v>
      </c>
      <c r="B4792" s="6">
        <v>77.510000000000005</v>
      </c>
      <c r="C4792" s="6"/>
      <c r="D4792" s="6"/>
    </row>
    <row r="4793" spans="1:4" ht="13" thickBot="1" x14ac:dyDescent="0.3">
      <c r="A4793" s="9">
        <f ca="1"/>
        <v>41683</v>
      </c>
      <c r="B4793" s="6">
        <v>77.97</v>
      </c>
      <c r="C4793" s="6"/>
      <c r="D4793" s="6"/>
    </row>
    <row r="4794" spans="1:4" ht="13" thickBot="1" x14ac:dyDescent="0.3">
      <c r="A4794" s="9">
        <f ca="1"/>
        <v>41684</v>
      </c>
      <c r="B4794" s="6">
        <v>79.680000000000007</v>
      </c>
      <c r="C4794" s="6"/>
      <c r="D4794" s="6"/>
    </row>
    <row r="4795" spans="1:4" ht="13" thickBot="1" x14ac:dyDescent="0.3">
      <c r="A4795" s="9">
        <f ca="1"/>
        <v>41685</v>
      </c>
      <c r="B4795" s="5">
        <f t="shared" ref="B4795:B4797" si="684">B4794</f>
        <v>79.680000000000007</v>
      </c>
      <c r="C4795" s="6"/>
      <c r="D4795" s="6"/>
    </row>
    <row r="4796" spans="1:4" ht="13" thickBot="1" x14ac:dyDescent="0.3">
      <c r="A4796" s="9">
        <f ca="1"/>
        <v>41686</v>
      </c>
      <c r="B4796" s="5">
        <f t="shared" si="684"/>
        <v>79.680000000000007</v>
      </c>
      <c r="C4796" s="6"/>
      <c r="D4796" s="6"/>
    </row>
    <row r="4797" spans="1:4" ht="13" thickBot="1" x14ac:dyDescent="0.3">
      <c r="A4797" s="9">
        <f ca="1"/>
        <v>41687</v>
      </c>
      <c r="B4797" s="5">
        <f t="shared" si="684"/>
        <v>79.680000000000007</v>
      </c>
      <c r="C4797" s="6"/>
      <c r="D4797" s="6"/>
    </row>
    <row r="4798" spans="1:4" ht="13" thickBot="1" x14ac:dyDescent="0.3">
      <c r="A4798" s="9">
        <f ca="1"/>
        <v>41688</v>
      </c>
      <c r="B4798" s="6">
        <v>80.650000000000006</v>
      </c>
      <c r="C4798" s="6"/>
      <c r="D4798" s="6"/>
    </row>
    <row r="4799" spans="1:4" ht="13" thickBot="1" x14ac:dyDescent="0.3">
      <c r="A4799" s="9">
        <f ca="1"/>
        <v>41689</v>
      </c>
      <c r="B4799" s="6">
        <v>80.040000000000006</v>
      </c>
      <c r="C4799" s="6"/>
      <c r="D4799" s="6"/>
    </row>
    <row r="4800" spans="1:4" ht="13" thickBot="1" x14ac:dyDescent="0.3">
      <c r="A4800" s="9">
        <f ca="1"/>
        <v>41690</v>
      </c>
      <c r="B4800" s="6">
        <v>79.25</v>
      </c>
      <c r="C4800" s="6"/>
      <c r="D4800" s="6"/>
    </row>
    <row r="4801" spans="1:4" ht="13" thickBot="1" x14ac:dyDescent="0.3">
      <c r="A4801" s="9">
        <f ca="1"/>
        <v>41691</v>
      </c>
      <c r="B4801" s="6">
        <v>79.55</v>
      </c>
      <c r="C4801" s="6"/>
      <c r="D4801" s="6"/>
    </row>
    <row r="4802" spans="1:4" ht="13" thickBot="1" x14ac:dyDescent="0.3">
      <c r="A4802" s="9">
        <f ca="1"/>
        <v>41692</v>
      </c>
      <c r="B4802" s="5">
        <f t="shared" ref="B4802:B4803" si="685">B4801</f>
        <v>79.55</v>
      </c>
      <c r="C4802" s="6"/>
      <c r="D4802" s="6"/>
    </row>
    <row r="4803" spans="1:4" ht="13" thickBot="1" x14ac:dyDescent="0.3">
      <c r="A4803" s="9">
        <f ca="1"/>
        <v>41693</v>
      </c>
      <c r="B4803" s="5">
        <f t="shared" si="685"/>
        <v>79.55</v>
      </c>
      <c r="C4803" s="6"/>
      <c r="D4803" s="6"/>
    </row>
    <row r="4804" spans="1:4" ht="13" thickBot="1" x14ac:dyDescent="0.3">
      <c r="A4804" s="9">
        <f ca="1"/>
        <v>41694</v>
      </c>
      <c r="B4804" s="6">
        <v>79.540000000000006</v>
      </c>
      <c r="C4804" s="6"/>
      <c r="D4804" s="6"/>
    </row>
    <row r="4805" spans="1:4" ht="13" thickBot="1" x14ac:dyDescent="0.3">
      <c r="A4805" s="9">
        <f ca="1"/>
        <v>41695</v>
      </c>
      <c r="B4805" s="6">
        <v>80.069999999999993</v>
      </c>
      <c r="C4805" s="6"/>
      <c r="D4805" s="6"/>
    </row>
    <row r="4806" spans="1:4" ht="13" thickBot="1" x14ac:dyDescent="0.3">
      <c r="A4806" s="9">
        <f ca="1"/>
        <v>41696</v>
      </c>
      <c r="B4806" s="6">
        <v>79.849999999999994</v>
      </c>
      <c r="C4806" s="6"/>
      <c r="D4806" s="6"/>
    </row>
    <row r="4807" spans="1:4" ht="13" thickBot="1" x14ac:dyDescent="0.3">
      <c r="A4807" s="9">
        <f ca="1"/>
        <v>41697</v>
      </c>
      <c r="B4807" s="6">
        <v>79.14</v>
      </c>
      <c r="C4807" s="6"/>
      <c r="D4807" s="6"/>
    </row>
    <row r="4808" spans="1:4" ht="13" thickBot="1" x14ac:dyDescent="0.3">
      <c r="A4808" s="9">
        <f ca="1"/>
        <v>41698</v>
      </c>
      <c r="B4808" s="6">
        <v>80.37</v>
      </c>
      <c r="C4808" s="6"/>
      <c r="D4808" s="6"/>
    </row>
    <row r="4809" spans="1:4" ht="13" thickBot="1" x14ac:dyDescent="0.3">
      <c r="A4809" s="9">
        <f ca="1"/>
        <v>41699</v>
      </c>
      <c r="B4809" s="5">
        <f t="shared" ref="B4809:B4810" si="686">B4808</f>
        <v>80.37</v>
      </c>
      <c r="C4809" s="6"/>
      <c r="D4809" s="6"/>
    </row>
    <row r="4810" spans="1:4" ht="13" thickBot="1" x14ac:dyDescent="0.3">
      <c r="A4810" s="9">
        <f ca="1"/>
        <v>41700</v>
      </c>
      <c r="B4810" s="5">
        <f t="shared" si="686"/>
        <v>80.37</v>
      </c>
      <c r="C4810" s="6"/>
      <c r="D4810" s="6"/>
    </row>
    <row r="4811" spans="1:4" ht="13" thickBot="1" x14ac:dyDescent="0.3">
      <c r="A4811" s="9">
        <f ca="1"/>
        <v>41701</v>
      </c>
      <c r="B4811" s="6">
        <v>78.790000000000006</v>
      </c>
      <c r="C4811" s="6"/>
      <c r="D4811" s="6"/>
    </row>
    <row r="4812" spans="1:4" ht="13" thickBot="1" x14ac:dyDescent="0.3">
      <c r="A4812" s="9">
        <f ca="1"/>
        <v>41702</v>
      </c>
      <c r="B4812" s="6">
        <v>79.11</v>
      </c>
      <c r="C4812" s="6"/>
      <c r="D4812" s="6"/>
    </row>
    <row r="4813" spans="1:4" ht="13" thickBot="1" x14ac:dyDescent="0.3">
      <c r="A4813" s="9">
        <f ca="1"/>
        <v>41703</v>
      </c>
      <c r="B4813" s="6">
        <v>78.5</v>
      </c>
      <c r="C4813" s="6"/>
      <c r="D4813" s="6"/>
    </row>
    <row r="4814" spans="1:4" ht="13" thickBot="1" x14ac:dyDescent="0.3">
      <c r="A4814" s="9">
        <f ca="1"/>
        <v>41704</v>
      </c>
      <c r="B4814" s="6">
        <v>79.28</v>
      </c>
      <c r="C4814" s="6"/>
      <c r="D4814" s="6"/>
    </row>
    <row r="4815" spans="1:4" ht="13" thickBot="1" x14ac:dyDescent="0.3">
      <c r="A4815" s="9">
        <f ca="1"/>
        <v>41705</v>
      </c>
      <c r="B4815" s="6">
        <v>78.87</v>
      </c>
      <c r="C4815" s="6"/>
      <c r="D4815" s="6"/>
    </row>
    <row r="4816" spans="1:4" ht="13" thickBot="1" x14ac:dyDescent="0.3">
      <c r="A4816" s="9">
        <f ca="1"/>
        <v>41706</v>
      </c>
      <c r="B4816" s="5">
        <f t="shared" ref="B4816:B4817" si="687">B4815</f>
        <v>78.87</v>
      </c>
      <c r="C4816" s="6"/>
      <c r="D4816" s="6"/>
    </row>
    <row r="4817" spans="1:4" ht="13" thickBot="1" x14ac:dyDescent="0.3">
      <c r="A4817" s="9">
        <f ca="1"/>
        <v>41707</v>
      </c>
      <c r="B4817" s="5">
        <f t="shared" si="687"/>
        <v>78.87</v>
      </c>
      <c r="C4817" s="6"/>
      <c r="D4817" s="6"/>
    </row>
    <row r="4818" spans="1:4" ht="13" thickBot="1" x14ac:dyDescent="0.3">
      <c r="A4818" s="9">
        <f ca="1"/>
        <v>41708</v>
      </c>
      <c r="B4818" s="6">
        <v>77.56</v>
      </c>
      <c r="C4818" s="6"/>
      <c r="D4818" s="6"/>
    </row>
    <row r="4819" spans="1:4" ht="13" thickBot="1" x14ac:dyDescent="0.3">
      <c r="A4819" s="9">
        <f ca="1"/>
        <v>41709</v>
      </c>
      <c r="B4819" s="6">
        <v>77.709999999999994</v>
      </c>
      <c r="C4819" s="6"/>
      <c r="D4819" s="6"/>
    </row>
    <row r="4820" spans="1:4" ht="13" thickBot="1" x14ac:dyDescent="0.3">
      <c r="A4820" s="9">
        <f ca="1"/>
        <v>41710</v>
      </c>
      <c r="B4820" s="6">
        <v>76.87</v>
      </c>
      <c r="C4820" s="6"/>
      <c r="D4820" s="6"/>
    </row>
    <row r="4821" spans="1:4" ht="13" thickBot="1" x14ac:dyDescent="0.3">
      <c r="A4821" s="9">
        <f ca="1"/>
        <v>41711</v>
      </c>
      <c r="B4821" s="6">
        <v>77.069999999999993</v>
      </c>
      <c r="C4821" s="6"/>
      <c r="D4821" s="6"/>
    </row>
    <row r="4822" spans="1:4" ht="13" thickBot="1" x14ac:dyDescent="0.3">
      <c r="A4822" s="9">
        <f ca="1"/>
        <v>41712</v>
      </c>
      <c r="B4822" s="6">
        <v>75.09</v>
      </c>
      <c r="C4822" s="6"/>
      <c r="D4822" s="6"/>
    </row>
    <row r="4823" spans="1:4" ht="13" thickBot="1" x14ac:dyDescent="0.3">
      <c r="A4823" s="9">
        <f ca="1"/>
        <v>41713</v>
      </c>
      <c r="B4823" s="5">
        <f t="shared" ref="B4823:B4824" si="688">B4822</f>
        <v>75.09</v>
      </c>
      <c r="C4823" s="6"/>
      <c r="D4823" s="6"/>
    </row>
    <row r="4824" spans="1:4" ht="13" thickBot="1" x14ac:dyDescent="0.3">
      <c r="A4824" s="9">
        <f ca="1"/>
        <v>41714</v>
      </c>
      <c r="B4824" s="5">
        <f t="shared" si="688"/>
        <v>75.09</v>
      </c>
      <c r="C4824" s="6"/>
      <c r="D4824" s="6"/>
    </row>
    <row r="4825" spans="1:4" ht="13" thickBot="1" x14ac:dyDescent="0.3">
      <c r="A4825" s="9">
        <f ca="1"/>
        <v>41715</v>
      </c>
      <c r="B4825" s="6">
        <v>77.06</v>
      </c>
      <c r="C4825" s="6"/>
      <c r="D4825" s="6"/>
    </row>
    <row r="4826" spans="1:4" ht="13" thickBot="1" x14ac:dyDescent="0.3">
      <c r="A4826" s="9">
        <f ca="1"/>
        <v>41716</v>
      </c>
      <c r="B4826" s="6">
        <v>77.260000000000005</v>
      </c>
      <c r="C4826" s="6"/>
      <c r="D4826" s="6"/>
    </row>
    <row r="4827" spans="1:4" ht="13" thickBot="1" x14ac:dyDescent="0.3">
      <c r="A4827" s="9">
        <f ca="1"/>
        <v>41717</v>
      </c>
      <c r="B4827" s="6">
        <v>77.790000000000006</v>
      </c>
      <c r="C4827" s="6"/>
      <c r="D4827" s="6"/>
    </row>
    <row r="4828" spans="1:4" ht="13" thickBot="1" x14ac:dyDescent="0.3">
      <c r="A4828" s="9">
        <f ca="1"/>
        <v>41718</v>
      </c>
      <c r="B4828" s="6">
        <v>76.22</v>
      </c>
      <c r="C4828" s="6"/>
      <c r="D4828" s="6"/>
    </row>
    <row r="4829" spans="1:4" ht="13" thickBot="1" x14ac:dyDescent="0.3">
      <c r="A4829" s="9">
        <f ca="1"/>
        <v>41719</v>
      </c>
      <c r="B4829" s="6">
        <v>77.31</v>
      </c>
      <c r="C4829" s="6"/>
      <c r="D4829" s="6"/>
    </row>
    <row r="4830" spans="1:4" ht="13" thickBot="1" x14ac:dyDescent="0.3">
      <c r="A4830" s="9">
        <f ca="1"/>
        <v>41720</v>
      </c>
      <c r="B4830" s="5">
        <f t="shared" ref="B4830:B4831" si="689">B4829</f>
        <v>77.31</v>
      </c>
      <c r="C4830" s="6"/>
      <c r="D4830" s="6"/>
    </row>
    <row r="4831" spans="1:4" ht="13" thickBot="1" x14ac:dyDescent="0.3">
      <c r="A4831" s="9">
        <f ca="1"/>
        <v>41721</v>
      </c>
      <c r="B4831" s="5">
        <f t="shared" si="689"/>
        <v>77.31</v>
      </c>
      <c r="C4831" s="6"/>
      <c r="D4831" s="6"/>
    </row>
    <row r="4832" spans="1:4" ht="13" thickBot="1" x14ac:dyDescent="0.3">
      <c r="A4832" s="9">
        <f ca="1"/>
        <v>41722</v>
      </c>
      <c r="B4832" s="6">
        <v>77.87</v>
      </c>
      <c r="C4832" s="6"/>
      <c r="D4832" s="6"/>
    </row>
    <row r="4833" spans="1:4" ht="13" thickBot="1" x14ac:dyDescent="0.3">
      <c r="A4833" s="9">
        <f ca="1"/>
        <v>41723</v>
      </c>
      <c r="B4833" s="6">
        <v>78.180000000000007</v>
      </c>
      <c r="C4833" s="6"/>
      <c r="D4833" s="6"/>
    </row>
    <row r="4834" spans="1:4" ht="13" thickBot="1" x14ac:dyDescent="0.3">
      <c r="A4834" s="9">
        <f ca="1"/>
        <v>41724</v>
      </c>
      <c r="B4834" s="6">
        <v>79.33</v>
      </c>
      <c r="C4834" s="6"/>
      <c r="D4834" s="6"/>
    </row>
    <row r="4835" spans="1:4" ht="13" thickBot="1" x14ac:dyDescent="0.3">
      <c r="A4835" s="9">
        <f ca="1"/>
        <v>41725</v>
      </c>
      <c r="B4835" s="6">
        <v>79.44</v>
      </c>
      <c r="C4835" s="6"/>
      <c r="D4835" s="6"/>
    </row>
    <row r="4836" spans="1:4" ht="13" thickBot="1" x14ac:dyDescent="0.3">
      <c r="A4836" s="9">
        <f ca="1"/>
        <v>41726</v>
      </c>
      <c r="B4836" s="6">
        <v>80.23</v>
      </c>
      <c r="C4836" s="6"/>
      <c r="D4836" s="6"/>
    </row>
    <row r="4837" spans="1:4" ht="13" thickBot="1" x14ac:dyDescent="0.3">
      <c r="A4837" s="9">
        <f ca="1"/>
        <v>41727</v>
      </c>
      <c r="B4837" s="5">
        <f t="shared" ref="B4837:B4838" si="690">B4836</f>
        <v>80.23</v>
      </c>
      <c r="C4837" s="6"/>
      <c r="D4837" s="6"/>
    </row>
    <row r="4838" spans="1:4" ht="13" thickBot="1" x14ac:dyDescent="0.3">
      <c r="A4838" s="9">
        <f ca="1"/>
        <v>41728</v>
      </c>
      <c r="B4838" s="5">
        <f t="shared" si="690"/>
        <v>80.23</v>
      </c>
      <c r="C4838" s="6"/>
      <c r="D4838" s="6"/>
    </row>
    <row r="4839" spans="1:4" ht="13" thickBot="1" x14ac:dyDescent="0.3">
      <c r="A4839" s="9">
        <f ca="1"/>
        <v>41729</v>
      </c>
      <c r="B4839" s="6">
        <v>81.19</v>
      </c>
      <c r="C4839" s="6"/>
      <c r="D4839" s="6"/>
    </row>
    <row r="4840" spans="1:4" ht="13" thickBot="1" x14ac:dyDescent="0.3">
      <c r="A4840" s="9">
        <f ca="1"/>
        <v>41730</v>
      </c>
      <c r="B4840" s="6">
        <v>81.459999999999994</v>
      </c>
      <c r="C4840" s="6"/>
      <c r="D4840" s="6"/>
    </row>
    <row r="4841" spans="1:4" ht="13" thickBot="1" x14ac:dyDescent="0.3">
      <c r="A4841" s="9">
        <f ca="1"/>
        <v>41731</v>
      </c>
      <c r="B4841" s="6">
        <v>81.34</v>
      </c>
      <c r="C4841" s="6"/>
      <c r="D4841" s="6"/>
    </row>
    <row r="4842" spans="1:4" ht="13" thickBot="1" x14ac:dyDescent="0.3">
      <c r="A4842" s="9">
        <f ca="1"/>
        <v>41732</v>
      </c>
      <c r="B4842" s="6">
        <v>81.11</v>
      </c>
      <c r="C4842" s="6"/>
      <c r="D4842" s="6"/>
    </row>
    <row r="4843" spans="1:4" ht="13" thickBot="1" x14ac:dyDescent="0.3">
      <c r="A4843" s="9">
        <f ca="1"/>
        <v>41733</v>
      </c>
      <c r="B4843" s="6">
        <v>80.78</v>
      </c>
      <c r="C4843" s="6"/>
      <c r="D4843" s="6"/>
    </row>
    <row r="4844" spans="1:4" ht="13" thickBot="1" x14ac:dyDescent="0.3">
      <c r="A4844" s="9">
        <f ca="1"/>
        <v>41734</v>
      </c>
      <c r="B4844" s="5">
        <f t="shared" ref="B4844:B4845" si="691">B4843</f>
        <v>80.78</v>
      </c>
      <c r="C4844" s="6"/>
      <c r="D4844" s="6"/>
    </row>
    <row r="4845" spans="1:4" ht="13" thickBot="1" x14ac:dyDescent="0.3">
      <c r="A4845" s="9">
        <f ca="1"/>
        <v>41735</v>
      </c>
      <c r="B4845" s="5">
        <f t="shared" si="691"/>
        <v>80.78</v>
      </c>
      <c r="C4845" s="6"/>
      <c r="D4845" s="6"/>
    </row>
    <row r="4846" spans="1:4" ht="13" thickBot="1" x14ac:dyDescent="0.3">
      <c r="A4846" s="9">
        <f ca="1"/>
        <v>41736</v>
      </c>
      <c r="B4846" s="6">
        <v>80.209999999999994</v>
      </c>
      <c r="C4846" s="6"/>
      <c r="D4846" s="6"/>
    </row>
    <row r="4847" spans="1:4" ht="13" thickBot="1" x14ac:dyDescent="0.3">
      <c r="A4847" s="9">
        <f ca="1"/>
        <v>41737</v>
      </c>
      <c r="B4847" s="6">
        <v>79.819999999999993</v>
      </c>
      <c r="C4847" s="6"/>
      <c r="D4847" s="6"/>
    </row>
    <row r="4848" spans="1:4" ht="13" thickBot="1" x14ac:dyDescent="0.3">
      <c r="A4848" s="9">
        <f ca="1"/>
        <v>41738</v>
      </c>
      <c r="B4848" s="6">
        <v>81</v>
      </c>
      <c r="C4848" s="6"/>
      <c r="D4848" s="6"/>
    </row>
    <row r="4849" spans="1:4" ht="13" thickBot="1" x14ac:dyDescent="0.3">
      <c r="A4849" s="9">
        <f ca="1"/>
        <v>41739</v>
      </c>
      <c r="B4849" s="6">
        <v>81.430000000000007</v>
      </c>
      <c r="C4849" s="6"/>
      <c r="D4849" s="6"/>
    </row>
    <row r="4850" spans="1:4" ht="13" thickBot="1" x14ac:dyDescent="0.3">
      <c r="A4850" s="9">
        <f ca="1"/>
        <v>41740</v>
      </c>
      <c r="B4850" s="6">
        <v>78.94</v>
      </c>
      <c r="C4850" s="6"/>
      <c r="D4850" s="6"/>
    </row>
    <row r="4851" spans="1:4" ht="13" thickBot="1" x14ac:dyDescent="0.3">
      <c r="A4851" s="9">
        <f ca="1"/>
        <v>41741</v>
      </c>
      <c r="B4851" s="5">
        <f t="shared" ref="B4851:B4852" si="692">B4850</f>
        <v>78.94</v>
      </c>
      <c r="C4851" s="6"/>
      <c r="D4851" s="6"/>
    </row>
    <row r="4852" spans="1:4" ht="13" thickBot="1" x14ac:dyDescent="0.3">
      <c r="A4852" s="9">
        <f ca="1"/>
        <v>41742</v>
      </c>
      <c r="B4852" s="5">
        <f t="shared" si="692"/>
        <v>78.94</v>
      </c>
      <c r="C4852" s="6"/>
      <c r="D4852" s="6"/>
    </row>
    <row r="4853" spans="1:4" ht="13" thickBot="1" x14ac:dyDescent="0.3">
      <c r="A4853" s="9">
        <f ca="1"/>
        <v>41743</v>
      </c>
      <c r="B4853" s="6">
        <v>79.08</v>
      </c>
      <c r="C4853" s="6"/>
      <c r="D4853" s="6"/>
    </row>
    <row r="4854" spans="1:4" ht="13" thickBot="1" x14ac:dyDescent="0.3">
      <c r="A4854" s="9">
        <f ca="1"/>
        <v>41744</v>
      </c>
      <c r="B4854" s="6">
        <v>79.87</v>
      </c>
      <c r="C4854" s="6"/>
      <c r="D4854" s="6"/>
    </row>
    <row r="4855" spans="1:4" ht="13" thickBot="1" x14ac:dyDescent="0.3">
      <c r="A4855" s="9">
        <f ca="1"/>
        <v>41745</v>
      </c>
      <c r="B4855" s="6">
        <v>80.150000000000006</v>
      </c>
      <c r="C4855" s="6"/>
      <c r="D4855" s="6"/>
    </row>
    <row r="4856" spans="1:4" ht="13" thickBot="1" x14ac:dyDescent="0.3">
      <c r="A4856" s="9">
        <f ca="1"/>
        <v>41746</v>
      </c>
      <c r="B4856" s="6">
        <v>79.38</v>
      </c>
      <c r="C4856" s="6"/>
      <c r="D4856" s="6"/>
    </row>
    <row r="4857" spans="1:4" ht="13" thickBot="1" x14ac:dyDescent="0.3">
      <c r="A4857" s="9">
        <f ca="1"/>
        <v>41747</v>
      </c>
      <c r="B4857" s="5">
        <f t="shared" ref="B4857:B4859" si="693">B4856</f>
        <v>79.38</v>
      </c>
      <c r="C4857" s="6"/>
      <c r="D4857" s="6"/>
    </row>
    <row r="4858" spans="1:4" ht="13" thickBot="1" x14ac:dyDescent="0.3">
      <c r="A4858" s="9">
        <f ca="1"/>
        <v>41748</v>
      </c>
      <c r="B4858" s="5">
        <f t="shared" si="693"/>
        <v>79.38</v>
      </c>
      <c r="C4858" s="6"/>
      <c r="D4858" s="6"/>
    </row>
    <row r="4859" spans="1:4" ht="13" thickBot="1" x14ac:dyDescent="0.3">
      <c r="A4859" s="9">
        <f ca="1"/>
        <v>41749</v>
      </c>
      <c r="B4859" s="5">
        <f t="shared" si="693"/>
        <v>79.38</v>
      </c>
      <c r="C4859" s="6"/>
      <c r="D4859" s="6"/>
    </row>
    <row r="4860" spans="1:4" ht="13" thickBot="1" x14ac:dyDescent="0.3">
      <c r="A4860" s="9">
        <f ca="1"/>
        <v>41750</v>
      </c>
      <c r="B4860" s="6">
        <v>79.83</v>
      </c>
      <c r="C4860" s="6"/>
      <c r="D4860" s="6"/>
    </row>
    <row r="4861" spans="1:4" ht="13" thickBot="1" x14ac:dyDescent="0.3">
      <c r="A4861" s="9">
        <f ca="1"/>
        <v>41751</v>
      </c>
      <c r="B4861" s="6">
        <v>79.94</v>
      </c>
      <c r="C4861" s="6"/>
      <c r="D4861" s="6"/>
    </row>
    <row r="4862" spans="1:4" ht="13" thickBot="1" x14ac:dyDescent="0.3">
      <c r="A4862" s="9">
        <f ca="1"/>
        <v>41752</v>
      </c>
      <c r="B4862" s="6">
        <v>79.66</v>
      </c>
      <c r="C4862" s="6"/>
      <c r="D4862" s="6"/>
    </row>
    <row r="4863" spans="1:4" ht="13" thickBot="1" x14ac:dyDescent="0.3">
      <c r="A4863" s="9">
        <f ca="1"/>
        <v>41753</v>
      </c>
      <c r="B4863" s="6">
        <v>79.319999999999993</v>
      </c>
      <c r="C4863" s="6"/>
      <c r="D4863" s="6"/>
    </row>
    <row r="4864" spans="1:4" ht="13" thickBot="1" x14ac:dyDescent="0.3">
      <c r="A4864" s="9">
        <f ca="1"/>
        <v>41754</v>
      </c>
      <c r="B4864" s="6">
        <v>78.790000000000006</v>
      </c>
      <c r="C4864" s="6"/>
      <c r="D4864" s="6"/>
    </row>
    <row r="4865" spans="1:4" ht="13" thickBot="1" x14ac:dyDescent="0.3">
      <c r="A4865" s="9">
        <f ca="1"/>
        <v>41755</v>
      </c>
      <c r="B4865" s="5">
        <f t="shared" ref="B4865:B4866" si="694">B4864</f>
        <v>78.790000000000006</v>
      </c>
      <c r="C4865" s="6"/>
      <c r="D4865" s="6"/>
    </row>
    <row r="4866" spans="1:4" ht="13" thickBot="1" x14ac:dyDescent="0.3">
      <c r="A4866" s="9">
        <f ca="1"/>
        <v>41756</v>
      </c>
      <c r="B4866" s="5">
        <f t="shared" si="694"/>
        <v>78.790000000000006</v>
      </c>
      <c r="C4866" s="6"/>
      <c r="D4866" s="6"/>
    </row>
    <row r="4867" spans="1:4" ht="13" thickBot="1" x14ac:dyDescent="0.3">
      <c r="A4867" s="9">
        <f ca="1"/>
        <v>41757</v>
      </c>
      <c r="B4867" s="6">
        <v>78.38</v>
      </c>
      <c r="C4867" s="6"/>
      <c r="D4867" s="6"/>
    </row>
    <row r="4868" spans="1:4" ht="13" thickBot="1" x14ac:dyDescent="0.3">
      <c r="A4868" s="9">
        <f ca="1"/>
        <v>41758</v>
      </c>
      <c r="B4868" s="6">
        <v>79.260000000000005</v>
      </c>
      <c r="C4868" s="6"/>
      <c r="D4868" s="6"/>
    </row>
    <row r="4869" spans="1:4" ht="13" thickBot="1" x14ac:dyDescent="0.3">
      <c r="A4869" s="9">
        <f ca="1"/>
        <v>41759</v>
      </c>
      <c r="B4869" s="6">
        <v>80.400000000000006</v>
      </c>
      <c r="C4869" s="6"/>
      <c r="D4869" s="6"/>
    </row>
    <row r="4870" spans="1:4" ht="13" thickBot="1" x14ac:dyDescent="0.3">
      <c r="A4870" s="9">
        <f ca="1"/>
        <v>41760</v>
      </c>
      <c r="B4870" s="6">
        <v>80.900000000000006</v>
      </c>
      <c r="C4870" s="6"/>
      <c r="D4870" s="6"/>
    </row>
    <row r="4871" spans="1:4" ht="13" thickBot="1" x14ac:dyDescent="0.3">
      <c r="A4871" s="9">
        <f ca="1"/>
        <v>41761</v>
      </c>
      <c r="B4871" s="6">
        <v>79.38</v>
      </c>
      <c r="C4871" s="6"/>
      <c r="D4871" s="6"/>
    </row>
    <row r="4872" spans="1:4" ht="13" thickBot="1" x14ac:dyDescent="0.3">
      <c r="A4872" s="9">
        <f ca="1"/>
        <v>41762</v>
      </c>
      <c r="B4872" s="5">
        <f t="shared" ref="B4872:B4873" si="695">B4871</f>
        <v>79.38</v>
      </c>
      <c r="C4872" s="6"/>
      <c r="D4872" s="6"/>
    </row>
    <row r="4873" spans="1:4" ht="13" thickBot="1" x14ac:dyDescent="0.3">
      <c r="A4873" s="9">
        <f ca="1"/>
        <v>41763</v>
      </c>
      <c r="B4873" s="5">
        <f t="shared" si="695"/>
        <v>79.38</v>
      </c>
      <c r="C4873" s="6"/>
      <c r="D4873" s="6"/>
    </row>
    <row r="4874" spans="1:4" ht="13" thickBot="1" x14ac:dyDescent="0.3">
      <c r="A4874" s="9">
        <f ca="1"/>
        <v>41764</v>
      </c>
      <c r="B4874" s="6">
        <v>78.099999999999994</v>
      </c>
      <c r="C4874" s="6"/>
      <c r="D4874" s="6"/>
    </row>
    <row r="4875" spans="1:4" ht="13" thickBot="1" x14ac:dyDescent="0.3">
      <c r="A4875" s="9">
        <f ca="1"/>
        <v>41765</v>
      </c>
      <c r="B4875" s="6">
        <v>78.92</v>
      </c>
      <c r="C4875" s="6"/>
      <c r="D4875" s="6"/>
    </row>
    <row r="4876" spans="1:4" ht="13" thickBot="1" x14ac:dyDescent="0.3">
      <c r="A4876" s="9">
        <f ca="1"/>
        <v>41766</v>
      </c>
      <c r="B4876" s="6">
        <v>78.37</v>
      </c>
      <c r="C4876" s="6"/>
      <c r="D4876" s="6"/>
    </row>
    <row r="4877" spans="1:4" ht="13" thickBot="1" x14ac:dyDescent="0.3">
      <c r="A4877" s="9">
        <f ca="1"/>
        <v>41767</v>
      </c>
      <c r="B4877" s="6">
        <v>77.11</v>
      </c>
      <c r="C4877" s="6"/>
      <c r="D4877" s="6"/>
    </row>
    <row r="4878" spans="1:4" ht="13" thickBot="1" x14ac:dyDescent="0.3">
      <c r="A4878" s="9">
        <f ca="1"/>
        <v>41768</v>
      </c>
      <c r="B4878" s="6">
        <v>75.48</v>
      </c>
      <c r="C4878" s="6"/>
      <c r="D4878" s="6"/>
    </row>
    <row r="4879" spans="1:4" ht="13" thickBot="1" x14ac:dyDescent="0.3">
      <c r="A4879" s="9">
        <f ca="1"/>
        <v>41769</v>
      </c>
      <c r="B4879" s="5">
        <f t="shared" ref="B4879:B4880" si="696">B4878</f>
        <v>75.48</v>
      </c>
      <c r="C4879" s="6"/>
      <c r="D4879" s="6"/>
    </row>
    <row r="4880" spans="1:4" ht="13" thickBot="1" x14ac:dyDescent="0.3">
      <c r="A4880" s="9">
        <f ca="1"/>
        <v>41770</v>
      </c>
      <c r="B4880" s="5">
        <f t="shared" si="696"/>
        <v>75.48</v>
      </c>
      <c r="C4880" s="6"/>
      <c r="D4880" s="6"/>
    </row>
    <row r="4881" spans="1:4" ht="13" thickBot="1" x14ac:dyDescent="0.3">
      <c r="A4881" s="9">
        <f ca="1"/>
        <v>41771</v>
      </c>
      <c r="B4881" s="6">
        <v>76.69</v>
      </c>
      <c r="C4881" s="6"/>
      <c r="D4881" s="6"/>
    </row>
    <row r="4882" spans="1:4" ht="13" thickBot="1" x14ac:dyDescent="0.3">
      <c r="A4882" s="9">
        <f ca="1"/>
        <v>41772</v>
      </c>
      <c r="B4882" s="6">
        <v>77</v>
      </c>
      <c r="C4882" s="6"/>
      <c r="D4882" s="6"/>
    </row>
    <row r="4883" spans="1:4" ht="13" thickBot="1" x14ac:dyDescent="0.3">
      <c r="A4883" s="9">
        <f ca="1"/>
        <v>41773</v>
      </c>
      <c r="B4883" s="6">
        <v>76.84</v>
      </c>
      <c r="C4883" s="6"/>
      <c r="D4883" s="6"/>
    </row>
    <row r="4884" spans="1:4" ht="13" thickBot="1" x14ac:dyDescent="0.3">
      <c r="A4884" s="9">
        <f ca="1"/>
        <v>41774</v>
      </c>
      <c r="B4884" s="6">
        <v>76.56</v>
      </c>
      <c r="C4884" s="6"/>
      <c r="D4884" s="6"/>
    </row>
    <row r="4885" spans="1:4" ht="13" thickBot="1" x14ac:dyDescent="0.3">
      <c r="A4885" s="9">
        <f ca="1"/>
        <v>41775</v>
      </c>
      <c r="B4885" s="6">
        <v>75.69</v>
      </c>
      <c r="C4885" s="6"/>
      <c r="D4885" s="6"/>
    </row>
    <row r="4886" spans="1:4" ht="13" thickBot="1" x14ac:dyDescent="0.3">
      <c r="A4886" s="9">
        <f ca="1"/>
        <v>41776</v>
      </c>
      <c r="B4886" s="5">
        <f t="shared" ref="B4886:B4887" si="697">B4885</f>
        <v>75.69</v>
      </c>
      <c r="C4886" s="6"/>
      <c r="D4886" s="6"/>
    </row>
    <row r="4887" spans="1:4" ht="13" thickBot="1" x14ac:dyDescent="0.3">
      <c r="A4887" s="9">
        <f ca="1"/>
        <v>41777</v>
      </c>
      <c r="B4887" s="5">
        <f t="shared" si="697"/>
        <v>75.69</v>
      </c>
      <c r="C4887" s="6"/>
      <c r="D4887" s="6"/>
    </row>
    <row r="4888" spans="1:4" ht="13" thickBot="1" x14ac:dyDescent="0.3">
      <c r="A4888" s="9">
        <f ca="1"/>
        <v>41778</v>
      </c>
      <c r="B4888" s="6">
        <v>75.2</v>
      </c>
      <c r="C4888" s="6"/>
      <c r="D4888" s="6"/>
    </row>
    <row r="4889" spans="1:4" ht="13" thickBot="1" x14ac:dyDescent="0.3">
      <c r="A4889" s="9">
        <f ca="1"/>
        <v>41779</v>
      </c>
      <c r="B4889" s="6">
        <v>75.099999999999994</v>
      </c>
      <c r="C4889" s="6"/>
      <c r="D4889" s="6"/>
    </row>
    <row r="4890" spans="1:4" ht="13" thickBot="1" x14ac:dyDescent="0.3">
      <c r="A4890" s="9">
        <f ca="1"/>
        <v>41780</v>
      </c>
      <c r="B4890" s="6">
        <v>75</v>
      </c>
      <c r="C4890" s="6"/>
      <c r="D4890" s="6"/>
    </row>
    <row r="4891" spans="1:4" ht="13" thickBot="1" x14ac:dyDescent="0.3">
      <c r="A4891" s="9">
        <f ca="1"/>
        <v>41781</v>
      </c>
      <c r="B4891" s="6">
        <v>74.37</v>
      </c>
      <c r="C4891" s="6"/>
      <c r="D4891" s="6"/>
    </row>
    <row r="4892" spans="1:4" ht="13" thickBot="1" x14ac:dyDescent="0.3">
      <c r="A4892" s="9">
        <f ca="1"/>
        <v>41782</v>
      </c>
      <c r="B4892" s="6">
        <v>74.150000000000006</v>
      </c>
      <c r="C4892" s="6"/>
      <c r="D4892" s="6"/>
    </row>
    <row r="4893" spans="1:4" ht="13" thickBot="1" x14ac:dyDescent="0.3">
      <c r="A4893" s="9">
        <f ca="1"/>
        <v>41783</v>
      </c>
      <c r="B4893" s="5">
        <f t="shared" ref="B4893:B4895" si="698">B4892</f>
        <v>74.150000000000006</v>
      </c>
      <c r="C4893" s="6"/>
      <c r="D4893" s="6"/>
    </row>
    <row r="4894" spans="1:4" ht="13" thickBot="1" x14ac:dyDescent="0.3">
      <c r="A4894" s="9">
        <f ca="1"/>
        <v>41784</v>
      </c>
      <c r="B4894" s="5">
        <f t="shared" si="698"/>
        <v>74.150000000000006</v>
      </c>
      <c r="C4894" s="6"/>
      <c r="D4894" s="6"/>
    </row>
    <row r="4895" spans="1:4" ht="13" thickBot="1" x14ac:dyDescent="0.3">
      <c r="A4895" s="9">
        <f ca="1"/>
        <v>41785</v>
      </c>
      <c r="B4895" s="5">
        <f t="shared" si="698"/>
        <v>74.150000000000006</v>
      </c>
      <c r="C4895" s="6"/>
      <c r="D4895" s="6"/>
    </row>
    <row r="4896" spans="1:4" ht="13" thickBot="1" x14ac:dyDescent="0.3">
      <c r="A4896" s="9">
        <f ca="1"/>
        <v>41786</v>
      </c>
      <c r="B4896" s="6">
        <v>76.180000000000007</v>
      </c>
      <c r="C4896" s="6"/>
      <c r="D4896" s="6"/>
    </row>
    <row r="4897" spans="1:4" ht="13" thickBot="1" x14ac:dyDescent="0.3">
      <c r="A4897" s="9">
        <f ca="1"/>
        <v>41787</v>
      </c>
      <c r="B4897" s="6">
        <v>76.5</v>
      </c>
      <c r="C4897" s="6"/>
      <c r="D4897" s="6"/>
    </row>
    <row r="4898" spans="1:4" ht="13" thickBot="1" x14ac:dyDescent="0.3">
      <c r="A4898" s="9">
        <f ca="1"/>
        <v>41788</v>
      </c>
      <c r="B4898" s="6">
        <v>76.27</v>
      </c>
      <c r="C4898" s="6"/>
      <c r="D4898" s="6"/>
    </row>
    <row r="4899" spans="1:4" ht="13" thickBot="1" x14ac:dyDescent="0.3">
      <c r="A4899" s="9">
        <f ca="1"/>
        <v>41789</v>
      </c>
      <c r="B4899" s="6">
        <v>76.61</v>
      </c>
      <c r="C4899" s="6"/>
      <c r="D4899" s="6"/>
    </row>
    <row r="4900" spans="1:4" ht="13" thickBot="1" x14ac:dyDescent="0.3">
      <c r="A4900" s="9">
        <f ca="1"/>
        <v>41790</v>
      </c>
      <c r="B4900" s="5">
        <f t="shared" ref="B4900:B4901" si="699">B4899</f>
        <v>76.61</v>
      </c>
      <c r="C4900" s="6"/>
      <c r="D4900" s="6"/>
    </row>
    <row r="4901" spans="1:4" ht="13" thickBot="1" x14ac:dyDescent="0.3">
      <c r="A4901" s="9">
        <f ca="1"/>
        <v>41791</v>
      </c>
      <c r="B4901" s="5">
        <f t="shared" si="699"/>
        <v>76.61</v>
      </c>
      <c r="C4901" s="6"/>
      <c r="D4901" s="6"/>
    </row>
    <row r="4902" spans="1:4" ht="13" thickBot="1" x14ac:dyDescent="0.3">
      <c r="A4902" s="9">
        <f ca="1"/>
        <v>41792</v>
      </c>
      <c r="B4902" s="6">
        <v>76.13</v>
      </c>
      <c r="C4902" s="6"/>
      <c r="D4902" s="6"/>
    </row>
    <row r="4903" spans="1:4" ht="13" thickBot="1" x14ac:dyDescent="0.3">
      <c r="A4903" s="9">
        <f ca="1"/>
        <v>41793</v>
      </c>
      <c r="B4903" s="6">
        <v>76.11</v>
      </c>
      <c r="C4903" s="6"/>
      <c r="D4903" s="6"/>
    </row>
    <row r="4904" spans="1:4" ht="13" thickBot="1" x14ac:dyDescent="0.3">
      <c r="A4904" s="9">
        <f ca="1"/>
        <v>41794</v>
      </c>
      <c r="B4904" s="6">
        <v>75.47</v>
      </c>
      <c r="C4904" s="6"/>
      <c r="D4904" s="6"/>
    </row>
    <row r="4905" spans="1:4" ht="13" thickBot="1" x14ac:dyDescent="0.3">
      <c r="A4905" s="9">
        <f ca="1"/>
        <v>41795</v>
      </c>
      <c r="B4905" s="6">
        <v>75.209999999999994</v>
      </c>
      <c r="C4905" s="6"/>
      <c r="D4905" s="6"/>
    </row>
    <row r="4906" spans="1:4" ht="13" thickBot="1" x14ac:dyDescent="0.3">
      <c r="A4906" s="9">
        <f ca="1"/>
        <v>41796</v>
      </c>
      <c r="B4906" s="6">
        <v>75.47</v>
      </c>
      <c r="C4906" s="6"/>
      <c r="D4906" s="6"/>
    </row>
    <row r="4907" spans="1:4" ht="13" thickBot="1" x14ac:dyDescent="0.3">
      <c r="A4907" s="9">
        <f ca="1"/>
        <v>41797</v>
      </c>
      <c r="B4907" s="5">
        <f t="shared" ref="B4907:B4908" si="700">B4906</f>
        <v>75.47</v>
      </c>
      <c r="C4907" s="6"/>
      <c r="D4907" s="6"/>
    </row>
    <row r="4908" spans="1:4" ht="13" thickBot="1" x14ac:dyDescent="0.3">
      <c r="A4908" s="9">
        <f ca="1"/>
        <v>41798</v>
      </c>
      <c r="B4908" s="5">
        <f t="shared" si="700"/>
        <v>75.47</v>
      </c>
      <c r="C4908" s="6"/>
      <c r="D4908" s="6"/>
    </row>
    <row r="4909" spans="1:4" ht="13" thickBot="1" x14ac:dyDescent="0.3">
      <c r="A4909" s="9">
        <f ca="1"/>
        <v>41799</v>
      </c>
      <c r="B4909" s="6">
        <v>74.77</v>
      </c>
      <c r="C4909" s="6"/>
      <c r="D4909" s="6"/>
    </row>
    <row r="4910" spans="1:4" ht="13" thickBot="1" x14ac:dyDescent="0.3">
      <c r="A4910" s="9">
        <f ca="1"/>
        <v>41800</v>
      </c>
      <c r="B4910" s="6">
        <v>74.91</v>
      </c>
      <c r="C4910" s="6"/>
      <c r="D4910" s="6"/>
    </row>
    <row r="4911" spans="1:4" ht="13" thickBot="1" x14ac:dyDescent="0.3">
      <c r="A4911" s="9">
        <f ca="1"/>
        <v>41801</v>
      </c>
      <c r="B4911" s="6">
        <v>74.94</v>
      </c>
      <c r="C4911" s="6"/>
      <c r="D4911" s="6"/>
    </row>
    <row r="4912" spans="1:4" ht="13" thickBot="1" x14ac:dyDescent="0.3">
      <c r="A4912" s="9">
        <f ca="1"/>
        <v>41802</v>
      </c>
      <c r="B4912" s="6">
        <v>75.19</v>
      </c>
      <c r="C4912" s="6"/>
      <c r="D4912" s="6"/>
    </row>
    <row r="4913" spans="1:4" ht="13" thickBot="1" x14ac:dyDescent="0.3">
      <c r="A4913" s="9">
        <f ca="1"/>
        <v>41803</v>
      </c>
      <c r="B4913" s="6">
        <v>75.98</v>
      </c>
      <c r="C4913" s="6"/>
      <c r="D4913" s="6"/>
    </row>
    <row r="4914" spans="1:4" ht="13" thickBot="1" x14ac:dyDescent="0.3">
      <c r="A4914" s="9">
        <f ca="1"/>
        <v>41804</v>
      </c>
      <c r="B4914" s="5">
        <f t="shared" ref="B4914:B4915" si="701">B4913</f>
        <v>75.98</v>
      </c>
      <c r="C4914" s="6"/>
      <c r="D4914" s="6"/>
    </row>
    <row r="4915" spans="1:4" ht="13" thickBot="1" x14ac:dyDescent="0.3">
      <c r="A4915" s="9">
        <f ca="1"/>
        <v>41805</v>
      </c>
      <c r="B4915" s="5">
        <f t="shared" si="701"/>
        <v>75.98</v>
      </c>
      <c r="C4915" s="6"/>
      <c r="D4915" s="6"/>
    </row>
    <row r="4916" spans="1:4" ht="13" thickBot="1" x14ac:dyDescent="0.3">
      <c r="A4916" s="9">
        <f ca="1"/>
        <v>41806</v>
      </c>
      <c r="B4916" s="6">
        <v>76.819999999999993</v>
      </c>
      <c r="C4916" s="6"/>
      <c r="D4916" s="6"/>
    </row>
    <row r="4917" spans="1:4" ht="13" thickBot="1" x14ac:dyDescent="0.3">
      <c r="A4917" s="9">
        <f ca="1"/>
        <v>41807</v>
      </c>
      <c r="B4917" s="6">
        <v>77.06</v>
      </c>
      <c r="C4917" s="6"/>
      <c r="D4917" s="6"/>
    </row>
    <row r="4918" spans="1:4" ht="13" thickBot="1" x14ac:dyDescent="0.3">
      <c r="A4918" s="9">
        <f ca="1"/>
        <v>41808</v>
      </c>
      <c r="B4918" s="6">
        <v>77.87</v>
      </c>
      <c r="C4918" s="6"/>
      <c r="D4918" s="6"/>
    </row>
    <row r="4919" spans="1:4" ht="13" thickBot="1" x14ac:dyDescent="0.3">
      <c r="A4919" s="9">
        <f ca="1"/>
        <v>41809</v>
      </c>
      <c r="B4919" s="6">
        <v>78.69</v>
      </c>
      <c r="C4919" s="6"/>
      <c r="D4919" s="6"/>
    </row>
    <row r="4920" spans="1:4" ht="13" thickBot="1" x14ac:dyDescent="0.3">
      <c r="A4920" s="9">
        <f ca="1"/>
        <v>41810</v>
      </c>
      <c r="B4920" s="6">
        <v>77.63</v>
      </c>
      <c r="C4920" s="6"/>
      <c r="D4920" s="6"/>
    </row>
    <row r="4921" spans="1:4" ht="13" thickBot="1" x14ac:dyDescent="0.3">
      <c r="A4921" s="9">
        <f ca="1"/>
        <v>41811</v>
      </c>
      <c r="B4921" s="5">
        <f t="shared" ref="B4921:B4922" si="702">B4920</f>
        <v>77.63</v>
      </c>
      <c r="C4921" s="6"/>
      <c r="D4921" s="6"/>
    </row>
    <row r="4922" spans="1:4" ht="13" thickBot="1" x14ac:dyDescent="0.3">
      <c r="A4922" s="9">
        <f ca="1"/>
        <v>41812</v>
      </c>
      <c r="B4922" s="5">
        <f t="shared" si="702"/>
        <v>77.63</v>
      </c>
      <c r="C4922" s="6"/>
      <c r="D4922" s="6"/>
    </row>
    <row r="4923" spans="1:4" ht="13" thickBot="1" x14ac:dyDescent="0.3">
      <c r="A4923" s="9">
        <f ca="1"/>
        <v>41813</v>
      </c>
      <c r="B4923" s="6">
        <v>77.91</v>
      </c>
      <c r="C4923" s="6"/>
      <c r="D4923" s="6"/>
    </row>
    <row r="4924" spans="1:4" ht="13" thickBot="1" x14ac:dyDescent="0.3">
      <c r="A4924" s="9">
        <f ca="1"/>
        <v>41814</v>
      </c>
      <c r="B4924" s="6">
        <v>77.56</v>
      </c>
      <c r="C4924" s="6"/>
      <c r="D4924" s="6"/>
    </row>
    <row r="4925" spans="1:4" ht="13" thickBot="1" x14ac:dyDescent="0.3">
      <c r="A4925" s="9">
        <f ca="1"/>
        <v>41815</v>
      </c>
      <c r="B4925" s="6">
        <v>77.11</v>
      </c>
      <c r="C4925" s="6"/>
      <c r="D4925" s="6"/>
    </row>
    <row r="4926" spans="1:4" ht="13" thickBot="1" x14ac:dyDescent="0.3">
      <c r="A4926" s="9">
        <f ca="1"/>
        <v>41816</v>
      </c>
      <c r="B4926" s="6">
        <v>76.94</v>
      </c>
      <c r="C4926" s="6"/>
      <c r="D4926" s="6"/>
    </row>
    <row r="4927" spans="1:4" ht="13" thickBot="1" x14ac:dyDescent="0.3">
      <c r="A4927" s="9">
        <f ca="1"/>
        <v>41817</v>
      </c>
      <c r="B4927" s="6">
        <v>76.7</v>
      </c>
      <c r="C4927" s="6"/>
      <c r="D4927" s="6"/>
    </row>
    <row r="4928" spans="1:4" ht="13" thickBot="1" x14ac:dyDescent="0.3">
      <c r="A4928" s="9">
        <f ca="1"/>
        <v>41818</v>
      </c>
      <c r="B4928" s="5">
        <f t="shared" ref="B4928:B4929" si="703">B4927</f>
        <v>76.7</v>
      </c>
      <c r="C4928" s="6"/>
      <c r="D4928" s="6"/>
    </row>
    <row r="4929" spans="1:4" ht="13" thickBot="1" x14ac:dyDescent="0.3">
      <c r="A4929" s="9">
        <f ca="1"/>
        <v>41819</v>
      </c>
      <c r="B4929" s="5">
        <f t="shared" si="703"/>
        <v>76.7</v>
      </c>
      <c r="C4929" s="6"/>
      <c r="D4929" s="6"/>
    </row>
    <row r="4930" spans="1:4" ht="13" thickBot="1" x14ac:dyDescent="0.3">
      <c r="A4930" s="9">
        <f ca="1"/>
        <v>41820</v>
      </c>
      <c r="B4930" s="6">
        <v>77.44</v>
      </c>
      <c r="C4930" s="6"/>
      <c r="D4930" s="6"/>
    </row>
    <row r="4931" spans="1:4" ht="13" thickBot="1" x14ac:dyDescent="0.3">
      <c r="A4931" s="9">
        <f ca="1"/>
        <v>41821</v>
      </c>
      <c r="B4931" s="6">
        <v>76.849999999999994</v>
      </c>
      <c r="C4931" s="6"/>
      <c r="D4931" s="6"/>
    </row>
    <row r="4932" spans="1:4" ht="13" thickBot="1" x14ac:dyDescent="0.3">
      <c r="A4932" s="9">
        <f ca="1"/>
        <v>41822</v>
      </c>
      <c r="B4932" s="6">
        <v>77.55</v>
      </c>
      <c r="C4932" s="6"/>
      <c r="D4932" s="6"/>
    </row>
    <row r="4933" spans="1:4" ht="13" thickBot="1" x14ac:dyDescent="0.3">
      <c r="A4933" s="9">
        <f ca="1"/>
        <v>41823</v>
      </c>
      <c r="B4933" s="6">
        <v>77.75</v>
      </c>
      <c r="C4933" s="6"/>
      <c r="D4933" s="6"/>
    </row>
    <row r="4934" spans="1:4" ht="13" thickBot="1" x14ac:dyDescent="0.3">
      <c r="A4934" s="9">
        <f ca="1"/>
        <v>41824</v>
      </c>
      <c r="B4934" s="5">
        <f t="shared" ref="B4934:B4936" si="704">B4933</f>
        <v>77.75</v>
      </c>
      <c r="C4934" s="6"/>
      <c r="D4934" s="6"/>
    </row>
    <row r="4935" spans="1:4" ht="13" thickBot="1" x14ac:dyDescent="0.3">
      <c r="A4935" s="9">
        <f ca="1"/>
        <v>41825</v>
      </c>
      <c r="B4935" s="5">
        <f t="shared" si="704"/>
        <v>77.75</v>
      </c>
      <c r="C4935" s="6"/>
      <c r="D4935" s="6"/>
    </row>
    <row r="4936" spans="1:4" ht="13" thickBot="1" x14ac:dyDescent="0.3">
      <c r="A4936" s="9">
        <f ca="1"/>
        <v>41826</v>
      </c>
      <c r="B4936" s="5">
        <f t="shared" si="704"/>
        <v>77.75</v>
      </c>
      <c r="C4936" s="6"/>
      <c r="D4936" s="6"/>
    </row>
    <row r="4937" spans="1:4" ht="13" thickBot="1" x14ac:dyDescent="0.3">
      <c r="A4937" s="9">
        <f ca="1"/>
        <v>41827</v>
      </c>
      <c r="B4937" s="6">
        <v>78.91</v>
      </c>
      <c r="C4937" s="6"/>
      <c r="D4937" s="6"/>
    </row>
    <row r="4938" spans="1:4" ht="13" thickBot="1" x14ac:dyDescent="0.3">
      <c r="A4938" s="9">
        <f ca="1"/>
        <v>41828</v>
      </c>
      <c r="B4938" s="6">
        <v>78.150000000000006</v>
      </c>
      <c r="C4938" s="6"/>
      <c r="D4938" s="6"/>
    </row>
    <row r="4939" spans="1:4" ht="13" thickBot="1" x14ac:dyDescent="0.3">
      <c r="A4939" s="9">
        <f ca="1"/>
        <v>41829</v>
      </c>
      <c r="B4939" s="6">
        <v>78.45</v>
      </c>
      <c r="C4939" s="6"/>
      <c r="D4939" s="6"/>
    </row>
    <row r="4940" spans="1:4" ht="13" thickBot="1" x14ac:dyDescent="0.3">
      <c r="A4940" s="9">
        <f ca="1"/>
        <v>41830</v>
      </c>
      <c r="B4940" s="6">
        <v>77.349999999999994</v>
      </c>
      <c r="C4940" s="6"/>
      <c r="D4940" s="6"/>
    </row>
    <row r="4941" spans="1:4" ht="13" thickBot="1" x14ac:dyDescent="0.3">
      <c r="A4941" s="9">
        <f ca="1"/>
        <v>41831</v>
      </c>
      <c r="B4941" s="6">
        <v>77.23</v>
      </c>
      <c r="C4941" s="6"/>
      <c r="D4941" s="6"/>
    </row>
    <row r="4942" spans="1:4" ht="13" thickBot="1" x14ac:dyDescent="0.3">
      <c r="A4942" s="9">
        <f ca="1"/>
        <v>41832</v>
      </c>
      <c r="B4942" s="5">
        <f t="shared" ref="B4942:B4943" si="705">B4941</f>
        <v>77.23</v>
      </c>
      <c r="C4942" s="6"/>
      <c r="D4942" s="6"/>
    </row>
    <row r="4943" spans="1:4" ht="13" thickBot="1" x14ac:dyDescent="0.3">
      <c r="A4943" s="9">
        <f ca="1"/>
        <v>41833</v>
      </c>
      <c r="B4943" s="5">
        <f t="shared" si="705"/>
        <v>77.23</v>
      </c>
      <c r="C4943" s="6"/>
      <c r="D4943" s="6"/>
    </row>
    <row r="4944" spans="1:4" ht="13" thickBot="1" x14ac:dyDescent="0.3">
      <c r="A4944" s="9">
        <f ca="1"/>
        <v>41834</v>
      </c>
      <c r="B4944" s="6">
        <v>79.239999999999995</v>
      </c>
      <c r="C4944" s="6"/>
      <c r="D4944" s="6"/>
    </row>
    <row r="4945" spans="1:4" ht="13" thickBot="1" x14ac:dyDescent="0.3">
      <c r="A4945" s="9">
        <f ca="1"/>
        <v>41835</v>
      </c>
      <c r="B4945" s="6">
        <v>78.22</v>
      </c>
      <c r="C4945" s="6"/>
      <c r="D4945" s="6"/>
    </row>
    <row r="4946" spans="1:4" ht="13" thickBot="1" x14ac:dyDescent="0.3">
      <c r="A4946" s="9">
        <f ca="1"/>
        <v>41836</v>
      </c>
      <c r="B4946" s="6">
        <v>78.39</v>
      </c>
      <c r="C4946" s="6"/>
      <c r="D4946" s="6"/>
    </row>
    <row r="4947" spans="1:4" ht="13" thickBot="1" x14ac:dyDescent="0.3">
      <c r="A4947" s="9">
        <f ca="1"/>
        <v>41837</v>
      </c>
      <c r="B4947" s="6">
        <v>81.19</v>
      </c>
      <c r="C4947" s="6"/>
      <c r="D4947" s="6"/>
    </row>
    <row r="4948" spans="1:4" ht="13" thickBot="1" x14ac:dyDescent="0.3">
      <c r="A4948" s="9">
        <f ca="1"/>
        <v>41838</v>
      </c>
      <c r="B4948" s="6">
        <v>80.650000000000006</v>
      </c>
      <c r="C4948" s="6"/>
      <c r="D4948" s="6"/>
    </row>
    <row r="4949" spans="1:4" ht="13" thickBot="1" x14ac:dyDescent="0.3">
      <c r="A4949" s="9">
        <f ca="1"/>
        <v>41839</v>
      </c>
      <c r="B4949" s="5">
        <f t="shared" ref="B4949:B4950" si="706">B4948</f>
        <v>80.650000000000006</v>
      </c>
      <c r="C4949" s="6"/>
      <c r="D4949" s="6"/>
    </row>
    <row r="4950" spans="1:4" ht="13" thickBot="1" x14ac:dyDescent="0.3">
      <c r="A4950" s="9">
        <f ca="1"/>
        <v>41840</v>
      </c>
      <c r="B4950" s="5">
        <f t="shared" si="706"/>
        <v>80.650000000000006</v>
      </c>
      <c r="C4950" s="6"/>
      <c r="D4950" s="6"/>
    </row>
    <row r="4951" spans="1:4" ht="13" thickBot="1" x14ac:dyDescent="0.3">
      <c r="A4951" s="9">
        <f ca="1"/>
        <v>41841</v>
      </c>
      <c r="B4951" s="6">
        <v>81.02</v>
      </c>
      <c r="C4951" s="6"/>
      <c r="D4951" s="6"/>
    </row>
    <row r="4952" spans="1:4" ht="13" thickBot="1" x14ac:dyDescent="0.3">
      <c r="A4952" s="9">
        <f ca="1"/>
        <v>41842</v>
      </c>
      <c r="B4952" s="6">
        <v>81.38</v>
      </c>
      <c r="C4952" s="6"/>
      <c r="D4952" s="6"/>
    </row>
    <row r="4953" spans="1:4" ht="13" thickBot="1" x14ac:dyDescent="0.3">
      <c r="A4953" s="9">
        <f ca="1"/>
        <v>41843</v>
      </c>
      <c r="B4953" s="6">
        <v>82.67</v>
      </c>
      <c r="C4953" s="6"/>
      <c r="D4953" s="6"/>
    </row>
    <row r="4954" spans="1:4" ht="13" thickBot="1" x14ac:dyDescent="0.3">
      <c r="A4954" s="9">
        <f ca="1"/>
        <v>41844</v>
      </c>
      <c r="B4954" s="6">
        <v>81.819999999999993</v>
      </c>
      <c r="C4954" s="6"/>
      <c r="D4954" s="6"/>
    </row>
    <row r="4955" spans="1:4" ht="13" thickBot="1" x14ac:dyDescent="0.3">
      <c r="A4955" s="9">
        <f ca="1"/>
        <v>41845</v>
      </c>
      <c r="B4955" s="6">
        <v>81.040000000000006</v>
      </c>
      <c r="C4955" s="6"/>
      <c r="D4955" s="6"/>
    </row>
    <row r="4956" spans="1:4" ht="13" thickBot="1" x14ac:dyDescent="0.3">
      <c r="A4956" s="9">
        <f ca="1"/>
        <v>41846</v>
      </c>
      <c r="B4956" s="5">
        <f t="shared" ref="B4956:B4957" si="707">B4955</f>
        <v>81.040000000000006</v>
      </c>
      <c r="C4956" s="6"/>
      <c r="D4956" s="6"/>
    </row>
    <row r="4957" spans="1:4" ht="13" thickBot="1" x14ac:dyDescent="0.3">
      <c r="A4957" s="9">
        <f ca="1"/>
        <v>41847</v>
      </c>
      <c r="B4957" s="5">
        <f t="shared" si="707"/>
        <v>81.040000000000006</v>
      </c>
      <c r="C4957" s="6"/>
      <c r="D4957" s="6"/>
    </row>
    <row r="4958" spans="1:4" ht="13" thickBot="1" x14ac:dyDescent="0.3">
      <c r="A4958" s="9">
        <f ca="1"/>
        <v>41848</v>
      </c>
      <c r="B4958" s="6">
        <v>80.61</v>
      </c>
      <c r="C4958" s="6"/>
      <c r="D4958" s="6"/>
    </row>
    <row r="4959" spans="1:4" ht="13" thickBot="1" x14ac:dyDescent="0.3">
      <c r="A4959" s="9">
        <f ca="1"/>
        <v>41849</v>
      </c>
      <c r="B4959" s="6">
        <v>80.53</v>
      </c>
      <c r="C4959" s="6"/>
      <c r="D4959" s="6"/>
    </row>
    <row r="4960" spans="1:4" ht="13" thickBot="1" x14ac:dyDescent="0.3">
      <c r="A4960" s="9">
        <f ca="1"/>
        <v>41850</v>
      </c>
      <c r="B4960" s="6">
        <v>80.42</v>
      </c>
      <c r="C4960" s="6"/>
      <c r="D4960" s="6"/>
    </row>
    <row r="4961" spans="1:4" ht="13" thickBot="1" x14ac:dyDescent="0.3">
      <c r="A4961" s="9">
        <f ca="1"/>
        <v>41851</v>
      </c>
      <c r="B4961" s="6">
        <v>79.150000000000006</v>
      </c>
      <c r="C4961" s="6"/>
      <c r="D4961" s="6"/>
    </row>
    <row r="4962" spans="1:4" ht="13" thickBot="1" x14ac:dyDescent="0.3">
      <c r="A4962" s="9">
        <f ca="1"/>
        <v>41852</v>
      </c>
      <c r="B4962" s="6">
        <v>77.55</v>
      </c>
      <c r="C4962" s="6"/>
      <c r="D4962" s="6"/>
    </row>
    <row r="4963" spans="1:4" ht="13" thickBot="1" x14ac:dyDescent="0.3">
      <c r="A4963" s="9">
        <f ca="1"/>
        <v>41853</v>
      </c>
      <c r="B4963" s="5">
        <f t="shared" ref="B4963:B4964" si="708">B4962</f>
        <v>77.55</v>
      </c>
      <c r="C4963" s="6"/>
      <c r="D4963" s="6"/>
    </row>
    <row r="4964" spans="1:4" ht="13" thickBot="1" x14ac:dyDescent="0.3">
      <c r="A4964" s="9">
        <f ca="1"/>
        <v>41854</v>
      </c>
      <c r="B4964" s="5">
        <f t="shared" si="708"/>
        <v>77.55</v>
      </c>
      <c r="C4964" s="6"/>
      <c r="D4964" s="6"/>
    </row>
    <row r="4965" spans="1:4" ht="13" thickBot="1" x14ac:dyDescent="0.3">
      <c r="A4965" s="9">
        <f ca="1"/>
        <v>41855</v>
      </c>
      <c r="B4965" s="6">
        <v>76.819999999999993</v>
      </c>
      <c r="C4965" s="6"/>
      <c r="D4965" s="6"/>
    </row>
    <row r="4966" spans="1:4" ht="13" thickBot="1" x14ac:dyDescent="0.3">
      <c r="A4966" s="9">
        <f ca="1"/>
        <v>41856</v>
      </c>
      <c r="B4966" s="6">
        <v>77.849999999999994</v>
      </c>
      <c r="C4966" s="6"/>
      <c r="D4966" s="6"/>
    </row>
    <row r="4967" spans="1:4" ht="13" thickBot="1" x14ac:dyDescent="0.3">
      <c r="A4967" s="9">
        <f ca="1"/>
        <v>41857</v>
      </c>
      <c r="B4967" s="6">
        <v>76.44</v>
      </c>
      <c r="C4967" s="6"/>
      <c r="D4967" s="6"/>
    </row>
    <row r="4968" spans="1:4" ht="13" thickBot="1" x14ac:dyDescent="0.3">
      <c r="A4968" s="9">
        <f ca="1"/>
        <v>41858</v>
      </c>
      <c r="B4968" s="6">
        <v>77.83</v>
      </c>
      <c r="C4968" s="6"/>
      <c r="D4968" s="6"/>
    </row>
    <row r="4969" spans="1:4" ht="13" thickBot="1" x14ac:dyDescent="0.3">
      <c r="A4969" s="9">
        <f ca="1"/>
        <v>41859</v>
      </c>
      <c r="B4969" s="6">
        <v>76.36</v>
      </c>
      <c r="C4969" s="6"/>
      <c r="D4969" s="6"/>
    </row>
    <row r="4970" spans="1:4" ht="13" thickBot="1" x14ac:dyDescent="0.3">
      <c r="A4970" s="9">
        <f ca="1"/>
        <v>41860</v>
      </c>
      <c r="B4970" s="5">
        <f t="shared" ref="B4970:B4971" si="709">B4969</f>
        <v>76.36</v>
      </c>
      <c r="C4970" s="6"/>
      <c r="D4970" s="6"/>
    </row>
    <row r="4971" spans="1:4" ht="13" thickBot="1" x14ac:dyDescent="0.3">
      <c r="A4971" s="9">
        <f ca="1"/>
        <v>41861</v>
      </c>
      <c r="B4971" s="5">
        <f t="shared" si="709"/>
        <v>76.36</v>
      </c>
      <c r="C4971" s="6"/>
      <c r="D4971" s="6"/>
    </row>
    <row r="4972" spans="1:4" ht="13" thickBot="1" x14ac:dyDescent="0.3">
      <c r="A4972" s="9">
        <f ca="1"/>
        <v>41862</v>
      </c>
      <c r="B4972" s="6">
        <v>77.349999999999994</v>
      </c>
      <c r="C4972" s="6"/>
      <c r="D4972" s="6"/>
    </row>
    <row r="4973" spans="1:4" ht="13" thickBot="1" x14ac:dyDescent="0.3">
      <c r="A4973" s="9">
        <f ca="1"/>
        <v>41863</v>
      </c>
      <c r="B4973" s="6">
        <v>77.28</v>
      </c>
      <c r="C4973" s="6"/>
      <c r="D4973" s="6"/>
    </row>
    <row r="4974" spans="1:4" ht="13" thickBot="1" x14ac:dyDescent="0.3">
      <c r="A4974" s="9">
        <f ca="1"/>
        <v>41864</v>
      </c>
      <c r="B4974" s="6">
        <v>77.11</v>
      </c>
      <c r="C4974" s="6"/>
      <c r="D4974" s="6"/>
    </row>
    <row r="4975" spans="1:4" ht="13" thickBot="1" x14ac:dyDescent="0.3">
      <c r="A4975" s="9">
        <f ca="1"/>
        <v>41865</v>
      </c>
      <c r="B4975" s="6">
        <v>77.19</v>
      </c>
      <c r="C4975" s="6"/>
      <c r="D4975" s="6"/>
    </row>
    <row r="4976" spans="1:4" ht="13" thickBot="1" x14ac:dyDescent="0.3">
      <c r="A4976" s="9">
        <f ca="1"/>
        <v>41866</v>
      </c>
      <c r="B4976" s="6">
        <v>77.58</v>
      </c>
      <c r="C4976" s="6"/>
      <c r="D4976" s="6"/>
    </row>
    <row r="4977" spans="1:4" ht="13" thickBot="1" x14ac:dyDescent="0.3">
      <c r="A4977" s="9">
        <f ca="1"/>
        <v>41867</v>
      </c>
      <c r="B4977" s="5">
        <f t="shared" ref="B4977:B4978" si="710">B4976</f>
        <v>77.58</v>
      </c>
      <c r="C4977" s="6"/>
      <c r="D4977" s="6"/>
    </row>
    <row r="4978" spans="1:4" ht="13" thickBot="1" x14ac:dyDescent="0.3">
      <c r="A4978" s="9">
        <f ca="1"/>
        <v>41868</v>
      </c>
      <c r="B4978" s="5">
        <f t="shared" si="710"/>
        <v>77.58</v>
      </c>
      <c r="C4978" s="6"/>
      <c r="D4978" s="6"/>
    </row>
    <row r="4979" spans="1:4" ht="13" thickBot="1" x14ac:dyDescent="0.3">
      <c r="A4979" s="9">
        <f ca="1"/>
        <v>41869</v>
      </c>
      <c r="B4979" s="6">
        <v>77.12</v>
      </c>
      <c r="C4979" s="6"/>
      <c r="D4979" s="6"/>
    </row>
    <row r="4980" spans="1:4" ht="13" thickBot="1" x14ac:dyDescent="0.3">
      <c r="A4980" s="9">
        <f ca="1"/>
        <v>41870</v>
      </c>
      <c r="B4980" s="6">
        <v>77.87</v>
      </c>
      <c r="C4980" s="6"/>
      <c r="D4980" s="6"/>
    </row>
    <row r="4981" spans="1:4" ht="13" thickBot="1" x14ac:dyDescent="0.3">
      <c r="A4981" s="9">
        <f ca="1"/>
        <v>41871</v>
      </c>
      <c r="B4981" s="6">
        <v>76.72</v>
      </c>
      <c r="C4981" s="6"/>
      <c r="D4981" s="6"/>
    </row>
    <row r="4982" spans="1:4" ht="13" thickBot="1" x14ac:dyDescent="0.3">
      <c r="A4982" s="9">
        <f ca="1"/>
        <v>41872</v>
      </c>
      <c r="B4982" s="6">
        <v>77.239999999999995</v>
      </c>
      <c r="C4982" s="6"/>
      <c r="D4982" s="6"/>
    </row>
    <row r="4983" spans="1:4" ht="13" thickBot="1" x14ac:dyDescent="0.3">
      <c r="A4983" s="9">
        <f ca="1"/>
        <v>41873</v>
      </c>
      <c r="B4983" s="6">
        <v>77.55</v>
      </c>
      <c r="C4983" s="6"/>
      <c r="D4983" s="6"/>
    </row>
    <row r="4984" spans="1:4" ht="13" thickBot="1" x14ac:dyDescent="0.3">
      <c r="A4984" s="9">
        <f ca="1"/>
        <v>41874</v>
      </c>
      <c r="B4984" s="5">
        <f t="shared" ref="B4984:B4985" si="711">B4983</f>
        <v>77.55</v>
      </c>
      <c r="C4984" s="6"/>
      <c r="D4984" s="6"/>
    </row>
    <row r="4985" spans="1:4" ht="13" thickBot="1" x14ac:dyDescent="0.3">
      <c r="A4985" s="9">
        <f ca="1"/>
        <v>41875</v>
      </c>
      <c r="B4985" s="5">
        <f t="shared" si="711"/>
        <v>77.55</v>
      </c>
      <c r="C4985" s="6"/>
      <c r="D4985" s="6"/>
    </row>
    <row r="4986" spans="1:4" ht="13" thickBot="1" x14ac:dyDescent="0.3">
      <c r="A4986" s="9">
        <f ca="1"/>
        <v>41876</v>
      </c>
      <c r="B4986" s="6">
        <v>78.53</v>
      </c>
      <c r="C4986" s="6"/>
      <c r="D4986" s="6"/>
    </row>
    <row r="4987" spans="1:4" ht="13" thickBot="1" x14ac:dyDescent="0.3">
      <c r="A4987" s="9">
        <f ca="1"/>
        <v>41877</v>
      </c>
      <c r="B4987" s="6">
        <v>78.69</v>
      </c>
      <c r="C4987" s="6"/>
      <c r="D4987" s="6"/>
    </row>
    <row r="4988" spans="1:4" ht="13" thickBot="1" x14ac:dyDescent="0.3">
      <c r="A4988" s="9">
        <f ca="1"/>
        <v>41878</v>
      </c>
      <c r="B4988" s="6">
        <v>79.209999999999994</v>
      </c>
      <c r="C4988" s="6"/>
      <c r="D4988" s="6"/>
    </row>
    <row r="4989" spans="1:4" ht="13" thickBot="1" x14ac:dyDescent="0.3">
      <c r="A4989" s="9">
        <f ca="1"/>
        <v>41879</v>
      </c>
      <c r="B4989" s="6">
        <v>77.88</v>
      </c>
      <c r="C4989" s="6"/>
      <c r="D4989" s="6"/>
    </row>
    <row r="4990" spans="1:4" ht="13" thickBot="1" x14ac:dyDescent="0.3">
      <c r="A4990" s="9">
        <f ca="1"/>
        <v>41880</v>
      </c>
      <c r="B4990" s="6">
        <v>77.900000000000006</v>
      </c>
      <c r="C4990" s="6"/>
      <c r="D4990" s="6"/>
    </row>
    <row r="4991" spans="1:4" ht="13" thickBot="1" x14ac:dyDescent="0.3">
      <c r="A4991" s="9">
        <f ca="1"/>
        <v>41881</v>
      </c>
      <c r="B4991" s="5">
        <f t="shared" ref="B4991:B4993" si="712">B4990</f>
        <v>77.900000000000006</v>
      </c>
      <c r="C4991" s="6"/>
      <c r="D4991" s="6"/>
    </row>
    <row r="4992" spans="1:4" ht="13" thickBot="1" x14ac:dyDescent="0.3">
      <c r="A4992" s="9">
        <f ca="1"/>
        <v>41882</v>
      </c>
      <c r="B4992" s="5">
        <f t="shared" si="712"/>
        <v>77.900000000000006</v>
      </c>
      <c r="C4992" s="6"/>
      <c r="D4992" s="6"/>
    </row>
    <row r="4993" spans="1:4" ht="13" thickBot="1" x14ac:dyDescent="0.3">
      <c r="A4993" s="9">
        <f ca="1"/>
        <v>41883</v>
      </c>
      <c r="B4993" s="5">
        <f t="shared" si="712"/>
        <v>77.900000000000006</v>
      </c>
      <c r="C4993" s="6"/>
      <c r="D4993" s="6"/>
    </row>
    <row r="4994" spans="1:4" ht="13" thickBot="1" x14ac:dyDescent="0.3">
      <c r="A4994" s="9">
        <f ca="1"/>
        <v>41884</v>
      </c>
      <c r="B4994" s="6">
        <v>78.400000000000006</v>
      </c>
      <c r="C4994" s="6"/>
      <c r="D4994" s="6"/>
    </row>
    <row r="4995" spans="1:4" ht="13" thickBot="1" x14ac:dyDescent="0.3">
      <c r="A4995" s="9">
        <f ca="1"/>
        <v>41885</v>
      </c>
      <c r="B4995" s="6">
        <v>77.7</v>
      </c>
      <c r="C4995" s="6"/>
      <c r="D4995" s="6"/>
    </row>
    <row r="4996" spans="1:4" ht="13" thickBot="1" x14ac:dyDescent="0.3">
      <c r="A4996" s="9">
        <f ca="1"/>
        <v>41886</v>
      </c>
      <c r="B4996" s="6">
        <v>77.38</v>
      </c>
      <c r="C4996" s="6"/>
      <c r="D4996" s="6"/>
    </row>
    <row r="4997" spans="1:4" ht="13" thickBot="1" x14ac:dyDescent="0.3">
      <c r="A4997" s="9">
        <f ca="1"/>
        <v>41887</v>
      </c>
      <c r="B4997" s="6">
        <v>77.58</v>
      </c>
      <c r="C4997" s="6"/>
      <c r="D4997" s="6"/>
    </row>
    <row r="4998" spans="1:4" ht="13" thickBot="1" x14ac:dyDescent="0.3">
      <c r="A4998" s="9">
        <f ca="1"/>
        <v>41888</v>
      </c>
      <c r="B4998" s="5">
        <f t="shared" ref="B4998:B4999" si="713">B4997</f>
        <v>77.58</v>
      </c>
      <c r="C4998" s="6"/>
      <c r="D4998" s="6"/>
    </row>
    <row r="4999" spans="1:4" ht="13" thickBot="1" x14ac:dyDescent="0.3">
      <c r="A4999" s="9">
        <f ca="1"/>
        <v>41889</v>
      </c>
      <c r="B4999" s="5">
        <f t="shared" si="713"/>
        <v>77.58</v>
      </c>
      <c r="C4999" s="6"/>
      <c r="D4999" s="6"/>
    </row>
    <row r="5000" spans="1:4" ht="13" thickBot="1" x14ac:dyDescent="0.3">
      <c r="A5000" s="9">
        <f ca="1"/>
        <v>41890</v>
      </c>
      <c r="B5000" s="6">
        <v>78.17</v>
      </c>
      <c r="C5000" s="6"/>
      <c r="D5000" s="6"/>
    </row>
    <row r="5001" spans="1:4" ht="13" thickBot="1" x14ac:dyDescent="0.3">
      <c r="A5001" s="9">
        <f ca="1"/>
        <v>41891</v>
      </c>
      <c r="B5001" s="6">
        <v>77.58</v>
      </c>
      <c r="C5001" s="6"/>
      <c r="D5001" s="6"/>
    </row>
    <row r="5002" spans="1:4" ht="13" thickBot="1" x14ac:dyDescent="0.3">
      <c r="A5002" s="9">
        <f ca="1"/>
        <v>41892</v>
      </c>
      <c r="B5002" s="6">
        <v>77.47</v>
      </c>
      <c r="C5002" s="6"/>
      <c r="D5002" s="6"/>
    </row>
    <row r="5003" spans="1:4" ht="13" thickBot="1" x14ac:dyDescent="0.3">
      <c r="A5003" s="9">
        <f ca="1"/>
        <v>41893</v>
      </c>
      <c r="B5003" s="6">
        <v>77.23</v>
      </c>
      <c r="C5003" s="6"/>
      <c r="D5003" s="6"/>
    </row>
    <row r="5004" spans="1:4" ht="13" thickBot="1" x14ac:dyDescent="0.3">
      <c r="A5004" s="9">
        <f ca="1"/>
        <v>41894</v>
      </c>
      <c r="B5004" s="6">
        <v>77.239999999999995</v>
      </c>
      <c r="C5004" s="6"/>
      <c r="D5004" s="6"/>
    </row>
    <row r="5005" spans="1:4" ht="13" thickBot="1" x14ac:dyDescent="0.3">
      <c r="A5005" s="9">
        <f ca="1"/>
        <v>41895</v>
      </c>
      <c r="B5005" s="5">
        <f t="shared" ref="B5005:B5006" si="714">B5004</f>
        <v>77.239999999999995</v>
      </c>
      <c r="C5005" s="6"/>
      <c r="D5005" s="6"/>
    </row>
    <row r="5006" spans="1:4" ht="13" thickBot="1" x14ac:dyDescent="0.3">
      <c r="A5006" s="9">
        <f ca="1"/>
        <v>41896</v>
      </c>
      <c r="B5006" s="5">
        <f t="shared" si="714"/>
        <v>77.239999999999995</v>
      </c>
      <c r="C5006" s="6"/>
      <c r="D5006" s="6"/>
    </row>
    <row r="5007" spans="1:4" ht="13" thickBot="1" x14ac:dyDescent="0.3">
      <c r="A5007" s="9">
        <f ca="1"/>
        <v>41897</v>
      </c>
      <c r="B5007" s="6">
        <v>77.69</v>
      </c>
      <c r="C5007" s="6"/>
      <c r="D5007" s="6"/>
    </row>
    <row r="5008" spans="1:4" ht="13" thickBot="1" x14ac:dyDescent="0.3">
      <c r="A5008" s="9">
        <f ca="1"/>
        <v>41898</v>
      </c>
      <c r="B5008" s="6">
        <v>76.709999999999994</v>
      </c>
      <c r="C5008" s="6"/>
      <c r="D5008" s="6"/>
    </row>
    <row r="5009" spans="1:4" ht="13" thickBot="1" x14ac:dyDescent="0.3">
      <c r="A5009" s="9">
        <f ca="1"/>
        <v>41899</v>
      </c>
      <c r="B5009" s="6">
        <v>77</v>
      </c>
      <c r="C5009" s="6"/>
      <c r="D5009" s="6"/>
    </row>
    <row r="5010" spans="1:4" ht="13" thickBot="1" x14ac:dyDescent="0.3">
      <c r="A5010" s="9">
        <f ca="1"/>
        <v>41900</v>
      </c>
      <c r="B5010" s="6">
        <v>76.83</v>
      </c>
      <c r="C5010" s="6"/>
      <c r="D5010" s="6"/>
    </row>
    <row r="5011" spans="1:4" ht="13" thickBot="1" x14ac:dyDescent="0.3">
      <c r="A5011" s="9">
        <f ca="1"/>
        <v>41901</v>
      </c>
      <c r="B5011" s="6">
        <v>74.39</v>
      </c>
      <c r="C5011" s="6"/>
      <c r="D5011" s="6"/>
    </row>
    <row r="5012" spans="1:4" ht="13" thickBot="1" x14ac:dyDescent="0.3">
      <c r="A5012" s="9">
        <f ca="1"/>
        <v>41902</v>
      </c>
      <c r="B5012" s="5">
        <f t="shared" ref="B5012:B5013" si="715">B5011</f>
        <v>74.39</v>
      </c>
      <c r="C5012" s="6"/>
      <c r="D5012" s="6"/>
    </row>
    <row r="5013" spans="1:4" ht="13" thickBot="1" x14ac:dyDescent="0.3">
      <c r="A5013" s="9">
        <f ca="1"/>
        <v>41903</v>
      </c>
      <c r="B5013" s="5">
        <f t="shared" si="715"/>
        <v>74.39</v>
      </c>
      <c r="C5013" s="6"/>
      <c r="D5013" s="6"/>
    </row>
    <row r="5014" spans="1:4" ht="13" thickBot="1" x14ac:dyDescent="0.3">
      <c r="A5014" s="9">
        <f ca="1"/>
        <v>41904</v>
      </c>
      <c r="B5014" s="6">
        <v>74.709999999999994</v>
      </c>
      <c r="C5014" s="6"/>
      <c r="D5014" s="6"/>
    </row>
    <row r="5015" spans="1:4" ht="13" thickBot="1" x14ac:dyDescent="0.3">
      <c r="A5015" s="9">
        <f ca="1"/>
        <v>41905</v>
      </c>
      <c r="B5015" s="6">
        <v>74.44</v>
      </c>
      <c r="C5015" s="6"/>
      <c r="D5015" s="6"/>
    </row>
    <row r="5016" spans="1:4" ht="13" thickBot="1" x14ac:dyDescent="0.3">
      <c r="A5016" s="9">
        <f ca="1"/>
        <v>41906</v>
      </c>
      <c r="B5016" s="6">
        <v>72.91</v>
      </c>
      <c r="C5016" s="6"/>
      <c r="D5016" s="6"/>
    </row>
    <row r="5017" spans="1:4" ht="13" thickBot="1" x14ac:dyDescent="0.3">
      <c r="A5017" s="9">
        <f ca="1"/>
        <v>41907</v>
      </c>
      <c r="B5017" s="6">
        <v>72.86</v>
      </c>
      <c r="C5017" s="6"/>
      <c r="D5017" s="6"/>
    </row>
    <row r="5018" spans="1:4" ht="13" thickBot="1" x14ac:dyDescent="0.3">
      <c r="A5018" s="9">
        <f ca="1"/>
        <v>41908</v>
      </c>
      <c r="B5018" s="6">
        <v>73.010000000000005</v>
      </c>
      <c r="C5018" s="6"/>
      <c r="D5018" s="6"/>
    </row>
    <row r="5019" spans="1:4" ht="13" thickBot="1" x14ac:dyDescent="0.3">
      <c r="A5019" s="9">
        <f ca="1"/>
        <v>41909</v>
      </c>
      <c r="B5019" s="5">
        <f t="shared" ref="B5019:B5020" si="716">B5018</f>
        <v>73.010000000000005</v>
      </c>
      <c r="C5019" s="6"/>
      <c r="D5019" s="6"/>
    </row>
    <row r="5020" spans="1:4" ht="13" thickBot="1" x14ac:dyDescent="0.3">
      <c r="A5020" s="9">
        <f ca="1"/>
        <v>41910</v>
      </c>
      <c r="B5020" s="5">
        <f t="shared" si="716"/>
        <v>73.010000000000005</v>
      </c>
      <c r="C5020" s="6"/>
      <c r="D5020" s="6"/>
    </row>
    <row r="5021" spans="1:4" ht="13" thickBot="1" x14ac:dyDescent="0.3">
      <c r="A5021" s="9">
        <f ca="1"/>
        <v>41911</v>
      </c>
      <c r="B5021" s="6">
        <v>72.06</v>
      </c>
      <c r="C5021" s="6"/>
      <c r="D5021" s="6"/>
    </row>
    <row r="5022" spans="1:4" ht="13" thickBot="1" x14ac:dyDescent="0.3">
      <c r="A5022" s="9">
        <f ca="1"/>
        <v>41912</v>
      </c>
      <c r="B5022" s="6">
        <v>71.86</v>
      </c>
      <c r="C5022" s="6"/>
      <c r="D5022" s="6"/>
    </row>
    <row r="5023" spans="1:4" ht="13" thickBot="1" x14ac:dyDescent="0.3">
      <c r="A5023" s="9">
        <f ca="1"/>
        <v>41913</v>
      </c>
      <c r="B5023" s="6">
        <v>71.84</v>
      </c>
      <c r="C5023" s="6"/>
      <c r="D5023" s="6"/>
    </row>
    <row r="5024" spans="1:4" ht="13" thickBot="1" x14ac:dyDescent="0.3">
      <c r="A5024" s="9">
        <f ca="1"/>
        <v>41914</v>
      </c>
      <c r="B5024" s="6">
        <v>71.08</v>
      </c>
      <c r="C5024" s="6"/>
      <c r="D5024" s="6"/>
    </row>
    <row r="5025" spans="1:4" ht="13" thickBot="1" x14ac:dyDescent="0.3">
      <c r="A5025" s="9">
        <f ca="1"/>
        <v>41915</v>
      </c>
      <c r="B5025" s="6">
        <v>70.81</v>
      </c>
      <c r="C5025" s="6"/>
      <c r="D5025" s="6"/>
    </row>
    <row r="5026" spans="1:4" ht="13" thickBot="1" x14ac:dyDescent="0.3">
      <c r="A5026" s="9">
        <f ca="1"/>
        <v>41916</v>
      </c>
      <c r="B5026" s="5">
        <f t="shared" ref="B5026:B5027" si="717">B5025</f>
        <v>70.81</v>
      </c>
      <c r="C5026" s="6"/>
      <c r="D5026" s="6"/>
    </row>
    <row r="5027" spans="1:4" ht="13" thickBot="1" x14ac:dyDescent="0.3">
      <c r="A5027" s="9">
        <f ca="1"/>
        <v>41917</v>
      </c>
      <c r="B5027" s="5">
        <f t="shared" si="717"/>
        <v>70.81</v>
      </c>
      <c r="C5027" s="6"/>
      <c r="D5027" s="6"/>
    </row>
    <row r="5028" spans="1:4" ht="13" thickBot="1" x14ac:dyDescent="0.3">
      <c r="A5028" s="9">
        <f ca="1"/>
        <v>41918</v>
      </c>
      <c r="B5028" s="6">
        <v>70.989999999999995</v>
      </c>
      <c r="C5028" s="6"/>
      <c r="D5028" s="6"/>
    </row>
    <row r="5029" spans="1:4" ht="13" thickBot="1" x14ac:dyDescent="0.3">
      <c r="A5029" s="9">
        <f ca="1"/>
        <v>41919</v>
      </c>
      <c r="B5029" s="6">
        <v>71.05</v>
      </c>
      <c r="C5029" s="6"/>
      <c r="D5029" s="6"/>
    </row>
    <row r="5030" spans="1:4" ht="13" thickBot="1" x14ac:dyDescent="0.3">
      <c r="A5030" s="9">
        <f ca="1"/>
        <v>41920</v>
      </c>
      <c r="B5030" s="6">
        <v>68.180000000000007</v>
      </c>
      <c r="C5030" s="6"/>
      <c r="D5030" s="6"/>
    </row>
    <row r="5031" spans="1:4" ht="13" thickBot="1" x14ac:dyDescent="0.3">
      <c r="A5031" s="9">
        <f ca="1"/>
        <v>41921</v>
      </c>
      <c r="B5031" s="6">
        <v>69.78</v>
      </c>
      <c r="C5031" s="6"/>
      <c r="D5031" s="6"/>
    </row>
    <row r="5032" spans="1:4" ht="13" thickBot="1" x14ac:dyDescent="0.3">
      <c r="A5032" s="9">
        <f ca="1"/>
        <v>41922</v>
      </c>
      <c r="B5032" s="6">
        <v>68.84</v>
      </c>
      <c r="C5032" s="6"/>
      <c r="D5032" s="6"/>
    </row>
    <row r="5033" spans="1:4" ht="13" thickBot="1" x14ac:dyDescent="0.3">
      <c r="A5033" s="9">
        <f ca="1"/>
        <v>41923</v>
      </c>
      <c r="B5033" s="5">
        <f t="shared" ref="B5033:B5034" si="718">B5032</f>
        <v>68.84</v>
      </c>
      <c r="C5033" s="6"/>
      <c r="D5033" s="6"/>
    </row>
    <row r="5034" spans="1:4" ht="13" thickBot="1" x14ac:dyDescent="0.3">
      <c r="A5034" s="9">
        <f ca="1"/>
        <v>41924</v>
      </c>
      <c r="B5034" s="5">
        <f t="shared" si="718"/>
        <v>68.84</v>
      </c>
      <c r="C5034" s="6"/>
      <c r="D5034" s="6"/>
    </row>
    <row r="5035" spans="1:4" ht="13" thickBot="1" x14ac:dyDescent="0.3">
      <c r="A5035" s="9">
        <f ca="1"/>
        <v>41925</v>
      </c>
      <c r="B5035" s="6">
        <v>68.53</v>
      </c>
      <c r="C5035" s="6"/>
      <c r="D5035" s="6"/>
    </row>
    <row r="5036" spans="1:4" ht="13" thickBot="1" x14ac:dyDescent="0.3">
      <c r="A5036" s="9">
        <f ca="1"/>
        <v>41926</v>
      </c>
      <c r="B5036" s="6">
        <v>68.64</v>
      </c>
      <c r="C5036" s="6"/>
      <c r="D5036" s="6"/>
    </row>
    <row r="5037" spans="1:4" ht="13" thickBot="1" x14ac:dyDescent="0.3">
      <c r="A5037" s="9">
        <f ca="1"/>
        <v>41927</v>
      </c>
      <c r="B5037" s="6">
        <v>67.91</v>
      </c>
      <c r="C5037" s="6"/>
      <c r="D5037" s="6"/>
    </row>
    <row r="5038" spans="1:4" ht="13" thickBot="1" x14ac:dyDescent="0.3">
      <c r="A5038" s="9">
        <f ca="1"/>
        <v>41928</v>
      </c>
      <c r="B5038" s="6">
        <v>65.73</v>
      </c>
      <c r="C5038" s="6"/>
      <c r="D5038" s="6"/>
    </row>
    <row r="5039" spans="1:4" ht="13" thickBot="1" x14ac:dyDescent="0.3">
      <c r="A5039" s="9">
        <f ca="1"/>
        <v>41929</v>
      </c>
      <c r="B5039" s="6">
        <v>68.39</v>
      </c>
      <c r="C5039" s="6"/>
      <c r="D5039" s="6"/>
    </row>
    <row r="5040" spans="1:4" ht="13" thickBot="1" x14ac:dyDescent="0.3">
      <c r="A5040" s="9">
        <f ca="1"/>
        <v>41930</v>
      </c>
      <c r="B5040" s="5">
        <f t="shared" ref="B5040:B5041" si="719">B5039</f>
        <v>68.39</v>
      </c>
      <c r="C5040" s="6"/>
      <c r="D5040" s="6"/>
    </row>
    <row r="5041" spans="1:4" ht="13" thickBot="1" x14ac:dyDescent="0.3">
      <c r="A5041" s="9">
        <f ca="1"/>
        <v>41931</v>
      </c>
      <c r="B5041" s="5">
        <f t="shared" si="719"/>
        <v>68.39</v>
      </c>
      <c r="C5041" s="6"/>
      <c r="D5041" s="6"/>
    </row>
    <row r="5042" spans="1:4" ht="13" thickBot="1" x14ac:dyDescent="0.3">
      <c r="A5042" s="9">
        <f ca="1"/>
        <v>41932</v>
      </c>
      <c r="B5042" s="6">
        <v>65.739999999999995</v>
      </c>
      <c r="C5042" s="6"/>
      <c r="D5042" s="6"/>
    </row>
    <row r="5043" spans="1:4" ht="13" thickBot="1" x14ac:dyDescent="0.3">
      <c r="A5043" s="9">
        <f ca="1"/>
        <v>41933</v>
      </c>
      <c r="B5043" s="6">
        <v>65.239999999999995</v>
      </c>
      <c r="C5043" s="6"/>
      <c r="D5043" s="6"/>
    </row>
    <row r="5044" spans="1:4" ht="13" thickBot="1" x14ac:dyDescent="0.3">
      <c r="A5044" s="9">
        <f ca="1"/>
        <v>41934</v>
      </c>
      <c r="B5044" s="6">
        <v>64.959999999999994</v>
      </c>
      <c r="C5044" s="6"/>
      <c r="D5044" s="6"/>
    </row>
    <row r="5045" spans="1:4" ht="13" thickBot="1" x14ac:dyDescent="0.3">
      <c r="A5045" s="9">
        <f ca="1"/>
        <v>41935</v>
      </c>
      <c r="B5045" s="6">
        <v>65.31</v>
      </c>
      <c r="C5045" s="6"/>
      <c r="D5045" s="6"/>
    </row>
    <row r="5046" spans="1:4" ht="13" thickBot="1" x14ac:dyDescent="0.3">
      <c r="A5046" s="9">
        <f ca="1"/>
        <v>41936</v>
      </c>
      <c r="B5046" s="6">
        <v>65.81</v>
      </c>
      <c r="C5046" s="6"/>
      <c r="D5046" s="6"/>
    </row>
    <row r="5047" spans="1:4" ht="13" thickBot="1" x14ac:dyDescent="0.3">
      <c r="A5047" s="9">
        <f ca="1"/>
        <v>41937</v>
      </c>
      <c r="B5047" s="5">
        <f t="shared" ref="B5047:B5048" si="720">B5046</f>
        <v>65.81</v>
      </c>
      <c r="C5047" s="6"/>
      <c r="D5047" s="6"/>
    </row>
    <row r="5048" spans="1:4" ht="13" thickBot="1" x14ac:dyDescent="0.3">
      <c r="A5048" s="9">
        <f ca="1"/>
        <v>41938</v>
      </c>
      <c r="B5048" s="5">
        <f t="shared" si="720"/>
        <v>65.81</v>
      </c>
      <c r="C5048" s="6"/>
      <c r="D5048" s="6"/>
    </row>
    <row r="5049" spans="1:4" ht="13" thickBot="1" x14ac:dyDescent="0.3">
      <c r="A5049" s="9">
        <f ca="1"/>
        <v>41939</v>
      </c>
      <c r="B5049" s="6">
        <v>64.73</v>
      </c>
      <c r="C5049" s="6"/>
      <c r="D5049" s="6"/>
    </row>
    <row r="5050" spans="1:4" ht="13" thickBot="1" x14ac:dyDescent="0.3">
      <c r="A5050" s="9">
        <f ca="1"/>
        <v>41940</v>
      </c>
      <c r="B5050" s="6">
        <v>66.58</v>
      </c>
      <c r="C5050" s="6"/>
      <c r="D5050" s="6"/>
    </row>
    <row r="5051" spans="1:4" ht="13" thickBot="1" x14ac:dyDescent="0.3">
      <c r="A5051" s="9">
        <f ca="1"/>
        <v>41941</v>
      </c>
      <c r="B5051" s="6">
        <v>66.680000000000007</v>
      </c>
      <c r="C5051" s="6"/>
      <c r="D5051" s="6"/>
    </row>
    <row r="5052" spans="1:4" ht="13" thickBot="1" x14ac:dyDescent="0.3">
      <c r="A5052" s="9">
        <f ca="1"/>
        <v>41942</v>
      </c>
      <c r="B5052" s="6">
        <v>65.53</v>
      </c>
      <c r="C5052" s="6"/>
      <c r="D5052" s="6"/>
    </row>
    <row r="5053" spans="1:4" ht="13" thickBot="1" x14ac:dyDescent="0.3">
      <c r="A5053" s="9">
        <f ca="1"/>
        <v>41943</v>
      </c>
      <c r="B5053" s="6">
        <v>67.239999999999995</v>
      </c>
      <c r="C5053" s="6"/>
      <c r="D5053" s="6"/>
    </row>
    <row r="5054" spans="1:4" ht="13" thickBot="1" x14ac:dyDescent="0.3">
      <c r="A5054" s="9">
        <f ca="1"/>
        <v>41944</v>
      </c>
      <c r="B5054" s="5">
        <f t="shared" ref="B5054:B5055" si="721">B5053</f>
        <v>67.239999999999995</v>
      </c>
      <c r="C5054" s="6"/>
      <c r="D5054" s="6"/>
    </row>
    <row r="5055" spans="1:4" ht="13" thickBot="1" x14ac:dyDescent="0.3">
      <c r="A5055" s="9">
        <f ca="1"/>
        <v>41945</v>
      </c>
      <c r="B5055" s="5">
        <f t="shared" si="721"/>
        <v>67.239999999999995</v>
      </c>
      <c r="C5055" s="6"/>
      <c r="D5055" s="6"/>
    </row>
    <row r="5056" spans="1:4" ht="13" thickBot="1" x14ac:dyDescent="0.3">
      <c r="A5056" s="9">
        <f ca="1"/>
        <v>41946</v>
      </c>
      <c r="B5056" s="6">
        <v>67.22</v>
      </c>
      <c r="C5056" s="6"/>
      <c r="D5056" s="6"/>
    </row>
    <row r="5057" spans="1:4" ht="13" thickBot="1" x14ac:dyDescent="0.3">
      <c r="A5057" s="9">
        <f ca="1"/>
        <v>41947</v>
      </c>
      <c r="B5057" s="6">
        <v>66.8</v>
      </c>
      <c r="C5057" s="6"/>
      <c r="D5057" s="6"/>
    </row>
    <row r="5058" spans="1:4" ht="13" thickBot="1" x14ac:dyDescent="0.3">
      <c r="A5058" s="9">
        <f ca="1"/>
        <v>41948</v>
      </c>
      <c r="B5058" s="6">
        <v>67.22</v>
      </c>
      <c r="C5058" s="6"/>
      <c r="D5058" s="6"/>
    </row>
    <row r="5059" spans="1:4" ht="13" thickBot="1" x14ac:dyDescent="0.3">
      <c r="A5059" s="9">
        <f ca="1"/>
        <v>41949</v>
      </c>
      <c r="B5059" s="6">
        <v>67.319999999999993</v>
      </c>
      <c r="C5059" s="6"/>
      <c r="D5059" s="6"/>
    </row>
    <row r="5060" spans="1:4" ht="13" thickBot="1" x14ac:dyDescent="0.3">
      <c r="A5060" s="9">
        <f ca="1"/>
        <v>41950</v>
      </c>
      <c r="B5060" s="6">
        <v>66.61</v>
      </c>
      <c r="C5060" s="6"/>
      <c r="D5060" s="6"/>
    </row>
    <row r="5061" spans="1:4" ht="13" thickBot="1" x14ac:dyDescent="0.3">
      <c r="A5061" s="9">
        <f ca="1"/>
        <v>41951</v>
      </c>
      <c r="B5061" s="5">
        <f t="shared" ref="B5061:B5062" si="722">B5060</f>
        <v>66.61</v>
      </c>
      <c r="C5061" s="6"/>
      <c r="D5061" s="6"/>
    </row>
    <row r="5062" spans="1:4" ht="13" thickBot="1" x14ac:dyDescent="0.3">
      <c r="A5062" s="9">
        <f ca="1"/>
        <v>41952</v>
      </c>
      <c r="B5062" s="5">
        <f t="shared" si="722"/>
        <v>66.61</v>
      </c>
      <c r="C5062" s="6"/>
      <c r="D5062" s="6"/>
    </row>
    <row r="5063" spans="1:4" ht="13" thickBot="1" x14ac:dyDescent="0.3">
      <c r="A5063" s="9">
        <f ca="1"/>
        <v>41953</v>
      </c>
      <c r="B5063" s="6">
        <v>66.989999999999995</v>
      </c>
      <c r="C5063" s="6"/>
      <c r="D5063" s="6"/>
    </row>
    <row r="5064" spans="1:4" ht="13" thickBot="1" x14ac:dyDescent="0.3">
      <c r="A5064" s="9">
        <f ca="1"/>
        <v>41954</v>
      </c>
      <c r="B5064" s="6">
        <v>67.13</v>
      </c>
      <c r="C5064" s="6"/>
      <c r="D5064" s="6"/>
    </row>
    <row r="5065" spans="1:4" ht="13" thickBot="1" x14ac:dyDescent="0.3">
      <c r="A5065" s="9">
        <f ca="1"/>
        <v>41955</v>
      </c>
      <c r="B5065" s="6">
        <v>66.36</v>
      </c>
      <c r="C5065" s="6"/>
      <c r="D5065" s="6"/>
    </row>
    <row r="5066" spans="1:4" ht="13" thickBot="1" x14ac:dyDescent="0.3">
      <c r="A5066" s="9">
        <f ca="1"/>
        <v>41956</v>
      </c>
      <c r="B5066" s="6">
        <v>66.180000000000007</v>
      </c>
      <c r="C5066" s="6"/>
      <c r="D5066" s="6"/>
    </row>
    <row r="5067" spans="1:4" ht="13" thickBot="1" x14ac:dyDescent="0.3">
      <c r="A5067" s="9">
        <f ca="1"/>
        <v>41957</v>
      </c>
      <c r="B5067" s="6">
        <v>66.22</v>
      </c>
      <c r="C5067" s="6"/>
      <c r="D5067" s="6"/>
    </row>
    <row r="5068" spans="1:4" ht="13" thickBot="1" x14ac:dyDescent="0.3">
      <c r="A5068" s="9">
        <f ca="1"/>
        <v>41958</v>
      </c>
      <c r="B5068" s="5">
        <f t="shared" ref="B5068:B5069" si="723">B5067</f>
        <v>66.22</v>
      </c>
      <c r="C5068" s="6"/>
      <c r="D5068" s="6"/>
    </row>
    <row r="5069" spans="1:4" ht="13" thickBot="1" x14ac:dyDescent="0.3">
      <c r="A5069" s="9">
        <f ca="1"/>
        <v>41959</v>
      </c>
      <c r="B5069" s="5">
        <f t="shared" si="723"/>
        <v>66.22</v>
      </c>
      <c r="C5069" s="6"/>
      <c r="D5069" s="6"/>
    </row>
    <row r="5070" spans="1:4" ht="13" thickBot="1" x14ac:dyDescent="0.3">
      <c r="A5070" s="9">
        <f ca="1"/>
        <v>41960</v>
      </c>
      <c r="B5070" s="6">
        <v>67.069999999999993</v>
      </c>
      <c r="C5070" s="6"/>
      <c r="D5070" s="6"/>
    </row>
    <row r="5071" spans="1:4" ht="13" thickBot="1" x14ac:dyDescent="0.3">
      <c r="A5071" s="9">
        <f ca="1"/>
        <v>41961</v>
      </c>
      <c r="B5071" s="6">
        <v>68.13</v>
      </c>
      <c r="C5071" s="6"/>
      <c r="D5071" s="6"/>
    </row>
    <row r="5072" spans="1:4" ht="13" thickBot="1" x14ac:dyDescent="0.3">
      <c r="A5072" s="9">
        <f ca="1"/>
        <v>41962</v>
      </c>
      <c r="B5072" s="6">
        <v>69.150000000000006</v>
      </c>
      <c r="C5072" s="6"/>
      <c r="D5072" s="6"/>
    </row>
    <row r="5073" spans="1:4" ht="13" thickBot="1" x14ac:dyDescent="0.3">
      <c r="A5073" s="9">
        <f ca="1"/>
        <v>41963</v>
      </c>
      <c r="B5073" s="6">
        <v>68.14</v>
      </c>
      <c r="C5073" s="6"/>
      <c r="D5073" s="6"/>
    </row>
    <row r="5074" spans="1:4" ht="13" thickBot="1" x14ac:dyDescent="0.3">
      <c r="A5074" s="9">
        <f ca="1"/>
        <v>41964</v>
      </c>
      <c r="B5074" s="6">
        <v>69.709999999999994</v>
      </c>
      <c r="C5074" s="6"/>
      <c r="D5074" s="6"/>
    </row>
    <row r="5075" spans="1:4" ht="13" thickBot="1" x14ac:dyDescent="0.3">
      <c r="A5075" s="9">
        <f ca="1"/>
        <v>41965</v>
      </c>
      <c r="B5075" s="5">
        <f t="shared" ref="B5075:B5076" si="724">B5074</f>
        <v>69.709999999999994</v>
      </c>
      <c r="C5075" s="6"/>
      <c r="D5075" s="6"/>
    </row>
    <row r="5076" spans="1:4" ht="13" thickBot="1" x14ac:dyDescent="0.3">
      <c r="A5076" s="9">
        <f ca="1"/>
        <v>41966</v>
      </c>
      <c r="B5076" s="5">
        <f t="shared" si="724"/>
        <v>69.709999999999994</v>
      </c>
      <c r="C5076" s="6"/>
      <c r="D5076" s="6"/>
    </row>
    <row r="5077" spans="1:4" ht="13" thickBot="1" x14ac:dyDescent="0.3">
      <c r="A5077" s="9">
        <f ca="1"/>
        <v>41967</v>
      </c>
      <c r="B5077" s="6">
        <v>70.47</v>
      </c>
      <c r="C5077" s="6"/>
      <c r="D5077" s="6"/>
    </row>
    <row r="5078" spans="1:4" ht="13" thickBot="1" x14ac:dyDescent="0.3">
      <c r="A5078" s="9">
        <f ca="1"/>
        <v>41968</v>
      </c>
      <c r="B5078" s="6">
        <v>70.75</v>
      </c>
      <c r="C5078" s="6"/>
      <c r="D5078" s="6"/>
    </row>
    <row r="5079" spans="1:4" ht="13" thickBot="1" x14ac:dyDescent="0.3">
      <c r="A5079" s="9">
        <f ca="1"/>
        <v>41969</v>
      </c>
      <c r="B5079" s="6">
        <v>71.05</v>
      </c>
      <c r="C5079" s="6"/>
      <c r="D5079" s="6"/>
    </row>
    <row r="5080" spans="1:4" ht="13" thickBot="1" x14ac:dyDescent="0.3">
      <c r="A5080" s="9">
        <f ca="1"/>
        <v>41970</v>
      </c>
      <c r="B5080" s="5">
        <f>B5079</f>
        <v>71.05</v>
      </c>
      <c r="C5080" s="6"/>
      <c r="D5080" s="6"/>
    </row>
    <row r="5081" spans="1:4" ht="13" thickBot="1" x14ac:dyDescent="0.3">
      <c r="A5081" s="9">
        <f ca="1"/>
        <v>41971</v>
      </c>
      <c r="B5081" s="6">
        <v>70.75</v>
      </c>
      <c r="C5081" s="6"/>
      <c r="D5081" s="6"/>
    </row>
    <row r="5082" spans="1:4" ht="13" thickBot="1" x14ac:dyDescent="0.3">
      <c r="A5082" s="9">
        <f ca="1"/>
        <v>41972</v>
      </c>
      <c r="B5082" s="5">
        <f t="shared" ref="B5082:B5083" si="725">B5081</f>
        <v>70.75</v>
      </c>
      <c r="C5082" s="6"/>
      <c r="D5082" s="6"/>
    </row>
    <row r="5083" spans="1:4" ht="13" thickBot="1" x14ac:dyDescent="0.3">
      <c r="A5083" s="9">
        <f ca="1"/>
        <v>41973</v>
      </c>
      <c r="B5083" s="5">
        <f t="shared" si="725"/>
        <v>70.75</v>
      </c>
      <c r="C5083" s="6"/>
      <c r="D5083" s="6"/>
    </row>
    <row r="5084" spans="1:4" ht="13" thickBot="1" x14ac:dyDescent="0.3">
      <c r="A5084" s="9">
        <f ca="1"/>
        <v>41974</v>
      </c>
      <c r="B5084" s="6">
        <v>71.08</v>
      </c>
      <c r="C5084" s="6"/>
      <c r="D5084" s="6"/>
    </row>
    <row r="5085" spans="1:4" ht="13" thickBot="1" x14ac:dyDescent="0.3">
      <c r="A5085" s="9">
        <f ca="1"/>
        <v>41975</v>
      </c>
      <c r="B5085" s="6">
        <v>70.92</v>
      </c>
      <c r="C5085" s="6"/>
      <c r="D5085" s="6"/>
    </row>
    <row r="5086" spans="1:4" ht="13" thickBot="1" x14ac:dyDescent="0.3">
      <c r="A5086" s="9">
        <f ca="1"/>
        <v>41976</v>
      </c>
      <c r="B5086" s="6">
        <v>69.75</v>
      </c>
      <c r="C5086" s="6"/>
      <c r="D5086" s="6"/>
    </row>
    <row r="5087" spans="1:4" ht="13" thickBot="1" x14ac:dyDescent="0.3">
      <c r="A5087" s="9">
        <f ca="1"/>
        <v>41977</v>
      </c>
      <c r="B5087" s="6">
        <v>69.69</v>
      </c>
      <c r="C5087" s="6"/>
      <c r="D5087" s="6"/>
    </row>
    <row r="5088" spans="1:4" ht="13" thickBot="1" x14ac:dyDescent="0.3">
      <c r="A5088" s="9">
        <f ca="1"/>
        <v>41978</v>
      </c>
      <c r="B5088" s="6">
        <v>69.44</v>
      </c>
      <c r="C5088" s="6"/>
      <c r="D5088" s="6"/>
    </row>
    <row r="5089" spans="1:4" ht="13" thickBot="1" x14ac:dyDescent="0.3">
      <c r="A5089" s="9">
        <f ca="1"/>
        <v>41979</v>
      </c>
      <c r="B5089" s="5">
        <f t="shared" ref="B5089:B5090" si="726">B5088</f>
        <v>69.44</v>
      </c>
      <c r="C5089" s="6"/>
      <c r="D5089" s="6"/>
    </row>
    <row r="5090" spans="1:4" ht="13" thickBot="1" x14ac:dyDescent="0.3">
      <c r="A5090" s="9">
        <f ca="1"/>
        <v>41980</v>
      </c>
      <c r="B5090" s="5">
        <f t="shared" si="726"/>
        <v>69.44</v>
      </c>
      <c r="C5090" s="6"/>
      <c r="D5090" s="6"/>
    </row>
    <row r="5091" spans="1:4" ht="13" thickBot="1" x14ac:dyDescent="0.3">
      <c r="A5091" s="9">
        <f ca="1"/>
        <v>41981</v>
      </c>
      <c r="B5091" s="6">
        <v>70.39</v>
      </c>
      <c r="C5091" s="6"/>
      <c r="D5091" s="6"/>
    </row>
    <row r="5092" spans="1:4" ht="13" thickBot="1" x14ac:dyDescent="0.3">
      <c r="A5092" s="9">
        <f ca="1"/>
        <v>41982</v>
      </c>
      <c r="B5092" s="6">
        <v>69.69</v>
      </c>
      <c r="C5092" s="6"/>
      <c r="D5092" s="6"/>
    </row>
    <row r="5093" spans="1:4" ht="13" thickBot="1" x14ac:dyDescent="0.3">
      <c r="A5093" s="9">
        <f ca="1"/>
        <v>41983</v>
      </c>
      <c r="B5093" s="6">
        <v>69.790000000000006</v>
      </c>
      <c r="C5093" s="6"/>
      <c r="D5093" s="6"/>
    </row>
    <row r="5094" spans="1:4" ht="13" thickBot="1" x14ac:dyDescent="0.3">
      <c r="A5094" s="9">
        <f ca="1"/>
        <v>41984</v>
      </c>
      <c r="B5094" s="6">
        <v>69.849999999999994</v>
      </c>
      <c r="C5094" s="6"/>
      <c r="D5094" s="6"/>
    </row>
    <row r="5095" spans="1:4" ht="13" thickBot="1" x14ac:dyDescent="0.3">
      <c r="A5095" s="9">
        <f ca="1"/>
        <v>41985</v>
      </c>
      <c r="B5095" s="6">
        <v>70</v>
      </c>
      <c r="C5095" s="6"/>
      <c r="D5095" s="6"/>
    </row>
    <row r="5096" spans="1:4" ht="13" thickBot="1" x14ac:dyDescent="0.3">
      <c r="A5096" s="9">
        <f ca="1"/>
        <v>41986</v>
      </c>
      <c r="B5096" s="5">
        <f t="shared" ref="B5096:B5097" si="727">B5095</f>
        <v>70</v>
      </c>
      <c r="C5096" s="6"/>
      <c r="D5096" s="6"/>
    </row>
    <row r="5097" spans="1:4" ht="13" thickBot="1" x14ac:dyDescent="0.3">
      <c r="A5097" s="9">
        <f ca="1"/>
        <v>41987</v>
      </c>
      <c r="B5097" s="5">
        <f t="shared" si="727"/>
        <v>70</v>
      </c>
      <c r="C5097" s="6"/>
      <c r="D5097" s="6"/>
    </row>
    <row r="5098" spans="1:4" ht="13" thickBot="1" x14ac:dyDescent="0.3">
      <c r="A5098" s="9">
        <f ca="1"/>
        <v>41988</v>
      </c>
      <c r="B5098" s="6">
        <v>69.040000000000006</v>
      </c>
      <c r="C5098" s="6"/>
      <c r="D5098" s="6"/>
    </row>
    <row r="5099" spans="1:4" ht="13" thickBot="1" x14ac:dyDescent="0.3">
      <c r="A5099" s="9">
        <f ca="1"/>
        <v>41989</v>
      </c>
      <c r="B5099" s="6">
        <v>66.67</v>
      </c>
      <c r="C5099" s="6"/>
      <c r="D5099" s="6"/>
    </row>
    <row r="5100" spans="1:4" ht="13" thickBot="1" x14ac:dyDescent="0.3">
      <c r="A5100" s="9">
        <f ca="1"/>
        <v>41990</v>
      </c>
      <c r="B5100" s="6">
        <v>67.8</v>
      </c>
      <c r="C5100" s="6"/>
      <c r="D5100" s="6"/>
    </row>
    <row r="5101" spans="1:4" ht="13" thickBot="1" x14ac:dyDescent="0.3">
      <c r="A5101" s="9">
        <f ca="1"/>
        <v>41991</v>
      </c>
      <c r="B5101" s="6">
        <v>69.19</v>
      </c>
      <c r="C5101" s="6"/>
      <c r="D5101" s="6"/>
    </row>
    <row r="5102" spans="1:4" ht="13" thickBot="1" x14ac:dyDescent="0.3">
      <c r="A5102" s="9">
        <f ca="1"/>
        <v>41992</v>
      </c>
      <c r="B5102" s="6">
        <v>70.010000000000005</v>
      </c>
      <c r="C5102" s="6"/>
      <c r="D5102" s="6"/>
    </row>
    <row r="5103" spans="1:4" ht="13" thickBot="1" x14ac:dyDescent="0.3">
      <c r="A5103" s="9">
        <f ca="1"/>
        <v>41993</v>
      </c>
      <c r="B5103" s="5">
        <f t="shared" ref="B5103:B5104" si="728">B5102</f>
        <v>70.010000000000005</v>
      </c>
      <c r="C5103" s="6"/>
      <c r="D5103" s="6"/>
    </row>
    <row r="5104" spans="1:4" ht="13" thickBot="1" x14ac:dyDescent="0.3">
      <c r="A5104" s="9">
        <f ca="1"/>
        <v>41994</v>
      </c>
      <c r="B5104" s="5">
        <f t="shared" si="728"/>
        <v>70.010000000000005</v>
      </c>
      <c r="C5104" s="6"/>
      <c r="D5104" s="6"/>
    </row>
    <row r="5105" spans="1:4" ht="13" thickBot="1" x14ac:dyDescent="0.3">
      <c r="A5105" s="9">
        <f ca="1"/>
        <v>41995</v>
      </c>
      <c r="B5105" s="6">
        <v>70.87</v>
      </c>
      <c r="C5105" s="6"/>
      <c r="D5105" s="6"/>
    </row>
    <row r="5106" spans="1:4" ht="13" thickBot="1" x14ac:dyDescent="0.3">
      <c r="A5106" s="9">
        <f ca="1"/>
        <v>41996</v>
      </c>
      <c r="B5106" s="6">
        <v>70.680000000000007</v>
      </c>
      <c r="C5106" s="6"/>
      <c r="D5106" s="6"/>
    </row>
    <row r="5107" spans="1:4" ht="13" thickBot="1" x14ac:dyDescent="0.3">
      <c r="A5107" s="9">
        <f ca="1"/>
        <v>41997</v>
      </c>
      <c r="B5107" s="6">
        <v>71.11</v>
      </c>
      <c r="C5107" s="6"/>
      <c r="D5107" s="6"/>
    </row>
    <row r="5108" spans="1:4" ht="13" thickBot="1" x14ac:dyDescent="0.3">
      <c r="A5108" s="9">
        <f ca="1"/>
        <v>41998</v>
      </c>
      <c r="B5108" s="5">
        <f>B5107</f>
        <v>71.11</v>
      </c>
      <c r="C5108" s="6"/>
      <c r="D5108" s="6"/>
    </row>
    <row r="5109" spans="1:4" ht="13" thickBot="1" x14ac:dyDescent="0.3">
      <c r="A5109" s="9">
        <f ca="1"/>
        <v>41999</v>
      </c>
      <c r="B5109" s="6">
        <v>71.64</v>
      </c>
      <c r="C5109" s="6"/>
      <c r="D5109" s="6"/>
    </row>
    <row r="5110" spans="1:4" ht="13" thickBot="1" x14ac:dyDescent="0.3">
      <c r="A5110" s="9">
        <f ca="1"/>
        <v>42000</v>
      </c>
      <c r="B5110" s="5">
        <f t="shared" ref="B5110:B5111" si="729">B5109</f>
        <v>71.64</v>
      </c>
      <c r="C5110" s="6"/>
      <c r="D5110" s="6"/>
    </row>
    <row r="5111" spans="1:4" ht="13" thickBot="1" x14ac:dyDescent="0.3">
      <c r="A5111" s="9">
        <f ca="1"/>
        <v>42001</v>
      </c>
      <c r="B5111" s="5">
        <f t="shared" si="729"/>
        <v>71.64</v>
      </c>
      <c r="C5111" s="6"/>
      <c r="D5111" s="6"/>
    </row>
    <row r="5112" spans="1:4" ht="13" thickBot="1" x14ac:dyDescent="0.3">
      <c r="A5112" s="9">
        <f ca="1"/>
        <v>42002</v>
      </c>
      <c r="B5112" s="6">
        <v>71.2</v>
      </c>
      <c r="C5112" s="6"/>
      <c r="D5112" s="6"/>
    </row>
    <row r="5113" spans="1:4" ht="13" thickBot="1" x14ac:dyDescent="0.3">
      <c r="A5113" s="9">
        <f ca="1"/>
        <v>42003</v>
      </c>
      <c r="B5113" s="6">
        <v>70.92</v>
      </c>
      <c r="C5113" s="6"/>
      <c r="D5113" s="6"/>
    </row>
    <row r="5114" spans="1:4" ht="13" thickBot="1" x14ac:dyDescent="0.3">
      <c r="A5114" s="9">
        <f ca="1"/>
        <v>42004</v>
      </c>
      <c r="B5114" s="6">
        <v>70.400000000000006</v>
      </c>
      <c r="C5114" s="6"/>
      <c r="D5114" s="6"/>
    </row>
    <row r="5115" spans="1:4" ht="13" thickBot="1" x14ac:dyDescent="0.3">
      <c r="A5115" s="9">
        <f ca="1"/>
        <v>42005</v>
      </c>
      <c r="B5115" s="5">
        <f>B5114</f>
        <v>70.400000000000006</v>
      </c>
      <c r="C5115" s="6"/>
      <c r="D5115" s="6"/>
    </row>
    <row r="5116" spans="1:4" ht="13" thickBot="1" x14ac:dyDescent="0.3">
      <c r="A5116" s="9">
        <f ca="1"/>
        <v>42006</v>
      </c>
      <c r="B5116" s="6">
        <v>69.790000000000006</v>
      </c>
      <c r="C5116" s="6"/>
      <c r="D5116" s="6"/>
    </row>
    <row r="5117" spans="1:4" ht="13" thickBot="1" x14ac:dyDescent="0.3">
      <c r="A5117" s="9">
        <f ca="1"/>
        <v>42007</v>
      </c>
      <c r="B5117" s="5">
        <f t="shared" ref="B5117:B5118" si="730">B5116</f>
        <v>69.790000000000006</v>
      </c>
      <c r="C5117" s="6"/>
      <c r="D5117" s="6"/>
    </row>
    <row r="5118" spans="1:4" ht="13" thickBot="1" x14ac:dyDescent="0.3">
      <c r="A5118" s="9">
        <f ca="1"/>
        <v>42008</v>
      </c>
      <c r="B5118" s="5">
        <f t="shared" si="730"/>
        <v>69.790000000000006</v>
      </c>
      <c r="C5118" s="6"/>
      <c r="D5118" s="6"/>
    </row>
    <row r="5119" spans="1:4" ht="13" thickBot="1" x14ac:dyDescent="0.3">
      <c r="A5119" s="9">
        <f ca="1"/>
        <v>42009</v>
      </c>
      <c r="B5119" s="6">
        <v>68.3</v>
      </c>
      <c r="C5119" s="6"/>
      <c r="D5119" s="6"/>
    </row>
    <row r="5120" spans="1:4" ht="13" thickBot="1" x14ac:dyDescent="0.3">
      <c r="A5120" s="9">
        <f ca="1"/>
        <v>42010</v>
      </c>
      <c r="B5120" s="6">
        <v>65.930000000000007</v>
      </c>
      <c r="C5120" s="6"/>
      <c r="D5120" s="6"/>
    </row>
    <row r="5121" spans="1:4" ht="13" thickBot="1" x14ac:dyDescent="0.3">
      <c r="A5121" s="9">
        <f ca="1"/>
        <v>42011</v>
      </c>
      <c r="B5121" s="6">
        <v>64.98</v>
      </c>
      <c r="C5121" s="6"/>
      <c r="D5121" s="6"/>
    </row>
    <row r="5122" spans="1:4" ht="13" thickBot="1" x14ac:dyDescent="0.3">
      <c r="A5122" s="9">
        <f ca="1"/>
        <v>42012</v>
      </c>
      <c r="B5122" s="6">
        <v>64.510000000000005</v>
      </c>
      <c r="C5122" s="6"/>
      <c r="D5122" s="6"/>
    </row>
    <row r="5123" spans="1:4" ht="13" thickBot="1" x14ac:dyDescent="0.3">
      <c r="A5123" s="9">
        <f ca="1"/>
        <v>42013</v>
      </c>
      <c r="B5123" s="6">
        <v>65.23</v>
      </c>
      <c r="C5123" s="6"/>
      <c r="D5123" s="6"/>
    </row>
    <row r="5124" spans="1:4" ht="13" thickBot="1" x14ac:dyDescent="0.3">
      <c r="A5124" s="9">
        <f ca="1"/>
        <v>42014</v>
      </c>
      <c r="B5124" s="5">
        <f t="shared" ref="B5124:B5125" si="731">B5123</f>
        <v>65.23</v>
      </c>
      <c r="C5124" s="6"/>
      <c r="D5124" s="6"/>
    </row>
    <row r="5125" spans="1:4" ht="13" thickBot="1" x14ac:dyDescent="0.3">
      <c r="A5125" s="9">
        <f ca="1"/>
        <v>42015</v>
      </c>
      <c r="B5125" s="5">
        <f t="shared" si="731"/>
        <v>65.23</v>
      </c>
      <c r="C5125" s="6"/>
      <c r="D5125" s="6"/>
    </row>
    <row r="5126" spans="1:4" ht="13" thickBot="1" x14ac:dyDescent="0.3">
      <c r="A5126" s="9">
        <f ca="1"/>
        <v>42016</v>
      </c>
      <c r="B5126" s="6">
        <v>65.760000000000005</v>
      </c>
      <c r="C5126" s="6"/>
      <c r="D5126" s="6"/>
    </row>
    <row r="5127" spans="1:4" ht="13" thickBot="1" x14ac:dyDescent="0.3">
      <c r="A5127" s="9">
        <f ca="1"/>
        <v>42017</v>
      </c>
      <c r="B5127" s="6">
        <v>67.099999999999994</v>
      </c>
      <c r="C5127" s="6"/>
      <c r="D5127" s="6"/>
    </row>
    <row r="5128" spans="1:4" ht="13" thickBot="1" x14ac:dyDescent="0.3">
      <c r="A5128" s="9">
        <f ca="1"/>
        <v>42018</v>
      </c>
      <c r="B5128" s="6">
        <v>66.680000000000007</v>
      </c>
      <c r="C5128" s="6"/>
      <c r="D5128" s="6"/>
    </row>
    <row r="5129" spans="1:4" ht="13" thickBot="1" x14ac:dyDescent="0.3">
      <c r="A5129" s="9">
        <f ca="1"/>
        <v>42019</v>
      </c>
      <c r="B5129" s="6">
        <v>67.09</v>
      </c>
      <c r="C5129" s="6"/>
      <c r="D5129" s="6"/>
    </row>
    <row r="5130" spans="1:4" ht="13" thickBot="1" x14ac:dyDescent="0.3">
      <c r="A5130" s="9">
        <f ca="1"/>
        <v>42020</v>
      </c>
      <c r="B5130" s="6">
        <v>66.23</v>
      </c>
      <c r="C5130" s="6"/>
      <c r="D5130" s="6"/>
    </row>
    <row r="5131" spans="1:4" ht="13" thickBot="1" x14ac:dyDescent="0.3">
      <c r="A5131" s="9">
        <f ca="1"/>
        <v>42021</v>
      </c>
      <c r="B5131" s="5">
        <f t="shared" ref="B5131:B5133" si="732">B5130</f>
        <v>66.23</v>
      </c>
      <c r="C5131" s="6"/>
      <c r="D5131" s="6"/>
    </row>
    <row r="5132" spans="1:4" ht="13" thickBot="1" x14ac:dyDescent="0.3">
      <c r="A5132" s="9">
        <f ca="1"/>
        <v>42022</v>
      </c>
      <c r="B5132" s="5">
        <f t="shared" si="732"/>
        <v>66.23</v>
      </c>
      <c r="C5132" s="6"/>
      <c r="D5132" s="6"/>
    </row>
    <row r="5133" spans="1:4" ht="13" thickBot="1" x14ac:dyDescent="0.3">
      <c r="A5133" s="9">
        <f ca="1"/>
        <v>42023</v>
      </c>
      <c r="B5133" s="5">
        <f t="shared" si="732"/>
        <v>66.23</v>
      </c>
      <c r="C5133" s="6"/>
      <c r="D5133" s="6"/>
    </row>
    <row r="5134" spans="1:4" ht="13" thickBot="1" x14ac:dyDescent="0.3">
      <c r="A5134" s="9">
        <f ca="1"/>
        <v>42024</v>
      </c>
      <c r="B5134" s="6">
        <v>63.65</v>
      </c>
      <c r="C5134" s="6"/>
      <c r="D5134" s="6"/>
    </row>
    <row r="5135" spans="1:4" ht="13" thickBot="1" x14ac:dyDescent="0.3">
      <c r="A5135" s="9">
        <f ca="1"/>
        <v>42025</v>
      </c>
      <c r="B5135" s="6">
        <v>63.61</v>
      </c>
      <c r="C5135" s="6"/>
      <c r="D5135" s="6"/>
    </row>
    <row r="5136" spans="1:4" ht="13" thickBot="1" x14ac:dyDescent="0.3">
      <c r="A5136" s="9">
        <f ca="1"/>
        <v>42026</v>
      </c>
      <c r="B5136" s="6">
        <v>63.9</v>
      </c>
      <c r="C5136" s="6"/>
      <c r="D5136" s="6"/>
    </row>
    <row r="5137" spans="1:4" ht="13" thickBot="1" x14ac:dyDescent="0.3">
      <c r="A5137" s="9">
        <f ca="1"/>
        <v>42027</v>
      </c>
      <c r="B5137" s="6">
        <v>64.28</v>
      </c>
      <c r="C5137" s="6"/>
      <c r="D5137" s="6"/>
    </row>
    <row r="5138" spans="1:4" ht="13" thickBot="1" x14ac:dyDescent="0.3">
      <c r="A5138" s="9">
        <f ca="1"/>
        <v>42028</v>
      </c>
      <c r="B5138" s="5">
        <f t="shared" ref="B5138:B5139" si="733">B5137</f>
        <v>64.28</v>
      </c>
      <c r="C5138" s="6"/>
      <c r="D5138" s="6"/>
    </row>
    <row r="5139" spans="1:4" ht="13" thickBot="1" x14ac:dyDescent="0.3">
      <c r="A5139" s="9">
        <f ca="1"/>
        <v>42029</v>
      </c>
      <c r="B5139" s="5">
        <f t="shared" si="733"/>
        <v>64.28</v>
      </c>
      <c r="C5139" s="6"/>
      <c r="D5139" s="6"/>
    </row>
    <row r="5140" spans="1:4" ht="13" thickBot="1" x14ac:dyDescent="0.3">
      <c r="A5140" s="9">
        <f ca="1"/>
        <v>42030</v>
      </c>
      <c r="B5140" s="6">
        <v>65.41</v>
      </c>
      <c r="C5140" s="6"/>
      <c r="D5140" s="6"/>
    </row>
    <row r="5141" spans="1:4" ht="13" thickBot="1" x14ac:dyDescent="0.3">
      <c r="A5141" s="9">
        <f ca="1"/>
        <v>42031</v>
      </c>
      <c r="B5141" s="6">
        <v>65.62</v>
      </c>
      <c r="C5141" s="6"/>
      <c r="D5141" s="6"/>
    </row>
    <row r="5142" spans="1:4" ht="13" thickBot="1" x14ac:dyDescent="0.3">
      <c r="A5142" s="9">
        <f ca="1"/>
        <v>42032</v>
      </c>
      <c r="B5142" s="6">
        <v>65.19</v>
      </c>
      <c r="C5142" s="6"/>
      <c r="D5142" s="6"/>
    </row>
    <row r="5143" spans="1:4" ht="13" thickBot="1" x14ac:dyDescent="0.3">
      <c r="A5143" s="9">
        <f ca="1"/>
        <v>42033</v>
      </c>
      <c r="B5143" s="6">
        <v>65.010000000000005</v>
      </c>
      <c r="C5143" s="6"/>
      <c r="D5143" s="6"/>
    </row>
    <row r="5144" spans="1:4" ht="13" thickBot="1" x14ac:dyDescent="0.3">
      <c r="A5144" s="9">
        <f ca="1"/>
        <v>42034</v>
      </c>
      <c r="B5144" s="6">
        <v>65.63</v>
      </c>
      <c r="C5144" s="6"/>
      <c r="D5144" s="6"/>
    </row>
    <row r="5145" spans="1:4" ht="13" thickBot="1" x14ac:dyDescent="0.3">
      <c r="A5145" s="9">
        <f ca="1"/>
        <v>42035</v>
      </c>
      <c r="B5145" s="5">
        <f t="shared" ref="B5145:B5146" si="734">B5144</f>
        <v>65.63</v>
      </c>
      <c r="C5145" s="6"/>
      <c r="D5145" s="6"/>
    </row>
    <row r="5146" spans="1:4" ht="13" thickBot="1" x14ac:dyDescent="0.3">
      <c r="A5146" s="9">
        <f ca="1"/>
        <v>42036</v>
      </c>
      <c r="B5146" s="5">
        <f t="shared" si="734"/>
        <v>65.63</v>
      </c>
      <c r="C5146" s="6"/>
      <c r="D5146" s="6"/>
    </row>
    <row r="5147" spans="1:4" ht="13" thickBot="1" x14ac:dyDescent="0.3">
      <c r="A5147" s="9">
        <f ca="1"/>
        <v>42037</v>
      </c>
      <c r="B5147" s="6">
        <v>66.17</v>
      </c>
      <c r="C5147" s="6"/>
      <c r="D5147" s="6"/>
    </row>
    <row r="5148" spans="1:4" ht="13" thickBot="1" x14ac:dyDescent="0.3">
      <c r="A5148" s="9">
        <f ca="1"/>
        <v>42038</v>
      </c>
      <c r="B5148" s="6">
        <v>67.739999999999995</v>
      </c>
      <c r="C5148" s="6"/>
      <c r="D5148" s="6"/>
    </row>
    <row r="5149" spans="1:4" ht="13" thickBot="1" x14ac:dyDescent="0.3">
      <c r="A5149" s="9">
        <f ca="1"/>
        <v>42039</v>
      </c>
      <c r="B5149" s="6">
        <v>68.2</v>
      </c>
      <c r="C5149" s="6"/>
      <c r="D5149" s="6"/>
    </row>
    <row r="5150" spans="1:4" ht="13" thickBot="1" x14ac:dyDescent="0.3">
      <c r="A5150" s="9">
        <f ca="1"/>
        <v>42040</v>
      </c>
      <c r="B5150" s="6">
        <v>68.05</v>
      </c>
      <c r="C5150" s="6"/>
      <c r="D5150" s="6"/>
    </row>
    <row r="5151" spans="1:4" ht="13" thickBot="1" x14ac:dyDescent="0.3">
      <c r="A5151" s="9">
        <f ca="1"/>
        <v>42041</v>
      </c>
      <c r="B5151" s="6">
        <v>67.17</v>
      </c>
      <c r="C5151" s="6"/>
      <c r="D5151" s="6"/>
    </row>
    <row r="5152" spans="1:4" ht="13" thickBot="1" x14ac:dyDescent="0.3">
      <c r="A5152" s="9">
        <f ca="1"/>
        <v>42042</v>
      </c>
      <c r="B5152" s="5">
        <f t="shared" ref="B5152:B5153" si="735">B5151</f>
        <v>67.17</v>
      </c>
      <c r="C5152" s="6"/>
      <c r="D5152" s="6"/>
    </row>
    <row r="5153" spans="1:4" ht="13" thickBot="1" x14ac:dyDescent="0.3">
      <c r="A5153" s="9">
        <f ca="1"/>
        <v>42043</v>
      </c>
      <c r="B5153" s="5">
        <f t="shared" si="735"/>
        <v>67.17</v>
      </c>
      <c r="C5153" s="6"/>
      <c r="D5153" s="6"/>
    </row>
    <row r="5154" spans="1:4" ht="13" thickBot="1" x14ac:dyDescent="0.3">
      <c r="A5154" s="9">
        <f ca="1"/>
        <v>42044</v>
      </c>
      <c r="B5154" s="6">
        <v>66.3</v>
      </c>
      <c r="C5154" s="6"/>
      <c r="D5154" s="6"/>
    </row>
    <row r="5155" spans="1:4" ht="13" thickBot="1" x14ac:dyDescent="0.3">
      <c r="A5155" s="9">
        <f ca="1"/>
        <v>42045</v>
      </c>
      <c r="B5155" s="6">
        <v>67.23</v>
      </c>
      <c r="C5155" s="6"/>
      <c r="D5155" s="5"/>
    </row>
    <row r="5156" spans="1:4" ht="13" thickBot="1" x14ac:dyDescent="0.3">
      <c r="A5156" s="9">
        <f ca="1"/>
        <v>42046</v>
      </c>
      <c r="B5156" s="6">
        <v>66.53</v>
      </c>
      <c r="C5156" s="6"/>
      <c r="D5156" s="5"/>
    </row>
    <row r="5157" spans="1:4" ht="13" thickBot="1" x14ac:dyDescent="0.3">
      <c r="A5157" s="9">
        <f ca="1"/>
        <v>42047</v>
      </c>
      <c r="B5157" s="6">
        <v>68.67</v>
      </c>
      <c r="C5157" s="6"/>
      <c r="D5157" s="5"/>
    </row>
    <row r="5158" spans="1:4" ht="13" thickBot="1" x14ac:dyDescent="0.3">
      <c r="A5158" s="9">
        <f ca="1"/>
        <v>42048</v>
      </c>
      <c r="B5158" s="6">
        <v>69.319999999999993</v>
      </c>
      <c r="C5158" s="6"/>
      <c r="D5158" s="5"/>
    </row>
    <row r="5159" spans="1:4" ht="13" thickBot="1" x14ac:dyDescent="0.3">
      <c r="A5159" s="9">
        <f ca="1"/>
        <v>42049</v>
      </c>
      <c r="B5159" s="5">
        <f t="shared" ref="B5159:B5161" si="736">B5158</f>
        <v>69.319999999999993</v>
      </c>
      <c r="C5159" s="6"/>
      <c r="D5159" s="5"/>
    </row>
    <row r="5160" spans="1:4" ht="13" thickBot="1" x14ac:dyDescent="0.3">
      <c r="A5160" s="9">
        <f ca="1"/>
        <v>42050</v>
      </c>
      <c r="B5160" s="5">
        <f t="shared" si="736"/>
        <v>69.319999999999993</v>
      </c>
      <c r="C5160" s="6"/>
      <c r="D5160" s="5"/>
    </row>
    <row r="5161" spans="1:4" ht="13" thickBot="1" x14ac:dyDescent="0.3">
      <c r="A5161" s="9">
        <f ca="1"/>
        <v>42051</v>
      </c>
      <c r="B5161" s="5">
        <f t="shared" si="736"/>
        <v>69.319999999999993</v>
      </c>
      <c r="C5161" s="6"/>
      <c r="D5161" s="5"/>
    </row>
    <row r="5162" spans="1:4" ht="13" thickBot="1" x14ac:dyDescent="0.3">
      <c r="A5162" s="9">
        <f ca="1"/>
        <v>42052</v>
      </c>
      <c r="B5162" s="6">
        <v>69.06</v>
      </c>
      <c r="C5162" s="6"/>
      <c r="D5162" s="5"/>
    </row>
    <row r="5163" spans="1:4" ht="13" thickBot="1" x14ac:dyDescent="0.3">
      <c r="A5163" s="9">
        <f ca="1"/>
        <v>42053</v>
      </c>
      <c r="B5163" s="6">
        <v>68.239999999999995</v>
      </c>
      <c r="C5163" s="6"/>
      <c r="D5163" s="5"/>
    </row>
    <row r="5164" spans="1:4" ht="13" thickBot="1" x14ac:dyDescent="0.3">
      <c r="A5164" s="9">
        <f ca="1"/>
        <v>42054</v>
      </c>
      <c r="B5164" s="6">
        <v>68.510000000000005</v>
      </c>
      <c r="C5164" s="6"/>
      <c r="D5164" s="5"/>
    </row>
    <row r="5165" spans="1:4" ht="13" thickBot="1" x14ac:dyDescent="0.3">
      <c r="A5165" s="9">
        <f ca="1"/>
        <v>42055</v>
      </c>
      <c r="B5165" s="6">
        <v>68.48</v>
      </c>
      <c r="C5165" s="6"/>
      <c r="D5165" s="5"/>
    </row>
    <row r="5166" spans="1:4" ht="13" thickBot="1" x14ac:dyDescent="0.3">
      <c r="A5166" s="9">
        <f ca="1"/>
        <v>42056</v>
      </c>
      <c r="B5166" s="5">
        <f t="shared" ref="B5166:B5167" si="737">B5165</f>
        <v>68.48</v>
      </c>
      <c r="C5166" s="6"/>
      <c r="D5166" s="5"/>
    </row>
    <row r="5167" spans="1:4" ht="13" thickBot="1" x14ac:dyDescent="0.3">
      <c r="A5167" s="9">
        <f ca="1"/>
        <v>42057</v>
      </c>
      <c r="B5167" s="5">
        <f t="shared" si="737"/>
        <v>68.48</v>
      </c>
      <c r="C5167" s="6"/>
      <c r="D5167" s="5"/>
    </row>
    <row r="5168" spans="1:4" ht="13" thickBot="1" x14ac:dyDescent="0.3">
      <c r="A5168" s="9">
        <f ca="1"/>
        <v>42058</v>
      </c>
      <c r="B5168" s="6">
        <v>69.709999999999994</v>
      </c>
      <c r="C5168" s="6"/>
      <c r="D5168" s="5"/>
    </row>
    <row r="5169" spans="1:4" ht="13" thickBot="1" x14ac:dyDescent="0.3">
      <c r="A5169" s="9">
        <f ca="1"/>
        <v>42059</v>
      </c>
      <c r="B5169" s="6">
        <v>69.599999999999994</v>
      </c>
      <c r="C5169" s="6"/>
      <c r="D5169" s="5"/>
    </row>
    <row r="5170" spans="1:4" ht="13" thickBot="1" x14ac:dyDescent="0.3">
      <c r="A5170" s="9">
        <f ca="1"/>
        <v>42060</v>
      </c>
      <c r="B5170" s="6">
        <v>70.069999999999993</v>
      </c>
      <c r="C5170" s="6"/>
      <c r="D5170" s="5"/>
    </row>
    <row r="5171" spans="1:4" ht="13" thickBot="1" x14ac:dyDescent="0.3">
      <c r="A5171" s="9">
        <f ca="1"/>
        <v>42061</v>
      </c>
      <c r="B5171" s="6">
        <v>69.819999999999993</v>
      </c>
      <c r="C5171" s="6"/>
      <c r="D5171" s="5"/>
    </row>
    <row r="5172" spans="1:4" ht="13" thickBot="1" x14ac:dyDescent="0.3">
      <c r="A5172" s="9">
        <f ca="1"/>
        <v>42062</v>
      </c>
      <c r="B5172" s="6">
        <v>70.3</v>
      </c>
      <c r="C5172" s="6"/>
      <c r="D5172" s="5"/>
    </row>
    <row r="5173" spans="1:4" ht="13" thickBot="1" x14ac:dyDescent="0.3">
      <c r="A5173" s="9">
        <f ca="1"/>
        <v>42063</v>
      </c>
      <c r="B5173" s="5">
        <f t="shared" ref="B5173:B5174" si="738">B5172</f>
        <v>70.3</v>
      </c>
      <c r="C5173" s="6"/>
      <c r="D5173" s="5"/>
    </row>
    <row r="5174" spans="1:4" ht="13" thickBot="1" x14ac:dyDescent="0.3">
      <c r="A5174" s="9">
        <f ca="1"/>
        <v>42064</v>
      </c>
      <c r="B5174" s="5">
        <f t="shared" si="738"/>
        <v>70.3</v>
      </c>
      <c r="C5174" s="6"/>
      <c r="D5174" s="5"/>
    </row>
    <row r="5175" spans="1:4" ht="13" thickBot="1" x14ac:dyDescent="0.3">
      <c r="A5175" s="9">
        <f ca="1"/>
        <v>42065</v>
      </c>
      <c r="B5175" s="6">
        <v>70.86</v>
      </c>
      <c r="C5175" s="6"/>
      <c r="D5175" s="5"/>
    </row>
    <row r="5176" spans="1:4" ht="13" thickBot="1" x14ac:dyDescent="0.3">
      <c r="A5176" s="9">
        <f ca="1"/>
        <v>42066</v>
      </c>
      <c r="B5176" s="6">
        <v>70.930000000000007</v>
      </c>
      <c r="C5176" s="6"/>
      <c r="D5176" s="5"/>
    </row>
    <row r="5177" spans="1:4" ht="13" thickBot="1" x14ac:dyDescent="0.3">
      <c r="A5177" s="9">
        <f ca="1"/>
        <v>42067</v>
      </c>
      <c r="B5177" s="6">
        <v>69.66</v>
      </c>
      <c r="C5177" s="6"/>
      <c r="D5177" s="5"/>
    </row>
    <row r="5178" spans="1:4" ht="13" thickBot="1" x14ac:dyDescent="0.3">
      <c r="A5178" s="9">
        <f ca="1"/>
        <v>42068</v>
      </c>
      <c r="B5178" s="6">
        <v>70.180000000000007</v>
      </c>
      <c r="C5178" s="6"/>
      <c r="D5178" s="5"/>
    </row>
    <row r="5179" spans="1:4" ht="13" thickBot="1" x14ac:dyDescent="0.3">
      <c r="A5179" s="9">
        <f ca="1"/>
        <v>42069</v>
      </c>
      <c r="B5179" s="6">
        <v>69</v>
      </c>
      <c r="C5179" s="6"/>
      <c r="D5179" s="5"/>
    </row>
    <row r="5180" spans="1:4" ht="13" thickBot="1" x14ac:dyDescent="0.3">
      <c r="A5180" s="9">
        <f ca="1"/>
        <v>42070</v>
      </c>
      <c r="B5180" s="5">
        <f t="shared" ref="B5180:B5181" si="739">B5179</f>
        <v>69</v>
      </c>
      <c r="C5180" s="6"/>
      <c r="D5180" s="5"/>
    </row>
    <row r="5181" spans="1:4" ht="13" thickBot="1" x14ac:dyDescent="0.3">
      <c r="A5181" s="9">
        <f ca="1"/>
        <v>42071</v>
      </c>
      <c r="B5181" s="5">
        <f t="shared" si="739"/>
        <v>69</v>
      </c>
      <c r="C5181" s="6"/>
      <c r="D5181" s="5"/>
    </row>
    <row r="5182" spans="1:4" ht="13" thickBot="1" x14ac:dyDescent="0.3">
      <c r="A5182" s="9">
        <f ca="1"/>
        <v>42072</v>
      </c>
      <c r="B5182" s="6">
        <v>68.36</v>
      </c>
      <c r="C5182" s="6"/>
      <c r="D5182" s="5"/>
    </row>
    <row r="5183" spans="1:4" ht="13" thickBot="1" x14ac:dyDescent="0.3">
      <c r="A5183" s="9">
        <f ca="1"/>
        <v>42073</v>
      </c>
      <c r="B5183" s="6">
        <v>67.45</v>
      </c>
      <c r="C5183" s="6"/>
      <c r="D5183" s="5"/>
    </row>
    <row r="5184" spans="1:4" ht="13" thickBot="1" x14ac:dyDescent="0.3">
      <c r="A5184" s="9">
        <f ca="1"/>
        <v>42074</v>
      </c>
      <c r="B5184" s="6">
        <v>67.22</v>
      </c>
      <c r="C5184" s="6"/>
      <c r="D5184" s="5"/>
    </row>
    <row r="5185" spans="1:4" ht="13" thickBot="1" x14ac:dyDescent="0.3">
      <c r="A5185" s="9">
        <f ca="1"/>
        <v>42075</v>
      </c>
      <c r="B5185" s="6">
        <v>67.989999999999995</v>
      </c>
      <c r="C5185" s="6"/>
      <c r="D5185" s="5"/>
    </row>
    <row r="5186" spans="1:4" ht="13" thickBot="1" x14ac:dyDescent="0.3">
      <c r="A5186" s="9">
        <f ca="1"/>
        <v>42076</v>
      </c>
      <c r="B5186" s="6">
        <v>67.58</v>
      </c>
      <c r="C5186" s="6"/>
      <c r="D5186" s="5"/>
    </row>
    <row r="5187" spans="1:4" ht="13" thickBot="1" x14ac:dyDescent="0.3">
      <c r="A5187" s="9">
        <f ca="1"/>
        <v>42077</v>
      </c>
      <c r="B5187" s="5">
        <f t="shared" ref="B5187:B5188" si="740">B5186</f>
        <v>67.58</v>
      </c>
      <c r="C5187" s="6"/>
      <c r="D5187" s="5"/>
    </row>
    <row r="5188" spans="1:4" ht="13" thickBot="1" x14ac:dyDescent="0.3">
      <c r="A5188" s="9">
        <f ca="1"/>
        <v>42078</v>
      </c>
      <c r="B5188" s="5">
        <f t="shared" si="740"/>
        <v>67.58</v>
      </c>
      <c r="C5188" s="6"/>
      <c r="D5188" s="5"/>
    </row>
    <row r="5189" spans="1:4" ht="13" thickBot="1" x14ac:dyDescent="0.3">
      <c r="A5189" s="9">
        <f ca="1"/>
        <v>42079</v>
      </c>
      <c r="B5189" s="6">
        <v>69.05</v>
      </c>
      <c r="C5189" s="6"/>
      <c r="D5189" s="5"/>
    </row>
    <row r="5190" spans="1:4" ht="13" thickBot="1" x14ac:dyDescent="0.3">
      <c r="A5190" s="9">
        <f ca="1"/>
        <v>42080</v>
      </c>
      <c r="B5190" s="6">
        <v>69.02</v>
      </c>
      <c r="C5190" s="6"/>
      <c r="D5190" s="5"/>
    </row>
    <row r="5191" spans="1:4" ht="13" thickBot="1" x14ac:dyDescent="0.3">
      <c r="A5191" s="9">
        <f ca="1"/>
        <v>42081</v>
      </c>
      <c r="B5191" s="6">
        <v>69.59</v>
      </c>
      <c r="C5191" s="6"/>
      <c r="D5191" s="5"/>
    </row>
    <row r="5192" spans="1:4" ht="13" thickBot="1" x14ac:dyDescent="0.3">
      <c r="A5192" s="9">
        <f ca="1"/>
        <v>42082</v>
      </c>
      <c r="B5192" s="6">
        <v>70.22</v>
      </c>
      <c r="C5192" s="6"/>
      <c r="D5192" s="5"/>
    </row>
    <row r="5193" spans="1:4" ht="13" thickBot="1" x14ac:dyDescent="0.3">
      <c r="A5193" s="9">
        <f ca="1"/>
        <v>42083</v>
      </c>
      <c r="B5193" s="6">
        <v>72.55</v>
      </c>
      <c r="C5193" s="6"/>
      <c r="D5193" s="5"/>
    </row>
    <row r="5194" spans="1:4" ht="13" thickBot="1" x14ac:dyDescent="0.3">
      <c r="A5194" s="9">
        <f ca="1"/>
        <v>42084</v>
      </c>
      <c r="B5194" s="5">
        <f t="shared" ref="B5194:B5195" si="741">B5193</f>
        <v>72.55</v>
      </c>
      <c r="C5194" s="6"/>
      <c r="D5194" s="5"/>
    </row>
    <row r="5195" spans="1:4" ht="13" thickBot="1" x14ac:dyDescent="0.3">
      <c r="A5195" s="9">
        <f ca="1"/>
        <v>42085</v>
      </c>
      <c r="B5195" s="5">
        <f t="shared" si="741"/>
        <v>72.55</v>
      </c>
      <c r="C5195" s="6"/>
      <c r="D5195" s="5"/>
    </row>
    <row r="5196" spans="1:4" ht="13" thickBot="1" x14ac:dyDescent="0.3">
      <c r="A5196" s="9">
        <f ca="1"/>
        <v>42086</v>
      </c>
      <c r="B5196" s="6">
        <v>72.89</v>
      </c>
      <c r="C5196" s="6"/>
      <c r="D5196" s="5"/>
    </row>
    <row r="5197" spans="1:4" ht="13" thickBot="1" x14ac:dyDescent="0.3">
      <c r="A5197" s="9">
        <f ca="1"/>
        <v>42087</v>
      </c>
      <c r="B5197" s="6">
        <v>73.88</v>
      </c>
      <c r="C5197" s="6"/>
      <c r="D5197" s="5"/>
    </row>
    <row r="5198" spans="1:4" ht="13" thickBot="1" x14ac:dyDescent="0.3">
      <c r="A5198" s="9">
        <f ca="1"/>
        <v>42088</v>
      </c>
      <c r="B5198" s="6">
        <v>73.33</v>
      </c>
      <c r="C5198" s="6"/>
      <c r="D5198" s="5"/>
    </row>
    <row r="5199" spans="1:4" ht="13" thickBot="1" x14ac:dyDescent="0.3">
      <c r="A5199" s="9">
        <f ca="1"/>
        <v>42089</v>
      </c>
      <c r="B5199" s="6">
        <v>71.55</v>
      </c>
      <c r="C5199" s="6"/>
      <c r="D5199" s="5"/>
    </row>
    <row r="5200" spans="1:4" ht="13" thickBot="1" x14ac:dyDescent="0.3">
      <c r="A5200" s="9">
        <f ca="1"/>
        <v>42090</v>
      </c>
      <c r="B5200" s="6">
        <v>72.069999999999993</v>
      </c>
      <c r="C5200" s="6"/>
      <c r="D5200" s="5"/>
    </row>
    <row r="5201" spans="1:4" ht="13" thickBot="1" x14ac:dyDescent="0.3">
      <c r="A5201" s="9">
        <f ca="1"/>
        <v>42091</v>
      </c>
      <c r="B5201" s="5">
        <f t="shared" ref="B5201:B5202" si="742">B5200</f>
        <v>72.069999999999993</v>
      </c>
      <c r="C5201" s="6"/>
      <c r="D5201" s="5"/>
    </row>
    <row r="5202" spans="1:4" ht="13" thickBot="1" x14ac:dyDescent="0.3">
      <c r="A5202" s="9">
        <f ca="1"/>
        <v>42092</v>
      </c>
      <c r="B5202" s="5">
        <f t="shared" si="742"/>
        <v>72.069999999999993</v>
      </c>
      <c r="C5202" s="6"/>
      <c r="D5202" s="5"/>
    </row>
    <row r="5203" spans="1:4" ht="13" thickBot="1" x14ac:dyDescent="0.3">
      <c r="A5203" s="9">
        <f ca="1"/>
        <v>42093</v>
      </c>
      <c r="B5203" s="6">
        <v>73.06</v>
      </c>
      <c r="C5203" s="6"/>
      <c r="D5203" s="5"/>
    </row>
    <row r="5204" spans="1:4" ht="13" thickBot="1" x14ac:dyDescent="0.3">
      <c r="A5204" s="9">
        <f ca="1"/>
        <v>42094</v>
      </c>
      <c r="B5204" s="6">
        <v>72.48</v>
      </c>
      <c r="C5204" s="6"/>
      <c r="D5204" s="5"/>
    </row>
    <row r="5205" spans="1:4" ht="13" thickBot="1" x14ac:dyDescent="0.3">
      <c r="A5205" s="9">
        <f ca="1"/>
        <v>42095</v>
      </c>
      <c r="B5205" s="6">
        <v>73.040000000000006</v>
      </c>
      <c r="C5205" s="6"/>
      <c r="D5205" s="5"/>
    </row>
    <row r="5206" spans="1:4" ht="13" thickBot="1" x14ac:dyDescent="0.3">
      <c r="A5206" s="9">
        <f ca="1"/>
        <v>42096</v>
      </c>
      <c r="B5206" s="6">
        <v>73.14</v>
      </c>
      <c r="C5206" s="6"/>
      <c r="D5206" s="5"/>
    </row>
    <row r="5207" spans="1:4" ht="13" thickBot="1" x14ac:dyDescent="0.3">
      <c r="A5207" s="9">
        <f ca="1"/>
        <v>42097</v>
      </c>
      <c r="B5207" s="5">
        <f t="shared" ref="B5207:B5209" si="743">B5206</f>
        <v>73.14</v>
      </c>
      <c r="C5207" s="6"/>
      <c r="D5207" s="5"/>
    </row>
    <row r="5208" spans="1:4" ht="13" thickBot="1" x14ac:dyDescent="0.3">
      <c r="A5208" s="9">
        <f ca="1"/>
        <v>42098</v>
      </c>
      <c r="B5208" s="5">
        <f t="shared" si="743"/>
        <v>73.14</v>
      </c>
      <c r="C5208" s="6"/>
      <c r="D5208" s="5"/>
    </row>
    <row r="5209" spans="1:4" ht="13" thickBot="1" x14ac:dyDescent="0.3">
      <c r="A5209" s="9">
        <f ca="1"/>
        <v>42099</v>
      </c>
      <c r="B5209" s="5">
        <f t="shared" si="743"/>
        <v>73.14</v>
      </c>
      <c r="C5209" s="6"/>
      <c r="D5209" s="5"/>
    </row>
    <row r="5210" spans="1:4" ht="13" thickBot="1" x14ac:dyDescent="0.3">
      <c r="A5210" s="9">
        <f ca="1"/>
        <v>42100</v>
      </c>
      <c r="B5210" s="6">
        <v>72.400000000000006</v>
      </c>
      <c r="C5210" s="6"/>
      <c r="D5210" s="5"/>
    </row>
    <row r="5211" spans="1:4" ht="13" thickBot="1" x14ac:dyDescent="0.3">
      <c r="A5211" s="9">
        <f ca="1"/>
        <v>42101</v>
      </c>
      <c r="B5211" s="6">
        <v>73.47</v>
      </c>
      <c r="C5211" s="6"/>
      <c r="D5211" s="5"/>
    </row>
    <row r="5212" spans="1:4" ht="13" thickBot="1" x14ac:dyDescent="0.3">
      <c r="A5212" s="9">
        <f ca="1"/>
        <v>42102</v>
      </c>
      <c r="B5212" s="6">
        <v>73.61</v>
      </c>
      <c r="C5212" s="6"/>
      <c r="D5212" s="5"/>
    </row>
    <row r="5213" spans="1:4" ht="13" thickBot="1" x14ac:dyDescent="0.3">
      <c r="A5213" s="9">
        <f ca="1"/>
        <v>42103</v>
      </c>
      <c r="B5213" s="6">
        <v>72.86</v>
      </c>
      <c r="C5213" s="6"/>
      <c r="D5213" s="5"/>
    </row>
    <row r="5214" spans="1:4" ht="13" thickBot="1" x14ac:dyDescent="0.3">
      <c r="A5214" s="9">
        <f ca="1"/>
        <v>42104</v>
      </c>
      <c r="B5214" s="6">
        <v>73.22</v>
      </c>
      <c r="C5214" s="6"/>
      <c r="D5214" s="5"/>
    </row>
    <row r="5215" spans="1:4" ht="13" thickBot="1" x14ac:dyDescent="0.3">
      <c r="A5215" s="9">
        <f ca="1"/>
        <v>42105</v>
      </c>
      <c r="B5215" s="5">
        <f t="shared" ref="B5215:B5216" si="744">B5214</f>
        <v>73.22</v>
      </c>
      <c r="C5215" s="6"/>
      <c r="D5215" s="5"/>
    </row>
    <row r="5216" spans="1:4" ht="13" thickBot="1" x14ac:dyDescent="0.3">
      <c r="A5216" s="9">
        <f ca="1"/>
        <v>42106</v>
      </c>
      <c r="B5216" s="5">
        <f t="shared" si="744"/>
        <v>73.22</v>
      </c>
      <c r="C5216" s="6"/>
      <c r="D5216" s="5"/>
    </row>
    <row r="5217" spans="1:4" ht="13" thickBot="1" x14ac:dyDescent="0.3">
      <c r="A5217" s="9">
        <f ca="1"/>
        <v>42107</v>
      </c>
      <c r="B5217" s="6">
        <v>73.2</v>
      </c>
      <c r="C5217" s="6"/>
      <c r="D5217" s="5"/>
    </row>
    <row r="5218" spans="1:4" ht="13" thickBot="1" x14ac:dyDescent="0.3">
      <c r="A5218" s="9">
        <f ca="1"/>
        <v>42108</v>
      </c>
      <c r="B5218" s="6">
        <v>73.63</v>
      </c>
      <c r="C5218" s="6"/>
      <c r="D5218" s="5"/>
    </row>
    <row r="5219" spans="1:4" ht="13" thickBot="1" x14ac:dyDescent="0.3">
      <c r="A5219" s="9">
        <f ca="1"/>
        <v>42109</v>
      </c>
      <c r="B5219" s="6">
        <v>73.55</v>
      </c>
      <c r="C5219" s="6"/>
      <c r="D5219" s="5"/>
    </row>
    <row r="5220" spans="1:4" ht="13" thickBot="1" x14ac:dyDescent="0.3">
      <c r="A5220" s="9">
        <f ca="1"/>
        <v>42110</v>
      </c>
      <c r="B5220" s="6">
        <v>72.790000000000006</v>
      </c>
      <c r="C5220" s="6"/>
      <c r="D5220" s="5"/>
    </row>
    <row r="5221" spans="1:4" ht="13" thickBot="1" x14ac:dyDescent="0.3">
      <c r="A5221" s="9">
        <f ca="1"/>
        <v>42111</v>
      </c>
      <c r="B5221" s="6">
        <v>72</v>
      </c>
      <c r="C5221" s="6"/>
      <c r="D5221" s="5"/>
    </row>
    <row r="5222" spans="1:4" ht="13" thickBot="1" x14ac:dyDescent="0.3">
      <c r="A5222" s="9">
        <f ca="1"/>
        <v>42112</v>
      </c>
      <c r="B5222" s="5">
        <f t="shared" ref="B5222:B5223" si="745">B5221</f>
        <v>72</v>
      </c>
      <c r="C5222" s="6"/>
      <c r="D5222" s="5"/>
    </row>
    <row r="5223" spans="1:4" ht="13" thickBot="1" x14ac:dyDescent="0.3">
      <c r="A5223" s="9">
        <f ca="1"/>
        <v>42113</v>
      </c>
      <c r="B5223" s="5">
        <f t="shared" si="745"/>
        <v>72</v>
      </c>
      <c r="C5223" s="6"/>
      <c r="D5223" s="5"/>
    </row>
    <row r="5224" spans="1:4" ht="13" thickBot="1" x14ac:dyDescent="0.3">
      <c r="A5224" s="9">
        <f ca="1"/>
        <v>42114</v>
      </c>
      <c r="B5224" s="6">
        <v>72.52</v>
      </c>
      <c r="C5224" s="6"/>
      <c r="D5224" s="5"/>
    </row>
    <row r="5225" spans="1:4" ht="13" thickBot="1" x14ac:dyDescent="0.3">
      <c r="A5225" s="9">
        <f ca="1"/>
        <v>42115</v>
      </c>
      <c r="B5225" s="6">
        <v>74.16</v>
      </c>
      <c r="C5225" s="6"/>
      <c r="D5225" s="5"/>
    </row>
    <row r="5226" spans="1:4" ht="13" thickBot="1" x14ac:dyDescent="0.3">
      <c r="A5226" s="9">
        <f ca="1"/>
        <v>42116</v>
      </c>
      <c r="B5226" s="6">
        <v>73.98</v>
      </c>
      <c r="C5226" s="6"/>
      <c r="D5226" s="5"/>
    </row>
    <row r="5227" spans="1:4" ht="13" thickBot="1" x14ac:dyDescent="0.3">
      <c r="A5227" s="9">
        <f ca="1"/>
        <v>42117</v>
      </c>
      <c r="B5227" s="6">
        <v>73.989999999999995</v>
      </c>
      <c r="C5227" s="6"/>
      <c r="D5227" s="5"/>
    </row>
    <row r="5228" spans="1:4" ht="13" thickBot="1" x14ac:dyDescent="0.3">
      <c r="A5228" s="9">
        <f ca="1"/>
        <v>42118</v>
      </c>
      <c r="B5228" s="6">
        <v>74.89</v>
      </c>
      <c r="C5228" s="6"/>
      <c r="D5228" s="5"/>
    </row>
    <row r="5229" spans="1:4" ht="13" thickBot="1" x14ac:dyDescent="0.3">
      <c r="A5229" s="9">
        <f ca="1"/>
        <v>42119</v>
      </c>
      <c r="B5229" s="5">
        <f t="shared" ref="B5229:B5230" si="746">B5228</f>
        <v>74.89</v>
      </c>
      <c r="C5229" s="6"/>
      <c r="D5229" s="5"/>
    </row>
    <row r="5230" spans="1:4" ht="13" thickBot="1" x14ac:dyDescent="0.3">
      <c r="A5230" s="9">
        <f ca="1"/>
        <v>42120</v>
      </c>
      <c r="B5230" s="5">
        <f t="shared" si="746"/>
        <v>74.89</v>
      </c>
      <c r="C5230" s="6"/>
      <c r="D5230" s="5"/>
    </row>
    <row r="5231" spans="1:4" ht="13" thickBot="1" x14ac:dyDescent="0.3">
      <c r="A5231" s="9">
        <f ca="1"/>
        <v>42121</v>
      </c>
      <c r="B5231" s="6">
        <v>76.62</v>
      </c>
      <c r="C5231" s="6"/>
      <c r="D5231" s="5"/>
    </row>
    <row r="5232" spans="1:4" ht="13" thickBot="1" x14ac:dyDescent="0.3">
      <c r="A5232" s="9">
        <f ca="1"/>
        <v>42122</v>
      </c>
      <c r="B5232" s="6">
        <v>76.83</v>
      </c>
      <c r="C5232" s="6"/>
      <c r="D5232" s="5"/>
    </row>
    <row r="5233" spans="1:4" ht="13" thickBot="1" x14ac:dyDescent="0.3">
      <c r="A5233" s="9">
        <f ca="1"/>
        <v>42123</v>
      </c>
      <c r="B5233" s="6">
        <v>76.87</v>
      </c>
      <c r="C5233" s="6"/>
      <c r="D5233" s="5"/>
    </row>
    <row r="5234" spans="1:4" ht="13" thickBot="1" x14ac:dyDescent="0.3">
      <c r="A5234" s="9">
        <f ca="1"/>
        <v>42124</v>
      </c>
      <c r="B5234" s="6">
        <v>76.25</v>
      </c>
      <c r="C5234" s="6"/>
      <c r="D5234" s="5"/>
    </row>
    <row r="5235" spans="1:4" ht="13" thickBot="1" x14ac:dyDescent="0.3">
      <c r="A5235" s="9">
        <f ca="1"/>
        <v>42125</v>
      </c>
      <c r="B5235" s="6">
        <v>75.900000000000006</v>
      </c>
      <c r="C5235" s="6"/>
      <c r="D5235" s="5"/>
    </row>
    <row r="5236" spans="1:4" ht="13" thickBot="1" x14ac:dyDescent="0.3">
      <c r="A5236" s="9">
        <f ca="1"/>
        <v>42126</v>
      </c>
      <c r="B5236" s="5">
        <f t="shared" ref="B5236:B5237" si="747">B5235</f>
        <v>75.900000000000006</v>
      </c>
      <c r="C5236" s="6"/>
      <c r="D5236" s="5"/>
    </row>
    <row r="5237" spans="1:4" ht="13" thickBot="1" x14ac:dyDescent="0.3">
      <c r="A5237" s="9">
        <f ca="1"/>
        <v>42127</v>
      </c>
      <c r="B5237" s="5">
        <f t="shared" si="747"/>
        <v>75.900000000000006</v>
      </c>
      <c r="C5237" s="6"/>
      <c r="D5237" s="5"/>
    </row>
    <row r="5238" spans="1:4" ht="13" thickBot="1" x14ac:dyDescent="0.3">
      <c r="A5238" s="9">
        <f ca="1"/>
        <v>42128</v>
      </c>
      <c r="B5238" s="6">
        <v>76.48</v>
      </c>
      <c r="C5238" s="6"/>
      <c r="D5238" s="5"/>
    </row>
    <row r="5239" spans="1:4" ht="13" thickBot="1" x14ac:dyDescent="0.3">
      <c r="A5239" s="9">
        <f ca="1"/>
        <v>42129</v>
      </c>
      <c r="B5239" s="6">
        <v>75.290000000000006</v>
      </c>
      <c r="C5239" s="6"/>
      <c r="D5239" s="5"/>
    </row>
    <row r="5240" spans="1:4" ht="13" thickBot="1" x14ac:dyDescent="0.3">
      <c r="A5240" s="9">
        <f ca="1"/>
        <v>42130</v>
      </c>
      <c r="B5240" s="6">
        <v>75.069999999999993</v>
      </c>
      <c r="C5240" s="6"/>
      <c r="D5240" s="5"/>
    </row>
    <row r="5241" spans="1:4" ht="13" thickBot="1" x14ac:dyDescent="0.3">
      <c r="A5241" s="9">
        <f ca="1"/>
        <v>42131</v>
      </c>
      <c r="B5241" s="6">
        <v>75.08</v>
      </c>
      <c r="C5241" s="6"/>
      <c r="D5241" s="5"/>
    </row>
    <row r="5242" spans="1:4" ht="13" thickBot="1" x14ac:dyDescent="0.3">
      <c r="A5242" s="9">
        <f ca="1"/>
        <v>42132</v>
      </c>
      <c r="B5242" s="6">
        <v>75.69</v>
      </c>
      <c r="C5242" s="6"/>
      <c r="D5242" s="5"/>
    </row>
    <row r="5243" spans="1:4" ht="13" thickBot="1" x14ac:dyDescent="0.3">
      <c r="A5243" s="9">
        <f ca="1"/>
        <v>42133</v>
      </c>
      <c r="B5243" s="5">
        <f t="shared" ref="B5243:B5244" si="748">B5242</f>
        <v>75.69</v>
      </c>
      <c r="C5243" s="6"/>
      <c r="D5243" s="5"/>
    </row>
    <row r="5244" spans="1:4" ht="13" thickBot="1" x14ac:dyDescent="0.3">
      <c r="A5244" s="9">
        <f ca="1"/>
        <v>42134</v>
      </c>
      <c r="B5244" s="5">
        <f t="shared" si="748"/>
        <v>75.69</v>
      </c>
      <c r="C5244" s="6"/>
      <c r="D5244" s="5"/>
    </row>
    <row r="5245" spans="1:4" ht="13" thickBot="1" x14ac:dyDescent="0.3">
      <c r="A5245" s="9">
        <f ca="1"/>
        <v>42135</v>
      </c>
      <c r="B5245" s="6">
        <v>75.53</v>
      </c>
      <c r="C5245" s="6"/>
      <c r="D5245" s="5"/>
    </row>
    <row r="5246" spans="1:4" ht="13" thickBot="1" x14ac:dyDescent="0.3">
      <c r="A5246" s="9">
        <f ca="1"/>
        <v>42136</v>
      </c>
      <c r="B5246" s="6">
        <v>75.22</v>
      </c>
      <c r="C5246" s="6"/>
      <c r="D5246" s="5"/>
    </row>
    <row r="5247" spans="1:4" ht="13" thickBot="1" x14ac:dyDescent="0.3">
      <c r="A5247" s="9">
        <f ca="1"/>
        <v>42137</v>
      </c>
      <c r="B5247" s="6">
        <v>76.209999999999994</v>
      </c>
      <c r="C5247" s="6"/>
      <c r="D5247" s="5"/>
    </row>
    <row r="5248" spans="1:4" ht="13" thickBot="1" x14ac:dyDescent="0.3">
      <c r="A5248" s="9">
        <f ca="1"/>
        <v>42138</v>
      </c>
      <c r="B5248" s="6">
        <v>76.62</v>
      </c>
      <c r="C5248" s="6"/>
      <c r="D5248" s="5"/>
    </row>
    <row r="5249" spans="1:4" ht="13" thickBot="1" x14ac:dyDescent="0.3">
      <c r="A5249" s="9">
        <f ca="1"/>
        <v>42139</v>
      </c>
      <c r="B5249" s="6">
        <v>76.88</v>
      </c>
      <c r="C5249" s="6"/>
      <c r="D5249" s="5"/>
    </row>
    <row r="5250" spans="1:4" ht="13" thickBot="1" x14ac:dyDescent="0.3">
      <c r="A5250" s="9">
        <f ca="1"/>
        <v>42140</v>
      </c>
      <c r="B5250" s="5">
        <f t="shared" ref="B5250:B5251" si="749">B5249</f>
        <v>76.88</v>
      </c>
      <c r="C5250" s="6"/>
      <c r="D5250" s="5"/>
    </row>
    <row r="5251" spans="1:4" ht="13" thickBot="1" x14ac:dyDescent="0.3">
      <c r="A5251" s="9">
        <f ca="1"/>
        <v>42141</v>
      </c>
      <c r="B5251" s="5">
        <f t="shared" si="749"/>
        <v>76.88</v>
      </c>
      <c r="C5251" s="6"/>
      <c r="D5251" s="5"/>
    </row>
    <row r="5252" spans="1:4" ht="13" thickBot="1" x14ac:dyDescent="0.3">
      <c r="A5252" s="9">
        <f ca="1"/>
        <v>42142</v>
      </c>
      <c r="B5252" s="6">
        <v>75.739999999999995</v>
      </c>
      <c r="C5252" s="6"/>
      <c r="D5252" s="5"/>
    </row>
    <row r="5253" spans="1:4" ht="13" thickBot="1" x14ac:dyDescent="0.3">
      <c r="A5253" s="9">
        <f ca="1"/>
        <v>42143</v>
      </c>
      <c r="B5253" s="6">
        <v>75.400000000000006</v>
      </c>
      <c r="C5253" s="6"/>
      <c r="D5253" s="5"/>
    </row>
    <row r="5254" spans="1:4" ht="13" thickBot="1" x14ac:dyDescent="0.3">
      <c r="A5254" s="9">
        <f ca="1"/>
        <v>42144</v>
      </c>
      <c r="B5254" s="6">
        <v>75.33</v>
      </c>
      <c r="C5254" s="6"/>
      <c r="D5254" s="5"/>
    </row>
    <row r="5255" spans="1:4" ht="13" thickBot="1" x14ac:dyDescent="0.3">
      <c r="A5255" s="9">
        <f ca="1"/>
        <v>42145</v>
      </c>
      <c r="B5255" s="6">
        <v>75.48</v>
      </c>
      <c r="C5255" s="6"/>
      <c r="D5255" s="5"/>
    </row>
    <row r="5256" spans="1:4" ht="13" thickBot="1" x14ac:dyDescent="0.3">
      <c r="A5256" s="9">
        <f ca="1"/>
        <v>42146</v>
      </c>
      <c r="B5256" s="6">
        <v>75.13</v>
      </c>
      <c r="C5256" s="6"/>
      <c r="D5256" s="5"/>
    </row>
    <row r="5257" spans="1:4" ht="13" thickBot="1" x14ac:dyDescent="0.3">
      <c r="A5257" s="9">
        <f ca="1"/>
        <v>42147</v>
      </c>
      <c r="B5257" s="5">
        <f t="shared" ref="B5257:B5259" si="750">B5256</f>
        <v>75.13</v>
      </c>
      <c r="C5257" s="6"/>
      <c r="D5257" s="5"/>
    </row>
    <row r="5258" spans="1:4" ht="13" thickBot="1" x14ac:dyDescent="0.3">
      <c r="A5258" s="9">
        <f ca="1"/>
        <v>42148</v>
      </c>
      <c r="B5258" s="5">
        <f t="shared" si="750"/>
        <v>75.13</v>
      </c>
      <c r="C5258" s="6"/>
      <c r="D5258" s="5"/>
    </row>
    <row r="5259" spans="1:4" ht="13" thickBot="1" x14ac:dyDescent="0.3">
      <c r="A5259" s="9">
        <f ca="1"/>
        <v>42149</v>
      </c>
      <c r="B5259" s="5">
        <f t="shared" si="750"/>
        <v>75.13</v>
      </c>
      <c r="C5259" s="6"/>
      <c r="D5259" s="5"/>
    </row>
    <row r="5260" spans="1:4" ht="13" thickBot="1" x14ac:dyDescent="0.3">
      <c r="A5260" s="9">
        <f ca="1"/>
        <v>42150</v>
      </c>
      <c r="B5260" s="6">
        <v>74.08</v>
      </c>
      <c r="C5260" s="6"/>
      <c r="D5260" s="5"/>
    </row>
    <row r="5261" spans="1:4" ht="13" thickBot="1" x14ac:dyDescent="0.3">
      <c r="A5261" s="9">
        <f ca="1"/>
        <v>42151</v>
      </c>
      <c r="B5261" s="6">
        <v>73.260000000000005</v>
      </c>
      <c r="C5261" s="6"/>
      <c r="D5261" s="5"/>
    </row>
    <row r="5262" spans="1:4" ht="13" thickBot="1" x14ac:dyDescent="0.3">
      <c r="A5262" s="9">
        <f ca="1"/>
        <v>42152</v>
      </c>
      <c r="B5262" s="6">
        <v>74.56</v>
      </c>
      <c r="C5262" s="6"/>
      <c r="D5262" s="5"/>
    </row>
    <row r="5263" spans="1:4" ht="13" thickBot="1" x14ac:dyDescent="0.3">
      <c r="A5263" s="9">
        <f ca="1"/>
        <v>42153</v>
      </c>
      <c r="B5263" s="6">
        <v>74.260000000000005</v>
      </c>
      <c r="C5263" s="6"/>
      <c r="D5263" s="5"/>
    </row>
    <row r="5264" spans="1:4" ht="13" thickBot="1" x14ac:dyDescent="0.3">
      <c r="A5264" s="9">
        <f ca="1"/>
        <v>42154</v>
      </c>
      <c r="B5264" s="5">
        <f t="shared" ref="B5264:B5265" si="751">B5263</f>
        <v>74.260000000000005</v>
      </c>
      <c r="C5264" s="6"/>
      <c r="D5264" s="5"/>
    </row>
    <row r="5265" spans="1:4" ht="13" thickBot="1" x14ac:dyDescent="0.3">
      <c r="A5265" s="9">
        <f ca="1"/>
        <v>42155</v>
      </c>
      <c r="B5265" s="5">
        <f t="shared" si="751"/>
        <v>74.260000000000005</v>
      </c>
      <c r="C5265" s="6"/>
      <c r="D5265" s="5"/>
    </row>
    <row r="5266" spans="1:4" ht="13" thickBot="1" x14ac:dyDescent="0.3">
      <c r="A5266" s="9">
        <f ca="1"/>
        <v>42156</v>
      </c>
      <c r="B5266" s="6">
        <v>74.08</v>
      </c>
      <c r="C5266" s="6"/>
      <c r="D5266" s="5"/>
    </row>
    <row r="5267" spans="1:4" ht="13" thickBot="1" x14ac:dyDescent="0.3">
      <c r="A5267" s="9">
        <f ca="1"/>
        <v>42157</v>
      </c>
      <c r="B5267" s="6">
        <v>74.63</v>
      </c>
      <c r="C5267" s="6"/>
      <c r="D5267" s="5"/>
    </row>
    <row r="5268" spans="1:4" ht="13" thickBot="1" x14ac:dyDescent="0.3">
      <c r="A5268" s="9">
        <f ca="1"/>
        <v>42158</v>
      </c>
      <c r="B5268" s="6">
        <v>75.209999999999994</v>
      </c>
      <c r="C5268" s="6"/>
      <c r="D5268" s="5"/>
    </row>
    <row r="5269" spans="1:4" ht="13" thickBot="1" x14ac:dyDescent="0.3">
      <c r="A5269" s="9">
        <f ca="1"/>
        <v>42159</v>
      </c>
      <c r="B5269" s="6">
        <v>75.2</v>
      </c>
      <c r="C5269" s="6"/>
      <c r="D5269" s="5"/>
    </row>
    <row r="5270" spans="1:4" ht="13" thickBot="1" x14ac:dyDescent="0.3">
      <c r="A5270" s="9">
        <f ca="1"/>
        <v>42160</v>
      </c>
      <c r="B5270" s="6">
        <v>73.63</v>
      </c>
      <c r="C5270" s="6"/>
      <c r="D5270" s="5"/>
    </row>
    <row r="5271" spans="1:4" ht="13" thickBot="1" x14ac:dyDescent="0.3">
      <c r="A5271" s="9">
        <f ca="1"/>
        <v>42161</v>
      </c>
      <c r="B5271" s="5">
        <f t="shared" ref="B5271:B5272" si="752">B5270</f>
        <v>73.63</v>
      </c>
      <c r="C5271" s="6"/>
      <c r="D5271" s="5"/>
    </row>
    <row r="5272" spans="1:4" ht="13" thickBot="1" x14ac:dyDescent="0.3">
      <c r="A5272" s="9">
        <f ca="1"/>
        <v>42162</v>
      </c>
      <c r="B5272" s="5">
        <f t="shared" si="752"/>
        <v>73.63</v>
      </c>
      <c r="C5272" s="6"/>
      <c r="D5272" s="5"/>
    </row>
    <row r="5273" spans="1:4" ht="13" thickBot="1" x14ac:dyDescent="0.3">
      <c r="A5273" s="9">
        <f ca="1"/>
        <v>42163</v>
      </c>
      <c r="B5273" s="6">
        <v>73.62</v>
      </c>
      <c r="C5273" s="6"/>
      <c r="D5273" s="5"/>
    </row>
    <row r="5274" spans="1:4" ht="13" thickBot="1" x14ac:dyDescent="0.3">
      <c r="A5274" s="9">
        <f ca="1"/>
        <v>42164</v>
      </c>
      <c r="B5274" s="6">
        <v>72.77</v>
      </c>
      <c r="C5274" s="6"/>
      <c r="D5274" s="5"/>
    </row>
    <row r="5275" spans="1:4" ht="13" thickBot="1" x14ac:dyDescent="0.3">
      <c r="A5275" s="9">
        <f ca="1"/>
        <v>42165</v>
      </c>
      <c r="B5275" s="6">
        <v>73.59</v>
      </c>
      <c r="C5275" s="6"/>
      <c r="D5275" s="5"/>
    </row>
    <row r="5276" spans="1:4" ht="13" thickBot="1" x14ac:dyDescent="0.3">
      <c r="A5276" s="9">
        <f ca="1"/>
        <v>42166</v>
      </c>
      <c r="B5276" s="6">
        <v>74.459999999999994</v>
      </c>
      <c r="C5276" s="6"/>
      <c r="D5276" s="5"/>
    </row>
    <row r="5277" spans="1:4" ht="13" thickBot="1" x14ac:dyDescent="0.3">
      <c r="A5277" s="9">
        <f ca="1"/>
        <v>42167</v>
      </c>
      <c r="B5277" s="6">
        <v>73.42</v>
      </c>
      <c r="C5277" s="6"/>
      <c r="D5277" s="5"/>
    </row>
    <row r="5278" spans="1:4" ht="13" thickBot="1" x14ac:dyDescent="0.3">
      <c r="A5278" s="9">
        <f ca="1"/>
        <v>42168</v>
      </c>
      <c r="B5278" s="5">
        <f t="shared" ref="B5278:B5279" si="753">B5277</f>
        <v>73.42</v>
      </c>
      <c r="C5278" s="6"/>
      <c r="D5278" s="5"/>
    </row>
    <row r="5279" spans="1:4" ht="13" thickBot="1" x14ac:dyDescent="0.3">
      <c r="A5279" s="9">
        <f ca="1"/>
        <v>42169</v>
      </c>
      <c r="B5279" s="5">
        <f t="shared" si="753"/>
        <v>73.42</v>
      </c>
      <c r="C5279" s="6"/>
      <c r="D5279" s="5"/>
    </row>
    <row r="5280" spans="1:4" ht="13" thickBot="1" x14ac:dyDescent="0.3">
      <c r="A5280" s="9">
        <f ca="1"/>
        <v>42170</v>
      </c>
      <c r="B5280" s="6">
        <v>72.05</v>
      </c>
      <c r="C5280" s="6"/>
      <c r="D5280" s="5"/>
    </row>
    <row r="5281" spans="1:4" ht="13" thickBot="1" x14ac:dyDescent="0.3">
      <c r="A5281" s="9">
        <f ca="1"/>
        <v>42171</v>
      </c>
      <c r="B5281" s="6">
        <v>72.150000000000006</v>
      </c>
      <c r="C5281" s="6"/>
      <c r="D5281" s="5"/>
    </row>
    <row r="5282" spans="1:4" ht="13" thickBot="1" x14ac:dyDescent="0.3">
      <c r="A5282" s="9">
        <f ca="1"/>
        <v>42172</v>
      </c>
      <c r="B5282" s="6">
        <v>72.88</v>
      </c>
      <c r="C5282" s="6"/>
      <c r="D5282" s="5"/>
    </row>
    <row r="5283" spans="1:4" ht="13" thickBot="1" x14ac:dyDescent="0.3">
      <c r="A5283" s="9">
        <f ca="1"/>
        <v>42173</v>
      </c>
      <c r="B5283" s="6">
        <v>72.569999999999993</v>
      </c>
      <c r="C5283" s="6"/>
      <c r="D5283" s="5"/>
    </row>
    <row r="5284" spans="1:4" ht="13" thickBot="1" x14ac:dyDescent="0.3">
      <c r="A5284" s="9">
        <f ca="1"/>
        <v>42174</v>
      </c>
      <c r="B5284" s="6">
        <v>72.709999999999994</v>
      </c>
      <c r="C5284" s="6"/>
      <c r="D5284" s="5"/>
    </row>
    <row r="5285" spans="1:4" ht="13" thickBot="1" x14ac:dyDescent="0.3">
      <c r="A5285" s="9">
        <f ca="1"/>
        <v>42175</v>
      </c>
      <c r="B5285" s="5">
        <f t="shared" ref="B5285:B5286" si="754">B5284</f>
        <v>72.709999999999994</v>
      </c>
      <c r="C5285" s="6"/>
      <c r="D5285" s="5"/>
    </row>
    <row r="5286" spans="1:4" ht="13" thickBot="1" x14ac:dyDescent="0.3">
      <c r="A5286" s="9">
        <f ca="1"/>
        <v>42176</v>
      </c>
      <c r="B5286" s="5">
        <f t="shared" si="754"/>
        <v>72.709999999999994</v>
      </c>
      <c r="C5286" s="6"/>
      <c r="D5286" s="5"/>
    </row>
    <row r="5287" spans="1:4" ht="13" thickBot="1" x14ac:dyDescent="0.3">
      <c r="A5287" s="9">
        <f ca="1"/>
        <v>42177</v>
      </c>
      <c r="B5287" s="6">
        <v>74.680000000000007</v>
      </c>
      <c r="C5287" s="6"/>
      <c r="D5287" s="5"/>
    </row>
    <row r="5288" spans="1:4" ht="13" thickBot="1" x14ac:dyDescent="0.3">
      <c r="A5288" s="9">
        <f ca="1"/>
        <v>42178</v>
      </c>
      <c r="B5288" s="6">
        <v>74.87</v>
      </c>
      <c r="C5288" s="6"/>
      <c r="D5288" s="5"/>
    </row>
    <row r="5289" spans="1:4" ht="13" thickBot="1" x14ac:dyDescent="0.3">
      <c r="A5289" s="9">
        <f ca="1"/>
        <v>42179</v>
      </c>
      <c r="B5289" s="6">
        <v>73.92</v>
      </c>
      <c r="C5289" s="6"/>
      <c r="D5289" s="5"/>
    </row>
    <row r="5290" spans="1:4" ht="13" thickBot="1" x14ac:dyDescent="0.3">
      <c r="A5290" s="9">
        <f ca="1"/>
        <v>42180</v>
      </c>
      <c r="B5290" s="6">
        <v>73.83</v>
      </c>
      <c r="C5290" s="6"/>
      <c r="D5290" s="5"/>
    </row>
    <row r="5291" spans="1:4" ht="13" thickBot="1" x14ac:dyDescent="0.3">
      <c r="A5291" s="9">
        <f ca="1"/>
        <v>42181</v>
      </c>
      <c r="B5291" s="6">
        <v>73.69</v>
      </c>
      <c r="C5291" s="6"/>
      <c r="D5291" s="5"/>
    </row>
    <row r="5292" spans="1:4" ht="13" thickBot="1" x14ac:dyDescent="0.3">
      <c r="A5292" s="9">
        <f ca="1"/>
        <v>42182</v>
      </c>
      <c r="B5292" s="5">
        <f t="shared" ref="B5292:B5293" si="755">B5291</f>
        <v>73.69</v>
      </c>
      <c r="C5292" s="6"/>
      <c r="D5292" s="5"/>
    </row>
    <row r="5293" spans="1:4" ht="13" thickBot="1" x14ac:dyDescent="0.3">
      <c r="A5293" s="9">
        <f ca="1"/>
        <v>42183</v>
      </c>
      <c r="B5293" s="5">
        <f t="shared" si="755"/>
        <v>73.69</v>
      </c>
      <c r="C5293" s="6"/>
      <c r="D5293" s="5"/>
    </row>
    <row r="5294" spans="1:4" ht="13" thickBot="1" x14ac:dyDescent="0.3">
      <c r="A5294" s="9">
        <f ca="1"/>
        <v>42184</v>
      </c>
      <c r="B5294" s="6">
        <v>71.77</v>
      </c>
      <c r="C5294" s="6"/>
      <c r="D5294" s="5"/>
    </row>
    <row r="5295" spans="1:4" ht="13" thickBot="1" x14ac:dyDescent="0.3">
      <c r="A5295" s="9">
        <f ca="1"/>
        <v>42185</v>
      </c>
      <c r="B5295" s="6">
        <v>70.930000000000007</v>
      </c>
      <c r="C5295" s="6"/>
      <c r="D5295" s="5"/>
    </row>
    <row r="5296" spans="1:4" ht="13" thickBot="1" x14ac:dyDescent="0.3">
      <c r="A5296" s="9">
        <f ca="1"/>
        <v>42186</v>
      </c>
      <c r="B5296" s="6">
        <v>70.8</v>
      </c>
      <c r="C5296" s="6"/>
      <c r="D5296" s="5"/>
    </row>
    <row r="5297" spans="1:4" ht="13" thickBot="1" x14ac:dyDescent="0.3">
      <c r="A5297" s="9">
        <f ca="1"/>
        <v>42187</v>
      </c>
      <c r="B5297" s="6">
        <v>70.37</v>
      </c>
      <c r="C5297" s="6"/>
      <c r="D5297" s="5"/>
    </row>
    <row r="5298" spans="1:4" ht="13" thickBot="1" x14ac:dyDescent="0.3">
      <c r="A5298" s="9">
        <f ca="1"/>
        <v>42188</v>
      </c>
      <c r="B5298" s="5">
        <f t="shared" ref="B5298:B5300" si="756">B5297</f>
        <v>70.37</v>
      </c>
      <c r="C5298" s="6"/>
      <c r="D5298" s="5"/>
    </row>
    <row r="5299" spans="1:4" ht="13" thickBot="1" x14ac:dyDescent="0.3">
      <c r="A5299" s="9">
        <f ca="1"/>
        <v>42189</v>
      </c>
      <c r="B5299" s="5">
        <f t="shared" si="756"/>
        <v>70.37</v>
      </c>
      <c r="C5299" s="6"/>
      <c r="D5299" s="5"/>
    </row>
    <row r="5300" spans="1:4" ht="13" thickBot="1" x14ac:dyDescent="0.3">
      <c r="A5300" s="9">
        <f ca="1"/>
        <v>42190</v>
      </c>
      <c r="B5300" s="5">
        <f t="shared" si="756"/>
        <v>70.37</v>
      </c>
      <c r="C5300" s="6"/>
      <c r="D5300" s="5"/>
    </row>
    <row r="5301" spans="1:4" ht="13" thickBot="1" x14ac:dyDescent="0.3">
      <c r="A5301" s="9">
        <f ca="1"/>
        <v>42191</v>
      </c>
      <c r="B5301" s="6">
        <v>67.81</v>
      </c>
      <c r="C5301" s="6"/>
      <c r="D5301" s="5"/>
    </row>
    <row r="5302" spans="1:4" ht="13" thickBot="1" x14ac:dyDescent="0.3">
      <c r="A5302" s="9">
        <f ca="1"/>
        <v>42192</v>
      </c>
      <c r="B5302" s="6">
        <v>67.87</v>
      </c>
      <c r="C5302" s="6"/>
      <c r="D5302" s="5"/>
    </row>
    <row r="5303" spans="1:4" ht="13" thickBot="1" x14ac:dyDescent="0.3">
      <c r="A5303" s="9">
        <f ca="1"/>
        <v>42193</v>
      </c>
      <c r="B5303" s="6">
        <v>68.75</v>
      </c>
      <c r="C5303" s="6"/>
      <c r="D5303" s="5"/>
    </row>
    <row r="5304" spans="1:4" ht="13" thickBot="1" x14ac:dyDescent="0.3">
      <c r="A5304" s="9">
        <f ca="1"/>
        <v>42194</v>
      </c>
      <c r="B5304" s="6">
        <v>70.16</v>
      </c>
      <c r="C5304" s="6"/>
      <c r="D5304" s="5"/>
    </row>
    <row r="5305" spans="1:4" ht="13" thickBot="1" x14ac:dyDescent="0.3">
      <c r="A5305" s="9">
        <f ca="1"/>
        <v>42195</v>
      </c>
      <c r="B5305" s="6">
        <v>72.84</v>
      </c>
      <c r="C5305" s="6"/>
      <c r="D5305" s="5"/>
    </row>
    <row r="5306" spans="1:4" ht="13" thickBot="1" x14ac:dyDescent="0.3">
      <c r="A5306" s="9">
        <f ca="1"/>
        <v>42196</v>
      </c>
      <c r="B5306" s="5">
        <f t="shared" ref="B5306:B5307" si="757">B5305</f>
        <v>72.84</v>
      </c>
      <c r="C5306" s="6"/>
      <c r="D5306" s="5"/>
    </row>
    <row r="5307" spans="1:4" ht="13" thickBot="1" x14ac:dyDescent="0.3">
      <c r="A5307" s="9">
        <f ca="1"/>
        <v>42197</v>
      </c>
      <c r="B5307" s="5">
        <f t="shared" si="757"/>
        <v>72.84</v>
      </c>
      <c r="C5307" s="6"/>
      <c r="D5307" s="5"/>
    </row>
    <row r="5308" spans="1:4" ht="13" thickBot="1" x14ac:dyDescent="0.3">
      <c r="A5308" s="9">
        <f ca="1"/>
        <v>42198</v>
      </c>
      <c r="B5308" s="6">
        <v>72.819999999999993</v>
      </c>
      <c r="C5308" s="6"/>
      <c r="D5308" s="5"/>
    </row>
    <row r="5309" spans="1:4" ht="13" thickBot="1" x14ac:dyDescent="0.3">
      <c r="A5309" s="9">
        <f ca="1"/>
        <v>42199</v>
      </c>
      <c r="B5309" s="6">
        <v>73.099999999999994</v>
      </c>
      <c r="C5309" s="6"/>
      <c r="D5309" s="5"/>
    </row>
    <row r="5310" spans="1:4" ht="13" thickBot="1" x14ac:dyDescent="0.3">
      <c r="A5310" s="9">
        <f ca="1"/>
        <v>42200</v>
      </c>
      <c r="B5310" s="6">
        <v>73.63</v>
      </c>
      <c r="C5310" s="6"/>
      <c r="D5310" s="5"/>
    </row>
    <row r="5311" spans="1:4" ht="13" thickBot="1" x14ac:dyDescent="0.3">
      <c r="A5311" s="9">
        <f ca="1"/>
        <v>42201</v>
      </c>
      <c r="B5311" s="6">
        <v>74.69</v>
      </c>
      <c r="C5311" s="6"/>
      <c r="D5311" s="5"/>
    </row>
    <row r="5312" spans="1:4" ht="13" thickBot="1" x14ac:dyDescent="0.3">
      <c r="A5312" s="9">
        <f ca="1"/>
        <v>42202</v>
      </c>
      <c r="B5312" s="6">
        <v>74.680000000000007</v>
      </c>
      <c r="C5312" s="6"/>
      <c r="D5312" s="5"/>
    </row>
    <row r="5313" spans="1:4" ht="13" thickBot="1" x14ac:dyDescent="0.3">
      <c r="A5313" s="9">
        <f ca="1"/>
        <v>42203</v>
      </c>
      <c r="B5313" s="5">
        <f t="shared" ref="B5313:B5314" si="758">B5312</f>
        <v>74.680000000000007</v>
      </c>
      <c r="C5313" s="6"/>
      <c r="D5313" s="5"/>
    </row>
    <row r="5314" spans="1:4" ht="13" thickBot="1" x14ac:dyDescent="0.3">
      <c r="A5314" s="9">
        <f ca="1"/>
        <v>42204</v>
      </c>
      <c r="B5314" s="5">
        <f t="shared" si="758"/>
        <v>74.680000000000007</v>
      </c>
      <c r="C5314" s="6"/>
      <c r="D5314" s="5"/>
    </row>
    <row r="5315" spans="1:4" ht="13" thickBot="1" x14ac:dyDescent="0.3">
      <c r="A5315" s="9">
        <f ca="1"/>
        <v>42205</v>
      </c>
      <c r="B5315" s="6">
        <v>75.040000000000006</v>
      </c>
      <c r="C5315" s="6"/>
      <c r="D5315" s="5"/>
    </row>
    <row r="5316" spans="1:4" ht="13" thickBot="1" x14ac:dyDescent="0.3">
      <c r="A5316" s="9">
        <f ca="1"/>
        <v>42206</v>
      </c>
      <c r="B5316" s="6">
        <v>74.52</v>
      </c>
      <c r="C5316" s="6"/>
      <c r="D5316" s="5"/>
    </row>
    <row r="5317" spans="1:4" ht="13" thickBot="1" x14ac:dyDescent="0.3">
      <c r="A5317" s="9">
        <f ca="1"/>
        <v>42207</v>
      </c>
      <c r="B5317" s="6">
        <v>72.87</v>
      </c>
      <c r="C5317" s="6"/>
      <c r="D5317" s="5"/>
    </row>
    <row r="5318" spans="1:4" ht="13" thickBot="1" x14ac:dyDescent="0.3">
      <c r="A5318" s="9">
        <f ca="1"/>
        <v>42208</v>
      </c>
      <c r="B5318" s="6">
        <v>73.31</v>
      </c>
      <c r="C5318" s="6"/>
      <c r="D5318" s="5"/>
    </row>
    <row r="5319" spans="1:4" ht="13" thickBot="1" x14ac:dyDescent="0.3">
      <c r="A5319" s="9">
        <f ca="1"/>
        <v>42209</v>
      </c>
      <c r="B5319" s="6">
        <v>73.510000000000005</v>
      </c>
      <c r="C5319" s="6"/>
      <c r="D5319" s="5"/>
    </row>
    <row r="5320" spans="1:4" ht="13" thickBot="1" x14ac:dyDescent="0.3">
      <c r="A5320" s="9">
        <f ca="1"/>
        <v>42210</v>
      </c>
      <c r="B5320" s="5">
        <f t="shared" ref="B5320:B5321" si="759">B5319</f>
        <v>73.510000000000005</v>
      </c>
      <c r="C5320" s="6"/>
      <c r="D5320" s="5"/>
    </row>
    <row r="5321" spans="1:4" ht="13" thickBot="1" x14ac:dyDescent="0.3">
      <c r="A5321" s="9">
        <f ca="1"/>
        <v>42211</v>
      </c>
      <c r="B5321" s="5">
        <f t="shared" si="759"/>
        <v>73.510000000000005</v>
      </c>
      <c r="C5321" s="6"/>
      <c r="D5321" s="5"/>
    </row>
    <row r="5322" spans="1:4" ht="13" thickBot="1" x14ac:dyDescent="0.3">
      <c r="A5322" s="9">
        <f ca="1"/>
        <v>42212</v>
      </c>
      <c r="B5322" s="6">
        <v>72.489999999999995</v>
      </c>
      <c r="C5322" s="6"/>
      <c r="D5322" s="5"/>
    </row>
    <row r="5323" spans="1:4" ht="13" thickBot="1" x14ac:dyDescent="0.3">
      <c r="A5323" s="9">
        <f ca="1"/>
        <v>42213</v>
      </c>
      <c r="B5323" s="6">
        <v>71.55</v>
      </c>
      <c r="C5323" s="6"/>
      <c r="D5323" s="5"/>
    </row>
    <row r="5324" spans="1:4" ht="13" thickBot="1" x14ac:dyDescent="0.3">
      <c r="A5324" s="9">
        <f ca="1"/>
        <v>42214</v>
      </c>
      <c r="B5324" s="6">
        <v>71.739999999999995</v>
      </c>
      <c r="C5324" s="6"/>
      <c r="D5324" s="5"/>
    </row>
    <row r="5325" spans="1:4" ht="13" thickBot="1" x14ac:dyDescent="0.3">
      <c r="A5325" s="9">
        <f ca="1"/>
        <v>42215</v>
      </c>
      <c r="B5325" s="6">
        <v>71.16</v>
      </c>
      <c r="C5325" s="6"/>
      <c r="D5325" s="5"/>
    </row>
    <row r="5326" spans="1:4" ht="13" thickBot="1" x14ac:dyDescent="0.3">
      <c r="A5326" s="9">
        <f ca="1"/>
        <v>42216</v>
      </c>
      <c r="B5326" s="6">
        <v>71.87</v>
      </c>
      <c r="C5326" s="6"/>
      <c r="D5326" s="5"/>
    </row>
    <row r="5327" spans="1:4" ht="13" thickBot="1" x14ac:dyDescent="0.3">
      <c r="A5327" s="9">
        <f ca="1"/>
        <v>42217</v>
      </c>
      <c r="B5327" s="5">
        <f t="shared" ref="B5327:B5328" si="760">B5326</f>
        <v>71.87</v>
      </c>
      <c r="C5327" s="6"/>
      <c r="D5327" s="5"/>
    </row>
    <row r="5328" spans="1:4" ht="13" thickBot="1" x14ac:dyDescent="0.3">
      <c r="A5328" s="9">
        <f ca="1"/>
        <v>42218</v>
      </c>
      <c r="B5328" s="5">
        <f t="shared" si="760"/>
        <v>71.87</v>
      </c>
      <c r="C5328" s="6"/>
      <c r="D5328" s="5"/>
    </row>
    <row r="5329" spans="1:4" ht="13" thickBot="1" x14ac:dyDescent="0.3">
      <c r="A5329" s="9">
        <f ca="1"/>
        <v>42219</v>
      </c>
      <c r="B5329" s="6">
        <v>72.45</v>
      </c>
      <c r="C5329" s="6"/>
      <c r="D5329" s="5"/>
    </row>
    <row r="5330" spans="1:4" ht="13" thickBot="1" x14ac:dyDescent="0.3">
      <c r="A5330" s="9">
        <f ca="1"/>
        <v>42220</v>
      </c>
      <c r="B5330" s="6">
        <v>72.150000000000006</v>
      </c>
      <c r="C5330" s="6"/>
      <c r="D5330" s="5"/>
    </row>
    <row r="5331" spans="1:4" ht="13" thickBot="1" x14ac:dyDescent="0.3">
      <c r="A5331" s="9">
        <f ca="1"/>
        <v>42221</v>
      </c>
      <c r="B5331" s="6">
        <v>72.22</v>
      </c>
      <c r="C5331" s="6"/>
      <c r="D5331" s="5"/>
    </row>
    <row r="5332" spans="1:4" ht="13" thickBot="1" x14ac:dyDescent="0.3">
      <c r="A5332" s="9">
        <f ca="1"/>
        <v>42222</v>
      </c>
      <c r="B5332" s="6">
        <v>72.86</v>
      </c>
      <c r="C5332" s="6"/>
      <c r="D5332" s="5"/>
    </row>
    <row r="5333" spans="1:4" ht="13" thickBot="1" x14ac:dyDescent="0.3">
      <c r="A5333" s="9">
        <f ca="1"/>
        <v>42223</v>
      </c>
      <c r="B5333" s="6">
        <v>71.81</v>
      </c>
      <c r="C5333" s="6"/>
      <c r="D5333" s="5"/>
    </row>
    <row r="5334" spans="1:4" ht="13" thickBot="1" x14ac:dyDescent="0.3">
      <c r="A5334" s="9">
        <f ca="1"/>
        <v>42224</v>
      </c>
      <c r="B5334" s="5">
        <f t="shared" ref="B5334:B5335" si="761">B5333</f>
        <v>71.81</v>
      </c>
      <c r="C5334" s="6"/>
      <c r="D5334" s="5"/>
    </row>
    <row r="5335" spans="1:4" ht="13" thickBot="1" x14ac:dyDescent="0.3">
      <c r="A5335" s="9">
        <f ca="1"/>
        <v>42225</v>
      </c>
      <c r="B5335" s="5">
        <f t="shared" si="761"/>
        <v>71.81</v>
      </c>
      <c r="C5335" s="6"/>
      <c r="D5335" s="5"/>
    </row>
    <row r="5336" spans="1:4" ht="13" thickBot="1" x14ac:dyDescent="0.3">
      <c r="A5336" s="9">
        <f ca="1"/>
        <v>42226</v>
      </c>
      <c r="B5336" s="6">
        <v>72.260000000000005</v>
      </c>
      <c r="C5336" s="6"/>
      <c r="D5336" s="5"/>
    </row>
    <row r="5337" spans="1:4" ht="13" thickBot="1" x14ac:dyDescent="0.3">
      <c r="A5337" s="9">
        <f ca="1"/>
        <v>42227</v>
      </c>
      <c r="B5337" s="6">
        <v>72.319999999999993</v>
      </c>
      <c r="C5337" s="6"/>
      <c r="D5337" s="5"/>
    </row>
    <row r="5338" spans="1:4" ht="13" thickBot="1" x14ac:dyDescent="0.3">
      <c r="A5338" s="9">
        <f ca="1"/>
        <v>42228</v>
      </c>
      <c r="B5338" s="6">
        <v>70.98</v>
      </c>
      <c r="C5338" s="6"/>
      <c r="D5338" s="5"/>
    </row>
    <row r="5339" spans="1:4" ht="13" thickBot="1" x14ac:dyDescent="0.3">
      <c r="A5339" s="9">
        <f ca="1"/>
        <v>42229</v>
      </c>
      <c r="B5339" s="6">
        <v>70.73</v>
      </c>
      <c r="C5339" s="6"/>
      <c r="D5339" s="5"/>
    </row>
    <row r="5340" spans="1:4" ht="13" thickBot="1" x14ac:dyDescent="0.3">
      <c r="A5340" s="9">
        <f ca="1"/>
        <v>42230</v>
      </c>
      <c r="B5340" s="6">
        <v>70.41</v>
      </c>
      <c r="C5340" s="6"/>
      <c r="D5340" s="5"/>
    </row>
    <row r="5341" spans="1:4" ht="13" thickBot="1" x14ac:dyDescent="0.3">
      <c r="A5341" s="9">
        <f ca="1"/>
        <v>42231</v>
      </c>
      <c r="B5341" s="5">
        <f t="shared" ref="B5341:B5342" si="762">B5340</f>
        <v>70.41</v>
      </c>
      <c r="C5341" s="6"/>
      <c r="D5341" s="5"/>
    </row>
    <row r="5342" spans="1:4" ht="13" thickBot="1" x14ac:dyDescent="0.3">
      <c r="A5342" s="9">
        <f ca="1"/>
        <v>42232</v>
      </c>
      <c r="B5342" s="5">
        <f t="shared" si="762"/>
        <v>70.41</v>
      </c>
      <c r="C5342" s="6"/>
      <c r="D5342" s="5"/>
    </row>
    <row r="5343" spans="1:4" ht="13" thickBot="1" x14ac:dyDescent="0.3">
      <c r="A5343" s="9">
        <f ca="1"/>
        <v>42233</v>
      </c>
      <c r="B5343" s="6">
        <v>69.540000000000006</v>
      </c>
      <c r="C5343" s="6"/>
      <c r="D5343" s="5"/>
    </row>
    <row r="5344" spans="1:4" ht="13" thickBot="1" x14ac:dyDescent="0.3">
      <c r="A5344" s="9">
        <f ca="1"/>
        <v>42234</v>
      </c>
      <c r="B5344" s="6">
        <v>69.75</v>
      </c>
      <c r="C5344" s="6"/>
      <c r="D5344" s="5"/>
    </row>
    <row r="5345" spans="1:4" ht="13" thickBot="1" x14ac:dyDescent="0.3">
      <c r="A5345" s="9">
        <f ca="1"/>
        <v>42235</v>
      </c>
      <c r="B5345" s="6">
        <v>69.53</v>
      </c>
      <c r="C5345" s="6"/>
      <c r="D5345" s="5"/>
    </row>
    <row r="5346" spans="1:4" ht="13" thickBot="1" x14ac:dyDescent="0.3">
      <c r="A5346" s="9">
        <f ca="1"/>
        <v>42236</v>
      </c>
      <c r="B5346" s="6">
        <v>70.17</v>
      </c>
      <c r="C5346" s="6"/>
      <c r="D5346" s="5"/>
    </row>
    <row r="5347" spans="1:4" ht="13" thickBot="1" x14ac:dyDescent="0.3">
      <c r="A5347" s="9">
        <f ca="1"/>
        <v>42237</v>
      </c>
      <c r="B5347" s="6">
        <v>68.5</v>
      </c>
      <c r="C5347" s="6"/>
      <c r="D5347" s="5"/>
    </row>
    <row r="5348" spans="1:4" ht="13" thickBot="1" x14ac:dyDescent="0.3">
      <c r="A5348" s="9">
        <f ca="1"/>
        <v>42238</v>
      </c>
      <c r="B5348" s="5">
        <f t="shared" ref="B5348:B5349" si="763">B5347</f>
        <v>68.5</v>
      </c>
      <c r="C5348" s="6"/>
      <c r="D5348" s="5"/>
    </row>
    <row r="5349" spans="1:4" ht="13" thickBot="1" x14ac:dyDescent="0.3">
      <c r="A5349" s="9">
        <f ca="1"/>
        <v>42239</v>
      </c>
      <c r="B5349" s="5">
        <f t="shared" si="763"/>
        <v>68.5</v>
      </c>
      <c r="C5349" s="6"/>
      <c r="D5349" s="5"/>
    </row>
    <row r="5350" spans="1:4" ht="13" thickBot="1" x14ac:dyDescent="0.3">
      <c r="A5350" s="9">
        <f ca="1"/>
        <v>42240</v>
      </c>
      <c r="B5350" s="6">
        <v>64.91</v>
      </c>
      <c r="C5350" s="6"/>
      <c r="D5350" s="5"/>
    </row>
    <row r="5351" spans="1:4" ht="13" thickBot="1" x14ac:dyDescent="0.3">
      <c r="A5351" s="9">
        <f ca="1"/>
        <v>42241</v>
      </c>
      <c r="B5351" s="6">
        <v>68.67</v>
      </c>
      <c r="C5351" s="6"/>
      <c r="D5351" s="5"/>
    </row>
    <row r="5352" spans="1:4" ht="13" thickBot="1" x14ac:dyDescent="0.3">
      <c r="A5352" s="9">
        <f ca="1"/>
        <v>42242</v>
      </c>
      <c r="B5352" s="6">
        <v>66.91</v>
      </c>
      <c r="C5352" s="6"/>
      <c r="D5352" s="5"/>
    </row>
    <row r="5353" spans="1:4" ht="13" thickBot="1" x14ac:dyDescent="0.3">
      <c r="A5353" s="9">
        <f ca="1"/>
        <v>42243</v>
      </c>
      <c r="B5353" s="6">
        <v>67.510000000000005</v>
      </c>
      <c r="C5353" s="6"/>
      <c r="D5353" s="5"/>
    </row>
    <row r="5354" spans="1:4" ht="13" thickBot="1" x14ac:dyDescent="0.3">
      <c r="A5354" s="9">
        <f ca="1"/>
        <v>42244</v>
      </c>
      <c r="B5354" s="6">
        <v>66.989999999999995</v>
      </c>
      <c r="C5354" s="6"/>
      <c r="D5354" s="5"/>
    </row>
    <row r="5355" spans="1:4" ht="13" thickBot="1" x14ac:dyDescent="0.3">
      <c r="A5355" s="9">
        <f ca="1"/>
        <v>42245</v>
      </c>
      <c r="B5355" s="5">
        <f t="shared" ref="B5355:B5356" si="764">B5354</f>
        <v>66.989999999999995</v>
      </c>
      <c r="C5355" s="6"/>
      <c r="D5355" s="5"/>
    </row>
    <row r="5356" spans="1:4" ht="13" thickBot="1" x14ac:dyDescent="0.3">
      <c r="A5356" s="9">
        <f ca="1"/>
        <v>42246</v>
      </c>
      <c r="B5356" s="5">
        <f t="shared" si="764"/>
        <v>66.989999999999995</v>
      </c>
      <c r="C5356" s="6"/>
      <c r="D5356" s="5"/>
    </row>
    <row r="5357" spans="1:4" ht="13" thickBot="1" x14ac:dyDescent="0.3">
      <c r="A5357" s="9">
        <f ca="1"/>
        <v>42247</v>
      </c>
      <c r="B5357" s="6">
        <v>67.150000000000006</v>
      </c>
      <c r="C5357" s="6"/>
      <c r="D5357" s="5"/>
    </row>
    <row r="5358" spans="1:4" ht="13" thickBot="1" x14ac:dyDescent="0.3">
      <c r="A5358" s="9">
        <f ca="1"/>
        <v>42248</v>
      </c>
      <c r="B5358" s="6">
        <v>66.13</v>
      </c>
      <c r="C5358" s="6"/>
      <c r="D5358" s="5"/>
    </row>
    <row r="5359" spans="1:4" ht="13" thickBot="1" x14ac:dyDescent="0.3">
      <c r="A5359" s="9">
        <f ca="1"/>
        <v>42249</v>
      </c>
      <c r="B5359" s="6">
        <v>65.849999999999994</v>
      </c>
      <c r="C5359" s="6"/>
      <c r="D5359" s="5"/>
    </row>
    <row r="5360" spans="1:4" ht="13" thickBot="1" x14ac:dyDescent="0.3">
      <c r="A5360" s="9">
        <f ca="1"/>
        <v>42250</v>
      </c>
      <c r="B5360" s="6">
        <v>66.209999999999994</v>
      </c>
      <c r="C5360" s="6"/>
      <c r="D5360" s="5"/>
    </row>
    <row r="5361" spans="1:4" ht="13" thickBot="1" x14ac:dyDescent="0.3">
      <c r="A5361" s="9">
        <f ca="1"/>
        <v>42251</v>
      </c>
      <c r="B5361" s="6">
        <v>64.760000000000005</v>
      </c>
      <c r="C5361" s="6"/>
      <c r="D5361" s="5"/>
    </row>
    <row r="5362" spans="1:4" ht="13" thickBot="1" x14ac:dyDescent="0.3">
      <c r="A5362" s="9">
        <f ca="1"/>
        <v>42252</v>
      </c>
      <c r="B5362" s="5">
        <f t="shared" ref="B5362:B5364" si="765">B5361</f>
        <v>64.760000000000005</v>
      </c>
      <c r="C5362" s="6"/>
      <c r="D5362" s="5"/>
    </row>
    <row r="5363" spans="1:4" ht="13" thickBot="1" x14ac:dyDescent="0.3">
      <c r="A5363" s="9">
        <f ca="1"/>
        <v>42253</v>
      </c>
      <c r="B5363" s="5">
        <f t="shared" si="765"/>
        <v>64.760000000000005</v>
      </c>
      <c r="C5363" s="6"/>
      <c r="D5363" s="5"/>
    </row>
    <row r="5364" spans="1:4" ht="13" thickBot="1" x14ac:dyDescent="0.3">
      <c r="A5364" s="9">
        <f ca="1"/>
        <v>42254</v>
      </c>
      <c r="B5364" s="5">
        <f t="shared" si="765"/>
        <v>64.760000000000005</v>
      </c>
      <c r="C5364" s="6"/>
      <c r="D5364" s="5"/>
    </row>
    <row r="5365" spans="1:4" ht="13" thickBot="1" x14ac:dyDescent="0.3">
      <c r="A5365" s="9">
        <f ca="1"/>
        <v>42255</v>
      </c>
      <c r="B5365" s="6">
        <v>65.959999999999994</v>
      </c>
      <c r="C5365" s="6"/>
      <c r="D5365" s="5"/>
    </row>
    <row r="5366" spans="1:4" ht="13" thickBot="1" x14ac:dyDescent="0.3">
      <c r="A5366" s="9">
        <f ca="1"/>
        <v>42256</v>
      </c>
      <c r="B5366" s="6">
        <v>66.400000000000006</v>
      </c>
      <c r="C5366" s="6"/>
      <c r="D5366" s="5"/>
    </row>
    <row r="5367" spans="1:4" ht="13" thickBot="1" x14ac:dyDescent="0.3">
      <c r="A5367" s="9">
        <f ca="1"/>
        <v>42257</v>
      </c>
      <c r="B5367" s="6">
        <v>64.98</v>
      </c>
      <c r="C5367" s="6"/>
      <c r="D5367" s="5"/>
    </row>
    <row r="5368" spans="1:4" ht="13" thickBot="1" x14ac:dyDescent="0.3">
      <c r="A5368" s="9">
        <f ca="1"/>
        <v>42258</v>
      </c>
      <c r="B5368" s="6">
        <v>65.599999999999994</v>
      </c>
      <c r="C5368" s="6"/>
      <c r="D5368" s="5"/>
    </row>
    <row r="5369" spans="1:4" ht="13" thickBot="1" x14ac:dyDescent="0.3">
      <c r="A5369" s="9">
        <f ca="1"/>
        <v>42259</v>
      </c>
      <c r="B5369" s="5">
        <f t="shared" ref="B5369:B5370" si="766">B5368</f>
        <v>65.599999999999994</v>
      </c>
      <c r="C5369" s="6"/>
      <c r="D5369" s="5"/>
    </row>
    <row r="5370" spans="1:4" ht="13" thickBot="1" x14ac:dyDescent="0.3">
      <c r="A5370" s="9">
        <f ca="1"/>
        <v>42260</v>
      </c>
      <c r="B5370" s="5">
        <f t="shared" si="766"/>
        <v>65.599999999999994</v>
      </c>
      <c r="C5370" s="6"/>
      <c r="D5370" s="5"/>
    </row>
    <row r="5371" spans="1:4" ht="13" thickBot="1" x14ac:dyDescent="0.3">
      <c r="A5371" s="9">
        <f ca="1"/>
        <v>42261</v>
      </c>
      <c r="B5371" s="6">
        <v>65.84</v>
      </c>
      <c r="C5371" s="6"/>
      <c r="D5371" s="5"/>
    </row>
    <row r="5372" spans="1:4" ht="13" thickBot="1" x14ac:dyDescent="0.3">
      <c r="A5372" s="9">
        <f ca="1"/>
        <v>42262</v>
      </c>
      <c r="B5372" s="6">
        <v>65.78</v>
      </c>
      <c r="C5372" s="6"/>
      <c r="D5372" s="5"/>
    </row>
    <row r="5373" spans="1:4" ht="13" thickBot="1" x14ac:dyDescent="0.3">
      <c r="A5373" s="9">
        <f ca="1"/>
        <v>42263</v>
      </c>
      <c r="B5373" s="6">
        <v>66.66</v>
      </c>
      <c r="C5373" s="6"/>
      <c r="D5373" s="5"/>
    </row>
    <row r="5374" spans="1:4" ht="13" thickBot="1" x14ac:dyDescent="0.3">
      <c r="A5374" s="9">
        <f ca="1"/>
        <v>42264</v>
      </c>
      <c r="B5374" s="6">
        <v>66.94</v>
      </c>
      <c r="C5374" s="6"/>
      <c r="D5374" s="5"/>
    </row>
    <row r="5375" spans="1:4" ht="13" thickBot="1" x14ac:dyDescent="0.3">
      <c r="A5375" s="9">
        <f ca="1"/>
        <v>42265</v>
      </c>
      <c r="B5375" s="6">
        <v>65.209999999999994</v>
      </c>
      <c r="C5375" s="6"/>
      <c r="D5375" s="5"/>
    </row>
    <row r="5376" spans="1:4" ht="13" thickBot="1" x14ac:dyDescent="0.3">
      <c r="A5376" s="9">
        <f ca="1"/>
        <v>42266</v>
      </c>
      <c r="B5376" s="5">
        <f t="shared" ref="B5376:B5377" si="767">B5375</f>
        <v>65.209999999999994</v>
      </c>
      <c r="C5376" s="6"/>
      <c r="D5376" s="5"/>
    </row>
    <row r="5377" spans="1:4" ht="13" thickBot="1" x14ac:dyDescent="0.3">
      <c r="A5377" s="9">
        <f ca="1"/>
        <v>42267</v>
      </c>
      <c r="B5377" s="5">
        <f t="shared" si="767"/>
        <v>65.209999999999994</v>
      </c>
      <c r="C5377" s="6"/>
      <c r="D5377" s="5"/>
    </row>
    <row r="5378" spans="1:4" ht="13" thickBot="1" x14ac:dyDescent="0.3">
      <c r="A5378" s="9">
        <f ca="1"/>
        <v>42268</v>
      </c>
      <c r="B5378" s="6">
        <v>65.19</v>
      </c>
      <c r="C5378" s="6"/>
      <c r="D5378" s="5"/>
    </row>
    <row r="5379" spans="1:4" ht="13" thickBot="1" x14ac:dyDescent="0.3">
      <c r="A5379" s="9">
        <f ca="1"/>
        <v>42269</v>
      </c>
      <c r="B5379" s="6">
        <v>63.7</v>
      </c>
      <c r="C5379" s="6"/>
      <c r="D5379" s="5"/>
    </row>
    <row r="5380" spans="1:4" ht="13" thickBot="1" x14ac:dyDescent="0.3">
      <c r="A5380" s="9">
        <f ca="1"/>
        <v>42270</v>
      </c>
      <c r="B5380" s="6">
        <v>63.32</v>
      </c>
      <c r="C5380" s="6"/>
      <c r="D5380" s="5"/>
    </row>
    <row r="5381" spans="1:4" ht="13" thickBot="1" x14ac:dyDescent="0.3">
      <c r="A5381" s="9">
        <f ca="1"/>
        <v>42271</v>
      </c>
      <c r="B5381" s="6">
        <v>62.99</v>
      </c>
      <c r="C5381" s="6"/>
      <c r="D5381" s="5"/>
    </row>
    <row r="5382" spans="1:4" ht="13" thickBot="1" x14ac:dyDescent="0.3">
      <c r="A5382" s="9">
        <f ca="1"/>
        <v>42272</v>
      </c>
      <c r="B5382" s="6">
        <v>64.010000000000005</v>
      </c>
      <c r="C5382" s="6"/>
      <c r="D5382" s="5"/>
    </row>
    <row r="5383" spans="1:4" ht="13" thickBot="1" x14ac:dyDescent="0.3">
      <c r="A5383" s="9">
        <f ca="1"/>
        <v>42273</v>
      </c>
      <c r="B5383" s="5">
        <f t="shared" ref="B5383:B5384" si="768">B5382</f>
        <v>64.010000000000005</v>
      </c>
      <c r="C5383" s="6"/>
      <c r="D5383" s="5"/>
    </row>
    <row r="5384" spans="1:4" ht="13" thickBot="1" x14ac:dyDescent="0.3">
      <c r="A5384" s="9">
        <f ca="1"/>
        <v>42274</v>
      </c>
      <c r="B5384" s="5">
        <f t="shared" si="768"/>
        <v>64.010000000000005</v>
      </c>
      <c r="C5384" s="6"/>
      <c r="D5384" s="5"/>
    </row>
    <row r="5385" spans="1:4" ht="13" thickBot="1" x14ac:dyDescent="0.3">
      <c r="A5385" s="9">
        <f ca="1"/>
        <v>42275</v>
      </c>
      <c r="B5385" s="6">
        <v>64.19</v>
      </c>
      <c r="C5385" s="6"/>
      <c r="D5385" s="5"/>
    </row>
    <row r="5386" spans="1:4" ht="13" thickBot="1" x14ac:dyDescent="0.3">
      <c r="A5386" s="9">
        <f ca="1"/>
        <v>42276</v>
      </c>
      <c r="B5386" s="6">
        <v>63.51</v>
      </c>
      <c r="C5386" s="6"/>
      <c r="D5386" s="5"/>
    </row>
    <row r="5387" spans="1:4" ht="13" thickBot="1" x14ac:dyDescent="0.3">
      <c r="A5387" s="9">
        <f ca="1"/>
        <v>42277</v>
      </c>
      <c r="B5387" s="6">
        <v>65.27</v>
      </c>
      <c r="C5387" s="6"/>
      <c r="D5387" s="5"/>
    </row>
    <row r="5388" spans="1:4" ht="13" thickBot="1" x14ac:dyDescent="0.3">
      <c r="A5388" s="9">
        <f ca="1"/>
        <v>42278</v>
      </c>
      <c r="B5388" s="6">
        <v>64.540000000000006</v>
      </c>
      <c r="C5388" s="6"/>
      <c r="D5388" s="5"/>
    </row>
    <row r="5389" spans="1:4" ht="13" thickBot="1" x14ac:dyDescent="0.3">
      <c r="A5389" s="9">
        <f ca="1"/>
        <v>42279</v>
      </c>
      <c r="B5389" s="6">
        <v>64.77</v>
      </c>
      <c r="C5389" s="6"/>
      <c r="D5389" s="5"/>
    </row>
    <row r="5390" spans="1:4" ht="13" thickBot="1" x14ac:dyDescent="0.3">
      <c r="A5390" s="9">
        <f ca="1"/>
        <v>42280</v>
      </c>
      <c r="B5390" s="5">
        <f t="shared" ref="B5390:B5391" si="769">B5389</f>
        <v>64.77</v>
      </c>
      <c r="C5390" s="6"/>
      <c r="D5390" s="5"/>
    </row>
    <row r="5391" spans="1:4" ht="13" thickBot="1" x14ac:dyDescent="0.3">
      <c r="A5391" s="9">
        <f ca="1"/>
        <v>42281</v>
      </c>
      <c r="B5391" s="5">
        <f t="shared" si="769"/>
        <v>64.77</v>
      </c>
      <c r="C5391" s="6"/>
      <c r="D5391" s="5"/>
    </row>
    <row r="5392" spans="1:4" ht="13" thickBot="1" x14ac:dyDescent="0.3">
      <c r="A5392" s="9">
        <f ca="1"/>
        <v>42282</v>
      </c>
      <c r="B5392" s="6">
        <v>66.290000000000006</v>
      </c>
      <c r="C5392" s="6"/>
      <c r="D5392" s="5"/>
    </row>
    <row r="5393" spans="1:4" ht="13" thickBot="1" x14ac:dyDescent="0.3">
      <c r="A5393" s="9">
        <f ca="1"/>
        <v>42283</v>
      </c>
      <c r="B5393" s="6">
        <v>67.09</v>
      </c>
      <c r="C5393" s="6"/>
      <c r="D5393" s="5"/>
    </row>
    <row r="5394" spans="1:4" ht="13" thickBot="1" x14ac:dyDescent="0.3">
      <c r="A5394" s="9">
        <f ca="1"/>
        <v>42284</v>
      </c>
      <c r="B5394" s="6">
        <v>67.099999999999994</v>
      </c>
      <c r="C5394" s="6"/>
      <c r="D5394" s="5"/>
    </row>
    <row r="5395" spans="1:4" ht="13" thickBot="1" x14ac:dyDescent="0.3">
      <c r="A5395" s="9">
        <f ca="1"/>
        <v>42285</v>
      </c>
      <c r="B5395" s="6">
        <v>66.86</v>
      </c>
      <c r="C5395" s="6"/>
      <c r="D5395" s="5"/>
    </row>
    <row r="5396" spans="1:4" ht="13" thickBot="1" x14ac:dyDescent="0.3">
      <c r="A5396" s="9">
        <f ca="1"/>
        <v>42286</v>
      </c>
      <c r="B5396" s="6">
        <v>68.52</v>
      </c>
      <c r="C5396" s="6"/>
      <c r="D5396" s="5"/>
    </row>
    <row r="5397" spans="1:4" ht="13" thickBot="1" x14ac:dyDescent="0.3">
      <c r="A5397" s="9">
        <f ca="1"/>
        <v>42287</v>
      </c>
      <c r="B5397" s="5">
        <f t="shared" ref="B5397:B5398" si="770">B5396</f>
        <v>68.52</v>
      </c>
      <c r="C5397" s="6"/>
      <c r="D5397" s="5"/>
    </row>
    <row r="5398" spans="1:4" ht="13" thickBot="1" x14ac:dyDescent="0.3">
      <c r="A5398" s="9">
        <f ca="1"/>
        <v>42288</v>
      </c>
      <c r="B5398" s="5">
        <f t="shared" si="770"/>
        <v>68.52</v>
      </c>
      <c r="C5398" s="6"/>
      <c r="D5398" s="5"/>
    </row>
    <row r="5399" spans="1:4" ht="13" thickBot="1" x14ac:dyDescent="0.3">
      <c r="A5399" s="9">
        <f ca="1"/>
        <v>42289</v>
      </c>
      <c r="B5399" s="6">
        <v>68.23</v>
      </c>
      <c r="C5399" s="6"/>
      <c r="D5399" s="5"/>
    </row>
    <row r="5400" spans="1:4" ht="13" thickBot="1" x14ac:dyDescent="0.3">
      <c r="A5400" s="9">
        <f ca="1"/>
        <v>42290</v>
      </c>
      <c r="B5400" s="6">
        <v>72.37</v>
      </c>
      <c r="C5400" s="6"/>
      <c r="D5400" s="5"/>
    </row>
    <row r="5401" spans="1:4" ht="13" thickBot="1" x14ac:dyDescent="0.3">
      <c r="A5401" s="9">
        <f ca="1"/>
        <v>42291</v>
      </c>
      <c r="B5401" s="6">
        <v>72.819999999999993</v>
      </c>
      <c r="C5401" s="6"/>
      <c r="D5401" s="5"/>
    </row>
    <row r="5402" spans="1:4" ht="13" thickBot="1" x14ac:dyDescent="0.3">
      <c r="A5402" s="9">
        <f ca="1"/>
        <v>42292</v>
      </c>
      <c r="B5402" s="6">
        <v>73.650000000000006</v>
      </c>
      <c r="C5402" s="6"/>
      <c r="D5402" s="5"/>
    </row>
    <row r="5403" spans="1:4" ht="13" thickBot="1" x14ac:dyDescent="0.3">
      <c r="A5403" s="9">
        <f ca="1"/>
        <v>42293</v>
      </c>
      <c r="B5403" s="6">
        <v>74.900000000000006</v>
      </c>
      <c r="C5403" s="6"/>
      <c r="D5403" s="5"/>
    </row>
    <row r="5404" spans="1:4" ht="13" thickBot="1" x14ac:dyDescent="0.3">
      <c r="A5404" s="9">
        <f ca="1"/>
        <v>42294</v>
      </c>
      <c r="B5404" s="5">
        <f t="shared" ref="B5404:B5405" si="771">B5403</f>
        <v>74.900000000000006</v>
      </c>
      <c r="C5404" s="6"/>
      <c r="D5404" s="5"/>
    </row>
    <row r="5405" spans="1:4" ht="13" thickBot="1" x14ac:dyDescent="0.3">
      <c r="A5405" s="9">
        <f ca="1"/>
        <v>42295</v>
      </c>
      <c r="B5405" s="5">
        <f t="shared" si="771"/>
        <v>74.900000000000006</v>
      </c>
      <c r="C5405" s="6"/>
      <c r="D5405" s="5"/>
    </row>
    <row r="5406" spans="1:4" ht="13" thickBot="1" x14ac:dyDescent="0.3">
      <c r="A5406" s="9">
        <f ca="1"/>
        <v>42296</v>
      </c>
      <c r="B5406" s="6">
        <v>75.36</v>
      </c>
      <c r="C5406" s="6"/>
      <c r="D5406" s="5"/>
    </row>
    <row r="5407" spans="1:4" ht="13" thickBot="1" x14ac:dyDescent="0.3">
      <c r="A5407" s="9">
        <f ca="1"/>
        <v>42297</v>
      </c>
      <c r="B5407" s="6">
        <v>75.61</v>
      </c>
      <c r="C5407" s="6"/>
      <c r="D5407" s="5"/>
    </row>
    <row r="5408" spans="1:4" ht="13" thickBot="1" x14ac:dyDescent="0.3">
      <c r="A5408" s="9">
        <f ca="1"/>
        <v>42298</v>
      </c>
      <c r="B5408" s="6">
        <v>76.5</v>
      </c>
      <c r="C5408" s="6"/>
      <c r="D5408" s="5"/>
    </row>
    <row r="5409" spans="1:4" ht="13" thickBot="1" x14ac:dyDescent="0.3">
      <c r="A5409" s="9">
        <f ca="1"/>
        <v>42299</v>
      </c>
      <c r="B5409" s="6">
        <v>76.73</v>
      </c>
      <c r="C5409" s="6"/>
      <c r="D5409" s="5"/>
    </row>
    <row r="5410" spans="1:4" ht="13" thickBot="1" x14ac:dyDescent="0.3">
      <c r="A5410" s="9">
        <f ca="1"/>
        <v>42300</v>
      </c>
      <c r="B5410" s="6">
        <v>77.3</v>
      </c>
      <c r="C5410" s="6"/>
      <c r="D5410" s="5"/>
    </row>
    <row r="5411" spans="1:4" ht="13" thickBot="1" x14ac:dyDescent="0.3">
      <c r="A5411" s="9">
        <f ca="1"/>
        <v>42301</v>
      </c>
      <c r="B5411" s="5">
        <f t="shared" ref="B5411:B5412" si="772">B5410</f>
        <v>77.3</v>
      </c>
      <c r="C5411" s="6"/>
      <c r="D5411" s="5"/>
    </row>
    <row r="5412" spans="1:4" ht="13" thickBot="1" x14ac:dyDescent="0.3">
      <c r="A5412" s="9">
        <f ca="1"/>
        <v>42302</v>
      </c>
      <c r="B5412" s="5">
        <f t="shared" si="772"/>
        <v>77.3</v>
      </c>
      <c r="C5412" s="6"/>
      <c r="D5412" s="5"/>
    </row>
    <row r="5413" spans="1:4" ht="13" thickBot="1" x14ac:dyDescent="0.3">
      <c r="A5413" s="9">
        <f ca="1"/>
        <v>42303</v>
      </c>
      <c r="B5413" s="6">
        <v>77.27</v>
      </c>
      <c r="C5413" s="6"/>
      <c r="D5413" s="5"/>
    </row>
    <row r="5414" spans="1:4" ht="13" thickBot="1" x14ac:dyDescent="0.3">
      <c r="A5414" s="9">
        <f ca="1"/>
        <v>42304</v>
      </c>
      <c r="B5414" s="6">
        <v>77.69</v>
      </c>
      <c r="C5414" s="6"/>
      <c r="D5414" s="5"/>
    </row>
    <row r="5415" spans="1:4" ht="13" thickBot="1" x14ac:dyDescent="0.3">
      <c r="A5415" s="9">
        <f ca="1"/>
        <v>42305</v>
      </c>
      <c r="B5415" s="6">
        <v>77.98</v>
      </c>
      <c r="C5415" s="6"/>
      <c r="D5415" s="5"/>
    </row>
    <row r="5416" spans="1:4" ht="13" thickBot="1" x14ac:dyDescent="0.3">
      <c r="A5416" s="9">
        <f ca="1"/>
        <v>42306</v>
      </c>
      <c r="B5416" s="6">
        <v>77.540000000000006</v>
      </c>
      <c r="C5416" s="6"/>
      <c r="D5416" s="5"/>
    </row>
    <row r="5417" spans="1:4" ht="13" thickBot="1" x14ac:dyDescent="0.3">
      <c r="A5417" s="9">
        <f ca="1"/>
        <v>42307</v>
      </c>
      <c r="B5417" s="6">
        <v>78.22</v>
      </c>
      <c r="C5417" s="6"/>
      <c r="D5417" s="5"/>
    </row>
    <row r="5418" spans="1:4" ht="13" thickBot="1" x14ac:dyDescent="0.3">
      <c r="A5418" s="9">
        <f ca="1"/>
        <v>42308</v>
      </c>
      <c r="B5418" s="5">
        <f t="shared" ref="B5418:B5419" si="773">B5417</f>
        <v>78.22</v>
      </c>
      <c r="C5418" s="6"/>
      <c r="D5418" s="5"/>
    </row>
    <row r="5419" spans="1:4" ht="13" thickBot="1" x14ac:dyDescent="0.3">
      <c r="A5419" s="9">
        <f ca="1"/>
        <v>42309</v>
      </c>
      <c r="B5419" s="5">
        <f t="shared" si="773"/>
        <v>78.22</v>
      </c>
      <c r="C5419" s="6"/>
      <c r="D5419" s="5"/>
    </row>
    <row r="5420" spans="1:4" ht="13" thickBot="1" x14ac:dyDescent="0.3">
      <c r="A5420" s="9">
        <f ca="1"/>
        <v>42310</v>
      </c>
      <c r="B5420" s="6">
        <v>79.67</v>
      </c>
      <c r="C5420" s="6"/>
      <c r="D5420" s="5"/>
    </row>
    <row r="5421" spans="1:4" ht="13" thickBot="1" x14ac:dyDescent="0.3">
      <c r="A5421" s="9">
        <f ca="1"/>
        <v>42311</v>
      </c>
      <c r="B5421" s="6">
        <v>79.900000000000006</v>
      </c>
      <c r="C5421" s="6"/>
      <c r="D5421" s="5"/>
    </row>
    <row r="5422" spans="1:4" ht="13" thickBot="1" x14ac:dyDescent="0.3">
      <c r="A5422" s="9">
        <f ca="1"/>
        <v>42312</v>
      </c>
      <c r="B5422" s="6">
        <v>79.92</v>
      </c>
      <c r="C5422" s="6"/>
      <c r="D5422" s="5"/>
    </row>
    <row r="5423" spans="1:4" ht="13" thickBot="1" x14ac:dyDescent="0.3">
      <c r="A5423" s="9">
        <f ca="1"/>
        <v>42313</v>
      </c>
      <c r="B5423" s="6">
        <v>80.38</v>
      </c>
      <c r="C5423" s="6"/>
      <c r="D5423" s="5"/>
    </row>
    <row r="5424" spans="1:4" ht="13" thickBot="1" x14ac:dyDescent="0.3">
      <c r="A5424" s="9">
        <f ca="1"/>
        <v>42314</v>
      </c>
      <c r="B5424" s="6">
        <v>78.75</v>
      </c>
      <c r="C5424" s="6"/>
      <c r="D5424" s="5"/>
    </row>
    <row r="5425" spans="1:4" ht="13" thickBot="1" x14ac:dyDescent="0.3">
      <c r="A5425" s="9">
        <f ca="1"/>
        <v>42315</v>
      </c>
      <c r="B5425" s="5">
        <f t="shared" ref="B5425:B5426" si="774">B5424</f>
        <v>78.75</v>
      </c>
      <c r="C5425" s="6"/>
      <c r="D5425" s="5"/>
    </row>
    <row r="5426" spans="1:4" ht="13" thickBot="1" x14ac:dyDescent="0.3">
      <c r="A5426" s="9">
        <f ca="1"/>
        <v>42316</v>
      </c>
      <c r="B5426" s="5">
        <f t="shared" si="774"/>
        <v>78.75</v>
      </c>
      <c r="C5426" s="6"/>
      <c r="D5426" s="5"/>
    </row>
    <row r="5427" spans="1:4" ht="13" thickBot="1" x14ac:dyDescent="0.3">
      <c r="A5427" s="9">
        <f ca="1"/>
        <v>42317</v>
      </c>
      <c r="B5427" s="6">
        <v>79.08</v>
      </c>
      <c r="C5427" s="6"/>
      <c r="D5427" s="5"/>
    </row>
    <row r="5428" spans="1:4" ht="13" thickBot="1" x14ac:dyDescent="0.3">
      <c r="A5428" s="9">
        <f ca="1"/>
        <v>42318</v>
      </c>
      <c r="B5428" s="6">
        <v>77.650000000000006</v>
      </c>
      <c r="C5428" s="6"/>
      <c r="D5428" s="5"/>
    </row>
    <row r="5429" spans="1:4" ht="13" thickBot="1" x14ac:dyDescent="0.3">
      <c r="A5429" s="9">
        <f ca="1"/>
        <v>42319</v>
      </c>
      <c r="B5429" s="6">
        <v>78.97</v>
      </c>
      <c r="C5429" s="6"/>
      <c r="D5429" s="5"/>
    </row>
    <row r="5430" spans="1:4" ht="13" thickBot="1" x14ac:dyDescent="0.3">
      <c r="A5430" s="9">
        <f ca="1"/>
        <v>42320</v>
      </c>
      <c r="B5430" s="6">
        <v>78.88</v>
      </c>
      <c r="C5430" s="6"/>
      <c r="D5430" s="5"/>
    </row>
    <row r="5431" spans="1:4" ht="13" thickBot="1" x14ac:dyDescent="0.3">
      <c r="A5431" s="9">
        <f ca="1"/>
        <v>42321</v>
      </c>
      <c r="B5431" s="6">
        <v>78.180000000000007</v>
      </c>
      <c r="C5431" s="6"/>
      <c r="D5431" s="5"/>
    </row>
    <row r="5432" spans="1:4" ht="13" thickBot="1" x14ac:dyDescent="0.3">
      <c r="A5432" s="9">
        <f ca="1"/>
        <v>42322</v>
      </c>
      <c r="B5432" s="5">
        <f t="shared" ref="B5432:B5433" si="775">B5431</f>
        <v>78.180000000000007</v>
      </c>
      <c r="C5432" s="6"/>
      <c r="D5432" s="5"/>
    </row>
    <row r="5433" spans="1:4" ht="13" thickBot="1" x14ac:dyDescent="0.3">
      <c r="A5433" s="9">
        <f ca="1"/>
        <v>42323</v>
      </c>
      <c r="B5433" s="5">
        <f t="shared" si="775"/>
        <v>78.180000000000007</v>
      </c>
      <c r="C5433" s="6"/>
      <c r="D5433" s="5"/>
    </row>
    <row r="5434" spans="1:4" ht="13" thickBot="1" x14ac:dyDescent="0.3">
      <c r="A5434" s="9">
        <f ca="1"/>
        <v>42324</v>
      </c>
      <c r="B5434" s="6">
        <v>77.510000000000005</v>
      </c>
      <c r="C5434" s="6"/>
      <c r="D5434" s="5"/>
    </row>
    <row r="5435" spans="1:4" ht="13" thickBot="1" x14ac:dyDescent="0.3">
      <c r="A5435" s="9">
        <f ca="1"/>
        <v>42325</v>
      </c>
      <c r="B5435" s="6">
        <v>78.31</v>
      </c>
      <c r="C5435" s="6"/>
      <c r="D5435" s="5"/>
    </row>
    <row r="5436" spans="1:4" ht="13" thickBot="1" x14ac:dyDescent="0.3">
      <c r="A5436" s="9">
        <f ca="1"/>
        <v>42326</v>
      </c>
      <c r="B5436" s="6">
        <v>78.75</v>
      </c>
      <c r="C5436" s="6"/>
      <c r="D5436" s="5"/>
    </row>
    <row r="5437" spans="1:4" ht="13" thickBot="1" x14ac:dyDescent="0.3">
      <c r="A5437" s="9">
        <f ca="1"/>
        <v>42327</v>
      </c>
      <c r="B5437" s="6">
        <v>80</v>
      </c>
      <c r="C5437" s="6"/>
      <c r="D5437" s="5"/>
    </row>
    <row r="5438" spans="1:4" ht="13" thickBot="1" x14ac:dyDescent="0.3">
      <c r="A5438" s="9">
        <f ca="1"/>
        <v>42328</v>
      </c>
      <c r="B5438" s="6">
        <v>80.3</v>
      </c>
      <c r="C5438" s="6"/>
      <c r="D5438" s="5"/>
    </row>
    <row r="5439" spans="1:4" ht="13" thickBot="1" x14ac:dyDescent="0.3">
      <c r="A5439" s="9">
        <f ca="1"/>
        <v>42329</v>
      </c>
      <c r="B5439" s="5">
        <f t="shared" ref="B5439:B5440" si="776">B5438</f>
        <v>80.3</v>
      </c>
      <c r="C5439" s="6"/>
      <c r="D5439" s="5"/>
    </row>
    <row r="5440" spans="1:4" ht="13" thickBot="1" x14ac:dyDescent="0.3">
      <c r="A5440" s="9">
        <f ca="1"/>
        <v>42330</v>
      </c>
      <c r="B5440" s="5">
        <f t="shared" si="776"/>
        <v>80.3</v>
      </c>
      <c r="C5440" s="6"/>
      <c r="D5440" s="5"/>
    </row>
    <row r="5441" spans="1:4" ht="13" thickBot="1" x14ac:dyDescent="0.3">
      <c r="A5441" s="9">
        <f ca="1"/>
        <v>42331</v>
      </c>
      <c r="B5441" s="6">
        <v>79.27</v>
      </c>
      <c r="C5441" s="6"/>
      <c r="D5441" s="5"/>
    </row>
    <row r="5442" spans="1:4" ht="13" thickBot="1" x14ac:dyDescent="0.3">
      <c r="A5442" s="9">
        <f ca="1"/>
        <v>42332</v>
      </c>
      <c r="B5442" s="6">
        <v>78.52</v>
      </c>
      <c r="C5442" s="6"/>
      <c r="D5442" s="5"/>
    </row>
    <row r="5443" spans="1:4" ht="13" thickBot="1" x14ac:dyDescent="0.3">
      <c r="A5443" s="9">
        <f ca="1"/>
        <v>42333</v>
      </c>
      <c r="B5443" s="6">
        <v>78.7</v>
      </c>
      <c r="C5443" s="6"/>
      <c r="D5443" s="5"/>
    </row>
    <row r="5444" spans="1:4" ht="13" thickBot="1" x14ac:dyDescent="0.3">
      <c r="A5444" s="9">
        <f ca="1"/>
        <v>42334</v>
      </c>
      <c r="B5444" s="5">
        <f>B5443</f>
        <v>78.7</v>
      </c>
      <c r="C5444" s="6"/>
      <c r="D5444" s="5"/>
    </row>
    <row r="5445" spans="1:4" ht="13" thickBot="1" x14ac:dyDescent="0.3">
      <c r="A5445" s="9">
        <f ca="1"/>
        <v>42335</v>
      </c>
      <c r="B5445" s="6">
        <v>78.84</v>
      </c>
      <c r="C5445" s="6"/>
      <c r="D5445" s="5"/>
    </row>
    <row r="5446" spans="1:4" ht="13" thickBot="1" x14ac:dyDescent="0.3">
      <c r="A5446" s="9">
        <f ca="1"/>
        <v>42336</v>
      </c>
      <c r="B5446" s="5">
        <f t="shared" ref="B5446:B5447" si="777">B5445</f>
        <v>78.84</v>
      </c>
      <c r="C5446" s="6"/>
      <c r="D5446" s="5"/>
    </row>
    <row r="5447" spans="1:4" ht="13" thickBot="1" x14ac:dyDescent="0.3">
      <c r="A5447" s="9">
        <f ca="1"/>
        <v>42337</v>
      </c>
      <c r="B5447" s="5">
        <f t="shared" si="777"/>
        <v>78.84</v>
      </c>
      <c r="C5447" s="6"/>
      <c r="D5447" s="5"/>
    </row>
    <row r="5448" spans="1:4" ht="13" thickBot="1" x14ac:dyDescent="0.3">
      <c r="A5448" s="9">
        <f ca="1"/>
        <v>42338</v>
      </c>
      <c r="B5448" s="6">
        <v>78.78</v>
      </c>
      <c r="C5448" s="6"/>
      <c r="D5448" s="5"/>
    </row>
    <row r="5449" spans="1:4" ht="13" thickBot="1" x14ac:dyDescent="0.3">
      <c r="A5449" s="9">
        <f ca="1"/>
        <v>42339</v>
      </c>
      <c r="B5449" s="6">
        <v>79.430000000000007</v>
      </c>
      <c r="C5449" s="6"/>
      <c r="D5449" s="5"/>
    </row>
    <row r="5450" spans="1:4" ht="13" thickBot="1" x14ac:dyDescent="0.3">
      <c r="A5450" s="9">
        <f ca="1"/>
        <v>42340</v>
      </c>
      <c r="B5450" s="6">
        <v>79.36</v>
      </c>
      <c r="C5450" s="6"/>
      <c r="D5450" s="5"/>
    </row>
    <row r="5451" spans="1:4" ht="13" thickBot="1" x14ac:dyDescent="0.3">
      <c r="A5451" s="9">
        <f ca="1"/>
        <v>42341</v>
      </c>
      <c r="B5451" s="6">
        <v>79.260000000000005</v>
      </c>
      <c r="C5451" s="6"/>
      <c r="D5451" s="5"/>
    </row>
    <row r="5452" spans="1:4" ht="13" thickBot="1" x14ac:dyDescent="0.3">
      <c r="A5452" s="9">
        <f ca="1"/>
        <v>42342</v>
      </c>
      <c r="B5452" s="6">
        <v>78.08</v>
      </c>
      <c r="C5452" s="6"/>
      <c r="D5452" s="5"/>
    </row>
    <row r="5453" spans="1:4" ht="13" thickBot="1" x14ac:dyDescent="0.3">
      <c r="A5453" s="9">
        <f ca="1"/>
        <v>42343</v>
      </c>
      <c r="B5453" s="5">
        <f t="shared" ref="B5453:B5454" si="778">B5452</f>
        <v>78.08</v>
      </c>
      <c r="C5453" s="6"/>
      <c r="D5453" s="5"/>
    </row>
    <row r="5454" spans="1:4" ht="13" thickBot="1" x14ac:dyDescent="0.3">
      <c r="A5454" s="9">
        <f ca="1"/>
        <v>42344</v>
      </c>
      <c r="B5454" s="5">
        <f t="shared" si="778"/>
        <v>78.08</v>
      </c>
      <c r="C5454" s="6"/>
      <c r="D5454" s="5"/>
    </row>
    <row r="5455" spans="1:4" ht="13" thickBot="1" x14ac:dyDescent="0.3">
      <c r="A5455" s="9">
        <f ca="1"/>
        <v>42345</v>
      </c>
      <c r="B5455" s="6">
        <v>79.33</v>
      </c>
      <c r="C5455" s="6"/>
      <c r="D5455" s="5"/>
    </row>
    <row r="5456" spans="1:4" ht="13" thickBot="1" x14ac:dyDescent="0.3">
      <c r="A5456" s="9">
        <f ca="1"/>
        <v>42346</v>
      </c>
      <c r="B5456" s="6">
        <v>78.930000000000007</v>
      </c>
      <c r="C5456" s="6"/>
      <c r="D5456" s="5"/>
    </row>
    <row r="5457" spans="1:4" ht="13" thickBot="1" x14ac:dyDescent="0.3">
      <c r="A5457" s="9">
        <f ca="1"/>
        <v>42347</v>
      </c>
      <c r="B5457" s="6">
        <v>78.88</v>
      </c>
      <c r="C5457" s="6"/>
      <c r="D5457" s="5"/>
    </row>
    <row r="5458" spans="1:4" ht="13" thickBot="1" x14ac:dyDescent="0.3">
      <c r="A5458" s="9">
        <f ca="1"/>
        <v>42348</v>
      </c>
      <c r="B5458" s="6">
        <v>78.73</v>
      </c>
      <c r="C5458" s="6"/>
      <c r="D5458" s="5"/>
    </row>
    <row r="5459" spans="1:4" ht="13" thickBot="1" x14ac:dyDescent="0.3">
      <c r="A5459" s="9">
        <f ca="1"/>
        <v>42349</v>
      </c>
      <c r="B5459" s="6">
        <v>77.45</v>
      </c>
      <c r="C5459" s="6"/>
      <c r="D5459" s="5"/>
    </row>
    <row r="5460" spans="1:4" ht="13" thickBot="1" x14ac:dyDescent="0.3">
      <c r="A5460" s="9">
        <f ca="1"/>
        <v>42350</v>
      </c>
      <c r="B5460" s="5">
        <f t="shared" ref="B5460:B5461" si="779">B5459</f>
        <v>77.45</v>
      </c>
      <c r="C5460" s="6"/>
      <c r="D5460" s="5"/>
    </row>
    <row r="5461" spans="1:4" ht="13" thickBot="1" x14ac:dyDescent="0.3">
      <c r="A5461" s="9">
        <f ca="1"/>
        <v>42351</v>
      </c>
      <c r="B5461" s="5">
        <f t="shared" si="779"/>
        <v>77.45</v>
      </c>
      <c r="C5461" s="6"/>
      <c r="D5461" s="5"/>
    </row>
    <row r="5462" spans="1:4" ht="13" thickBot="1" x14ac:dyDescent="0.3">
      <c r="A5462" s="9">
        <f ca="1"/>
        <v>42352</v>
      </c>
      <c r="B5462" s="6">
        <v>77.400000000000006</v>
      </c>
      <c r="C5462" s="6"/>
      <c r="D5462" s="5"/>
    </row>
    <row r="5463" spans="1:4" ht="13" thickBot="1" x14ac:dyDescent="0.3">
      <c r="A5463" s="9">
        <f ca="1"/>
        <v>42353</v>
      </c>
      <c r="B5463" s="6">
        <v>78.58</v>
      </c>
      <c r="C5463" s="6"/>
      <c r="D5463" s="5"/>
    </row>
    <row r="5464" spans="1:4" ht="13" thickBot="1" x14ac:dyDescent="0.3">
      <c r="A5464" s="9">
        <f ca="1"/>
        <v>42354</v>
      </c>
      <c r="B5464" s="6">
        <v>78.44</v>
      </c>
      <c r="C5464" s="6"/>
      <c r="D5464" s="5"/>
    </row>
    <row r="5465" spans="1:4" ht="13" thickBot="1" x14ac:dyDescent="0.3">
      <c r="A5465" s="9">
        <f ca="1"/>
        <v>42355</v>
      </c>
      <c r="B5465" s="6">
        <v>79.41</v>
      </c>
      <c r="C5465" s="6"/>
      <c r="D5465" s="5"/>
    </row>
    <row r="5466" spans="1:4" ht="13" thickBot="1" x14ac:dyDescent="0.3">
      <c r="A5466" s="9">
        <f ca="1"/>
        <v>42356</v>
      </c>
      <c r="B5466" s="6">
        <v>78.400000000000006</v>
      </c>
      <c r="C5466" s="6"/>
      <c r="D5466" s="5"/>
    </row>
    <row r="5467" spans="1:4" ht="13" thickBot="1" x14ac:dyDescent="0.3">
      <c r="A5467" s="9">
        <f ca="1"/>
        <v>42357</v>
      </c>
      <c r="B5467" s="5">
        <f t="shared" ref="B5467:B5468" si="780">B5466</f>
        <v>78.400000000000006</v>
      </c>
      <c r="C5467" s="6"/>
      <c r="D5467" s="5"/>
    </row>
    <row r="5468" spans="1:4" ht="13" thickBot="1" x14ac:dyDescent="0.3">
      <c r="A5468" s="9">
        <f ca="1"/>
        <v>42358</v>
      </c>
      <c r="B5468" s="5">
        <f t="shared" si="780"/>
        <v>78.400000000000006</v>
      </c>
      <c r="C5468" s="6"/>
      <c r="D5468" s="5"/>
    </row>
    <row r="5469" spans="1:4" ht="13" thickBot="1" x14ac:dyDescent="0.3">
      <c r="A5469" s="9">
        <f ca="1"/>
        <v>42359</v>
      </c>
      <c r="B5469" s="6">
        <v>79.28</v>
      </c>
      <c r="C5469" s="6"/>
      <c r="D5469" s="5"/>
    </row>
    <row r="5470" spans="1:4" ht="13" thickBot="1" x14ac:dyDescent="0.3">
      <c r="A5470" s="9">
        <f ca="1"/>
        <v>42360</v>
      </c>
      <c r="B5470" s="6">
        <v>78.66</v>
      </c>
      <c r="C5470" s="6"/>
      <c r="D5470" s="5"/>
    </row>
    <row r="5471" spans="1:4" ht="13" thickBot="1" x14ac:dyDescent="0.3">
      <c r="A5471" s="9">
        <f ca="1"/>
        <v>42361</v>
      </c>
      <c r="B5471" s="6">
        <v>79.17</v>
      </c>
      <c r="C5471" s="6"/>
      <c r="D5471" s="5"/>
    </row>
    <row r="5472" spans="1:4" ht="13" thickBot="1" x14ac:dyDescent="0.3">
      <c r="A5472" s="9">
        <f ca="1"/>
        <v>42362</v>
      </c>
      <c r="B5472" s="6">
        <v>79.849999999999994</v>
      </c>
      <c r="C5472" s="6"/>
      <c r="D5472" s="5"/>
    </row>
    <row r="5473" spans="1:4" ht="13" thickBot="1" x14ac:dyDescent="0.3">
      <c r="A5473" s="9">
        <f ca="1"/>
        <v>42363</v>
      </c>
      <c r="B5473" s="5">
        <f t="shared" ref="B5473:B5475" si="781">B5472</f>
        <v>79.849999999999994</v>
      </c>
      <c r="C5473" s="6"/>
      <c r="D5473" s="5"/>
    </row>
    <row r="5474" spans="1:4" ht="13" thickBot="1" x14ac:dyDescent="0.3">
      <c r="A5474" s="9">
        <f ca="1"/>
        <v>42364</v>
      </c>
      <c r="B5474" s="5">
        <f t="shared" si="781"/>
        <v>79.849999999999994</v>
      </c>
      <c r="C5474" s="6"/>
      <c r="D5474" s="5"/>
    </row>
    <row r="5475" spans="1:4" ht="13" thickBot="1" x14ac:dyDescent="0.3">
      <c r="A5475" s="9">
        <f ca="1"/>
        <v>42365</v>
      </c>
      <c r="B5475" s="5">
        <f t="shared" si="781"/>
        <v>79.849999999999994</v>
      </c>
      <c r="C5475" s="6"/>
      <c r="D5475" s="5"/>
    </row>
    <row r="5476" spans="1:4" ht="13" thickBot="1" x14ac:dyDescent="0.3">
      <c r="A5476" s="9">
        <f ca="1"/>
        <v>42366</v>
      </c>
      <c r="B5476" s="6">
        <v>80.13</v>
      </c>
      <c r="C5476" s="6"/>
      <c r="D5476" s="5"/>
    </row>
    <row r="5477" spans="1:4" ht="13" thickBot="1" x14ac:dyDescent="0.3">
      <c r="A5477" s="9">
        <f ca="1"/>
        <v>42367</v>
      </c>
      <c r="B5477" s="6">
        <v>80.63</v>
      </c>
      <c r="C5477" s="6"/>
      <c r="D5477" s="5"/>
    </row>
    <row r="5478" spans="1:4" ht="13" thickBot="1" x14ac:dyDescent="0.3">
      <c r="A5478" s="9">
        <f ca="1"/>
        <v>42368</v>
      </c>
      <c r="B5478" s="6">
        <v>80.540000000000006</v>
      </c>
      <c r="C5478" s="6"/>
      <c r="D5478" s="5"/>
    </row>
    <row r="5479" spans="1:4" ht="13" thickBot="1" x14ac:dyDescent="0.3">
      <c r="A5479" s="9">
        <f ca="1"/>
        <v>42369</v>
      </c>
      <c r="B5479" s="6">
        <v>79.709999999999994</v>
      </c>
      <c r="C5479" s="6"/>
      <c r="D5479" s="5"/>
    </row>
    <row r="5480" spans="1:4" ht="13" thickBot="1" x14ac:dyDescent="0.3">
      <c r="A5480" s="9">
        <f ca="1"/>
        <v>42370</v>
      </c>
      <c r="B5480" s="5">
        <f t="shared" ref="B5480:B5482" si="782">B5479</f>
        <v>79.709999999999994</v>
      </c>
      <c r="C5480" s="6"/>
      <c r="D5480" s="5"/>
    </row>
    <row r="5481" spans="1:4" ht="13" thickBot="1" x14ac:dyDescent="0.3">
      <c r="A5481" s="9">
        <f ca="1"/>
        <v>42371</v>
      </c>
      <c r="B5481" s="5">
        <f t="shared" si="782"/>
        <v>79.709999999999994</v>
      </c>
      <c r="C5481" s="6"/>
      <c r="D5481" s="5"/>
    </row>
    <row r="5482" spans="1:4" ht="13" thickBot="1" x14ac:dyDescent="0.3">
      <c r="A5482" s="9">
        <f ca="1"/>
        <v>42372</v>
      </c>
      <c r="B5482" s="5">
        <f t="shared" si="782"/>
        <v>79.709999999999994</v>
      </c>
      <c r="C5482" s="6"/>
      <c r="D5482" s="5"/>
    </row>
    <row r="5483" spans="1:4" ht="13" thickBot="1" x14ac:dyDescent="0.3">
      <c r="A5483" s="9">
        <f ca="1"/>
        <v>42373</v>
      </c>
      <c r="B5483" s="6">
        <v>76.739999999999995</v>
      </c>
      <c r="C5483" s="6"/>
      <c r="D5483" s="5"/>
    </row>
    <row r="5484" spans="1:4" ht="13" thickBot="1" x14ac:dyDescent="0.3">
      <c r="A5484" s="9">
        <f ca="1"/>
        <v>42374</v>
      </c>
      <c r="B5484" s="6">
        <v>76.33</v>
      </c>
      <c r="C5484" s="6"/>
      <c r="D5484" s="5"/>
    </row>
    <row r="5485" spans="1:4" ht="13" thickBot="1" x14ac:dyDescent="0.3">
      <c r="A5485" s="9">
        <f ca="1"/>
        <v>42375</v>
      </c>
      <c r="B5485" s="6">
        <v>76.81</v>
      </c>
      <c r="C5485" s="6"/>
      <c r="D5485" s="5"/>
    </row>
    <row r="5486" spans="1:4" ht="13" thickBot="1" x14ac:dyDescent="0.3">
      <c r="A5486" s="9">
        <f ca="1"/>
        <v>42376</v>
      </c>
      <c r="B5486" s="6">
        <v>76.900000000000006</v>
      </c>
      <c r="C5486" s="6"/>
      <c r="D5486" s="5"/>
    </row>
    <row r="5487" spans="1:4" ht="13" thickBot="1" x14ac:dyDescent="0.3">
      <c r="A5487" s="9">
        <f ca="1"/>
        <v>42377</v>
      </c>
      <c r="B5487" s="6">
        <v>78.27</v>
      </c>
      <c r="C5487" s="6"/>
      <c r="D5487" s="5"/>
    </row>
    <row r="5488" spans="1:4" ht="13" thickBot="1" x14ac:dyDescent="0.3">
      <c r="A5488" s="9">
        <f ca="1"/>
        <v>42378</v>
      </c>
      <c r="B5488" s="5">
        <f t="shared" ref="B5488:B5489" si="783">B5487</f>
        <v>78.27</v>
      </c>
      <c r="C5488" s="6"/>
      <c r="D5488" s="5"/>
    </row>
    <row r="5489" spans="1:4" ht="13" thickBot="1" x14ac:dyDescent="0.3">
      <c r="A5489" s="9">
        <f ca="1"/>
        <v>42379</v>
      </c>
      <c r="B5489" s="5">
        <f t="shared" si="783"/>
        <v>78.27</v>
      </c>
      <c r="C5489" s="6"/>
      <c r="D5489" s="5"/>
    </row>
    <row r="5490" spans="1:4" ht="13" thickBot="1" x14ac:dyDescent="0.3">
      <c r="A5490" s="9">
        <f ca="1"/>
        <v>42380</v>
      </c>
      <c r="B5490" s="6">
        <v>78.13</v>
      </c>
      <c r="C5490" s="6"/>
      <c r="D5490" s="5"/>
    </row>
    <row r="5491" spans="1:4" ht="13" thickBot="1" x14ac:dyDescent="0.3">
      <c r="A5491" s="9">
        <f ca="1"/>
        <v>42381</v>
      </c>
      <c r="B5491" s="6">
        <v>80.959999999999994</v>
      </c>
      <c r="C5491" s="6"/>
      <c r="D5491" s="5"/>
    </row>
    <row r="5492" spans="1:4" ht="13" thickBot="1" x14ac:dyDescent="0.3">
      <c r="A5492" s="9">
        <f ca="1"/>
        <v>42382</v>
      </c>
      <c r="B5492" s="6">
        <v>80.39</v>
      </c>
      <c r="C5492" s="6"/>
      <c r="D5492" s="5"/>
    </row>
    <row r="5493" spans="1:4" ht="13" thickBot="1" x14ac:dyDescent="0.3">
      <c r="A5493" s="9">
        <f ca="1"/>
        <v>42383</v>
      </c>
      <c r="B5493" s="6">
        <v>79.41</v>
      </c>
      <c r="C5493" s="6"/>
      <c r="D5493" s="5"/>
    </row>
    <row r="5494" spans="1:4" ht="13" thickBot="1" x14ac:dyDescent="0.3">
      <c r="A5494" s="9">
        <f ca="1"/>
        <v>42384</v>
      </c>
      <c r="B5494" s="6">
        <v>77.239999999999995</v>
      </c>
      <c r="C5494" s="6"/>
      <c r="D5494" s="5"/>
    </row>
    <row r="5495" spans="1:4" ht="13" thickBot="1" x14ac:dyDescent="0.3">
      <c r="A5495" s="9">
        <f ca="1"/>
        <v>42385</v>
      </c>
      <c r="B5495" s="5">
        <f t="shared" ref="B5495:B5497" si="784">B5494</f>
        <v>77.239999999999995</v>
      </c>
      <c r="C5495" s="6"/>
      <c r="D5495" s="5"/>
    </row>
    <row r="5496" spans="1:4" ht="13" thickBot="1" x14ac:dyDescent="0.3">
      <c r="A5496" s="9">
        <f ca="1"/>
        <v>42386</v>
      </c>
      <c r="B5496" s="5">
        <f t="shared" si="784"/>
        <v>77.239999999999995</v>
      </c>
      <c r="C5496" s="6"/>
      <c r="D5496" s="5"/>
    </row>
    <row r="5497" spans="1:4" ht="13" thickBot="1" x14ac:dyDescent="0.3">
      <c r="A5497" s="9">
        <f ca="1"/>
        <v>42387</v>
      </c>
      <c r="B5497" s="5">
        <f t="shared" si="784"/>
        <v>77.239999999999995</v>
      </c>
      <c r="C5497" s="6"/>
      <c r="D5497" s="5"/>
    </row>
    <row r="5498" spans="1:4" ht="13" thickBot="1" x14ac:dyDescent="0.3">
      <c r="A5498" s="9">
        <f ca="1"/>
        <v>42388</v>
      </c>
      <c r="B5498" s="6">
        <v>78.790000000000006</v>
      </c>
      <c r="C5498" s="6"/>
      <c r="D5498" s="5"/>
    </row>
    <row r="5499" spans="1:4" ht="13" thickBot="1" x14ac:dyDescent="0.3">
      <c r="A5499" s="9">
        <f ca="1"/>
        <v>42389</v>
      </c>
      <c r="B5499" s="6">
        <v>77.67</v>
      </c>
      <c r="C5499" s="6"/>
      <c r="D5499" s="5"/>
    </row>
    <row r="5500" spans="1:4" ht="13" thickBot="1" x14ac:dyDescent="0.3">
      <c r="A5500" s="9">
        <f ca="1"/>
        <v>42390</v>
      </c>
      <c r="B5500" s="6">
        <v>77.430000000000007</v>
      </c>
      <c r="C5500" s="6"/>
      <c r="D5500" s="5"/>
    </row>
    <row r="5501" spans="1:4" ht="13" thickBot="1" x14ac:dyDescent="0.3">
      <c r="A5501" s="9">
        <f ca="1"/>
        <v>42391</v>
      </c>
      <c r="B5501" s="6">
        <v>77.69</v>
      </c>
      <c r="C5501" s="6"/>
      <c r="D5501" s="5"/>
    </row>
    <row r="5502" spans="1:4" ht="13" thickBot="1" x14ac:dyDescent="0.3">
      <c r="A5502" s="9">
        <f ca="1"/>
        <v>42392</v>
      </c>
      <c r="B5502" s="5">
        <f t="shared" ref="B5502:B5503" si="785">B5501</f>
        <v>77.69</v>
      </c>
      <c r="C5502" s="6"/>
      <c r="D5502" s="5"/>
    </row>
    <row r="5503" spans="1:4" ht="13" thickBot="1" x14ac:dyDescent="0.3">
      <c r="A5503" s="9">
        <f ca="1"/>
        <v>42393</v>
      </c>
      <c r="B5503" s="5">
        <f t="shared" si="785"/>
        <v>77.69</v>
      </c>
      <c r="C5503" s="6"/>
      <c r="D5503" s="5"/>
    </row>
    <row r="5504" spans="1:4" ht="13" thickBot="1" x14ac:dyDescent="0.3">
      <c r="A5504" s="9">
        <f ca="1"/>
        <v>42394</v>
      </c>
      <c r="B5504" s="6">
        <v>78.55</v>
      </c>
      <c r="C5504" s="6"/>
      <c r="D5504" s="5"/>
    </row>
    <row r="5505" spans="1:4" ht="13" thickBot="1" x14ac:dyDescent="0.3">
      <c r="A5505" s="9">
        <f ca="1"/>
        <v>42395</v>
      </c>
      <c r="B5505" s="6">
        <v>77.959999999999994</v>
      </c>
      <c r="C5505" s="6"/>
      <c r="D5505" s="5"/>
    </row>
    <row r="5506" spans="1:4" ht="13" thickBot="1" x14ac:dyDescent="0.3">
      <c r="A5506" s="9">
        <f ca="1"/>
        <v>42396</v>
      </c>
      <c r="B5506" s="6">
        <v>79.040000000000006</v>
      </c>
      <c r="C5506" s="6"/>
      <c r="D5506" s="5"/>
    </row>
    <row r="5507" spans="1:4" ht="13" thickBot="1" x14ac:dyDescent="0.3">
      <c r="A5507" s="9">
        <f ca="1"/>
        <v>42397</v>
      </c>
      <c r="B5507" s="6">
        <v>78.819999999999993</v>
      </c>
      <c r="C5507" s="6"/>
      <c r="D5507" s="5"/>
    </row>
    <row r="5508" spans="1:4" ht="13" thickBot="1" x14ac:dyDescent="0.3">
      <c r="A5508" s="9">
        <f ca="1"/>
        <v>42398</v>
      </c>
      <c r="B5508" s="6">
        <v>78.22</v>
      </c>
      <c r="C5508" s="6"/>
      <c r="D5508" s="5"/>
    </row>
    <row r="5509" spans="1:4" ht="13" thickBot="1" x14ac:dyDescent="0.3">
      <c r="A5509" s="9">
        <f ca="1"/>
        <v>42399</v>
      </c>
      <c r="B5509" s="5">
        <f t="shared" ref="B5509:B5510" si="786">B5508</f>
        <v>78.22</v>
      </c>
      <c r="C5509" s="6"/>
      <c r="D5509" s="5"/>
    </row>
    <row r="5510" spans="1:4" ht="13" thickBot="1" x14ac:dyDescent="0.3">
      <c r="A5510" s="9">
        <f ca="1"/>
        <v>42400</v>
      </c>
      <c r="B5510" s="5">
        <f t="shared" si="786"/>
        <v>78.22</v>
      </c>
      <c r="C5510" s="6"/>
      <c r="D5510" s="5"/>
    </row>
    <row r="5511" spans="1:4" ht="13" thickBot="1" x14ac:dyDescent="0.3">
      <c r="A5511" s="9">
        <f ca="1"/>
        <v>42401</v>
      </c>
      <c r="B5511" s="6">
        <v>78.67</v>
      </c>
      <c r="C5511" s="6"/>
      <c r="D5511" s="5"/>
    </row>
    <row r="5512" spans="1:4" ht="13" thickBot="1" x14ac:dyDescent="0.3">
      <c r="A5512" s="9">
        <f ca="1"/>
        <v>42402</v>
      </c>
      <c r="B5512" s="6">
        <v>78.47</v>
      </c>
      <c r="C5512" s="6"/>
      <c r="D5512" s="5"/>
    </row>
    <row r="5513" spans="1:4" ht="13" thickBot="1" x14ac:dyDescent="0.3">
      <c r="A5513" s="9">
        <f ca="1"/>
        <v>42403</v>
      </c>
      <c r="B5513" s="6">
        <v>78.61</v>
      </c>
      <c r="C5513" s="6"/>
      <c r="D5513" s="5"/>
    </row>
    <row r="5514" spans="1:4" ht="13" thickBot="1" x14ac:dyDescent="0.3">
      <c r="A5514" s="9">
        <f ca="1"/>
        <v>42404</v>
      </c>
      <c r="B5514" s="6">
        <v>77.790000000000006</v>
      </c>
      <c r="C5514" s="6"/>
      <c r="D5514" s="5"/>
    </row>
    <row r="5515" spans="1:4" ht="13" thickBot="1" x14ac:dyDescent="0.3">
      <c r="A5515" s="9">
        <f ca="1"/>
        <v>42405</v>
      </c>
      <c r="B5515" s="6">
        <v>77.39</v>
      </c>
      <c r="C5515" s="6"/>
      <c r="D5515" s="5"/>
    </row>
    <row r="5516" spans="1:4" ht="13" thickBot="1" x14ac:dyDescent="0.3">
      <c r="A5516" s="9">
        <f ca="1"/>
        <v>42406</v>
      </c>
      <c r="B5516" s="5">
        <f t="shared" ref="B5516:B5517" si="787">B5515</f>
        <v>77.39</v>
      </c>
      <c r="C5516" s="6"/>
      <c r="D5516" s="5"/>
    </row>
    <row r="5517" spans="1:4" ht="13" thickBot="1" x14ac:dyDescent="0.3">
      <c r="A5517" s="9">
        <f ca="1"/>
        <v>42407</v>
      </c>
      <c r="B5517" s="5">
        <f t="shared" si="787"/>
        <v>77.39</v>
      </c>
      <c r="C5517" s="6"/>
      <c r="D5517" s="5"/>
    </row>
    <row r="5518" spans="1:4" ht="13" thickBot="1" x14ac:dyDescent="0.3">
      <c r="A5518" s="9">
        <f ca="1"/>
        <v>42408</v>
      </c>
      <c r="B5518" s="6">
        <v>73.760000000000005</v>
      </c>
      <c r="C5518" s="6"/>
      <c r="D5518" s="5"/>
    </row>
    <row r="5519" spans="1:4" ht="13" thickBot="1" x14ac:dyDescent="0.3">
      <c r="A5519" s="9">
        <f ca="1"/>
        <v>42409</v>
      </c>
      <c r="B5519" s="6">
        <v>73.48</v>
      </c>
      <c r="C5519" s="6"/>
      <c r="D5519" s="5"/>
    </row>
    <row r="5520" spans="1:4" ht="13" thickBot="1" x14ac:dyDescent="0.3">
      <c r="A5520" s="9">
        <f ca="1"/>
        <v>42410</v>
      </c>
      <c r="B5520" s="6">
        <v>75.569999999999993</v>
      </c>
      <c r="C5520" s="6"/>
      <c r="D5520" s="5"/>
    </row>
    <row r="5521" spans="1:4" ht="13" thickBot="1" x14ac:dyDescent="0.3">
      <c r="A5521" s="9">
        <f ca="1"/>
        <v>42411</v>
      </c>
      <c r="B5521" s="6">
        <v>74.58</v>
      </c>
      <c r="C5521" s="6"/>
      <c r="D5521" s="5"/>
    </row>
    <row r="5522" spans="1:4" ht="13" thickBot="1" x14ac:dyDescent="0.3">
      <c r="A5522" s="9">
        <f ca="1"/>
        <v>42412</v>
      </c>
      <c r="B5522" s="6">
        <v>73.36</v>
      </c>
      <c r="C5522" s="6"/>
      <c r="D5522" s="5"/>
    </row>
    <row r="5523" spans="1:4" ht="13" thickBot="1" x14ac:dyDescent="0.3">
      <c r="A5523" s="9">
        <f ca="1"/>
        <v>42413</v>
      </c>
      <c r="B5523" s="5">
        <f t="shared" ref="B5523:B5525" si="788">B5522</f>
        <v>73.36</v>
      </c>
      <c r="C5523" s="6"/>
      <c r="D5523" s="5"/>
    </row>
    <row r="5524" spans="1:4" ht="13" thickBot="1" x14ac:dyDescent="0.3">
      <c r="A5524" s="9">
        <f ca="1"/>
        <v>42414</v>
      </c>
      <c r="B5524" s="5">
        <f t="shared" si="788"/>
        <v>73.36</v>
      </c>
      <c r="C5524" s="6"/>
      <c r="D5524" s="5"/>
    </row>
    <row r="5525" spans="1:4" ht="13" thickBot="1" x14ac:dyDescent="0.3">
      <c r="A5525" s="9">
        <f ca="1"/>
        <v>42415</v>
      </c>
      <c r="B5525" s="5">
        <f t="shared" si="788"/>
        <v>73.36</v>
      </c>
      <c r="C5525" s="6"/>
      <c r="D5525" s="5"/>
    </row>
    <row r="5526" spans="1:4" ht="13" thickBot="1" x14ac:dyDescent="0.3">
      <c r="A5526" s="9">
        <f ca="1"/>
        <v>42416</v>
      </c>
      <c r="B5526" s="6">
        <v>74.95</v>
      </c>
      <c r="C5526" s="6"/>
      <c r="D5526" s="5"/>
    </row>
    <row r="5527" spans="1:4" ht="13" thickBot="1" x14ac:dyDescent="0.3">
      <c r="A5527" s="9">
        <f ca="1"/>
        <v>42417</v>
      </c>
      <c r="B5527" s="6">
        <v>76.12</v>
      </c>
      <c r="C5527" s="6"/>
      <c r="D5527" s="5"/>
    </row>
    <row r="5528" spans="1:4" ht="13" thickBot="1" x14ac:dyDescent="0.3">
      <c r="A5528" s="9">
        <f ca="1"/>
        <v>42418</v>
      </c>
      <c r="B5528" s="6">
        <v>77.27</v>
      </c>
      <c r="C5528" s="6"/>
      <c r="D5528" s="5"/>
    </row>
    <row r="5529" spans="1:4" ht="13" thickBot="1" x14ac:dyDescent="0.3">
      <c r="A5529" s="9">
        <f ca="1"/>
        <v>42419</v>
      </c>
      <c r="B5529" s="6">
        <v>76.56</v>
      </c>
      <c r="C5529" s="6"/>
      <c r="D5529" s="5"/>
    </row>
    <row r="5530" spans="1:4" ht="13" thickBot="1" x14ac:dyDescent="0.3">
      <c r="A5530" s="9">
        <f ca="1"/>
        <v>42420</v>
      </c>
      <c r="B5530" s="5">
        <f t="shared" ref="B5530:B5531" si="789">B5529</f>
        <v>76.56</v>
      </c>
      <c r="C5530" s="6"/>
      <c r="D5530" s="5"/>
    </row>
    <row r="5531" spans="1:4" ht="13" thickBot="1" x14ac:dyDescent="0.3">
      <c r="A5531" s="9">
        <f ca="1"/>
        <v>42421</v>
      </c>
      <c r="B5531" s="5">
        <f t="shared" si="789"/>
        <v>76.56</v>
      </c>
      <c r="C5531" s="6"/>
      <c r="D5531" s="5"/>
    </row>
    <row r="5532" spans="1:4" ht="13" thickBot="1" x14ac:dyDescent="0.3">
      <c r="A5532" s="9">
        <f ca="1"/>
        <v>42422</v>
      </c>
      <c r="B5532" s="6">
        <v>77.27</v>
      </c>
      <c r="C5532" s="6"/>
      <c r="D5532" s="5"/>
    </row>
    <row r="5533" spans="1:4" ht="13" thickBot="1" x14ac:dyDescent="0.3">
      <c r="A5533" s="9">
        <f ca="1"/>
        <v>42423</v>
      </c>
      <c r="B5533" s="6">
        <v>77.319999999999993</v>
      </c>
      <c r="C5533" s="6"/>
      <c r="D5533" s="5"/>
    </row>
    <row r="5534" spans="1:4" ht="13" thickBot="1" x14ac:dyDescent="0.3">
      <c r="A5534" s="9">
        <f ca="1"/>
        <v>42424</v>
      </c>
      <c r="B5534" s="6">
        <v>75.11</v>
      </c>
      <c r="C5534" s="6"/>
      <c r="D5534" s="5"/>
    </row>
    <row r="5535" spans="1:4" ht="13" thickBot="1" x14ac:dyDescent="0.3">
      <c r="A5535" s="9">
        <f ca="1"/>
        <v>42425</v>
      </c>
      <c r="B5535" s="6">
        <v>77.2</v>
      </c>
      <c r="C5535" s="6"/>
      <c r="D5535" s="5"/>
    </row>
    <row r="5536" spans="1:4" ht="13" thickBot="1" x14ac:dyDescent="0.3">
      <c r="A5536" s="9">
        <f ca="1"/>
        <v>42426</v>
      </c>
      <c r="B5536" s="6">
        <v>77.34</v>
      </c>
      <c r="C5536" s="6"/>
      <c r="D5536" s="5"/>
    </row>
    <row r="5537" spans="1:4" ht="13" thickBot="1" x14ac:dyDescent="0.3">
      <c r="A5537" s="9">
        <f ca="1"/>
        <v>42427</v>
      </c>
      <c r="B5537" s="5">
        <f t="shared" ref="B5537:B5538" si="790">B5536</f>
        <v>77.34</v>
      </c>
      <c r="C5537" s="6"/>
      <c r="D5537" s="5"/>
    </row>
    <row r="5538" spans="1:4" ht="13" thickBot="1" x14ac:dyDescent="0.3">
      <c r="A5538" s="9">
        <f ca="1"/>
        <v>42428</v>
      </c>
      <c r="B5538" s="5">
        <f t="shared" si="790"/>
        <v>77.34</v>
      </c>
      <c r="C5538" s="6"/>
      <c r="D5538" s="5"/>
    </row>
    <row r="5539" spans="1:4" ht="13" thickBot="1" x14ac:dyDescent="0.3">
      <c r="A5539" s="9">
        <f ca="1"/>
        <v>42429</v>
      </c>
      <c r="B5539" s="6">
        <v>75.37</v>
      </c>
      <c r="C5539" s="6"/>
      <c r="D5539" s="5"/>
    </row>
    <row r="5540" spans="1:4" ht="13" thickBot="1" x14ac:dyDescent="0.3">
      <c r="A5540" s="9">
        <f ca="1"/>
        <v>42430</v>
      </c>
      <c r="B5540" s="6">
        <v>76.790000000000006</v>
      </c>
      <c r="C5540" s="6"/>
      <c r="D5540" s="5"/>
    </row>
    <row r="5541" spans="1:4" ht="13" thickBot="1" x14ac:dyDescent="0.3">
      <c r="A5541" s="9">
        <f ca="1"/>
        <v>42431</v>
      </c>
      <c r="B5541" s="6">
        <v>77.099999999999994</v>
      </c>
      <c r="C5541" s="6"/>
      <c r="D5541" s="5"/>
    </row>
    <row r="5542" spans="1:4" ht="13" thickBot="1" x14ac:dyDescent="0.3">
      <c r="A5542" s="9">
        <f ca="1"/>
        <v>42432</v>
      </c>
      <c r="B5542" s="6">
        <v>76.3</v>
      </c>
      <c r="C5542" s="6"/>
      <c r="D5542" s="5"/>
    </row>
    <row r="5543" spans="1:4" ht="13" thickBot="1" x14ac:dyDescent="0.3">
      <c r="A5543" s="9">
        <f ca="1"/>
        <v>42433</v>
      </c>
      <c r="B5543" s="6">
        <v>77</v>
      </c>
      <c r="C5543" s="6"/>
      <c r="D5543" s="5"/>
    </row>
    <row r="5544" spans="1:4" ht="13" thickBot="1" x14ac:dyDescent="0.3">
      <c r="A5544" s="9">
        <f ca="1"/>
        <v>42434</v>
      </c>
      <c r="B5544" s="5">
        <f t="shared" ref="B5544:B5545" si="791">B5543</f>
        <v>77</v>
      </c>
      <c r="C5544" s="6"/>
      <c r="D5544" s="5"/>
    </row>
    <row r="5545" spans="1:4" ht="13" thickBot="1" x14ac:dyDescent="0.3">
      <c r="A5545" s="9">
        <f ca="1"/>
        <v>42435</v>
      </c>
      <c r="B5545" s="5">
        <f t="shared" si="791"/>
        <v>77</v>
      </c>
      <c r="C5545" s="6"/>
      <c r="D5545" s="5"/>
    </row>
    <row r="5546" spans="1:4" ht="13" thickBot="1" x14ac:dyDescent="0.3">
      <c r="A5546" s="9">
        <f ca="1"/>
        <v>42436</v>
      </c>
      <c r="B5546" s="6">
        <v>76.400000000000006</v>
      </c>
      <c r="C5546" s="6"/>
      <c r="D5546" s="5"/>
    </row>
    <row r="5547" spans="1:4" ht="13" thickBot="1" x14ac:dyDescent="0.3">
      <c r="A5547" s="9">
        <f ca="1"/>
        <v>42437</v>
      </c>
      <c r="B5547" s="6">
        <v>76.3</v>
      </c>
      <c r="C5547" s="6"/>
      <c r="D5547" s="5"/>
    </row>
    <row r="5548" spans="1:4" ht="13" thickBot="1" x14ac:dyDescent="0.3">
      <c r="A5548" s="9">
        <f ca="1"/>
        <v>42438</v>
      </c>
      <c r="B5548" s="6">
        <v>77.17</v>
      </c>
      <c r="C5548" s="6"/>
      <c r="D5548" s="5"/>
    </row>
    <row r="5549" spans="1:4" ht="13" thickBot="1" x14ac:dyDescent="0.3">
      <c r="A5549" s="9">
        <f ca="1"/>
        <v>42439</v>
      </c>
      <c r="B5549" s="6">
        <v>77.88</v>
      </c>
      <c r="C5549" s="6"/>
      <c r="D5549" s="5"/>
    </row>
    <row r="5550" spans="1:4" ht="13" thickBot="1" x14ac:dyDescent="0.3">
      <c r="A5550" s="9">
        <f ca="1"/>
        <v>42440</v>
      </c>
      <c r="B5550" s="6">
        <v>77.61</v>
      </c>
      <c r="C5550" s="6"/>
      <c r="D5550" s="5"/>
    </row>
    <row r="5551" spans="1:4" ht="13" thickBot="1" x14ac:dyDescent="0.3">
      <c r="A5551" s="9">
        <f ca="1"/>
        <v>42441</v>
      </c>
      <c r="B5551" s="5">
        <f t="shared" ref="B5551:B5552" si="792">B5550</f>
        <v>77.61</v>
      </c>
      <c r="C5551" s="6"/>
      <c r="D5551" s="5"/>
    </row>
    <row r="5552" spans="1:4" ht="13" thickBot="1" x14ac:dyDescent="0.3">
      <c r="A5552" s="9">
        <f ca="1"/>
        <v>42442</v>
      </c>
      <c r="B5552" s="5">
        <f t="shared" si="792"/>
        <v>77.61</v>
      </c>
      <c r="C5552" s="6"/>
      <c r="D5552" s="5"/>
    </row>
    <row r="5553" spans="1:4" ht="13" thickBot="1" x14ac:dyDescent="0.3">
      <c r="A5553" s="9">
        <f ca="1"/>
        <v>42443</v>
      </c>
      <c r="B5553" s="6">
        <v>78.819999999999993</v>
      </c>
      <c r="C5553" s="6"/>
      <c r="D5553" s="5"/>
    </row>
    <row r="5554" spans="1:4" ht="13" thickBot="1" x14ac:dyDescent="0.3">
      <c r="A5554" s="9">
        <f ca="1"/>
        <v>42444</v>
      </c>
      <c r="B5554" s="6">
        <v>78.98</v>
      </c>
      <c r="C5554" s="6"/>
      <c r="D5554" s="5"/>
    </row>
    <row r="5555" spans="1:4" ht="13" thickBot="1" x14ac:dyDescent="0.3">
      <c r="A5555" s="9">
        <f ca="1"/>
        <v>42445</v>
      </c>
      <c r="B5555" s="6">
        <v>78.98</v>
      </c>
      <c r="C5555" s="6"/>
      <c r="D5555" s="5"/>
    </row>
    <row r="5556" spans="1:4" ht="13" thickBot="1" x14ac:dyDescent="0.3">
      <c r="A5556" s="9">
        <f ca="1"/>
        <v>42446</v>
      </c>
      <c r="B5556" s="6">
        <v>79.209999999999994</v>
      </c>
      <c r="C5556" s="6"/>
      <c r="D5556" s="5"/>
    </row>
    <row r="5557" spans="1:4" ht="13" thickBot="1" x14ac:dyDescent="0.3">
      <c r="A5557" s="9">
        <f ca="1"/>
        <v>42447</v>
      </c>
      <c r="B5557" s="6">
        <v>79.55</v>
      </c>
      <c r="C5557" s="6"/>
      <c r="D5557" s="5"/>
    </row>
    <row r="5558" spans="1:4" ht="13" thickBot="1" x14ac:dyDescent="0.3">
      <c r="A5558" s="9">
        <f ca="1"/>
        <v>42448</v>
      </c>
      <c r="B5558" s="5">
        <f t="shared" ref="B5558:B5559" si="793">B5557</f>
        <v>79.55</v>
      </c>
      <c r="C5558" s="6"/>
      <c r="D5558" s="5"/>
    </row>
    <row r="5559" spans="1:4" ht="13" thickBot="1" x14ac:dyDescent="0.3">
      <c r="A5559" s="9">
        <f ca="1"/>
        <v>42449</v>
      </c>
      <c r="B5559" s="5">
        <f t="shared" si="793"/>
        <v>79.55</v>
      </c>
      <c r="C5559" s="6"/>
      <c r="D5559" s="5"/>
    </row>
    <row r="5560" spans="1:4" ht="13" thickBot="1" x14ac:dyDescent="0.3">
      <c r="A5560" s="9">
        <f ca="1"/>
        <v>42450</v>
      </c>
      <c r="B5560" s="6">
        <v>79.55</v>
      </c>
      <c r="C5560" s="6"/>
      <c r="D5560" s="5"/>
    </row>
    <row r="5561" spans="1:4" ht="13" thickBot="1" x14ac:dyDescent="0.3">
      <c r="A5561" s="9">
        <f ca="1"/>
        <v>42451</v>
      </c>
      <c r="B5561" s="6">
        <v>78.92</v>
      </c>
      <c r="C5561" s="6"/>
      <c r="D5561" s="5"/>
    </row>
    <row r="5562" spans="1:4" ht="13" thickBot="1" x14ac:dyDescent="0.3">
      <c r="A5562" s="9">
        <f ca="1"/>
        <v>42452</v>
      </c>
      <c r="B5562" s="6">
        <v>80.150000000000006</v>
      </c>
      <c r="C5562" s="6"/>
      <c r="D5562" s="5"/>
    </row>
    <row r="5563" spans="1:4" ht="13" thickBot="1" x14ac:dyDescent="0.3">
      <c r="A5563" s="9">
        <f ca="1"/>
        <v>42453</v>
      </c>
      <c r="B5563" s="6">
        <v>79.19</v>
      </c>
      <c r="C5563" s="6"/>
      <c r="D5563" s="5"/>
    </row>
    <row r="5564" spans="1:4" ht="13" thickBot="1" x14ac:dyDescent="0.3">
      <c r="A5564" s="9">
        <f ca="1"/>
        <v>42454</v>
      </c>
      <c r="B5564" s="5">
        <f t="shared" ref="B5564:B5566" si="794">B5563</f>
        <v>79.19</v>
      </c>
      <c r="C5564" s="6"/>
      <c r="D5564" s="5"/>
    </row>
    <row r="5565" spans="1:4" ht="13" thickBot="1" x14ac:dyDescent="0.3">
      <c r="A5565" s="9">
        <f ca="1"/>
        <v>42455</v>
      </c>
      <c r="B5565" s="5">
        <f t="shared" si="794"/>
        <v>79.19</v>
      </c>
      <c r="C5565" s="6"/>
      <c r="D5565" s="5"/>
    </row>
    <row r="5566" spans="1:4" ht="13" thickBot="1" x14ac:dyDescent="0.3">
      <c r="A5566" s="9">
        <f ca="1"/>
        <v>42456</v>
      </c>
      <c r="B5566" s="5">
        <f t="shared" si="794"/>
        <v>79.19</v>
      </c>
      <c r="C5566" s="6"/>
      <c r="D5566" s="5"/>
    </row>
    <row r="5567" spans="1:4" ht="13" thickBot="1" x14ac:dyDescent="0.3">
      <c r="A5567" s="9">
        <f ca="1"/>
        <v>42457</v>
      </c>
      <c r="B5567" s="6">
        <v>79.78</v>
      </c>
      <c r="C5567" s="6"/>
      <c r="D5567" s="5"/>
    </row>
    <row r="5568" spans="1:4" ht="13" thickBot="1" x14ac:dyDescent="0.3">
      <c r="A5568" s="9">
        <f ca="1"/>
        <v>42458</v>
      </c>
      <c r="B5568" s="6">
        <v>78.89</v>
      </c>
      <c r="C5568" s="6"/>
      <c r="D5568" s="5"/>
    </row>
    <row r="5569" spans="1:4" ht="13" thickBot="1" x14ac:dyDescent="0.3">
      <c r="A5569" s="9">
        <f ca="1"/>
        <v>42459</v>
      </c>
      <c r="B5569" s="6">
        <v>80.66</v>
      </c>
      <c r="C5569" s="6"/>
      <c r="D5569" s="5"/>
    </row>
    <row r="5570" spans="1:4" ht="13" thickBot="1" x14ac:dyDescent="0.3">
      <c r="A5570" s="9">
        <f ca="1"/>
        <v>42460</v>
      </c>
      <c r="B5570" s="6">
        <v>80.95</v>
      </c>
      <c r="C5570" s="6"/>
      <c r="D5570" s="5"/>
    </row>
    <row r="5571" spans="1:4" ht="13" thickBot="1" x14ac:dyDescent="0.3">
      <c r="A5571" s="9">
        <f ca="1"/>
        <v>42461</v>
      </c>
      <c r="B5571" s="6">
        <v>78.72</v>
      </c>
      <c r="C5571" s="6"/>
      <c r="D5571" s="5"/>
    </row>
    <row r="5572" spans="1:4" ht="13" thickBot="1" x14ac:dyDescent="0.3">
      <c r="A5572" s="9">
        <f ca="1"/>
        <v>42462</v>
      </c>
      <c r="B5572" s="5">
        <f t="shared" ref="B5572:B5573" si="795">B5571</f>
        <v>78.72</v>
      </c>
      <c r="C5572" s="6"/>
      <c r="D5572" s="5"/>
    </row>
    <row r="5573" spans="1:4" ht="13" thickBot="1" x14ac:dyDescent="0.3">
      <c r="A5573" s="9">
        <f ca="1"/>
        <v>42463</v>
      </c>
      <c r="B5573" s="5">
        <f t="shared" si="795"/>
        <v>78.72</v>
      </c>
      <c r="C5573" s="6"/>
      <c r="D5573" s="5"/>
    </row>
    <row r="5574" spans="1:4" ht="13" thickBot="1" x14ac:dyDescent="0.3">
      <c r="A5574" s="9">
        <f ca="1"/>
        <v>42464</v>
      </c>
      <c r="B5574" s="6">
        <v>79.900000000000006</v>
      </c>
      <c r="C5574" s="6"/>
      <c r="D5574" s="5"/>
    </row>
    <row r="5575" spans="1:4" ht="13" thickBot="1" x14ac:dyDescent="0.3">
      <c r="A5575" s="9">
        <f ca="1"/>
        <v>42465</v>
      </c>
      <c r="B5575" s="6">
        <v>78.34</v>
      </c>
      <c r="C5575" s="6"/>
      <c r="D5575" s="5"/>
    </row>
    <row r="5576" spans="1:4" ht="13" thickBot="1" x14ac:dyDescent="0.3">
      <c r="A5576" s="9">
        <f ca="1"/>
        <v>42466</v>
      </c>
      <c r="B5576" s="6">
        <v>77.8</v>
      </c>
      <c r="C5576" s="6"/>
      <c r="D5576" s="5"/>
    </row>
    <row r="5577" spans="1:4" ht="13" thickBot="1" x14ac:dyDescent="0.3">
      <c r="A5577" s="9">
        <f ca="1"/>
        <v>42467</v>
      </c>
      <c r="B5577" s="6">
        <v>77.66</v>
      </c>
      <c r="C5577" s="6"/>
      <c r="D5577" s="5"/>
    </row>
    <row r="5578" spans="1:4" ht="13" thickBot="1" x14ac:dyDescent="0.3">
      <c r="A5578" s="9">
        <f ca="1"/>
        <v>42468</v>
      </c>
      <c r="B5578" s="6">
        <v>77.38</v>
      </c>
      <c r="C5578" s="6"/>
      <c r="D5578" s="5"/>
    </row>
    <row r="5579" spans="1:4" ht="13" thickBot="1" x14ac:dyDescent="0.3">
      <c r="A5579" s="9">
        <f ca="1"/>
        <v>42469</v>
      </c>
      <c r="B5579" s="5">
        <f t="shared" ref="B5579:B5580" si="796">B5578</f>
        <v>77.38</v>
      </c>
      <c r="C5579" s="6"/>
      <c r="D5579" s="5"/>
    </row>
    <row r="5580" spans="1:4" ht="13" thickBot="1" x14ac:dyDescent="0.3">
      <c r="A5580" s="9">
        <f ca="1"/>
        <v>42470</v>
      </c>
      <c r="B5580" s="5">
        <f t="shared" si="796"/>
        <v>77.38</v>
      </c>
      <c r="C5580" s="6"/>
      <c r="D5580" s="5"/>
    </row>
    <row r="5581" spans="1:4" ht="13" thickBot="1" x14ac:dyDescent="0.3">
      <c r="A5581" s="9">
        <f ca="1"/>
        <v>42471</v>
      </c>
      <c r="B5581" s="6">
        <v>77.17</v>
      </c>
      <c r="C5581" s="6"/>
      <c r="D5581" s="5"/>
    </row>
    <row r="5582" spans="1:4" ht="13" thickBot="1" x14ac:dyDescent="0.3">
      <c r="A5582" s="9">
        <f ca="1"/>
        <v>42472</v>
      </c>
      <c r="B5582" s="6">
        <v>77.25</v>
      </c>
      <c r="C5582" s="6"/>
      <c r="D5582" s="5"/>
    </row>
    <row r="5583" spans="1:4" ht="13" thickBot="1" x14ac:dyDescent="0.3">
      <c r="A5583" s="9">
        <f ca="1"/>
        <v>42473</v>
      </c>
      <c r="B5583" s="6">
        <v>77.94</v>
      </c>
      <c r="C5583" s="6"/>
      <c r="D5583" s="5"/>
    </row>
    <row r="5584" spans="1:4" ht="13" thickBot="1" x14ac:dyDescent="0.3">
      <c r="A5584" s="9">
        <f ca="1"/>
        <v>42474</v>
      </c>
      <c r="B5584" s="6">
        <v>78.989999999999995</v>
      </c>
      <c r="C5584" s="6"/>
      <c r="D5584" s="5"/>
    </row>
    <row r="5585" spans="1:4" ht="13" thickBot="1" x14ac:dyDescent="0.3">
      <c r="A5585" s="9">
        <f ca="1"/>
        <v>42475</v>
      </c>
      <c r="B5585" s="6">
        <v>78.89</v>
      </c>
      <c r="C5585" s="6"/>
      <c r="D5585" s="5"/>
    </row>
    <row r="5586" spans="1:4" ht="13" thickBot="1" x14ac:dyDescent="0.3">
      <c r="A5586" s="9">
        <f ca="1"/>
        <v>42476</v>
      </c>
      <c r="B5586" s="5">
        <f t="shared" ref="B5586:B5587" si="797">B5585</f>
        <v>78.89</v>
      </c>
      <c r="C5586" s="6"/>
      <c r="D5586" s="5"/>
    </row>
    <row r="5587" spans="1:4" ht="13" thickBot="1" x14ac:dyDescent="0.3">
      <c r="A5587" s="9">
        <f ca="1"/>
        <v>42477</v>
      </c>
      <c r="B5587" s="5">
        <f t="shared" si="797"/>
        <v>78.89</v>
      </c>
      <c r="C5587" s="6"/>
      <c r="D5587" s="5"/>
    </row>
    <row r="5588" spans="1:4" ht="13" thickBot="1" x14ac:dyDescent="0.3">
      <c r="A5588" s="9">
        <f ca="1"/>
        <v>42478</v>
      </c>
      <c r="B5588" s="6">
        <v>79.02</v>
      </c>
      <c r="C5588" s="6"/>
      <c r="D5588" s="5"/>
    </row>
    <row r="5589" spans="1:4" ht="13" thickBot="1" x14ac:dyDescent="0.3">
      <c r="A5589" s="9">
        <f ca="1"/>
        <v>42479</v>
      </c>
      <c r="B5589" s="6">
        <v>80.97</v>
      </c>
      <c r="C5589" s="6"/>
      <c r="D5589" s="5"/>
    </row>
    <row r="5590" spans="1:4" ht="13" thickBot="1" x14ac:dyDescent="0.3">
      <c r="A5590" s="9">
        <f ca="1"/>
        <v>42480</v>
      </c>
      <c r="B5590" s="6">
        <v>80.25</v>
      </c>
      <c r="C5590" s="6"/>
      <c r="D5590" s="5"/>
    </row>
    <row r="5591" spans="1:4" ht="13" thickBot="1" x14ac:dyDescent="0.3">
      <c r="A5591" s="9">
        <f ca="1"/>
        <v>42481</v>
      </c>
      <c r="B5591" s="6">
        <v>80</v>
      </c>
      <c r="C5591" s="6"/>
      <c r="D5591" s="5"/>
    </row>
    <row r="5592" spans="1:4" ht="13" thickBot="1" x14ac:dyDescent="0.3">
      <c r="A5592" s="9">
        <f ca="1"/>
        <v>42482</v>
      </c>
      <c r="B5592" s="6">
        <v>80.66</v>
      </c>
      <c r="C5592" s="6"/>
      <c r="D5592" s="5"/>
    </row>
    <row r="5593" spans="1:4" ht="13" thickBot="1" x14ac:dyDescent="0.3">
      <c r="A5593" s="9">
        <f ca="1"/>
        <v>42483</v>
      </c>
      <c r="B5593" s="5">
        <f t="shared" ref="B5593:B5594" si="798">B5592</f>
        <v>80.66</v>
      </c>
      <c r="C5593" s="6"/>
      <c r="D5593" s="5"/>
    </row>
    <row r="5594" spans="1:4" ht="13" thickBot="1" x14ac:dyDescent="0.3">
      <c r="A5594" s="9">
        <f ca="1"/>
        <v>42484</v>
      </c>
      <c r="B5594" s="5">
        <f t="shared" si="798"/>
        <v>80.66</v>
      </c>
      <c r="C5594" s="6"/>
      <c r="D5594" s="5"/>
    </row>
    <row r="5595" spans="1:4" ht="13" thickBot="1" x14ac:dyDescent="0.3">
      <c r="A5595" s="9">
        <f ca="1"/>
        <v>42485</v>
      </c>
      <c r="B5595" s="6">
        <v>79.510000000000005</v>
      </c>
      <c r="C5595" s="6"/>
      <c r="D5595" s="5"/>
    </row>
    <row r="5596" spans="1:4" ht="13" thickBot="1" x14ac:dyDescent="0.3">
      <c r="A5596" s="9">
        <f ca="1"/>
        <v>42486</v>
      </c>
      <c r="B5596" s="6">
        <v>79.2</v>
      </c>
      <c r="C5596" s="6"/>
      <c r="D5596" s="5"/>
    </row>
    <row r="5597" spans="1:4" ht="13" thickBot="1" x14ac:dyDescent="0.3">
      <c r="A5597" s="9">
        <f ca="1"/>
        <v>42487</v>
      </c>
      <c r="B5597" s="6">
        <v>80.38</v>
      </c>
      <c r="C5597" s="6"/>
      <c r="D5597" s="5"/>
    </row>
    <row r="5598" spans="1:4" ht="13" thickBot="1" x14ac:dyDescent="0.3">
      <c r="A5598" s="9">
        <f ca="1"/>
        <v>42488</v>
      </c>
      <c r="B5598" s="6">
        <v>79.52</v>
      </c>
      <c r="C5598" s="6"/>
      <c r="D5598" s="5"/>
    </row>
    <row r="5599" spans="1:4" ht="13" thickBot="1" x14ac:dyDescent="0.3">
      <c r="A5599" s="9">
        <f ca="1"/>
        <v>42489</v>
      </c>
      <c r="B5599" s="6">
        <v>78.739999999999995</v>
      </c>
      <c r="C5599" s="6"/>
      <c r="D5599" s="5"/>
    </row>
    <row r="5600" spans="1:4" ht="13" thickBot="1" x14ac:dyDescent="0.3">
      <c r="A5600" s="9">
        <f ca="1"/>
        <v>42490</v>
      </c>
      <c r="B5600" s="5">
        <f t="shared" ref="B5600:B5601" si="799">B5599</f>
        <v>78.739999999999995</v>
      </c>
      <c r="C5600" s="6"/>
      <c r="D5600" s="5"/>
    </row>
    <row r="5601" spans="1:4" ht="13" thickBot="1" x14ac:dyDescent="0.3">
      <c r="A5601" s="9">
        <f ca="1"/>
        <v>42491</v>
      </c>
      <c r="B5601" s="5">
        <f t="shared" si="799"/>
        <v>78.739999999999995</v>
      </c>
      <c r="C5601" s="6"/>
      <c r="D5601" s="5"/>
    </row>
    <row r="5602" spans="1:4" ht="13" thickBot="1" x14ac:dyDescent="0.3">
      <c r="A5602" s="9">
        <f ca="1"/>
        <v>42492</v>
      </c>
      <c r="B5602" s="6">
        <v>79.680000000000007</v>
      </c>
      <c r="C5602" s="6"/>
      <c r="D5602" s="5"/>
    </row>
    <row r="5603" spans="1:4" ht="13" thickBot="1" x14ac:dyDescent="0.3">
      <c r="A5603" s="9">
        <f ca="1"/>
        <v>42493</v>
      </c>
      <c r="B5603" s="6">
        <v>78.819999999999993</v>
      </c>
      <c r="C5603" s="6"/>
      <c r="D5603" s="5"/>
    </row>
    <row r="5604" spans="1:4" ht="13" thickBot="1" x14ac:dyDescent="0.3">
      <c r="A5604" s="9">
        <f ca="1"/>
        <v>42494</v>
      </c>
      <c r="B5604" s="6">
        <v>77.62</v>
      </c>
      <c r="C5604" s="6"/>
      <c r="D5604" s="5"/>
    </row>
    <row r="5605" spans="1:4" ht="13" thickBot="1" x14ac:dyDescent="0.3">
      <c r="A5605" s="9">
        <f ca="1"/>
        <v>42495</v>
      </c>
      <c r="B5605" s="6">
        <v>76.8</v>
      </c>
      <c r="C5605" s="6"/>
      <c r="D5605" s="5"/>
    </row>
    <row r="5606" spans="1:4" ht="13" thickBot="1" x14ac:dyDescent="0.3">
      <c r="A5606" s="9">
        <f ca="1"/>
        <v>42496</v>
      </c>
      <c r="B5606" s="6">
        <v>76.989999999999995</v>
      </c>
      <c r="C5606" s="6"/>
      <c r="D5606" s="5"/>
    </row>
    <row r="5607" spans="1:4" ht="13" thickBot="1" x14ac:dyDescent="0.3">
      <c r="A5607" s="9">
        <f ca="1"/>
        <v>42497</v>
      </c>
      <c r="B5607" s="5">
        <f t="shared" ref="B5607:B5608" si="800">B5606</f>
        <v>76.989999999999995</v>
      </c>
      <c r="C5607" s="6"/>
      <c r="D5607" s="5"/>
    </row>
    <row r="5608" spans="1:4" ht="13" thickBot="1" x14ac:dyDescent="0.3">
      <c r="A5608" s="9">
        <f ca="1"/>
        <v>42498</v>
      </c>
      <c r="B5608" s="5">
        <f t="shared" si="800"/>
        <v>76.989999999999995</v>
      </c>
      <c r="C5608" s="6"/>
      <c r="D5608" s="5"/>
    </row>
    <row r="5609" spans="1:4" ht="13" thickBot="1" x14ac:dyDescent="0.3">
      <c r="A5609" s="9">
        <f ca="1"/>
        <v>42499</v>
      </c>
      <c r="B5609" s="6">
        <v>78.41</v>
      </c>
      <c r="C5609" s="6"/>
      <c r="D5609" s="5"/>
    </row>
    <row r="5610" spans="1:4" ht="13" thickBot="1" x14ac:dyDescent="0.3">
      <c r="A5610" s="9">
        <f ca="1"/>
        <v>42500</v>
      </c>
      <c r="B5610" s="6">
        <v>76.86</v>
      </c>
      <c r="C5610" s="6"/>
      <c r="D5610" s="5"/>
    </row>
    <row r="5611" spans="1:4" ht="13" thickBot="1" x14ac:dyDescent="0.3">
      <c r="A5611" s="9">
        <f ca="1"/>
        <v>42501</v>
      </c>
      <c r="B5611" s="6">
        <v>77</v>
      </c>
      <c r="C5611" s="6"/>
      <c r="D5611" s="5"/>
    </row>
    <row r="5612" spans="1:4" ht="13" thickBot="1" x14ac:dyDescent="0.3">
      <c r="A5612" s="9">
        <f ca="1"/>
        <v>42502</v>
      </c>
      <c r="B5612" s="6">
        <v>77.89</v>
      </c>
      <c r="C5612" s="6"/>
      <c r="D5612" s="5"/>
    </row>
    <row r="5613" spans="1:4" ht="13" thickBot="1" x14ac:dyDescent="0.3">
      <c r="A5613" s="9">
        <f ca="1"/>
        <v>42503</v>
      </c>
      <c r="B5613" s="6">
        <v>77.09</v>
      </c>
      <c r="C5613" s="6"/>
      <c r="D5613" s="5"/>
    </row>
    <row r="5614" spans="1:4" ht="13" thickBot="1" x14ac:dyDescent="0.3">
      <c r="A5614" s="9">
        <f ca="1"/>
        <v>42504</v>
      </c>
      <c r="B5614" s="5">
        <f t="shared" ref="B5614:B5615" si="801">B5613</f>
        <v>77.09</v>
      </c>
      <c r="C5614" s="6"/>
      <c r="D5614" s="5"/>
    </row>
    <row r="5615" spans="1:4" ht="13" thickBot="1" x14ac:dyDescent="0.3">
      <c r="A5615" s="9">
        <f ca="1"/>
        <v>42505</v>
      </c>
      <c r="B5615" s="5">
        <f t="shared" si="801"/>
        <v>77.09</v>
      </c>
      <c r="C5615" s="6"/>
      <c r="D5615" s="5"/>
    </row>
    <row r="5616" spans="1:4" ht="13" thickBot="1" x14ac:dyDescent="0.3">
      <c r="A5616" s="9">
        <f ca="1"/>
        <v>42506</v>
      </c>
      <c r="B5616" s="6">
        <v>77.23</v>
      </c>
      <c r="C5616" s="6"/>
      <c r="D5616" s="5"/>
    </row>
    <row r="5617" spans="1:4" ht="13" thickBot="1" x14ac:dyDescent="0.3">
      <c r="A5617" s="9">
        <f ca="1"/>
        <v>42507</v>
      </c>
      <c r="B5617" s="6">
        <v>77.489999999999995</v>
      </c>
      <c r="C5617" s="6"/>
      <c r="D5617" s="5"/>
    </row>
    <row r="5618" spans="1:4" ht="13" thickBot="1" x14ac:dyDescent="0.3">
      <c r="A5618" s="9">
        <f ca="1"/>
        <v>42508</v>
      </c>
      <c r="B5618" s="6">
        <v>77</v>
      </c>
      <c r="C5618" s="6"/>
      <c r="D5618" s="5"/>
    </row>
    <row r="5619" spans="1:4" ht="13" thickBot="1" x14ac:dyDescent="0.3">
      <c r="A5619" s="9">
        <f ca="1"/>
        <v>42509</v>
      </c>
      <c r="B5619" s="6">
        <v>77.11</v>
      </c>
      <c r="C5619" s="6"/>
      <c r="D5619" s="5"/>
    </row>
    <row r="5620" spans="1:4" ht="13" thickBot="1" x14ac:dyDescent="0.3">
      <c r="A5620" s="9">
        <f ca="1"/>
        <v>42510</v>
      </c>
      <c r="B5620" s="6">
        <v>77.66</v>
      </c>
      <c r="C5620" s="6"/>
      <c r="D5620" s="5"/>
    </row>
    <row r="5621" spans="1:4" ht="13" thickBot="1" x14ac:dyDescent="0.3">
      <c r="A5621" s="9">
        <f ca="1"/>
        <v>42511</v>
      </c>
      <c r="B5621" s="5">
        <f t="shared" ref="B5621:B5622" si="802">B5620</f>
        <v>77.66</v>
      </c>
      <c r="C5621" s="6"/>
      <c r="D5621" s="5"/>
    </row>
    <row r="5622" spans="1:4" ht="13" thickBot="1" x14ac:dyDescent="0.3">
      <c r="A5622" s="9">
        <f ca="1"/>
        <v>42512</v>
      </c>
      <c r="B5622" s="5">
        <f t="shared" si="802"/>
        <v>77.66</v>
      </c>
      <c r="C5622" s="6"/>
      <c r="D5622" s="5"/>
    </row>
    <row r="5623" spans="1:4" ht="13" thickBot="1" x14ac:dyDescent="0.3">
      <c r="A5623" s="9">
        <f ca="1"/>
        <v>42513</v>
      </c>
      <c r="B5623" s="6">
        <v>78.27</v>
      </c>
      <c r="C5623" s="6"/>
      <c r="D5623" s="5"/>
    </row>
    <row r="5624" spans="1:4" ht="13" thickBot="1" x14ac:dyDescent="0.3">
      <c r="A5624" s="9">
        <f ca="1"/>
        <v>42514</v>
      </c>
      <c r="B5624" s="6">
        <v>79.11</v>
      </c>
      <c r="C5624" s="6"/>
      <c r="D5624" s="5"/>
    </row>
    <row r="5625" spans="1:4" ht="13" thickBot="1" x14ac:dyDescent="0.3">
      <c r="A5625" s="9">
        <f ca="1"/>
        <v>42515</v>
      </c>
      <c r="B5625" s="6">
        <v>80.55</v>
      </c>
      <c r="C5625" s="6"/>
      <c r="D5625" s="5"/>
    </row>
    <row r="5626" spans="1:4" ht="13" thickBot="1" x14ac:dyDescent="0.3">
      <c r="A5626" s="9">
        <f ca="1"/>
        <v>42516</v>
      </c>
      <c r="B5626" s="6">
        <v>81.430000000000007</v>
      </c>
      <c r="C5626" s="6"/>
      <c r="D5626" s="5"/>
    </row>
    <row r="5627" spans="1:4" ht="13" thickBot="1" x14ac:dyDescent="0.3">
      <c r="A5627" s="9">
        <f ca="1"/>
        <v>42517</v>
      </c>
      <c r="B5627" s="6">
        <v>81.19</v>
      </c>
      <c r="C5627" s="6"/>
      <c r="D5627" s="5"/>
    </row>
    <row r="5628" spans="1:4" ht="13" thickBot="1" x14ac:dyDescent="0.3">
      <c r="A5628" s="9">
        <f ca="1"/>
        <v>42518</v>
      </c>
      <c r="B5628" s="5">
        <f t="shared" ref="B5628:B5630" si="803">B5627</f>
        <v>81.19</v>
      </c>
      <c r="C5628" s="6"/>
      <c r="D5628" s="5"/>
    </row>
    <row r="5629" spans="1:4" ht="13" thickBot="1" x14ac:dyDescent="0.3">
      <c r="A5629" s="9">
        <f ca="1"/>
        <v>42519</v>
      </c>
      <c r="B5629" s="5">
        <f t="shared" si="803"/>
        <v>81.19</v>
      </c>
      <c r="C5629" s="6"/>
      <c r="D5629" s="5"/>
    </row>
    <row r="5630" spans="1:4" ht="13" thickBot="1" x14ac:dyDescent="0.3">
      <c r="A5630" s="9">
        <f ca="1"/>
        <v>42520</v>
      </c>
      <c r="B5630" s="5">
        <f t="shared" si="803"/>
        <v>81.19</v>
      </c>
      <c r="C5630" s="6"/>
      <c r="D5630" s="5"/>
    </row>
    <row r="5631" spans="1:4" ht="13" thickBot="1" x14ac:dyDescent="0.3">
      <c r="A5631" s="9">
        <f ca="1"/>
        <v>42521</v>
      </c>
      <c r="B5631" s="6">
        <v>81.52</v>
      </c>
      <c r="C5631" s="6"/>
      <c r="D5631" s="5"/>
    </row>
    <row r="5632" spans="1:4" ht="13" thickBot="1" x14ac:dyDescent="0.3">
      <c r="A5632" s="9">
        <f ca="1"/>
        <v>42522</v>
      </c>
      <c r="B5632" s="6">
        <v>80.97</v>
      </c>
      <c r="C5632" s="6"/>
      <c r="D5632" s="5"/>
    </row>
    <row r="5633" spans="1:4" ht="13" thickBot="1" x14ac:dyDescent="0.3">
      <c r="A5633" s="9">
        <f ca="1"/>
        <v>42523</v>
      </c>
      <c r="B5633" s="6">
        <v>80.540000000000006</v>
      </c>
      <c r="C5633" s="6"/>
      <c r="D5633" s="5"/>
    </row>
    <row r="5634" spans="1:4" ht="13" thickBot="1" x14ac:dyDescent="0.3">
      <c r="A5634" s="9">
        <f ca="1"/>
        <v>42524</v>
      </c>
      <c r="B5634" s="6">
        <v>80.87</v>
      </c>
      <c r="C5634" s="6"/>
      <c r="D5634" s="5"/>
    </row>
    <row r="5635" spans="1:4" ht="13" thickBot="1" x14ac:dyDescent="0.3">
      <c r="A5635" s="9">
        <f ca="1"/>
        <v>42525</v>
      </c>
      <c r="B5635" s="5">
        <f t="shared" ref="B5635:B5636" si="804">B5634</f>
        <v>80.87</v>
      </c>
      <c r="C5635" s="6"/>
      <c r="D5635" s="5"/>
    </row>
    <row r="5636" spans="1:4" ht="13" thickBot="1" x14ac:dyDescent="0.3">
      <c r="A5636" s="9">
        <f ca="1"/>
        <v>42526</v>
      </c>
      <c r="B5636" s="5">
        <f t="shared" si="804"/>
        <v>80.87</v>
      </c>
      <c r="C5636" s="6"/>
      <c r="D5636" s="5"/>
    </row>
    <row r="5637" spans="1:4" ht="13" thickBot="1" x14ac:dyDescent="0.3">
      <c r="A5637" s="9">
        <f ca="1"/>
        <v>42527</v>
      </c>
      <c r="B5637" s="6">
        <v>81.37</v>
      </c>
      <c r="C5637" s="6"/>
      <c r="D5637" s="5"/>
    </row>
    <row r="5638" spans="1:4" ht="13" thickBot="1" x14ac:dyDescent="0.3">
      <c r="A5638" s="9">
        <f ca="1"/>
        <v>42528</v>
      </c>
      <c r="B5638" s="6">
        <v>81.97</v>
      </c>
      <c r="C5638" s="6"/>
      <c r="D5638" s="5"/>
    </row>
    <row r="5639" spans="1:4" ht="13" thickBot="1" x14ac:dyDescent="0.3">
      <c r="A5639" s="9">
        <f ca="1"/>
        <v>42529</v>
      </c>
      <c r="B5639" s="6">
        <v>81.67</v>
      </c>
      <c r="C5639" s="6"/>
      <c r="D5639" s="5"/>
    </row>
    <row r="5640" spans="1:4" ht="13" thickBot="1" x14ac:dyDescent="0.3">
      <c r="A5640" s="9">
        <f ca="1"/>
        <v>42530</v>
      </c>
      <c r="B5640" s="6">
        <v>80.55</v>
      </c>
      <c r="C5640" s="6"/>
      <c r="D5640" s="5"/>
    </row>
    <row r="5641" spans="1:4" ht="13" thickBot="1" x14ac:dyDescent="0.3">
      <c r="A5641" s="9">
        <f ca="1"/>
        <v>42531</v>
      </c>
      <c r="B5641" s="6">
        <v>78.91</v>
      </c>
      <c r="C5641" s="6"/>
      <c r="D5641" s="5"/>
    </row>
    <row r="5642" spans="1:4" ht="13" thickBot="1" x14ac:dyDescent="0.3">
      <c r="A5642" s="9">
        <f ca="1"/>
        <v>42532</v>
      </c>
      <c r="B5642" s="5">
        <f t="shared" ref="B5642:B5643" si="805">B5641</f>
        <v>78.91</v>
      </c>
      <c r="C5642" s="6"/>
      <c r="D5642" s="5"/>
    </row>
    <row r="5643" spans="1:4" ht="13" thickBot="1" x14ac:dyDescent="0.3">
      <c r="A5643" s="9">
        <f ca="1"/>
        <v>42533</v>
      </c>
      <c r="B5643" s="5">
        <f t="shared" si="805"/>
        <v>78.91</v>
      </c>
      <c r="C5643" s="6"/>
      <c r="D5643" s="5"/>
    </row>
    <row r="5644" spans="1:4" ht="13" thickBot="1" x14ac:dyDescent="0.3">
      <c r="A5644" s="9">
        <f ca="1"/>
        <v>42534</v>
      </c>
      <c r="B5644" s="6">
        <v>76.73</v>
      </c>
      <c r="C5644" s="6"/>
      <c r="D5644" s="5"/>
    </row>
    <row r="5645" spans="1:4" ht="13" thickBot="1" x14ac:dyDescent="0.3">
      <c r="A5645" s="9">
        <f ca="1"/>
        <v>42535</v>
      </c>
      <c r="B5645" s="6">
        <v>75.25</v>
      </c>
      <c r="C5645" s="6"/>
      <c r="D5645" s="5"/>
    </row>
    <row r="5646" spans="1:4" ht="13" thickBot="1" x14ac:dyDescent="0.3">
      <c r="A5646" s="9">
        <f ca="1"/>
        <v>42536</v>
      </c>
      <c r="B5646" s="6">
        <v>76.03</v>
      </c>
      <c r="C5646" s="6"/>
      <c r="D5646" s="5"/>
    </row>
    <row r="5647" spans="1:4" ht="13" thickBot="1" x14ac:dyDescent="0.3">
      <c r="A5647" s="9">
        <f ca="1"/>
        <v>42537</v>
      </c>
      <c r="B5647" s="6">
        <v>74.86</v>
      </c>
      <c r="C5647" s="6"/>
      <c r="D5647" s="5"/>
    </row>
    <row r="5648" spans="1:4" ht="13" thickBot="1" x14ac:dyDescent="0.3">
      <c r="A5648" s="9">
        <f ca="1"/>
        <v>42538</v>
      </c>
      <c r="B5648" s="6">
        <v>76.680000000000007</v>
      </c>
      <c r="C5648" s="6"/>
      <c r="D5648" s="5"/>
    </row>
    <row r="5649" spans="1:4" ht="13" thickBot="1" x14ac:dyDescent="0.3">
      <c r="A5649" s="9">
        <f ca="1"/>
        <v>42539</v>
      </c>
      <c r="B5649" s="5">
        <f t="shared" ref="B5649:B5650" si="806">B5648</f>
        <v>76.680000000000007</v>
      </c>
      <c r="C5649" s="6"/>
      <c r="D5649" s="5"/>
    </row>
    <row r="5650" spans="1:4" ht="13" thickBot="1" x14ac:dyDescent="0.3">
      <c r="A5650" s="9">
        <f ca="1"/>
        <v>42540</v>
      </c>
      <c r="B5650" s="5">
        <f t="shared" si="806"/>
        <v>76.680000000000007</v>
      </c>
      <c r="C5650" s="6"/>
      <c r="D5650" s="5"/>
    </row>
    <row r="5651" spans="1:4" ht="13" thickBot="1" x14ac:dyDescent="0.3">
      <c r="A5651" s="9">
        <f ca="1"/>
        <v>42541</v>
      </c>
      <c r="B5651" s="6">
        <v>79.27</v>
      </c>
      <c r="C5651" s="6"/>
      <c r="D5651" s="5"/>
    </row>
    <row r="5652" spans="1:4" ht="13" thickBot="1" x14ac:dyDescent="0.3">
      <c r="A5652" s="9">
        <f ca="1"/>
        <v>42542</v>
      </c>
      <c r="B5652" s="6">
        <v>79.150000000000006</v>
      </c>
      <c r="C5652" s="6"/>
      <c r="D5652" s="5"/>
    </row>
    <row r="5653" spans="1:4" ht="13" thickBot="1" x14ac:dyDescent="0.3">
      <c r="A5653" s="9">
        <f ca="1"/>
        <v>42543</v>
      </c>
      <c r="B5653" s="6">
        <v>80.010000000000005</v>
      </c>
      <c r="C5653" s="6"/>
      <c r="D5653" s="5"/>
    </row>
    <row r="5654" spans="1:4" ht="13" thickBot="1" x14ac:dyDescent="0.3">
      <c r="A5654" s="9">
        <f ca="1"/>
        <v>42544</v>
      </c>
      <c r="B5654" s="6">
        <v>80.52</v>
      </c>
      <c r="C5654" s="6"/>
      <c r="D5654" s="5"/>
    </row>
    <row r="5655" spans="1:4" ht="13" thickBot="1" x14ac:dyDescent="0.3">
      <c r="A5655" s="9">
        <f ca="1"/>
        <v>42545</v>
      </c>
      <c r="B5655" s="6">
        <v>74.17</v>
      </c>
      <c r="C5655" s="6"/>
      <c r="D5655" s="5"/>
    </row>
    <row r="5656" spans="1:4" ht="13" thickBot="1" x14ac:dyDescent="0.3">
      <c r="A5656" s="9">
        <f ca="1"/>
        <v>42546</v>
      </c>
      <c r="B5656" s="5">
        <f t="shared" ref="B5656:B5657" si="807">B5655</f>
        <v>74.17</v>
      </c>
      <c r="C5656" s="6"/>
      <c r="D5656" s="5"/>
    </row>
    <row r="5657" spans="1:4" ht="13" thickBot="1" x14ac:dyDescent="0.3">
      <c r="A5657" s="9">
        <f ca="1"/>
        <v>42547</v>
      </c>
      <c r="B5657" s="5">
        <f t="shared" si="807"/>
        <v>74.17</v>
      </c>
      <c r="C5657" s="6"/>
      <c r="D5657" s="5"/>
    </row>
    <row r="5658" spans="1:4" ht="13" thickBot="1" x14ac:dyDescent="0.3">
      <c r="A5658" s="9">
        <f ca="1"/>
        <v>42548</v>
      </c>
      <c r="B5658" s="6">
        <v>72.349999999999994</v>
      </c>
      <c r="C5658" s="6"/>
      <c r="D5658" s="5"/>
    </row>
    <row r="5659" spans="1:4" ht="13" thickBot="1" x14ac:dyDescent="0.3">
      <c r="A5659" s="9">
        <f ca="1"/>
        <v>42549</v>
      </c>
      <c r="B5659" s="6">
        <v>73.680000000000007</v>
      </c>
      <c r="C5659" s="6"/>
      <c r="D5659" s="5"/>
    </row>
    <row r="5660" spans="1:4" ht="13" thickBot="1" x14ac:dyDescent="0.3">
      <c r="A5660" s="9">
        <f ca="1"/>
        <v>42550</v>
      </c>
      <c r="B5660" s="6">
        <v>75.260000000000005</v>
      </c>
      <c r="C5660" s="6"/>
      <c r="D5660" s="5"/>
    </row>
    <row r="5661" spans="1:4" ht="13" thickBot="1" x14ac:dyDescent="0.3">
      <c r="A5661" s="9">
        <f ca="1"/>
        <v>42551</v>
      </c>
      <c r="B5661" s="6">
        <v>74.39</v>
      </c>
      <c r="C5661" s="6"/>
      <c r="D5661" s="5"/>
    </row>
    <row r="5662" spans="1:4" ht="13" thickBot="1" x14ac:dyDescent="0.3">
      <c r="A5662" s="9">
        <f ca="1"/>
        <v>42552</v>
      </c>
      <c r="B5662" s="6">
        <v>75.430000000000007</v>
      </c>
      <c r="C5662" s="6"/>
      <c r="D5662" s="5"/>
    </row>
    <row r="5663" spans="1:4" ht="13" thickBot="1" x14ac:dyDescent="0.3">
      <c r="A5663" s="9">
        <f ca="1"/>
        <v>42553</v>
      </c>
      <c r="B5663" s="5">
        <f t="shared" ref="B5663:B5665" si="808">B5662</f>
        <v>75.430000000000007</v>
      </c>
      <c r="C5663" s="6"/>
      <c r="D5663" s="5"/>
    </row>
    <row r="5664" spans="1:4" ht="13" thickBot="1" x14ac:dyDescent="0.3">
      <c r="A5664" s="9">
        <f ca="1"/>
        <v>42554</v>
      </c>
      <c r="B5664" s="5">
        <f t="shared" si="808"/>
        <v>75.430000000000007</v>
      </c>
      <c r="C5664" s="6"/>
      <c r="D5664" s="5"/>
    </row>
    <row r="5665" spans="1:4" ht="13" thickBot="1" x14ac:dyDescent="0.3">
      <c r="A5665" s="9">
        <f ca="1"/>
        <v>42555</v>
      </c>
      <c r="B5665" s="5">
        <f t="shared" si="808"/>
        <v>75.430000000000007</v>
      </c>
      <c r="C5665" s="6"/>
      <c r="D5665" s="5"/>
    </row>
    <row r="5666" spans="1:4" ht="13" thickBot="1" x14ac:dyDescent="0.3">
      <c r="A5666" s="9">
        <f ca="1"/>
        <v>42556</v>
      </c>
      <c r="B5666" s="6">
        <v>74.94</v>
      </c>
      <c r="C5666" s="6"/>
      <c r="D5666" s="5"/>
    </row>
    <row r="5667" spans="1:4" ht="13" thickBot="1" x14ac:dyDescent="0.3">
      <c r="A5667" s="9">
        <f ca="1"/>
        <v>42557</v>
      </c>
      <c r="B5667" s="6">
        <v>73.73</v>
      </c>
      <c r="C5667" s="6"/>
      <c r="D5667" s="5"/>
    </row>
    <row r="5668" spans="1:4" ht="13" thickBot="1" x14ac:dyDescent="0.3">
      <c r="A5668" s="9">
        <f ca="1"/>
        <v>42558</v>
      </c>
      <c r="B5668" s="6">
        <v>74.62</v>
      </c>
      <c r="C5668" s="6"/>
      <c r="D5668" s="5"/>
    </row>
    <row r="5669" spans="1:4" ht="13" thickBot="1" x14ac:dyDescent="0.3">
      <c r="A5669" s="9">
        <f ca="1"/>
        <v>42559</v>
      </c>
      <c r="B5669" s="6">
        <v>76.260000000000005</v>
      </c>
      <c r="C5669" s="6"/>
      <c r="D5669" s="5"/>
    </row>
    <row r="5670" spans="1:4" ht="13" thickBot="1" x14ac:dyDescent="0.3">
      <c r="A5670" s="9">
        <f ca="1"/>
        <v>42560</v>
      </c>
      <c r="B5670" s="5">
        <f t="shared" ref="B5670:B5671" si="809">B5669</f>
        <v>76.260000000000005</v>
      </c>
      <c r="C5670" s="6"/>
      <c r="D5670" s="5"/>
    </row>
    <row r="5671" spans="1:4" ht="13" thickBot="1" x14ac:dyDescent="0.3">
      <c r="A5671" s="9">
        <f ca="1"/>
        <v>42561</v>
      </c>
      <c r="B5671" s="5">
        <f t="shared" si="809"/>
        <v>76.260000000000005</v>
      </c>
      <c r="C5671" s="6"/>
      <c r="D5671" s="5"/>
    </row>
    <row r="5672" spans="1:4" ht="13" thickBot="1" x14ac:dyDescent="0.3">
      <c r="A5672" s="9">
        <f ca="1"/>
        <v>42562</v>
      </c>
      <c r="B5672" s="6">
        <v>77.87</v>
      </c>
      <c r="C5672" s="6"/>
      <c r="D5672" s="5"/>
    </row>
    <row r="5673" spans="1:4" ht="13" thickBot="1" x14ac:dyDescent="0.3">
      <c r="A5673" s="9">
        <f ca="1"/>
        <v>42563</v>
      </c>
      <c r="B5673" s="6">
        <v>78.430000000000007</v>
      </c>
      <c r="C5673" s="6"/>
      <c r="D5673" s="5"/>
    </row>
    <row r="5674" spans="1:4" ht="13" thickBot="1" x14ac:dyDescent="0.3">
      <c r="A5674" s="9">
        <f ca="1"/>
        <v>42564</v>
      </c>
      <c r="B5674" s="6">
        <v>78.22</v>
      </c>
      <c r="C5674" s="6"/>
      <c r="D5674" s="5"/>
    </row>
    <row r="5675" spans="1:4" ht="13" thickBot="1" x14ac:dyDescent="0.3">
      <c r="A5675" s="9">
        <f ca="1"/>
        <v>42565</v>
      </c>
      <c r="B5675" s="6">
        <v>79.260000000000005</v>
      </c>
      <c r="C5675" s="6"/>
      <c r="D5675" s="5"/>
    </row>
    <row r="5676" spans="1:4" ht="13" thickBot="1" x14ac:dyDescent="0.3">
      <c r="A5676" s="9">
        <f ca="1"/>
        <v>42566</v>
      </c>
      <c r="B5676" s="6">
        <v>78.69</v>
      </c>
      <c r="C5676" s="6"/>
      <c r="D5676" s="5"/>
    </row>
    <row r="5677" spans="1:4" ht="13" thickBot="1" x14ac:dyDescent="0.3">
      <c r="A5677" s="9">
        <f ca="1"/>
        <v>42567</v>
      </c>
      <c r="B5677" s="5">
        <f t="shared" ref="B5677:B5678" si="810">B5676</f>
        <v>78.69</v>
      </c>
      <c r="C5677" s="6"/>
      <c r="D5677" s="5"/>
    </row>
    <row r="5678" spans="1:4" ht="13" thickBot="1" x14ac:dyDescent="0.3">
      <c r="A5678" s="9">
        <f ca="1"/>
        <v>42568</v>
      </c>
      <c r="B5678" s="5">
        <f t="shared" si="810"/>
        <v>78.69</v>
      </c>
      <c r="C5678" s="6"/>
      <c r="D5678" s="5"/>
    </row>
    <row r="5679" spans="1:4" ht="13" thickBot="1" x14ac:dyDescent="0.3">
      <c r="A5679" s="9">
        <f ca="1"/>
        <v>42569</v>
      </c>
      <c r="B5679" s="6">
        <v>79.099999999999994</v>
      </c>
      <c r="C5679" s="6"/>
      <c r="D5679" s="5"/>
    </row>
    <row r="5680" spans="1:4" ht="13" thickBot="1" x14ac:dyDescent="0.3">
      <c r="A5680" s="9">
        <f ca="1"/>
        <v>42570</v>
      </c>
      <c r="B5680" s="6">
        <v>79.099999999999994</v>
      </c>
      <c r="C5680" s="6"/>
      <c r="D5680" s="5"/>
    </row>
    <row r="5681" spans="1:4" ht="13" thickBot="1" x14ac:dyDescent="0.3">
      <c r="A5681" s="9">
        <f ca="1"/>
        <v>42571</v>
      </c>
      <c r="B5681" s="6">
        <v>82.98</v>
      </c>
      <c r="C5681" s="6"/>
      <c r="D5681" s="5"/>
    </row>
    <row r="5682" spans="1:4" ht="13" thickBot="1" x14ac:dyDescent="0.3">
      <c r="A5682" s="9">
        <f ca="1"/>
        <v>42572</v>
      </c>
      <c r="B5682" s="6">
        <v>84.42</v>
      </c>
      <c r="C5682" s="6"/>
      <c r="D5682" s="5"/>
    </row>
    <row r="5683" spans="1:4" ht="13" thickBot="1" x14ac:dyDescent="0.3">
      <c r="A5683" s="9">
        <f ca="1"/>
        <v>42573</v>
      </c>
      <c r="B5683" s="6">
        <v>83.94</v>
      </c>
      <c r="C5683" s="6"/>
      <c r="D5683" s="5"/>
    </row>
    <row r="5684" spans="1:4" ht="13" thickBot="1" x14ac:dyDescent="0.3">
      <c r="A5684" s="9">
        <f ca="1"/>
        <v>42574</v>
      </c>
      <c r="B5684" s="5">
        <f t="shared" ref="B5684:B5685" si="811">B5683</f>
        <v>83.94</v>
      </c>
      <c r="C5684" s="6"/>
      <c r="D5684" s="5"/>
    </row>
    <row r="5685" spans="1:4" ht="13" thickBot="1" x14ac:dyDescent="0.3">
      <c r="A5685" s="9">
        <f ca="1"/>
        <v>42575</v>
      </c>
      <c r="B5685" s="5">
        <f t="shared" si="811"/>
        <v>83.94</v>
      </c>
      <c r="C5685" s="6"/>
      <c r="D5685" s="5"/>
    </row>
    <row r="5686" spans="1:4" ht="13" thickBot="1" x14ac:dyDescent="0.3">
      <c r="A5686" s="9">
        <f ca="1"/>
        <v>42576</v>
      </c>
      <c r="B5686" s="6">
        <v>84.6</v>
      </c>
      <c r="C5686" s="6"/>
      <c r="D5686" s="5"/>
    </row>
    <row r="5687" spans="1:4" ht="13" thickBot="1" x14ac:dyDescent="0.3">
      <c r="A5687" s="9">
        <f ca="1"/>
        <v>42577</v>
      </c>
      <c r="B5687" s="6">
        <v>85.35</v>
      </c>
      <c r="C5687" s="6"/>
      <c r="D5687" s="5"/>
    </row>
    <row r="5688" spans="1:4" ht="13" thickBot="1" x14ac:dyDescent="0.3">
      <c r="A5688" s="9">
        <f ca="1"/>
        <v>42578</v>
      </c>
      <c r="B5688" s="6">
        <v>86.32</v>
      </c>
      <c r="C5688" s="6"/>
      <c r="D5688" s="5"/>
    </row>
    <row r="5689" spans="1:4" ht="13" thickBot="1" x14ac:dyDescent="0.3">
      <c r="A5689" s="9">
        <f ca="1"/>
        <v>42579</v>
      </c>
      <c r="B5689" s="6">
        <v>86.82</v>
      </c>
      <c r="C5689" s="6"/>
      <c r="D5689" s="5"/>
    </row>
    <row r="5690" spans="1:4" ht="13" thickBot="1" x14ac:dyDescent="0.3">
      <c r="A5690" s="9">
        <f ca="1"/>
        <v>42580</v>
      </c>
      <c r="B5690" s="6">
        <v>87.56</v>
      </c>
      <c r="C5690" s="6"/>
      <c r="D5690" s="5"/>
    </row>
    <row r="5691" spans="1:4" ht="13" thickBot="1" x14ac:dyDescent="0.3">
      <c r="A5691" s="9">
        <f ca="1"/>
        <v>42581</v>
      </c>
      <c r="B5691" s="5">
        <f t="shared" ref="B5691:B5692" si="812">B5690</f>
        <v>87.56</v>
      </c>
      <c r="C5691" s="6"/>
      <c r="D5691" s="5"/>
    </row>
    <row r="5692" spans="1:4" ht="13" thickBot="1" x14ac:dyDescent="0.3">
      <c r="A5692" s="9">
        <f ca="1"/>
        <v>42582</v>
      </c>
      <c r="B5692" s="5">
        <f t="shared" si="812"/>
        <v>87.56</v>
      </c>
      <c r="C5692" s="6"/>
      <c r="D5692" s="5"/>
    </row>
    <row r="5693" spans="1:4" ht="13" thickBot="1" x14ac:dyDescent="0.3">
      <c r="A5693" s="9">
        <f ca="1"/>
        <v>42583</v>
      </c>
      <c r="B5693" s="6">
        <v>87.17</v>
      </c>
      <c r="C5693" s="6"/>
      <c r="D5693" s="5"/>
    </row>
    <row r="5694" spans="1:4" ht="13" thickBot="1" x14ac:dyDescent="0.3">
      <c r="A5694" s="9">
        <f ca="1"/>
        <v>42584</v>
      </c>
      <c r="B5694" s="6">
        <v>86.66</v>
      </c>
      <c r="C5694" s="6"/>
      <c r="D5694" s="5"/>
    </row>
    <row r="5695" spans="1:4" ht="13" thickBot="1" x14ac:dyDescent="0.3">
      <c r="A5695" s="9">
        <f ca="1"/>
        <v>42585</v>
      </c>
      <c r="B5695" s="6">
        <v>85.97</v>
      </c>
      <c r="C5695" s="6"/>
      <c r="D5695" s="5"/>
    </row>
    <row r="5696" spans="1:4" ht="13" thickBot="1" x14ac:dyDescent="0.3">
      <c r="A5696" s="9">
        <f ca="1"/>
        <v>42586</v>
      </c>
      <c r="B5696" s="6">
        <v>85.29</v>
      </c>
      <c r="C5696" s="6"/>
      <c r="D5696" s="5"/>
    </row>
    <row r="5697" spans="1:4" ht="13" thickBot="1" x14ac:dyDescent="0.3">
      <c r="A5697" s="9">
        <f ca="1"/>
        <v>42587</v>
      </c>
      <c r="B5697" s="6">
        <v>85.54</v>
      </c>
      <c r="C5697" s="6"/>
      <c r="D5697" s="5"/>
    </row>
    <row r="5698" spans="1:4" ht="13" thickBot="1" x14ac:dyDescent="0.3">
      <c r="A5698" s="9">
        <f ca="1"/>
        <v>42588</v>
      </c>
      <c r="B5698" s="5">
        <f t="shared" ref="B5698:B5699" si="813">B5697</f>
        <v>85.54</v>
      </c>
      <c r="C5698" s="6"/>
      <c r="D5698" s="5"/>
    </row>
    <row r="5699" spans="1:4" ht="13" thickBot="1" x14ac:dyDescent="0.3">
      <c r="A5699" s="9">
        <f ca="1"/>
        <v>42589</v>
      </c>
      <c r="B5699" s="5">
        <f t="shared" si="813"/>
        <v>85.54</v>
      </c>
      <c r="C5699" s="6"/>
      <c r="D5699" s="5"/>
    </row>
    <row r="5700" spans="1:4" ht="13" thickBot="1" x14ac:dyDescent="0.3">
      <c r="A5700" s="9">
        <f ca="1"/>
        <v>42590</v>
      </c>
      <c r="B5700" s="6">
        <v>85.28</v>
      </c>
      <c r="C5700" s="6"/>
      <c r="D5700" s="5"/>
    </row>
    <row r="5701" spans="1:4" ht="13" thickBot="1" x14ac:dyDescent="0.3">
      <c r="A5701" s="9">
        <f ca="1"/>
        <v>42591</v>
      </c>
      <c r="B5701" s="6">
        <v>86.31</v>
      </c>
      <c r="C5701" s="6"/>
      <c r="D5701" s="5"/>
    </row>
    <row r="5702" spans="1:4" ht="13" thickBot="1" x14ac:dyDescent="0.3">
      <c r="A5702" s="9">
        <f ca="1"/>
        <v>42592</v>
      </c>
      <c r="B5702" s="6">
        <v>87.86</v>
      </c>
      <c r="C5702" s="6"/>
      <c r="D5702" s="5"/>
    </row>
    <row r="5703" spans="1:4" ht="13" thickBot="1" x14ac:dyDescent="0.3">
      <c r="A5703" s="9">
        <f ca="1"/>
        <v>42593</v>
      </c>
      <c r="B5703" s="6">
        <v>88.04</v>
      </c>
      <c r="C5703" s="6"/>
      <c r="D5703" s="5"/>
    </row>
    <row r="5704" spans="1:4" ht="13" thickBot="1" x14ac:dyDescent="0.3">
      <c r="A5704" s="9">
        <f ca="1"/>
        <v>42594</v>
      </c>
      <c r="B5704" s="6">
        <v>88.13</v>
      </c>
      <c r="C5704" s="6"/>
      <c r="D5704" s="5"/>
    </row>
    <row r="5705" spans="1:4" ht="13" thickBot="1" x14ac:dyDescent="0.3">
      <c r="A5705" s="9">
        <f ca="1"/>
        <v>42595</v>
      </c>
      <c r="B5705" s="5">
        <f t="shared" ref="B5705:B5706" si="814">B5704</f>
        <v>88.13</v>
      </c>
      <c r="C5705" s="6"/>
      <c r="D5705" s="5"/>
    </row>
    <row r="5706" spans="1:4" ht="13" thickBot="1" x14ac:dyDescent="0.3">
      <c r="A5706" s="9">
        <f ca="1"/>
        <v>42596</v>
      </c>
      <c r="B5706" s="5">
        <f t="shared" si="814"/>
        <v>88.13</v>
      </c>
      <c r="C5706" s="6"/>
      <c r="D5706" s="5"/>
    </row>
    <row r="5707" spans="1:4" ht="13" thickBot="1" x14ac:dyDescent="0.3">
      <c r="A5707" s="9">
        <f ca="1"/>
        <v>42597</v>
      </c>
      <c r="B5707" s="6">
        <v>87.76</v>
      </c>
      <c r="C5707" s="6"/>
      <c r="D5707" s="5"/>
    </row>
    <row r="5708" spans="1:4" ht="13" thickBot="1" x14ac:dyDescent="0.3">
      <c r="A5708" s="9">
        <f ca="1"/>
        <v>42598</v>
      </c>
      <c r="B5708" s="6">
        <v>87.98</v>
      </c>
      <c r="C5708" s="6"/>
      <c r="D5708" s="5"/>
    </row>
    <row r="5709" spans="1:4" ht="13" thickBot="1" x14ac:dyDescent="0.3">
      <c r="A5709" s="9">
        <f ca="1"/>
        <v>42599</v>
      </c>
      <c r="B5709" s="6">
        <v>87.6</v>
      </c>
      <c r="C5709" s="6"/>
      <c r="D5709" s="5"/>
    </row>
    <row r="5710" spans="1:4" ht="13" thickBot="1" x14ac:dyDescent="0.3">
      <c r="A5710" s="9">
        <f ca="1"/>
        <v>42600</v>
      </c>
      <c r="B5710" s="6">
        <v>87.82</v>
      </c>
      <c r="C5710" s="6"/>
      <c r="D5710" s="5"/>
    </row>
    <row r="5711" spans="1:4" ht="13" thickBot="1" x14ac:dyDescent="0.3">
      <c r="A5711" s="9">
        <f ca="1"/>
        <v>42601</v>
      </c>
      <c r="B5711" s="6">
        <v>88.37</v>
      </c>
      <c r="C5711" s="6"/>
      <c r="D5711" s="5"/>
    </row>
    <row r="5712" spans="1:4" ht="13" thickBot="1" x14ac:dyDescent="0.3">
      <c r="A5712" s="9">
        <f ca="1"/>
        <v>42602</v>
      </c>
      <c r="B5712" s="5">
        <f t="shared" ref="B5712:B5713" si="815">B5711</f>
        <v>88.37</v>
      </c>
      <c r="C5712" s="6"/>
      <c r="D5712" s="5"/>
    </row>
    <row r="5713" spans="1:4" ht="13" thickBot="1" x14ac:dyDescent="0.3">
      <c r="A5713" s="9">
        <f ca="1"/>
        <v>42603</v>
      </c>
      <c r="B5713" s="5">
        <f t="shared" si="815"/>
        <v>88.37</v>
      </c>
      <c r="C5713" s="6"/>
      <c r="D5713" s="5"/>
    </row>
    <row r="5714" spans="1:4" ht="13" thickBot="1" x14ac:dyDescent="0.3">
      <c r="A5714" s="9">
        <f ca="1"/>
        <v>42604</v>
      </c>
      <c r="B5714" s="6">
        <v>87.27</v>
      </c>
      <c r="C5714" s="6"/>
      <c r="D5714" s="5"/>
    </row>
    <row r="5715" spans="1:4" ht="13" thickBot="1" x14ac:dyDescent="0.3">
      <c r="A5715" s="9">
        <f ca="1"/>
        <v>42605</v>
      </c>
      <c r="B5715" s="6">
        <v>87.92</v>
      </c>
      <c r="C5715" s="6"/>
      <c r="D5715" s="5"/>
    </row>
    <row r="5716" spans="1:4" ht="13" thickBot="1" x14ac:dyDescent="0.3">
      <c r="A5716" s="9">
        <f ca="1"/>
        <v>42606</v>
      </c>
      <c r="B5716" s="6">
        <v>87.65</v>
      </c>
      <c r="C5716" s="6"/>
      <c r="D5716" s="5"/>
    </row>
    <row r="5717" spans="1:4" ht="13" thickBot="1" x14ac:dyDescent="0.3">
      <c r="A5717" s="9">
        <f ca="1"/>
        <v>42607</v>
      </c>
      <c r="B5717" s="6">
        <v>87.26</v>
      </c>
      <c r="C5717" s="6"/>
      <c r="D5717" s="5"/>
    </row>
    <row r="5718" spans="1:4" ht="13" thickBot="1" x14ac:dyDescent="0.3">
      <c r="A5718" s="9">
        <f ca="1"/>
        <v>42608</v>
      </c>
      <c r="B5718" s="6">
        <v>87.58</v>
      </c>
      <c r="C5718" s="6"/>
      <c r="D5718" s="5"/>
    </row>
    <row r="5719" spans="1:4" ht="13" thickBot="1" x14ac:dyDescent="0.3">
      <c r="A5719" s="9">
        <f ca="1"/>
        <v>42609</v>
      </c>
      <c r="B5719" s="5">
        <f t="shared" ref="B5719:B5720" si="816">B5718</f>
        <v>87.58</v>
      </c>
      <c r="C5719" s="6"/>
      <c r="D5719" s="5"/>
    </row>
    <row r="5720" spans="1:4" ht="13" thickBot="1" x14ac:dyDescent="0.3">
      <c r="A5720" s="9">
        <f ca="1"/>
        <v>42610</v>
      </c>
      <c r="B5720" s="5">
        <f t="shared" si="816"/>
        <v>87.58</v>
      </c>
      <c r="C5720" s="6"/>
      <c r="D5720" s="5"/>
    </row>
    <row r="5721" spans="1:4" ht="13" thickBot="1" x14ac:dyDescent="0.3">
      <c r="A5721" s="9">
        <f ca="1"/>
        <v>42611</v>
      </c>
      <c r="B5721" s="6">
        <v>86.67</v>
      </c>
      <c r="C5721" s="6"/>
      <c r="D5721" s="5"/>
    </row>
    <row r="5722" spans="1:4" ht="13" thickBot="1" x14ac:dyDescent="0.3">
      <c r="A5722" s="9">
        <f ca="1"/>
        <v>42612</v>
      </c>
      <c r="B5722" s="6">
        <v>88.7</v>
      </c>
      <c r="C5722" s="6"/>
      <c r="D5722" s="5"/>
    </row>
    <row r="5723" spans="1:4" ht="13" thickBot="1" x14ac:dyDescent="0.3">
      <c r="A5723" s="9">
        <f ca="1"/>
        <v>42613</v>
      </c>
      <c r="B5723" s="6">
        <v>87.88</v>
      </c>
      <c r="C5723" s="6"/>
      <c r="D5723" s="5"/>
    </row>
    <row r="5724" spans="1:4" ht="13" thickBot="1" x14ac:dyDescent="0.3">
      <c r="A5724" s="9">
        <f ca="1"/>
        <v>42614</v>
      </c>
      <c r="B5724" s="6">
        <v>88.28</v>
      </c>
      <c r="C5724" s="6"/>
      <c r="D5724" s="5"/>
    </row>
    <row r="5725" spans="1:4" ht="13" thickBot="1" x14ac:dyDescent="0.3">
      <c r="A5725" s="9">
        <f ca="1"/>
        <v>42615</v>
      </c>
      <c r="B5725" s="6">
        <v>89.32</v>
      </c>
      <c r="C5725" s="6"/>
      <c r="D5725" s="5"/>
    </row>
    <row r="5726" spans="1:4" ht="13" thickBot="1" x14ac:dyDescent="0.3">
      <c r="A5726" s="9">
        <f ca="1"/>
        <v>42616</v>
      </c>
      <c r="B5726" s="5">
        <f t="shared" ref="B5726:B5728" si="817">B5725</f>
        <v>89.32</v>
      </c>
      <c r="C5726" s="6"/>
      <c r="D5726" s="5"/>
    </row>
    <row r="5727" spans="1:4" ht="13" thickBot="1" x14ac:dyDescent="0.3">
      <c r="A5727" s="9">
        <f ca="1"/>
        <v>42617</v>
      </c>
      <c r="B5727" s="5">
        <f t="shared" si="817"/>
        <v>89.32</v>
      </c>
      <c r="C5727" s="6"/>
      <c r="D5727" s="5"/>
    </row>
    <row r="5728" spans="1:4" ht="13" thickBot="1" x14ac:dyDescent="0.3">
      <c r="A5728" s="9">
        <f ca="1"/>
        <v>42618</v>
      </c>
      <c r="B5728" s="5">
        <f t="shared" si="817"/>
        <v>89.32</v>
      </c>
      <c r="C5728" s="6"/>
      <c r="D5728" s="5"/>
    </row>
    <row r="5729" spans="1:4" ht="13" thickBot="1" x14ac:dyDescent="0.3">
      <c r="A5729" s="9">
        <f ca="1"/>
        <v>42619</v>
      </c>
      <c r="B5729" s="6">
        <v>90.22</v>
      </c>
      <c r="C5729" s="6"/>
      <c r="D5729" s="5"/>
    </row>
    <row r="5730" spans="1:4" ht="13" thickBot="1" x14ac:dyDescent="0.3">
      <c r="A5730" s="9">
        <f ca="1"/>
        <v>42620</v>
      </c>
      <c r="B5730" s="6">
        <v>90.77</v>
      </c>
      <c r="C5730" s="6"/>
      <c r="D5730" s="5"/>
    </row>
    <row r="5731" spans="1:4" ht="13" thickBot="1" x14ac:dyDescent="0.3">
      <c r="A5731" s="9">
        <f ca="1"/>
        <v>42621</v>
      </c>
      <c r="B5731" s="6">
        <v>90.38</v>
      </c>
      <c r="C5731" s="6"/>
      <c r="D5731" s="5"/>
    </row>
    <row r="5732" spans="1:4" ht="13" thickBot="1" x14ac:dyDescent="0.3">
      <c r="A5732" s="9">
        <f ca="1"/>
        <v>42622</v>
      </c>
      <c r="B5732" s="6">
        <v>88.64</v>
      </c>
      <c r="C5732" s="6"/>
      <c r="D5732" s="5"/>
    </row>
    <row r="5733" spans="1:4" ht="13" thickBot="1" x14ac:dyDescent="0.3">
      <c r="A5733" s="9">
        <f ca="1"/>
        <v>42623</v>
      </c>
      <c r="B5733" s="5">
        <f t="shared" ref="B5733:B5734" si="818">B5732</f>
        <v>88.64</v>
      </c>
      <c r="C5733" s="6"/>
      <c r="D5733" s="5"/>
    </row>
    <row r="5734" spans="1:4" ht="13" thickBot="1" x14ac:dyDescent="0.3">
      <c r="A5734" s="9">
        <f ca="1"/>
        <v>42624</v>
      </c>
      <c r="B5734" s="5">
        <f t="shared" si="818"/>
        <v>88.64</v>
      </c>
      <c r="C5734" s="6"/>
      <c r="D5734" s="5"/>
    </row>
    <row r="5735" spans="1:4" ht="13" thickBot="1" x14ac:dyDescent="0.3">
      <c r="A5735" s="9">
        <f ca="1"/>
        <v>42625</v>
      </c>
      <c r="B5735" s="6">
        <v>87.38</v>
      </c>
      <c r="C5735" s="6"/>
      <c r="D5735" s="5"/>
    </row>
    <row r="5736" spans="1:4" ht="13" thickBot="1" x14ac:dyDescent="0.3">
      <c r="A5736" s="9">
        <f ca="1"/>
        <v>42626</v>
      </c>
      <c r="B5736" s="6">
        <v>88.23</v>
      </c>
      <c r="C5736" s="6"/>
      <c r="D5736" s="5"/>
    </row>
    <row r="5737" spans="1:4" ht="13" thickBot="1" x14ac:dyDescent="0.3">
      <c r="A5737" s="9">
        <f ca="1"/>
        <v>42627</v>
      </c>
      <c r="B5737" s="6">
        <v>88.13</v>
      </c>
      <c r="C5737" s="6"/>
      <c r="D5737" s="5"/>
    </row>
    <row r="5738" spans="1:4" ht="13" thickBot="1" x14ac:dyDescent="0.3">
      <c r="A5738" s="9">
        <f ca="1"/>
        <v>42628</v>
      </c>
      <c r="B5738" s="6">
        <v>87.77</v>
      </c>
      <c r="C5738" s="6"/>
      <c r="D5738" s="5"/>
    </row>
    <row r="5739" spans="1:4" ht="13" thickBot="1" x14ac:dyDescent="0.3">
      <c r="A5739" s="9">
        <f ca="1"/>
        <v>42629</v>
      </c>
      <c r="B5739" s="6">
        <v>86.93</v>
      </c>
      <c r="C5739" s="6"/>
      <c r="D5739" s="5"/>
    </row>
    <row r="5740" spans="1:4" ht="13" thickBot="1" x14ac:dyDescent="0.3">
      <c r="A5740" s="9">
        <f ca="1"/>
        <v>42630</v>
      </c>
      <c r="B5740" s="5">
        <f t="shared" ref="B5740:B5741" si="819">B5739</f>
        <v>86.93</v>
      </c>
      <c r="C5740" s="6"/>
      <c r="D5740" s="5"/>
    </row>
    <row r="5741" spans="1:4" ht="13" thickBot="1" x14ac:dyDescent="0.3">
      <c r="A5741" s="9">
        <f ca="1"/>
        <v>42631</v>
      </c>
      <c r="B5741" s="5">
        <f t="shared" si="819"/>
        <v>86.93</v>
      </c>
      <c r="C5741" s="6"/>
      <c r="D5741" s="5"/>
    </row>
    <row r="5742" spans="1:4" ht="13" thickBot="1" x14ac:dyDescent="0.3">
      <c r="A5742" s="9">
        <f ca="1"/>
        <v>42632</v>
      </c>
      <c r="B5742" s="6">
        <v>88.21</v>
      </c>
      <c r="C5742" s="6"/>
      <c r="D5742" s="5"/>
    </row>
    <row r="5743" spans="1:4" ht="13" thickBot="1" x14ac:dyDescent="0.3">
      <c r="A5743" s="9">
        <f ca="1"/>
        <v>42633</v>
      </c>
      <c r="B5743" s="6">
        <v>89.37</v>
      </c>
      <c r="C5743" s="6"/>
      <c r="D5743" s="5"/>
    </row>
    <row r="5744" spans="1:4" ht="13" thickBot="1" x14ac:dyDescent="0.3">
      <c r="A5744" s="9">
        <f ca="1"/>
        <v>42634</v>
      </c>
      <c r="B5744" s="6">
        <v>89.45</v>
      </c>
      <c r="C5744" s="6"/>
      <c r="D5744" s="5"/>
    </row>
    <row r="5745" spans="1:4" ht="13" thickBot="1" x14ac:dyDescent="0.3">
      <c r="A5745" s="9">
        <f ca="1"/>
        <v>42635</v>
      </c>
      <c r="B5745" s="6">
        <v>92.58</v>
      </c>
      <c r="C5745" s="6"/>
      <c r="D5745" s="5"/>
    </row>
    <row r="5746" spans="1:4" ht="13" thickBot="1" x14ac:dyDescent="0.3">
      <c r="A5746" s="9">
        <f ca="1"/>
        <v>42636</v>
      </c>
      <c r="B5746" s="6">
        <v>91.76</v>
      </c>
      <c r="C5746" s="6"/>
      <c r="D5746" s="5"/>
    </row>
    <row r="5747" spans="1:4" ht="13" thickBot="1" x14ac:dyDescent="0.3">
      <c r="A5747" s="9">
        <f ca="1"/>
        <v>42637</v>
      </c>
      <c r="B5747" s="5">
        <f t="shared" ref="B5747:B5748" si="820">B5746</f>
        <v>91.76</v>
      </c>
      <c r="C5747" s="6"/>
      <c r="D5747" s="5"/>
    </row>
    <row r="5748" spans="1:4" ht="13" thickBot="1" x14ac:dyDescent="0.3">
      <c r="A5748" s="9">
        <f ca="1"/>
        <v>42638</v>
      </c>
      <c r="B5748" s="5">
        <f t="shared" si="820"/>
        <v>91.76</v>
      </c>
      <c r="C5748" s="6"/>
      <c r="D5748" s="5"/>
    </row>
    <row r="5749" spans="1:4" ht="13" thickBot="1" x14ac:dyDescent="0.3">
      <c r="A5749" s="9">
        <f ca="1"/>
        <v>42639</v>
      </c>
      <c r="B5749" s="6">
        <v>90.97</v>
      </c>
      <c r="C5749" s="6"/>
      <c r="D5749" s="5"/>
    </row>
    <row r="5750" spans="1:4" ht="13" thickBot="1" x14ac:dyDescent="0.3">
      <c r="A5750" s="9">
        <f ca="1"/>
        <v>42640</v>
      </c>
      <c r="B5750" s="6">
        <v>89.76</v>
      </c>
      <c r="C5750" s="6"/>
      <c r="D5750" s="5"/>
    </row>
    <row r="5751" spans="1:4" ht="13" thickBot="1" x14ac:dyDescent="0.3">
      <c r="A5751" s="9">
        <f ca="1"/>
        <v>42641</v>
      </c>
      <c r="B5751" s="6">
        <v>91.45</v>
      </c>
      <c r="C5751" s="6"/>
      <c r="D5751" s="5"/>
    </row>
    <row r="5752" spans="1:4" ht="13" thickBot="1" x14ac:dyDescent="0.3">
      <c r="A5752" s="9">
        <f ca="1"/>
        <v>42642</v>
      </c>
      <c r="B5752" s="6">
        <v>90.96</v>
      </c>
      <c r="C5752" s="6"/>
      <c r="D5752" s="5"/>
    </row>
    <row r="5753" spans="1:4" ht="13" thickBot="1" x14ac:dyDescent="0.3">
      <c r="A5753" s="9">
        <f ca="1"/>
        <v>42643</v>
      </c>
      <c r="B5753" s="6">
        <v>90.01</v>
      </c>
      <c r="C5753" s="6"/>
      <c r="D5753" s="5"/>
    </row>
    <row r="5754" spans="1:4" ht="13" thickBot="1" x14ac:dyDescent="0.3">
      <c r="A5754" s="9">
        <f ca="1"/>
        <v>42644</v>
      </c>
      <c r="B5754" s="5">
        <f t="shared" ref="B5754:B5755" si="821">B5753</f>
        <v>90.01</v>
      </c>
      <c r="C5754" s="6"/>
      <c r="D5754" s="5"/>
    </row>
    <row r="5755" spans="1:4" ht="13" thickBot="1" x14ac:dyDescent="0.3">
      <c r="A5755" s="9">
        <f ca="1"/>
        <v>42645</v>
      </c>
      <c r="B5755" s="5">
        <f t="shared" si="821"/>
        <v>90.01</v>
      </c>
      <c r="C5755" s="6"/>
      <c r="D5755" s="5"/>
    </row>
    <row r="5756" spans="1:4" ht="13" thickBot="1" x14ac:dyDescent="0.3">
      <c r="A5756" s="9">
        <f ca="1"/>
        <v>42646</v>
      </c>
      <c r="B5756" s="6">
        <v>90.92</v>
      </c>
      <c r="C5756" s="6"/>
      <c r="D5756" s="5"/>
    </row>
    <row r="5757" spans="1:4" ht="13" thickBot="1" x14ac:dyDescent="0.3">
      <c r="A5757" s="9">
        <f ca="1"/>
        <v>42647</v>
      </c>
      <c r="B5757" s="6">
        <v>90.46</v>
      </c>
      <c r="C5757" s="6"/>
      <c r="D5757" s="5"/>
    </row>
    <row r="5758" spans="1:4" ht="13" thickBot="1" x14ac:dyDescent="0.3">
      <c r="A5758" s="9">
        <f ca="1"/>
        <v>42648</v>
      </c>
      <c r="B5758" s="6">
        <v>91.38</v>
      </c>
      <c r="C5758" s="6"/>
      <c r="D5758" s="5"/>
    </row>
    <row r="5759" spans="1:4" ht="13" thickBot="1" x14ac:dyDescent="0.3">
      <c r="A5759" s="9">
        <f ca="1"/>
        <v>42649</v>
      </c>
      <c r="B5759" s="6">
        <v>90.82</v>
      </c>
      <c r="C5759" s="6"/>
      <c r="D5759" s="5"/>
    </row>
    <row r="5760" spans="1:4" ht="13" thickBot="1" x14ac:dyDescent="0.3">
      <c r="A5760" s="9">
        <f ca="1"/>
        <v>42650</v>
      </c>
      <c r="B5760" s="6">
        <v>90.48</v>
      </c>
      <c r="C5760" s="6"/>
      <c r="D5760" s="5"/>
    </row>
    <row r="5761" spans="1:4" ht="13" thickBot="1" x14ac:dyDescent="0.3">
      <c r="A5761" s="9">
        <f ca="1"/>
        <v>42651</v>
      </c>
      <c r="B5761" s="5">
        <f t="shared" ref="B5761:B5762" si="822">B5760</f>
        <v>90.48</v>
      </c>
      <c r="C5761" s="6"/>
      <c r="D5761" s="5"/>
    </row>
    <row r="5762" spans="1:4" ht="13" thickBot="1" x14ac:dyDescent="0.3">
      <c r="A5762" s="9">
        <f ca="1"/>
        <v>42652</v>
      </c>
      <c r="B5762" s="5">
        <f t="shared" si="822"/>
        <v>90.48</v>
      </c>
      <c r="C5762" s="6"/>
      <c r="D5762" s="5"/>
    </row>
    <row r="5763" spans="1:4" ht="13" thickBot="1" x14ac:dyDescent="0.3">
      <c r="A5763" s="9">
        <f ca="1"/>
        <v>42653</v>
      </c>
      <c r="B5763" s="6">
        <v>89.97</v>
      </c>
      <c r="C5763" s="6"/>
      <c r="D5763" s="5"/>
    </row>
    <row r="5764" spans="1:4" ht="13" thickBot="1" x14ac:dyDescent="0.3">
      <c r="A5764" s="9">
        <f ca="1"/>
        <v>42654</v>
      </c>
      <c r="B5764" s="6">
        <v>89.64</v>
      </c>
      <c r="C5764" s="6"/>
      <c r="D5764" s="5"/>
    </row>
    <row r="5765" spans="1:4" ht="13" thickBot="1" x14ac:dyDescent="0.3">
      <c r="A5765" s="9">
        <f ca="1"/>
        <v>42655</v>
      </c>
      <c r="B5765" s="6">
        <v>87.61</v>
      </c>
      <c r="C5765" s="6"/>
      <c r="D5765" s="5"/>
    </row>
    <row r="5766" spans="1:4" ht="13" thickBot="1" x14ac:dyDescent="0.3">
      <c r="A5766" s="9">
        <f ca="1"/>
        <v>42656</v>
      </c>
      <c r="B5766" s="6">
        <v>86.49</v>
      </c>
      <c r="C5766" s="6"/>
      <c r="D5766" s="5"/>
    </row>
    <row r="5767" spans="1:4" ht="13" thickBot="1" x14ac:dyDescent="0.3">
      <c r="A5767" s="9">
        <f ca="1"/>
        <v>42657</v>
      </c>
      <c r="B5767" s="6">
        <v>86.95</v>
      </c>
      <c r="C5767" s="6"/>
      <c r="D5767" s="5"/>
    </row>
    <row r="5768" spans="1:4" ht="13" thickBot="1" x14ac:dyDescent="0.3">
      <c r="A5768" s="9">
        <f ca="1"/>
        <v>42658</v>
      </c>
      <c r="B5768" s="5">
        <f t="shared" ref="B5768:B5769" si="823">B5767</f>
        <v>86.95</v>
      </c>
      <c r="C5768" s="6"/>
      <c r="D5768" s="5"/>
    </row>
    <row r="5769" spans="1:4" ht="13" thickBot="1" x14ac:dyDescent="0.3">
      <c r="A5769" s="9">
        <f ca="1"/>
        <v>42659</v>
      </c>
      <c r="B5769" s="5">
        <f t="shared" si="823"/>
        <v>86.95</v>
      </c>
      <c r="C5769" s="6"/>
      <c r="D5769" s="5"/>
    </row>
    <row r="5770" spans="1:4" ht="13" thickBot="1" x14ac:dyDescent="0.3">
      <c r="A5770" s="9">
        <f ca="1"/>
        <v>42660</v>
      </c>
      <c r="B5770" s="6">
        <v>86.44</v>
      </c>
      <c r="C5770" s="6"/>
      <c r="D5770" s="5"/>
    </row>
    <row r="5771" spans="1:4" ht="13" thickBot="1" x14ac:dyDescent="0.3">
      <c r="A5771" s="9">
        <f ca="1"/>
        <v>42661</v>
      </c>
      <c r="B5771" s="6">
        <v>88.17</v>
      </c>
      <c r="C5771" s="6"/>
      <c r="D5771" s="5"/>
    </row>
    <row r="5772" spans="1:4" ht="13" thickBot="1" x14ac:dyDescent="0.3">
      <c r="A5772" s="9">
        <f ca="1"/>
        <v>42662</v>
      </c>
      <c r="B5772" s="6">
        <v>87.19</v>
      </c>
      <c r="C5772" s="6"/>
      <c r="D5772" s="5"/>
    </row>
    <row r="5773" spans="1:4" ht="13" thickBot="1" x14ac:dyDescent="0.3">
      <c r="A5773" s="9">
        <f ca="1"/>
        <v>42663</v>
      </c>
      <c r="B5773" s="6">
        <v>86.39</v>
      </c>
      <c r="C5773" s="6"/>
      <c r="D5773" s="5"/>
    </row>
    <row r="5774" spans="1:4" ht="13" thickBot="1" x14ac:dyDescent="0.3">
      <c r="A5774" s="9">
        <f ca="1"/>
        <v>42664</v>
      </c>
      <c r="B5774" s="6">
        <v>89.22</v>
      </c>
      <c r="C5774" s="6"/>
      <c r="D5774" s="5"/>
    </row>
    <row r="5775" spans="1:4" ht="13" thickBot="1" x14ac:dyDescent="0.3">
      <c r="A5775" s="9">
        <f ca="1"/>
        <v>42665</v>
      </c>
      <c r="B5775" s="5">
        <f t="shared" ref="B5775:B5776" si="824">B5774</f>
        <v>89.22</v>
      </c>
      <c r="C5775" s="6"/>
      <c r="D5775" s="5"/>
    </row>
    <row r="5776" spans="1:4" ht="13" thickBot="1" x14ac:dyDescent="0.3">
      <c r="A5776" s="9">
        <f ca="1"/>
        <v>42666</v>
      </c>
      <c r="B5776" s="5">
        <f t="shared" si="824"/>
        <v>89.22</v>
      </c>
      <c r="C5776" s="6"/>
      <c r="D5776" s="5"/>
    </row>
    <row r="5777" spans="1:4" ht="13" thickBot="1" x14ac:dyDescent="0.3">
      <c r="A5777" s="9">
        <f ca="1"/>
        <v>42667</v>
      </c>
      <c r="B5777" s="6">
        <v>89.06</v>
      </c>
      <c r="C5777" s="6"/>
      <c r="D5777" s="5"/>
    </row>
    <row r="5778" spans="1:4" ht="13" thickBot="1" x14ac:dyDescent="0.3">
      <c r="A5778" s="9">
        <f ca="1"/>
        <v>42668</v>
      </c>
      <c r="B5778" s="6">
        <v>88.15</v>
      </c>
      <c r="C5778" s="6"/>
      <c r="D5778" s="5"/>
    </row>
    <row r="5779" spans="1:4" ht="13" thickBot="1" x14ac:dyDescent="0.3">
      <c r="A5779" s="9">
        <f ca="1"/>
        <v>42669</v>
      </c>
      <c r="B5779" s="6">
        <v>87.78</v>
      </c>
      <c r="C5779" s="6"/>
      <c r="D5779" s="5"/>
    </row>
    <row r="5780" spans="1:4" ht="13" thickBot="1" x14ac:dyDescent="0.3">
      <c r="A5780" s="9">
        <f ca="1"/>
        <v>42670</v>
      </c>
      <c r="B5780" s="6">
        <v>88.31</v>
      </c>
      <c r="C5780" s="6"/>
      <c r="D5780" s="5"/>
    </row>
    <row r="5781" spans="1:4" ht="13" thickBot="1" x14ac:dyDescent="0.3">
      <c r="A5781" s="9">
        <f ca="1"/>
        <v>42671</v>
      </c>
      <c r="B5781" s="6">
        <v>87.77</v>
      </c>
      <c r="C5781" s="6"/>
      <c r="D5781" s="5"/>
    </row>
    <row r="5782" spans="1:4" ht="13" thickBot="1" x14ac:dyDescent="0.3">
      <c r="A5782" s="9">
        <f ca="1"/>
        <v>42672</v>
      </c>
      <c r="B5782" s="5">
        <f t="shared" ref="B5782:B5783" si="825">B5781</f>
        <v>87.77</v>
      </c>
      <c r="C5782" s="6"/>
      <c r="D5782" s="5"/>
    </row>
    <row r="5783" spans="1:4" ht="13" thickBot="1" x14ac:dyDescent="0.3">
      <c r="A5783" s="9">
        <f ca="1"/>
        <v>42673</v>
      </c>
      <c r="B5783" s="5">
        <f t="shared" si="825"/>
        <v>87.77</v>
      </c>
      <c r="C5783" s="6"/>
      <c r="D5783" s="5"/>
    </row>
    <row r="5784" spans="1:4" ht="13" thickBot="1" x14ac:dyDescent="0.3">
      <c r="A5784" s="9">
        <f ca="1"/>
        <v>42674</v>
      </c>
      <c r="B5784" s="6">
        <v>87.88</v>
      </c>
      <c r="C5784" s="6"/>
      <c r="D5784" s="5"/>
    </row>
    <row r="5785" spans="1:4" ht="13" thickBot="1" x14ac:dyDescent="0.3">
      <c r="A5785" s="9">
        <f ca="1"/>
        <v>42675</v>
      </c>
      <c r="B5785" s="6">
        <v>87.71</v>
      </c>
      <c r="C5785" s="6"/>
      <c r="D5785" s="5"/>
    </row>
    <row r="5786" spans="1:4" ht="13" thickBot="1" x14ac:dyDescent="0.3">
      <c r="A5786" s="9">
        <f ca="1"/>
        <v>42676</v>
      </c>
      <c r="B5786" s="6">
        <v>86.47</v>
      </c>
      <c r="C5786" s="6"/>
      <c r="D5786" s="5"/>
    </row>
    <row r="5787" spans="1:4" ht="13" thickBot="1" x14ac:dyDescent="0.3">
      <c r="A5787" s="9">
        <f ca="1"/>
        <v>42677</v>
      </c>
      <c r="B5787" s="6">
        <v>85.44</v>
      </c>
      <c r="C5787" s="6"/>
      <c r="D5787" s="5"/>
    </row>
    <row r="5788" spans="1:4" ht="13" thickBot="1" x14ac:dyDescent="0.3">
      <c r="A5788" s="9">
        <f ca="1"/>
        <v>42678</v>
      </c>
      <c r="B5788" s="6">
        <v>85.55</v>
      </c>
      <c r="C5788" s="6"/>
      <c r="D5788" s="5"/>
    </row>
    <row r="5789" spans="1:4" ht="13" thickBot="1" x14ac:dyDescent="0.3">
      <c r="A5789" s="9">
        <f ca="1"/>
        <v>42679</v>
      </c>
      <c r="B5789" s="5">
        <f t="shared" ref="B5789:B5790" si="826">B5788</f>
        <v>85.55</v>
      </c>
      <c r="C5789" s="6"/>
      <c r="D5789" s="5"/>
    </row>
    <row r="5790" spans="1:4" ht="13" thickBot="1" x14ac:dyDescent="0.3">
      <c r="A5790" s="9">
        <f ca="1"/>
        <v>42680</v>
      </c>
      <c r="B5790" s="5">
        <f t="shared" si="826"/>
        <v>85.55</v>
      </c>
      <c r="C5790" s="6"/>
      <c r="D5790" s="5"/>
    </row>
    <row r="5791" spans="1:4" ht="13" thickBot="1" x14ac:dyDescent="0.3">
      <c r="A5791" s="9">
        <f ca="1"/>
        <v>42681</v>
      </c>
      <c r="B5791" s="6">
        <v>86.17</v>
      </c>
      <c r="C5791" s="6"/>
      <c r="D5791" s="5"/>
    </row>
    <row r="5792" spans="1:4" ht="13" thickBot="1" x14ac:dyDescent="0.3">
      <c r="A5792" s="9">
        <f ca="1"/>
        <v>42682</v>
      </c>
      <c r="B5792" s="6">
        <v>86.27</v>
      </c>
      <c r="C5792" s="6"/>
      <c r="D5792" s="5"/>
    </row>
    <row r="5793" spans="1:4" ht="13" thickBot="1" x14ac:dyDescent="0.3">
      <c r="A5793" s="9">
        <f ca="1"/>
        <v>42683</v>
      </c>
      <c r="B5793" s="6">
        <v>84.55</v>
      </c>
      <c r="C5793" s="6"/>
      <c r="D5793" s="5"/>
    </row>
    <row r="5794" spans="1:4" ht="13" thickBot="1" x14ac:dyDescent="0.3">
      <c r="A5794" s="9">
        <f ca="1"/>
        <v>42684</v>
      </c>
      <c r="B5794" s="6">
        <v>84.83</v>
      </c>
      <c r="C5794" s="6"/>
      <c r="D5794" s="5"/>
    </row>
    <row r="5795" spans="1:4" ht="13" thickBot="1" x14ac:dyDescent="0.3">
      <c r="A5795" s="9">
        <f ca="1"/>
        <v>42685</v>
      </c>
      <c r="B5795" s="6">
        <v>82.6</v>
      </c>
      <c r="C5795" s="6"/>
      <c r="D5795" s="5"/>
    </row>
    <row r="5796" spans="1:4" ht="13" thickBot="1" x14ac:dyDescent="0.3">
      <c r="A5796" s="9">
        <f ca="1"/>
        <v>42686</v>
      </c>
      <c r="B5796" s="5">
        <f t="shared" ref="B5796:B5797" si="827">B5795</f>
        <v>82.6</v>
      </c>
      <c r="C5796" s="6"/>
      <c r="D5796" s="5"/>
    </row>
    <row r="5797" spans="1:4" ht="13" thickBot="1" x14ac:dyDescent="0.3">
      <c r="A5797" s="9">
        <f ca="1"/>
        <v>42687</v>
      </c>
      <c r="B5797" s="5">
        <f t="shared" si="827"/>
        <v>82.6</v>
      </c>
      <c r="C5797" s="6"/>
      <c r="D5797" s="5"/>
    </row>
    <row r="5798" spans="1:4" ht="13" thickBot="1" x14ac:dyDescent="0.3">
      <c r="A5798" s="9">
        <f ca="1"/>
        <v>42688</v>
      </c>
      <c r="B5798" s="6">
        <v>81.44</v>
      </c>
      <c r="C5798" s="6"/>
      <c r="D5798" s="5"/>
    </row>
    <row r="5799" spans="1:4" ht="13" thickBot="1" x14ac:dyDescent="0.3">
      <c r="A5799" s="9">
        <f ca="1"/>
        <v>42689</v>
      </c>
      <c r="B5799" s="6">
        <v>80.95</v>
      </c>
      <c r="C5799" s="6"/>
      <c r="D5799" s="5"/>
    </row>
    <row r="5800" spans="1:4" ht="13" thickBot="1" x14ac:dyDescent="0.3">
      <c r="A5800" s="9">
        <f ca="1"/>
        <v>42690</v>
      </c>
      <c r="B5800" s="6">
        <v>81.63</v>
      </c>
      <c r="C5800" s="6"/>
      <c r="D5800" s="5"/>
    </row>
    <row r="5801" spans="1:4" ht="13" thickBot="1" x14ac:dyDescent="0.3">
      <c r="A5801" s="9">
        <f ca="1"/>
        <v>42691</v>
      </c>
      <c r="B5801" s="6">
        <v>82.15</v>
      </c>
      <c r="C5801" s="6"/>
      <c r="D5801" s="5"/>
    </row>
    <row r="5802" spans="1:4" ht="13" thickBot="1" x14ac:dyDescent="0.3">
      <c r="A5802" s="9">
        <f ca="1"/>
        <v>42692</v>
      </c>
      <c r="B5802" s="6">
        <v>82.92</v>
      </c>
      <c r="C5802" s="6"/>
      <c r="D5802" s="5"/>
    </row>
    <row r="5803" spans="1:4" ht="13" thickBot="1" x14ac:dyDescent="0.3">
      <c r="A5803" s="9">
        <f ca="1"/>
        <v>42693</v>
      </c>
      <c r="B5803" s="5">
        <f t="shared" ref="B5803:B5804" si="828">B5802</f>
        <v>82.92</v>
      </c>
      <c r="C5803" s="6"/>
      <c r="D5803" s="5"/>
    </row>
    <row r="5804" spans="1:4" ht="13" thickBot="1" x14ac:dyDescent="0.3">
      <c r="A5804" s="9">
        <f ca="1"/>
        <v>42694</v>
      </c>
      <c r="B5804" s="5">
        <f t="shared" si="828"/>
        <v>82.92</v>
      </c>
      <c r="C5804" s="6"/>
      <c r="D5804" s="5"/>
    </row>
    <row r="5805" spans="1:4" ht="13" thickBot="1" x14ac:dyDescent="0.3">
      <c r="A5805" s="9">
        <f ca="1"/>
        <v>42695</v>
      </c>
      <c r="B5805" s="6">
        <v>83.84</v>
      </c>
      <c r="C5805" s="6"/>
      <c r="D5805" s="5"/>
    </row>
    <row r="5806" spans="1:4" ht="13" thickBot="1" x14ac:dyDescent="0.3">
      <c r="A5806" s="9">
        <f ca="1"/>
        <v>42696</v>
      </c>
      <c r="B5806" s="6">
        <v>84.79</v>
      </c>
      <c r="C5806" s="6"/>
      <c r="D5806" s="5"/>
    </row>
    <row r="5807" spans="1:4" ht="13" thickBot="1" x14ac:dyDescent="0.3">
      <c r="A5807" s="9">
        <f ca="1"/>
        <v>42697</v>
      </c>
      <c r="B5807" s="6">
        <v>83.74</v>
      </c>
      <c r="C5807" s="6"/>
      <c r="D5807" s="5"/>
    </row>
    <row r="5808" spans="1:4" ht="13" thickBot="1" x14ac:dyDescent="0.3">
      <c r="A5808" s="9">
        <f ca="1"/>
        <v>42698</v>
      </c>
      <c r="B5808" s="5">
        <f>B5807</f>
        <v>83.74</v>
      </c>
      <c r="C5808" s="6"/>
      <c r="D5808" s="5"/>
    </row>
    <row r="5809" spans="1:4" ht="13" thickBot="1" x14ac:dyDescent="0.3">
      <c r="A5809" s="9">
        <f ca="1"/>
        <v>42699</v>
      </c>
      <c r="B5809" s="6">
        <v>85.8</v>
      </c>
      <c r="C5809" s="6"/>
      <c r="D5809" s="5"/>
    </row>
    <row r="5810" spans="1:4" ht="13" thickBot="1" x14ac:dyDescent="0.3">
      <c r="A5810" s="9">
        <f ca="1"/>
        <v>42700</v>
      </c>
      <c r="B5810" s="5">
        <f t="shared" ref="B5810:B5811" si="829">B5809</f>
        <v>85.8</v>
      </c>
      <c r="C5810" s="6"/>
      <c r="D5810" s="5"/>
    </row>
    <row r="5811" spans="1:4" ht="13" thickBot="1" x14ac:dyDescent="0.3">
      <c r="A5811" s="9">
        <f ca="1"/>
        <v>42701</v>
      </c>
      <c r="B5811" s="5">
        <f t="shared" si="829"/>
        <v>85.8</v>
      </c>
      <c r="C5811" s="6"/>
      <c r="D5811" s="5"/>
    </row>
    <row r="5812" spans="1:4" ht="13" thickBot="1" x14ac:dyDescent="0.3">
      <c r="A5812" s="9">
        <f ca="1"/>
        <v>42702</v>
      </c>
      <c r="B5812" s="6">
        <v>85.01</v>
      </c>
      <c r="C5812" s="6"/>
      <c r="D5812" s="5"/>
    </row>
    <row r="5813" spans="1:4" ht="13" thickBot="1" x14ac:dyDescent="0.3">
      <c r="A5813" s="9">
        <f ca="1"/>
        <v>42703</v>
      </c>
      <c r="B5813" s="6">
        <v>83.92</v>
      </c>
      <c r="C5813" s="6"/>
      <c r="D5813" s="5"/>
    </row>
    <row r="5814" spans="1:4" ht="13" thickBot="1" x14ac:dyDescent="0.3">
      <c r="A5814" s="9">
        <f ca="1"/>
        <v>42704</v>
      </c>
      <c r="B5814" s="6">
        <v>84.29</v>
      </c>
      <c r="C5814" s="6"/>
      <c r="D5814" s="5"/>
    </row>
    <row r="5815" spans="1:4" ht="13" thickBot="1" x14ac:dyDescent="0.3">
      <c r="A5815" s="9">
        <f ca="1"/>
        <v>42705</v>
      </c>
      <c r="B5815" s="6">
        <v>82.89</v>
      </c>
      <c r="C5815" s="6"/>
      <c r="D5815" s="5"/>
    </row>
    <row r="5816" spans="1:4" ht="13" thickBot="1" x14ac:dyDescent="0.3">
      <c r="A5816" s="9">
        <f ca="1"/>
        <v>42706</v>
      </c>
      <c r="B5816" s="6">
        <v>81.47</v>
      </c>
      <c r="C5816" s="6"/>
      <c r="D5816" s="5"/>
    </row>
    <row r="5817" spans="1:4" ht="13" thickBot="1" x14ac:dyDescent="0.3">
      <c r="A5817" s="9">
        <f ca="1"/>
        <v>42707</v>
      </c>
      <c r="B5817" s="5">
        <f t="shared" ref="B5817:B5818" si="830">B5816</f>
        <v>81.47</v>
      </c>
      <c r="C5817" s="6"/>
      <c r="D5817" s="5"/>
    </row>
    <row r="5818" spans="1:4" ht="13" thickBot="1" x14ac:dyDescent="0.3">
      <c r="A5818" s="9">
        <f ca="1"/>
        <v>42708</v>
      </c>
      <c r="B5818" s="5">
        <f t="shared" si="830"/>
        <v>81.47</v>
      </c>
      <c r="C5818" s="6"/>
      <c r="D5818" s="5"/>
    </row>
    <row r="5819" spans="1:4" ht="13" thickBot="1" x14ac:dyDescent="0.3">
      <c r="A5819" s="9">
        <f ca="1"/>
        <v>42709</v>
      </c>
      <c r="B5819" s="6">
        <v>82.85</v>
      </c>
      <c r="C5819" s="6"/>
      <c r="D5819" s="5"/>
    </row>
    <row r="5820" spans="1:4" ht="13" thickBot="1" x14ac:dyDescent="0.3">
      <c r="A5820" s="9">
        <f ca="1"/>
        <v>42710</v>
      </c>
      <c r="B5820" s="6">
        <v>82.49</v>
      </c>
      <c r="C5820" s="6"/>
      <c r="D5820" s="5"/>
    </row>
    <row r="5821" spans="1:4" ht="13" thickBot="1" x14ac:dyDescent="0.3">
      <c r="A5821" s="9">
        <f ca="1"/>
        <v>42711</v>
      </c>
      <c r="B5821" s="6">
        <v>83.5</v>
      </c>
      <c r="C5821" s="6"/>
      <c r="D5821" s="5"/>
    </row>
    <row r="5822" spans="1:4" ht="13" thickBot="1" x14ac:dyDescent="0.3">
      <c r="A5822" s="9">
        <f ca="1"/>
        <v>42712</v>
      </c>
      <c r="B5822" s="6">
        <v>84.17</v>
      </c>
      <c r="C5822" s="6"/>
      <c r="D5822" s="5"/>
    </row>
    <row r="5823" spans="1:4" ht="13" thickBot="1" x14ac:dyDescent="0.3">
      <c r="A5823" s="9">
        <f ca="1"/>
        <v>42713</v>
      </c>
      <c r="B5823" s="6">
        <v>84.37</v>
      </c>
      <c r="C5823" s="6"/>
      <c r="D5823" s="5"/>
    </row>
    <row r="5824" spans="1:4" ht="13" thickBot="1" x14ac:dyDescent="0.3">
      <c r="A5824" s="9">
        <f ca="1"/>
        <v>42714</v>
      </c>
      <c r="B5824" s="5">
        <f t="shared" ref="B5824:B5825" si="831">B5823</f>
        <v>84.37</v>
      </c>
      <c r="C5824" s="6"/>
      <c r="D5824" s="5"/>
    </row>
    <row r="5825" spans="1:4" ht="13" thickBot="1" x14ac:dyDescent="0.3">
      <c r="A5825" s="9">
        <f ca="1"/>
        <v>42715</v>
      </c>
      <c r="B5825" s="5">
        <f t="shared" si="831"/>
        <v>84.37</v>
      </c>
      <c r="C5825" s="6"/>
      <c r="D5825" s="5"/>
    </row>
    <row r="5826" spans="1:4" ht="13" thickBot="1" x14ac:dyDescent="0.3">
      <c r="A5826" s="9">
        <f ca="1"/>
        <v>42716</v>
      </c>
      <c r="B5826" s="6">
        <v>84.7</v>
      </c>
      <c r="C5826" s="6"/>
      <c r="D5826" s="5"/>
    </row>
    <row r="5827" spans="1:4" ht="13" thickBot="1" x14ac:dyDescent="0.3">
      <c r="A5827" s="9">
        <f ca="1"/>
        <v>42717</v>
      </c>
      <c r="B5827" s="6">
        <v>85.17</v>
      </c>
      <c r="C5827" s="6"/>
      <c r="D5827" s="5"/>
    </row>
    <row r="5828" spans="1:4" ht="13" thickBot="1" x14ac:dyDescent="0.3">
      <c r="A5828" s="9">
        <f ca="1"/>
        <v>42718</v>
      </c>
      <c r="B5828" s="6">
        <v>85.6</v>
      </c>
      <c r="C5828" s="6"/>
      <c r="D5828" s="5"/>
    </row>
    <row r="5829" spans="1:4" ht="13" thickBot="1" x14ac:dyDescent="0.3">
      <c r="A5829" s="9">
        <f ca="1"/>
        <v>42719</v>
      </c>
      <c r="B5829" s="6">
        <v>84.28</v>
      </c>
      <c r="C5829" s="6"/>
      <c r="D5829" s="5"/>
    </row>
    <row r="5830" spans="1:4" ht="13" thickBot="1" x14ac:dyDescent="0.3">
      <c r="A5830" s="9">
        <f ca="1"/>
        <v>42720</v>
      </c>
      <c r="B5830" s="6">
        <v>84.81</v>
      </c>
      <c r="C5830" s="6"/>
      <c r="D5830" s="5"/>
    </row>
    <row r="5831" spans="1:4" ht="13" thickBot="1" x14ac:dyDescent="0.3">
      <c r="A5831" s="9">
        <f ca="1"/>
        <v>42721</v>
      </c>
      <c r="B5831" s="5">
        <f t="shared" ref="B5831:B5832" si="832">B5830</f>
        <v>84.81</v>
      </c>
      <c r="C5831" s="6"/>
      <c r="D5831" s="5"/>
    </row>
    <row r="5832" spans="1:4" ht="13" thickBot="1" x14ac:dyDescent="0.3">
      <c r="A5832" s="9">
        <f ca="1"/>
        <v>42722</v>
      </c>
      <c r="B5832" s="5">
        <f t="shared" si="832"/>
        <v>84.81</v>
      </c>
      <c r="C5832" s="6"/>
      <c r="D5832" s="5"/>
    </row>
    <row r="5833" spans="1:4" ht="13" thickBot="1" x14ac:dyDescent="0.3">
      <c r="A5833" s="9">
        <f ca="1"/>
        <v>42723</v>
      </c>
      <c r="B5833" s="6">
        <v>85.47</v>
      </c>
      <c r="C5833" s="6"/>
      <c r="D5833" s="5"/>
    </row>
    <row r="5834" spans="1:4" ht="13" thickBot="1" x14ac:dyDescent="0.3">
      <c r="A5834" s="9">
        <f ca="1"/>
        <v>42724</v>
      </c>
      <c r="B5834" s="6">
        <v>85.77</v>
      </c>
      <c r="C5834" s="6"/>
      <c r="D5834" s="5"/>
    </row>
    <row r="5835" spans="1:4" ht="13" thickBot="1" x14ac:dyDescent="0.3">
      <c r="A5835" s="9">
        <f ca="1"/>
        <v>42725</v>
      </c>
      <c r="B5835" s="6">
        <v>86.61</v>
      </c>
      <c r="C5835" s="6"/>
      <c r="D5835" s="5"/>
    </row>
    <row r="5836" spans="1:4" ht="13" thickBot="1" x14ac:dyDescent="0.3">
      <c r="A5836" s="9">
        <f ca="1"/>
        <v>42726</v>
      </c>
      <c r="B5836" s="6">
        <v>85.95</v>
      </c>
      <c r="C5836" s="6"/>
      <c r="D5836" s="5"/>
    </row>
    <row r="5837" spans="1:4" ht="13" thickBot="1" x14ac:dyDescent="0.3">
      <c r="A5837" s="9">
        <f ca="1"/>
        <v>42727</v>
      </c>
      <c r="B5837" s="6">
        <v>85.44</v>
      </c>
      <c r="C5837" s="6"/>
      <c r="D5837" s="5"/>
    </row>
    <row r="5838" spans="1:4" ht="13" thickBot="1" x14ac:dyDescent="0.3">
      <c r="A5838" s="9">
        <f ca="1"/>
        <v>42728</v>
      </c>
      <c r="B5838" s="5">
        <f t="shared" ref="B5838:B5840" si="833">B5837</f>
        <v>85.44</v>
      </c>
      <c r="C5838" s="6"/>
      <c r="D5838" s="5"/>
    </row>
    <row r="5839" spans="1:4" ht="13" thickBot="1" x14ac:dyDescent="0.3">
      <c r="A5839" s="9">
        <f ca="1"/>
        <v>42729</v>
      </c>
      <c r="B5839" s="5">
        <f t="shared" si="833"/>
        <v>85.44</v>
      </c>
      <c r="C5839" s="6"/>
      <c r="D5839" s="5"/>
    </row>
    <row r="5840" spans="1:4" ht="13" thickBot="1" x14ac:dyDescent="0.3">
      <c r="A5840" s="9">
        <f ca="1"/>
        <v>42730</v>
      </c>
      <c r="B5840" s="5">
        <f t="shared" si="833"/>
        <v>85.44</v>
      </c>
      <c r="C5840" s="6"/>
      <c r="D5840" s="5"/>
    </row>
    <row r="5841" spans="1:4" ht="13" thickBot="1" x14ac:dyDescent="0.3">
      <c r="A5841" s="9">
        <f ca="1"/>
        <v>42731</v>
      </c>
      <c r="B5841" s="6">
        <v>85.76</v>
      </c>
      <c r="C5841" s="6"/>
      <c r="D5841" s="5"/>
    </row>
    <row r="5842" spans="1:4" ht="13" thickBot="1" x14ac:dyDescent="0.3">
      <c r="A5842" s="9">
        <f ca="1"/>
        <v>42732</v>
      </c>
      <c r="B5842" s="6">
        <v>85.92</v>
      </c>
      <c r="C5842" s="6"/>
      <c r="D5842" s="5"/>
    </row>
    <row r="5843" spans="1:4" ht="13" thickBot="1" x14ac:dyDescent="0.3">
      <c r="A5843" s="9">
        <f ca="1"/>
        <v>42733</v>
      </c>
      <c r="B5843" s="6">
        <v>86.38</v>
      </c>
      <c r="C5843" s="6"/>
      <c r="D5843" s="5"/>
    </row>
    <row r="5844" spans="1:4" ht="13" thickBot="1" x14ac:dyDescent="0.3">
      <c r="A5844" s="9">
        <f ca="1"/>
        <v>42734</v>
      </c>
      <c r="B5844" s="6">
        <v>86.92</v>
      </c>
      <c r="C5844" s="6"/>
      <c r="D5844" s="5"/>
    </row>
    <row r="5845" spans="1:4" ht="13" thickBot="1" x14ac:dyDescent="0.3">
      <c r="A5845" s="9">
        <f ca="1"/>
        <v>42735</v>
      </c>
      <c r="B5845" s="5">
        <f t="shared" ref="B5845:B5847" si="834">B5844</f>
        <v>86.92</v>
      </c>
      <c r="C5845" s="6"/>
      <c r="D5845" s="5"/>
    </row>
    <row r="5846" spans="1:4" ht="13" thickBot="1" x14ac:dyDescent="0.3">
      <c r="A5846" s="9">
        <f ca="1"/>
        <v>42736</v>
      </c>
      <c r="B5846" s="5">
        <f t="shared" si="834"/>
        <v>86.92</v>
      </c>
      <c r="C5846" s="6"/>
      <c r="D5846" s="5"/>
    </row>
    <row r="5847" spans="1:4" ht="13" thickBot="1" x14ac:dyDescent="0.3">
      <c r="A5847" s="9">
        <f ca="1"/>
        <v>42737</v>
      </c>
      <c r="B5847" s="5">
        <f t="shared" si="834"/>
        <v>86.92</v>
      </c>
      <c r="C5847" s="6"/>
      <c r="D5847" s="5"/>
    </row>
    <row r="5848" spans="1:4" ht="13" thickBot="1" x14ac:dyDescent="0.3">
      <c r="A5848" s="9">
        <f ca="1"/>
        <v>42738</v>
      </c>
      <c r="B5848" s="6">
        <v>86.25</v>
      </c>
      <c r="C5848" s="6"/>
      <c r="D5848" s="5"/>
    </row>
    <row r="5849" spans="1:4" ht="13" thickBot="1" x14ac:dyDescent="0.3">
      <c r="A5849" s="9">
        <f ca="1"/>
        <v>42739</v>
      </c>
      <c r="B5849" s="6">
        <v>85.66</v>
      </c>
      <c r="C5849" s="6"/>
      <c r="D5849" s="5"/>
    </row>
    <row r="5850" spans="1:4" ht="13" thickBot="1" x14ac:dyDescent="0.3">
      <c r="A5850" s="9">
        <f ca="1"/>
        <v>42740</v>
      </c>
      <c r="B5850" s="6">
        <v>86.37</v>
      </c>
      <c r="C5850" s="6"/>
      <c r="D5850" s="5"/>
    </row>
    <row r="5851" spans="1:4" ht="13" thickBot="1" x14ac:dyDescent="0.3">
      <c r="A5851" s="9">
        <f ca="1"/>
        <v>42741</v>
      </c>
      <c r="B5851" s="6">
        <v>87.82</v>
      </c>
      <c r="C5851" s="6"/>
      <c r="D5851" s="5"/>
    </row>
    <row r="5852" spans="1:4" ht="13" thickBot="1" x14ac:dyDescent="0.3">
      <c r="A5852" s="9">
        <f ca="1"/>
        <v>42742</v>
      </c>
      <c r="B5852" s="5">
        <f t="shared" ref="B5852:B5853" si="835">B5851</f>
        <v>87.82</v>
      </c>
      <c r="C5852" s="6"/>
      <c r="D5852" s="5"/>
    </row>
    <row r="5853" spans="1:4" ht="13" thickBot="1" x14ac:dyDescent="0.3">
      <c r="A5853" s="9">
        <f ca="1"/>
        <v>42743</v>
      </c>
      <c r="B5853" s="5">
        <f t="shared" si="835"/>
        <v>87.82</v>
      </c>
      <c r="C5853" s="6"/>
      <c r="D5853" s="5"/>
    </row>
    <row r="5854" spans="1:4" ht="13" thickBot="1" x14ac:dyDescent="0.3">
      <c r="A5854" s="9">
        <f ca="1"/>
        <v>42744</v>
      </c>
      <c r="B5854" s="6">
        <v>88.97</v>
      </c>
      <c r="C5854" s="6"/>
      <c r="D5854" s="5"/>
    </row>
    <row r="5855" spans="1:4" ht="13" thickBot="1" x14ac:dyDescent="0.3">
      <c r="A5855" s="9">
        <f ca="1"/>
        <v>42745</v>
      </c>
      <c r="B5855" s="6">
        <v>89.03</v>
      </c>
      <c r="C5855" s="6"/>
      <c r="D5855" s="5"/>
    </row>
    <row r="5856" spans="1:4" ht="13" thickBot="1" x14ac:dyDescent="0.3">
      <c r="A5856" s="9">
        <f ca="1"/>
        <v>42746</v>
      </c>
      <c r="B5856" s="6">
        <v>87.83</v>
      </c>
      <c r="C5856" s="6"/>
      <c r="D5856" s="5"/>
    </row>
    <row r="5857" spans="1:4" ht="13" thickBot="1" x14ac:dyDescent="0.3">
      <c r="A5857" s="9">
        <f ca="1"/>
        <v>42747</v>
      </c>
      <c r="B5857" s="6">
        <v>88.72</v>
      </c>
      <c r="C5857" s="6"/>
      <c r="D5857" s="5"/>
    </row>
    <row r="5858" spans="1:4" ht="13" thickBot="1" x14ac:dyDescent="0.3">
      <c r="A5858" s="9">
        <f ca="1"/>
        <v>42748</v>
      </c>
      <c r="B5858" s="6">
        <v>89.28</v>
      </c>
      <c r="C5858" s="6"/>
      <c r="D5858" s="5"/>
    </row>
    <row r="5859" spans="1:4" ht="13" thickBot="1" x14ac:dyDescent="0.3">
      <c r="A5859" s="9">
        <f ca="1"/>
        <v>42749</v>
      </c>
      <c r="B5859" s="5">
        <f t="shared" ref="B5859:B5861" si="836">B5858</f>
        <v>89.28</v>
      </c>
      <c r="C5859" s="6"/>
      <c r="D5859" s="5"/>
    </row>
    <row r="5860" spans="1:4" ht="13" thickBot="1" x14ac:dyDescent="0.3">
      <c r="A5860" s="9">
        <f ca="1"/>
        <v>42750</v>
      </c>
      <c r="B5860" s="5">
        <f t="shared" si="836"/>
        <v>89.28</v>
      </c>
      <c r="C5860" s="6"/>
      <c r="D5860" s="5"/>
    </row>
    <row r="5861" spans="1:4" ht="13" thickBot="1" x14ac:dyDescent="0.3">
      <c r="A5861" s="9">
        <f ca="1"/>
        <v>42751</v>
      </c>
      <c r="B5861" s="5">
        <f t="shared" si="836"/>
        <v>89.28</v>
      </c>
      <c r="C5861" s="6"/>
      <c r="D5861" s="5"/>
    </row>
    <row r="5862" spans="1:4" ht="13" thickBot="1" x14ac:dyDescent="0.3">
      <c r="A5862" s="9">
        <f ca="1"/>
        <v>42752</v>
      </c>
      <c r="B5862" s="6">
        <v>89.51</v>
      </c>
      <c r="C5862" s="6"/>
      <c r="D5862" s="5"/>
    </row>
    <row r="5863" spans="1:4" ht="13" thickBot="1" x14ac:dyDescent="0.3">
      <c r="A5863" s="9">
        <f ca="1"/>
        <v>42753</v>
      </c>
      <c r="B5863" s="6">
        <v>88.9</v>
      </c>
      <c r="C5863" s="6"/>
      <c r="D5863" s="5"/>
    </row>
    <row r="5864" spans="1:4" ht="13" thickBot="1" x14ac:dyDescent="0.3">
      <c r="A5864" s="9">
        <f ca="1"/>
        <v>42754</v>
      </c>
      <c r="B5864" s="6">
        <v>88.8</v>
      </c>
      <c r="C5864" s="6"/>
      <c r="D5864" s="5"/>
    </row>
    <row r="5865" spans="1:4" ht="13" thickBot="1" x14ac:dyDescent="0.3">
      <c r="A5865" s="9">
        <f ca="1"/>
        <v>42755</v>
      </c>
      <c r="B5865" s="6">
        <v>89.37</v>
      </c>
      <c r="C5865" s="6"/>
      <c r="D5865" s="5"/>
    </row>
    <row r="5866" spans="1:4" ht="13" thickBot="1" x14ac:dyDescent="0.3">
      <c r="A5866" s="9">
        <f ca="1"/>
        <v>42756</v>
      </c>
      <c r="B5866" s="5">
        <f t="shared" ref="B5866:B5867" si="837">B5865</f>
        <v>89.37</v>
      </c>
      <c r="C5866" s="6"/>
      <c r="D5866" s="5"/>
    </row>
    <row r="5867" spans="1:4" ht="13" thickBot="1" x14ac:dyDescent="0.3">
      <c r="A5867" s="9">
        <f ca="1"/>
        <v>42757</v>
      </c>
      <c r="B5867" s="5">
        <f t="shared" si="837"/>
        <v>89.37</v>
      </c>
      <c r="C5867" s="6"/>
      <c r="D5867" s="5"/>
    </row>
    <row r="5868" spans="1:4" ht="13" thickBot="1" x14ac:dyDescent="0.3">
      <c r="A5868" s="9">
        <f ca="1"/>
        <v>42758</v>
      </c>
      <c r="B5868" s="6">
        <v>89.44</v>
      </c>
      <c r="C5868" s="6"/>
      <c r="D5868" s="5"/>
    </row>
    <row r="5869" spans="1:4" ht="13" thickBot="1" x14ac:dyDescent="0.3">
      <c r="A5869" s="9">
        <f ca="1"/>
        <v>42759</v>
      </c>
      <c r="B5869" s="6">
        <v>90.01</v>
      </c>
      <c r="C5869" s="6"/>
      <c r="D5869" s="5"/>
    </row>
    <row r="5870" spans="1:4" ht="13" thickBot="1" x14ac:dyDescent="0.3">
      <c r="A5870" s="9">
        <f ca="1"/>
        <v>42760</v>
      </c>
      <c r="B5870" s="6">
        <v>90.94</v>
      </c>
      <c r="C5870" s="6"/>
      <c r="D5870" s="5"/>
    </row>
    <row r="5871" spans="1:4" ht="13" thickBot="1" x14ac:dyDescent="0.3">
      <c r="A5871" s="9">
        <f ca="1"/>
        <v>42761</v>
      </c>
      <c r="B5871" s="6">
        <v>90.64</v>
      </c>
      <c r="C5871" s="6"/>
      <c r="D5871" s="5"/>
    </row>
    <row r="5872" spans="1:4" ht="13" thickBot="1" x14ac:dyDescent="0.3">
      <c r="A5872" s="9">
        <f ca="1"/>
        <v>42762</v>
      </c>
      <c r="B5872" s="6">
        <v>91.22</v>
      </c>
      <c r="C5872" s="6"/>
      <c r="D5872" s="5"/>
    </row>
    <row r="5873" spans="1:4" ht="13" thickBot="1" x14ac:dyDescent="0.3">
      <c r="A5873" s="9">
        <f ca="1"/>
        <v>42763</v>
      </c>
      <c r="B5873" s="5">
        <f t="shared" ref="B5873:B5874" si="838">B5872</f>
        <v>91.22</v>
      </c>
      <c r="C5873" s="6"/>
      <c r="D5873" s="5"/>
    </row>
    <row r="5874" spans="1:4" ht="13" thickBot="1" x14ac:dyDescent="0.3">
      <c r="A5874" s="9">
        <f ca="1"/>
        <v>42764</v>
      </c>
      <c r="B5874" s="5">
        <f t="shared" si="838"/>
        <v>91.22</v>
      </c>
      <c r="C5874" s="6"/>
      <c r="D5874" s="5"/>
    </row>
    <row r="5875" spans="1:4" ht="13" thickBot="1" x14ac:dyDescent="0.3">
      <c r="A5875" s="9">
        <f ca="1"/>
        <v>42765</v>
      </c>
      <c r="B5875" s="6">
        <v>90.67</v>
      </c>
      <c r="C5875" s="6"/>
      <c r="D5875" s="5"/>
    </row>
    <row r="5876" spans="1:4" ht="13" thickBot="1" x14ac:dyDescent="0.3">
      <c r="A5876" s="9">
        <f ca="1"/>
        <v>42766</v>
      </c>
      <c r="B5876" s="6">
        <v>91.73</v>
      </c>
      <c r="C5876" s="6"/>
      <c r="D5876" s="5"/>
    </row>
    <row r="5877" spans="1:4" ht="13" thickBot="1" x14ac:dyDescent="0.3">
      <c r="A5877" s="9">
        <f ca="1"/>
        <v>42767</v>
      </c>
      <c r="B5877" s="6">
        <v>90.93</v>
      </c>
      <c r="C5877" s="6"/>
      <c r="D5877" s="5"/>
    </row>
    <row r="5878" spans="1:4" ht="13" thickBot="1" x14ac:dyDescent="0.3">
      <c r="A5878" s="9">
        <f ca="1"/>
        <v>42768</v>
      </c>
      <c r="B5878" s="6">
        <v>92.56</v>
      </c>
      <c r="C5878" s="6"/>
      <c r="D5878" s="5"/>
    </row>
    <row r="5879" spans="1:4" ht="13" thickBot="1" x14ac:dyDescent="0.3">
      <c r="A5879" s="9">
        <f ca="1"/>
        <v>42769</v>
      </c>
      <c r="B5879" s="6">
        <v>92.4</v>
      </c>
      <c r="C5879" s="6"/>
      <c r="D5879" s="5"/>
    </row>
    <row r="5880" spans="1:4" ht="13" thickBot="1" x14ac:dyDescent="0.3">
      <c r="A5880" s="9">
        <f ca="1"/>
        <v>42770</v>
      </c>
      <c r="B5880" s="5">
        <f t="shared" ref="B5880:B5881" si="839">B5879</f>
        <v>92.4</v>
      </c>
      <c r="C5880" s="6"/>
      <c r="D5880" s="5"/>
    </row>
    <row r="5881" spans="1:4" ht="13" thickBot="1" x14ac:dyDescent="0.3">
      <c r="A5881" s="9">
        <f ca="1"/>
        <v>42771</v>
      </c>
      <c r="B5881" s="5">
        <f t="shared" si="839"/>
        <v>92.4</v>
      </c>
      <c r="C5881" s="6"/>
      <c r="D5881" s="5"/>
    </row>
    <row r="5882" spans="1:4" ht="13" thickBot="1" x14ac:dyDescent="0.3">
      <c r="A5882" s="9">
        <f ca="1"/>
        <v>42772</v>
      </c>
      <c r="B5882" s="6">
        <v>90.89</v>
      </c>
      <c r="C5882" s="6"/>
      <c r="D5882" s="5"/>
    </row>
    <row r="5883" spans="1:4" ht="13" thickBot="1" x14ac:dyDescent="0.3">
      <c r="A5883" s="9">
        <f ca="1"/>
        <v>42773</v>
      </c>
      <c r="B5883" s="6">
        <v>91.36</v>
      </c>
      <c r="C5883" s="6"/>
      <c r="D5883" s="5"/>
    </row>
    <row r="5884" spans="1:4" ht="13" thickBot="1" x14ac:dyDescent="0.3">
      <c r="A5884" s="9">
        <f ca="1"/>
        <v>42774</v>
      </c>
      <c r="B5884" s="6">
        <v>91.72</v>
      </c>
      <c r="C5884" s="6"/>
      <c r="D5884" s="5"/>
    </row>
    <row r="5885" spans="1:4" ht="13" thickBot="1" x14ac:dyDescent="0.3">
      <c r="A5885" s="9">
        <f ca="1"/>
        <v>42775</v>
      </c>
      <c r="B5885" s="6">
        <v>91.9</v>
      </c>
      <c r="C5885" s="6"/>
      <c r="D5885" s="5"/>
    </row>
    <row r="5886" spans="1:4" ht="13" thickBot="1" x14ac:dyDescent="0.3">
      <c r="A5886" s="9">
        <f ca="1"/>
        <v>42776</v>
      </c>
      <c r="B5886" s="6">
        <v>91.7</v>
      </c>
      <c r="C5886" s="6"/>
      <c r="D5886" s="5"/>
    </row>
    <row r="5887" spans="1:4" ht="13" thickBot="1" x14ac:dyDescent="0.3">
      <c r="A5887" s="9">
        <f ca="1"/>
        <v>42777</v>
      </c>
      <c r="B5887" s="5">
        <f t="shared" ref="B5887:B5888" si="840">B5886</f>
        <v>91.7</v>
      </c>
      <c r="C5887" s="6"/>
      <c r="D5887" s="5"/>
    </row>
    <row r="5888" spans="1:4" ht="13" thickBot="1" x14ac:dyDescent="0.3">
      <c r="A5888" s="9">
        <f ca="1"/>
        <v>42778</v>
      </c>
      <c r="B5888" s="5">
        <f t="shared" si="840"/>
        <v>91.7</v>
      </c>
      <c r="C5888" s="6"/>
      <c r="D5888" s="5"/>
    </row>
    <row r="5889" spans="1:4" ht="13" thickBot="1" x14ac:dyDescent="0.3">
      <c r="A5889" s="9">
        <f ca="1"/>
        <v>42779</v>
      </c>
      <c r="B5889" s="6">
        <v>92.88</v>
      </c>
      <c r="C5889" s="6"/>
      <c r="D5889" s="5"/>
    </row>
    <row r="5890" spans="1:4" ht="13" thickBot="1" x14ac:dyDescent="0.3">
      <c r="A5890" s="9">
        <f ca="1"/>
        <v>42780</v>
      </c>
      <c r="B5890" s="6">
        <v>92.49</v>
      </c>
      <c r="C5890" s="6"/>
      <c r="D5890" s="5"/>
    </row>
    <row r="5891" spans="1:4" ht="13" thickBot="1" x14ac:dyDescent="0.3">
      <c r="A5891" s="9">
        <f ca="1"/>
        <v>42781</v>
      </c>
      <c r="B5891" s="6">
        <v>91.44</v>
      </c>
      <c r="C5891" s="6"/>
      <c r="D5891" s="5"/>
    </row>
    <row r="5892" spans="1:4" ht="13" thickBot="1" x14ac:dyDescent="0.3">
      <c r="A5892" s="9">
        <f ca="1"/>
        <v>42782</v>
      </c>
      <c r="B5892" s="6">
        <v>92.48</v>
      </c>
      <c r="C5892" s="6"/>
      <c r="D5892" s="5"/>
    </row>
    <row r="5893" spans="1:4" ht="13" thickBot="1" x14ac:dyDescent="0.3">
      <c r="A5893" s="9">
        <f ca="1"/>
        <v>42783</v>
      </c>
      <c r="B5893" s="6">
        <v>92.24</v>
      </c>
      <c r="C5893" s="6"/>
      <c r="D5893" s="5"/>
    </row>
    <row r="5894" spans="1:4" ht="13" thickBot="1" x14ac:dyDescent="0.3">
      <c r="A5894" s="9">
        <f ca="1"/>
        <v>42784</v>
      </c>
      <c r="B5894" s="5">
        <f t="shared" ref="B5894:B5896" si="841">B5893</f>
        <v>92.24</v>
      </c>
      <c r="C5894" s="6"/>
      <c r="D5894" s="5"/>
    </row>
    <row r="5895" spans="1:4" ht="13" thickBot="1" x14ac:dyDescent="0.3">
      <c r="A5895" s="9">
        <f ca="1"/>
        <v>42785</v>
      </c>
      <c r="B5895" s="5">
        <f t="shared" si="841"/>
        <v>92.24</v>
      </c>
      <c r="C5895" s="6"/>
      <c r="D5895" s="5"/>
    </row>
    <row r="5896" spans="1:4" ht="13" thickBot="1" x14ac:dyDescent="0.3">
      <c r="A5896" s="9">
        <f ca="1"/>
        <v>42786</v>
      </c>
      <c r="B5896" s="5">
        <f t="shared" si="841"/>
        <v>92.24</v>
      </c>
      <c r="C5896" s="6"/>
      <c r="D5896" s="5"/>
    </row>
    <row r="5897" spans="1:4" ht="13" thickBot="1" x14ac:dyDescent="0.3">
      <c r="A5897" s="9">
        <f ca="1"/>
        <v>42787</v>
      </c>
      <c r="B5897" s="6">
        <v>92.55</v>
      </c>
      <c r="C5897" s="6"/>
      <c r="D5897" s="5"/>
    </row>
    <row r="5898" spans="1:4" ht="13" thickBot="1" x14ac:dyDescent="0.3">
      <c r="A5898" s="9">
        <f ca="1"/>
        <v>42788</v>
      </c>
      <c r="B5898" s="6">
        <v>93.56</v>
      </c>
      <c r="C5898" s="6"/>
      <c r="D5898" s="5"/>
    </row>
    <row r="5899" spans="1:4" ht="13" thickBot="1" x14ac:dyDescent="0.3">
      <c r="A5899" s="9">
        <f ca="1"/>
        <v>42789</v>
      </c>
      <c r="B5899" s="6">
        <v>93.92</v>
      </c>
      <c r="C5899" s="6"/>
      <c r="D5899" s="5"/>
    </row>
    <row r="5900" spans="1:4" ht="13" thickBot="1" x14ac:dyDescent="0.3">
      <c r="A5900" s="9">
        <f ca="1"/>
        <v>42790</v>
      </c>
      <c r="B5900" s="6">
        <v>93.01</v>
      </c>
      <c r="C5900" s="6"/>
      <c r="D5900" s="5"/>
    </row>
    <row r="5901" spans="1:4" ht="13" thickBot="1" x14ac:dyDescent="0.3">
      <c r="A5901" s="9">
        <f ca="1"/>
        <v>42791</v>
      </c>
      <c r="B5901" s="5">
        <f t="shared" ref="B5901:B5902" si="842">B5900</f>
        <v>93.01</v>
      </c>
      <c r="C5901" s="6"/>
      <c r="D5901" s="5"/>
    </row>
    <row r="5902" spans="1:4" ht="13" thickBot="1" x14ac:dyDescent="0.3">
      <c r="A5902" s="9">
        <f ca="1"/>
        <v>42792</v>
      </c>
      <c r="B5902" s="5">
        <f t="shared" si="842"/>
        <v>93.01</v>
      </c>
      <c r="C5902" s="6"/>
      <c r="D5902" s="5"/>
    </row>
    <row r="5903" spans="1:4" ht="13" thickBot="1" x14ac:dyDescent="0.3">
      <c r="A5903" s="9">
        <f ca="1"/>
        <v>42793</v>
      </c>
      <c r="B5903" s="6">
        <v>92.89</v>
      </c>
      <c r="C5903" s="6"/>
      <c r="D5903" s="5"/>
    </row>
    <row r="5904" spans="1:4" ht="13" thickBot="1" x14ac:dyDescent="0.3">
      <c r="A5904" s="9">
        <f ca="1"/>
        <v>42794</v>
      </c>
      <c r="B5904" s="6">
        <v>93.16</v>
      </c>
      <c r="C5904" s="6"/>
      <c r="D5904" s="5"/>
    </row>
    <row r="5905" spans="1:4" ht="13" thickBot="1" x14ac:dyDescent="0.3">
      <c r="A5905" s="9">
        <f ca="1"/>
        <v>42795</v>
      </c>
      <c r="B5905" s="6">
        <v>93.96</v>
      </c>
      <c r="C5905" s="6"/>
      <c r="D5905" s="5"/>
    </row>
    <row r="5906" spans="1:4" ht="13" thickBot="1" x14ac:dyDescent="0.3">
      <c r="A5906" s="9">
        <f ca="1"/>
        <v>42796</v>
      </c>
      <c r="B5906" s="6">
        <v>93.91</v>
      </c>
      <c r="C5906" s="6"/>
      <c r="D5906" s="5"/>
    </row>
    <row r="5907" spans="1:4" ht="13" thickBot="1" x14ac:dyDescent="0.3">
      <c r="A5907" s="9">
        <f ca="1"/>
        <v>42797</v>
      </c>
      <c r="B5907" s="6">
        <v>94.12</v>
      </c>
      <c r="C5907" s="6"/>
      <c r="D5907" s="5"/>
    </row>
    <row r="5908" spans="1:4" ht="13" thickBot="1" x14ac:dyDescent="0.3">
      <c r="A5908" s="9">
        <f ca="1"/>
        <v>42798</v>
      </c>
      <c r="B5908" s="5">
        <f t="shared" ref="B5908:B5909" si="843">B5907</f>
        <v>94.12</v>
      </c>
      <c r="C5908" s="6"/>
      <c r="D5908" s="5"/>
    </row>
    <row r="5909" spans="1:4" ht="13" thickBot="1" x14ac:dyDescent="0.3">
      <c r="A5909" s="9">
        <f ca="1"/>
        <v>42799</v>
      </c>
      <c r="B5909" s="5">
        <f t="shared" si="843"/>
        <v>94.12</v>
      </c>
      <c r="C5909" s="6"/>
      <c r="D5909" s="5"/>
    </row>
    <row r="5910" spans="1:4" ht="13" thickBot="1" x14ac:dyDescent="0.3">
      <c r="A5910" s="9">
        <f ca="1"/>
        <v>42800</v>
      </c>
      <c r="B5910" s="6">
        <v>94.19</v>
      </c>
      <c r="C5910" s="6"/>
      <c r="D5910" s="5"/>
    </row>
    <row r="5911" spans="1:4" ht="13" thickBot="1" x14ac:dyDescent="0.3">
      <c r="A5911" s="9">
        <f ca="1"/>
        <v>42801</v>
      </c>
      <c r="B5911" s="6">
        <v>93.96</v>
      </c>
      <c r="C5911" s="6"/>
      <c r="D5911" s="5"/>
    </row>
    <row r="5912" spans="1:4" ht="13" thickBot="1" x14ac:dyDescent="0.3">
      <c r="A5912" s="9">
        <f ca="1"/>
        <v>42802</v>
      </c>
      <c r="B5912" s="6">
        <v>94.18</v>
      </c>
      <c r="C5912" s="6"/>
      <c r="D5912" s="5"/>
    </row>
    <row r="5913" spans="1:4" ht="13" thickBot="1" x14ac:dyDescent="0.3">
      <c r="A5913" s="9">
        <f ca="1"/>
        <v>42803</v>
      </c>
      <c r="B5913" s="6">
        <v>94.86</v>
      </c>
      <c r="C5913" s="6"/>
      <c r="D5913" s="5"/>
    </row>
    <row r="5914" spans="1:4" ht="13" thickBot="1" x14ac:dyDescent="0.3">
      <c r="A5914" s="9">
        <f ca="1"/>
        <v>42804</v>
      </c>
      <c r="B5914" s="6">
        <v>94.94</v>
      </c>
      <c r="C5914" s="6"/>
      <c r="D5914" s="5"/>
    </row>
    <row r="5915" spans="1:4" ht="13" thickBot="1" x14ac:dyDescent="0.3">
      <c r="A5915" s="9">
        <f ca="1"/>
        <v>42805</v>
      </c>
      <c r="B5915" s="5">
        <f t="shared" ref="B5915:B5916" si="844">B5914</f>
        <v>94.94</v>
      </c>
      <c r="C5915" s="6"/>
      <c r="D5915" s="5"/>
    </row>
    <row r="5916" spans="1:4" ht="13" thickBot="1" x14ac:dyDescent="0.3">
      <c r="A5916" s="9">
        <f ca="1"/>
        <v>42806</v>
      </c>
      <c r="B5916" s="5">
        <f t="shared" si="844"/>
        <v>94.94</v>
      </c>
      <c r="C5916" s="6"/>
      <c r="D5916" s="5"/>
    </row>
    <row r="5917" spans="1:4" ht="13" thickBot="1" x14ac:dyDescent="0.3">
      <c r="A5917" s="9">
        <f ca="1"/>
        <v>42807</v>
      </c>
      <c r="B5917" s="6">
        <v>94.88</v>
      </c>
      <c r="C5917" s="6"/>
      <c r="D5917" s="5"/>
    </row>
    <row r="5918" spans="1:4" ht="13" thickBot="1" x14ac:dyDescent="0.3">
      <c r="A5918" s="9">
        <f ca="1"/>
        <v>42808</v>
      </c>
      <c r="B5918" s="6">
        <v>95.08</v>
      </c>
      <c r="C5918" s="6"/>
      <c r="D5918" s="5"/>
    </row>
    <row r="5919" spans="1:4" ht="13" thickBot="1" x14ac:dyDescent="0.3">
      <c r="A5919" s="9">
        <f ca="1"/>
        <v>42809</v>
      </c>
      <c r="B5919" s="6">
        <v>94.94</v>
      </c>
      <c r="C5919" s="6"/>
      <c r="D5919" s="5"/>
    </row>
    <row r="5920" spans="1:4" ht="13" thickBot="1" x14ac:dyDescent="0.3">
      <c r="A5920" s="9">
        <f ca="1"/>
        <v>42810</v>
      </c>
      <c r="B5920" s="6">
        <v>97.38</v>
      </c>
      <c r="C5920" s="6"/>
      <c r="D5920" s="5"/>
    </row>
    <row r="5921" spans="1:4" ht="13" thickBot="1" x14ac:dyDescent="0.3">
      <c r="A5921" s="9">
        <f ca="1"/>
        <v>42811</v>
      </c>
      <c r="B5921" s="6">
        <v>97.52</v>
      </c>
      <c r="C5921" s="6"/>
      <c r="D5921" s="5"/>
    </row>
    <row r="5922" spans="1:4" ht="13" thickBot="1" x14ac:dyDescent="0.3">
      <c r="A5922" s="9">
        <f ca="1"/>
        <v>42812</v>
      </c>
      <c r="B5922" s="5">
        <f t="shared" ref="B5922:B5923" si="845">B5921</f>
        <v>97.52</v>
      </c>
      <c r="C5922" s="6"/>
      <c r="D5922" s="5"/>
    </row>
    <row r="5923" spans="1:4" ht="13" thickBot="1" x14ac:dyDescent="0.3">
      <c r="A5923" s="9">
        <f ca="1"/>
        <v>42813</v>
      </c>
      <c r="B5923" s="5">
        <f t="shared" si="845"/>
        <v>97.52</v>
      </c>
      <c r="C5923" s="6"/>
      <c r="D5923" s="5"/>
    </row>
    <row r="5924" spans="1:4" ht="13" thickBot="1" x14ac:dyDescent="0.3">
      <c r="A5924" s="9">
        <f ca="1"/>
        <v>42814</v>
      </c>
      <c r="B5924" s="6">
        <v>98.06</v>
      </c>
      <c r="C5924" s="6"/>
      <c r="D5924" s="5"/>
    </row>
    <row r="5925" spans="1:4" ht="13" thickBot="1" x14ac:dyDescent="0.3">
      <c r="A5925" s="9">
        <f ca="1"/>
        <v>42815</v>
      </c>
      <c r="B5925" s="6">
        <v>98.63</v>
      </c>
      <c r="C5925" s="6"/>
      <c r="D5925" s="5"/>
    </row>
    <row r="5926" spans="1:4" ht="13" thickBot="1" x14ac:dyDescent="0.3">
      <c r="A5926" s="9">
        <f ca="1"/>
        <v>42816</v>
      </c>
      <c r="B5926" s="6">
        <v>97.33</v>
      </c>
      <c r="C5926" s="6"/>
      <c r="D5926" s="5"/>
    </row>
    <row r="5927" spans="1:4" ht="13" thickBot="1" x14ac:dyDescent="0.3">
      <c r="A5927" s="9">
        <f ca="1"/>
        <v>42817</v>
      </c>
      <c r="B5927" s="6">
        <v>97.33</v>
      </c>
      <c r="C5927" s="6"/>
      <c r="D5927" s="5"/>
    </row>
    <row r="5928" spans="1:4" ht="13" thickBot="1" x14ac:dyDescent="0.3">
      <c r="A5928" s="9">
        <f ca="1"/>
        <v>42818</v>
      </c>
      <c r="B5928" s="6">
        <v>97.94</v>
      </c>
      <c r="C5928" s="6"/>
      <c r="D5928" s="5"/>
    </row>
    <row r="5929" spans="1:4" ht="13" thickBot="1" x14ac:dyDescent="0.3">
      <c r="A5929" s="9">
        <f ca="1"/>
        <v>42819</v>
      </c>
      <c r="B5929" s="5">
        <f t="shared" ref="B5929:B5930" si="846">B5928</f>
        <v>97.94</v>
      </c>
      <c r="C5929" s="6"/>
      <c r="D5929" s="5"/>
    </row>
    <row r="5930" spans="1:4" ht="13" thickBot="1" x14ac:dyDescent="0.3">
      <c r="A5930" s="9">
        <f ca="1"/>
        <v>42820</v>
      </c>
      <c r="B5930" s="5">
        <f t="shared" si="846"/>
        <v>97.94</v>
      </c>
      <c r="C5930" s="6"/>
      <c r="D5930" s="5"/>
    </row>
    <row r="5931" spans="1:4" ht="13" thickBot="1" x14ac:dyDescent="0.3">
      <c r="A5931" s="9">
        <f ca="1"/>
        <v>42821</v>
      </c>
      <c r="B5931" s="6">
        <v>97.14</v>
      </c>
      <c r="C5931" s="6"/>
      <c r="D5931" s="5"/>
    </row>
    <row r="5932" spans="1:4" ht="13" thickBot="1" x14ac:dyDescent="0.3">
      <c r="A5932" s="9">
        <f ca="1"/>
        <v>42822</v>
      </c>
      <c r="B5932" s="6">
        <v>98.21</v>
      </c>
      <c r="C5932" s="6"/>
      <c r="D5932" s="5"/>
    </row>
    <row r="5933" spans="1:4" ht="13" thickBot="1" x14ac:dyDescent="0.3">
      <c r="A5933" s="9">
        <f ca="1"/>
        <v>42823</v>
      </c>
      <c r="B5933" s="6">
        <v>97.92</v>
      </c>
      <c r="C5933" s="6"/>
      <c r="D5933" s="5"/>
    </row>
    <row r="5934" spans="1:4" ht="13" thickBot="1" x14ac:dyDescent="0.3">
      <c r="A5934" s="9">
        <f ca="1"/>
        <v>42824</v>
      </c>
      <c r="B5934" s="6">
        <v>97.9</v>
      </c>
      <c r="C5934" s="6"/>
      <c r="D5934" s="5"/>
    </row>
    <row r="5935" spans="1:4" ht="13" thickBot="1" x14ac:dyDescent="0.3">
      <c r="A5935" s="9">
        <f ca="1"/>
        <v>42825</v>
      </c>
      <c r="B5935" s="6">
        <v>97.74</v>
      </c>
      <c r="C5935" s="6"/>
      <c r="D5935" s="5"/>
    </row>
    <row r="5936" spans="1:4" ht="13" thickBot="1" x14ac:dyDescent="0.3">
      <c r="A5936" s="9">
        <f ca="1"/>
        <v>42826</v>
      </c>
      <c r="B5936" s="5">
        <f t="shared" ref="B5936:B5937" si="847">B5935</f>
        <v>97.74</v>
      </c>
      <c r="C5936" s="6"/>
      <c r="D5936" s="5"/>
    </row>
    <row r="5937" spans="1:4" ht="13" thickBot="1" x14ac:dyDescent="0.3">
      <c r="A5937" s="9">
        <f ca="1"/>
        <v>42827</v>
      </c>
      <c r="B5937" s="5">
        <f t="shared" si="847"/>
        <v>97.74</v>
      </c>
      <c r="C5937" s="6"/>
      <c r="D5937" s="5"/>
    </row>
    <row r="5938" spans="1:4" ht="13" thickBot="1" x14ac:dyDescent="0.3">
      <c r="A5938" s="9">
        <f ca="1"/>
        <v>42828</v>
      </c>
      <c r="B5938" s="6">
        <v>98.62</v>
      </c>
      <c r="C5938" s="6"/>
      <c r="D5938" s="5"/>
    </row>
    <row r="5939" spans="1:4" ht="13" thickBot="1" x14ac:dyDescent="0.3">
      <c r="A5939" s="9">
        <f ca="1"/>
        <v>42829</v>
      </c>
      <c r="B5939" s="6">
        <v>98.18</v>
      </c>
      <c r="C5939" s="6"/>
      <c r="D5939" s="5"/>
    </row>
    <row r="5940" spans="1:4" ht="13" thickBot="1" x14ac:dyDescent="0.3">
      <c r="A5940" s="9">
        <f ca="1"/>
        <v>42830</v>
      </c>
      <c r="B5940" s="6">
        <v>97.75</v>
      </c>
      <c r="C5940" s="6"/>
      <c r="D5940" s="5"/>
    </row>
    <row r="5941" spans="1:4" ht="13" thickBot="1" x14ac:dyDescent="0.3">
      <c r="A5941" s="9">
        <f ca="1"/>
        <v>42831</v>
      </c>
      <c r="B5941" s="6">
        <v>97.13</v>
      </c>
      <c r="C5941" s="6"/>
      <c r="D5941" s="5"/>
    </row>
    <row r="5942" spans="1:4" ht="13" thickBot="1" x14ac:dyDescent="0.3">
      <c r="A5942" s="9">
        <f ca="1"/>
        <v>42832</v>
      </c>
      <c r="B5942" s="6">
        <v>97.05</v>
      </c>
      <c r="C5942" s="6"/>
      <c r="D5942" s="5"/>
    </row>
    <row r="5943" spans="1:4" ht="13" thickBot="1" x14ac:dyDescent="0.3">
      <c r="A5943" s="9">
        <f ca="1"/>
        <v>42833</v>
      </c>
      <c r="B5943" s="5">
        <f t="shared" ref="B5943:B5944" si="848">B5942</f>
        <v>97.05</v>
      </c>
      <c r="C5943" s="6"/>
      <c r="D5943" s="5"/>
    </row>
    <row r="5944" spans="1:4" ht="13" thickBot="1" x14ac:dyDescent="0.3">
      <c r="A5944" s="9">
        <f ca="1"/>
        <v>42834</v>
      </c>
      <c r="B5944" s="5">
        <f t="shared" si="848"/>
        <v>97.05</v>
      </c>
      <c r="C5944" s="6"/>
      <c r="D5944" s="5"/>
    </row>
    <row r="5945" spans="1:4" ht="13" thickBot="1" x14ac:dyDescent="0.3">
      <c r="A5945" s="9">
        <f ca="1"/>
        <v>42835</v>
      </c>
      <c r="B5945" s="6">
        <v>97.15</v>
      </c>
      <c r="C5945" s="6"/>
      <c r="D5945" s="5"/>
    </row>
    <row r="5946" spans="1:4" ht="13" thickBot="1" x14ac:dyDescent="0.3">
      <c r="A5946" s="9">
        <f ca="1"/>
        <v>42836</v>
      </c>
      <c r="B5946" s="6">
        <v>97.04</v>
      </c>
      <c r="C5946" s="6"/>
      <c r="D5946" s="5"/>
    </row>
    <row r="5947" spans="1:4" ht="13" thickBot="1" x14ac:dyDescent="0.3">
      <c r="A5947" s="9">
        <f ca="1"/>
        <v>42837</v>
      </c>
      <c r="B5947" s="6">
        <v>97.13</v>
      </c>
      <c r="C5947" s="6"/>
      <c r="D5947" s="5"/>
    </row>
    <row r="5948" spans="1:4" ht="13" thickBot="1" x14ac:dyDescent="0.3">
      <c r="A5948" s="9">
        <f ca="1"/>
        <v>42838</v>
      </c>
      <c r="B5948" s="6">
        <v>96.61</v>
      </c>
      <c r="C5948" s="6"/>
      <c r="D5948" s="5"/>
    </row>
    <row r="5949" spans="1:4" ht="13" thickBot="1" x14ac:dyDescent="0.3">
      <c r="A5949" s="9">
        <f ca="1"/>
        <v>42839</v>
      </c>
      <c r="B5949" s="5">
        <f t="shared" ref="B5949:B5951" si="849">B5948</f>
        <v>96.61</v>
      </c>
      <c r="C5949" s="6"/>
      <c r="D5949" s="5"/>
    </row>
    <row r="5950" spans="1:4" ht="13" thickBot="1" x14ac:dyDescent="0.3">
      <c r="A5950" s="9">
        <f ca="1"/>
        <v>42840</v>
      </c>
      <c r="B5950" s="5">
        <f t="shared" si="849"/>
        <v>96.61</v>
      </c>
      <c r="C5950" s="6"/>
      <c r="D5950" s="5"/>
    </row>
    <row r="5951" spans="1:4" ht="13" thickBot="1" x14ac:dyDescent="0.3">
      <c r="A5951" s="9">
        <f ca="1"/>
        <v>42841</v>
      </c>
      <c r="B5951" s="5">
        <f t="shared" si="849"/>
        <v>96.61</v>
      </c>
      <c r="C5951" s="6"/>
      <c r="D5951" s="5"/>
    </row>
    <row r="5952" spans="1:4" ht="13" thickBot="1" x14ac:dyDescent="0.3">
      <c r="A5952" s="9">
        <f ca="1"/>
        <v>42842</v>
      </c>
      <c r="B5952" s="6">
        <v>96.58</v>
      </c>
      <c r="C5952" s="6"/>
      <c r="D5952" s="5"/>
    </row>
    <row r="5953" spans="1:4" ht="13" thickBot="1" x14ac:dyDescent="0.3">
      <c r="A5953" s="9">
        <f ca="1"/>
        <v>42843</v>
      </c>
      <c r="B5953" s="6">
        <v>96.81</v>
      </c>
      <c r="C5953" s="6"/>
      <c r="D5953" s="5"/>
    </row>
    <row r="5954" spans="1:4" ht="13" thickBot="1" x14ac:dyDescent="0.3">
      <c r="A5954" s="9">
        <f ca="1"/>
        <v>42844</v>
      </c>
      <c r="B5954" s="6">
        <v>97.1</v>
      </c>
      <c r="C5954" s="6"/>
      <c r="D5954" s="5"/>
    </row>
    <row r="5955" spans="1:4" ht="13" thickBot="1" x14ac:dyDescent="0.3">
      <c r="A5955" s="9">
        <f ca="1"/>
        <v>42845</v>
      </c>
      <c r="B5955" s="6">
        <v>97.5</v>
      </c>
      <c r="C5955" s="6"/>
      <c r="D5955" s="5"/>
    </row>
    <row r="5956" spans="1:4" ht="13" thickBot="1" x14ac:dyDescent="0.3">
      <c r="A5956" s="9">
        <f ca="1"/>
        <v>42846</v>
      </c>
      <c r="B5956" s="6">
        <v>97.3</v>
      </c>
      <c r="C5956" s="6"/>
      <c r="D5956" s="5"/>
    </row>
    <row r="5957" spans="1:4" ht="13" thickBot="1" x14ac:dyDescent="0.3">
      <c r="A5957" s="9">
        <f ca="1"/>
        <v>42847</v>
      </c>
      <c r="B5957" s="5">
        <f t="shared" ref="B5957:B5958" si="850">B5956</f>
        <v>97.3</v>
      </c>
      <c r="C5957" s="6"/>
      <c r="D5957" s="5"/>
    </row>
    <row r="5958" spans="1:4" ht="13" thickBot="1" x14ac:dyDescent="0.3">
      <c r="A5958" s="9">
        <f ca="1"/>
        <v>42848</v>
      </c>
      <c r="B5958" s="5">
        <f t="shared" si="850"/>
        <v>97.3</v>
      </c>
      <c r="C5958" s="6"/>
      <c r="D5958" s="5"/>
    </row>
    <row r="5959" spans="1:4" ht="13" thickBot="1" x14ac:dyDescent="0.3">
      <c r="A5959" s="9">
        <f ca="1"/>
        <v>42849</v>
      </c>
      <c r="B5959" s="6">
        <v>100.83</v>
      </c>
      <c r="C5959" s="6"/>
      <c r="D5959" s="5"/>
    </row>
    <row r="5960" spans="1:4" ht="13" thickBot="1" x14ac:dyDescent="0.3">
      <c r="A5960" s="9">
        <f ca="1"/>
        <v>42850</v>
      </c>
      <c r="B5960" s="6">
        <v>101.88</v>
      </c>
      <c r="C5960" s="6"/>
      <c r="D5960" s="5"/>
    </row>
    <row r="5961" spans="1:4" ht="13" thickBot="1" x14ac:dyDescent="0.3">
      <c r="A5961" s="9">
        <f ca="1"/>
        <v>42851</v>
      </c>
      <c r="B5961" s="6">
        <v>100.81</v>
      </c>
      <c r="C5961" s="6"/>
      <c r="D5961" s="5"/>
    </row>
    <row r="5962" spans="1:4" ht="13" thickBot="1" x14ac:dyDescent="0.3">
      <c r="A5962" s="9">
        <f ca="1"/>
        <v>42852</v>
      </c>
      <c r="B5962" s="6">
        <v>100.32</v>
      </c>
      <c r="C5962" s="6"/>
      <c r="D5962" s="5"/>
    </row>
    <row r="5963" spans="1:4" ht="13" thickBot="1" x14ac:dyDescent="0.3">
      <c r="A5963" s="9">
        <f ca="1"/>
        <v>42853</v>
      </c>
      <c r="B5963" s="6">
        <v>100.07</v>
      </c>
      <c r="C5963" s="6"/>
      <c r="D5963" s="5"/>
    </row>
    <row r="5964" spans="1:4" ht="13" thickBot="1" x14ac:dyDescent="0.3">
      <c r="A5964" s="9">
        <f ca="1"/>
        <v>42854</v>
      </c>
      <c r="B5964" s="5">
        <f t="shared" ref="B5964:B5965" si="851">B5963</f>
        <v>100.07</v>
      </c>
      <c r="C5964" s="6"/>
      <c r="D5964" s="5"/>
    </row>
    <row r="5965" spans="1:4" ht="13" thickBot="1" x14ac:dyDescent="0.3">
      <c r="A5965" s="9">
        <f ca="1"/>
        <v>42855</v>
      </c>
      <c r="B5965" s="5">
        <f t="shared" si="851"/>
        <v>100.07</v>
      </c>
      <c r="C5965" s="6"/>
      <c r="D5965" s="5"/>
    </row>
    <row r="5966" spans="1:4" ht="13" thickBot="1" x14ac:dyDescent="0.3">
      <c r="A5966" s="9">
        <f ca="1"/>
        <v>42856</v>
      </c>
      <c r="B5966" s="6">
        <v>100.42</v>
      </c>
      <c r="C5966" s="6"/>
      <c r="D5966" s="5"/>
    </row>
    <row r="5967" spans="1:4" ht="13" thickBot="1" x14ac:dyDescent="0.3">
      <c r="A5967" s="9">
        <f ca="1"/>
        <v>42857</v>
      </c>
      <c r="B5967" s="6">
        <v>100.85</v>
      </c>
      <c r="C5967" s="6"/>
      <c r="D5967" s="5"/>
    </row>
    <row r="5968" spans="1:4" ht="13" thickBot="1" x14ac:dyDescent="0.3">
      <c r="A5968" s="9">
        <f ca="1"/>
        <v>42858</v>
      </c>
      <c r="B5968" s="6">
        <v>100.88</v>
      </c>
      <c r="C5968" s="6"/>
      <c r="D5968" s="5"/>
    </row>
    <row r="5969" spans="1:4" ht="13" thickBot="1" x14ac:dyDescent="0.3">
      <c r="A5969" s="9">
        <f ca="1"/>
        <v>42859</v>
      </c>
      <c r="B5969" s="6">
        <v>101.49</v>
      </c>
      <c r="C5969" s="6"/>
      <c r="D5969" s="5"/>
    </row>
    <row r="5970" spans="1:4" ht="13" thickBot="1" x14ac:dyDescent="0.3">
      <c r="A5970" s="9">
        <f ca="1"/>
        <v>42860</v>
      </c>
      <c r="B5970" s="6">
        <v>102.53</v>
      </c>
      <c r="C5970" s="6"/>
      <c r="D5970" s="5"/>
    </row>
    <row r="5971" spans="1:4" ht="13" thickBot="1" x14ac:dyDescent="0.3">
      <c r="A5971" s="9">
        <f ca="1"/>
        <v>42861</v>
      </c>
      <c r="B5971" s="5">
        <f t="shared" ref="B5971:B5972" si="852">B5970</f>
        <v>102.53</v>
      </c>
      <c r="C5971" s="6"/>
      <c r="D5971" s="5"/>
    </row>
    <row r="5972" spans="1:4" ht="13" thickBot="1" x14ac:dyDescent="0.3">
      <c r="A5972" s="9">
        <f ca="1"/>
        <v>42862</v>
      </c>
      <c r="B5972" s="5">
        <f t="shared" si="852"/>
        <v>102.53</v>
      </c>
      <c r="C5972" s="6"/>
      <c r="D5972" s="5"/>
    </row>
    <row r="5973" spans="1:4" ht="13" thickBot="1" x14ac:dyDescent="0.3">
      <c r="A5973" s="9">
        <f ca="1"/>
        <v>42863</v>
      </c>
      <c r="B5973" s="6">
        <v>103.03</v>
      </c>
      <c r="C5973" s="6"/>
      <c r="D5973" s="5"/>
    </row>
    <row r="5974" spans="1:4" ht="13" thickBot="1" x14ac:dyDescent="0.3">
      <c r="A5974" s="9">
        <f ca="1"/>
        <v>42864</v>
      </c>
      <c r="B5974" s="6">
        <v>103.38</v>
      </c>
      <c r="C5974" s="6"/>
      <c r="D5974" s="5"/>
    </row>
    <row r="5975" spans="1:4" ht="13" thickBot="1" x14ac:dyDescent="0.3">
      <c r="A5975" s="9">
        <f ca="1"/>
        <v>42865</v>
      </c>
      <c r="B5975" s="6">
        <v>104</v>
      </c>
      <c r="C5975" s="6"/>
      <c r="D5975" s="5"/>
    </row>
    <row r="5976" spans="1:4" ht="13" thickBot="1" x14ac:dyDescent="0.3">
      <c r="A5976" s="9">
        <f ca="1"/>
        <v>42866</v>
      </c>
      <c r="B5976" s="6">
        <v>102.18</v>
      </c>
      <c r="C5976" s="6"/>
      <c r="D5976" s="5"/>
    </row>
    <row r="5977" spans="1:4" ht="13" thickBot="1" x14ac:dyDescent="0.3">
      <c r="A5977" s="9">
        <f ca="1"/>
        <v>42867</v>
      </c>
      <c r="B5977" s="6">
        <v>102.79</v>
      </c>
      <c r="C5977" s="6"/>
      <c r="D5977" s="5"/>
    </row>
    <row r="5978" spans="1:4" ht="13" thickBot="1" x14ac:dyDescent="0.3">
      <c r="A5978" s="9">
        <f ca="1"/>
        <v>42868</v>
      </c>
      <c r="B5978" s="5">
        <f t="shared" ref="B5978:B5979" si="853">B5977</f>
        <v>102.79</v>
      </c>
      <c r="C5978" s="6"/>
      <c r="D5978" s="5"/>
    </row>
    <row r="5979" spans="1:4" ht="13" thickBot="1" x14ac:dyDescent="0.3">
      <c r="A5979" s="9">
        <f ca="1"/>
        <v>42869</v>
      </c>
      <c r="B5979" s="5">
        <f t="shared" si="853"/>
        <v>102.79</v>
      </c>
      <c r="C5979" s="6"/>
      <c r="D5979" s="5"/>
    </row>
    <row r="5980" spans="1:4" ht="13" thickBot="1" x14ac:dyDescent="0.3">
      <c r="A5980" s="9">
        <f ca="1"/>
        <v>42870</v>
      </c>
      <c r="B5980" s="6">
        <v>103.34</v>
      </c>
      <c r="C5980" s="6"/>
      <c r="D5980" s="5"/>
    </row>
    <row r="5981" spans="1:4" ht="13" thickBot="1" x14ac:dyDescent="0.3">
      <c r="A5981" s="9">
        <f ca="1"/>
        <v>42871</v>
      </c>
      <c r="B5981" s="6">
        <v>104.98</v>
      </c>
      <c r="C5981" s="6"/>
      <c r="D5981" s="5"/>
    </row>
    <row r="5982" spans="1:4" ht="13" thickBot="1" x14ac:dyDescent="0.3">
      <c r="A5982" s="9">
        <f ca="1"/>
        <v>42872</v>
      </c>
      <c r="B5982" s="6">
        <v>104.65</v>
      </c>
      <c r="C5982" s="6"/>
      <c r="D5982" s="5"/>
    </row>
    <row r="5983" spans="1:4" ht="13" thickBot="1" x14ac:dyDescent="0.3">
      <c r="A5983" s="9">
        <f ca="1"/>
        <v>42873</v>
      </c>
      <c r="B5983" s="6">
        <v>103.63</v>
      </c>
      <c r="C5983" s="6"/>
      <c r="D5983" s="5"/>
    </row>
    <row r="5984" spans="1:4" ht="13" thickBot="1" x14ac:dyDescent="0.3">
      <c r="A5984" s="9">
        <f ca="1"/>
        <v>42874</v>
      </c>
      <c r="B5984" s="6">
        <v>105.04</v>
      </c>
      <c r="C5984" s="6"/>
      <c r="D5984" s="5"/>
    </row>
    <row r="5985" spans="1:4" ht="13" thickBot="1" x14ac:dyDescent="0.3">
      <c r="A5985" s="9">
        <f ca="1"/>
        <v>42875</v>
      </c>
      <c r="B5985" s="5">
        <f t="shared" ref="B5985:B5986" si="854">B5984</f>
        <v>105.04</v>
      </c>
      <c r="C5985" s="6"/>
      <c r="D5985" s="5"/>
    </row>
    <row r="5986" spans="1:4" ht="13" thickBot="1" x14ac:dyDescent="0.3">
      <c r="A5986" s="9">
        <f ca="1"/>
        <v>42876</v>
      </c>
      <c r="B5986" s="5">
        <f t="shared" si="854"/>
        <v>105.04</v>
      </c>
      <c r="C5986" s="6"/>
      <c r="D5986" s="5"/>
    </row>
    <row r="5987" spans="1:4" ht="13" thickBot="1" x14ac:dyDescent="0.3">
      <c r="A5987" s="9">
        <f ca="1"/>
        <v>42877</v>
      </c>
      <c r="B5987" s="6">
        <v>105.45</v>
      </c>
      <c r="C5987" s="6"/>
      <c r="D5987" s="5"/>
    </row>
    <row r="5988" spans="1:4" ht="13" thickBot="1" x14ac:dyDescent="0.3">
      <c r="A5988" s="9">
        <f ca="1"/>
        <v>42878</v>
      </c>
      <c r="B5988" s="6">
        <v>106.61</v>
      </c>
      <c r="C5988" s="6"/>
      <c r="D5988" s="5"/>
    </row>
    <row r="5989" spans="1:4" ht="13" thickBot="1" x14ac:dyDescent="0.3">
      <c r="A5989" s="9">
        <f ca="1"/>
        <v>42879</v>
      </c>
      <c r="B5989" s="6">
        <v>106.11</v>
      </c>
      <c r="C5989" s="6"/>
      <c r="D5989" s="5"/>
    </row>
    <row r="5990" spans="1:4" ht="13" thickBot="1" x14ac:dyDescent="0.3">
      <c r="A5990" s="9">
        <f ca="1"/>
        <v>42880</v>
      </c>
      <c r="B5990" s="6">
        <v>106.33</v>
      </c>
      <c r="C5990" s="6"/>
      <c r="D5990" s="5"/>
    </row>
    <row r="5991" spans="1:4" ht="13" thickBot="1" x14ac:dyDescent="0.3">
      <c r="A5991" s="9">
        <f ca="1"/>
        <v>42881</v>
      </c>
      <c r="B5991" s="6">
        <v>105.78</v>
      </c>
      <c r="C5991" s="6"/>
      <c r="D5991" s="5"/>
    </row>
    <row r="5992" spans="1:4" ht="13" thickBot="1" x14ac:dyDescent="0.3">
      <c r="A5992" s="9">
        <f ca="1"/>
        <v>42882</v>
      </c>
      <c r="B5992" s="5">
        <f t="shared" ref="B5992:B5994" si="855">B5991</f>
        <v>105.78</v>
      </c>
      <c r="C5992" s="6"/>
      <c r="D5992" s="5"/>
    </row>
    <row r="5993" spans="1:4" ht="13" thickBot="1" x14ac:dyDescent="0.3">
      <c r="A5993" s="9">
        <f ca="1"/>
        <v>42883</v>
      </c>
      <c r="B5993" s="5">
        <f t="shared" si="855"/>
        <v>105.78</v>
      </c>
      <c r="C5993" s="6"/>
      <c r="D5993" s="5"/>
    </row>
    <row r="5994" spans="1:4" ht="13" thickBot="1" x14ac:dyDescent="0.3">
      <c r="A5994" s="9">
        <f ca="1"/>
        <v>42884</v>
      </c>
      <c r="B5994" s="5">
        <f t="shared" si="855"/>
        <v>105.78</v>
      </c>
      <c r="C5994" s="6"/>
      <c r="D5994" s="5"/>
    </row>
    <row r="5995" spans="1:4" ht="13" thickBot="1" x14ac:dyDescent="0.3">
      <c r="A5995" s="9">
        <f ca="1"/>
        <v>42885</v>
      </c>
      <c r="B5995" s="6">
        <v>106.25</v>
      </c>
      <c r="C5995" s="6"/>
      <c r="D5995" s="5"/>
    </row>
    <row r="5996" spans="1:4" ht="13" thickBot="1" x14ac:dyDescent="0.3">
      <c r="A5996" s="9">
        <f ca="1"/>
        <v>42886</v>
      </c>
      <c r="B5996" s="6">
        <v>107.57</v>
      </c>
      <c r="C5996" s="6"/>
      <c r="D5996" s="5"/>
    </row>
    <row r="5997" spans="1:4" ht="13" thickBot="1" x14ac:dyDescent="0.3">
      <c r="A5997" s="9">
        <f ca="1"/>
        <v>42887</v>
      </c>
      <c r="B5997" s="6">
        <v>107.05</v>
      </c>
      <c r="C5997" s="6"/>
      <c r="D5997" s="5"/>
    </row>
    <row r="5998" spans="1:4" ht="13" thickBot="1" x14ac:dyDescent="0.3">
      <c r="A5998" s="9">
        <f ca="1"/>
        <v>42888</v>
      </c>
      <c r="B5998" s="6">
        <v>108.36</v>
      </c>
      <c r="C5998" s="6"/>
      <c r="D5998" s="5"/>
    </row>
    <row r="5999" spans="1:4" ht="13" thickBot="1" x14ac:dyDescent="0.3">
      <c r="A5999" s="9">
        <f ca="1"/>
        <v>42889</v>
      </c>
      <c r="B5999" s="5">
        <f t="shared" ref="B5999:B6000" si="856">B5998</f>
        <v>108.36</v>
      </c>
      <c r="C5999" s="6"/>
      <c r="D5999" s="5"/>
    </row>
    <row r="6000" spans="1:4" ht="13" thickBot="1" x14ac:dyDescent="0.3">
      <c r="A6000" s="9">
        <f ca="1"/>
        <v>42890</v>
      </c>
      <c r="B6000" s="5">
        <f t="shared" si="856"/>
        <v>108.36</v>
      </c>
      <c r="C6000" s="6"/>
      <c r="D6000" s="5"/>
    </row>
    <row r="6001" spans="1:4" ht="13" thickBot="1" x14ac:dyDescent="0.3">
      <c r="A6001" s="9">
        <f ca="1"/>
        <v>42891</v>
      </c>
      <c r="B6001" s="6">
        <v>108.04</v>
      </c>
      <c r="C6001" s="6"/>
      <c r="D6001" s="5"/>
    </row>
    <row r="6002" spans="1:4" ht="13" thickBot="1" x14ac:dyDescent="0.3">
      <c r="A6002" s="9">
        <f ca="1"/>
        <v>42892</v>
      </c>
      <c r="B6002" s="6">
        <v>107.14</v>
      </c>
      <c r="C6002" s="6"/>
      <c r="D6002" s="5"/>
    </row>
    <row r="6003" spans="1:4" ht="13" thickBot="1" x14ac:dyDescent="0.3">
      <c r="A6003" s="9">
        <f ca="1"/>
        <v>42893</v>
      </c>
      <c r="B6003" s="6">
        <v>107.67</v>
      </c>
      <c r="C6003" s="6"/>
      <c r="D6003" s="5"/>
    </row>
    <row r="6004" spans="1:4" ht="13" thickBot="1" x14ac:dyDescent="0.3">
      <c r="A6004" s="9">
        <f ca="1"/>
        <v>42894</v>
      </c>
      <c r="B6004" s="6">
        <v>107.6</v>
      </c>
      <c r="C6004" s="6"/>
      <c r="D6004" s="5"/>
    </row>
    <row r="6005" spans="1:4" ht="13" thickBot="1" x14ac:dyDescent="0.3">
      <c r="A6005" s="9">
        <f ca="1"/>
        <v>42895</v>
      </c>
      <c r="B6005" s="6">
        <v>107.53</v>
      </c>
      <c r="C6005" s="6"/>
      <c r="D6005" s="5"/>
    </row>
    <row r="6006" spans="1:4" ht="13" thickBot="1" x14ac:dyDescent="0.3">
      <c r="A6006" s="9">
        <f ca="1"/>
        <v>42896</v>
      </c>
      <c r="B6006" s="5">
        <f t="shared" ref="B6006:B6007" si="857">B6005</f>
        <v>107.53</v>
      </c>
      <c r="C6006" s="6"/>
      <c r="D6006" s="5"/>
    </row>
    <row r="6007" spans="1:4" ht="13" thickBot="1" x14ac:dyDescent="0.3">
      <c r="A6007" s="9">
        <f ca="1"/>
        <v>42897</v>
      </c>
      <c r="B6007" s="5">
        <f t="shared" si="857"/>
        <v>107.53</v>
      </c>
      <c r="C6007" s="6"/>
      <c r="D6007" s="5"/>
    </row>
    <row r="6008" spans="1:4" ht="13" thickBot="1" x14ac:dyDescent="0.3">
      <c r="A6008" s="9">
        <f ca="1"/>
        <v>42898</v>
      </c>
      <c r="B6008" s="6">
        <v>103.87</v>
      </c>
      <c r="C6008" s="6"/>
      <c r="D6008" s="5"/>
    </row>
    <row r="6009" spans="1:4" ht="13" thickBot="1" x14ac:dyDescent="0.3">
      <c r="A6009" s="9">
        <f ca="1"/>
        <v>42899</v>
      </c>
      <c r="B6009" s="6">
        <v>105.32</v>
      </c>
      <c r="C6009" s="6"/>
      <c r="D6009" s="5"/>
    </row>
    <row r="6010" spans="1:4" ht="13" thickBot="1" x14ac:dyDescent="0.3">
      <c r="A6010" s="9">
        <f ca="1"/>
        <v>42900</v>
      </c>
      <c r="B6010" s="6">
        <v>106.87</v>
      </c>
      <c r="C6010" s="6"/>
      <c r="D6010" s="5"/>
    </row>
    <row r="6011" spans="1:4" ht="13" thickBot="1" x14ac:dyDescent="0.3">
      <c r="A6011" s="9">
        <f ca="1"/>
        <v>42901</v>
      </c>
      <c r="B6011" s="6">
        <v>103.58</v>
      </c>
      <c r="C6011" s="6"/>
      <c r="D6011" s="5"/>
    </row>
    <row r="6012" spans="1:4" ht="13" thickBot="1" x14ac:dyDescent="0.3">
      <c r="A6012" s="9">
        <f ca="1"/>
        <v>42902</v>
      </c>
      <c r="B6012" s="6">
        <v>104.84</v>
      </c>
      <c r="C6012" s="6"/>
      <c r="D6012" s="5"/>
    </row>
    <row r="6013" spans="1:4" ht="13" thickBot="1" x14ac:dyDescent="0.3">
      <c r="A6013" s="9">
        <f ca="1"/>
        <v>42903</v>
      </c>
      <c r="B6013" s="5">
        <f t="shared" ref="B6013:B6014" si="858">B6012</f>
        <v>104.84</v>
      </c>
      <c r="C6013" s="6"/>
      <c r="D6013" s="5"/>
    </row>
    <row r="6014" spans="1:4" ht="13" thickBot="1" x14ac:dyDescent="0.3">
      <c r="A6014" s="9">
        <f ca="1"/>
        <v>42904</v>
      </c>
      <c r="B6014" s="5">
        <f t="shared" si="858"/>
        <v>104.84</v>
      </c>
      <c r="C6014" s="6"/>
      <c r="D6014" s="5"/>
    </row>
    <row r="6015" spans="1:4" ht="13" thickBot="1" x14ac:dyDescent="0.3">
      <c r="A6015" s="9">
        <f ca="1"/>
        <v>42905</v>
      </c>
      <c r="B6015" s="6">
        <v>106.37</v>
      </c>
      <c r="C6015" s="6"/>
      <c r="D6015" s="5"/>
    </row>
    <row r="6016" spans="1:4" ht="13" thickBot="1" x14ac:dyDescent="0.3">
      <c r="A6016" s="9">
        <f ca="1"/>
        <v>42906</v>
      </c>
      <c r="B6016" s="6">
        <v>106.12</v>
      </c>
      <c r="C6016" s="6"/>
      <c r="D6016" s="5"/>
    </row>
    <row r="6017" spans="1:4" ht="13" thickBot="1" x14ac:dyDescent="0.3">
      <c r="A6017" s="9">
        <f ca="1"/>
        <v>42907</v>
      </c>
      <c r="B6017" s="6">
        <v>105.62</v>
      </c>
      <c r="C6017" s="6"/>
      <c r="D6017" s="5"/>
    </row>
    <row r="6018" spans="1:4" ht="13" thickBot="1" x14ac:dyDescent="0.3">
      <c r="A6018" s="9">
        <f ca="1"/>
        <v>42908</v>
      </c>
      <c r="B6018" s="6">
        <v>107.14</v>
      </c>
      <c r="C6018" s="6"/>
      <c r="D6018" s="5"/>
    </row>
    <row r="6019" spans="1:4" ht="13" thickBot="1" x14ac:dyDescent="0.3">
      <c r="A6019" s="9">
        <f ca="1"/>
        <v>42909</v>
      </c>
      <c r="B6019" s="6">
        <v>106.71</v>
      </c>
      <c r="C6019" s="6"/>
      <c r="D6019" s="5"/>
    </row>
    <row r="6020" spans="1:4" ht="13" thickBot="1" x14ac:dyDescent="0.3">
      <c r="A6020" s="9">
        <f ca="1"/>
        <v>42910</v>
      </c>
      <c r="B6020" s="5">
        <f t="shared" ref="B6020:B6021" si="859">B6019</f>
        <v>106.71</v>
      </c>
      <c r="C6020" s="6"/>
      <c r="D6020" s="5"/>
    </row>
    <row r="6021" spans="1:4" ht="13" thickBot="1" x14ac:dyDescent="0.3">
      <c r="A6021" s="9">
        <f ca="1"/>
        <v>42911</v>
      </c>
      <c r="B6021" s="5">
        <f t="shared" si="859"/>
        <v>106.71</v>
      </c>
      <c r="C6021" s="6"/>
      <c r="D6021" s="5"/>
    </row>
    <row r="6022" spans="1:4" ht="13" thickBot="1" x14ac:dyDescent="0.3">
      <c r="A6022" s="9">
        <f ca="1"/>
        <v>42912</v>
      </c>
      <c r="B6022" s="6">
        <v>107.77</v>
      </c>
      <c r="C6022" s="6"/>
      <c r="D6022" s="5"/>
    </row>
    <row r="6023" spans="1:4" ht="13" thickBot="1" x14ac:dyDescent="0.3">
      <c r="A6023" s="9">
        <f ca="1"/>
        <v>42913</v>
      </c>
      <c r="B6023" s="6">
        <v>107.13</v>
      </c>
      <c r="C6023" s="6"/>
      <c r="D6023" s="5"/>
    </row>
    <row r="6024" spans="1:4" ht="13" thickBot="1" x14ac:dyDescent="0.3">
      <c r="A6024" s="9">
        <f ca="1"/>
        <v>42914</v>
      </c>
      <c r="B6024" s="6">
        <v>106.12</v>
      </c>
      <c r="C6024" s="6"/>
      <c r="D6024" s="5"/>
    </row>
    <row r="6025" spans="1:4" ht="13" thickBot="1" x14ac:dyDescent="0.3">
      <c r="A6025" s="9">
        <f ca="1"/>
        <v>42915</v>
      </c>
      <c r="B6025" s="6">
        <v>105.4</v>
      </c>
      <c r="C6025" s="6"/>
      <c r="D6025" s="5"/>
    </row>
    <row r="6026" spans="1:4" ht="13" thickBot="1" x14ac:dyDescent="0.3">
      <c r="A6026" s="9">
        <f ca="1"/>
        <v>42916</v>
      </c>
      <c r="B6026" s="6">
        <v>104.86</v>
      </c>
      <c r="C6026" s="6"/>
      <c r="D6026" s="5"/>
    </row>
    <row r="6027" spans="1:4" ht="13" thickBot="1" x14ac:dyDescent="0.3">
      <c r="A6027" s="9">
        <f ca="1"/>
        <v>42917</v>
      </c>
      <c r="B6027" s="5">
        <f t="shared" ref="B6027:B6028" si="860">B6026</f>
        <v>104.86</v>
      </c>
      <c r="C6027" s="6"/>
      <c r="D6027" s="5"/>
    </row>
    <row r="6028" spans="1:4" ht="13" thickBot="1" x14ac:dyDescent="0.3">
      <c r="A6028" s="9">
        <f ca="1"/>
        <v>42918</v>
      </c>
      <c r="B6028" s="5">
        <f t="shared" si="860"/>
        <v>104.86</v>
      </c>
      <c r="C6028" s="6"/>
      <c r="D6028" s="5"/>
    </row>
    <row r="6029" spans="1:4" ht="13" thickBot="1" x14ac:dyDescent="0.3">
      <c r="A6029" s="9">
        <f ca="1"/>
        <v>42919</v>
      </c>
      <c r="B6029" s="6">
        <v>103.85</v>
      </c>
      <c r="C6029" s="6"/>
      <c r="D6029" s="5"/>
    </row>
    <row r="6030" spans="1:4" ht="13" thickBot="1" x14ac:dyDescent="0.3">
      <c r="A6030" s="9">
        <f ca="1"/>
        <v>42920</v>
      </c>
      <c r="B6030" s="5">
        <f>B6029</f>
        <v>103.85</v>
      </c>
      <c r="C6030" s="6"/>
      <c r="D6030" s="5"/>
    </row>
    <row r="6031" spans="1:4" ht="13" thickBot="1" x14ac:dyDescent="0.3">
      <c r="A6031" s="9">
        <f ca="1"/>
        <v>42921</v>
      </c>
      <c r="B6031" s="6">
        <v>102.71</v>
      </c>
      <c r="C6031" s="6"/>
      <c r="D6031" s="5"/>
    </row>
    <row r="6032" spans="1:4" ht="13" thickBot="1" x14ac:dyDescent="0.3">
      <c r="A6032" s="9">
        <f ca="1"/>
        <v>42922</v>
      </c>
      <c r="B6032" s="6">
        <v>101.8</v>
      </c>
      <c r="C6032" s="6"/>
      <c r="D6032" s="5"/>
    </row>
    <row r="6033" spans="1:4" ht="13" thickBot="1" x14ac:dyDescent="0.3">
      <c r="A6033" s="9">
        <f ca="1"/>
        <v>42923</v>
      </c>
      <c r="B6033" s="6">
        <v>102.15</v>
      </c>
      <c r="C6033" s="6"/>
      <c r="D6033" s="5"/>
    </row>
    <row r="6034" spans="1:4" ht="13" thickBot="1" x14ac:dyDescent="0.3">
      <c r="A6034" s="9">
        <f ca="1"/>
        <v>42924</v>
      </c>
      <c r="B6034" s="5">
        <f t="shared" ref="B6034:B6035" si="861">B6033</f>
        <v>102.15</v>
      </c>
      <c r="C6034" s="6"/>
      <c r="D6034" s="5"/>
    </row>
    <row r="6035" spans="1:4" ht="13" thickBot="1" x14ac:dyDescent="0.3">
      <c r="A6035" s="9">
        <f ca="1"/>
        <v>42925</v>
      </c>
      <c r="B6035" s="5">
        <f t="shared" si="861"/>
        <v>102.15</v>
      </c>
      <c r="C6035" s="6"/>
      <c r="D6035" s="5"/>
    </row>
    <row r="6036" spans="1:4" ht="13" thickBot="1" x14ac:dyDescent="0.3">
      <c r="A6036" s="9">
        <f ca="1"/>
        <v>42926</v>
      </c>
      <c r="B6036" s="6">
        <v>103.94</v>
      </c>
      <c r="C6036" s="6"/>
      <c r="D6036" s="5"/>
    </row>
    <row r="6037" spans="1:4" ht="13" thickBot="1" x14ac:dyDescent="0.3">
      <c r="A6037" s="9">
        <f ca="1"/>
        <v>42927</v>
      </c>
      <c r="B6037" s="6">
        <v>103.2</v>
      </c>
      <c r="C6037" s="6"/>
      <c r="D6037" s="5"/>
    </row>
    <row r="6038" spans="1:4" ht="13" thickBot="1" x14ac:dyDescent="0.3">
      <c r="A6038" s="9">
        <f ca="1"/>
        <v>42928</v>
      </c>
      <c r="B6038" s="6">
        <v>104.05</v>
      </c>
      <c r="C6038" s="6"/>
      <c r="D6038" s="5"/>
    </row>
    <row r="6039" spans="1:4" ht="13" thickBot="1" x14ac:dyDescent="0.3">
      <c r="A6039" s="9">
        <f ca="1"/>
        <v>42929</v>
      </c>
      <c r="B6039" s="6">
        <v>104.81</v>
      </c>
      <c r="C6039" s="6"/>
      <c r="D6039" s="5"/>
    </row>
    <row r="6040" spans="1:4" ht="13" thickBot="1" x14ac:dyDescent="0.3">
      <c r="A6040" s="9">
        <f ca="1"/>
        <v>42930</v>
      </c>
      <c r="B6040" s="6">
        <v>104.33</v>
      </c>
      <c r="C6040" s="6"/>
      <c r="D6040" s="5"/>
    </row>
    <row r="6041" spans="1:4" ht="13" thickBot="1" x14ac:dyDescent="0.3">
      <c r="A6041" s="9">
        <f ca="1"/>
        <v>42931</v>
      </c>
      <c r="B6041" s="5">
        <f t="shared" ref="B6041:B6042" si="862">B6040</f>
        <v>104.33</v>
      </c>
      <c r="C6041" s="6"/>
      <c r="D6041" s="5"/>
    </row>
    <row r="6042" spans="1:4" ht="13" thickBot="1" x14ac:dyDescent="0.3">
      <c r="A6042" s="9">
        <f ca="1"/>
        <v>42932</v>
      </c>
      <c r="B6042" s="5">
        <f t="shared" si="862"/>
        <v>104.33</v>
      </c>
      <c r="C6042" s="6"/>
      <c r="D6042" s="5"/>
    </row>
    <row r="6043" spans="1:4" ht="13" thickBot="1" x14ac:dyDescent="0.3">
      <c r="A6043" s="9">
        <f ca="1"/>
        <v>42933</v>
      </c>
      <c r="B6043" s="6">
        <v>104.29</v>
      </c>
      <c r="C6043" s="6"/>
      <c r="D6043" s="5"/>
    </row>
    <row r="6044" spans="1:4" ht="13" thickBot="1" x14ac:dyDescent="0.3">
      <c r="A6044" s="9">
        <f ca="1"/>
        <v>42934</v>
      </c>
      <c r="B6044" s="6">
        <v>103.88</v>
      </c>
      <c r="C6044" s="6"/>
      <c r="D6044" s="5"/>
    </row>
    <row r="6045" spans="1:4" ht="13" thickBot="1" x14ac:dyDescent="0.3">
      <c r="A6045" s="9">
        <f ca="1"/>
        <v>42935</v>
      </c>
      <c r="B6045" s="6">
        <v>105.5</v>
      </c>
      <c r="C6045" s="6"/>
      <c r="D6045" s="5"/>
    </row>
    <row r="6046" spans="1:4" ht="13" thickBot="1" x14ac:dyDescent="0.3">
      <c r="A6046" s="9">
        <f ca="1"/>
        <v>42936</v>
      </c>
      <c r="B6046" s="6">
        <v>104.92</v>
      </c>
      <c r="C6046" s="6"/>
      <c r="D6046" s="5"/>
    </row>
    <row r="6047" spans="1:4" ht="13" thickBot="1" x14ac:dyDescent="0.3">
      <c r="A6047" s="9">
        <f ca="1"/>
        <v>42937</v>
      </c>
      <c r="B6047" s="6">
        <v>103.76</v>
      </c>
      <c r="C6047" s="6"/>
      <c r="D6047" s="5"/>
    </row>
    <row r="6048" spans="1:4" ht="13" thickBot="1" x14ac:dyDescent="0.3">
      <c r="A6048" s="9">
        <f ca="1"/>
        <v>42938</v>
      </c>
      <c r="B6048" s="5">
        <f t="shared" ref="B6048:B6049" si="863">B6047</f>
        <v>103.76</v>
      </c>
      <c r="C6048" s="6"/>
      <c r="D6048" s="5"/>
    </row>
    <row r="6049" spans="1:4" ht="13" thickBot="1" x14ac:dyDescent="0.3">
      <c r="A6049" s="9">
        <f ca="1"/>
        <v>42939</v>
      </c>
      <c r="B6049" s="5">
        <f t="shared" si="863"/>
        <v>103.76</v>
      </c>
      <c r="C6049" s="6"/>
      <c r="D6049" s="5"/>
    </row>
    <row r="6050" spans="1:4" ht="13" thickBot="1" x14ac:dyDescent="0.3">
      <c r="A6050" s="9">
        <f ca="1"/>
        <v>42940</v>
      </c>
      <c r="B6050" s="6">
        <v>103.55</v>
      </c>
      <c r="C6050" s="6"/>
      <c r="D6050" s="5"/>
    </row>
    <row r="6051" spans="1:4" ht="13" thickBot="1" x14ac:dyDescent="0.3">
      <c r="A6051" s="9">
        <f ca="1"/>
        <v>42941</v>
      </c>
      <c r="B6051" s="6">
        <v>104.31</v>
      </c>
      <c r="C6051" s="6"/>
      <c r="D6051" s="5"/>
    </row>
    <row r="6052" spans="1:4" ht="13" thickBot="1" x14ac:dyDescent="0.3">
      <c r="A6052" s="9">
        <f ca="1"/>
        <v>42942</v>
      </c>
      <c r="B6052" s="6">
        <v>104.37</v>
      </c>
      <c r="C6052" s="6"/>
      <c r="D6052" s="5"/>
    </row>
    <row r="6053" spans="1:4" ht="13" thickBot="1" x14ac:dyDescent="0.3">
      <c r="A6053" s="9">
        <f ca="1"/>
        <v>42943</v>
      </c>
      <c r="B6053" s="6">
        <v>105.76</v>
      </c>
      <c r="C6053" s="6"/>
      <c r="D6053" s="5"/>
    </row>
    <row r="6054" spans="1:4" ht="13" thickBot="1" x14ac:dyDescent="0.3">
      <c r="A6054" s="9">
        <f ca="1"/>
        <v>42944</v>
      </c>
      <c r="B6054" s="6">
        <v>105.76</v>
      </c>
      <c r="C6054" s="6"/>
      <c r="D6054" s="5"/>
    </row>
    <row r="6055" spans="1:4" ht="13" thickBot="1" x14ac:dyDescent="0.3">
      <c r="A6055" s="9">
        <f ca="1"/>
        <v>42945</v>
      </c>
      <c r="B6055" s="5">
        <f t="shared" ref="B6055:B6056" si="864">B6054</f>
        <v>105.76</v>
      </c>
      <c r="C6055" s="6"/>
      <c r="D6055" s="5"/>
    </row>
    <row r="6056" spans="1:4" ht="13" thickBot="1" x14ac:dyDescent="0.3">
      <c r="A6056" s="9">
        <f ca="1"/>
        <v>42946</v>
      </c>
      <c r="B6056" s="5">
        <f t="shared" si="864"/>
        <v>105.76</v>
      </c>
      <c r="C6056" s="6"/>
      <c r="D6056" s="5"/>
    </row>
    <row r="6057" spans="1:4" ht="13" thickBot="1" x14ac:dyDescent="0.3">
      <c r="A6057" s="9">
        <f ca="1"/>
        <v>42947</v>
      </c>
      <c r="B6057" s="6">
        <v>105.89</v>
      </c>
      <c r="C6057" s="6"/>
      <c r="D6057" s="5"/>
    </row>
    <row r="6058" spans="1:4" ht="13" thickBot="1" x14ac:dyDescent="0.3">
      <c r="A6058" s="9">
        <f ca="1"/>
        <v>42948</v>
      </c>
      <c r="B6058" s="6">
        <v>106.68</v>
      </c>
      <c r="C6058" s="6"/>
      <c r="D6058" s="5"/>
    </row>
    <row r="6059" spans="1:4" ht="13" thickBot="1" x14ac:dyDescent="0.3">
      <c r="A6059" s="9">
        <f ca="1"/>
        <v>42949</v>
      </c>
      <c r="B6059" s="6">
        <v>106.89</v>
      </c>
      <c r="C6059" s="6"/>
      <c r="D6059" s="5"/>
    </row>
    <row r="6060" spans="1:4" ht="13" thickBot="1" x14ac:dyDescent="0.3">
      <c r="A6060" s="9">
        <f ca="1"/>
        <v>42950</v>
      </c>
      <c r="B6060" s="6">
        <v>107.23</v>
      </c>
      <c r="C6060" s="6"/>
      <c r="D6060" s="5"/>
    </row>
    <row r="6061" spans="1:4" ht="13" thickBot="1" x14ac:dyDescent="0.3">
      <c r="A6061" s="9">
        <f ca="1"/>
        <v>42951</v>
      </c>
      <c r="B6061" s="6">
        <v>107.74</v>
      </c>
      <c r="C6061" s="6"/>
      <c r="D6061" s="5"/>
    </row>
    <row r="6062" spans="1:4" ht="13" thickBot="1" x14ac:dyDescent="0.3">
      <c r="A6062" s="9">
        <f ca="1"/>
        <v>42952</v>
      </c>
      <c r="B6062" s="5">
        <f t="shared" ref="B6062:B6063" si="865">B6061</f>
        <v>107.74</v>
      </c>
      <c r="C6062" s="6"/>
      <c r="D6062" s="5"/>
    </row>
    <row r="6063" spans="1:4" ht="13" thickBot="1" x14ac:dyDescent="0.3">
      <c r="A6063" s="9">
        <f ca="1"/>
        <v>42953</v>
      </c>
      <c r="B6063" s="5">
        <f t="shared" si="865"/>
        <v>107.74</v>
      </c>
      <c r="C6063" s="6"/>
      <c r="D6063" s="5"/>
    </row>
    <row r="6064" spans="1:4" ht="13" thickBot="1" x14ac:dyDescent="0.3">
      <c r="A6064" s="9">
        <f ca="1"/>
        <v>42954</v>
      </c>
      <c r="B6064" s="6">
        <v>106.75</v>
      </c>
      <c r="C6064" s="6"/>
      <c r="D6064" s="5"/>
    </row>
    <row r="6065" spans="1:4" ht="15.75" customHeight="1" thickBot="1" x14ac:dyDescent="0.3">
      <c r="A6065" s="9">
        <f ca="1"/>
        <v>42955</v>
      </c>
      <c r="B6065" s="6">
        <v>106.96</v>
      </c>
      <c r="C6065" s="5"/>
      <c r="D6065" s="5"/>
    </row>
    <row r="6066" spans="1:4" ht="15.75" customHeight="1" thickBot="1" x14ac:dyDescent="0.3">
      <c r="A6066" s="8">
        <f ca="1"/>
        <v>42956</v>
      </c>
      <c r="B6066" s="6">
        <v>105.25</v>
      </c>
      <c r="C6066" s="5"/>
      <c r="D6066" s="5"/>
    </row>
    <row r="6067" spans="1:4" ht="15.75" customHeight="1" thickBot="1" x14ac:dyDescent="0.3">
      <c r="A6067" s="8">
        <f ca="1"/>
        <v>42957</v>
      </c>
      <c r="B6067" s="6">
        <v>104.68</v>
      </c>
      <c r="C6067" s="5"/>
      <c r="D6067" s="5"/>
    </row>
    <row r="6068" spans="1:4" ht="15.75" customHeight="1" thickBot="1" x14ac:dyDescent="0.3">
      <c r="A6068" s="8">
        <f ca="1"/>
        <v>42958</v>
      </c>
      <c r="B6068" s="6">
        <v>104.35</v>
      </c>
      <c r="C6068" s="5"/>
      <c r="D6068" s="5"/>
    </row>
    <row r="6069" spans="1:4" ht="15.75" customHeight="1" thickBot="1" x14ac:dyDescent="0.3">
      <c r="A6069" s="8">
        <f ca="1"/>
        <v>42959</v>
      </c>
      <c r="B6069" s="5">
        <f t="shared" ref="B6069:B6070" si="866">B6068</f>
        <v>104.35</v>
      </c>
      <c r="C6069" s="5"/>
      <c r="D6069" s="5"/>
    </row>
    <row r="6070" spans="1:4" ht="15.75" customHeight="1" thickBot="1" x14ac:dyDescent="0.3">
      <c r="A6070" s="8">
        <f ca="1"/>
        <v>42960</v>
      </c>
      <c r="B6070" s="5">
        <f t="shared" si="866"/>
        <v>104.35</v>
      </c>
      <c r="C6070" s="5"/>
      <c r="D6070" s="5"/>
    </row>
    <row r="6071" spans="1:4" ht="15.75" customHeight="1" thickBot="1" x14ac:dyDescent="0.3">
      <c r="A6071" s="8">
        <f ca="1"/>
        <v>42961</v>
      </c>
      <c r="B6071" s="6">
        <v>105.81</v>
      </c>
      <c r="C6071" s="5"/>
      <c r="D6071" s="5"/>
    </row>
    <row r="6072" spans="1:4" ht="15.75" customHeight="1" thickBot="1" x14ac:dyDescent="0.3">
      <c r="A6072" s="8">
        <f ca="1"/>
        <v>42962</v>
      </c>
      <c r="B6072" s="6">
        <v>105.66</v>
      </c>
      <c r="C6072" s="5"/>
      <c r="D6072" s="5"/>
    </row>
    <row r="6073" spans="1:4" ht="15.75" customHeight="1" thickBot="1" x14ac:dyDescent="0.3">
      <c r="A6073" s="8">
        <f ca="1"/>
        <v>42963</v>
      </c>
      <c r="B6073" s="6">
        <v>105.75</v>
      </c>
      <c r="C6073" s="5"/>
      <c r="D6073" s="5"/>
    </row>
    <row r="6074" spans="1:4" ht="15.75" customHeight="1" thickBot="1" x14ac:dyDescent="0.3">
      <c r="A6074" s="8">
        <f ca="1"/>
        <v>42964</v>
      </c>
      <c r="B6074" s="6">
        <v>105.56</v>
      </c>
      <c r="C6074" s="5"/>
      <c r="D6074" s="5"/>
    </row>
    <row r="6075" spans="1:4" ht="15.75" customHeight="1" thickBot="1" x14ac:dyDescent="0.3">
      <c r="A6075" s="8">
        <f ca="1"/>
        <v>42965</v>
      </c>
      <c r="B6075" s="6">
        <v>104.77</v>
      </c>
      <c r="C6075" s="5"/>
      <c r="D6075" s="5"/>
    </row>
    <row r="6076" spans="1:4" ht="15.75" customHeight="1" thickBot="1" x14ac:dyDescent="0.3">
      <c r="A6076" s="8">
        <f ca="1"/>
        <v>42966</v>
      </c>
      <c r="B6076" s="5">
        <f t="shared" ref="B6076:B6077" si="867">B6075</f>
        <v>104.77</v>
      </c>
      <c r="C6076" s="5"/>
      <c r="D6076" s="5"/>
    </row>
    <row r="6077" spans="1:4" ht="15.75" customHeight="1" thickBot="1" x14ac:dyDescent="0.3">
      <c r="A6077" s="8">
        <f ca="1"/>
        <v>42967</v>
      </c>
      <c r="B6077" s="5">
        <f t="shared" si="867"/>
        <v>104.77</v>
      </c>
      <c r="C6077" s="5"/>
      <c r="D6077" s="5"/>
    </row>
    <row r="6078" spans="1:4" ht="15.75" customHeight="1" thickBot="1" x14ac:dyDescent="0.3">
      <c r="A6078" s="8">
        <f ca="1"/>
        <v>42968</v>
      </c>
      <c r="B6078" s="6">
        <v>104.78</v>
      </c>
      <c r="C6078" s="5"/>
      <c r="D6078" s="5"/>
    </row>
    <row r="6079" spans="1:4" ht="15.75" customHeight="1" thickBot="1" x14ac:dyDescent="0.3">
      <c r="A6079" s="8">
        <f ca="1"/>
        <v>42969</v>
      </c>
      <c r="B6079" s="6">
        <v>105.33</v>
      </c>
      <c r="C6079" s="5"/>
      <c r="D6079" s="5"/>
    </row>
    <row r="6080" spans="1:4" ht="15.75" customHeight="1" thickBot="1" x14ac:dyDescent="0.3">
      <c r="A6080" s="8">
        <f ca="1"/>
        <v>42970</v>
      </c>
      <c r="B6080" s="6">
        <v>105.32</v>
      </c>
      <c r="C6080" s="5"/>
      <c r="D6080" s="5"/>
    </row>
    <row r="6081" spans="1:4" ht="15.75" customHeight="1" thickBot="1" x14ac:dyDescent="0.3">
      <c r="A6081" s="8">
        <f ca="1"/>
        <v>42971</v>
      </c>
      <c r="B6081" s="6">
        <v>105.19</v>
      </c>
      <c r="C6081" s="5"/>
      <c r="D6081" s="5"/>
    </row>
    <row r="6082" spans="1:4" ht="15.75" customHeight="1" thickBot="1" x14ac:dyDescent="0.3">
      <c r="A6082" s="8">
        <f ca="1"/>
        <v>42972</v>
      </c>
      <c r="B6082" s="6">
        <v>104.97</v>
      </c>
      <c r="C6082" s="5"/>
      <c r="D6082" s="5"/>
    </row>
    <row r="6083" spans="1:4" ht="15.75" customHeight="1" thickBot="1" x14ac:dyDescent="0.3">
      <c r="A6083" s="8">
        <f ca="1"/>
        <v>42973</v>
      </c>
      <c r="B6083" s="5">
        <f t="shared" ref="B6083:B6084" si="868">B6082</f>
        <v>104.97</v>
      </c>
      <c r="C6083" s="5"/>
      <c r="D6083" s="5"/>
    </row>
    <row r="6084" spans="1:4" ht="15.75" customHeight="1" thickBot="1" x14ac:dyDescent="0.3">
      <c r="A6084" s="8">
        <f ca="1"/>
        <v>42974</v>
      </c>
      <c r="B6084" s="5">
        <f t="shared" si="868"/>
        <v>104.97</v>
      </c>
      <c r="C6084" s="5"/>
      <c r="D6084" s="5"/>
    </row>
    <row r="6085" spans="1:4" ht="15.75" customHeight="1" thickBot="1" x14ac:dyDescent="0.3">
      <c r="A6085" s="8">
        <f ca="1"/>
        <v>42975</v>
      </c>
      <c r="B6085" s="6">
        <v>105.6</v>
      </c>
      <c r="C6085" s="5"/>
      <c r="D6085" s="5"/>
    </row>
    <row r="6086" spans="1:4" ht="15.75" customHeight="1" thickBot="1" x14ac:dyDescent="0.3">
      <c r="A6086" s="8">
        <f ca="1"/>
        <v>42976</v>
      </c>
      <c r="B6086" s="6">
        <v>104.09</v>
      </c>
      <c r="C6086" s="5"/>
      <c r="D6086" s="5"/>
    </row>
    <row r="6087" spans="1:4" ht="15.75" customHeight="1" thickBot="1" x14ac:dyDescent="0.3">
      <c r="A6087" s="8">
        <f ca="1"/>
        <v>42977</v>
      </c>
      <c r="B6087" s="6">
        <v>104.49</v>
      </c>
      <c r="C6087" s="5"/>
      <c r="D6087" s="5"/>
    </row>
    <row r="6088" spans="1:4" ht="15.75" customHeight="1" thickBot="1" x14ac:dyDescent="0.3">
      <c r="A6088" s="8">
        <f ca="1"/>
        <v>42978</v>
      </c>
      <c r="B6088" s="6">
        <v>104.6</v>
      </c>
      <c r="C6088" s="5"/>
      <c r="D6088" s="5"/>
    </row>
    <row r="6089" spans="1:4" ht="15.75" customHeight="1" thickBot="1" x14ac:dyDescent="0.3">
      <c r="A6089" s="8">
        <f ca="1"/>
        <v>42979</v>
      </c>
      <c r="B6089" s="6">
        <v>105.71</v>
      </c>
      <c r="C6089" s="5"/>
      <c r="D6089" s="5"/>
    </row>
    <row r="6090" spans="1:4" ht="15.75" customHeight="1" thickBot="1" x14ac:dyDescent="0.3">
      <c r="A6090" s="8">
        <f ca="1"/>
        <v>42980</v>
      </c>
      <c r="B6090" s="5">
        <f t="shared" ref="B6090:B6092" si="869">B6089</f>
        <v>105.71</v>
      </c>
      <c r="C6090" s="5"/>
      <c r="D6090" s="5"/>
    </row>
    <row r="6091" spans="1:4" ht="15.75" customHeight="1" thickBot="1" x14ac:dyDescent="0.3">
      <c r="A6091" s="8">
        <f ca="1"/>
        <v>42981</v>
      </c>
      <c r="B6091" s="5">
        <f t="shared" si="869"/>
        <v>105.71</v>
      </c>
      <c r="C6091" s="5"/>
      <c r="D6091" s="5"/>
    </row>
    <row r="6092" spans="1:4" ht="15.75" customHeight="1" thickBot="1" x14ac:dyDescent="0.3">
      <c r="A6092" s="8">
        <f ca="1"/>
        <v>42982</v>
      </c>
      <c r="B6092" s="5">
        <f t="shared" si="869"/>
        <v>105.71</v>
      </c>
      <c r="C6092" s="5"/>
      <c r="D6092" s="5"/>
    </row>
    <row r="6093" spans="1:4" ht="15.75" customHeight="1" thickBot="1" x14ac:dyDescent="0.3">
      <c r="A6093" s="8">
        <f ca="1"/>
        <v>42983</v>
      </c>
      <c r="B6093" s="6">
        <v>105.13</v>
      </c>
      <c r="C6093" s="5"/>
      <c r="D6093" s="5"/>
    </row>
    <row r="6094" spans="1:4" ht="15.75" customHeight="1" thickBot="1" x14ac:dyDescent="0.3">
      <c r="A6094" s="8">
        <f ca="1"/>
        <v>42984</v>
      </c>
      <c r="B6094" s="6">
        <v>106.02</v>
      </c>
      <c r="C6094" s="5"/>
      <c r="D6094" s="5"/>
    </row>
    <row r="6095" spans="1:4" ht="15.75" customHeight="1" thickBot="1" x14ac:dyDescent="0.3">
      <c r="A6095" s="8">
        <f ca="1"/>
        <v>42985</v>
      </c>
      <c r="B6095" s="6">
        <v>107.91</v>
      </c>
      <c r="C6095" s="5"/>
      <c r="D6095" s="5"/>
    </row>
    <row r="6096" spans="1:4" ht="15.75" customHeight="1" thickBot="1" x14ac:dyDescent="0.3">
      <c r="A6096" s="8">
        <f ca="1"/>
        <v>42986</v>
      </c>
      <c r="B6096" s="6">
        <v>108.86</v>
      </c>
      <c r="C6096" s="5"/>
      <c r="D6096" s="5"/>
    </row>
    <row r="6097" spans="1:4" ht="15.75" customHeight="1" thickBot="1" x14ac:dyDescent="0.3">
      <c r="A6097" s="8">
        <f ca="1"/>
        <v>42987</v>
      </c>
      <c r="B6097" s="5">
        <f t="shared" ref="B6097:B6098" si="870">B6096</f>
        <v>108.86</v>
      </c>
      <c r="C6097" s="5"/>
      <c r="D6097" s="5"/>
    </row>
    <row r="6098" spans="1:4" ht="15.75" customHeight="1" thickBot="1" x14ac:dyDescent="0.3">
      <c r="A6098" s="8">
        <f ca="1"/>
        <v>42988</v>
      </c>
      <c r="B6098" s="5">
        <f t="shared" si="870"/>
        <v>108.86</v>
      </c>
      <c r="C6098" s="5"/>
      <c r="D6098" s="5"/>
    </row>
    <row r="6099" spans="1:4" ht="15.75" customHeight="1" thickBot="1" x14ac:dyDescent="0.3">
      <c r="A6099" s="8">
        <f ca="1"/>
        <v>42989</v>
      </c>
      <c r="B6099" s="6">
        <v>109.55</v>
      </c>
      <c r="C6099" s="5"/>
      <c r="D6099" s="5"/>
    </row>
    <row r="6100" spans="1:4" ht="15.75" customHeight="1" thickBot="1" x14ac:dyDescent="0.3">
      <c r="A6100" s="8">
        <f ca="1"/>
        <v>42990</v>
      </c>
      <c r="B6100" s="6">
        <v>109.93</v>
      </c>
      <c r="C6100" s="5"/>
      <c r="D6100" s="5"/>
    </row>
    <row r="6101" spans="1:4" ht="15.75" customHeight="1" thickBot="1" x14ac:dyDescent="0.3">
      <c r="A6101" s="8">
        <f ca="1"/>
        <v>42991</v>
      </c>
      <c r="B6101" s="6">
        <v>109.75</v>
      </c>
      <c r="C6101" s="5"/>
      <c r="D6101" s="5"/>
    </row>
    <row r="6102" spans="1:4" ht="15.75" customHeight="1" thickBot="1" x14ac:dyDescent="0.3">
      <c r="A6102" s="8">
        <f ca="1"/>
        <v>42992</v>
      </c>
      <c r="B6102" s="6">
        <v>108.91</v>
      </c>
      <c r="C6102" s="5"/>
      <c r="D6102" s="5"/>
    </row>
    <row r="6103" spans="1:4" ht="15.75" customHeight="1" thickBot="1" x14ac:dyDescent="0.3">
      <c r="A6103" s="8">
        <f ca="1"/>
        <v>42993</v>
      </c>
      <c r="B6103" s="6">
        <v>109.76</v>
      </c>
      <c r="C6103" s="5"/>
      <c r="D6103" s="5"/>
    </row>
    <row r="6104" spans="1:4" ht="15.75" customHeight="1" thickBot="1" x14ac:dyDescent="0.3">
      <c r="A6104" s="8">
        <f ca="1"/>
        <v>42994</v>
      </c>
      <c r="B6104" s="5">
        <f t="shared" ref="B6104:B6105" si="871">B6103</f>
        <v>109.76</v>
      </c>
      <c r="C6104" s="5"/>
      <c r="D6104" s="5"/>
    </row>
    <row r="6105" spans="1:4" ht="15.75" customHeight="1" thickBot="1" x14ac:dyDescent="0.3">
      <c r="A6105" s="8">
        <f ca="1"/>
        <v>42995</v>
      </c>
      <c r="B6105" s="5">
        <f t="shared" si="871"/>
        <v>109.76</v>
      </c>
      <c r="C6105" s="5"/>
      <c r="D6105" s="5"/>
    </row>
    <row r="6106" spans="1:4" ht="15.75" customHeight="1" thickBot="1" x14ac:dyDescent="0.3">
      <c r="A6106" s="8">
        <f ca="1"/>
        <v>42996</v>
      </c>
      <c r="B6106" s="6">
        <v>109.97</v>
      </c>
      <c r="C6106" s="5"/>
      <c r="D6106" s="5"/>
    </row>
    <row r="6107" spans="1:4" ht="15.75" customHeight="1" thickBot="1" x14ac:dyDescent="0.3">
      <c r="A6107" s="8">
        <f ca="1"/>
        <v>42997</v>
      </c>
      <c r="B6107" s="6">
        <v>110.64</v>
      </c>
      <c r="C6107" s="5"/>
      <c r="D6107" s="5"/>
    </row>
    <row r="6108" spans="1:4" ht="15.75" customHeight="1" thickBot="1" x14ac:dyDescent="0.3">
      <c r="A6108" s="8">
        <f ca="1"/>
        <v>42998</v>
      </c>
      <c r="B6108" s="6">
        <v>110.24</v>
      </c>
      <c r="C6108" s="5"/>
      <c r="D6108" s="5"/>
    </row>
    <row r="6109" spans="1:4" ht="15.75" customHeight="1" thickBot="1" x14ac:dyDescent="0.3">
      <c r="A6109" s="8">
        <f ca="1"/>
        <v>42999</v>
      </c>
      <c r="B6109" s="6">
        <v>109.64</v>
      </c>
      <c r="C6109" s="5"/>
      <c r="D6109" s="5"/>
    </row>
    <row r="6110" spans="1:4" ht="15.75" customHeight="1" thickBot="1" x14ac:dyDescent="0.3">
      <c r="A6110" s="8">
        <f ca="1"/>
        <v>43000</v>
      </c>
      <c r="B6110" s="6">
        <v>110.29</v>
      </c>
      <c r="C6110" s="5"/>
      <c r="D6110" s="5"/>
    </row>
    <row r="6111" spans="1:4" ht="15.75" customHeight="1" thickBot="1" x14ac:dyDescent="0.3">
      <c r="A6111" s="8">
        <f ca="1"/>
        <v>43001</v>
      </c>
      <c r="B6111" s="5">
        <f t="shared" ref="B6111:B6112" si="872">B6110</f>
        <v>110.29</v>
      </c>
      <c r="C6111" s="5"/>
      <c r="D6111" s="5"/>
    </row>
    <row r="6112" spans="1:4" ht="15.75" customHeight="1" thickBot="1" x14ac:dyDescent="0.3">
      <c r="A6112" s="8">
        <f ca="1"/>
        <v>43002</v>
      </c>
      <c r="B6112" s="5">
        <f t="shared" si="872"/>
        <v>110.29</v>
      </c>
      <c r="C6112" s="5"/>
      <c r="D6112" s="5"/>
    </row>
    <row r="6113" spans="1:4" ht="15.75" customHeight="1" thickBot="1" x14ac:dyDescent="0.3">
      <c r="A6113" s="8">
        <f ca="1"/>
        <v>43003</v>
      </c>
      <c r="B6113" s="6">
        <v>109.85</v>
      </c>
      <c r="C6113" s="5"/>
      <c r="D6113" s="5"/>
    </row>
    <row r="6114" spans="1:4" ht="15.75" customHeight="1" thickBot="1" x14ac:dyDescent="0.3">
      <c r="A6114" s="8">
        <f ca="1"/>
        <v>43004</v>
      </c>
      <c r="B6114" s="6">
        <v>108.09</v>
      </c>
      <c r="C6114" s="5"/>
      <c r="D6114" s="5"/>
    </row>
    <row r="6115" spans="1:4" ht="15.75" customHeight="1" thickBot="1" x14ac:dyDescent="0.3">
      <c r="A6115" s="8">
        <f ca="1"/>
        <v>43005</v>
      </c>
      <c r="B6115" s="6">
        <v>107.43</v>
      </c>
      <c r="C6115" s="5"/>
      <c r="D6115" s="5"/>
    </row>
    <row r="6116" spans="1:4" ht="15.75" customHeight="1" thickBot="1" x14ac:dyDescent="0.3">
      <c r="A6116" s="8">
        <f ca="1"/>
        <v>43006</v>
      </c>
      <c r="B6116" s="6">
        <v>108.35</v>
      </c>
      <c r="C6116" s="5"/>
      <c r="D6116" s="5"/>
    </row>
    <row r="6117" spans="1:4" ht="15.75" customHeight="1" thickBot="1" x14ac:dyDescent="0.3">
      <c r="A6117" s="8">
        <f ca="1"/>
        <v>43007</v>
      </c>
      <c r="B6117" s="6">
        <v>108.77</v>
      </c>
      <c r="C6117" s="5"/>
      <c r="D6117" s="5"/>
    </row>
    <row r="6118" spans="1:4" ht="15.75" customHeight="1" thickBot="1" x14ac:dyDescent="0.3">
      <c r="A6118" s="8">
        <f ca="1"/>
        <v>43008</v>
      </c>
      <c r="B6118" s="5">
        <f t="shared" ref="B6118:B6119" si="873">B6117</f>
        <v>108.77</v>
      </c>
      <c r="C6118" s="5"/>
      <c r="D6118" s="5"/>
    </row>
    <row r="6119" spans="1:4" ht="15.75" customHeight="1" thickBot="1" x14ac:dyDescent="0.3">
      <c r="A6119" s="8">
        <f ca="1"/>
        <v>43009</v>
      </c>
      <c r="B6119" s="5">
        <f t="shared" si="873"/>
        <v>108.77</v>
      </c>
      <c r="C6119" s="5"/>
      <c r="D6119" s="5"/>
    </row>
    <row r="6120" spans="1:4" ht="15.75" customHeight="1" thickBot="1" x14ac:dyDescent="0.3">
      <c r="A6120" s="8">
        <f ca="1"/>
        <v>43010</v>
      </c>
      <c r="B6120" s="6">
        <v>109.97</v>
      </c>
      <c r="C6120" s="5"/>
      <c r="D6120" s="5"/>
    </row>
    <row r="6121" spans="1:4" ht="15.75" customHeight="1" thickBot="1" x14ac:dyDescent="0.3">
      <c r="A6121" s="8">
        <f ca="1"/>
        <v>43011</v>
      </c>
      <c r="B6121" s="6">
        <v>110.66</v>
      </c>
      <c r="C6121" s="5"/>
      <c r="D6121" s="5"/>
    </row>
    <row r="6122" spans="1:4" ht="15.75" customHeight="1" thickBot="1" x14ac:dyDescent="0.3">
      <c r="A6122" s="8">
        <f ca="1"/>
        <v>43012</v>
      </c>
      <c r="B6122" s="6">
        <v>110.09</v>
      </c>
      <c r="C6122" s="5"/>
      <c r="D6122" s="5"/>
    </row>
    <row r="6123" spans="1:4" ht="15.75" customHeight="1" thickBot="1" x14ac:dyDescent="0.3">
      <c r="A6123" s="8">
        <f ca="1"/>
        <v>43013</v>
      </c>
      <c r="B6123" s="6">
        <v>110.3</v>
      </c>
      <c r="C6123" s="5"/>
      <c r="D6123" s="5"/>
    </row>
    <row r="6124" spans="1:4" ht="15.75" customHeight="1" thickBot="1" x14ac:dyDescent="0.3">
      <c r="A6124" s="8">
        <f ca="1"/>
        <v>43014</v>
      </c>
      <c r="B6124" s="6">
        <v>109.84</v>
      </c>
      <c r="C6124" s="5"/>
      <c r="D6124" s="5"/>
    </row>
    <row r="6125" spans="1:4" ht="15.75" customHeight="1" thickBot="1" x14ac:dyDescent="0.3">
      <c r="A6125" s="8">
        <f ca="1"/>
        <v>43015</v>
      </c>
      <c r="B6125" s="5">
        <f t="shared" ref="B6125:B6126" si="874">B6124</f>
        <v>109.84</v>
      </c>
      <c r="C6125" s="5"/>
      <c r="D6125" s="5"/>
    </row>
    <row r="6126" spans="1:4" ht="15.75" customHeight="1" thickBot="1" x14ac:dyDescent="0.3">
      <c r="A6126" s="8">
        <f ca="1"/>
        <v>43016</v>
      </c>
      <c r="B6126" s="5">
        <f t="shared" si="874"/>
        <v>109.84</v>
      </c>
      <c r="C6126" s="5"/>
      <c r="D6126" s="5"/>
    </row>
    <row r="6127" spans="1:4" ht="15.75" customHeight="1" thickBot="1" x14ac:dyDescent="0.3">
      <c r="A6127" s="8">
        <f ca="1"/>
        <v>43017</v>
      </c>
      <c r="B6127" s="6">
        <v>111.65</v>
      </c>
      <c r="C6127" s="5"/>
      <c r="D6127" s="5"/>
    </row>
    <row r="6128" spans="1:4" ht="15.75" customHeight="1" thickBot="1" x14ac:dyDescent="0.3">
      <c r="A6128" s="8">
        <f ca="1"/>
        <v>43018</v>
      </c>
      <c r="B6128" s="6">
        <v>112.47</v>
      </c>
      <c r="C6128" s="5"/>
      <c r="D6128" s="5"/>
    </row>
    <row r="6129" spans="1:4" ht="15.75" customHeight="1" thickBot="1" x14ac:dyDescent="0.3">
      <c r="A6129" s="8">
        <f ca="1"/>
        <v>43019</v>
      </c>
      <c r="B6129" s="6">
        <v>112.19</v>
      </c>
      <c r="C6129" s="5"/>
      <c r="D6129" s="5"/>
    </row>
    <row r="6130" spans="1:4" ht="15.75" customHeight="1" thickBot="1" x14ac:dyDescent="0.3">
      <c r="A6130" s="8">
        <f ca="1"/>
        <v>43020</v>
      </c>
      <c r="B6130" s="6">
        <v>112.55</v>
      </c>
      <c r="C6130" s="5"/>
      <c r="D6130" s="5"/>
    </row>
    <row r="6131" spans="1:4" ht="15.75" customHeight="1" thickBot="1" x14ac:dyDescent="0.3">
      <c r="A6131" s="8">
        <f ca="1"/>
        <v>43021</v>
      </c>
      <c r="B6131" s="6">
        <v>112.71</v>
      </c>
      <c r="C6131" s="5"/>
      <c r="D6131" s="5"/>
    </row>
    <row r="6132" spans="1:4" ht="15.75" customHeight="1" thickBot="1" x14ac:dyDescent="0.3">
      <c r="A6132" s="8">
        <f ca="1"/>
        <v>43022</v>
      </c>
      <c r="B6132" s="5">
        <f t="shared" ref="B6132:B6133" si="875">B6131</f>
        <v>112.71</v>
      </c>
      <c r="C6132" s="5"/>
      <c r="D6132" s="5"/>
    </row>
    <row r="6133" spans="1:4" ht="15.75" customHeight="1" thickBot="1" x14ac:dyDescent="0.3">
      <c r="A6133" s="8">
        <f ca="1"/>
        <v>43023</v>
      </c>
      <c r="B6133" s="5">
        <f t="shared" si="875"/>
        <v>112.71</v>
      </c>
      <c r="C6133" s="5"/>
      <c r="D6133" s="5"/>
    </row>
    <row r="6134" spans="1:4" ht="15.75" customHeight="1" thickBot="1" x14ac:dyDescent="0.3">
      <c r="A6134" s="8">
        <f ca="1"/>
        <v>43024</v>
      </c>
      <c r="B6134" s="6">
        <v>112.09</v>
      </c>
      <c r="C6134" s="5"/>
      <c r="D6134" s="5"/>
    </row>
    <row r="6135" spans="1:4" ht="15.75" customHeight="1" thickBot="1" x14ac:dyDescent="0.3">
      <c r="A6135" s="8">
        <f ca="1"/>
        <v>43025</v>
      </c>
      <c r="B6135" s="6">
        <v>111.12</v>
      </c>
      <c r="C6135" s="5"/>
      <c r="D6135" s="5"/>
    </row>
    <row r="6136" spans="1:4" ht="15.75" customHeight="1" thickBot="1" x14ac:dyDescent="0.3">
      <c r="A6136" s="8">
        <f ca="1"/>
        <v>43026</v>
      </c>
      <c r="B6136" s="6">
        <v>112.16</v>
      </c>
      <c r="C6136" s="5"/>
      <c r="D6136" s="5"/>
    </row>
    <row r="6137" spans="1:4" ht="15.75" customHeight="1" thickBot="1" x14ac:dyDescent="0.3">
      <c r="A6137" s="8">
        <f ca="1"/>
        <v>43027</v>
      </c>
      <c r="B6137" s="6">
        <v>112.39</v>
      </c>
      <c r="C6137" s="5"/>
      <c r="D6137" s="5"/>
    </row>
    <row r="6138" spans="1:4" ht="15.75" customHeight="1" thickBot="1" x14ac:dyDescent="0.3">
      <c r="A6138" s="8">
        <f ca="1"/>
        <v>43028</v>
      </c>
      <c r="B6138" s="6">
        <v>112.68</v>
      </c>
      <c r="C6138" s="5"/>
      <c r="D6138" s="5"/>
    </row>
    <row r="6139" spans="1:4" ht="15.75" customHeight="1" thickBot="1" x14ac:dyDescent="0.3">
      <c r="A6139" s="8">
        <f ca="1"/>
        <v>43029</v>
      </c>
      <c r="B6139" s="5">
        <f t="shared" ref="B6139:B6140" si="876">B6138</f>
        <v>112.68</v>
      </c>
      <c r="C6139" s="5"/>
      <c r="D6139" s="5"/>
    </row>
    <row r="6140" spans="1:4" ht="15.75" customHeight="1" thickBot="1" x14ac:dyDescent="0.3">
      <c r="A6140" s="8">
        <f ca="1"/>
        <v>43030</v>
      </c>
      <c r="B6140" s="5">
        <f t="shared" si="876"/>
        <v>112.68</v>
      </c>
      <c r="C6140" s="5"/>
      <c r="D6140" s="5"/>
    </row>
    <row r="6141" spans="1:4" ht="15.75" customHeight="1" thickBot="1" x14ac:dyDescent="0.3">
      <c r="A6141" s="8">
        <f ca="1"/>
        <v>43031</v>
      </c>
      <c r="B6141" s="6">
        <v>112.56</v>
      </c>
      <c r="C6141" s="5"/>
      <c r="D6141" s="5"/>
    </row>
    <row r="6142" spans="1:4" ht="15.75" customHeight="1" thickBot="1" x14ac:dyDescent="0.3">
      <c r="A6142" s="8">
        <f ca="1"/>
        <v>43032</v>
      </c>
      <c r="B6142" s="6">
        <v>112.19</v>
      </c>
      <c r="C6142" s="5"/>
      <c r="D6142" s="5"/>
    </row>
    <row r="6143" spans="1:4" ht="15.75" customHeight="1" thickBot="1" x14ac:dyDescent="0.3">
      <c r="A6143" s="8">
        <f ca="1"/>
        <v>43033</v>
      </c>
      <c r="B6143" s="6">
        <v>113.22</v>
      </c>
      <c r="C6143" s="5"/>
      <c r="D6143" s="5"/>
    </row>
    <row r="6144" spans="1:4" ht="15.75" customHeight="1" thickBot="1" x14ac:dyDescent="0.3">
      <c r="A6144" s="8">
        <f ca="1"/>
        <v>43034</v>
      </c>
      <c r="B6144" s="6">
        <v>113.31</v>
      </c>
      <c r="C6144" s="5"/>
      <c r="D6144" s="5"/>
    </row>
    <row r="6145" spans="1:4" ht="15.75" customHeight="1" thickBot="1" x14ac:dyDescent="0.3">
      <c r="A6145" s="8">
        <f ca="1"/>
        <v>43035</v>
      </c>
      <c r="B6145" s="6">
        <v>114.38</v>
      </c>
      <c r="C6145" s="5"/>
      <c r="D6145" s="5"/>
    </row>
    <row r="6146" spans="1:4" ht="15.75" customHeight="1" thickBot="1" x14ac:dyDescent="0.3">
      <c r="A6146" s="8">
        <f ca="1"/>
        <v>43036</v>
      </c>
      <c r="B6146" s="5">
        <f t="shared" ref="B6146:B6147" si="877">B6145</f>
        <v>114.38</v>
      </c>
      <c r="C6146" s="5"/>
      <c r="D6146" s="5"/>
    </row>
    <row r="6147" spans="1:4" ht="15.75" customHeight="1" thickBot="1" x14ac:dyDescent="0.3">
      <c r="A6147" s="8">
        <f ca="1"/>
        <v>43037</v>
      </c>
      <c r="B6147" s="5">
        <f t="shared" si="877"/>
        <v>114.38</v>
      </c>
      <c r="C6147" s="5"/>
      <c r="D6147" s="5"/>
    </row>
    <row r="6148" spans="1:4" ht="15.75" customHeight="1" thickBot="1" x14ac:dyDescent="0.3">
      <c r="A6148" s="8">
        <f ca="1"/>
        <v>43038</v>
      </c>
      <c r="B6148" s="6">
        <v>113.4</v>
      </c>
      <c r="C6148" s="5"/>
      <c r="D6148" s="5"/>
    </row>
    <row r="6149" spans="1:4" ht="15.75" customHeight="1" thickBot="1" x14ac:dyDescent="0.3">
      <c r="A6149" s="8">
        <f ca="1"/>
        <v>43039</v>
      </c>
      <c r="B6149" s="6">
        <v>114.23</v>
      </c>
      <c r="C6149" s="5"/>
      <c r="D6149" s="5"/>
    </row>
    <row r="6150" spans="1:4" ht="15.75" customHeight="1" thickBot="1" x14ac:dyDescent="0.3">
      <c r="A6150" s="8">
        <f ca="1"/>
        <v>43040</v>
      </c>
      <c r="B6150" s="6">
        <v>116.36</v>
      </c>
      <c r="C6150" s="5"/>
      <c r="D6150" s="5"/>
    </row>
    <row r="6151" spans="1:4" ht="15.75" customHeight="1" thickBot="1" x14ac:dyDescent="0.3">
      <c r="A6151" s="8">
        <f ca="1"/>
        <v>43041</v>
      </c>
      <c r="B6151" s="6">
        <v>116</v>
      </c>
      <c r="C6151" s="5"/>
      <c r="D6151" s="5"/>
    </row>
    <row r="6152" spans="1:4" ht="15.75" customHeight="1" thickBot="1" x14ac:dyDescent="0.3">
      <c r="A6152" s="8">
        <f ca="1"/>
        <v>43042</v>
      </c>
      <c r="B6152" s="6">
        <v>115.17</v>
      </c>
      <c r="C6152" s="5"/>
      <c r="D6152" s="5"/>
    </row>
    <row r="6153" spans="1:4" ht="15.75" customHeight="1" thickBot="1" x14ac:dyDescent="0.3">
      <c r="A6153" s="8">
        <f ca="1"/>
        <v>43043</v>
      </c>
      <c r="B6153" s="5">
        <f t="shared" ref="B6153:B6154" si="878">B6152</f>
        <v>115.17</v>
      </c>
      <c r="C6153" s="5"/>
      <c r="D6153" s="5"/>
    </row>
    <row r="6154" spans="1:4" ht="15.75" customHeight="1" thickBot="1" x14ac:dyDescent="0.3">
      <c r="A6154" s="8">
        <f ca="1"/>
        <v>43044</v>
      </c>
      <c r="B6154" s="5">
        <f t="shared" si="878"/>
        <v>115.17</v>
      </c>
      <c r="C6154" s="5"/>
      <c r="D6154" s="5"/>
    </row>
    <row r="6155" spans="1:4" ht="15.75" customHeight="1" thickBot="1" x14ac:dyDescent="0.3">
      <c r="A6155" s="8">
        <f ca="1"/>
        <v>43045</v>
      </c>
      <c r="B6155" s="6">
        <v>115.48</v>
      </c>
      <c r="C6155" s="5"/>
      <c r="D6155" s="5"/>
    </row>
    <row r="6156" spans="1:4" ht="15.75" customHeight="1" thickBot="1" x14ac:dyDescent="0.3">
      <c r="A6156" s="8">
        <f ca="1"/>
        <v>43046</v>
      </c>
      <c r="B6156" s="6">
        <v>114.51</v>
      </c>
      <c r="C6156" s="5"/>
      <c r="D6156" s="5"/>
    </row>
    <row r="6157" spans="1:4" ht="15.75" customHeight="1" thickBot="1" x14ac:dyDescent="0.3">
      <c r="A6157" s="8">
        <f ca="1"/>
        <v>43047</v>
      </c>
      <c r="B6157" s="6">
        <v>114</v>
      </c>
      <c r="C6157" s="5"/>
      <c r="D6157" s="5"/>
    </row>
    <row r="6158" spans="1:4" ht="15.75" customHeight="1" thickBot="1" x14ac:dyDescent="0.3">
      <c r="A6158" s="8">
        <f ca="1"/>
        <v>43048</v>
      </c>
      <c r="B6158" s="6">
        <v>112.55</v>
      </c>
      <c r="C6158" s="5"/>
      <c r="D6158" s="5"/>
    </row>
    <row r="6159" spans="1:4" ht="15.75" customHeight="1" thickBot="1" x14ac:dyDescent="0.3">
      <c r="A6159" s="8">
        <f ca="1"/>
        <v>43049</v>
      </c>
      <c r="B6159" s="6">
        <v>113.11</v>
      </c>
      <c r="C6159" s="5"/>
      <c r="D6159" s="5"/>
    </row>
    <row r="6160" spans="1:4" ht="15.75" customHeight="1" thickBot="1" x14ac:dyDescent="0.3">
      <c r="A6160" s="8">
        <f ca="1"/>
        <v>43050</v>
      </c>
      <c r="B6160" s="5">
        <f t="shared" ref="B6160:B6161" si="879">B6159</f>
        <v>113.11</v>
      </c>
      <c r="C6160" s="5"/>
      <c r="D6160" s="5"/>
    </row>
    <row r="6161" spans="1:4" ht="15.75" customHeight="1" thickBot="1" x14ac:dyDescent="0.3">
      <c r="A6161" s="8">
        <f ca="1"/>
        <v>43051</v>
      </c>
      <c r="B6161" s="5">
        <f t="shared" si="879"/>
        <v>113.11</v>
      </c>
      <c r="C6161" s="5"/>
      <c r="D6161" s="5"/>
    </row>
    <row r="6162" spans="1:4" ht="15.75" customHeight="1" thickBot="1" x14ac:dyDescent="0.3">
      <c r="A6162" s="8">
        <f ca="1"/>
        <v>43052</v>
      </c>
      <c r="B6162" s="6">
        <v>111.01</v>
      </c>
      <c r="C6162" s="5"/>
      <c r="D6162" s="5"/>
    </row>
    <row r="6163" spans="1:4" ht="15.75" customHeight="1" thickBot="1" x14ac:dyDescent="0.3">
      <c r="A6163" s="8">
        <f ca="1"/>
        <v>43053</v>
      </c>
      <c r="B6163" s="6">
        <v>113.13</v>
      </c>
      <c r="C6163" s="5"/>
      <c r="D6163" s="5"/>
    </row>
    <row r="6164" spans="1:4" ht="15.75" customHeight="1" thickBot="1" x14ac:dyDescent="0.3">
      <c r="A6164" s="8">
        <f ca="1"/>
        <v>43054</v>
      </c>
      <c r="B6164" s="6">
        <v>112.57</v>
      </c>
      <c r="C6164" s="5"/>
      <c r="D6164" s="5"/>
    </row>
    <row r="6165" spans="1:4" ht="15.75" customHeight="1" thickBot="1" x14ac:dyDescent="0.3">
      <c r="A6165" s="8">
        <f ca="1"/>
        <v>43055</v>
      </c>
      <c r="B6165" s="6">
        <v>113.44</v>
      </c>
      <c r="C6165" s="5"/>
      <c r="D6165" s="5"/>
    </row>
    <row r="6166" spans="1:4" ht="15.75" customHeight="1" thickBot="1" x14ac:dyDescent="0.3">
      <c r="A6166" s="8">
        <f ca="1"/>
        <v>43056</v>
      </c>
      <c r="B6166" s="6">
        <v>114.09</v>
      </c>
      <c r="C6166" s="5"/>
      <c r="D6166" s="5"/>
    </row>
    <row r="6167" spans="1:4" ht="15.75" customHeight="1" thickBot="1" x14ac:dyDescent="0.3">
      <c r="A6167" s="8">
        <f ca="1"/>
        <v>43057</v>
      </c>
      <c r="B6167" s="5">
        <f t="shared" ref="B6167:B6168" si="880">B6166</f>
        <v>114.09</v>
      </c>
      <c r="C6167" s="5"/>
      <c r="D6167" s="5"/>
    </row>
    <row r="6168" spans="1:4" ht="15.75" customHeight="1" thickBot="1" x14ac:dyDescent="0.3">
      <c r="A6168" s="8">
        <f ca="1"/>
        <v>43058</v>
      </c>
      <c r="B6168" s="5">
        <f t="shared" si="880"/>
        <v>114.09</v>
      </c>
      <c r="C6168" s="5"/>
      <c r="D6168" s="5"/>
    </row>
    <row r="6169" spans="1:4" ht="15.75" customHeight="1" thickBot="1" x14ac:dyDescent="0.3">
      <c r="A6169" s="8">
        <f ca="1"/>
        <v>43059</v>
      </c>
      <c r="B6169" s="6">
        <v>113.65</v>
      </c>
      <c r="C6169" s="5"/>
      <c r="D6169" s="5"/>
    </row>
    <row r="6170" spans="1:4" ht="15.75" customHeight="1" thickBot="1" x14ac:dyDescent="0.3">
      <c r="A6170" s="8">
        <f ca="1"/>
        <v>43060</v>
      </c>
      <c r="B6170" s="6">
        <v>114.91</v>
      </c>
      <c r="C6170" s="5"/>
      <c r="D6170" s="5"/>
    </row>
    <row r="6171" spans="1:4" ht="15.75" customHeight="1" thickBot="1" x14ac:dyDescent="0.3">
      <c r="A6171" s="8">
        <f ca="1"/>
        <v>43061</v>
      </c>
      <c r="B6171" s="6">
        <v>114.72</v>
      </c>
      <c r="C6171" s="5"/>
      <c r="D6171" s="5"/>
    </row>
    <row r="6172" spans="1:4" ht="15.75" customHeight="1" thickBot="1" x14ac:dyDescent="0.3">
      <c r="A6172" s="8">
        <f ca="1"/>
        <v>43062</v>
      </c>
      <c r="B6172" s="5">
        <f>B6171</f>
        <v>114.72</v>
      </c>
      <c r="C6172" s="5"/>
      <c r="D6172" s="5"/>
    </row>
    <row r="6173" spans="1:4" ht="15.75" customHeight="1" thickBot="1" x14ac:dyDescent="0.3">
      <c r="A6173" s="8">
        <f ca="1"/>
        <v>43063</v>
      </c>
      <c r="B6173" s="6">
        <v>115.81</v>
      </c>
      <c r="C6173" s="5"/>
      <c r="D6173" s="5"/>
    </row>
    <row r="6174" spans="1:4" ht="15.75" customHeight="1" thickBot="1" x14ac:dyDescent="0.3">
      <c r="A6174" s="8">
        <f ca="1"/>
        <v>43064</v>
      </c>
      <c r="B6174" s="5">
        <f t="shared" ref="B6174:B6175" si="881">B6173</f>
        <v>115.81</v>
      </c>
      <c r="C6174" s="5"/>
      <c r="D6174" s="5"/>
    </row>
    <row r="6175" spans="1:4" ht="15.75" customHeight="1" thickBot="1" x14ac:dyDescent="0.3">
      <c r="A6175" s="8">
        <f ca="1"/>
        <v>43065</v>
      </c>
      <c r="B6175" s="5">
        <f t="shared" si="881"/>
        <v>115.81</v>
      </c>
      <c r="C6175" s="5"/>
      <c r="D6175" s="5"/>
    </row>
    <row r="6176" spans="1:4" ht="15.75" customHeight="1" thickBot="1" x14ac:dyDescent="0.3">
      <c r="A6176" s="8">
        <f ca="1"/>
        <v>43066</v>
      </c>
      <c r="B6176" s="6">
        <v>116</v>
      </c>
      <c r="C6176" s="5"/>
      <c r="D6176" s="5"/>
    </row>
    <row r="6177" spans="1:4" ht="15.75" customHeight="1" thickBot="1" x14ac:dyDescent="0.3">
      <c r="A6177" s="8">
        <f ca="1"/>
        <v>43067</v>
      </c>
      <c r="B6177" s="6">
        <v>116.09</v>
      </c>
      <c r="C6177" s="5"/>
      <c r="D6177" s="5"/>
    </row>
    <row r="6178" spans="1:4" ht="15.75" customHeight="1" thickBot="1" x14ac:dyDescent="0.3">
      <c r="A6178" s="8">
        <f ca="1"/>
        <v>43068</v>
      </c>
      <c r="B6178" s="6">
        <v>115.31</v>
      </c>
      <c r="C6178" s="5"/>
      <c r="D6178" s="5"/>
    </row>
    <row r="6179" spans="1:4" ht="15.75" customHeight="1" thickBot="1" x14ac:dyDescent="0.3">
      <c r="A6179" s="8">
        <f ca="1"/>
        <v>43069</v>
      </c>
      <c r="B6179" s="6">
        <v>113.46</v>
      </c>
      <c r="C6179" s="5"/>
      <c r="D6179" s="5"/>
    </row>
    <row r="6180" spans="1:4" ht="15.75" customHeight="1" thickBot="1" x14ac:dyDescent="0.3">
      <c r="A6180" s="8">
        <f ca="1"/>
        <v>43070</v>
      </c>
      <c r="B6180" s="6">
        <v>111.56</v>
      </c>
      <c r="C6180" s="5"/>
      <c r="D6180" s="5"/>
    </row>
    <row r="6181" spans="1:4" ht="15.75" customHeight="1" thickBot="1" x14ac:dyDescent="0.3">
      <c r="A6181" s="8">
        <f ca="1"/>
        <v>43071</v>
      </c>
      <c r="B6181" s="5">
        <f t="shared" ref="B6181:B6182" si="882">B6180</f>
        <v>111.56</v>
      </c>
      <c r="C6181" s="5"/>
      <c r="D6181" s="5"/>
    </row>
    <row r="6182" spans="1:4" ht="15.75" customHeight="1" thickBot="1" x14ac:dyDescent="0.3">
      <c r="A6182" s="8">
        <f ca="1"/>
        <v>43072</v>
      </c>
      <c r="B6182" s="5">
        <f t="shared" si="882"/>
        <v>111.56</v>
      </c>
      <c r="C6182" s="5"/>
      <c r="D6182" s="5"/>
    </row>
    <row r="6183" spans="1:4" ht="15.75" customHeight="1" thickBot="1" x14ac:dyDescent="0.3">
      <c r="A6183" s="8">
        <f ca="1"/>
        <v>43073</v>
      </c>
      <c r="B6183" s="6">
        <v>112.64</v>
      </c>
      <c r="C6183" s="5"/>
      <c r="D6183" s="5"/>
    </row>
    <row r="6184" spans="1:4" ht="15.75" customHeight="1" thickBot="1" x14ac:dyDescent="0.3">
      <c r="A6184" s="8">
        <f ca="1"/>
        <v>43074</v>
      </c>
      <c r="B6184" s="6">
        <v>110.8</v>
      </c>
      <c r="C6184" s="5"/>
      <c r="D6184" s="5"/>
    </row>
    <row r="6185" spans="1:4" ht="15.75" customHeight="1" thickBot="1" x14ac:dyDescent="0.3">
      <c r="A6185" s="8">
        <f ca="1"/>
        <v>43075</v>
      </c>
      <c r="B6185" s="6">
        <v>110.72</v>
      </c>
      <c r="C6185" s="5"/>
      <c r="D6185" s="5"/>
    </row>
    <row r="6186" spans="1:4" ht="15.75" customHeight="1" thickBot="1" x14ac:dyDescent="0.3">
      <c r="A6186" s="8">
        <f ca="1"/>
        <v>43076</v>
      </c>
      <c r="B6186" s="6">
        <v>111.86</v>
      </c>
      <c r="C6186" s="5"/>
      <c r="D6186" s="5"/>
    </row>
    <row r="6187" spans="1:4" ht="15.75" customHeight="1" thickBot="1" x14ac:dyDescent="0.3">
      <c r="A6187" s="8">
        <f ca="1"/>
        <v>43077</v>
      </c>
      <c r="B6187" s="6">
        <v>113.08</v>
      </c>
      <c r="C6187" s="5"/>
      <c r="D6187" s="5"/>
    </row>
    <row r="6188" spans="1:4" ht="15.75" customHeight="1" thickBot="1" x14ac:dyDescent="0.3">
      <c r="A6188" s="8">
        <f ca="1"/>
        <v>43078</v>
      </c>
      <c r="B6188" s="5">
        <f t="shared" ref="B6188:B6189" si="883">B6187</f>
        <v>113.08</v>
      </c>
      <c r="C6188" s="5"/>
      <c r="D6188" s="5"/>
    </row>
    <row r="6189" spans="1:4" ht="15.75" customHeight="1" thickBot="1" x14ac:dyDescent="0.3">
      <c r="A6189" s="8">
        <f ca="1"/>
        <v>43079</v>
      </c>
      <c r="B6189" s="5">
        <f t="shared" si="883"/>
        <v>113.08</v>
      </c>
      <c r="C6189" s="5"/>
      <c r="D6189" s="5"/>
    </row>
    <row r="6190" spans="1:4" ht="15.75" customHeight="1" thickBot="1" x14ac:dyDescent="0.3">
      <c r="A6190" s="8">
        <f ca="1"/>
        <v>43080</v>
      </c>
      <c r="B6190" s="6">
        <v>111.4</v>
      </c>
      <c r="C6190" s="5"/>
      <c r="D6190" s="5"/>
    </row>
    <row r="6191" spans="1:4" ht="15.75" customHeight="1" thickBot="1" x14ac:dyDescent="0.3">
      <c r="A6191" s="8">
        <f ca="1"/>
        <v>43081</v>
      </c>
      <c r="B6191" s="6">
        <v>112.48</v>
      </c>
      <c r="C6191" s="5"/>
      <c r="D6191" s="5"/>
    </row>
    <row r="6192" spans="1:4" ht="15.75" customHeight="1" thickBot="1" x14ac:dyDescent="0.3">
      <c r="A6192" s="8">
        <f ca="1"/>
        <v>43082</v>
      </c>
      <c r="B6192" s="6">
        <v>113.18</v>
      </c>
      <c r="C6192" s="5"/>
      <c r="D6192" s="5"/>
    </row>
    <row r="6193" spans="1:4" ht="15.75" customHeight="1" thickBot="1" x14ac:dyDescent="0.3">
      <c r="A6193" s="8">
        <f ca="1"/>
        <v>43083</v>
      </c>
      <c r="B6193" s="6">
        <v>114.34</v>
      </c>
      <c r="C6193" s="5"/>
      <c r="D6193" s="5"/>
    </row>
    <row r="6194" spans="1:4" ht="15.75" customHeight="1" thickBot="1" x14ac:dyDescent="0.3">
      <c r="A6194" s="8">
        <f ca="1"/>
        <v>43084</v>
      </c>
      <c r="B6194" s="6">
        <v>113.55</v>
      </c>
      <c r="C6194" s="5"/>
      <c r="D6194" s="5"/>
    </row>
    <row r="6195" spans="1:4" ht="15.75" customHeight="1" thickBot="1" x14ac:dyDescent="0.3">
      <c r="A6195" s="8">
        <f ca="1"/>
        <v>43085</v>
      </c>
      <c r="B6195" s="5">
        <f t="shared" ref="B6195:B6196" si="884">B6194</f>
        <v>113.55</v>
      </c>
      <c r="C6195" s="5"/>
      <c r="D6195" s="5"/>
    </row>
    <row r="6196" spans="1:4" ht="15.75" customHeight="1" thickBot="1" x14ac:dyDescent="0.3">
      <c r="A6196" s="8">
        <f ca="1"/>
        <v>43086</v>
      </c>
      <c r="B6196" s="5">
        <f t="shared" si="884"/>
        <v>113.55</v>
      </c>
      <c r="C6196" s="5"/>
      <c r="D6196" s="5"/>
    </row>
    <row r="6197" spans="1:4" ht="15.75" customHeight="1" thickBot="1" x14ac:dyDescent="0.3">
      <c r="A6197" s="8">
        <f ca="1"/>
        <v>43087</v>
      </c>
      <c r="B6197" s="6">
        <v>116.31</v>
      </c>
      <c r="C6197" s="5"/>
      <c r="D6197" s="5"/>
    </row>
    <row r="6198" spans="1:4" ht="15.75" customHeight="1" thickBot="1" x14ac:dyDescent="0.3">
      <c r="A6198" s="8">
        <f ca="1"/>
        <v>43088</v>
      </c>
      <c r="B6198" s="6">
        <v>115.6</v>
      </c>
      <c r="C6198" s="5"/>
      <c r="D6198" s="5"/>
    </row>
    <row r="6199" spans="1:4" ht="15.75" customHeight="1" thickBot="1" x14ac:dyDescent="0.3">
      <c r="A6199" s="8">
        <f ca="1"/>
        <v>43089</v>
      </c>
      <c r="B6199" s="6">
        <v>113.76</v>
      </c>
      <c r="C6199" s="5"/>
      <c r="D6199" s="5"/>
    </row>
    <row r="6200" spans="1:4" ht="15.75" customHeight="1" thickBot="1" x14ac:dyDescent="0.3">
      <c r="A6200" s="8">
        <f ca="1"/>
        <v>43090</v>
      </c>
      <c r="B6200" s="6">
        <v>112.87</v>
      </c>
      <c r="C6200" s="5"/>
      <c r="D6200" s="5"/>
    </row>
    <row r="6201" spans="1:4" ht="15.75" customHeight="1" thickBot="1" x14ac:dyDescent="0.3">
      <c r="A6201" s="8">
        <f ca="1"/>
        <v>43091</v>
      </c>
      <c r="B6201" s="6">
        <v>112.29</v>
      </c>
      <c r="C6201" s="5"/>
      <c r="D6201" s="5"/>
    </row>
    <row r="6202" spans="1:4" ht="15.75" customHeight="1" thickBot="1" x14ac:dyDescent="0.3">
      <c r="A6202" s="8">
        <f ca="1"/>
        <v>43092</v>
      </c>
      <c r="B6202" s="5">
        <f t="shared" ref="B6202:B6204" si="885">B6201</f>
        <v>112.29</v>
      </c>
      <c r="C6202" s="5"/>
      <c r="D6202" s="5"/>
    </row>
    <row r="6203" spans="1:4" ht="15.75" customHeight="1" thickBot="1" x14ac:dyDescent="0.3">
      <c r="A6203" s="8">
        <f ca="1"/>
        <v>43093</v>
      </c>
      <c r="B6203" s="5">
        <f t="shared" si="885"/>
        <v>112.29</v>
      </c>
      <c r="C6203" s="5"/>
      <c r="D6203" s="5"/>
    </row>
    <row r="6204" spans="1:4" ht="15.75" customHeight="1" thickBot="1" x14ac:dyDescent="0.3">
      <c r="A6204" s="8">
        <f ca="1"/>
        <v>43094</v>
      </c>
      <c r="B6204" s="5">
        <f t="shared" si="885"/>
        <v>112.29</v>
      </c>
      <c r="C6204" s="5"/>
      <c r="D6204" s="5"/>
    </row>
    <row r="6205" spans="1:4" ht="15.75" customHeight="1" thickBot="1" x14ac:dyDescent="0.3">
      <c r="A6205" s="8">
        <f ca="1"/>
        <v>43095</v>
      </c>
      <c r="B6205" s="6">
        <v>112.43</v>
      </c>
      <c r="C6205" s="5"/>
      <c r="D6205" s="5"/>
    </row>
    <row r="6206" spans="1:4" ht="15.75" customHeight="1" thickBot="1" x14ac:dyDescent="0.3">
      <c r="A6206" s="8">
        <f ca="1"/>
        <v>43096</v>
      </c>
      <c r="B6206" s="6">
        <v>112.75</v>
      </c>
      <c r="C6206" s="5"/>
      <c r="D6206" s="5"/>
    </row>
    <row r="6207" spans="1:4" ht="15.75" customHeight="1" thickBot="1" x14ac:dyDescent="0.3">
      <c r="A6207" s="8">
        <f ca="1"/>
        <v>43097</v>
      </c>
      <c r="B6207" s="6">
        <v>112.78</v>
      </c>
      <c r="C6207" s="5"/>
      <c r="D6207" s="5"/>
    </row>
    <row r="6208" spans="1:4" ht="15.75" customHeight="1" thickBot="1" x14ac:dyDescent="0.3">
      <c r="A6208" s="8">
        <f ca="1"/>
        <v>43098</v>
      </c>
      <c r="B6208" s="6">
        <v>112.22</v>
      </c>
      <c r="C6208" s="5"/>
      <c r="D6208" s="5"/>
    </row>
    <row r="6209" spans="1:4" ht="15.75" customHeight="1" thickBot="1" x14ac:dyDescent="0.3">
      <c r="A6209" s="8">
        <f ca="1"/>
        <v>43099</v>
      </c>
      <c r="B6209" s="5">
        <f t="shared" ref="B6209:B6211" si="886">B6208</f>
        <v>112.22</v>
      </c>
      <c r="C6209" s="5"/>
      <c r="D6209" s="5"/>
    </row>
    <row r="6210" spans="1:4" ht="15.75" customHeight="1" thickBot="1" x14ac:dyDescent="0.3">
      <c r="A6210" s="8">
        <f ca="1"/>
        <v>43100</v>
      </c>
      <c r="B6210" s="5">
        <f t="shared" si="886"/>
        <v>112.22</v>
      </c>
      <c r="C6210" s="5"/>
      <c r="D6210" s="5"/>
    </row>
    <row r="6211" spans="1:4" ht="15.75" customHeight="1" thickBot="1" x14ac:dyDescent="0.3">
      <c r="A6211" s="8">
        <f ca="1"/>
        <v>43101</v>
      </c>
      <c r="B6211" s="5">
        <f t="shared" si="886"/>
        <v>112.22</v>
      </c>
      <c r="C6211" s="5"/>
      <c r="D6211" s="5"/>
    </row>
    <row r="6212" spans="1:4" ht="15.75" customHeight="1" thickBot="1" x14ac:dyDescent="0.3">
      <c r="A6212" s="8">
        <f ca="1"/>
        <v>43102</v>
      </c>
      <c r="B6212" s="6">
        <v>111.23</v>
      </c>
      <c r="C6212" s="5"/>
      <c r="D6212" s="5"/>
    </row>
    <row r="6213" spans="1:4" ht="15.75" customHeight="1" thickBot="1" x14ac:dyDescent="0.3">
      <c r="A6213" s="8">
        <f ca="1"/>
        <v>43103</v>
      </c>
      <c r="B6213" s="6">
        <v>112.63</v>
      </c>
      <c r="C6213" s="5"/>
      <c r="D6213" s="5"/>
    </row>
    <row r="6214" spans="1:4" ht="15.75" customHeight="1" thickBot="1" x14ac:dyDescent="0.3">
      <c r="A6214" s="8">
        <f ca="1"/>
        <v>43104</v>
      </c>
      <c r="B6214" s="6">
        <v>114.78</v>
      </c>
      <c r="C6214" s="5"/>
      <c r="D6214" s="5"/>
    </row>
    <row r="6215" spans="1:4" ht="15.75" customHeight="1" thickBot="1" x14ac:dyDescent="0.3">
      <c r="A6215" s="8">
        <f ca="1"/>
        <v>43105</v>
      </c>
      <c r="B6215" s="6">
        <v>115.45</v>
      </c>
      <c r="C6215" s="5"/>
      <c r="D6215" s="5"/>
    </row>
    <row r="6216" spans="1:4" ht="15.75" customHeight="1" thickBot="1" x14ac:dyDescent="0.3">
      <c r="A6216" s="8">
        <f ca="1"/>
        <v>43106</v>
      </c>
      <c r="B6216" s="5">
        <f t="shared" ref="B6216:B6217" si="887">B6215</f>
        <v>115.45</v>
      </c>
      <c r="C6216" s="5"/>
      <c r="D6216" s="5"/>
    </row>
    <row r="6217" spans="1:4" ht="15.75" customHeight="1" thickBot="1" x14ac:dyDescent="0.3">
      <c r="A6217" s="8">
        <f ca="1"/>
        <v>43107</v>
      </c>
      <c r="B6217" s="5">
        <f t="shared" si="887"/>
        <v>115.45</v>
      </c>
      <c r="C6217" s="5"/>
      <c r="D6217" s="5"/>
    </row>
    <row r="6218" spans="1:4" ht="15.75" customHeight="1" thickBot="1" x14ac:dyDescent="0.3">
      <c r="A6218" s="8">
        <f ca="1"/>
        <v>43108</v>
      </c>
      <c r="B6218" s="6">
        <v>115.09</v>
      </c>
      <c r="C6218" s="5"/>
      <c r="D6218" s="5"/>
    </row>
    <row r="6219" spans="1:4" ht="15.75" customHeight="1" thickBot="1" x14ac:dyDescent="0.3">
      <c r="A6219" s="8">
        <f ca="1"/>
        <v>43109</v>
      </c>
      <c r="B6219" s="6">
        <v>114.36</v>
      </c>
      <c r="C6219" s="5"/>
      <c r="D6219" s="5"/>
    </row>
    <row r="6220" spans="1:4" ht="15.75" customHeight="1" thickBot="1" x14ac:dyDescent="0.3">
      <c r="A6220" s="8">
        <f ca="1"/>
        <v>43110</v>
      </c>
      <c r="B6220" s="6">
        <v>113.64</v>
      </c>
      <c r="C6220" s="5"/>
      <c r="D6220" s="5"/>
    </row>
    <row r="6221" spans="1:4" ht="15.75" customHeight="1" thickBot="1" x14ac:dyDescent="0.3">
      <c r="A6221" s="8">
        <f ca="1"/>
        <v>43111</v>
      </c>
      <c r="B6221" s="6">
        <v>110.54</v>
      </c>
      <c r="C6221" s="5"/>
      <c r="D6221" s="5"/>
    </row>
    <row r="6222" spans="1:4" ht="15.75" customHeight="1" thickBot="1" x14ac:dyDescent="0.3">
      <c r="A6222" s="8">
        <f ca="1"/>
        <v>43112</v>
      </c>
      <c r="B6222" s="6">
        <v>109.83</v>
      </c>
      <c r="C6222" s="5"/>
      <c r="D6222" s="5"/>
    </row>
    <row r="6223" spans="1:4" ht="15.75" customHeight="1" thickBot="1" x14ac:dyDescent="0.3">
      <c r="A6223" s="8">
        <f ca="1"/>
        <v>43113</v>
      </c>
      <c r="B6223" s="5">
        <f t="shared" ref="B6223:B6225" si="888">B6222</f>
        <v>109.83</v>
      </c>
      <c r="C6223" s="5"/>
      <c r="D6223" s="5"/>
    </row>
    <row r="6224" spans="1:4" ht="15.75" customHeight="1" thickBot="1" x14ac:dyDescent="0.3">
      <c r="A6224" s="8">
        <f ca="1"/>
        <v>43114</v>
      </c>
      <c r="B6224" s="5">
        <f t="shared" si="888"/>
        <v>109.83</v>
      </c>
      <c r="C6224" s="5"/>
      <c r="D6224" s="5"/>
    </row>
    <row r="6225" spans="1:4" ht="15.75" customHeight="1" thickBot="1" x14ac:dyDescent="0.3">
      <c r="A6225" s="8">
        <f ca="1"/>
        <v>43115</v>
      </c>
      <c r="B6225" s="5">
        <f t="shared" si="888"/>
        <v>109.83</v>
      </c>
      <c r="C6225" s="5"/>
      <c r="D6225" s="5"/>
    </row>
    <row r="6226" spans="1:4" ht="15.75" customHeight="1" thickBot="1" x14ac:dyDescent="0.3">
      <c r="A6226" s="8">
        <f ca="1"/>
        <v>43116</v>
      </c>
      <c r="B6226" s="6">
        <v>111.98</v>
      </c>
      <c r="C6226" s="5"/>
      <c r="D6226" s="5"/>
    </row>
    <row r="6227" spans="1:4" ht="15.75" customHeight="1" thickBot="1" x14ac:dyDescent="0.3">
      <c r="A6227" s="8">
        <f ca="1"/>
        <v>43117</v>
      </c>
      <c r="B6227" s="6">
        <v>110.08</v>
      </c>
      <c r="C6227" s="5"/>
      <c r="D6227" s="5"/>
    </row>
    <row r="6228" spans="1:4" ht="15.75" customHeight="1" thickBot="1" x14ac:dyDescent="0.3">
      <c r="A6228" s="8">
        <f ca="1"/>
        <v>43118</v>
      </c>
      <c r="B6228" s="6">
        <v>111.78</v>
      </c>
      <c r="C6228" s="5"/>
      <c r="D6228" s="5"/>
    </row>
    <row r="6229" spans="1:4" ht="15.75" customHeight="1" thickBot="1" x14ac:dyDescent="0.3">
      <c r="A6229" s="8">
        <f ca="1"/>
        <v>43119</v>
      </c>
      <c r="B6229" s="6">
        <v>113.09</v>
      </c>
      <c r="C6229" s="5"/>
      <c r="D6229" s="5"/>
    </row>
    <row r="6230" spans="1:4" ht="15.75" customHeight="1" thickBot="1" x14ac:dyDescent="0.3">
      <c r="A6230" s="8">
        <f ca="1"/>
        <v>43120</v>
      </c>
      <c r="B6230" s="5">
        <f t="shared" ref="B6230:B6231" si="889">B6229</f>
        <v>113.09</v>
      </c>
      <c r="C6230" s="5"/>
      <c r="D6230" s="5"/>
    </row>
    <row r="6231" spans="1:4" ht="15.75" customHeight="1" thickBot="1" x14ac:dyDescent="0.3">
      <c r="A6231" s="8">
        <f ca="1"/>
        <v>43121</v>
      </c>
      <c r="B6231" s="5">
        <f t="shared" si="889"/>
        <v>113.09</v>
      </c>
      <c r="C6231" s="5"/>
      <c r="D6231" s="5"/>
    </row>
    <row r="6232" spans="1:4" ht="15.75" customHeight="1" thickBot="1" x14ac:dyDescent="0.3">
      <c r="A6232" s="8">
        <f ca="1"/>
        <v>43122</v>
      </c>
      <c r="B6232" s="6">
        <v>112.18</v>
      </c>
      <c r="C6232" s="5"/>
      <c r="D6232" s="5"/>
    </row>
    <row r="6233" spans="1:4" ht="15.75" customHeight="1" thickBot="1" x14ac:dyDescent="0.3">
      <c r="A6233" s="8">
        <f ca="1"/>
        <v>43123</v>
      </c>
      <c r="B6233" s="6">
        <v>114.02</v>
      </c>
      <c r="C6233" s="5"/>
      <c r="D6233" s="5"/>
    </row>
    <row r="6234" spans="1:4" ht="15.75" customHeight="1" thickBot="1" x14ac:dyDescent="0.3">
      <c r="A6234" s="8">
        <f ca="1"/>
        <v>43124</v>
      </c>
      <c r="B6234" s="6">
        <v>114.96</v>
      </c>
      <c r="C6234" s="5"/>
      <c r="D6234" s="5"/>
    </row>
    <row r="6235" spans="1:4" ht="15.75" customHeight="1" thickBot="1" x14ac:dyDescent="0.3">
      <c r="A6235" s="8">
        <f ca="1"/>
        <v>43125</v>
      </c>
      <c r="B6235" s="6">
        <v>114.17</v>
      </c>
      <c r="C6235" s="5"/>
      <c r="D6235" s="5"/>
    </row>
    <row r="6236" spans="1:4" ht="15.75" customHeight="1" thickBot="1" x14ac:dyDescent="0.3">
      <c r="A6236" s="8">
        <f ca="1"/>
        <v>43126</v>
      </c>
      <c r="B6236" s="6">
        <v>113.83</v>
      </c>
      <c r="C6236" s="5"/>
      <c r="D6236" s="5"/>
    </row>
    <row r="6237" spans="1:4" ht="15.75" customHeight="1" thickBot="1" x14ac:dyDescent="0.3">
      <c r="A6237" s="8">
        <f ca="1"/>
        <v>43127</v>
      </c>
      <c r="B6237" s="5">
        <f t="shared" ref="B6237:B6238" si="890">B6236</f>
        <v>113.83</v>
      </c>
      <c r="C6237" s="5"/>
      <c r="D6237" s="5"/>
    </row>
    <row r="6238" spans="1:4" ht="15.75" customHeight="1" thickBot="1" x14ac:dyDescent="0.3">
      <c r="A6238" s="8">
        <f ca="1"/>
        <v>43128</v>
      </c>
      <c r="B6238" s="5">
        <f t="shared" si="890"/>
        <v>113.83</v>
      </c>
      <c r="C6238" s="5"/>
      <c r="D6238" s="5"/>
    </row>
    <row r="6239" spans="1:4" ht="15.75" customHeight="1" thickBot="1" x14ac:dyDescent="0.3">
      <c r="A6239" s="8">
        <f ca="1"/>
        <v>43129</v>
      </c>
      <c r="B6239" s="6">
        <v>113.72</v>
      </c>
      <c r="C6239" s="5"/>
      <c r="D6239" s="5"/>
    </row>
    <row r="6240" spans="1:4" ht="15.75" customHeight="1" thickBot="1" x14ac:dyDescent="0.3">
      <c r="A6240" s="8">
        <f ca="1"/>
        <v>43130</v>
      </c>
      <c r="B6240" s="6">
        <v>112.98</v>
      </c>
      <c r="C6240" s="5"/>
      <c r="D6240" s="5"/>
    </row>
    <row r="6241" spans="1:4" ht="15.75" customHeight="1" thickBot="1" x14ac:dyDescent="0.3">
      <c r="A6241" s="8">
        <f ca="1"/>
        <v>43131</v>
      </c>
      <c r="B6241" s="6">
        <v>112.35</v>
      </c>
      <c r="C6241" s="5"/>
      <c r="D6241" s="5"/>
    </row>
    <row r="6242" spans="1:4" ht="15.75" customHeight="1" thickBot="1" x14ac:dyDescent="0.3">
      <c r="A6242" s="8">
        <f ca="1"/>
        <v>43132</v>
      </c>
      <c r="B6242" s="6">
        <v>112.22</v>
      </c>
      <c r="C6242" s="5"/>
      <c r="D6242" s="5"/>
    </row>
    <row r="6243" spans="1:4" ht="15.75" customHeight="1" thickBot="1" x14ac:dyDescent="0.3">
      <c r="A6243" s="8">
        <f ca="1"/>
        <v>43133</v>
      </c>
      <c r="B6243" s="6">
        <v>110.85</v>
      </c>
      <c r="C6243" s="5"/>
      <c r="D6243" s="5"/>
    </row>
    <row r="6244" spans="1:4" ht="15.75" customHeight="1" thickBot="1" x14ac:dyDescent="0.3">
      <c r="A6244" s="8">
        <f ca="1"/>
        <v>43134</v>
      </c>
      <c r="B6244" s="5">
        <f t="shared" ref="B6244:B6245" si="891">B6243</f>
        <v>110.85</v>
      </c>
      <c r="C6244" s="5"/>
      <c r="D6244" s="5"/>
    </row>
    <row r="6245" spans="1:4" ht="15.75" customHeight="1" thickBot="1" x14ac:dyDescent="0.3">
      <c r="A6245" s="8">
        <f ca="1"/>
        <v>43135</v>
      </c>
      <c r="B6245" s="5">
        <f t="shared" si="891"/>
        <v>110.85</v>
      </c>
      <c r="C6245" s="5"/>
      <c r="D6245" s="5"/>
    </row>
    <row r="6246" spans="1:4" ht="15.75" customHeight="1" thickBot="1" x14ac:dyDescent="0.3">
      <c r="A6246" s="8">
        <f ca="1"/>
        <v>43136</v>
      </c>
      <c r="B6246" s="6">
        <v>107.78</v>
      </c>
      <c r="C6246" s="5"/>
      <c r="D6246" s="5"/>
    </row>
    <row r="6247" spans="1:4" ht="15.75" customHeight="1" thickBot="1" x14ac:dyDescent="0.3">
      <c r="A6247" s="8">
        <f ca="1"/>
        <v>43137</v>
      </c>
      <c r="B6247" s="6">
        <v>104.93</v>
      </c>
      <c r="C6247" s="5"/>
      <c r="D6247" s="5"/>
    </row>
    <row r="6248" spans="1:4" ht="15.75" customHeight="1" thickBot="1" x14ac:dyDescent="0.3">
      <c r="A6248" s="8">
        <f ca="1"/>
        <v>43138</v>
      </c>
      <c r="B6248" s="6">
        <v>105.8</v>
      </c>
      <c r="C6248" s="5"/>
      <c r="D6248" s="5"/>
    </row>
    <row r="6249" spans="1:4" ht="15.75" customHeight="1" thickBot="1" x14ac:dyDescent="0.3">
      <c r="A6249" s="8">
        <f ca="1"/>
        <v>43139</v>
      </c>
      <c r="B6249" s="6">
        <v>104.77</v>
      </c>
      <c r="C6249" s="5"/>
      <c r="D6249" s="5"/>
    </row>
    <row r="6250" spans="1:4" ht="15.75" customHeight="1" thickBot="1" x14ac:dyDescent="0.3">
      <c r="A6250" s="8">
        <f ca="1"/>
        <v>43140</v>
      </c>
      <c r="B6250" s="6">
        <v>102.53</v>
      </c>
      <c r="C6250" s="5"/>
      <c r="D6250" s="5"/>
    </row>
    <row r="6251" spans="1:4" ht="15.75" customHeight="1" thickBot="1" x14ac:dyDescent="0.3">
      <c r="A6251" s="8">
        <f ca="1"/>
        <v>43141</v>
      </c>
      <c r="B6251" s="5">
        <f t="shared" ref="B6251:B6252" si="892">B6250</f>
        <v>102.53</v>
      </c>
      <c r="C6251" s="5"/>
      <c r="D6251" s="5"/>
    </row>
    <row r="6252" spans="1:4" ht="15.75" customHeight="1" thickBot="1" x14ac:dyDescent="0.3">
      <c r="A6252" s="8">
        <f ca="1"/>
        <v>43142</v>
      </c>
      <c r="B6252" s="5">
        <f t="shared" si="892"/>
        <v>102.53</v>
      </c>
      <c r="C6252" s="5"/>
      <c r="D6252" s="5"/>
    </row>
    <row r="6253" spans="1:4" ht="15.75" customHeight="1" thickBot="1" x14ac:dyDescent="0.3">
      <c r="A6253" s="8">
        <f ca="1"/>
        <v>43143</v>
      </c>
      <c r="B6253" s="6">
        <v>102.92</v>
      </c>
      <c r="C6253" s="5"/>
      <c r="D6253" s="5"/>
    </row>
    <row r="6254" spans="1:4" ht="15.75" customHeight="1" thickBot="1" x14ac:dyDescent="0.3">
      <c r="A6254" s="8">
        <f ca="1"/>
        <v>43144</v>
      </c>
      <c r="B6254" s="6">
        <v>102.59</v>
      </c>
      <c r="C6254" s="5"/>
      <c r="D6254" s="5"/>
    </row>
    <row r="6255" spans="1:4" ht="15.75" customHeight="1" thickBot="1" x14ac:dyDescent="0.3">
      <c r="A6255" s="8">
        <f ca="1"/>
        <v>43145</v>
      </c>
      <c r="B6255" s="6">
        <v>102.48</v>
      </c>
      <c r="C6255" s="5"/>
      <c r="D6255" s="5"/>
    </row>
    <row r="6256" spans="1:4" ht="15.75" customHeight="1" thickBot="1" x14ac:dyDescent="0.3">
      <c r="A6256" s="8">
        <f ca="1"/>
        <v>43146</v>
      </c>
      <c r="B6256" s="6">
        <v>105.34</v>
      </c>
      <c r="C6256" s="5"/>
      <c r="D6256" s="5"/>
    </row>
    <row r="6257" spans="1:4" ht="15.75" customHeight="1" thickBot="1" x14ac:dyDescent="0.3">
      <c r="A6257" s="8">
        <f ca="1"/>
        <v>43147</v>
      </c>
      <c r="B6257" s="6">
        <v>104.61</v>
      </c>
      <c r="C6257" s="5"/>
      <c r="D6257" s="5"/>
    </row>
    <row r="6258" spans="1:4" ht="15.75" customHeight="1" thickBot="1" x14ac:dyDescent="0.3">
      <c r="A6258" s="8">
        <f ca="1"/>
        <v>43148</v>
      </c>
      <c r="B6258" s="5">
        <f t="shared" ref="B6258:B6260" si="893">B6257</f>
        <v>104.61</v>
      </c>
      <c r="C6258" s="5"/>
      <c r="D6258" s="5"/>
    </row>
    <row r="6259" spans="1:4" ht="15.75" customHeight="1" thickBot="1" x14ac:dyDescent="0.3">
      <c r="A6259" s="8">
        <f ca="1"/>
        <v>43149</v>
      </c>
      <c r="B6259" s="5">
        <f t="shared" si="893"/>
        <v>104.61</v>
      </c>
      <c r="C6259" s="5"/>
      <c r="D6259" s="5"/>
    </row>
    <row r="6260" spans="1:4" ht="15.75" customHeight="1" thickBot="1" x14ac:dyDescent="0.3">
      <c r="A6260" s="8">
        <f ca="1"/>
        <v>43150</v>
      </c>
      <c r="B6260" s="5">
        <f t="shared" si="893"/>
        <v>104.61</v>
      </c>
      <c r="C6260" s="5"/>
      <c r="D6260" s="5"/>
    </row>
    <row r="6261" spans="1:4" ht="15.75" customHeight="1" thickBot="1" x14ac:dyDescent="0.3">
      <c r="A6261" s="8">
        <f ca="1"/>
        <v>43151</v>
      </c>
      <c r="B6261" s="6">
        <v>103.99</v>
      </c>
      <c r="C6261" s="5"/>
      <c r="D6261" s="5"/>
    </row>
    <row r="6262" spans="1:4" ht="15.75" customHeight="1" thickBot="1" x14ac:dyDescent="0.3">
      <c r="A6262" s="8">
        <f ca="1"/>
        <v>43152</v>
      </c>
      <c r="B6262" s="6">
        <v>104.13</v>
      </c>
      <c r="C6262" s="5"/>
      <c r="D6262" s="5"/>
    </row>
    <row r="6263" spans="1:4" ht="15.75" customHeight="1" thickBot="1" x14ac:dyDescent="0.3">
      <c r="A6263" s="8">
        <f ca="1"/>
        <v>43153</v>
      </c>
      <c r="B6263" s="6">
        <v>103.43</v>
      </c>
      <c r="C6263" s="5"/>
      <c r="D6263" s="5"/>
    </row>
    <row r="6264" spans="1:4" ht="15.75" customHeight="1" thickBot="1" x14ac:dyDescent="0.3">
      <c r="A6264" s="8">
        <f ca="1"/>
        <v>43154</v>
      </c>
      <c r="B6264" s="6">
        <v>103.96</v>
      </c>
      <c r="C6264" s="5"/>
      <c r="D6264" s="5"/>
    </row>
    <row r="6265" spans="1:4" ht="15.75" customHeight="1" thickBot="1" x14ac:dyDescent="0.3">
      <c r="A6265" s="8">
        <f ca="1"/>
        <v>43155</v>
      </c>
      <c r="B6265" s="5">
        <f t="shared" ref="B6265:B6266" si="894">B6264</f>
        <v>103.96</v>
      </c>
      <c r="C6265" s="5"/>
      <c r="D6265" s="5"/>
    </row>
    <row r="6266" spans="1:4" ht="15.75" customHeight="1" thickBot="1" x14ac:dyDescent="0.3">
      <c r="A6266" s="8">
        <f ca="1"/>
        <v>43156</v>
      </c>
      <c r="B6266" s="5">
        <f t="shared" si="894"/>
        <v>103.96</v>
      </c>
      <c r="C6266" s="5"/>
      <c r="D6266" s="5"/>
    </row>
    <row r="6267" spans="1:4" ht="15.75" customHeight="1" thickBot="1" x14ac:dyDescent="0.3">
      <c r="A6267" s="8">
        <f ca="1"/>
        <v>43157</v>
      </c>
      <c r="B6267" s="6">
        <v>104.31</v>
      </c>
      <c r="C6267" s="5"/>
      <c r="D6267" s="5"/>
    </row>
    <row r="6268" spans="1:4" ht="15.75" customHeight="1" thickBot="1" x14ac:dyDescent="0.3">
      <c r="A6268" s="8">
        <f ca="1"/>
        <v>43158</v>
      </c>
      <c r="B6268" s="6">
        <v>105.45</v>
      </c>
      <c r="C6268" s="5"/>
      <c r="D6268" s="5"/>
    </row>
    <row r="6269" spans="1:4" ht="15.75" customHeight="1" thickBot="1" x14ac:dyDescent="0.3">
      <c r="A6269" s="8">
        <f ca="1"/>
        <v>43159</v>
      </c>
      <c r="B6269" s="6">
        <v>105.12</v>
      </c>
      <c r="C6269" s="5"/>
      <c r="D6269" s="5"/>
    </row>
    <row r="6270" spans="1:4" ht="15.75" customHeight="1" thickBot="1" x14ac:dyDescent="0.3">
      <c r="A6270" s="8">
        <f ca="1"/>
        <v>43160</v>
      </c>
      <c r="B6270" s="6">
        <v>102.82</v>
      </c>
      <c r="C6270" s="5"/>
      <c r="D6270" s="5"/>
    </row>
    <row r="6271" spans="1:4" ht="15.75" customHeight="1" thickBot="1" x14ac:dyDescent="0.3">
      <c r="A6271" s="8">
        <f ca="1"/>
        <v>43161</v>
      </c>
      <c r="B6271" s="6">
        <v>101.7</v>
      </c>
      <c r="C6271" s="5"/>
      <c r="D6271" s="5"/>
    </row>
    <row r="6272" spans="1:4" ht="15.75" customHeight="1" thickBot="1" x14ac:dyDescent="0.3">
      <c r="A6272" s="8">
        <f ca="1"/>
        <v>43162</v>
      </c>
      <c r="B6272" s="5">
        <f t="shared" ref="B6272:B6273" si="895">B6271</f>
        <v>101.7</v>
      </c>
      <c r="C6272" s="5"/>
      <c r="D6272" s="5"/>
    </row>
    <row r="6273" spans="1:4" ht="15.75" customHeight="1" thickBot="1" x14ac:dyDescent="0.3">
      <c r="A6273" s="8">
        <f ca="1"/>
        <v>43163</v>
      </c>
      <c r="B6273" s="5">
        <f t="shared" si="895"/>
        <v>101.7</v>
      </c>
      <c r="C6273" s="5"/>
      <c r="D6273" s="5"/>
    </row>
    <row r="6274" spans="1:4" ht="15.75" customHeight="1" thickBot="1" x14ac:dyDescent="0.3">
      <c r="A6274" s="8">
        <f ca="1"/>
        <v>43164</v>
      </c>
      <c r="B6274" s="6">
        <v>103.02</v>
      </c>
      <c r="C6274" s="5"/>
      <c r="D6274" s="5"/>
    </row>
    <row r="6275" spans="1:4" ht="15.75" customHeight="1" thickBot="1" x14ac:dyDescent="0.3">
      <c r="A6275" s="8">
        <f ca="1"/>
        <v>43165</v>
      </c>
      <c r="B6275" s="6">
        <v>105.12</v>
      </c>
      <c r="C6275" s="5"/>
      <c r="D6275" s="5"/>
    </row>
    <row r="6276" spans="1:4" ht="15.75" customHeight="1" thickBot="1" x14ac:dyDescent="0.3">
      <c r="A6276" s="8">
        <f ca="1"/>
        <v>43166</v>
      </c>
      <c r="B6276" s="6">
        <v>107.4</v>
      </c>
      <c r="C6276" s="5"/>
      <c r="D6276" s="5"/>
    </row>
    <row r="6277" spans="1:4" ht="15.75" customHeight="1" thickBot="1" x14ac:dyDescent="0.3">
      <c r="A6277" s="8">
        <f ca="1"/>
        <v>43167</v>
      </c>
      <c r="B6277" s="6">
        <v>108.46</v>
      </c>
      <c r="C6277" s="5"/>
      <c r="D6277" s="5"/>
    </row>
    <row r="6278" spans="1:4" ht="15.75" customHeight="1" thickBot="1" x14ac:dyDescent="0.3">
      <c r="A6278" s="8">
        <f ca="1"/>
        <v>43168</v>
      </c>
      <c r="B6278" s="6">
        <v>108.41</v>
      </c>
      <c r="C6278" s="5"/>
      <c r="D6278" s="5"/>
    </row>
    <row r="6279" spans="1:4" ht="15.75" customHeight="1" thickBot="1" x14ac:dyDescent="0.3">
      <c r="A6279" s="8">
        <f ca="1"/>
        <v>43169</v>
      </c>
      <c r="B6279" s="5">
        <f t="shared" ref="B6279:B6280" si="896">B6278</f>
        <v>108.41</v>
      </c>
      <c r="C6279" s="5"/>
      <c r="D6279" s="5"/>
    </row>
    <row r="6280" spans="1:4" ht="15.75" customHeight="1" thickBot="1" x14ac:dyDescent="0.3">
      <c r="A6280" s="8">
        <f ca="1"/>
        <v>43170</v>
      </c>
      <c r="B6280" s="5">
        <f t="shared" si="896"/>
        <v>108.41</v>
      </c>
      <c r="C6280" s="5"/>
      <c r="D6280" s="5"/>
    </row>
    <row r="6281" spans="1:4" ht="15.75" customHeight="1" thickBot="1" x14ac:dyDescent="0.3">
      <c r="A6281" s="8">
        <f ca="1"/>
        <v>43171</v>
      </c>
      <c r="B6281" s="6">
        <v>108.81</v>
      </c>
      <c r="C6281" s="5"/>
      <c r="D6281" s="5"/>
    </row>
    <row r="6282" spans="1:4" ht="15.75" customHeight="1" thickBot="1" x14ac:dyDescent="0.3">
      <c r="A6282" s="8">
        <f ca="1"/>
        <v>43172</v>
      </c>
      <c r="B6282" s="6">
        <v>109.48</v>
      </c>
      <c r="C6282" s="5"/>
      <c r="D6282" s="5"/>
    </row>
    <row r="6283" spans="1:4" ht="15.75" customHeight="1" thickBot="1" x14ac:dyDescent="0.3">
      <c r="A6283" s="8">
        <f ca="1"/>
        <v>43173</v>
      </c>
      <c r="B6283" s="6">
        <v>108.6</v>
      </c>
      <c r="C6283" s="5"/>
      <c r="D6283" s="5"/>
    </row>
    <row r="6284" spans="1:4" ht="15.75" customHeight="1" thickBot="1" x14ac:dyDescent="0.3">
      <c r="A6284" s="8">
        <f ca="1"/>
        <v>43174</v>
      </c>
      <c r="B6284" s="6">
        <v>108.3</v>
      </c>
      <c r="C6284" s="5"/>
      <c r="D6284" s="5"/>
    </row>
    <row r="6285" spans="1:4" ht="15.75" customHeight="1" thickBot="1" x14ac:dyDescent="0.3">
      <c r="A6285" s="8">
        <f ca="1"/>
        <v>43175</v>
      </c>
      <c r="B6285" s="6">
        <v>107.48</v>
      </c>
      <c r="C6285" s="5"/>
      <c r="D6285" s="5"/>
    </row>
    <row r="6286" spans="1:4" ht="15.75" customHeight="1" thickBot="1" x14ac:dyDescent="0.3">
      <c r="A6286" s="8">
        <f ca="1"/>
        <v>43176</v>
      </c>
      <c r="B6286" s="5">
        <f t="shared" ref="B6286:B6287" si="897">B6285</f>
        <v>107.48</v>
      </c>
      <c r="C6286" s="5"/>
      <c r="D6286" s="5"/>
    </row>
    <row r="6287" spans="1:4" ht="15.75" customHeight="1" thickBot="1" x14ac:dyDescent="0.3">
      <c r="A6287" s="7">
        <f ca="1"/>
        <v>43177</v>
      </c>
      <c r="B6287" s="5">
        <f t="shared" si="897"/>
        <v>107.48</v>
      </c>
    </row>
    <row r="6288" spans="1:4" ht="15.75" customHeight="1" thickBot="1" x14ac:dyDescent="0.3">
      <c r="A6288" s="7">
        <f ca="1"/>
        <v>43178</v>
      </c>
      <c r="B6288" s="6">
        <v>106.16</v>
      </c>
    </row>
    <row r="6289" spans="1:2" ht="15.75" customHeight="1" thickBot="1" x14ac:dyDescent="0.3">
      <c r="A6289" s="7">
        <f ca="1"/>
        <v>43179</v>
      </c>
      <c r="B6289" s="6">
        <v>104.1</v>
      </c>
    </row>
    <row r="6290" spans="1:2" ht="15.75" customHeight="1" thickBot="1" x14ac:dyDescent="0.3">
      <c r="A6290" s="7">
        <f ca="1"/>
        <v>43180</v>
      </c>
      <c r="B6290" s="6">
        <v>104.8</v>
      </c>
    </row>
    <row r="6291" spans="1:2" ht="15.75" customHeight="1" thickBot="1" x14ac:dyDescent="0.3">
      <c r="A6291" s="7">
        <f ca="1"/>
        <v>43181</v>
      </c>
      <c r="B6291" s="6">
        <v>104.72</v>
      </c>
    </row>
    <row r="6292" spans="1:2" ht="15.75" customHeight="1" thickBot="1" x14ac:dyDescent="0.3">
      <c r="A6292" s="7">
        <f ca="1"/>
        <v>43182</v>
      </c>
      <c r="B6292" s="6">
        <v>104.26</v>
      </c>
    </row>
    <row r="6293" spans="1:2" ht="15.75" customHeight="1" thickBot="1" x14ac:dyDescent="0.3">
      <c r="A6293" s="7">
        <f ca="1"/>
        <v>43183</v>
      </c>
      <c r="B6293" s="5">
        <f t="shared" ref="B6293:B6294" si="898">B6292</f>
        <v>104.26</v>
      </c>
    </row>
    <row r="6294" spans="1:2" ht="15.75" customHeight="1" thickBot="1" x14ac:dyDescent="0.3">
      <c r="A6294" s="7">
        <f ca="1"/>
        <v>43184</v>
      </c>
      <c r="B6294" s="5">
        <f t="shared" si="898"/>
        <v>104.26</v>
      </c>
    </row>
    <row r="6295" spans="1:2" ht="15.75" customHeight="1" thickBot="1" x14ac:dyDescent="0.3">
      <c r="A6295" s="7">
        <f ca="1"/>
        <v>43185</v>
      </c>
      <c r="B6295" s="6">
        <v>104.71</v>
      </c>
    </row>
    <row r="6296" spans="1:2" ht="15.75" customHeight="1" thickBot="1" x14ac:dyDescent="0.3">
      <c r="A6296" s="7">
        <f ca="1"/>
        <v>43186</v>
      </c>
      <c r="B6296" s="6">
        <v>104.9</v>
      </c>
    </row>
    <row r="6297" spans="1:2" ht="15.75" customHeight="1" thickBot="1" x14ac:dyDescent="0.3">
      <c r="A6297" s="7">
        <f ca="1"/>
        <v>43187</v>
      </c>
      <c r="B6297" s="6">
        <v>103.95</v>
      </c>
    </row>
    <row r="6298" spans="1:2" ht="15.75" customHeight="1" thickBot="1" x14ac:dyDescent="0.3">
      <c r="A6298" s="7">
        <f ca="1"/>
        <v>43188</v>
      </c>
      <c r="B6298" s="6">
        <v>104.73</v>
      </c>
    </row>
    <row r="6299" spans="1:2" ht="15.75" customHeight="1" thickBot="1" x14ac:dyDescent="0.3">
      <c r="A6299" s="7">
        <f ca="1"/>
        <v>43189</v>
      </c>
      <c r="B6299" s="5">
        <f t="shared" ref="B6299:B6301" si="899">B6298</f>
        <v>104.73</v>
      </c>
    </row>
    <row r="6300" spans="1:2" ht="15.75" customHeight="1" thickBot="1" x14ac:dyDescent="0.3">
      <c r="A6300" s="7">
        <f ca="1"/>
        <v>43190</v>
      </c>
      <c r="B6300" s="5">
        <f t="shared" si="899"/>
        <v>104.73</v>
      </c>
    </row>
    <row r="6301" spans="1:2" ht="15.75" customHeight="1" thickBot="1" x14ac:dyDescent="0.3">
      <c r="A6301" s="7">
        <f ca="1"/>
        <v>43191</v>
      </c>
      <c r="B6301" s="5">
        <f t="shared" si="899"/>
        <v>104.73</v>
      </c>
    </row>
    <row r="6302" spans="1:2" ht="15.75" customHeight="1" thickBot="1" x14ac:dyDescent="0.3">
      <c r="A6302" s="7">
        <f ca="1"/>
        <v>43192</v>
      </c>
      <c r="B6302" s="6">
        <v>105.08</v>
      </c>
    </row>
    <row r="6303" spans="1:2" ht="15.75" customHeight="1" thickBot="1" x14ac:dyDescent="0.3">
      <c r="A6303" s="7">
        <f ca="1"/>
        <v>43193</v>
      </c>
      <c r="B6303" s="6">
        <v>103.89</v>
      </c>
    </row>
    <row r="6304" spans="1:2" ht="15.75" customHeight="1" thickBot="1" x14ac:dyDescent="0.3">
      <c r="A6304" s="7">
        <f ca="1"/>
        <v>43194</v>
      </c>
      <c r="B6304" s="6">
        <v>102.37</v>
      </c>
    </row>
    <row r="6305" spans="1:2" ht="15.75" customHeight="1" thickBot="1" x14ac:dyDescent="0.3">
      <c r="A6305" s="7">
        <f ca="1"/>
        <v>43195</v>
      </c>
      <c r="B6305" s="6">
        <v>105.47</v>
      </c>
    </row>
    <row r="6306" spans="1:2" ht="15.75" customHeight="1" thickBot="1" x14ac:dyDescent="0.3">
      <c r="A6306" s="7">
        <f ca="1"/>
        <v>43196</v>
      </c>
      <c r="B6306" s="6">
        <v>105.84</v>
      </c>
    </row>
    <row r="6307" spans="1:2" ht="15.75" customHeight="1" thickBot="1" x14ac:dyDescent="0.3">
      <c r="A6307" s="7">
        <f ca="1"/>
        <v>43197</v>
      </c>
      <c r="B6307" s="5">
        <f t="shared" ref="B6307:B6308" si="900">B6306</f>
        <v>105.84</v>
      </c>
    </row>
    <row r="6308" spans="1:2" ht="15.75" customHeight="1" thickBot="1" x14ac:dyDescent="0.3">
      <c r="A6308" s="7">
        <f ca="1"/>
        <v>43198</v>
      </c>
      <c r="B6308" s="5">
        <f t="shared" si="900"/>
        <v>105.84</v>
      </c>
    </row>
    <row r="6309" spans="1:2" ht="15.75" customHeight="1" thickBot="1" x14ac:dyDescent="0.3">
      <c r="A6309" s="7">
        <f ca="1"/>
        <v>43199</v>
      </c>
      <c r="B6309" s="6">
        <v>107.95</v>
      </c>
    </row>
    <row r="6310" spans="1:2" ht="15.75" customHeight="1" thickBot="1" x14ac:dyDescent="0.3">
      <c r="A6310" s="7">
        <f ca="1"/>
        <v>43200</v>
      </c>
      <c r="B6310" s="6">
        <v>107.98</v>
      </c>
    </row>
    <row r="6311" spans="1:2" ht="15.75" customHeight="1" thickBot="1" x14ac:dyDescent="0.3">
      <c r="A6311" s="7">
        <f ca="1"/>
        <v>43201</v>
      </c>
      <c r="B6311" s="6">
        <v>107.31</v>
      </c>
    </row>
    <row r="6312" spans="1:2" ht="15.75" customHeight="1" thickBot="1" x14ac:dyDescent="0.3">
      <c r="A6312" s="7">
        <f ca="1"/>
        <v>43202</v>
      </c>
      <c r="B6312" s="6">
        <v>107.71</v>
      </c>
    </row>
    <row r="6313" spans="1:2" ht="15.75" customHeight="1" thickBot="1" x14ac:dyDescent="0.3">
      <c r="A6313" s="7">
        <f ca="1"/>
        <v>43203</v>
      </c>
      <c r="B6313" s="6">
        <v>108.54</v>
      </c>
    </row>
    <row r="6314" spans="1:2" ht="15.75" customHeight="1" thickBot="1" x14ac:dyDescent="0.3">
      <c r="A6314" s="7">
        <f ca="1"/>
        <v>43204</v>
      </c>
      <c r="B6314" s="5">
        <f t="shared" ref="B6314:B6315" si="901">B6313</f>
        <v>108.54</v>
      </c>
    </row>
    <row r="6315" spans="1:2" ht="15.75" customHeight="1" thickBot="1" x14ac:dyDescent="0.3">
      <c r="A6315" s="7">
        <f ca="1"/>
        <v>43205</v>
      </c>
      <c r="B6315" s="5">
        <f t="shared" si="901"/>
        <v>108.54</v>
      </c>
    </row>
    <row r="6316" spans="1:2" ht="15.75" customHeight="1" thickBot="1" x14ac:dyDescent="0.3">
      <c r="A6316" s="7">
        <f ca="1"/>
        <v>43206</v>
      </c>
      <c r="B6316" s="6">
        <v>108.39</v>
      </c>
    </row>
    <row r="6317" spans="1:2" ht="15.75" customHeight="1" thickBot="1" x14ac:dyDescent="0.3">
      <c r="A6317" s="7">
        <f ca="1"/>
        <v>43207</v>
      </c>
      <c r="B6317" s="6">
        <v>108.45</v>
      </c>
    </row>
    <row r="6318" spans="1:2" ht="15.75" customHeight="1" thickBot="1" x14ac:dyDescent="0.3">
      <c r="A6318" s="7">
        <f ca="1"/>
        <v>43208</v>
      </c>
      <c r="B6318" s="6">
        <v>109.58</v>
      </c>
    </row>
    <row r="6319" spans="1:2" ht="15.75" customHeight="1" thickBot="1" x14ac:dyDescent="0.3">
      <c r="A6319" s="7">
        <f ca="1"/>
        <v>43209</v>
      </c>
      <c r="B6319" s="6">
        <v>108.86</v>
      </c>
    </row>
    <row r="6320" spans="1:2" ht="15.75" customHeight="1" thickBot="1" x14ac:dyDescent="0.3">
      <c r="A6320" s="7">
        <f ca="1"/>
        <v>43210</v>
      </c>
      <c r="B6320" s="6">
        <v>106.8</v>
      </c>
    </row>
    <row r="6321" spans="1:2" ht="15.75" customHeight="1" thickBot="1" x14ac:dyDescent="0.3">
      <c r="A6321" s="7">
        <f ca="1"/>
        <v>43211</v>
      </c>
      <c r="B6321" s="5">
        <f t="shared" ref="B6321:B6322" si="902">B6320</f>
        <v>106.8</v>
      </c>
    </row>
    <row r="6322" spans="1:2" ht="15.75" customHeight="1" thickBot="1" x14ac:dyDescent="0.3">
      <c r="A6322" s="7">
        <f ca="1"/>
        <v>43212</v>
      </c>
      <c r="B6322" s="5">
        <f t="shared" si="902"/>
        <v>106.8</v>
      </c>
    </row>
    <row r="6323" spans="1:2" ht="15.75" customHeight="1" thickBot="1" x14ac:dyDescent="0.3">
      <c r="A6323" s="7">
        <f ca="1"/>
        <v>43213</v>
      </c>
      <c r="B6323" s="6">
        <v>106.45</v>
      </c>
    </row>
    <row r="6324" spans="1:2" ht="15.75" customHeight="1" thickBot="1" x14ac:dyDescent="0.3">
      <c r="A6324" s="7">
        <f ca="1"/>
        <v>43214</v>
      </c>
      <c r="B6324" s="6">
        <v>110.59</v>
      </c>
    </row>
    <row r="6325" spans="1:2" ht="15.75" customHeight="1" thickBot="1" x14ac:dyDescent="0.3">
      <c r="A6325" s="7">
        <f ca="1"/>
        <v>43215</v>
      </c>
      <c r="B6325" s="6">
        <v>108.58</v>
      </c>
    </row>
    <row r="6326" spans="1:2" ht="15.75" customHeight="1" thickBot="1" x14ac:dyDescent="0.3">
      <c r="A6326" s="7">
        <f ca="1"/>
        <v>43216</v>
      </c>
      <c r="B6326" s="6">
        <v>109.33</v>
      </c>
    </row>
    <row r="6327" spans="1:2" ht="15.75" customHeight="1" thickBot="1" x14ac:dyDescent="0.3">
      <c r="A6327" s="7">
        <f ca="1"/>
        <v>43217</v>
      </c>
      <c r="B6327" s="6">
        <v>111.38</v>
      </c>
    </row>
    <row r="6328" spans="1:2" ht="15.75" customHeight="1" thickBot="1" x14ac:dyDescent="0.3">
      <c r="A6328" s="7">
        <f ca="1"/>
        <v>43218</v>
      </c>
      <c r="B6328" s="5">
        <f t="shared" ref="B6328:B6329" si="903">B6327</f>
        <v>111.38</v>
      </c>
    </row>
    <row r="6329" spans="1:2" ht="15.75" customHeight="1" thickBot="1" x14ac:dyDescent="0.3">
      <c r="A6329" s="7">
        <f ca="1"/>
        <v>43219</v>
      </c>
      <c r="B6329" s="5">
        <f t="shared" si="903"/>
        <v>111.38</v>
      </c>
    </row>
    <row r="6330" spans="1:2" ht="15.75" customHeight="1" thickBot="1" x14ac:dyDescent="0.3">
      <c r="A6330" s="7">
        <f ca="1"/>
        <v>43220</v>
      </c>
      <c r="B6330" s="6">
        <v>110.74</v>
      </c>
    </row>
    <row r="6331" spans="1:2" ht="15.75" customHeight="1" thickBot="1" x14ac:dyDescent="0.3">
      <c r="A6331" s="7">
        <f ca="1"/>
        <v>43221</v>
      </c>
      <c r="B6331" s="6">
        <v>110.41</v>
      </c>
    </row>
    <row r="6332" spans="1:2" ht="15.75" customHeight="1" thickBot="1" x14ac:dyDescent="0.3">
      <c r="A6332" s="7">
        <f ca="1"/>
        <v>43222</v>
      </c>
      <c r="B6332" s="6">
        <v>112.52</v>
      </c>
    </row>
    <row r="6333" spans="1:2" ht="15.75" customHeight="1" thickBot="1" x14ac:dyDescent="0.3">
      <c r="A6333" s="7">
        <f ca="1"/>
        <v>43223</v>
      </c>
      <c r="B6333" s="6">
        <v>112.92</v>
      </c>
    </row>
    <row r="6334" spans="1:2" ht="15.75" customHeight="1" thickBot="1" x14ac:dyDescent="0.3">
      <c r="A6334" s="7">
        <f ca="1"/>
        <v>43224</v>
      </c>
      <c r="B6334" s="6">
        <v>112.62</v>
      </c>
    </row>
    <row r="6335" spans="1:2" ht="15.75" customHeight="1" thickBot="1" x14ac:dyDescent="0.3">
      <c r="A6335" s="7">
        <f ca="1"/>
        <v>43225</v>
      </c>
      <c r="B6335" s="5">
        <f t="shared" ref="B6335:B6336" si="904">B6334</f>
        <v>112.62</v>
      </c>
    </row>
    <row r="6336" spans="1:2" ht="15.75" customHeight="1" thickBot="1" x14ac:dyDescent="0.3">
      <c r="A6336" s="7">
        <f ca="1"/>
        <v>43226</v>
      </c>
      <c r="B6336" s="5">
        <f t="shared" si="904"/>
        <v>112.62</v>
      </c>
    </row>
    <row r="6337" spans="1:2" ht="15.75" customHeight="1" thickBot="1" x14ac:dyDescent="0.3">
      <c r="A6337" s="7">
        <f ca="1"/>
        <v>43227</v>
      </c>
      <c r="B6337" s="6">
        <v>114.35</v>
      </c>
    </row>
    <row r="6338" spans="1:2" ht="15.75" customHeight="1" thickBot="1" x14ac:dyDescent="0.3">
      <c r="A6338" s="7">
        <f ca="1"/>
        <v>43228</v>
      </c>
      <c r="B6338" s="6">
        <v>113.99</v>
      </c>
    </row>
    <row r="6339" spans="1:2" ht="15.75" customHeight="1" thickBot="1" x14ac:dyDescent="0.3">
      <c r="A6339" s="7">
        <f ca="1"/>
        <v>43229</v>
      </c>
      <c r="B6339" s="6">
        <v>114.73</v>
      </c>
    </row>
    <row r="6340" spans="1:2" ht="15.75" customHeight="1" thickBot="1" x14ac:dyDescent="0.3">
      <c r="A6340" s="7">
        <f ca="1"/>
        <v>43230</v>
      </c>
      <c r="B6340" s="6">
        <v>115.48</v>
      </c>
    </row>
    <row r="6341" spans="1:2" ht="15.75" customHeight="1" thickBot="1" x14ac:dyDescent="0.3">
      <c r="A6341" s="7">
        <f ca="1"/>
        <v>43231</v>
      </c>
      <c r="B6341" s="6">
        <v>115.92</v>
      </c>
    </row>
    <row r="6342" spans="1:2" ht="15.75" customHeight="1" thickBot="1" x14ac:dyDescent="0.3">
      <c r="A6342" s="7">
        <f ca="1"/>
        <v>43232</v>
      </c>
      <c r="B6342" s="5">
        <f t="shared" ref="B6342:B6343" si="905">B6341</f>
        <v>115.92</v>
      </c>
    </row>
    <row r="6343" spans="1:2" ht="15.75" customHeight="1" thickBot="1" x14ac:dyDescent="0.3">
      <c r="A6343" s="7">
        <f ca="1"/>
        <v>43233</v>
      </c>
      <c r="B6343" s="5">
        <f t="shared" si="905"/>
        <v>115.92</v>
      </c>
    </row>
    <row r="6344" spans="1:2" ht="15.75" customHeight="1" thickBot="1" x14ac:dyDescent="0.3">
      <c r="A6344" s="7">
        <f ca="1"/>
        <v>43234</v>
      </c>
      <c r="B6344" s="6">
        <v>115.95</v>
      </c>
    </row>
    <row r="6345" spans="1:2" ht="15.75" customHeight="1" thickBot="1" x14ac:dyDescent="0.3">
      <c r="A6345" s="7">
        <f ca="1"/>
        <v>43235</v>
      </c>
      <c r="B6345" s="6">
        <v>113.46</v>
      </c>
    </row>
    <row r="6346" spans="1:2" ht="15.75" customHeight="1" thickBot="1" x14ac:dyDescent="0.3">
      <c r="A6346" s="7">
        <f ca="1"/>
        <v>43236</v>
      </c>
      <c r="B6346" s="6">
        <v>113.65</v>
      </c>
    </row>
    <row r="6347" spans="1:2" ht="15.75" customHeight="1" thickBot="1" x14ac:dyDescent="0.3">
      <c r="A6347" s="7">
        <f ca="1"/>
        <v>43237</v>
      </c>
      <c r="B6347" s="6">
        <v>114.25</v>
      </c>
    </row>
    <row r="6348" spans="1:2" ht="15.75" customHeight="1" thickBot="1" x14ac:dyDescent="0.3">
      <c r="A6348" s="7">
        <f ca="1"/>
        <v>43238</v>
      </c>
      <c r="B6348" s="6">
        <v>112.49</v>
      </c>
    </row>
    <row r="6349" spans="1:2" ht="15.75" customHeight="1" thickBot="1" x14ac:dyDescent="0.3">
      <c r="A6349" s="7">
        <f ca="1"/>
        <v>43239</v>
      </c>
      <c r="B6349" s="5">
        <f t="shared" ref="B6349:B6350" si="906">B6348</f>
        <v>112.49</v>
      </c>
    </row>
    <row r="6350" spans="1:2" ht="15.75" customHeight="1" thickBot="1" x14ac:dyDescent="0.3">
      <c r="A6350" s="7">
        <f ca="1"/>
        <v>43240</v>
      </c>
      <c r="B6350" s="5">
        <f t="shared" si="906"/>
        <v>112.49</v>
      </c>
    </row>
    <row r="6351" spans="1:2" ht="15.75" customHeight="1" thickBot="1" x14ac:dyDescent="0.3">
      <c r="A6351" s="7">
        <f ca="1"/>
        <v>43241</v>
      </c>
      <c r="B6351" s="6">
        <v>114.19</v>
      </c>
    </row>
    <row r="6352" spans="1:2" ht="15.75" customHeight="1" thickBot="1" x14ac:dyDescent="0.3">
      <c r="A6352" s="7">
        <f ca="1"/>
        <v>43242</v>
      </c>
      <c r="B6352" s="6">
        <v>113.4</v>
      </c>
    </row>
    <row r="6353" spans="1:2" ht="15.75" customHeight="1" thickBot="1" x14ac:dyDescent="0.3">
      <c r="A6353" s="7">
        <f ca="1"/>
        <v>43243</v>
      </c>
      <c r="B6353" s="6">
        <v>112.02</v>
      </c>
    </row>
    <row r="6354" spans="1:2" ht="15.75" customHeight="1" thickBot="1" x14ac:dyDescent="0.3">
      <c r="A6354" s="7">
        <f ca="1"/>
        <v>43244</v>
      </c>
      <c r="B6354" s="6">
        <v>113.95</v>
      </c>
    </row>
    <row r="6355" spans="1:2" ht="15.75" customHeight="1" thickBot="1" x14ac:dyDescent="0.3">
      <c r="A6355" s="7">
        <f ca="1"/>
        <v>43245</v>
      </c>
      <c r="B6355" s="6">
        <v>113.68</v>
      </c>
    </row>
    <row r="6356" spans="1:2" ht="15.75" customHeight="1" thickBot="1" x14ac:dyDescent="0.3">
      <c r="A6356" s="7">
        <f ca="1"/>
        <v>43246</v>
      </c>
      <c r="B6356" s="5">
        <f t="shared" ref="B6356:B6358" si="907">B6355</f>
        <v>113.68</v>
      </c>
    </row>
    <row r="6357" spans="1:2" ht="15.75" customHeight="1" thickBot="1" x14ac:dyDescent="0.3">
      <c r="A6357" s="7">
        <f ca="1"/>
        <v>43247</v>
      </c>
      <c r="B6357" s="5">
        <f t="shared" si="907"/>
        <v>113.68</v>
      </c>
    </row>
    <row r="6358" spans="1:2" ht="15.75" customHeight="1" thickBot="1" x14ac:dyDescent="0.3">
      <c r="A6358" s="7">
        <f ca="1"/>
        <v>43248</v>
      </c>
      <c r="B6358" s="5">
        <f t="shared" si="907"/>
        <v>113.68</v>
      </c>
    </row>
    <row r="6359" spans="1:2" ht="15.75" customHeight="1" thickBot="1" x14ac:dyDescent="0.3">
      <c r="A6359" s="7">
        <f ca="1"/>
        <v>43249</v>
      </c>
      <c r="B6359" s="6">
        <v>110.67</v>
      </c>
    </row>
    <row r="6360" spans="1:2" ht="15.75" customHeight="1" thickBot="1" x14ac:dyDescent="0.3">
      <c r="A6360" s="7">
        <f ca="1"/>
        <v>43250</v>
      </c>
      <c r="B6360" s="6">
        <v>111.88</v>
      </c>
    </row>
    <row r="6361" spans="1:2" ht="15.75" customHeight="1" thickBot="1" x14ac:dyDescent="0.3">
      <c r="A6361" s="7">
        <f ca="1"/>
        <v>43251</v>
      </c>
      <c r="B6361" s="6">
        <v>112.68</v>
      </c>
    </row>
    <row r="6362" spans="1:2" ht="15.75" customHeight="1" thickBot="1" x14ac:dyDescent="0.3">
      <c r="A6362" s="7">
        <f ca="1"/>
        <v>43252</v>
      </c>
      <c r="B6362" s="6">
        <v>114.46</v>
      </c>
    </row>
    <row r="6363" spans="1:2" ht="15.75" customHeight="1" thickBot="1" x14ac:dyDescent="0.3">
      <c r="A6363" s="7">
        <f ca="1"/>
        <v>43253</v>
      </c>
      <c r="B6363" s="5">
        <f t="shared" ref="B6363:B6364" si="908">B6362</f>
        <v>114.46</v>
      </c>
    </row>
    <row r="6364" spans="1:2" ht="15.75" customHeight="1" thickBot="1" x14ac:dyDescent="0.3">
      <c r="A6364" s="7">
        <f ca="1"/>
        <v>43254</v>
      </c>
      <c r="B6364" s="5">
        <f t="shared" si="908"/>
        <v>114.46</v>
      </c>
    </row>
    <row r="6365" spans="1:2" ht="15.75" customHeight="1" thickBot="1" x14ac:dyDescent="0.3">
      <c r="A6365" s="7">
        <f ca="1"/>
        <v>43255</v>
      </c>
      <c r="B6365" s="6">
        <v>114.14</v>
      </c>
    </row>
    <row r="6366" spans="1:2" ht="15.75" customHeight="1" thickBot="1" x14ac:dyDescent="0.3">
      <c r="A6366" s="7">
        <f ca="1"/>
        <v>43256</v>
      </c>
      <c r="B6366" s="6">
        <v>116.17</v>
      </c>
    </row>
    <row r="6367" spans="1:2" ht="15.75" customHeight="1" thickBot="1" x14ac:dyDescent="0.3">
      <c r="A6367" s="7">
        <f ca="1"/>
        <v>43257</v>
      </c>
      <c r="B6367" s="6">
        <v>116.45</v>
      </c>
    </row>
    <row r="6368" spans="1:2" ht="15.75" customHeight="1" thickBot="1" x14ac:dyDescent="0.3">
      <c r="A6368" s="7">
        <f ca="1"/>
        <v>43258</v>
      </c>
      <c r="B6368" s="6">
        <v>117.89</v>
      </c>
    </row>
    <row r="6369" spans="1:2" ht="15.75" customHeight="1" thickBot="1" x14ac:dyDescent="0.3">
      <c r="A6369" s="7">
        <f ca="1"/>
        <v>43259</v>
      </c>
      <c r="B6369" s="6">
        <v>118.07</v>
      </c>
    </row>
    <row r="6370" spans="1:2" ht="15.75" customHeight="1" thickBot="1" x14ac:dyDescent="0.3">
      <c r="A6370" s="7">
        <f ca="1"/>
        <v>43260</v>
      </c>
      <c r="B6370" s="5">
        <f t="shared" ref="B6370:B6371" si="909">B6369</f>
        <v>118.07</v>
      </c>
    </row>
    <row r="6371" spans="1:2" ht="15.75" customHeight="1" thickBot="1" x14ac:dyDescent="0.3">
      <c r="A6371" s="7">
        <f ca="1"/>
        <v>43261</v>
      </c>
      <c r="B6371" s="5">
        <f t="shared" si="909"/>
        <v>118.07</v>
      </c>
    </row>
    <row r="6372" spans="1:2" ht="15.75" customHeight="1" thickBot="1" x14ac:dyDescent="0.3">
      <c r="A6372" s="7">
        <f ca="1"/>
        <v>43262</v>
      </c>
      <c r="B6372" s="6">
        <v>119.31</v>
      </c>
    </row>
    <row r="6373" spans="1:2" ht="15.75" customHeight="1" thickBot="1" x14ac:dyDescent="0.3">
      <c r="A6373" s="7">
        <f ca="1"/>
        <v>43263</v>
      </c>
      <c r="B6373" s="6">
        <v>120.58</v>
      </c>
    </row>
    <row r="6374" spans="1:2" ht="15.75" customHeight="1" thickBot="1" x14ac:dyDescent="0.3">
      <c r="A6374" s="7">
        <f ca="1"/>
        <v>43264</v>
      </c>
      <c r="B6374" s="6">
        <v>120.98</v>
      </c>
    </row>
    <row r="6375" spans="1:2" ht="15.75" customHeight="1" thickBot="1" x14ac:dyDescent="0.3">
      <c r="A6375" s="7">
        <f ca="1"/>
        <v>43265</v>
      </c>
      <c r="B6375" s="6">
        <v>120.66</v>
      </c>
    </row>
    <row r="6376" spans="1:2" ht="15.75" customHeight="1" thickBot="1" x14ac:dyDescent="0.3">
      <c r="A6376" s="7">
        <f ca="1"/>
        <v>43266</v>
      </c>
      <c r="B6376" s="6">
        <v>121.02</v>
      </c>
    </row>
    <row r="6377" spans="1:2" ht="15.75" customHeight="1" thickBot="1" x14ac:dyDescent="0.3">
      <c r="A6377" s="7">
        <f ca="1"/>
        <v>43267</v>
      </c>
      <c r="B6377" s="5">
        <f t="shared" ref="B6377:B6378" si="910">B6376</f>
        <v>121.02</v>
      </c>
    </row>
    <row r="6378" spans="1:2" ht="15.75" customHeight="1" thickBot="1" x14ac:dyDescent="0.3">
      <c r="A6378" s="7">
        <f ca="1"/>
        <v>43268</v>
      </c>
      <c r="B6378" s="5">
        <f t="shared" si="910"/>
        <v>121.02</v>
      </c>
    </row>
    <row r="6379" spans="1:2" ht="15.75" customHeight="1" thickBot="1" x14ac:dyDescent="0.3">
      <c r="A6379" s="7">
        <f ca="1"/>
        <v>43269</v>
      </c>
      <c r="B6379" s="6">
        <v>118.46</v>
      </c>
    </row>
    <row r="6380" spans="1:2" ht="15.75" customHeight="1" thickBot="1" x14ac:dyDescent="0.3">
      <c r="A6380" s="7">
        <f ca="1"/>
        <v>43270</v>
      </c>
      <c r="B6380" s="6">
        <v>116.72</v>
      </c>
    </row>
    <row r="6381" spans="1:2" ht="15.75" customHeight="1" thickBot="1" x14ac:dyDescent="0.3">
      <c r="A6381" s="7">
        <f ca="1"/>
        <v>43271</v>
      </c>
      <c r="B6381" s="6">
        <v>118.74</v>
      </c>
    </row>
    <row r="6382" spans="1:2" ht="15.75" customHeight="1" thickBot="1" x14ac:dyDescent="0.3">
      <c r="A6382" s="7">
        <f ca="1"/>
        <v>43272</v>
      </c>
      <c r="B6382" s="6">
        <v>119.04</v>
      </c>
    </row>
    <row r="6383" spans="1:2" ht="15.75" customHeight="1" thickBot="1" x14ac:dyDescent="0.3">
      <c r="A6383" s="7">
        <f ca="1"/>
        <v>43273</v>
      </c>
      <c r="B6383" s="6">
        <v>117.66</v>
      </c>
    </row>
    <row r="6384" spans="1:2" ht="15.75" customHeight="1" thickBot="1" x14ac:dyDescent="0.3">
      <c r="A6384" s="7">
        <f ca="1"/>
        <v>43274</v>
      </c>
      <c r="B6384" s="5">
        <f t="shared" ref="B6384:B6385" si="911">B6383</f>
        <v>117.66</v>
      </c>
    </row>
    <row r="6385" spans="1:2" ht="15.75" customHeight="1" thickBot="1" x14ac:dyDescent="0.3">
      <c r="A6385" s="7">
        <f ca="1"/>
        <v>43275</v>
      </c>
      <c r="B6385" s="5">
        <f t="shared" si="911"/>
        <v>117.66</v>
      </c>
    </row>
    <row r="6386" spans="1:2" ht="15.75" customHeight="1" thickBot="1" x14ac:dyDescent="0.3">
      <c r="A6386" s="7">
        <f ca="1"/>
        <v>43276</v>
      </c>
      <c r="B6386" s="6">
        <v>116.34</v>
      </c>
    </row>
    <row r="6387" spans="1:2" ht="15.75" customHeight="1" thickBot="1" x14ac:dyDescent="0.3">
      <c r="A6387" s="7">
        <f ca="1"/>
        <v>43277</v>
      </c>
      <c r="B6387" s="6">
        <v>115.61</v>
      </c>
    </row>
    <row r="6388" spans="1:2" ht="15.75" customHeight="1" thickBot="1" x14ac:dyDescent="0.3">
      <c r="A6388" s="7">
        <f ca="1"/>
        <v>43278</v>
      </c>
      <c r="B6388" s="6">
        <v>116.01</v>
      </c>
    </row>
    <row r="6389" spans="1:2" ht="15.75" customHeight="1" thickBot="1" x14ac:dyDescent="0.3">
      <c r="A6389" s="7">
        <f ca="1"/>
        <v>43279</v>
      </c>
      <c r="B6389" s="6">
        <v>112.26</v>
      </c>
    </row>
    <row r="6390" spans="1:2" ht="15.75" customHeight="1" thickBot="1" x14ac:dyDescent="0.3">
      <c r="A6390" s="7">
        <f ca="1"/>
        <v>43280</v>
      </c>
      <c r="B6390" s="6">
        <v>115.02</v>
      </c>
    </row>
    <row r="6391" spans="1:2" ht="15.75" customHeight="1" thickBot="1" x14ac:dyDescent="0.3">
      <c r="A6391" s="7">
        <f ca="1"/>
        <v>43281</v>
      </c>
      <c r="B6391" s="5">
        <f t="shared" ref="B6391:B6392" si="912">B6390</f>
        <v>115.02</v>
      </c>
    </row>
    <row r="6392" spans="1:2" ht="15.75" customHeight="1" thickBot="1" x14ac:dyDescent="0.3">
      <c r="A6392" s="7">
        <f ca="1"/>
        <v>43282</v>
      </c>
      <c r="B6392" s="5">
        <f t="shared" si="912"/>
        <v>115.02</v>
      </c>
    </row>
    <row r="6393" spans="1:2" ht="15.75" customHeight="1" thickBot="1" x14ac:dyDescent="0.3">
      <c r="A6393" s="7">
        <f ca="1"/>
        <v>43283</v>
      </c>
      <c r="B6393" s="6">
        <v>113.59</v>
      </c>
    </row>
    <row r="6394" spans="1:2" ht="15.75" customHeight="1" thickBot="1" x14ac:dyDescent="0.3">
      <c r="A6394" s="7">
        <f ca="1"/>
        <v>43284</v>
      </c>
      <c r="B6394" s="6">
        <v>115.95</v>
      </c>
    </row>
    <row r="6395" spans="1:2" ht="15.75" customHeight="1" thickBot="1" x14ac:dyDescent="0.3">
      <c r="A6395" s="7">
        <f ca="1"/>
        <v>43285</v>
      </c>
      <c r="B6395" s="5">
        <f>B6394</f>
        <v>115.95</v>
      </c>
    </row>
    <row r="6396" spans="1:2" ht="15.75" customHeight="1" thickBot="1" x14ac:dyDescent="0.3">
      <c r="A6396" s="7">
        <f ca="1"/>
        <v>43286</v>
      </c>
      <c r="B6396" s="6">
        <v>115.63</v>
      </c>
    </row>
    <row r="6397" spans="1:2" ht="15.75" customHeight="1" thickBot="1" x14ac:dyDescent="0.3">
      <c r="A6397" s="7">
        <f ca="1"/>
        <v>43287</v>
      </c>
      <c r="B6397" s="6">
        <v>116.48</v>
      </c>
    </row>
    <row r="6398" spans="1:2" ht="15.75" customHeight="1" thickBot="1" x14ac:dyDescent="0.3">
      <c r="A6398" s="7">
        <f ca="1"/>
        <v>43288</v>
      </c>
      <c r="B6398" s="5">
        <f t="shared" ref="B6398:B6399" si="913">B6397</f>
        <v>116.48</v>
      </c>
    </row>
    <row r="6399" spans="1:2" ht="15.75" customHeight="1" thickBot="1" x14ac:dyDescent="0.3">
      <c r="A6399" s="7">
        <f ca="1"/>
        <v>43289</v>
      </c>
      <c r="B6399" s="5">
        <f t="shared" si="913"/>
        <v>116.48</v>
      </c>
    </row>
    <row r="6400" spans="1:2" ht="15.75" customHeight="1" thickBot="1" x14ac:dyDescent="0.3">
      <c r="A6400" s="7">
        <f ca="1"/>
        <v>43290</v>
      </c>
      <c r="B6400" s="6">
        <v>119.45</v>
      </c>
    </row>
    <row r="6401" spans="1:2" ht="15.75" customHeight="1" thickBot="1" x14ac:dyDescent="0.3">
      <c r="A6401" s="7">
        <f ca="1"/>
        <v>43291</v>
      </c>
      <c r="B6401" s="6">
        <v>119.26</v>
      </c>
    </row>
    <row r="6402" spans="1:2" ht="15.75" customHeight="1" thickBot="1" x14ac:dyDescent="0.3">
      <c r="A6402" s="7">
        <f ca="1"/>
        <v>43292</v>
      </c>
      <c r="B6402" s="6">
        <v>117.62</v>
      </c>
    </row>
    <row r="6403" spans="1:2" ht="15.75" customHeight="1" thickBot="1" x14ac:dyDescent="0.3">
      <c r="A6403" s="7">
        <f ca="1"/>
        <v>43293</v>
      </c>
      <c r="B6403" s="6">
        <v>118.11</v>
      </c>
    </row>
    <row r="6404" spans="1:2" ht="15.75" customHeight="1" thickBot="1" x14ac:dyDescent="0.3">
      <c r="A6404" s="7">
        <f ca="1"/>
        <v>43294</v>
      </c>
      <c r="B6404" s="6">
        <v>119.48</v>
      </c>
    </row>
    <row r="6405" spans="1:2" ht="15.75" customHeight="1" thickBot="1" x14ac:dyDescent="0.3">
      <c r="A6405" s="7">
        <f ca="1"/>
        <v>43295</v>
      </c>
      <c r="B6405" s="5">
        <f t="shared" ref="B6405:B6406" si="914">B6404</f>
        <v>119.48</v>
      </c>
    </row>
    <row r="6406" spans="1:2" ht="15.75" customHeight="1" thickBot="1" x14ac:dyDescent="0.3">
      <c r="A6406" s="7">
        <f ca="1"/>
        <v>43296</v>
      </c>
      <c r="B6406" s="5">
        <f t="shared" si="914"/>
        <v>119.48</v>
      </c>
    </row>
    <row r="6407" spans="1:2" ht="15.75" customHeight="1" thickBot="1" x14ac:dyDescent="0.3">
      <c r="A6407" s="7">
        <f ca="1"/>
        <v>43297</v>
      </c>
      <c r="B6407" s="6">
        <v>120.07</v>
      </c>
    </row>
    <row r="6408" spans="1:2" ht="15.75" customHeight="1" thickBot="1" x14ac:dyDescent="0.3">
      <c r="A6408" s="7">
        <f ca="1"/>
        <v>43298</v>
      </c>
      <c r="B6408" s="6">
        <v>119.72</v>
      </c>
    </row>
    <row r="6409" spans="1:2" ht="15.75" customHeight="1" thickBot="1" x14ac:dyDescent="0.3">
      <c r="A6409" s="7">
        <f ca="1"/>
        <v>43299</v>
      </c>
      <c r="B6409" s="6">
        <v>121.65</v>
      </c>
    </row>
    <row r="6410" spans="1:2" ht="15.75" customHeight="1" thickBot="1" x14ac:dyDescent="0.3">
      <c r="A6410" s="7">
        <f ca="1"/>
        <v>43300</v>
      </c>
      <c r="B6410" s="6">
        <v>118.08</v>
      </c>
    </row>
    <row r="6411" spans="1:2" ht="15.75" customHeight="1" thickBot="1" x14ac:dyDescent="0.3">
      <c r="A6411" s="7">
        <f ca="1"/>
        <v>43301</v>
      </c>
      <c r="B6411" s="6">
        <v>117.05</v>
      </c>
    </row>
    <row r="6412" spans="1:2" ht="15.75" customHeight="1" thickBot="1" x14ac:dyDescent="0.3">
      <c r="A6412" s="7">
        <f ca="1"/>
        <v>43302</v>
      </c>
      <c r="B6412" s="5">
        <f t="shared" ref="B6412:B6413" si="915">B6411</f>
        <v>117.05</v>
      </c>
    </row>
    <row r="6413" spans="1:2" ht="15.75" customHeight="1" thickBot="1" x14ac:dyDescent="0.3">
      <c r="A6413" s="7">
        <f ca="1"/>
        <v>43303</v>
      </c>
      <c r="B6413" s="5">
        <f t="shared" si="915"/>
        <v>117.05</v>
      </c>
    </row>
    <row r="6414" spans="1:2" ht="15.75" customHeight="1" thickBot="1" x14ac:dyDescent="0.3">
      <c r="A6414" s="7">
        <f ca="1"/>
        <v>43304</v>
      </c>
      <c r="B6414" s="6">
        <v>117.14</v>
      </c>
    </row>
    <row r="6415" spans="1:2" ht="15.75" customHeight="1" thickBot="1" x14ac:dyDescent="0.3">
      <c r="A6415" s="7">
        <f ca="1"/>
        <v>43305</v>
      </c>
      <c r="B6415" s="6">
        <v>118.6</v>
      </c>
    </row>
    <row r="6416" spans="1:2" ht="15.75" customHeight="1" thickBot="1" x14ac:dyDescent="0.3">
      <c r="A6416" s="7">
        <f ca="1"/>
        <v>43306</v>
      </c>
      <c r="B6416" s="6">
        <v>118.11</v>
      </c>
    </row>
    <row r="6417" spans="1:2" ht="15.75" customHeight="1" thickBot="1" x14ac:dyDescent="0.3">
      <c r="A6417" s="7">
        <f ca="1"/>
        <v>43307</v>
      </c>
      <c r="B6417" s="6">
        <v>119.57</v>
      </c>
    </row>
    <row r="6418" spans="1:2" ht="15.75" customHeight="1" thickBot="1" x14ac:dyDescent="0.3">
      <c r="A6418" s="7">
        <f ca="1"/>
        <v>43308</v>
      </c>
      <c r="B6418" s="6">
        <v>120.94</v>
      </c>
    </row>
    <row r="6419" spans="1:2" ht="15.75" customHeight="1" thickBot="1" x14ac:dyDescent="0.3">
      <c r="A6419" s="7">
        <f ca="1"/>
        <v>43309</v>
      </c>
      <c r="B6419" s="5">
        <f t="shared" ref="B6419:B6420" si="916">B6418</f>
        <v>120.94</v>
      </c>
    </row>
    <row r="6420" spans="1:2" ht="15.75" customHeight="1" thickBot="1" x14ac:dyDescent="0.3">
      <c r="A6420" s="7">
        <f ca="1"/>
        <v>43310</v>
      </c>
      <c r="B6420" s="5">
        <f t="shared" si="916"/>
        <v>120.94</v>
      </c>
    </row>
    <row r="6421" spans="1:2" ht="15.75" customHeight="1" thickBot="1" x14ac:dyDescent="0.3">
      <c r="A6421" s="7">
        <f ca="1"/>
        <v>43311</v>
      </c>
      <c r="B6421" s="6">
        <v>119.02</v>
      </c>
    </row>
    <row r="6422" spans="1:2" ht="15.75" customHeight="1" thickBot="1" x14ac:dyDescent="0.3">
      <c r="A6422" s="7">
        <f ca="1"/>
        <v>43312</v>
      </c>
      <c r="B6422" s="6">
        <v>116.89</v>
      </c>
    </row>
    <row r="6423" spans="1:2" ht="15.75" customHeight="1" thickBot="1" x14ac:dyDescent="0.3">
      <c r="A6423" s="7">
        <f ca="1"/>
        <v>43313</v>
      </c>
      <c r="B6423" s="6">
        <v>116.33</v>
      </c>
    </row>
    <row r="6424" spans="1:2" ht="15.75" customHeight="1" thickBot="1" x14ac:dyDescent="0.3">
      <c r="A6424" s="7">
        <f ca="1"/>
        <v>43314</v>
      </c>
      <c r="B6424" s="6">
        <v>114.88</v>
      </c>
    </row>
    <row r="6425" spans="1:2" ht="15.75" customHeight="1" thickBot="1" x14ac:dyDescent="0.3">
      <c r="A6425" s="7">
        <f ca="1"/>
        <v>43315</v>
      </c>
      <c r="B6425" s="6">
        <v>115.49</v>
      </c>
    </row>
    <row r="6426" spans="1:2" ht="15.75" customHeight="1" thickBot="1" x14ac:dyDescent="0.3">
      <c r="A6426" s="7">
        <f ca="1"/>
        <v>43316</v>
      </c>
      <c r="B6426" s="5">
        <f t="shared" ref="B6426:B6427" si="917">B6425</f>
        <v>115.49</v>
      </c>
    </row>
    <row r="6427" spans="1:2" ht="15.75" customHeight="1" thickBot="1" x14ac:dyDescent="0.3">
      <c r="A6427" s="7">
        <f ca="1"/>
        <v>43317</v>
      </c>
      <c r="B6427" s="5">
        <f t="shared" si="917"/>
        <v>115.49</v>
      </c>
    </row>
    <row r="6428" spans="1:2" ht="15.75" customHeight="1" thickBot="1" x14ac:dyDescent="0.3">
      <c r="A6428" s="7">
        <f ca="1"/>
        <v>43318</v>
      </c>
      <c r="B6428" s="6">
        <v>115</v>
      </c>
    </row>
    <row r="6429" spans="1:2" ht="15.75" customHeight="1" thickBot="1" x14ac:dyDescent="0.3">
      <c r="A6429" s="7">
        <f ca="1"/>
        <v>43319</v>
      </c>
      <c r="B6429" s="6">
        <v>115.98</v>
      </c>
    </row>
    <row r="6430" spans="1:2" ht="15.75" customHeight="1" thickBot="1" x14ac:dyDescent="0.3">
      <c r="A6430" s="7">
        <f ca="1"/>
        <v>43320</v>
      </c>
      <c r="B6430" s="6">
        <v>116.02</v>
      </c>
    </row>
    <row r="6431" spans="1:2" ht="15.75" customHeight="1" thickBot="1" x14ac:dyDescent="0.3">
      <c r="A6431" s="7">
        <f ca="1"/>
        <v>43321</v>
      </c>
      <c r="B6431" s="6">
        <v>116.29</v>
      </c>
    </row>
    <row r="6432" spans="1:2" ht="15.75" customHeight="1" thickBot="1" x14ac:dyDescent="0.3">
      <c r="A6432" s="7">
        <f ca="1"/>
        <v>43322</v>
      </c>
      <c r="B6432" s="6">
        <v>112.26</v>
      </c>
    </row>
    <row r="6433" spans="1:2" ht="15.75" customHeight="1" thickBot="1" x14ac:dyDescent="0.3">
      <c r="A6433" s="7">
        <f ca="1"/>
        <v>43323</v>
      </c>
      <c r="B6433" s="5">
        <f t="shared" ref="B6433:B6434" si="918">B6432</f>
        <v>112.26</v>
      </c>
    </row>
    <row r="6434" spans="1:2" ht="15.75" customHeight="1" thickBot="1" x14ac:dyDescent="0.3">
      <c r="A6434" s="7">
        <f ca="1"/>
        <v>43324</v>
      </c>
      <c r="B6434" s="5">
        <f t="shared" si="918"/>
        <v>112.26</v>
      </c>
    </row>
    <row r="6435" spans="1:2" ht="15.75" customHeight="1" thickBot="1" x14ac:dyDescent="0.3">
      <c r="A6435" s="7">
        <f ca="1"/>
        <v>43325</v>
      </c>
      <c r="B6435" s="6">
        <v>114.47</v>
      </c>
    </row>
    <row r="6436" spans="1:2" ht="15.75" customHeight="1" thickBot="1" x14ac:dyDescent="0.3">
      <c r="A6436" s="7">
        <f ca="1"/>
        <v>43326</v>
      </c>
      <c r="B6436" s="6">
        <v>114.52</v>
      </c>
    </row>
    <row r="6437" spans="1:2" ht="15.75" customHeight="1" thickBot="1" x14ac:dyDescent="0.3">
      <c r="A6437" s="7">
        <f ca="1"/>
        <v>43327</v>
      </c>
      <c r="B6437" s="6">
        <v>112.88</v>
      </c>
    </row>
    <row r="6438" spans="1:2" ht="15.75" customHeight="1" thickBot="1" x14ac:dyDescent="0.3">
      <c r="A6438" s="7">
        <f ca="1"/>
        <v>43328</v>
      </c>
      <c r="B6438" s="6">
        <v>115.54</v>
      </c>
    </row>
    <row r="6439" spans="1:2" ht="15.75" customHeight="1" thickBot="1" x14ac:dyDescent="0.3">
      <c r="A6439" s="7">
        <f ca="1"/>
        <v>43329</v>
      </c>
      <c r="B6439" s="6">
        <v>115.48</v>
      </c>
    </row>
    <row r="6440" spans="1:2" ht="15.75" customHeight="1" thickBot="1" x14ac:dyDescent="0.3">
      <c r="A6440" s="7">
        <f ca="1"/>
        <v>43330</v>
      </c>
      <c r="B6440" s="5">
        <f t="shared" ref="B6440:B6441" si="919">B6439</f>
        <v>115.48</v>
      </c>
    </row>
    <row r="6441" spans="1:2" ht="15.75" customHeight="1" thickBot="1" x14ac:dyDescent="0.3">
      <c r="A6441" s="7">
        <f ca="1"/>
        <v>43331</v>
      </c>
      <c r="B6441" s="5">
        <f t="shared" si="919"/>
        <v>115.48</v>
      </c>
    </row>
    <row r="6442" spans="1:2" ht="15.75" customHeight="1" thickBot="1" x14ac:dyDescent="0.3">
      <c r="A6442" s="7">
        <f ca="1"/>
        <v>43332</v>
      </c>
      <c r="B6442" s="6">
        <v>117.73</v>
      </c>
    </row>
    <row r="6443" spans="1:2" ht="15.75" customHeight="1" thickBot="1" x14ac:dyDescent="0.3">
      <c r="A6443" s="7">
        <f ca="1"/>
        <v>43333</v>
      </c>
      <c r="B6443" s="6">
        <v>118.15</v>
      </c>
    </row>
    <row r="6444" spans="1:2" ht="15.75" customHeight="1" thickBot="1" x14ac:dyDescent="0.3">
      <c r="A6444" s="7">
        <f ca="1"/>
        <v>43334</v>
      </c>
      <c r="B6444" s="6">
        <v>119.06</v>
      </c>
    </row>
    <row r="6445" spans="1:2" ht="15.75" customHeight="1" thickBot="1" x14ac:dyDescent="0.3">
      <c r="A6445" s="7">
        <f ca="1"/>
        <v>43335</v>
      </c>
      <c r="B6445" s="6">
        <v>119.74</v>
      </c>
    </row>
    <row r="6446" spans="1:2" ht="15.75" customHeight="1" thickBot="1" x14ac:dyDescent="0.3">
      <c r="A6446" s="7">
        <f ca="1"/>
        <v>43336</v>
      </c>
      <c r="B6446" s="6">
        <v>120.25</v>
      </c>
    </row>
    <row r="6447" spans="1:2" ht="15.75" customHeight="1" thickBot="1" x14ac:dyDescent="0.3">
      <c r="A6447" s="7">
        <f ca="1"/>
        <v>43337</v>
      </c>
      <c r="B6447" s="5">
        <f t="shared" ref="B6447:B6448" si="920">B6446</f>
        <v>120.25</v>
      </c>
    </row>
    <row r="6448" spans="1:2" ht="15.75" customHeight="1" thickBot="1" x14ac:dyDescent="0.3">
      <c r="A6448" s="7">
        <f ca="1"/>
        <v>43338</v>
      </c>
      <c r="B6448" s="5">
        <f t="shared" si="920"/>
        <v>120.25</v>
      </c>
    </row>
    <row r="6449" spans="1:2" ht="15.75" customHeight="1" thickBot="1" x14ac:dyDescent="0.3">
      <c r="A6449" s="7">
        <f ca="1"/>
        <v>43339</v>
      </c>
      <c r="B6449" s="6">
        <v>121.67</v>
      </c>
    </row>
    <row r="6450" spans="1:2" ht="15.75" customHeight="1" thickBot="1" x14ac:dyDescent="0.3">
      <c r="A6450" s="7">
        <f ca="1"/>
        <v>43340</v>
      </c>
      <c r="B6450" s="6">
        <v>122.5</v>
      </c>
    </row>
    <row r="6451" spans="1:2" ht="15.75" customHeight="1" thickBot="1" x14ac:dyDescent="0.3">
      <c r="A6451" s="7">
        <f ca="1"/>
        <v>43341</v>
      </c>
      <c r="B6451" s="6">
        <v>122.1</v>
      </c>
    </row>
    <row r="6452" spans="1:2" ht="15.75" customHeight="1" thickBot="1" x14ac:dyDescent="0.3">
      <c r="A6452" s="7">
        <f ca="1"/>
        <v>43342</v>
      </c>
      <c r="B6452" s="6">
        <v>121.07</v>
      </c>
    </row>
    <row r="6453" spans="1:2" ht="15.75" customHeight="1" thickBot="1" x14ac:dyDescent="0.3">
      <c r="A6453" s="7">
        <f ca="1"/>
        <v>43343</v>
      </c>
      <c r="B6453" s="6">
        <v>120.11</v>
      </c>
    </row>
    <row r="6454" spans="1:2" ht="15.75" customHeight="1" thickBot="1" x14ac:dyDescent="0.3">
      <c r="A6454" s="7">
        <f ca="1"/>
        <v>43344</v>
      </c>
      <c r="B6454" s="5">
        <f t="shared" ref="B6454:B6456" si="921">B6453</f>
        <v>120.11</v>
      </c>
    </row>
    <row r="6455" spans="1:2" ht="15.75" customHeight="1" thickBot="1" x14ac:dyDescent="0.3">
      <c r="A6455" s="7">
        <f ca="1"/>
        <v>43345</v>
      </c>
      <c r="B6455" s="5">
        <f t="shared" si="921"/>
        <v>120.11</v>
      </c>
    </row>
    <row r="6456" spans="1:2" ht="15.75" customHeight="1" thickBot="1" x14ac:dyDescent="0.3">
      <c r="A6456" s="7">
        <f ca="1"/>
        <v>43346</v>
      </c>
      <c r="B6456" s="5">
        <f t="shared" si="921"/>
        <v>120.11</v>
      </c>
    </row>
    <row r="6457" spans="1:2" ht="15.75" customHeight="1" thickBot="1" x14ac:dyDescent="0.3">
      <c r="A6457" s="7">
        <f ca="1"/>
        <v>43347</v>
      </c>
      <c r="B6457" s="6">
        <v>117.76</v>
      </c>
    </row>
    <row r="6458" spans="1:2" ht="15.75" customHeight="1" thickBot="1" x14ac:dyDescent="0.3">
      <c r="A6458" s="7">
        <f ca="1"/>
        <v>43348</v>
      </c>
      <c r="B6458" s="6">
        <v>117.32</v>
      </c>
    </row>
    <row r="6459" spans="1:2" ht="15.75" customHeight="1" thickBot="1" x14ac:dyDescent="0.3">
      <c r="A6459" s="7">
        <f ca="1"/>
        <v>43349</v>
      </c>
      <c r="B6459" s="6">
        <v>115.96</v>
      </c>
    </row>
    <row r="6460" spans="1:2" ht="15.75" customHeight="1" thickBot="1" x14ac:dyDescent="0.3">
      <c r="A6460" s="7">
        <f ca="1"/>
        <v>43350</v>
      </c>
      <c r="B6460" s="6">
        <v>115.55</v>
      </c>
    </row>
    <row r="6461" spans="1:2" ht="15.75" customHeight="1" thickBot="1" x14ac:dyDescent="0.3">
      <c r="A6461" s="7">
        <f ca="1"/>
        <v>43351</v>
      </c>
      <c r="B6461" s="5">
        <f t="shared" ref="B6461:B6462" si="922">B6460</f>
        <v>115.55</v>
      </c>
    </row>
    <row r="6462" spans="1:2" ht="15.75" customHeight="1" thickBot="1" x14ac:dyDescent="0.3">
      <c r="A6462" s="7">
        <f ca="1"/>
        <v>43352</v>
      </c>
      <c r="B6462" s="5">
        <f t="shared" si="922"/>
        <v>115.55</v>
      </c>
    </row>
    <row r="6463" spans="1:2" ht="15.75" customHeight="1" thickBot="1" x14ac:dyDescent="0.3">
      <c r="A6463" s="7">
        <f ca="1"/>
        <v>43353</v>
      </c>
      <c r="B6463" s="6">
        <v>118.05</v>
      </c>
    </row>
    <row r="6464" spans="1:2" ht="15.75" customHeight="1" thickBot="1" x14ac:dyDescent="0.3">
      <c r="A6464" s="7">
        <f ca="1"/>
        <v>43354</v>
      </c>
      <c r="B6464" s="6">
        <v>117.98</v>
      </c>
    </row>
    <row r="6465" spans="1:2" ht="15.75" customHeight="1" thickBot="1" x14ac:dyDescent="0.3">
      <c r="A6465" s="7">
        <f ca="1"/>
        <v>43355</v>
      </c>
      <c r="B6465" s="6">
        <v>120.42</v>
      </c>
    </row>
    <row r="6466" spans="1:2" ht="15.75" customHeight="1" thickBot="1" x14ac:dyDescent="0.3">
      <c r="A6466" s="7">
        <f ca="1"/>
        <v>43356</v>
      </c>
      <c r="B6466" s="6">
        <v>121.58</v>
      </c>
    </row>
    <row r="6467" spans="1:2" ht="15.75" customHeight="1" thickBot="1" x14ac:dyDescent="0.3">
      <c r="A6467" s="7">
        <f ca="1"/>
        <v>43357</v>
      </c>
      <c r="B6467" s="6">
        <v>121.19</v>
      </c>
    </row>
    <row r="6468" spans="1:2" ht="15.75" customHeight="1" thickBot="1" x14ac:dyDescent="0.3">
      <c r="A6468" s="7">
        <f ca="1"/>
        <v>43358</v>
      </c>
      <c r="B6468" s="5">
        <f t="shared" ref="B6468:B6469" si="923">B6467</f>
        <v>121.19</v>
      </c>
    </row>
    <row r="6469" spans="1:2" ht="15.75" customHeight="1" thickBot="1" x14ac:dyDescent="0.3">
      <c r="A6469" s="7">
        <f ca="1"/>
        <v>43359</v>
      </c>
      <c r="B6469" s="5">
        <f t="shared" si="923"/>
        <v>121.19</v>
      </c>
    </row>
    <row r="6470" spans="1:2" ht="15.75" customHeight="1" thickBot="1" x14ac:dyDescent="0.3">
      <c r="A6470" s="7">
        <f ca="1"/>
        <v>43360</v>
      </c>
      <c r="B6470" s="6">
        <v>120.33</v>
      </c>
    </row>
    <row r="6471" spans="1:2" ht="15.75" customHeight="1" thickBot="1" x14ac:dyDescent="0.3">
      <c r="A6471" s="7">
        <f ca="1"/>
        <v>43361</v>
      </c>
      <c r="B6471" s="6">
        <v>119.27</v>
      </c>
    </row>
    <row r="6472" spans="1:2" ht="15.75" customHeight="1" thickBot="1" x14ac:dyDescent="0.3">
      <c r="A6472" s="7">
        <f ca="1"/>
        <v>43362</v>
      </c>
      <c r="B6472" s="6">
        <v>119.31</v>
      </c>
    </row>
    <row r="6473" spans="1:2" ht="15.75" customHeight="1" thickBot="1" x14ac:dyDescent="0.3">
      <c r="A6473" s="7">
        <f ca="1"/>
        <v>43363</v>
      </c>
      <c r="B6473" s="6">
        <v>119.76</v>
      </c>
    </row>
    <row r="6474" spans="1:2" ht="15.75" customHeight="1" thickBot="1" x14ac:dyDescent="0.3">
      <c r="A6474" s="7">
        <f ca="1"/>
        <v>43364</v>
      </c>
      <c r="B6474" s="6">
        <v>121.2</v>
      </c>
    </row>
    <row r="6475" spans="1:2" ht="15.75" customHeight="1" thickBot="1" x14ac:dyDescent="0.3">
      <c r="A6475" s="7">
        <f ca="1"/>
        <v>43365</v>
      </c>
      <c r="B6475" s="5">
        <f t="shared" ref="B6475:B6476" si="924">B6474</f>
        <v>121.2</v>
      </c>
    </row>
    <row r="6476" spans="1:2" ht="15.75" customHeight="1" thickBot="1" x14ac:dyDescent="0.3">
      <c r="A6476" s="7">
        <f ca="1"/>
        <v>43366</v>
      </c>
      <c r="B6476" s="5">
        <f t="shared" si="924"/>
        <v>121.2</v>
      </c>
    </row>
    <row r="6477" spans="1:2" ht="15.75" customHeight="1" thickBot="1" x14ac:dyDescent="0.3">
      <c r="A6477" s="7">
        <f ca="1"/>
        <v>43367</v>
      </c>
      <c r="B6477" s="6">
        <v>121.94</v>
      </c>
    </row>
    <row r="6478" spans="1:2" ht="15.75" customHeight="1" thickBot="1" x14ac:dyDescent="0.3">
      <c r="A6478" s="7">
        <f ca="1"/>
        <v>43368</v>
      </c>
      <c r="B6478" s="6">
        <v>124.32</v>
      </c>
    </row>
    <row r="6479" spans="1:2" ht="15.75" customHeight="1" thickBot="1" x14ac:dyDescent="0.3">
      <c r="A6479" s="7">
        <f ca="1"/>
        <v>43369</v>
      </c>
      <c r="B6479" s="6">
        <v>126.17</v>
      </c>
    </row>
    <row r="6480" spans="1:2" ht="15.75" customHeight="1" thickBot="1" x14ac:dyDescent="0.3">
      <c r="A6480" s="7">
        <f ca="1"/>
        <v>43370</v>
      </c>
      <c r="B6480" s="6">
        <v>126.01</v>
      </c>
    </row>
    <row r="6481" spans="1:2" ht="15.75" customHeight="1" thickBot="1" x14ac:dyDescent="0.3">
      <c r="A6481" s="7">
        <f ca="1"/>
        <v>43371</v>
      </c>
      <c r="B6481" s="6">
        <v>122.47</v>
      </c>
    </row>
    <row r="6482" spans="1:2" ht="15.75" customHeight="1" thickBot="1" x14ac:dyDescent="0.3">
      <c r="A6482" s="7">
        <f ca="1"/>
        <v>43372</v>
      </c>
      <c r="B6482" s="5">
        <f t="shared" ref="B6482:B6483" si="925">B6481</f>
        <v>122.47</v>
      </c>
    </row>
    <row r="6483" spans="1:2" ht="15.75" customHeight="1" thickBot="1" x14ac:dyDescent="0.3">
      <c r="A6483" s="7">
        <f ca="1"/>
        <v>43373</v>
      </c>
      <c r="B6483" s="5">
        <f t="shared" si="925"/>
        <v>122.47</v>
      </c>
    </row>
    <row r="6484" spans="1:2" ht="15.75" customHeight="1" thickBot="1" x14ac:dyDescent="0.3">
      <c r="A6484" s="7">
        <f ca="1"/>
        <v>43374</v>
      </c>
      <c r="B6484" s="6">
        <v>123.58</v>
      </c>
    </row>
    <row r="6485" spans="1:2" ht="15.75" customHeight="1" thickBot="1" x14ac:dyDescent="0.3">
      <c r="A6485" s="7">
        <f ca="1"/>
        <v>43375</v>
      </c>
      <c r="B6485" s="6">
        <v>122.04</v>
      </c>
    </row>
    <row r="6486" spans="1:2" ht="15.75" customHeight="1" thickBot="1" x14ac:dyDescent="0.3">
      <c r="A6486" s="7">
        <f ca="1"/>
        <v>43376</v>
      </c>
      <c r="B6486" s="6">
        <v>123.24</v>
      </c>
    </row>
    <row r="6487" spans="1:2" ht="15.75" customHeight="1" thickBot="1" x14ac:dyDescent="0.3">
      <c r="A6487" s="7">
        <f ca="1"/>
        <v>43377</v>
      </c>
      <c r="B6487" s="6">
        <v>123.08</v>
      </c>
    </row>
    <row r="6488" spans="1:2" ht="15.75" customHeight="1" thickBot="1" x14ac:dyDescent="0.3">
      <c r="A6488" s="7">
        <f ca="1"/>
        <v>43378</v>
      </c>
      <c r="B6488" s="6">
        <v>120.47</v>
      </c>
    </row>
    <row r="6489" spans="1:2" ht="15.75" customHeight="1" thickBot="1" x14ac:dyDescent="0.3">
      <c r="A6489" s="7">
        <f ca="1"/>
        <v>43379</v>
      </c>
      <c r="B6489" s="5">
        <f t="shared" ref="B6489:B6490" si="926">B6488</f>
        <v>120.47</v>
      </c>
    </row>
    <row r="6490" spans="1:2" ht="15.75" customHeight="1" thickBot="1" x14ac:dyDescent="0.3">
      <c r="A6490" s="7">
        <f ca="1"/>
        <v>43380</v>
      </c>
      <c r="B6490" s="5">
        <f t="shared" si="926"/>
        <v>120.47</v>
      </c>
    </row>
    <row r="6491" spans="1:2" ht="15.75" customHeight="1" thickBot="1" x14ac:dyDescent="0.3">
      <c r="A6491" s="7">
        <f ca="1"/>
        <v>43381</v>
      </c>
      <c r="B6491" s="6">
        <v>117.63</v>
      </c>
    </row>
    <row r="6492" spans="1:2" ht="15.75" customHeight="1" thickBot="1" x14ac:dyDescent="0.3">
      <c r="A6492" s="7">
        <f ca="1"/>
        <v>43382</v>
      </c>
      <c r="B6492" s="6">
        <v>117.67</v>
      </c>
    </row>
    <row r="6493" spans="1:2" ht="15.75" customHeight="1" thickBot="1" x14ac:dyDescent="0.3">
      <c r="A6493" s="7">
        <f ca="1"/>
        <v>43383</v>
      </c>
      <c r="B6493" s="6">
        <v>116.36</v>
      </c>
    </row>
    <row r="6494" spans="1:2" ht="15.75" customHeight="1" thickBot="1" x14ac:dyDescent="0.3">
      <c r="A6494" s="7">
        <f ca="1"/>
        <v>43384</v>
      </c>
      <c r="B6494" s="6">
        <v>113.51</v>
      </c>
    </row>
    <row r="6495" spans="1:2" ht="15.75" customHeight="1" thickBot="1" x14ac:dyDescent="0.3">
      <c r="A6495" s="7">
        <f ca="1"/>
        <v>43385</v>
      </c>
      <c r="B6495" s="6">
        <v>114.76</v>
      </c>
    </row>
    <row r="6496" spans="1:2" ht="15.75" customHeight="1" thickBot="1" x14ac:dyDescent="0.3">
      <c r="A6496" s="7">
        <f ca="1"/>
        <v>43386</v>
      </c>
      <c r="B6496" s="5">
        <f t="shared" ref="B6496:B6497" si="927">B6495</f>
        <v>114.76</v>
      </c>
    </row>
    <row r="6497" spans="1:2" ht="15.75" customHeight="1" thickBot="1" x14ac:dyDescent="0.3">
      <c r="A6497" s="7">
        <f ca="1"/>
        <v>43387</v>
      </c>
      <c r="B6497" s="5">
        <f t="shared" si="927"/>
        <v>114.76</v>
      </c>
    </row>
    <row r="6498" spans="1:2" ht="15.75" customHeight="1" thickBot="1" x14ac:dyDescent="0.3">
      <c r="A6498" s="7">
        <f ca="1"/>
        <v>43388</v>
      </c>
      <c r="B6498" s="6">
        <v>112.91</v>
      </c>
    </row>
    <row r="6499" spans="1:2" ht="15.75" customHeight="1" thickBot="1" x14ac:dyDescent="0.3">
      <c r="A6499" s="7">
        <f ca="1"/>
        <v>43389</v>
      </c>
      <c r="B6499" s="6">
        <v>115.95</v>
      </c>
    </row>
    <row r="6500" spans="1:2" ht="15.75" customHeight="1" thickBot="1" x14ac:dyDescent="0.3">
      <c r="A6500" s="7">
        <f ca="1"/>
        <v>43390</v>
      </c>
      <c r="B6500" s="6">
        <v>116.2</v>
      </c>
    </row>
    <row r="6501" spans="1:2" ht="15.75" customHeight="1" thickBot="1" x14ac:dyDescent="0.3">
      <c r="A6501" s="7">
        <f ca="1"/>
        <v>43391</v>
      </c>
      <c r="B6501" s="6">
        <v>110.66</v>
      </c>
    </row>
    <row r="6502" spans="1:2" ht="15.75" customHeight="1" thickBot="1" x14ac:dyDescent="0.3">
      <c r="A6502" s="7">
        <f ca="1"/>
        <v>43392</v>
      </c>
      <c r="B6502" s="6">
        <v>108.8</v>
      </c>
    </row>
    <row r="6503" spans="1:2" ht="15.75" customHeight="1" thickBot="1" x14ac:dyDescent="0.3">
      <c r="A6503" s="7">
        <f ca="1"/>
        <v>43393</v>
      </c>
      <c r="B6503" s="5">
        <f t="shared" ref="B6503:B6504" si="928">B6502</f>
        <v>108.8</v>
      </c>
    </row>
    <row r="6504" spans="1:2" ht="15.75" customHeight="1" thickBot="1" x14ac:dyDescent="0.3">
      <c r="A6504" s="7">
        <f ca="1"/>
        <v>43394</v>
      </c>
      <c r="B6504" s="5">
        <f t="shared" si="928"/>
        <v>108.8</v>
      </c>
    </row>
    <row r="6505" spans="1:2" ht="15.75" customHeight="1" thickBot="1" x14ac:dyDescent="0.3">
      <c r="A6505" s="7">
        <f ca="1"/>
        <v>43395</v>
      </c>
      <c r="B6505" s="6">
        <v>110.18</v>
      </c>
    </row>
    <row r="6506" spans="1:2" ht="15.75" customHeight="1" thickBot="1" x14ac:dyDescent="0.3">
      <c r="A6506" s="7">
        <f ca="1"/>
        <v>43396</v>
      </c>
      <c r="B6506" s="6">
        <v>106.26</v>
      </c>
    </row>
    <row r="6507" spans="1:2" ht="15.75" customHeight="1" thickBot="1" x14ac:dyDescent="0.3">
      <c r="A6507" s="7">
        <f ca="1"/>
        <v>43397</v>
      </c>
      <c r="B6507" s="6">
        <v>106.29</v>
      </c>
    </row>
    <row r="6508" spans="1:2" ht="15.75" customHeight="1" thickBot="1" x14ac:dyDescent="0.3">
      <c r="A6508" s="7">
        <f ca="1"/>
        <v>43398</v>
      </c>
      <c r="B6508" s="6">
        <v>104.82</v>
      </c>
    </row>
    <row r="6509" spans="1:2" ht="15.75" customHeight="1" thickBot="1" x14ac:dyDescent="0.3">
      <c r="A6509" s="7">
        <f ca="1"/>
        <v>43399</v>
      </c>
      <c r="B6509" s="6">
        <v>104.88</v>
      </c>
    </row>
    <row r="6510" spans="1:2" ht="15.75" customHeight="1" thickBot="1" x14ac:dyDescent="0.3">
      <c r="A6510" s="7">
        <f ca="1"/>
        <v>43400</v>
      </c>
      <c r="B6510" s="5">
        <f t="shared" ref="B6510:B6511" si="929">B6509</f>
        <v>104.88</v>
      </c>
    </row>
    <row r="6511" spans="1:2" ht="15.75" customHeight="1" thickBot="1" x14ac:dyDescent="0.3">
      <c r="A6511" s="7">
        <f ca="1"/>
        <v>43401</v>
      </c>
      <c r="B6511" s="5">
        <f t="shared" si="929"/>
        <v>104.88</v>
      </c>
    </row>
    <row r="6512" spans="1:2" ht="15.75" customHeight="1" thickBot="1" x14ac:dyDescent="0.3">
      <c r="A6512" s="7">
        <f ca="1"/>
        <v>43402</v>
      </c>
      <c r="B6512" s="6">
        <v>106.54</v>
      </c>
    </row>
    <row r="6513" spans="1:2" ht="15.75" customHeight="1" thickBot="1" x14ac:dyDescent="0.3">
      <c r="A6513" s="7">
        <f ca="1"/>
        <v>43403</v>
      </c>
      <c r="B6513" s="6">
        <v>104.33</v>
      </c>
    </row>
    <row r="6514" spans="1:2" ht="15.75" customHeight="1" thickBot="1" x14ac:dyDescent="0.3">
      <c r="A6514" s="7">
        <f ca="1"/>
        <v>43404</v>
      </c>
      <c r="B6514" s="6">
        <v>106.81</v>
      </c>
    </row>
    <row r="6515" spans="1:2" ht="15.75" customHeight="1" thickBot="1" x14ac:dyDescent="0.3">
      <c r="A6515" s="7">
        <f ca="1"/>
        <v>43405</v>
      </c>
      <c r="B6515" s="6">
        <v>107.05</v>
      </c>
    </row>
    <row r="6516" spans="1:2" ht="15.75" customHeight="1" thickBot="1" x14ac:dyDescent="0.3">
      <c r="A6516" s="7">
        <f ca="1"/>
        <v>43406</v>
      </c>
      <c r="B6516" s="6">
        <v>107.95</v>
      </c>
    </row>
    <row r="6517" spans="1:2" ht="15.75" customHeight="1" thickBot="1" x14ac:dyDescent="0.3">
      <c r="A6517" s="7">
        <f ca="1"/>
        <v>43407</v>
      </c>
      <c r="B6517" s="5">
        <f t="shared" ref="B6517:B6518" si="930">B6516</f>
        <v>107.95</v>
      </c>
    </row>
    <row r="6518" spans="1:2" ht="15.75" customHeight="1" thickBot="1" x14ac:dyDescent="0.3">
      <c r="A6518" s="7">
        <f ca="1"/>
        <v>43408</v>
      </c>
      <c r="B6518" s="5">
        <f t="shared" si="930"/>
        <v>107.95</v>
      </c>
    </row>
    <row r="6519" spans="1:2" ht="15.75" customHeight="1" thickBot="1" x14ac:dyDescent="0.3">
      <c r="A6519" s="7">
        <f ca="1"/>
        <v>43409</v>
      </c>
      <c r="B6519" s="6">
        <v>107.77</v>
      </c>
    </row>
    <row r="6520" spans="1:2" ht="15.75" customHeight="1" thickBot="1" x14ac:dyDescent="0.3">
      <c r="A6520" s="7">
        <f ca="1"/>
        <v>43410</v>
      </c>
      <c r="B6520" s="6">
        <v>106.78</v>
      </c>
    </row>
    <row r="6521" spans="1:2" ht="15.75" customHeight="1" thickBot="1" x14ac:dyDescent="0.3">
      <c r="A6521" s="7">
        <f ca="1"/>
        <v>43411</v>
      </c>
      <c r="B6521" s="6">
        <v>108.08</v>
      </c>
    </row>
    <row r="6522" spans="1:2" ht="15.75" customHeight="1" thickBot="1" x14ac:dyDescent="0.3">
      <c r="A6522" s="7">
        <f ca="1"/>
        <v>43412</v>
      </c>
      <c r="B6522" s="6">
        <v>107.94</v>
      </c>
    </row>
    <row r="6523" spans="1:2" ht="15.75" customHeight="1" thickBot="1" x14ac:dyDescent="0.3">
      <c r="A6523" s="7">
        <f ca="1"/>
        <v>43413</v>
      </c>
      <c r="B6523" s="6">
        <v>107.92</v>
      </c>
    </row>
    <row r="6524" spans="1:2" ht="15.75" customHeight="1" thickBot="1" x14ac:dyDescent="0.3">
      <c r="A6524" s="7">
        <f ca="1"/>
        <v>43414</v>
      </c>
      <c r="B6524" s="5">
        <f t="shared" ref="B6524:B6525" si="931">B6523</f>
        <v>107.92</v>
      </c>
    </row>
    <row r="6525" spans="1:2" ht="15.75" customHeight="1" thickBot="1" x14ac:dyDescent="0.3">
      <c r="A6525" s="7">
        <f ca="1"/>
        <v>43415</v>
      </c>
      <c r="B6525" s="5">
        <f t="shared" si="931"/>
        <v>107.92</v>
      </c>
    </row>
    <row r="6526" spans="1:2" ht="15.75" customHeight="1" thickBot="1" x14ac:dyDescent="0.3">
      <c r="A6526" s="7">
        <f ca="1"/>
        <v>43416</v>
      </c>
      <c r="B6526" s="6">
        <v>103.11</v>
      </c>
    </row>
    <row r="6527" spans="1:2" ht="15.75" customHeight="1" thickBot="1" x14ac:dyDescent="0.3">
      <c r="A6527" s="7">
        <f ca="1"/>
        <v>43417</v>
      </c>
      <c r="B6527" s="6">
        <v>102.14</v>
      </c>
    </row>
    <row r="6528" spans="1:2" ht="15.75" customHeight="1" thickBot="1" x14ac:dyDescent="0.3">
      <c r="A6528" s="7">
        <f ca="1"/>
        <v>43418</v>
      </c>
      <c r="B6528" s="6">
        <v>105.21</v>
      </c>
    </row>
    <row r="6529" spans="1:2" ht="15.75" customHeight="1" thickBot="1" x14ac:dyDescent="0.3">
      <c r="A6529" s="7">
        <f ca="1"/>
        <v>43419</v>
      </c>
      <c r="B6529" s="6">
        <v>103.84</v>
      </c>
    </row>
    <row r="6530" spans="1:2" ht="15.75" customHeight="1" thickBot="1" x14ac:dyDescent="0.3">
      <c r="A6530" s="7">
        <f ca="1"/>
        <v>43420</v>
      </c>
      <c r="B6530" s="6">
        <v>103.99</v>
      </c>
    </row>
    <row r="6531" spans="1:2" ht="15.75" customHeight="1" thickBot="1" x14ac:dyDescent="0.3">
      <c r="A6531" s="7">
        <f ca="1"/>
        <v>43421</v>
      </c>
      <c r="B6531" s="5">
        <f t="shared" ref="B6531:B6532" si="932">B6530</f>
        <v>103.99</v>
      </c>
    </row>
    <row r="6532" spans="1:2" ht="15.75" customHeight="1" thickBot="1" x14ac:dyDescent="0.3">
      <c r="A6532" s="7">
        <f ca="1"/>
        <v>43422</v>
      </c>
      <c r="B6532" s="5">
        <f t="shared" si="932"/>
        <v>103.99</v>
      </c>
    </row>
    <row r="6533" spans="1:2" ht="15.75" customHeight="1" thickBot="1" x14ac:dyDescent="0.3">
      <c r="A6533" s="7">
        <f ca="1"/>
        <v>43423</v>
      </c>
      <c r="B6533" s="6">
        <v>104.19</v>
      </c>
    </row>
    <row r="6534" spans="1:2" ht="15.75" customHeight="1" thickBot="1" x14ac:dyDescent="0.3">
      <c r="A6534" s="7">
        <f ca="1"/>
        <v>43424</v>
      </c>
      <c r="B6534" s="6">
        <v>98.97</v>
      </c>
    </row>
    <row r="6535" spans="1:2" ht="15.75" customHeight="1" thickBot="1" x14ac:dyDescent="0.3">
      <c r="A6535" s="7">
        <f ca="1"/>
        <v>43425</v>
      </c>
      <c r="B6535" s="6">
        <v>101.48</v>
      </c>
    </row>
    <row r="6536" spans="1:2" ht="15.75" customHeight="1" thickBot="1" x14ac:dyDescent="0.3">
      <c r="A6536" s="7">
        <f ca="1"/>
        <v>43426</v>
      </c>
      <c r="B6536" s="5">
        <f>B6535</f>
        <v>101.48</v>
      </c>
    </row>
    <row r="6537" spans="1:2" ht="15.75" customHeight="1" thickBot="1" x14ac:dyDescent="0.3">
      <c r="A6537" s="7">
        <f ca="1"/>
        <v>43427</v>
      </c>
      <c r="B6537" s="6">
        <v>99.91</v>
      </c>
    </row>
    <row r="6538" spans="1:2" ht="15.75" customHeight="1" thickBot="1" x14ac:dyDescent="0.3">
      <c r="A6538" s="7">
        <f ca="1"/>
        <v>43428</v>
      </c>
      <c r="B6538" s="5">
        <f t="shared" ref="B6538:B6539" si="933">B6537</f>
        <v>99.91</v>
      </c>
    </row>
    <row r="6539" spans="1:2" ht="15.75" customHeight="1" thickBot="1" x14ac:dyDescent="0.3">
      <c r="A6539" s="7">
        <f ca="1"/>
        <v>43429</v>
      </c>
      <c r="B6539" s="5">
        <f t="shared" si="933"/>
        <v>99.91</v>
      </c>
    </row>
    <row r="6540" spans="1:2" ht="15.75" customHeight="1" thickBot="1" x14ac:dyDescent="0.3">
      <c r="A6540" s="7">
        <f ca="1"/>
        <v>43430</v>
      </c>
      <c r="B6540" s="6">
        <v>102.24</v>
      </c>
    </row>
    <row r="6541" spans="1:2" ht="15.75" customHeight="1" thickBot="1" x14ac:dyDescent="0.3">
      <c r="A6541" s="7">
        <f ca="1"/>
        <v>43431</v>
      </c>
      <c r="B6541" s="6">
        <v>101.6</v>
      </c>
    </row>
    <row r="6542" spans="1:2" ht="15.75" customHeight="1" thickBot="1" x14ac:dyDescent="0.3">
      <c r="A6542" s="7">
        <f ca="1"/>
        <v>43432</v>
      </c>
      <c r="B6542" s="6">
        <v>102.72</v>
      </c>
    </row>
    <row r="6543" spans="1:2" ht="15.75" customHeight="1" thickBot="1" x14ac:dyDescent="0.3">
      <c r="A6543" s="7">
        <f ca="1"/>
        <v>43433</v>
      </c>
      <c r="B6543" s="6">
        <v>104.7</v>
      </c>
    </row>
    <row r="6544" spans="1:2" ht="15.75" customHeight="1" thickBot="1" x14ac:dyDescent="0.3">
      <c r="A6544" s="7">
        <f ca="1"/>
        <v>43434</v>
      </c>
      <c r="B6544" s="6">
        <v>103.69</v>
      </c>
    </row>
    <row r="6545" spans="1:2" ht="15.75" customHeight="1" thickBot="1" x14ac:dyDescent="0.3">
      <c r="A6545" s="7">
        <f ca="1"/>
        <v>43435</v>
      </c>
      <c r="B6545" s="5">
        <f t="shared" ref="B6545:B6546" si="934">B6544</f>
        <v>103.69</v>
      </c>
    </row>
    <row r="6546" spans="1:2" ht="15.75" customHeight="1" thickBot="1" x14ac:dyDescent="0.3">
      <c r="A6546" s="7">
        <f ca="1"/>
        <v>43436</v>
      </c>
      <c r="B6546" s="5">
        <f t="shared" si="934"/>
        <v>103.69</v>
      </c>
    </row>
    <row r="6547" spans="1:2" ht="15.75" customHeight="1" thickBot="1" x14ac:dyDescent="0.3">
      <c r="A6547" s="7">
        <f ca="1"/>
        <v>43437</v>
      </c>
      <c r="B6547" s="6">
        <v>105.5</v>
      </c>
    </row>
    <row r="6548" spans="1:2" ht="15.75" customHeight="1" thickBot="1" x14ac:dyDescent="0.3">
      <c r="A6548" s="7">
        <f ca="1"/>
        <v>43438</v>
      </c>
      <c r="B6548" s="6">
        <v>105.31</v>
      </c>
    </row>
    <row r="6549" spans="1:2" ht="15.75" customHeight="1" thickBot="1" x14ac:dyDescent="0.3">
      <c r="A6549" s="7">
        <f ca="1"/>
        <v>43439</v>
      </c>
      <c r="B6549" s="5">
        <f>B6548</f>
        <v>105.31</v>
      </c>
    </row>
    <row r="6550" spans="1:2" ht="15.75" customHeight="1" thickBot="1" x14ac:dyDescent="0.3">
      <c r="A6550" s="7">
        <f ca="1"/>
        <v>43440</v>
      </c>
      <c r="B6550" s="6">
        <v>100.34</v>
      </c>
    </row>
    <row r="6551" spans="1:2" ht="15.75" customHeight="1" thickBot="1" x14ac:dyDescent="0.3">
      <c r="A6551" s="7">
        <f ca="1"/>
        <v>43441</v>
      </c>
      <c r="B6551" s="6">
        <v>102.69</v>
      </c>
    </row>
    <row r="6552" spans="1:2" ht="15.75" customHeight="1" thickBot="1" x14ac:dyDescent="0.3">
      <c r="A6552" s="7">
        <f ca="1"/>
        <v>43442</v>
      </c>
      <c r="B6552" s="5">
        <f t="shared" ref="B6552:B6553" si="935">B6551</f>
        <v>102.69</v>
      </c>
    </row>
    <row r="6553" spans="1:2" ht="15.75" customHeight="1" thickBot="1" x14ac:dyDescent="0.3">
      <c r="A6553" s="7">
        <f ca="1"/>
        <v>43443</v>
      </c>
      <c r="B6553" s="5">
        <f t="shared" si="935"/>
        <v>102.69</v>
      </c>
    </row>
    <row r="6554" spans="1:2" ht="15.75" customHeight="1" thickBot="1" x14ac:dyDescent="0.3">
      <c r="A6554" s="7">
        <f ca="1"/>
        <v>43444</v>
      </c>
      <c r="B6554" s="6">
        <v>101.55</v>
      </c>
    </row>
    <row r="6555" spans="1:2" ht="15.75" customHeight="1" thickBot="1" x14ac:dyDescent="0.3">
      <c r="A6555" s="7">
        <f ca="1"/>
        <v>43445</v>
      </c>
      <c r="B6555" s="6">
        <v>102.82</v>
      </c>
    </row>
    <row r="6556" spans="1:2" ht="15.75" customHeight="1" thickBot="1" x14ac:dyDescent="0.3">
      <c r="A6556" s="7">
        <f ca="1"/>
        <v>43446</v>
      </c>
      <c r="B6556" s="6">
        <v>103.64</v>
      </c>
    </row>
    <row r="6557" spans="1:2" ht="15.75" customHeight="1" thickBot="1" x14ac:dyDescent="0.3">
      <c r="A6557" s="7">
        <f ca="1"/>
        <v>43447</v>
      </c>
      <c r="B6557" s="6">
        <v>103.63</v>
      </c>
    </row>
    <row r="6558" spans="1:2" ht="15.75" customHeight="1" thickBot="1" x14ac:dyDescent="0.3">
      <c r="A6558" s="7">
        <f ca="1"/>
        <v>43448</v>
      </c>
      <c r="B6558" s="6">
        <v>101.58</v>
      </c>
    </row>
    <row r="6559" spans="1:2" ht="15.75" customHeight="1" thickBot="1" x14ac:dyDescent="0.3">
      <c r="A6559" s="7">
        <f ca="1"/>
        <v>43449</v>
      </c>
      <c r="B6559" s="5">
        <f t="shared" ref="B6559:B6560" si="936">B6558</f>
        <v>101.58</v>
      </c>
    </row>
    <row r="6560" spans="1:2" ht="15.75" customHeight="1" thickBot="1" x14ac:dyDescent="0.3">
      <c r="A6560" s="7">
        <f ca="1"/>
        <v>43450</v>
      </c>
      <c r="B6560" s="5">
        <f t="shared" si="936"/>
        <v>101.58</v>
      </c>
    </row>
    <row r="6561" spans="1:2" ht="15.75" customHeight="1" thickBot="1" x14ac:dyDescent="0.3">
      <c r="A6561" s="7">
        <f ca="1"/>
        <v>43451</v>
      </c>
      <c r="B6561" s="6">
        <v>100.35</v>
      </c>
    </row>
    <row r="6562" spans="1:2" ht="15.75" customHeight="1" thickBot="1" x14ac:dyDescent="0.3">
      <c r="A6562" s="7">
        <f ca="1"/>
        <v>43452</v>
      </c>
      <c r="B6562" s="6">
        <v>100.32</v>
      </c>
    </row>
    <row r="6563" spans="1:2" ht="15.75" customHeight="1" thickBot="1" x14ac:dyDescent="0.3">
      <c r="A6563" s="7">
        <f ca="1"/>
        <v>43453</v>
      </c>
      <c r="B6563" s="6">
        <v>102.02</v>
      </c>
    </row>
    <row r="6564" spans="1:2" ht="15.75" customHeight="1" thickBot="1" x14ac:dyDescent="0.3">
      <c r="A6564" s="7">
        <f ca="1"/>
        <v>43454</v>
      </c>
      <c r="B6564" s="6">
        <v>100.51</v>
      </c>
    </row>
    <row r="6565" spans="1:2" ht="15.75" customHeight="1" thickBot="1" x14ac:dyDescent="0.3">
      <c r="A6565" s="7">
        <f ca="1"/>
        <v>43455</v>
      </c>
      <c r="B6565" s="6">
        <v>99.32</v>
      </c>
    </row>
    <row r="6566" spans="1:2" ht="15.75" customHeight="1" thickBot="1" x14ac:dyDescent="0.3">
      <c r="A6566" s="7">
        <f ca="1"/>
        <v>43456</v>
      </c>
      <c r="B6566" s="5">
        <f t="shared" ref="B6566:B6567" si="937">B6565</f>
        <v>99.32</v>
      </c>
    </row>
    <row r="6567" spans="1:2" ht="15.75" customHeight="1" thickBot="1" x14ac:dyDescent="0.3">
      <c r="A6567" s="7">
        <f ca="1"/>
        <v>43457</v>
      </c>
      <c r="B6567" s="5">
        <f t="shared" si="937"/>
        <v>99.32</v>
      </c>
    </row>
    <row r="6568" spans="1:2" ht="15.75" customHeight="1" thickBot="1" x14ac:dyDescent="0.3">
      <c r="A6568" s="7">
        <f ca="1"/>
        <v>43458</v>
      </c>
      <c r="B6568" s="6">
        <v>95.86</v>
      </c>
    </row>
    <row r="6569" spans="1:2" ht="15.75" customHeight="1" thickBot="1" x14ac:dyDescent="0.3">
      <c r="A6569" s="7">
        <f ca="1"/>
        <v>43459</v>
      </c>
      <c r="B6569" s="5">
        <f>B6568</f>
        <v>95.86</v>
      </c>
    </row>
    <row r="6570" spans="1:2" ht="15.75" customHeight="1" thickBot="1" x14ac:dyDescent="0.3">
      <c r="A6570" s="7">
        <f ca="1"/>
        <v>43460</v>
      </c>
      <c r="B6570" s="6">
        <v>95.21</v>
      </c>
    </row>
    <row r="6571" spans="1:2" ht="15.75" customHeight="1" thickBot="1" x14ac:dyDescent="0.3">
      <c r="A6571" s="7">
        <f ca="1"/>
        <v>43461</v>
      </c>
      <c r="B6571" s="6">
        <v>97.71</v>
      </c>
    </row>
    <row r="6572" spans="1:2" ht="15.75" customHeight="1" thickBot="1" x14ac:dyDescent="0.3">
      <c r="A6572" s="7">
        <f ca="1"/>
        <v>43462</v>
      </c>
      <c r="B6572" s="6">
        <v>100.01</v>
      </c>
    </row>
    <row r="6573" spans="1:2" ht="15.75" customHeight="1" thickBot="1" x14ac:dyDescent="0.3">
      <c r="A6573" s="7">
        <f ca="1"/>
        <v>43463</v>
      </c>
      <c r="B6573" s="5">
        <f t="shared" ref="B6573:B6574" si="938">B6572</f>
        <v>100.01</v>
      </c>
    </row>
    <row r="6574" spans="1:2" ht="15.75" customHeight="1" thickBot="1" x14ac:dyDescent="0.3">
      <c r="A6574" s="7">
        <f ca="1"/>
        <v>43464</v>
      </c>
      <c r="B6574" s="5">
        <f t="shared" si="938"/>
        <v>100.01</v>
      </c>
    </row>
    <row r="6575" spans="1:2" ht="15.75" customHeight="1" thickBot="1" x14ac:dyDescent="0.3">
      <c r="A6575" s="7">
        <f ca="1"/>
        <v>43465</v>
      </c>
      <c r="B6575" s="6">
        <v>100.35</v>
      </c>
    </row>
    <row r="6576" spans="1:2" ht="15.75" customHeight="1" thickBot="1" x14ac:dyDescent="0.3">
      <c r="A6576" s="7">
        <f ca="1"/>
        <v>43466</v>
      </c>
      <c r="B6576" s="5">
        <f>B6575</f>
        <v>100.35</v>
      </c>
    </row>
    <row r="6577" spans="1:2" ht="15.75" customHeight="1" thickBot="1" x14ac:dyDescent="0.3">
      <c r="A6577" s="7">
        <f ca="1"/>
        <v>43467</v>
      </c>
      <c r="B6577" s="6">
        <v>98.57</v>
      </c>
    </row>
    <row r="6578" spans="1:2" ht="15.75" customHeight="1" thickBot="1" x14ac:dyDescent="0.3">
      <c r="A6578" s="7">
        <f ca="1"/>
        <v>43468</v>
      </c>
      <c r="B6578" s="6">
        <v>96.73</v>
      </c>
    </row>
    <row r="6579" spans="1:2" ht="15.75" customHeight="1" thickBot="1" x14ac:dyDescent="0.3">
      <c r="A6579" s="7">
        <f ca="1"/>
        <v>43469</v>
      </c>
      <c r="B6579" s="6">
        <v>97.34</v>
      </c>
    </row>
    <row r="6580" spans="1:2" ht="15.75" customHeight="1" thickBot="1" x14ac:dyDescent="0.3">
      <c r="A6580" s="7">
        <f ca="1"/>
        <v>43470</v>
      </c>
      <c r="B6580" s="5">
        <f t="shared" ref="B6580:B6581" si="939">B6579</f>
        <v>97.34</v>
      </c>
    </row>
    <row r="6581" spans="1:2" ht="15.75" customHeight="1" thickBot="1" x14ac:dyDescent="0.3">
      <c r="A6581" s="7">
        <f ca="1"/>
        <v>43471</v>
      </c>
      <c r="B6581" s="5">
        <f t="shared" si="939"/>
        <v>97.34</v>
      </c>
    </row>
    <row r="6582" spans="1:2" ht="15.75" customHeight="1" thickBot="1" x14ac:dyDescent="0.3">
      <c r="A6582" s="7">
        <f ca="1"/>
        <v>43472</v>
      </c>
      <c r="B6582" s="6">
        <v>99.44</v>
      </c>
    </row>
    <row r="6583" spans="1:2" ht="15.75" customHeight="1" thickBot="1" x14ac:dyDescent="0.3">
      <c r="A6583" s="7">
        <f ca="1"/>
        <v>43473</v>
      </c>
      <c r="B6583" s="6">
        <v>101.37</v>
      </c>
    </row>
    <row r="6584" spans="1:2" ht="15.75" customHeight="1" thickBot="1" x14ac:dyDescent="0.3">
      <c r="A6584" s="7">
        <f ca="1"/>
        <v>43474</v>
      </c>
      <c r="B6584" s="6">
        <v>102.78</v>
      </c>
    </row>
    <row r="6585" spans="1:2" ht="15.75" customHeight="1" thickBot="1" x14ac:dyDescent="0.3">
      <c r="A6585" s="7">
        <f ca="1"/>
        <v>43475</v>
      </c>
      <c r="B6585" s="6">
        <v>102.55</v>
      </c>
    </row>
    <row r="6586" spans="1:2" ht="15.75" customHeight="1" thickBot="1" x14ac:dyDescent="0.3">
      <c r="A6586" s="7">
        <f ca="1"/>
        <v>43476</v>
      </c>
      <c r="B6586" s="6">
        <v>102.2</v>
      </c>
    </row>
    <row r="6587" spans="1:2" ht="15.75" customHeight="1" thickBot="1" x14ac:dyDescent="0.3">
      <c r="A6587" s="7">
        <f ca="1"/>
        <v>43477</v>
      </c>
      <c r="B6587" s="5">
        <f t="shared" ref="B6587:B6588" si="940">B6586</f>
        <v>102.2</v>
      </c>
    </row>
    <row r="6588" spans="1:2" ht="15.75" customHeight="1" thickBot="1" x14ac:dyDescent="0.3">
      <c r="A6588" s="7">
        <f ca="1"/>
        <v>43478</v>
      </c>
      <c r="B6588" s="5">
        <f t="shared" si="940"/>
        <v>102.2</v>
      </c>
    </row>
    <row r="6589" spans="1:2" ht="15.75" customHeight="1" thickBot="1" x14ac:dyDescent="0.3">
      <c r="A6589" s="7">
        <f ca="1"/>
        <v>43479</v>
      </c>
      <c r="B6589" s="6">
        <v>100.65</v>
      </c>
    </row>
    <row r="6590" spans="1:2" ht="15.75" customHeight="1" thickBot="1" x14ac:dyDescent="0.3">
      <c r="A6590" s="7">
        <f ca="1"/>
        <v>43480</v>
      </c>
      <c r="B6590" s="6">
        <v>100.85</v>
      </c>
    </row>
    <row r="6591" spans="1:2" ht="15.75" customHeight="1" thickBot="1" x14ac:dyDescent="0.3">
      <c r="A6591" s="7">
        <f ca="1"/>
        <v>43481</v>
      </c>
      <c r="B6591" s="6">
        <v>101.73</v>
      </c>
    </row>
    <row r="6592" spans="1:2" ht="15.75" customHeight="1" thickBot="1" x14ac:dyDescent="0.3">
      <c r="A6592" s="7">
        <f ca="1"/>
        <v>43482</v>
      </c>
      <c r="B6592" s="6">
        <v>102.37</v>
      </c>
    </row>
    <row r="6593" spans="1:2" ht="15.75" customHeight="1" thickBot="1" x14ac:dyDescent="0.3">
      <c r="A6593" s="7">
        <f ca="1"/>
        <v>43483</v>
      </c>
      <c r="B6593" s="6">
        <v>105.24</v>
      </c>
    </row>
    <row r="6594" spans="1:2" ht="15.75" customHeight="1" thickBot="1" x14ac:dyDescent="0.3">
      <c r="A6594" s="7">
        <f ca="1"/>
        <v>43484</v>
      </c>
      <c r="B6594" s="5">
        <f t="shared" ref="B6594:B6596" si="941">B6593</f>
        <v>105.24</v>
      </c>
    </row>
    <row r="6595" spans="1:2" ht="15.75" customHeight="1" thickBot="1" x14ac:dyDescent="0.3">
      <c r="A6595" s="7">
        <f ca="1"/>
        <v>43485</v>
      </c>
      <c r="B6595" s="5">
        <f t="shared" si="941"/>
        <v>105.24</v>
      </c>
    </row>
    <row r="6596" spans="1:2" ht="15.75" customHeight="1" thickBot="1" x14ac:dyDescent="0.3">
      <c r="A6596" s="7">
        <f ca="1"/>
        <v>43486</v>
      </c>
      <c r="B6596" s="5">
        <f t="shared" si="941"/>
        <v>105.24</v>
      </c>
    </row>
    <row r="6597" spans="1:2" ht="15.75" customHeight="1" thickBot="1" x14ac:dyDescent="0.3">
      <c r="A6597" s="7">
        <f ca="1"/>
        <v>43487</v>
      </c>
      <c r="B6597" s="6">
        <v>103.51</v>
      </c>
    </row>
    <row r="6598" spans="1:2" ht="15.75" customHeight="1" thickBot="1" x14ac:dyDescent="0.3">
      <c r="A6598" s="7">
        <f ca="1"/>
        <v>43488</v>
      </c>
      <c r="B6598" s="6">
        <v>104.77</v>
      </c>
    </row>
    <row r="6599" spans="1:2" ht="15.75" customHeight="1" thickBot="1" x14ac:dyDescent="0.3">
      <c r="A6599" s="7">
        <f ca="1"/>
        <v>43489</v>
      </c>
      <c r="B6599" s="6">
        <v>105.56</v>
      </c>
    </row>
    <row r="6600" spans="1:2" ht="15.75" customHeight="1" thickBot="1" x14ac:dyDescent="0.3">
      <c r="A6600" s="7">
        <f ca="1"/>
        <v>43490</v>
      </c>
      <c r="B6600" s="6">
        <v>106.5</v>
      </c>
    </row>
    <row r="6601" spans="1:2" ht="15.75" customHeight="1" thickBot="1" x14ac:dyDescent="0.3">
      <c r="A6601" s="7">
        <f ca="1"/>
        <v>43491</v>
      </c>
      <c r="B6601" s="5">
        <f t="shared" ref="B6601:B6602" si="942">B6600</f>
        <v>106.5</v>
      </c>
    </row>
    <row r="6602" spans="1:2" ht="15.75" customHeight="1" thickBot="1" x14ac:dyDescent="0.3">
      <c r="A6602" s="7">
        <f ca="1"/>
        <v>43492</v>
      </c>
      <c r="B6602" s="5">
        <f t="shared" si="942"/>
        <v>106.5</v>
      </c>
    </row>
    <row r="6603" spans="1:2" ht="15.75" customHeight="1" thickBot="1" x14ac:dyDescent="0.3">
      <c r="A6603" s="7">
        <f ca="1"/>
        <v>43493</v>
      </c>
      <c r="B6603" s="6">
        <v>105.9</v>
      </c>
    </row>
    <row r="6604" spans="1:2" ht="15.75" customHeight="1" thickBot="1" x14ac:dyDescent="0.3">
      <c r="A6604" s="7">
        <f ca="1"/>
        <v>43494</v>
      </c>
      <c r="B6604" s="6">
        <v>103.37</v>
      </c>
    </row>
    <row r="6605" spans="1:2" ht="15.75" customHeight="1" thickBot="1" x14ac:dyDescent="0.3">
      <c r="A6605" s="7">
        <f ca="1"/>
        <v>43495</v>
      </c>
      <c r="B6605" s="6">
        <v>101.96</v>
      </c>
    </row>
    <row r="6606" spans="1:2" ht="15.75" customHeight="1" thickBot="1" x14ac:dyDescent="0.3">
      <c r="A6606" s="7">
        <f ca="1"/>
        <v>43496</v>
      </c>
      <c r="B6606" s="6">
        <v>102.47</v>
      </c>
    </row>
    <row r="6607" spans="1:2" ht="15.75" customHeight="1" thickBot="1" x14ac:dyDescent="0.3">
      <c r="A6607" s="7">
        <f ca="1"/>
        <v>43497</v>
      </c>
      <c r="B6607" s="6">
        <v>103.82</v>
      </c>
    </row>
    <row r="6608" spans="1:2" ht="15.75" customHeight="1" thickBot="1" x14ac:dyDescent="0.3">
      <c r="A6608" s="7">
        <f ca="1"/>
        <v>43498</v>
      </c>
      <c r="B6608" s="5">
        <f t="shared" ref="B6608:B6609" si="943">B6607</f>
        <v>103.82</v>
      </c>
    </row>
    <row r="6609" spans="1:2" ht="15.75" customHeight="1" thickBot="1" x14ac:dyDescent="0.3">
      <c r="A6609" s="7">
        <f ca="1"/>
        <v>43499</v>
      </c>
      <c r="B6609" s="5">
        <f t="shared" si="943"/>
        <v>103.82</v>
      </c>
    </row>
    <row r="6610" spans="1:2" ht="15.75" customHeight="1" thickBot="1" x14ac:dyDescent="0.3">
      <c r="A6610" s="7">
        <f ca="1"/>
        <v>43500</v>
      </c>
      <c r="B6610" s="6">
        <v>103.19</v>
      </c>
    </row>
    <row r="6611" spans="1:2" ht="15.75" customHeight="1" thickBot="1" x14ac:dyDescent="0.3">
      <c r="A6611" s="7">
        <f ca="1"/>
        <v>43501</v>
      </c>
      <c r="B6611" s="6">
        <v>105.84</v>
      </c>
    </row>
    <row r="6612" spans="1:2" ht="15.75" customHeight="1" thickBot="1" x14ac:dyDescent="0.3">
      <c r="A6612" s="7">
        <f ca="1"/>
        <v>43502</v>
      </c>
      <c r="B6612" s="6">
        <v>106.08</v>
      </c>
    </row>
    <row r="6613" spans="1:2" ht="15.75" customHeight="1" thickBot="1" x14ac:dyDescent="0.3">
      <c r="A6613" s="7">
        <f ca="1"/>
        <v>43503</v>
      </c>
      <c r="B6613" s="6">
        <v>103.89</v>
      </c>
    </row>
    <row r="6614" spans="1:2" ht="15.75" customHeight="1" thickBot="1" x14ac:dyDescent="0.3">
      <c r="A6614" s="7">
        <f ca="1"/>
        <v>43504</v>
      </c>
      <c r="B6614" s="6">
        <v>103.91</v>
      </c>
    </row>
    <row r="6615" spans="1:2" ht="15.75" customHeight="1" thickBot="1" x14ac:dyDescent="0.3">
      <c r="A6615" s="7">
        <f ca="1"/>
        <v>43505</v>
      </c>
      <c r="B6615" s="5">
        <f t="shared" ref="B6615:B6616" si="944">B6614</f>
        <v>103.91</v>
      </c>
    </row>
    <row r="6616" spans="1:2" ht="15.75" customHeight="1" thickBot="1" x14ac:dyDescent="0.3">
      <c r="A6616" s="7">
        <f ca="1"/>
        <v>43506</v>
      </c>
      <c r="B6616" s="5">
        <f t="shared" si="944"/>
        <v>103.91</v>
      </c>
    </row>
    <row r="6617" spans="1:2" ht="15.75" customHeight="1" thickBot="1" x14ac:dyDescent="0.3">
      <c r="A6617" s="7">
        <f ca="1"/>
        <v>43507</v>
      </c>
      <c r="B6617" s="6">
        <v>104.3</v>
      </c>
    </row>
    <row r="6618" spans="1:2" ht="15.75" customHeight="1" thickBot="1" x14ac:dyDescent="0.3">
      <c r="A6618" s="7">
        <f ca="1"/>
        <v>43508</v>
      </c>
      <c r="B6618" s="6">
        <v>104.53</v>
      </c>
    </row>
    <row r="6619" spans="1:2" ht="15.75" customHeight="1" thickBot="1" x14ac:dyDescent="0.3">
      <c r="A6619" s="7">
        <f ca="1"/>
        <v>43509</v>
      </c>
      <c r="B6619" s="6">
        <v>105.32</v>
      </c>
    </row>
    <row r="6620" spans="1:2" ht="15.75" customHeight="1" thickBot="1" x14ac:dyDescent="0.3">
      <c r="A6620" s="7">
        <f ca="1"/>
        <v>43510</v>
      </c>
      <c r="B6620" s="6">
        <v>105.69</v>
      </c>
    </row>
    <row r="6621" spans="1:2" ht="15.75" customHeight="1" thickBot="1" x14ac:dyDescent="0.3">
      <c r="A6621" s="7">
        <f ca="1"/>
        <v>43511</v>
      </c>
      <c r="B6621" s="6">
        <v>106.75</v>
      </c>
    </row>
    <row r="6622" spans="1:2" ht="15.75" customHeight="1" thickBot="1" x14ac:dyDescent="0.3">
      <c r="A6622" s="7">
        <f ca="1"/>
        <v>43512</v>
      </c>
      <c r="B6622" s="5">
        <f t="shared" ref="B6622:B6624" si="945">B6621</f>
        <v>106.75</v>
      </c>
    </row>
    <row r="6623" spans="1:2" ht="15.75" customHeight="1" thickBot="1" x14ac:dyDescent="0.3">
      <c r="A6623" s="7">
        <f ca="1"/>
        <v>43513</v>
      </c>
      <c r="B6623" s="5">
        <f t="shared" si="945"/>
        <v>106.75</v>
      </c>
    </row>
    <row r="6624" spans="1:2" ht="15.75" customHeight="1" thickBot="1" x14ac:dyDescent="0.3">
      <c r="A6624" s="7">
        <f ca="1"/>
        <v>43514</v>
      </c>
      <c r="B6624" s="5">
        <f t="shared" si="945"/>
        <v>106.75</v>
      </c>
    </row>
    <row r="6625" spans="1:2" ht="15.75" customHeight="1" thickBot="1" x14ac:dyDescent="0.3">
      <c r="A6625" s="7">
        <f ca="1"/>
        <v>43515</v>
      </c>
      <c r="B6625" s="6">
        <v>106.06</v>
      </c>
    </row>
    <row r="6626" spans="1:2" ht="15.75" customHeight="1" thickBot="1" x14ac:dyDescent="0.3">
      <c r="A6626" s="7">
        <f ca="1"/>
        <v>43516</v>
      </c>
      <c r="B6626" s="6">
        <v>106.58</v>
      </c>
    </row>
    <row r="6627" spans="1:2" ht="15.75" customHeight="1" thickBot="1" x14ac:dyDescent="0.3">
      <c r="A6627" s="7">
        <f ca="1"/>
        <v>43517</v>
      </c>
      <c r="B6627" s="6">
        <v>107.2</v>
      </c>
    </row>
    <row r="6628" spans="1:2" ht="15.75" customHeight="1" thickBot="1" x14ac:dyDescent="0.3">
      <c r="A6628" s="7">
        <f ca="1"/>
        <v>43518</v>
      </c>
      <c r="B6628" s="6">
        <v>108.08</v>
      </c>
    </row>
    <row r="6629" spans="1:2" ht="15.75" customHeight="1" thickBot="1" x14ac:dyDescent="0.3">
      <c r="A6629" s="7">
        <f ca="1"/>
        <v>43519</v>
      </c>
      <c r="B6629" s="5">
        <f t="shared" ref="B6629:B6630" si="946">B6628</f>
        <v>108.08</v>
      </c>
    </row>
    <row r="6630" spans="1:2" ht="15.75" customHeight="1" thickBot="1" x14ac:dyDescent="0.3">
      <c r="A6630" s="7">
        <f ca="1"/>
        <v>43520</v>
      </c>
      <c r="B6630" s="5">
        <f t="shared" si="946"/>
        <v>108.08</v>
      </c>
    </row>
    <row r="6631" spans="1:2" ht="15.75" customHeight="1" thickBot="1" x14ac:dyDescent="0.3">
      <c r="A6631" s="7">
        <f ca="1"/>
        <v>43521</v>
      </c>
      <c r="B6631" s="6">
        <v>107.72</v>
      </c>
    </row>
    <row r="6632" spans="1:2" ht="15.75" customHeight="1" thickBot="1" x14ac:dyDescent="0.3">
      <c r="A6632" s="7">
        <f ca="1"/>
        <v>43522</v>
      </c>
      <c r="B6632" s="6">
        <v>106.54</v>
      </c>
    </row>
    <row r="6633" spans="1:2" ht="15.75" customHeight="1" thickBot="1" x14ac:dyDescent="0.3">
      <c r="A6633" s="7">
        <f ca="1"/>
        <v>43523</v>
      </c>
      <c r="B6633" s="6">
        <v>106.71</v>
      </c>
    </row>
    <row r="6634" spans="1:2" ht="15.75" customHeight="1" thickBot="1" x14ac:dyDescent="0.3">
      <c r="A6634" s="7">
        <f ca="1"/>
        <v>43524</v>
      </c>
      <c r="B6634" s="6">
        <v>107.04</v>
      </c>
    </row>
    <row r="6635" spans="1:2" ht="15.75" customHeight="1" thickBot="1" x14ac:dyDescent="0.3">
      <c r="A6635" s="7">
        <f ca="1"/>
        <v>43525</v>
      </c>
      <c r="B6635" s="6">
        <v>108</v>
      </c>
    </row>
    <row r="6636" spans="1:2" ht="15.75" customHeight="1" thickBot="1" x14ac:dyDescent="0.3">
      <c r="A6636" s="7">
        <f ca="1"/>
        <v>43526</v>
      </c>
      <c r="B6636" s="5">
        <f t="shared" ref="B6636:B6637" si="947">B6635</f>
        <v>108</v>
      </c>
    </row>
    <row r="6637" spans="1:2" ht="15.75" customHeight="1" thickBot="1" x14ac:dyDescent="0.3">
      <c r="A6637" s="7">
        <f ca="1"/>
        <v>43527</v>
      </c>
      <c r="B6637" s="5">
        <f t="shared" si="947"/>
        <v>108</v>
      </c>
    </row>
    <row r="6638" spans="1:2" ht="15.75" customHeight="1" thickBot="1" x14ac:dyDescent="0.3">
      <c r="A6638" s="7">
        <f ca="1"/>
        <v>43528</v>
      </c>
      <c r="B6638" s="6">
        <v>108</v>
      </c>
    </row>
    <row r="6639" spans="1:2" ht="15.75" customHeight="1" thickBot="1" x14ac:dyDescent="0.3">
      <c r="A6639" s="7">
        <f ca="1"/>
        <v>43529</v>
      </c>
      <c r="B6639" s="6">
        <v>107.62</v>
      </c>
    </row>
    <row r="6640" spans="1:2" ht="15.75" customHeight="1" thickBot="1" x14ac:dyDescent="0.3">
      <c r="A6640" s="7">
        <f ca="1"/>
        <v>43530</v>
      </c>
      <c r="B6640" s="6">
        <v>108.26</v>
      </c>
    </row>
    <row r="6641" spans="1:2" ht="15.75" customHeight="1" thickBot="1" x14ac:dyDescent="0.3">
      <c r="A6641" s="7">
        <f ca="1"/>
        <v>43531</v>
      </c>
      <c r="B6641" s="6">
        <v>107.43</v>
      </c>
    </row>
    <row r="6642" spans="1:2" ht="15.75" customHeight="1" thickBot="1" x14ac:dyDescent="0.3">
      <c r="A6642" s="7">
        <f ca="1"/>
        <v>43532</v>
      </c>
      <c r="B6642" s="6">
        <v>106.77</v>
      </c>
    </row>
    <row r="6643" spans="1:2" ht="15.75" customHeight="1" thickBot="1" x14ac:dyDescent="0.3">
      <c r="A6643" s="7">
        <f ca="1"/>
        <v>43533</v>
      </c>
      <c r="B6643" s="5">
        <f t="shared" ref="B6643:B6644" si="948">B6642</f>
        <v>106.77</v>
      </c>
    </row>
    <row r="6644" spans="1:2" ht="15.75" customHeight="1" thickBot="1" x14ac:dyDescent="0.3">
      <c r="A6644" s="7">
        <f ca="1"/>
        <v>43534</v>
      </c>
      <c r="B6644" s="5">
        <f t="shared" si="948"/>
        <v>106.77</v>
      </c>
    </row>
    <row r="6645" spans="1:2" ht="15.75" customHeight="1" thickBot="1" x14ac:dyDescent="0.3">
      <c r="A6645" s="7">
        <f ca="1"/>
        <v>43535</v>
      </c>
      <c r="B6645" s="6">
        <v>106.66</v>
      </c>
    </row>
    <row r="6646" spans="1:2" ht="15.75" customHeight="1" thickBot="1" x14ac:dyDescent="0.3">
      <c r="A6646" s="7">
        <f ca="1"/>
        <v>43536</v>
      </c>
      <c r="B6646" s="6">
        <v>107.36</v>
      </c>
    </row>
    <row r="6647" spans="1:2" ht="15.75" customHeight="1" thickBot="1" x14ac:dyDescent="0.3">
      <c r="A6647" s="7">
        <f ca="1"/>
        <v>43537</v>
      </c>
      <c r="B6647" s="6">
        <v>108.52</v>
      </c>
    </row>
    <row r="6648" spans="1:2" ht="15.75" customHeight="1" thickBot="1" x14ac:dyDescent="0.3">
      <c r="A6648" s="7">
        <f ca="1"/>
        <v>43538</v>
      </c>
      <c r="B6648" s="6">
        <v>109.33</v>
      </c>
    </row>
    <row r="6649" spans="1:2" ht="15.75" customHeight="1" thickBot="1" x14ac:dyDescent="0.3">
      <c r="A6649" s="7">
        <f ca="1"/>
        <v>43539</v>
      </c>
      <c r="B6649" s="6">
        <v>111.64</v>
      </c>
    </row>
    <row r="6650" spans="1:2" ht="15.75" customHeight="1" thickBot="1" x14ac:dyDescent="0.3">
      <c r="A6650" s="7">
        <f ca="1"/>
        <v>43540</v>
      </c>
      <c r="B6650" s="5">
        <f t="shared" ref="B6650:B6651" si="949">B6649</f>
        <v>111.64</v>
      </c>
    </row>
    <row r="6651" spans="1:2" ht="15.75" customHeight="1" thickBot="1" x14ac:dyDescent="0.3">
      <c r="A6651" s="7">
        <f ca="1"/>
        <v>43541</v>
      </c>
      <c r="B6651" s="5">
        <f t="shared" si="949"/>
        <v>111.64</v>
      </c>
    </row>
    <row r="6652" spans="1:2" ht="15.75" customHeight="1" thickBot="1" x14ac:dyDescent="0.3">
      <c r="A6652" s="7">
        <f ca="1"/>
        <v>43542</v>
      </c>
      <c r="B6652" s="6">
        <v>111.99</v>
      </c>
    </row>
    <row r="6653" spans="1:2" ht="15.75" customHeight="1" thickBot="1" x14ac:dyDescent="0.3">
      <c r="A6653" s="7">
        <f ca="1"/>
        <v>43543</v>
      </c>
      <c r="B6653" s="6">
        <v>113.33</v>
      </c>
    </row>
    <row r="6654" spans="1:2" ht="15.75" customHeight="1" thickBot="1" x14ac:dyDescent="0.3">
      <c r="A6654" s="7">
        <f ca="1"/>
        <v>43544</v>
      </c>
      <c r="B6654" s="6">
        <v>113.79</v>
      </c>
    </row>
    <row r="6655" spans="1:2" ht="15.75" customHeight="1" thickBot="1" x14ac:dyDescent="0.3">
      <c r="A6655" s="7">
        <f ca="1"/>
        <v>43545</v>
      </c>
      <c r="B6655" s="6">
        <v>113.31</v>
      </c>
    </row>
    <row r="6656" spans="1:2" ht="15.75" customHeight="1" thickBot="1" x14ac:dyDescent="0.3">
      <c r="A6656" s="7">
        <f ca="1"/>
        <v>43546</v>
      </c>
      <c r="B6656" s="6">
        <v>112.67</v>
      </c>
    </row>
    <row r="6657" spans="1:2" ht="15.75" customHeight="1" thickBot="1" x14ac:dyDescent="0.3">
      <c r="A6657" s="7">
        <f ca="1"/>
        <v>43547</v>
      </c>
      <c r="B6657" s="5">
        <f t="shared" ref="B6657:B6658" si="950">B6656</f>
        <v>112.67</v>
      </c>
    </row>
    <row r="6658" spans="1:2" ht="15.75" customHeight="1" thickBot="1" x14ac:dyDescent="0.3">
      <c r="A6658" s="7">
        <f ca="1"/>
        <v>43548</v>
      </c>
      <c r="B6658" s="5">
        <f t="shared" si="950"/>
        <v>112.67</v>
      </c>
    </row>
    <row r="6659" spans="1:2" ht="15.75" customHeight="1" thickBot="1" x14ac:dyDescent="0.3">
      <c r="A6659" s="7">
        <f ca="1"/>
        <v>43549</v>
      </c>
      <c r="B6659" s="6">
        <v>111.41</v>
      </c>
    </row>
    <row r="6660" spans="1:2" ht="15.75" customHeight="1" thickBot="1" x14ac:dyDescent="0.3">
      <c r="A6660" s="7">
        <f ca="1"/>
        <v>43550</v>
      </c>
      <c r="B6660" s="6">
        <v>113.07</v>
      </c>
    </row>
    <row r="6661" spans="1:2" ht="15.75" customHeight="1" thickBot="1" x14ac:dyDescent="0.3">
      <c r="A6661" s="7">
        <f ca="1"/>
        <v>43551</v>
      </c>
      <c r="B6661" s="6">
        <v>113.69</v>
      </c>
    </row>
    <row r="6662" spans="1:2" ht="15.75" customHeight="1" thickBot="1" x14ac:dyDescent="0.3">
      <c r="A6662" s="7">
        <f ca="1"/>
        <v>43552</v>
      </c>
      <c r="B6662" s="6">
        <v>114.32</v>
      </c>
    </row>
    <row r="6663" spans="1:2" ht="15.75" customHeight="1" thickBot="1" x14ac:dyDescent="0.3">
      <c r="A6663" s="7">
        <f ca="1"/>
        <v>43553</v>
      </c>
      <c r="B6663" s="6">
        <v>116.08</v>
      </c>
    </row>
    <row r="6664" spans="1:2" ht="15.75" customHeight="1" thickBot="1" x14ac:dyDescent="0.3">
      <c r="A6664" s="7">
        <f ca="1"/>
        <v>43554</v>
      </c>
      <c r="B6664" s="5">
        <f t="shared" ref="B6664:B6665" si="951">B6663</f>
        <v>116.08</v>
      </c>
    </row>
    <row r="6665" spans="1:2" ht="15.75" customHeight="1" thickBot="1" x14ac:dyDescent="0.3">
      <c r="A6665" s="7">
        <f ca="1"/>
        <v>43555</v>
      </c>
      <c r="B6665" s="5">
        <f t="shared" si="951"/>
        <v>116.08</v>
      </c>
    </row>
    <row r="6666" spans="1:2" ht="15.75" customHeight="1" thickBot="1" x14ac:dyDescent="0.3">
      <c r="A6666" s="7">
        <f ca="1"/>
        <v>43556</v>
      </c>
      <c r="B6666" s="6">
        <v>115.77</v>
      </c>
    </row>
    <row r="6667" spans="1:2" ht="15.75" customHeight="1" thickBot="1" x14ac:dyDescent="0.3">
      <c r="A6667" s="7">
        <f ca="1"/>
        <v>43557</v>
      </c>
      <c r="B6667" s="6">
        <v>115.67</v>
      </c>
    </row>
    <row r="6668" spans="1:2" ht="15.75" customHeight="1" thickBot="1" x14ac:dyDescent="0.3">
      <c r="A6668" s="7">
        <f ca="1"/>
        <v>43558</v>
      </c>
      <c r="B6668" s="6">
        <v>116.67</v>
      </c>
    </row>
    <row r="6669" spans="1:2" ht="15.75" customHeight="1" thickBot="1" x14ac:dyDescent="0.3">
      <c r="A6669" s="7">
        <f ca="1"/>
        <v>43559</v>
      </c>
      <c r="B6669" s="6">
        <v>117.24</v>
      </c>
    </row>
    <row r="6670" spans="1:2" ht="15.75" customHeight="1" thickBot="1" x14ac:dyDescent="0.3">
      <c r="A6670" s="7">
        <f ca="1"/>
        <v>43560</v>
      </c>
      <c r="B6670" s="6">
        <v>114.5</v>
      </c>
    </row>
    <row r="6671" spans="1:2" ht="15.75" customHeight="1" thickBot="1" x14ac:dyDescent="0.3">
      <c r="A6671" s="7">
        <f ca="1"/>
        <v>43561</v>
      </c>
      <c r="B6671" s="5">
        <f t="shared" ref="B6671:B6672" si="952">B6670</f>
        <v>114.5</v>
      </c>
    </row>
    <row r="6672" spans="1:2" ht="15.75" customHeight="1" thickBot="1" x14ac:dyDescent="0.3">
      <c r="A6672" s="7">
        <f ca="1"/>
        <v>43562</v>
      </c>
      <c r="B6672" s="5">
        <f t="shared" si="952"/>
        <v>114.5</v>
      </c>
    </row>
    <row r="6673" spans="1:2" ht="15.75" customHeight="1" thickBot="1" x14ac:dyDescent="0.3">
      <c r="A6673" s="7">
        <f ca="1"/>
        <v>43563</v>
      </c>
      <c r="B6673" s="6">
        <v>114.37</v>
      </c>
    </row>
    <row r="6674" spans="1:2" ht="15.75" customHeight="1" thickBot="1" x14ac:dyDescent="0.3">
      <c r="A6674" s="7">
        <f ca="1"/>
        <v>43564</v>
      </c>
      <c r="B6674" s="6">
        <v>111.4</v>
      </c>
    </row>
    <row r="6675" spans="1:2" ht="15.75" customHeight="1" thickBot="1" x14ac:dyDescent="0.3">
      <c r="A6675" s="7">
        <f ca="1"/>
        <v>43565</v>
      </c>
      <c r="B6675" s="6">
        <v>111.93</v>
      </c>
    </row>
    <row r="6676" spans="1:2" ht="15.75" customHeight="1" thickBot="1" x14ac:dyDescent="0.3">
      <c r="A6676" s="7">
        <f ca="1"/>
        <v>43566</v>
      </c>
      <c r="B6676" s="6">
        <v>112.18</v>
      </c>
    </row>
    <row r="6677" spans="1:2" ht="15.75" customHeight="1" thickBot="1" x14ac:dyDescent="0.3">
      <c r="A6677" s="7">
        <f ca="1"/>
        <v>43567</v>
      </c>
      <c r="B6677" s="6">
        <v>112.66</v>
      </c>
    </row>
    <row r="6678" spans="1:2" ht="15.75" customHeight="1" thickBot="1" x14ac:dyDescent="0.3">
      <c r="A6678" s="7">
        <f ca="1"/>
        <v>43568</v>
      </c>
      <c r="B6678" s="5">
        <f t="shared" ref="B6678:B6679" si="953">B6677</f>
        <v>112.66</v>
      </c>
    </row>
    <row r="6679" spans="1:2" ht="15.75" customHeight="1" thickBot="1" x14ac:dyDescent="0.3">
      <c r="A6679" s="7">
        <f ca="1"/>
        <v>43569</v>
      </c>
      <c r="B6679" s="5">
        <f t="shared" si="953"/>
        <v>112.66</v>
      </c>
    </row>
    <row r="6680" spans="1:2" ht="15.75" customHeight="1" thickBot="1" x14ac:dyDescent="0.3">
      <c r="A6680" s="7">
        <f ca="1"/>
        <v>43570</v>
      </c>
      <c r="B6680" s="6">
        <v>112.26</v>
      </c>
    </row>
    <row r="6681" spans="1:2" ht="15.75" customHeight="1" thickBot="1" x14ac:dyDescent="0.3">
      <c r="A6681" s="7">
        <f ca="1"/>
        <v>43571</v>
      </c>
      <c r="B6681" s="6">
        <v>112.22</v>
      </c>
    </row>
    <row r="6682" spans="1:2" ht="15.75" customHeight="1" thickBot="1" x14ac:dyDescent="0.3">
      <c r="A6682" s="7">
        <f ca="1"/>
        <v>43572</v>
      </c>
      <c r="B6682" s="6">
        <v>112.8</v>
      </c>
    </row>
    <row r="6683" spans="1:2" ht="15.75" customHeight="1" thickBot="1" x14ac:dyDescent="0.3">
      <c r="A6683" s="7">
        <f ca="1"/>
        <v>43573</v>
      </c>
      <c r="B6683" s="6">
        <v>112.8</v>
      </c>
    </row>
    <row r="6684" spans="1:2" ht="15.75" customHeight="1" thickBot="1" x14ac:dyDescent="0.3">
      <c r="A6684" s="7">
        <f ca="1"/>
        <v>43574</v>
      </c>
      <c r="B6684" s="5">
        <f t="shared" ref="B6684:B6686" si="954">B6683</f>
        <v>112.8</v>
      </c>
    </row>
    <row r="6685" spans="1:2" ht="15.75" customHeight="1" thickBot="1" x14ac:dyDescent="0.3">
      <c r="A6685" s="7">
        <f ca="1"/>
        <v>43575</v>
      </c>
      <c r="B6685" s="5">
        <f t="shared" si="954"/>
        <v>112.8</v>
      </c>
    </row>
    <row r="6686" spans="1:2" ht="15.75" customHeight="1" thickBot="1" x14ac:dyDescent="0.3">
      <c r="A6686" s="7">
        <f ca="1"/>
        <v>43576</v>
      </c>
      <c r="B6686" s="5">
        <f t="shared" si="954"/>
        <v>112.8</v>
      </c>
    </row>
    <row r="6687" spans="1:2" ht="15.75" customHeight="1" thickBot="1" x14ac:dyDescent="0.3">
      <c r="A6687" s="7">
        <f ca="1"/>
        <v>43577</v>
      </c>
      <c r="B6687" s="6">
        <v>112.65</v>
      </c>
    </row>
    <row r="6688" spans="1:2" ht="15.75" customHeight="1" thickBot="1" x14ac:dyDescent="0.3">
      <c r="A6688" s="7">
        <f ca="1"/>
        <v>43578</v>
      </c>
      <c r="B6688" s="6">
        <v>113.54</v>
      </c>
    </row>
    <row r="6689" spans="1:2" ht="15.75" customHeight="1" thickBot="1" x14ac:dyDescent="0.3">
      <c r="A6689" s="7">
        <f ca="1"/>
        <v>43579</v>
      </c>
      <c r="B6689" s="6">
        <v>125.82</v>
      </c>
    </row>
    <row r="6690" spans="1:2" ht="15.75" customHeight="1" thickBot="1" x14ac:dyDescent="0.3">
      <c r="A6690" s="7">
        <f ca="1"/>
        <v>43580</v>
      </c>
      <c r="B6690" s="6">
        <v>127.06</v>
      </c>
    </row>
    <row r="6691" spans="1:2" ht="15.75" customHeight="1" thickBot="1" x14ac:dyDescent="0.3">
      <c r="A6691" s="7">
        <f ca="1"/>
        <v>43581</v>
      </c>
      <c r="B6691" s="6">
        <v>128.52000000000001</v>
      </c>
    </row>
    <row r="6692" spans="1:2" ht="15.75" customHeight="1" thickBot="1" x14ac:dyDescent="0.3">
      <c r="A6692" s="7">
        <f ca="1"/>
        <v>43582</v>
      </c>
      <c r="B6692" s="5">
        <f t="shared" ref="B6692:B6693" si="955">B6691</f>
        <v>128.52000000000001</v>
      </c>
    </row>
    <row r="6693" spans="1:2" ht="15.75" customHeight="1" thickBot="1" x14ac:dyDescent="0.3">
      <c r="A6693" s="7">
        <f ca="1"/>
        <v>43583</v>
      </c>
      <c r="B6693" s="5">
        <f t="shared" si="955"/>
        <v>128.52000000000001</v>
      </c>
    </row>
    <row r="6694" spans="1:2" ht="15.75" customHeight="1" thickBot="1" x14ac:dyDescent="0.3">
      <c r="A6694" s="7">
        <f ca="1"/>
        <v>43584</v>
      </c>
      <c r="B6694" s="6">
        <v>127.06</v>
      </c>
    </row>
    <row r="6695" spans="1:2" ht="15.75" customHeight="1" thickBot="1" x14ac:dyDescent="0.3">
      <c r="A6695" s="7">
        <f ca="1"/>
        <v>43585</v>
      </c>
      <c r="B6695" s="6">
        <v>127.53</v>
      </c>
    </row>
    <row r="6696" spans="1:2" ht="15.75" customHeight="1" thickBot="1" x14ac:dyDescent="0.3">
      <c r="A6696" s="7">
        <f ca="1"/>
        <v>43586</v>
      </c>
      <c r="B6696" s="6">
        <v>129.06</v>
      </c>
    </row>
    <row r="6697" spans="1:2" ht="15.75" customHeight="1" thickBot="1" x14ac:dyDescent="0.3">
      <c r="A6697" s="7">
        <f ca="1"/>
        <v>43587</v>
      </c>
      <c r="B6697" s="6">
        <v>127.07</v>
      </c>
    </row>
    <row r="6698" spans="1:2" ht="15.75" customHeight="1" thickBot="1" x14ac:dyDescent="0.3">
      <c r="A6698" s="7">
        <f ca="1"/>
        <v>43588</v>
      </c>
      <c r="B6698" s="6">
        <v>126.49</v>
      </c>
    </row>
    <row r="6699" spans="1:2" ht="15.75" customHeight="1" thickBot="1" x14ac:dyDescent="0.3">
      <c r="A6699" s="7">
        <f ca="1"/>
        <v>43589</v>
      </c>
      <c r="B6699" s="5">
        <f t="shared" ref="B6699:B6700" si="956">B6698</f>
        <v>126.49</v>
      </c>
    </row>
    <row r="6700" spans="1:2" ht="15.75" customHeight="1" thickBot="1" x14ac:dyDescent="0.3">
      <c r="A6700" s="7">
        <f ca="1"/>
        <v>43590</v>
      </c>
      <c r="B6700" s="5">
        <f t="shared" si="956"/>
        <v>126.49</v>
      </c>
    </row>
    <row r="6701" spans="1:2" ht="15.75" customHeight="1" thickBot="1" x14ac:dyDescent="0.3">
      <c r="A6701" s="7">
        <f ca="1"/>
        <v>43591</v>
      </c>
      <c r="B6701" s="6">
        <v>125.22</v>
      </c>
    </row>
    <row r="6702" spans="1:2" ht="15.75" customHeight="1" thickBot="1" x14ac:dyDescent="0.3">
      <c r="A6702" s="7">
        <f ca="1"/>
        <v>43592</v>
      </c>
      <c r="B6702" s="6">
        <v>124.84</v>
      </c>
    </row>
    <row r="6703" spans="1:2" ht="15.75" customHeight="1" thickBot="1" x14ac:dyDescent="0.3">
      <c r="A6703" s="7">
        <f ca="1"/>
        <v>43593</v>
      </c>
      <c r="B6703" s="6">
        <v>123.73</v>
      </c>
    </row>
    <row r="6704" spans="1:2" ht="15.75" customHeight="1" thickBot="1" x14ac:dyDescent="0.3">
      <c r="A6704" s="7">
        <f ca="1"/>
        <v>43594</v>
      </c>
      <c r="B6704" s="6">
        <v>124.3</v>
      </c>
    </row>
    <row r="6705" spans="1:2" ht="15.75" customHeight="1" thickBot="1" x14ac:dyDescent="0.3">
      <c r="A6705" s="7">
        <f ca="1"/>
        <v>43595</v>
      </c>
      <c r="B6705" s="6">
        <v>124.76</v>
      </c>
    </row>
    <row r="6706" spans="1:2" ht="15.75" customHeight="1" thickBot="1" x14ac:dyDescent="0.3">
      <c r="A6706" s="7">
        <f ca="1"/>
        <v>43596</v>
      </c>
      <c r="B6706" s="5">
        <f t="shared" ref="B6706:B6707" si="957">B6705</f>
        <v>124.76</v>
      </c>
    </row>
    <row r="6707" spans="1:2" ht="15.75" customHeight="1" thickBot="1" x14ac:dyDescent="0.3">
      <c r="A6707" s="7">
        <f ca="1"/>
        <v>43597</v>
      </c>
      <c r="B6707" s="5">
        <f t="shared" si="957"/>
        <v>124.76</v>
      </c>
    </row>
    <row r="6708" spans="1:2" ht="15.75" customHeight="1" thickBot="1" x14ac:dyDescent="0.3">
      <c r="A6708" s="7">
        <f ca="1"/>
        <v>43598</v>
      </c>
      <c r="B6708" s="6">
        <v>124.37</v>
      </c>
    </row>
    <row r="6709" spans="1:2" ht="15.75" customHeight="1" thickBot="1" x14ac:dyDescent="0.3">
      <c r="A6709" s="7">
        <f ca="1"/>
        <v>43599</v>
      </c>
      <c r="B6709" s="6">
        <v>123.64</v>
      </c>
    </row>
    <row r="6710" spans="1:2" ht="15.75" customHeight="1" thickBot="1" x14ac:dyDescent="0.3">
      <c r="A6710" s="7">
        <f ca="1"/>
        <v>43600</v>
      </c>
      <c r="B6710" s="6">
        <v>124.4</v>
      </c>
    </row>
    <row r="6711" spans="1:2" ht="15.75" customHeight="1" thickBot="1" x14ac:dyDescent="0.3">
      <c r="A6711" s="7">
        <f ca="1"/>
        <v>43601</v>
      </c>
      <c r="B6711" s="6">
        <v>127.72</v>
      </c>
    </row>
    <row r="6712" spans="1:2" ht="15.75" customHeight="1" thickBot="1" x14ac:dyDescent="0.3">
      <c r="A6712" s="7">
        <f ca="1"/>
        <v>43602</v>
      </c>
      <c r="B6712" s="6">
        <v>128.13999999999999</v>
      </c>
    </row>
    <row r="6713" spans="1:2" ht="15.75" customHeight="1" thickBot="1" x14ac:dyDescent="0.3">
      <c r="A6713" s="7">
        <f ca="1"/>
        <v>43603</v>
      </c>
      <c r="B6713" s="5">
        <f t="shared" ref="B6713:B6714" si="958">B6712</f>
        <v>128.13999999999999</v>
      </c>
    </row>
    <row r="6714" spans="1:2" ht="15.75" customHeight="1" thickBot="1" x14ac:dyDescent="0.3">
      <c r="A6714" s="7">
        <f ca="1"/>
        <v>43604</v>
      </c>
      <c r="B6714" s="5">
        <f t="shared" si="958"/>
        <v>128.13999999999999</v>
      </c>
    </row>
    <row r="6715" spans="1:2" ht="15.75" customHeight="1" thickBot="1" x14ac:dyDescent="0.3">
      <c r="A6715" s="7">
        <f ca="1"/>
        <v>43605</v>
      </c>
      <c r="B6715" s="6">
        <v>124.78</v>
      </c>
    </row>
    <row r="6716" spans="1:2" ht="15.75" customHeight="1" thickBot="1" x14ac:dyDescent="0.3">
      <c r="A6716" s="7">
        <f ca="1"/>
        <v>43606</v>
      </c>
      <c r="B6716" s="6">
        <v>127.28</v>
      </c>
    </row>
    <row r="6717" spans="1:2" ht="15.75" customHeight="1" thickBot="1" x14ac:dyDescent="0.3">
      <c r="A6717" s="7">
        <f ca="1"/>
        <v>43607</v>
      </c>
      <c r="B6717" s="6">
        <v>127.96</v>
      </c>
    </row>
    <row r="6718" spans="1:2" ht="15.75" customHeight="1" thickBot="1" x14ac:dyDescent="0.3">
      <c r="A6718" s="7">
        <f ca="1"/>
        <v>43608</v>
      </c>
      <c r="B6718" s="6">
        <v>126.97</v>
      </c>
    </row>
    <row r="6719" spans="1:2" ht="15.75" customHeight="1" thickBot="1" x14ac:dyDescent="0.3">
      <c r="A6719" s="7">
        <f ca="1"/>
        <v>43609</v>
      </c>
      <c r="B6719" s="6">
        <v>127.61</v>
      </c>
    </row>
    <row r="6720" spans="1:2" ht="15.75" customHeight="1" thickBot="1" x14ac:dyDescent="0.3">
      <c r="A6720" s="7">
        <f ca="1"/>
        <v>43610</v>
      </c>
      <c r="B6720" s="5">
        <f t="shared" ref="B6720:B6722" si="959">B6719</f>
        <v>127.61</v>
      </c>
    </row>
    <row r="6721" spans="1:2" ht="15.75" customHeight="1" thickBot="1" x14ac:dyDescent="0.3">
      <c r="A6721" s="7">
        <f ca="1"/>
        <v>43611</v>
      </c>
      <c r="B6721" s="5">
        <f t="shared" si="959"/>
        <v>127.61</v>
      </c>
    </row>
    <row r="6722" spans="1:2" ht="15.75" customHeight="1" thickBot="1" x14ac:dyDescent="0.3">
      <c r="A6722" s="7">
        <f ca="1"/>
        <v>43612</v>
      </c>
      <c r="B6722" s="5">
        <f t="shared" si="959"/>
        <v>127.61</v>
      </c>
    </row>
    <row r="6723" spans="1:2" ht="15.75" customHeight="1" thickBot="1" x14ac:dyDescent="0.3">
      <c r="A6723" s="7">
        <f ca="1"/>
        <v>43613</v>
      </c>
      <c r="B6723" s="6">
        <v>126.63</v>
      </c>
    </row>
    <row r="6724" spans="1:2" ht="15.75" customHeight="1" thickBot="1" x14ac:dyDescent="0.3">
      <c r="A6724" s="7">
        <f ca="1"/>
        <v>43614</v>
      </c>
      <c r="B6724" s="6">
        <v>124.94</v>
      </c>
    </row>
    <row r="6725" spans="1:2" ht="15.75" customHeight="1" thickBot="1" x14ac:dyDescent="0.3">
      <c r="A6725" s="7">
        <f ca="1"/>
        <v>43615</v>
      </c>
      <c r="B6725" s="6">
        <v>124.2</v>
      </c>
    </row>
    <row r="6726" spans="1:2" ht="15.75" customHeight="1" thickBot="1" x14ac:dyDescent="0.3">
      <c r="A6726" s="7">
        <f ca="1"/>
        <v>43616</v>
      </c>
      <c r="B6726" s="6">
        <v>123.31</v>
      </c>
    </row>
    <row r="6727" spans="1:2" ht="15.75" customHeight="1" thickBot="1" x14ac:dyDescent="0.3">
      <c r="A6727" s="7">
        <f ca="1"/>
        <v>43617</v>
      </c>
      <c r="B6727" s="5">
        <f t="shared" ref="B6727:B6728" si="960">B6726</f>
        <v>123.31</v>
      </c>
    </row>
    <row r="6728" spans="1:2" ht="15.75" customHeight="1" thickBot="1" x14ac:dyDescent="0.3">
      <c r="A6728" s="7">
        <f ca="1"/>
        <v>43618</v>
      </c>
      <c r="B6728" s="5">
        <f t="shared" si="960"/>
        <v>123.31</v>
      </c>
    </row>
    <row r="6729" spans="1:2" ht="15.75" customHeight="1" thickBot="1" x14ac:dyDescent="0.3">
      <c r="A6729" s="7">
        <f ca="1"/>
        <v>43619</v>
      </c>
      <c r="B6729" s="6">
        <v>124.43</v>
      </c>
    </row>
    <row r="6730" spans="1:2" ht="15.75" customHeight="1" thickBot="1" x14ac:dyDescent="0.3">
      <c r="A6730" s="7">
        <f ca="1"/>
        <v>43620</v>
      </c>
      <c r="B6730" s="6">
        <v>123.99</v>
      </c>
    </row>
    <row r="6731" spans="1:2" ht="15.75" customHeight="1" thickBot="1" x14ac:dyDescent="0.3">
      <c r="A6731" s="7">
        <f ca="1"/>
        <v>43621</v>
      </c>
      <c r="B6731" s="6">
        <v>127.26</v>
      </c>
    </row>
    <row r="6732" spans="1:2" ht="15.75" customHeight="1" thickBot="1" x14ac:dyDescent="0.3">
      <c r="A6732" s="7">
        <f ca="1"/>
        <v>43622</v>
      </c>
      <c r="B6732" s="6">
        <v>125.48</v>
      </c>
    </row>
    <row r="6733" spans="1:2" ht="15.75" customHeight="1" thickBot="1" x14ac:dyDescent="0.3">
      <c r="A6733" s="7">
        <f ca="1"/>
        <v>43623</v>
      </c>
      <c r="B6733" s="6">
        <v>128.24</v>
      </c>
    </row>
    <row r="6734" spans="1:2" ht="15.75" customHeight="1" thickBot="1" x14ac:dyDescent="0.3">
      <c r="A6734" s="7">
        <f ca="1"/>
        <v>43624</v>
      </c>
      <c r="B6734" s="5">
        <f t="shared" ref="B6734:B6735" si="961">B6733</f>
        <v>128.24</v>
      </c>
    </row>
    <row r="6735" spans="1:2" ht="15.75" customHeight="1" thickBot="1" x14ac:dyDescent="0.3">
      <c r="A6735" s="7">
        <f ca="1"/>
        <v>43625</v>
      </c>
      <c r="B6735" s="5">
        <f t="shared" si="961"/>
        <v>128.24</v>
      </c>
    </row>
    <row r="6736" spans="1:2" ht="15.75" customHeight="1" thickBot="1" x14ac:dyDescent="0.3">
      <c r="A6736" s="7">
        <f ca="1"/>
        <v>43626</v>
      </c>
      <c r="B6736" s="6">
        <v>129.77000000000001</v>
      </c>
    </row>
    <row r="6737" spans="1:2" ht="15.75" customHeight="1" thickBot="1" x14ac:dyDescent="0.3">
      <c r="A6737" s="7">
        <f ca="1"/>
        <v>43627</v>
      </c>
      <c r="B6737" s="6">
        <v>129.58000000000001</v>
      </c>
    </row>
    <row r="6738" spans="1:2" ht="15.75" customHeight="1" thickBot="1" x14ac:dyDescent="0.3">
      <c r="A6738" s="7">
        <f ca="1"/>
        <v>43628</v>
      </c>
      <c r="B6738" s="6">
        <v>127.78</v>
      </c>
    </row>
    <row r="6739" spans="1:2" ht="15.75" customHeight="1" thickBot="1" x14ac:dyDescent="0.3">
      <c r="A6739" s="7">
        <f ca="1"/>
        <v>43629</v>
      </c>
      <c r="B6739" s="6">
        <v>129.37</v>
      </c>
    </row>
    <row r="6740" spans="1:2" ht="15.75" customHeight="1" thickBot="1" x14ac:dyDescent="0.3">
      <c r="A6740" s="7">
        <f ca="1"/>
        <v>43630</v>
      </c>
      <c r="B6740" s="6">
        <v>128.08000000000001</v>
      </c>
    </row>
    <row r="6741" spans="1:2" ht="15.75" customHeight="1" thickBot="1" x14ac:dyDescent="0.3">
      <c r="A6741" s="7">
        <f ca="1"/>
        <v>43631</v>
      </c>
      <c r="B6741" s="5">
        <f t="shared" ref="B6741:B6742" si="962">B6740</f>
        <v>128.08000000000001</v>
      </c>
    </row>
    <row r="6742" spans="1:2" ht="15.75" customHeight="1" thickBot="1" x14ac:dyDescent="0.3">
      <c r="A6742" s="7">
        <f ca="1"/>
        <v>43632</v>
      </c>
      <c r="B6742" s="5">
        <f t="shared" si="962"/>
        <v>128.08000000000001</v>
      </c>
    </row>
    <row r="6743" spans="1:2" ht="15.75" customHeight="1" thickBot="1" x14ac:dyDescent="0.3">
      <c r="A6743" s="7">
        <f ca="1"/>
        <v>43633</v>
      </c>
      <c r="B6743" s="6">
        <v>128.61000000000001</v>
      </c>
    </row>
    <row r="6744" spans="1:2" ht="15.75" customHeight="1" thickBot="1" x14ac:dyDescent="0.3">
      <c r="A6744" s="7">
        <f ca="1"/>
        <v>43634</v>
      </c>
      <c r="B6744" s="6">
        <v>131.63</v>
      </c>
    </row>
    <row r="6745" spans="1:2" ht="15.75" customHeight="1" thickBot="1" x14ac:dyDescent="0.3">
      <c r="A6745" s="7">
        <f ca="1"/>
        <v>43635</v>
      </c>
      <c r="B6745" s="6">
        <v>131.13</v>
      </c>
    </row>
    <row r="6746" spans="1:2" ht="15.75" customHeight="1" thickBot="1" x14ac:dyDescent="0.3">
      <c r="A6746" s="7">
        <f ca="1"/>
        <v>43636</v>
      </c>
      <c r="B6746" s="6">
        <v>134.68</v>
      </c>
    </row>
    <row r="6747" spans="1:2" ht="15.75" customHeight="1" thickBot="1" x14ac:dyDescent="0.3">
      <c r="A6747" s="7">
        <f ca="1"/>
        <v>43637</v>
      </c>
      <c r="B6747" s="6">
        <v>133.97</v>
      </c>
    </row>
    <row r="6748" spans="1:2" ht="15.75" customHeight="1" thickBot="1" x14ac:dyDescent="0.3">
      <c r="A6748" s="7">
        <f ca="1"/>
        <v>43638</v>
      </c>
      <c r="B6748" s="5">
        <f t="shared" ref="B6748:B6749" si="963">B6747</f>
        <v>133.97</v>
      </c>
    </row>
    <row r="6749" spans="1:2" ht="15.75" customHeight="1" thickBot="1" x14ac:dyDescent="0.3">
      <c r="A6749" s="7">
        <f ca="1"/>
        <v>43639</v>
      </c>
      <c r="B6749" s="5">
        <f t="shared" si="963"/>
        <v>133.97</v>
      </c>
    </row>
    <row r="6750" spans="1:2" ht="15.75" customHeight="1" thickBot="1" x14ac:dyDescent="0.3">
      <c r="A6750" s="7">
        <f ca="1"/>
        <v>43640</v>
      </c>
      <c r="B6750" s="6">
        <v>135.33000000000001</v>
      </c>
    </row>
    <row r="6751" spans="1:2" ht="15.75" customHeight="1" thickBot="1" x14ac:dyDescent="0.3">
      <c r="A6751" s="7">
        <f ca="1"/>
        <v>43641</v>
      </c>
      <c r="B6751" s="6">
        <v>136.13</v>
      </c>
    </row>
    <row r="6752" spans="1:2" ht="15.75" customHeight="1" thickBot="1" x14ac:dyDescent="0.3">
      <c r="A6752" s="7">
        <f ca="1"/>
        <v>43642</v>
      </c>
      <c r="B6752" s="6">
        <v>133.94999999999999</v>
      </c>
    </row>
    <row r="6753" spans="1:2" ht="15.75" customHeight="1" thickBot="1" x14ac:dyDescent="0.3">
      <c r="A6753" s="7">
        <f ca="1"/>
        <v>43643</v>
      </c>
      <c r="B6753" s="6">
        <v>133.66999999999999</v>
      </c>
    </row>
    <row r="6754" spans="1:2" ht="15.75" customHeight="1" thickBot="1" x14ac:dyDescent="0.3">
      <c r="A6754" s="7">
        <f ca="1"/>
        <v>43644</v>
      </c>
      <c r="B6754" s="6">
        <v>135.94</v>
      </c>
    </row>
    <row r="6755" spans="1:2" ht="15.75" customHeight="1" thickBot="1" x14ac:dyDescent="0.3">
      <c r="A6755" s="7">
        <f ca="1"/>
        <v>43645</v>
      </c>
      <c r="B6755" s="5">
        <f t="shared" ref="B6755:B6756" si="964">B6754</f>
        <v>135.94</v>
      </c>
    </row>
    <row r="6756" spans="1:2" ht="15.75" customHeight="1" thickBot="1" x14ac:dyDescent="0.3">
      <c r="A6756" s="7">
        <f ca="1"/>
        <v>43646</v>
      </c>
      <c r="B6756" s="5">
        <f t="shared" si="964"/>
        <v>135.94</v>
      </c>
    </row>
    <row r="6757" spans="1:2" ht="15.75" customHeight="1" thickBot="1" x14ac:dyDescent="0.3">
      <c r="A6757" s="7">
        <f ca="1"/>
        <v>43647</v>
      </c>
      <c r="B6757" s="6">
        <v>138.69999999999999</v>
      </c>
    </row>
    <row r="6758" spans="1:2" ht="15.75" customHeight="1" thickBot="1" x14ac:dyDescent="0.3">
      <c r="A6758" s="7">
        <f ca="1"/>
        <v>43648</v>
      </c>
      <c r="B6758" s="6">
        <v>138.46</v>
      </c>
    </row>
    <row r="6759" spans="1:2" ht="15.75" customHeight="1" thickBot="1" x14ac:dyDescent="0.3">
      <c r="A6759" s="7">
        <f ca="1"/>
        <v>43649</v>
      </c>
      <c r="B6759" s="6">
        <v>140.28</v>
      </c>
    </row>
    <row r="6760" spans="1:2" ht="15.75" customHeight="1" thickBot="1" x14ac:dyDescent="0.3">
      <c r="A6760" s="7">
        <f ca="1"/>
        <v>43650</v>
      </c>
      <c r="B6760" s="5">
        <f>B6759</f>
        <v>140.28</v>
      </c>
    </row>
    <row r="6761" spans="1:2" ht="15.75" customHeight="1" thickBot="1" x14ac:dyDescent="0.3">
      <c r="A6761" s="7">
        <f ca="1"/>
        <v>43651</v>
      </c>
      <c r="B6761" s="6">
        <v>138.04</v>
      </c>
    </row>
    <row r="6762" spans="1:2" ht="15.75" customHeight="1" thickBot="1" x14ac:dyDescent="0.3">
      <c r="A6762" s="7">
        <f ca="1"/>
        <v>43652</v>
      </c>
      <c r="B6762" s="5">
        <f t="shared" ref="B6762:B6763" si="965">B6761</f>
        <v>138.04</v>
      </c>
    </row>
    <row r="6763" spans="1:2" ht="15.75" customHeight="1" thickBot="1" x14ac:dyDescent="0.3">
      <c r="A6763" s="7">
        <f ca="1"/>
        <v>43653</v>
      </c>
      <c r="B6763" s="5">
        <f t="shared" si="965"/>
        <v>138.04</v>
      </c>
    </row>
    <row r="6764" spans="1:2" ht="15.75" customHeight="1" thickBot="1" x14ac:dyDescent="0.3">
      <c r="A6764" s="7">
        <f ca="1"/>
        <v>43654</v>
      </c>
      <c r="B6764" s="6">
        <v>138.32</v>
      </c>
    </row>
    <row r="6765" spans="1:2" ht="15.75" customHeight="1" thickBot="1" x14ac:dyDescent="0.3">
      <c r="A6765" s="7">
        <f ca="1"/>
        <v>43655</v>
      </c>
      <c r="B6765" s="6">
        <v>137.57</v>
      </c>
    </row>
    <row r="6766" spans="1:2" ht="15.75" customHeight="1" thickBot="1" x14ac:dyDescent="0.3">
      <c r="A6766" s="7">
        <f ca="1"/>
        <v>43656</v>
      </c>
      <c r="B6766" s="6">
        <v>137.57</v>
      </c>
    </row>
    <row r="6767" spans="1:2" ht="15.75" customHeight="1" thickBot="1" x14ac:dyDescent="0.3">
      <c r="A6767" s="7">
        <f ca="1"/>
        <v>43657</v>
      </c>
      <c r="B6767" s="6">
        <v>136.94999999999999</v>
      </c>
    </row>
    <row r="6768" spans="1:2" ht="15.75" customHeight="1" thickBot="1" x14ac:dyDescent="0.3">
      <c r="A6768" s="7">
        <f ca="1"/>
        <v>43658</v>
      </c>
      <c r="B6768" s="6">
        <v>136.25</v>
      </c>
    </row>
    <row r="6769" spans="1:2" ht="15.75" customHeight="1" thickBot="1" x14ac:dyDescent="0.3">
      <c r="A6769" s="7">
        <f ca="1"/>
        <v>43659</v>
      </c>
      <c r="B6769" s="5">
        <f t="shared" ref="B6769:B6770" si="966">B6768</f>
        <v>136.25</v>
      </c>
    </row>
    <row r="6770" spans="1:2" ht="15.75" customHeight="1" thickBot="1" x14ac:dyDescent="0.3">
      <c r="A6770" s="7">
        <f ca="1"/>
        <v>43660</v>
      </c>
      <c r="B6770" s="5">
        <f t="shared" si="966"/>
        <v>136.25</v>
      </c>
    </row>
    <row r="6771" spans="1:2" ht="15.75" customHeight="1" thickBot="1" x14ac:dyDescent="0.3">
      <c r="A6771" s="7">
        <f ca="1"/>
        <v>43661</v>
      </c>
      <c r="B6771" s="6">
        <v>136.82</v>
      </c>
    </row>
    <row r="6772" spans="1:2" ht="15.75" customHeight="1" thickBot="1" x14ac:dyDescent="0.3">
      <c r="A6772" s="7">
        <f ca="1"/>
        <v>43662</v>
      </c>
      <c r="B6772" s="6">
        <v>135.31</v>
      </c>
    </row>
    <row r="6773" spans="1:2" ht="15.75" customHeight="1" thickBot="1" x14ac:dyDescent="0.3">
      <c r="A6773" s="7">
        <f ca="1"/>
        <v>43663</v>
      </c>
      <c r="B6773" s="6">
        <v>135.68</v>
      </c>
    </row>
    <row r="6774" spans="1:2" ht="15.75" customHeight="1" thickBot="1" x14ac:dyDescent="0.3">
      <c r="A6774" s="7">
        <f ca="1"/>
        <v>43664</v>
      </c>
      <c r="B6774" s="6">
        <v>126.76</v>
      </c>
    </row>
    <row r="6775" spans="1:2" ht="15.75" customHeight="1" thickBot="1" x14ac:dyDescent="0.3">
      <c r="A6775" s="7">
        <f ca="1"/>
        <v>43665</v>
      </c>
      <c r="B6775" s="6">
        <v>126.18</v>
      </c>
    </row>
    <row r="6776" spans="1:2" ht="15.75" customHeight="1" thickBot="1" x14ac:dyDescent="0.3">
      <c r="A6776" s="7">
        <f ca="1"/>
        <v>43666</v>
      </c>
      <c r="B6776" s="5">
        <f t="shared" ref="B6776:B6777" si="967">B6775</f>
        <v>126.18</v>
      </c>
    </row>
    <row r="6777" spans="1:2" ht="15.75" customHeight="1" thickBot="1" x14ac:dyDescent="0.3">
      <c r="A6777" s="7">
        <f ca="1"/>
        <v>43667</v>
      </c>
      <c r="B6777" s="5">
        <f t="shared" si="967"/>
        <v>126.18</v>
      </c>
    </row>
    <row r="6778" spans="1:2" ht="15.75" customHeight="1" thickBot="1" x14ac:dyDescent="0.3">
      <c r="A6778" s="7">
        <f ca="1"/>
        <v>43668</v>
      </c>
      <c r="B6778" s="6">
        <v>125.84</v>
      </c>
    </row>
    <row r="6779" spans="1:2" ht="15.75" customHeight="1" thickBot="1" x14ac:dyDescent="0.3">
      <c r="A6779" s="7">
        <f ca="1"/>
        <v>43669</v>
      </c>
      <c r="B6779" s="6">
        <v>125.11</v>
      </c>
    </row>
    <row r="6780" spans="1:2" ht="15.75" customHeight="1" thickBot="1" x14ac:dyDescent="0.3">
      <c r="A6780" s="7">
        <f ca="1"/>
        <v>43670</v>
      </c>
      <c r="B6780" s="6">
        <v>127.28</v>
      </c>
    </row>
    <row r="6781" spans="1:2" ht="15.75" customHeight="1" thickBot="1" x14ac:dyDescent="0.3">
      <c r="A6781" s="7">
        <f ca="1"/>
        <v>43671</v>
      </c>
      <c r="B6781" s="6">
        <v>126.8</v>
      </c>
    </row>
    <row r="6782" spans="1:2" ht="15.75" customHeight="1" thickBot="1" x14ac:dyDescent="0.3">
      <c r="A6782" s="7">
        <f ca="1"/>
        <v>43672</v>
      </c>
      <c r="B6782" s="6">
        <v>126.87</v>
      </c>
    </row>
    <row r="6783" spans="1:2" ht="15.75" customHeight="1" thickBot="1" x14ac:dyDescent="0.3">
      <c r="A6783" s="7">
        <f ca="1"/>
        <v>43673</v>
      </c>
      <c r="B6783" s="5">
        <f t="shared" ref="B6783:B6784" si="968">B6782</f>
        <v>126.87</v>
      </c>
    </row>
    <row r="6784" spans="1:2" ht="15.75" customHeight="1" thickBot="1" x14ac:dyDescent="0.3">
      <c r="A6784" s="7">
        <f ca="1"/>
        <v>43674</v>
      </c>
      <c r="B6784" s="5">
        <f t="shared" si="968"/>
        <v>126.87</v>
      </c>
    </row>
    <row r="6785" spans="1:2" ht="15.75" customHeight="1" thickBot="1" x14ac:dyDescent="0.3">
      <c r="A6785" s="7">
        <f ca="1"/>
        <v>43675</v>
      </c>
      <c r="B6785" s="6">
        <v>127.62</v>
      </c>
    </row>
    <row r="6786" spans="1:2" ht="15.75" customHeight="1" thickBot="1" x14ac:dyDescent="0.3">
      <c r="A6786" s="7">
        <f ca="1"/>
        <v>43676</v>
      </c>
      <c r="B6786" s="6">
        <v>123.85</v>
      </c>
    </row>
    <row r="6787" spans="1:2" ht="15.75" customHeight="1" thickBot="1" x14ac:dyDescent="0.3">
      <c r="A6787" s="7">
        <f ca="1"/>
        <v>43677</v>
      </c>
      <c r="B6787" s="6">
        <v>124.27</v>
      </c>
    </row>
    <row r="6788" spans="1:2" ht="15.75" customHeight="1" thickBot="1" x14ac:dyDescent="0.3">
      <c r="A6788" s="7">
        <f ca="1"/>
        <v>43678</v>
      </c>
      <c r="B6788" s="6">
        <v>123.57</v>
      </c>
    </row>
    <row r="6789" spans="1:2" ht="15.75" customHeight="1" thickBot="1" x14ac:dyDescent="0.3">
      <c r="A6789" s="7">
        <f ca="1"/>
        <v>43679</v>
      </c>
      <c r="B6789" s="6">
        <v>122.57</v>
      </c>
    </row>
    <row r="6790" spans="1:2" ht="15.75" customHeight="1" thickBot="1" x14ac:dyDescent="0.3">
      <c r="A6790" s="7">
        <f ca="1"/>
        <v>43680</v>
      </c>
      <c r="B6790" s="5">
        <f t="shared" ref="B6790:B6791" si="969">B6789</f>
        <v>122.57</v>
      </c>
    </row>
    <row r="6791" spans="1:2" ht="15.75" customHeight="1" thickBot="1" x14ac:dyDescent="0.3">
      <c r="A6791" s="7">
        <f ca="1"/>
        <v>43681</v>
      </c>
      <c r="B6791" s="5">
        <f t="shared" si="969"/>
        <v>122.57</v>
      </c>
    </row>
    <row r="6792" spans="1:2" ht="15.75" customHeight="1" thickBot="1" x14ac:dyDescent="0.3">
      <c r="A6792" s="7">
        <f ca="1"/>
        <v>43682</v>
      </c>
      <c r="B6792" s="6">
        <v>120.02</v>
      </c>
    </row>
    <row r="6793" spans="1:2" ht="15.75" customHeight="1" thickBot="1" x14ac:dyDescent="0.3">
      <c r="A6793" s="7">
        <f ca="1"/>
        <v>43683</v>
      </c>
      <c r="B6793" s="6">
        <v>117.94</v>
      </c>
    </row>
    <row r="6794" spans="1:2" ht="15.75" customHeight="1" thickBot="1" x14ac:dyDescent="0.3">
      <c r="A6794" s="7">
        <f ca="1"/>
        <v>43684</v>
      </c>
      <c r="B6794" s="6">
        <v>119.01</v>
      </c>
    </row>
    <row r="6795" spans="1:2" ht="15.75" customHeight="1" thickBot="1" x14ac:dyDescent="0.3">
      <c r="A6795" s="7">
        <f ca="1"/>
        <v>43685</v>
      </c>
      <c r="B6795" s="6">
        <v>120.79</v>
      </c>
    </row>
    <row r="6796" spans="1:2" ht="15.75" customHeight="1" thickBot="1" x14ac:dyDescent="0.3">
      <c r="A6796" s="7">
        <f ca="1"/>
        <v>43686</v>
      </c>
      <c r="B6796" s="6">
        <v>119.36</v>
      </c>
    </row>
    <row r="6797" spans="1:2" ht="15.75" customHeight="1" thickBot="1" x14ac:dyDescent="0.3">
      <c r="A6797" s="7">
        <f ca="1"/>
        <v>43687</v>
      </c>
      <c r="B6797" s="5">
        <f t="shared" ref="B6797:B6798" si="970">B6796</f>
        <v>119.36</v>
      </c>
    </row>
    <row r="6798" spans="1:2" ht="15.75" customHeight="1" thickBot="1" x14ac:dyDescent="0.3">
      <c r="A6798" s="7">
        <f ca="1"/>
        <v>43688</v>
      </c>
      <c r="B6798" s="5">
        <f t="shared" si="970"/>
        <v>119.36</v>
      </c>
    </row>
    <row r="6799" spans="1:2" ht="15.75" customHeight="1" thickBot="1" x14ac:dyDescent="0.3">
      <c r="A6799" s="7">
        <f ca="1"/>
        <v>43689</v>
      </c>
      <c r="B6799" s="6">
        <v>119.49</v>
      </c>
    </row>
    <row r="6800" spans="1:2" ht="15.75" customHeight="1" thickBot="1" x14ac:dyDescent="0.3">
      <c r="A6800" s="7">
        <f ca="1"/>
        <v>43690</v>
      </c>
      <c r="B6800" s="6">
        <v>118.79</v>
      </c>
    </row>
    <row r="6801" spans="1:2" ht="15.75" customHeight="1" thickBot="1" x14ac:dyDescent="0.3">
      <c r="A6801" s="7">
        <f ca="1"/>
        <v>43691</v>
      </c>
      <c r="B6801" s="6">
        <v>117.58</v>
      </c>
    </row>
    <row r="6802" spans="1:2" ht="15.75" customHeight="1" thickBot="1" x14ac:dyDescent="0.3">
      <c r="A6802" s="7">
        <f ca="1"/>
        <v>43692</v>
      </c>
      <c r="B6802" s="6">
        <v>117.48</v>
      </c>
    </row>
    <row r="6803" spans="1:2" ht="15.75" customHeight="1" thickBot="1" x14ac:dyDescent="0.3">
      <c r="A6803" s="7">
        <f ca="1"/>
        <v>43693</v>
      </c>
      <c r="B6803" s="6">
        <v>117.94</v>
      </c>
    </row>
    <row r="6804" spans="1:2" ht="15.75" customHeight="1" thickBot="1" x14ac:dyDescent="0.3">
      <c r="A6804" s="7">
        <f ca="1"/>
        <v>43694</v>
      </c>
      <c r="B6804" s="5">
        <f t="shared" ref="B6804:B6805" si="971">B6803</f>
        <v>117.94</v>
      </c>
    </row>
    <row r="6805" spans="1:2" ht="15.75" customHeight="1" thickBot="1" x14ac:dyDescent="0.3">
      <c r="A6805" s="7">
        <f ca="1"/>
        <v>43695</v>
      </c>
      <c r="B6805" s="5">
        <f t="shared" si="971"/>
        <v>117.94</v>
      </c>
    </row>
    <row r="6806" spans="1:2" ht="15.75" customHeight="1" thickBot="1" x14ac:dyDescent="0.3">
      <c r="A6806" s="7">
        <f ca="1"/>
        <v>43696</v>
      </c>
      <c r="B6806" s="6">
        <v>120.25</v>
      </c>
    </row>
    <row r="6807" spans="1:2" ht="15.75" customHeight="1" thickBot="1" x14ac:dyDescent="0.3">
      <c r="A6807" s="7">
        <f ca="1"/>
        <v>43697</v>
      </c>
      <c r="B6807" s="6">
        <v>118.88</v>
      </c>
    </row>
    <row r="6808" spans="1:2" ht="15.75" customHeight="1" thickBot="1" x14ac:dyDescent="0.3">
      <c r="A6808" s="7">
        <f ca="1"/>
        <v>43698</v>
      </c>
      <c r="B6808" s="6">
        <v>121.48</v>
      </c>
    </row>
    <row r="6809" spans="1:2" ht="15.75" customHeight="1" thickBot="1" x14ac:dyDescent="0.3">
      <c r="A6809" s="7">
        <f ca="1"/>
        <v>43699</v>
      </c>
      <c r="B6809" s="6">
        <v>120.18</v>
      </c>
    </row>
    <row r="6810" spans="1:2" ht="15.75" customHeight="1" thickBot="1" x14ac:dyDescent="0.3">
      <c r="A6810" s="7">
        <f ca="1"/>
        <v>43700</v>
      </c>
      <c r="B6810" s="6">
        <v>119.24</v>
      </c>
    </row>
    <row r="6811" spans="1:2" ht="15.75" customHeight="1" thickBot="1" x14ac:dyDescent="0.3">
      <c r="A6811" s="7">
        <f ca="1"/>
        <v>43701</v>
      </c>
      <c r="B6811" s="5">
        <f t="shared" ref="B6811:B6812" si="972">B6810</f>
        <v>119.24</v>
      </c>
    </row>
    <row r="6812" spans="1:2" ht="15.75" customHeight="1" thickBot="1" x14ac:dyDescent="0.3">
      <c r="A6812" s="7">
        <f ca="1"/>
        <v>43702</v>
      </c>
      <c r="B6812" s="5">
        <f t="shared" si="972"/>
        <v>119.24</v>
      </c>
    </row>
    <row r="6813" spans="1:2" ht="15.75" customHeight="1" thickBot="1" x14ac:dyDescent="0.3">
      <c r="A6813" s="7">
        <f ca="1"/>
        <v>43703</v>
      </c>
      <c r="B6813" s="6">
        <v>118.7</v>
      </c>
    </row>
    <row r="6814" spans="1:2" ht="15.75" customHeight="1" thickBot="1" x14ac:dyDescent="0.3">
      <c r="A6814" s="7">
        <f ca="1"/>
        <v>43704</v>
      </c>
      <c r="B6814" s="6">
        <v>120.93</v>
      </c>
    </row>
    <row r="6815" spans="1:2" ht="15.75" customHeight="1" thickBot="1" x14ac:dyDescent="0.3">
      <c r="A6815" s="7">
        <f ca="1"/>
        <v>43705</v>
      </c>
      <c r="B6815" s="6">
        <v>118.23</v>
      </c>
    </row>
    <row r="6816" spans="1:2" ht="15.75" customHeight="1" thickBot="1" x14ac:dyDescent="0.3">
      <c r="A6816" s="7">
        <f ca="1"/>
        <v>43706</v>
      </c>
      <c r="B6816" s="6">
        <v>119.6</v>
      </c>
    </row>
    <row r="6817" spans="1:2" ht="15.75" customHeight="1" thickBot="1" x14ac:dyDescent="0.3">
      <c r="A6817" s="7">
        <f ca="1"/>
        <v>43707</v>
      </c>
      <c r="B6817" s="6">
        <v>120.78</v>
      </c>
    </row>
    <row r="6818" spans="1:2" ht="15.75" customHeight="1" thickBot="1" x14ac:dyDescent="0.3">
      <c r="A6818" s="7">
        <f ca="1"/>
        <v>43708</v>
      </c>
      <c r="B6818" s="5">
        <f t="shared" ref="B6818:B6820" si="973">B6817</f>
        <v>120.78</v>
      </c>
    </row>
    <row r="6819" spans="1:2" ht="15.75" customHeight="1" thickBot="1" x14ac:dyDescent="0.3">
      <c r="A6819" s="7">
        <f ca="1"/>
        <v>43709</v>
      </c>
      <c r="B6819" s="5">
        <f t="shared" si="973"/>
        <v>120.78</v>
      </c>
    </row>
    <row r="6820" spans="1:2" ht="15.75" customHeight="1" thickBot="1" x14ac:dyDescent="0.3">
      <c r="A6820" s="7">
        <f ca="1"/>
        <v>43710</v>
      </c>
      <c r="B6820" s="5">
        <f t="shared" si="973"/>
        <v>120.78</v>
      </c>
    </row>
    <row r="6821" spans="1:2" ht="15.75" customHeight="1" thickBot="1" x14ac:dyDescent="0.3">
      <c r="A6821" s="7">
        <f ca="1"/>
        <v>43711</v>
      </c>
      <c r="B6821" s="6">
        <v>118.81</v>
      </c>
    </row>
    <row r="6822" spans="1:2" ht="15.75" customHeight="1" thickBot="1" x14ac:dyDescent="0.3">
      <c r="A6822" s="7">
        <f ca="1"/>
        <v>43712</v>
      </c>
      <c r="B6822" s="6">
        <v>119.82</v>
      </c>
    </row>
    <row r="6823" spans="1:2" ht="15.75" customHeight="1" thickBot="1" x14ac:dyDescent="0.3">
      <c r="A6823" s="7">
        <f ca="1"/>
        <v>43713</v>
      </c>
      <c r="B6823" s="6">
        <v>122.71</v>
      </c>
    </row>
    <row r="6824" spans="1:2" ht="15.75" customHeight="1" thickBot="1" x14ac:dyDescent="0.3">
      <c r="A6824" s="7">
        <f ca="1"/>
        <v>43714</v>
      </c>
      <c r="B6824" s="6">
        <v>122.82</v>
      </c>
    </row>
    <row r="6825" spans="1:2" ht="15.75" customHeight="1" thickBot="1" x14ac:dyDescent="0.3">
      <c r="A6825" s="7">
        <f ca="1"/>
        <v>43715</v>
      </c>
      <c r="B6825" s="5">
        <f t="shared" ref="B6825:B6826" si="974">B6824</f>
        <v>122.82</v>
      </c>
    </row>
    <row r="6826" spans="1:2" ht="15.75" customHeight="1" thickBot="1" x14ac:dyDescent="0.3">
      <c r="A6826" s="7">
        <f ca="1"/>
        <v>43716</v>
      </c>
      <c r="B6826" s="5">
        <f t="shared" si="974"/>
        <v>122.82</v>
      </c>
    </row>
    <row r="6827" spans="1:2" ht="15.75" customHeight="1" thickBot="1" x14ac:dyDescent="0.3">
      <c r="A6827" s="7">
        <f ca="1"/>
        <v>43717</v>
      </c>
      <c r="B6827" s="6">
        <v>122.56</v>
      </c>
    </row>
    <row r="6828" spans="1:2" ht="15.75" customHeight="1" thickBot="1" x14ac:dyDescent="0.3">
      <c r="A6828" s="7">
        <f ca="1"/>
        <v>43718</v>
      </c>
      <c r="B6828" s="6">
        <v>119.48</v>
      </c>
    </row>
    <row r="6829" spans="1:2" ht="15.75" customHeight="1" thickBot="1" x14ac:dyDescent="0.3">
      <c r="A6829" s="7">
        <f ca="1"/>
        <v>43719</v>
      </c>
      <c r="B6829" s="6">
        <v>120</v>
      </c>
    </row>
    <row r="6830" spans="1:2" ht="15.75" customHeight="1" thickBot="1" x14ac:dyDescent="0.3">
      <c r="A6830" s="7">
        <f ca="1"/>
        <v>43720</v>
      </c>
      <c r="B6830" s="6">
        <v>120.54</v>
      </c>
    </row>
    <row r="6831" spans="1:2" ht="15.75" customHeight="1" thickBot="1" x14ac:dyDescent="0.3">
      <c r="A6831" s="7">
        <f ca="1"/>
        <v>43721</v>
      </c>
      <c r="B6831" s="6">
        <v>119.97</v>
      </c>
    </row>
    <row r="6832" spans="1:2" ht="15.75" customHeight="1" thickBot="1" x14ac:dyDescent="0.3">
      <c r="A6832" s="7">
        <f ca="1"/>
        <v>43722</v>
      </c>
      <c r="B6832" s="5">
        <f t="shared" ref="B6832:B6833" si="975">B6831</f>
        <v>119.97</v>
      </c>
    </row>
    <row r="6833" spans="1:2" ht="15.75" customHeight="1" thickBot="1" x14ac:dyDescent="0.3">
      <c r="A6833" s="7">
        <f ca="1"/>
        <v>43723</v>
      </c>
      <c r="B6833" s="5">
        <f t="shared" si="975"/>
        <v>119.97</v>
      </c>
    </row>
    <row r="6834" spans="1:2" ht="15.75" customHeight="1" thickBot="1" x14ac:dyDescent="0.3">
      <c r="A6834" s="7">
        <f ca="1"/>
        <v>43724</v>
      </c>
      <c r="B6834" s="6">
        <v>117.11</v>
      </c>
    </row>
    <row r="6835" spans="1:2" ht="15.75" customHeight="1" thickBot="1" x14ac:dyDescent="0.3">
      <c r="A6835" s="7">
        <f ca="1"/>
        <v>43725</v>
      </c>
      <c r="B6835" s="6">
        <v>118.9</v>
      </c>
    </row>
    <row r="6836" spans="1:2" ht="15.75" customHeight="1" thickBot="1" x14ac:dyDescent="0.3">
      <c r="A6836" s="7">
        <f ca="1"/>
        <v>43726</v>
      </c>
      <c r="B6836" s="6">
        <v>119.6</v>
      </c>
    </row>
    <row r="6837" spans="1:2" ht="15.75" customHeight="1" thickBot="1" x14ac:dyDescent="0.3">
      <c r="A6837" s="7">
        <f ca="1"/>
        <v>43727</v>
      </c>
      <c r="B6837" s="6">
        <v>120.32</v>
      </c>
    </row>
    <row r="6838" spans="1:2" ht="15.75" customHeight="1" thickBot="1" x14ac:dyDescent="0.3">
      <c r="A6838" s="7">
        <f ca="1"/>
        <v>43728</v>
      </c>
      <c r="B6838" s="6">
        <v>119.61</v>
      </c>
    </row>
    <row r="6839" spans="1:2" ht="15.75" customHeight="1" thickBot="1" x14ac:dyDescent="0.3">
      <c r="A6839" s="7">
        <f ca="1"/>
        <v>43729</v>
      </c>
      <c r="B6839" s="5">
        <f t="shared" ref="B6839:B6840" si="976">B6838</f>
        <v>119.61</v>
      </c>
    </row>
    <row r="6840" spans="1:2" ht="15.75" customHeight="1" thickBot="1" x14ac:dyDescent="0.3">
      <c r="A6840" s="7">
        <f ca="1"/>
        <v>43730</v>
      </c>
      <c r="B6840" s="5">
        <f t="shared" si="976"/>
        <v>119.61</v>
      </c>
    </row>
    <row r="6841" spans="1:2" ht="15.75" customHeight="1" thickBot="1" x14ac:dyDescent="0.3">
      <c r="A6841" s="7">
        <f ca="1"/>
        <v>43731</v>
      </c>
      <c r="B6841" s="6">
        <v>118.86</v>
      </c>
    </row>
    <row r="6842" spans="1:2" ht="15.75" customHeight="1" thickBot="1" x14ac:dyDescent="0.3">
      <c r="A6842" s="7">
        <f ca="1"/>
        <v>43732</v>
      </c>
      <c r="B6842" s="6">
        <v>119.68</v>
      </c>
    </row>
    <row r="6843" spans="1:2" ht="15.75" customHeight="1" thickBot="1" x14ac:dyDescent="0.3">
      <c r="A6843" s="7">
        <f ca="1"/>
        <v>43733</v>
      </c>
      <c r="B6843" s="6">
        <v>117.25</v>
      </c>
    </row>
    <row r="6844" spans="1:2" ht="15.75" customHeight="1" thickBot="1" x14ac:dyDescent="0.3">
      <c r="A6844" s="7">
        <f ca="1"/>
        <v>43734</v>
      </c>
      <c r="B6844" s="6">
        <v>117.52</v>
      </c>
    </row>
    <row r="6845" spans="1:2" ht="15.75" customHeight="1" thickBot="1" x14ac:dyDescent="0.3">
      <c r="A6845" s="7">
        <f ca="1"/>
        <v>43735</v>
      </c>
      <c r="B6845" s="6">
        <v>118.97</v>
      </c>
    </row>
    <row r="6846" spans="1:2" ht="15.75" customHeight="1" thickBot="1" x14ac:dyDescent="0.3">
      <c r="A6846" s="7">
        <f ca="1"/>
        <v>43736</v>
      </c>
      <c r="B6846" s="5">
        <f t="shared" ref="B6846:B6847" si="977">B6845</f>
        <v>118.97</v>
      </c>
    </row>
    <row r="6847" spans="1:2" ht="15.75" customHeight="1" thickBot="1" x14ac:dyDescent="0.3">
      <c r="A6847" s="7">
        <f ca="1"/>
        <v>43737</v>
      </c>
      <c r="B6847" s="5">
        <f t="shared" si="977"/>
        <v>118.97</v>
      </c>
    </row>
    <row r="6848" spans="1:2" ht="15.75" customHeight="1" thickBot="1" x14ac:dyDescent="0.3">
      <c r="A6848" s="7">
        <f ca="1"/>
        <v>43738</v>
      </c>
      <c r="B6848" s="6">
        <v>117.26</v>
      </c>
    </row>
    <row r="6849" spans="1:2" ht="15.75" customHeight="1" thickBot="1" x14ac:dyDescent="0.3">
      <c r="A6849" s="7">
        <f ca="1"/>
        <v>43739</v>
      </c>
      <c r="B6849" s="6">
        <v>118.12</v>
      </c>
    </row>
    <row r="6850" spans="1:2" ht="15.75" customHeight="1" thickBot="1" x14ac:dyDescent="0.3">
      <c r="A6850" s="7">
        <f ca="1"/>
        <v>43740</v>
      </c>
      <c r="B6850" s="6">
        <v>114.86</v>
      </c>
    </row>
    <row r="6851" spans="1:2" ht="15.75" customHeight="1" thickBot="1" x14ac:dyDescent="0.3">
      <c r="A6851" s="7">
        <f ca="1"/>
        <v>43741</v>
      </c>
      <c r="B6851" s="6">
        <v>114.05</v>
      </c>
    </row>
    <row r="6852" spans="1:2" ht="15.75" customHeight="1" thickBot="1" x14ac:dyDescent="0.3">
      <c r="A6852" s="7">
        <f ca="1"/>
        <v>43742</v>
      </c>
      <c r="B6852" s="6">
        <v>114.98</v>
      </c>
    </row>
    <row r="6853" spans="1:2" ht="15.75" customHeight="1" thickBot="1" x14ac:dyDescent="0.3">
      <c r="A6853" s="7">
        <f ca="1"/>
        <v>43743</v>
      </c>
      <c r="B6853" s="5">
        <f t="shared" ref="B6853:B6854" si="978">B6852</f>
        <v>114.98</v>
      </c>
    </row>
    <row r="6854" spans="1:2" ht="15.75" customHeight="1" thickBot="1" x14ac:dyDescent="0.3">
      <c r="A6854" s="7">
        <f ca="1"/>
        <v>43744</v>
      </c>
      <c r="B6854" s="5">
        <f t="shared" si="978"/>
        <v>114.98</v>
      </c>
    </row>
    <row r="6855" spans="1:2" ht="15.75" customHeight="1" thickBot="1" x14ac:dyDescent="0.3">
      <c r="A6855" s="7">
        <f ca="1"/>
        <v>43745</v>
      </c>
      <c r="B6855" s="6">
        <v>114.07</v>
      </c>
    </row>
    <row r="6856" spans="1:2" ht="15.75" customHeight="1" thickBot="1" x14ac:dyDescent="0.3">
      <c r="A6856" s="7">
        <f ca="1"/>
        <v>43746</v>
      </c>
      <c r="B6856" s="6">
        <v>113.88</v>
      </c>
    </row>
    <row r="6857" spans="1:2" ht="15.75" customHeight="1" thickBot="1" x14ac:dyDescent="0.3">
      <c r="A6857" s="7">
        <f ca="1"/>
        <v>43747</v>
      </c>
      <c r="B6857" s="6">
        <v>115.85</v>
      </c>
    </row>
    <row r="6858" spans="1:2" ht="15.75" customHeight="1" thickBot="1" x14ac:dyDescent="0.3">
      <c r="A6858" s="7">
        <f ca="1"/>
        <v>43748</v>
      </c>
      <c r="B6858" s="6">
        <v>114.96</v>
      </c>
    </row>
    <row r="6859" spans="1:2" ht="15.75" customHeight="1" thickBot="1" x14ac:dyDescent="0.3">
      <c r="A6859" s="7">
        <f ca="1"/>
        <v>43749</v>
      </c>
      <c r="B6859" s="6">
        <v>125.72</v>
      </c>
    </row>
    <row r="6860" spans="1:2" ht="15.75" customHeight="1" thickBot="1" x14ac:dyDescent="0.3">
      <c r="A6860" s="7">
        <f ca="1"/>
        <v>43750</v>
      </c>
      <c r="B6860" s="5">
        <f t="shared" ref="B6860:D6860" si="979">B6859</f>
        <v>125.72</v>
      </c>
    </row>
    <row r="6861" spans="1:2" ht="15.75" customHeight="1" thickBot="1" x14ac:dyDescent="0.3">
      <c r="A6861" s="7">
        <f ca="1"/>
        <v>43751</v>
      </c>
      <c r="B6861" s="5">
        <f>B6860</f>
        <v>125.72</v>
      </c>
    </row>
    <row r="6862" spans="1:2" ht="15.75" customHeight="1" thickBot="1" x14ac:dyDescent="0.3">
      <c r="A6862" s="7">
        <f ca="1"/>
        <v>43752</v>
      </c>
      <c r="B6862" s="6">
        <v>125.94</v>
      </c>
    </row>
    <row r="6863" spans="1:2" ht="15.75" customHeight="1" thickBot="1" x14ac:dyDescent="0.3">
      <c r="A6863" s="7">
        <f ca="1"/>
        <v>43753</v>
      </c>
      <c r="B6863" s="6">
        <v>125.83</v>
      </c>
    </row>
    <row r="6864" spans="1:2" ht="15.75" customHeight="1" thickBot="1" x14ac:dyDescent="0.3">
      <c r="A6864" s="7">
        <f ca="1"/>
        <v>43754</v>
      </c>
      <c r="B6864" s="6">
        <v>128.85</v>
      </c>
    </row>
    <row r="6865" spans="1:2" ht="15.75" customHeight="1" thickBot="1" x14ac:dyDescent="0.3">
      <c r="A6865" s="7">
        <f ca="1"/>
        <v>43755</v>
      </c>
      <c r="B6865" s="6">
        <v>129.94999999999999</v>
      </c>
    </row>
    <row r="6866" spans="1:2" ht="15.75" customHeight="1" thickBot="1" x14ac:dyDescent="0.3">
      <c r="A6866" s="7">
        <f ca="1"/>
        <v>43756</v>
      </c>
      <c r="B6866" s="6">
        <v>129.78</v>
      </c>
    </row>
    <row r="6867" spans="1:2" ht="15.75" customHeight="1" thickBot="1" x14ac:dyDescent="0.3">
      <c r="A6867" s="7">
        <f ca="1"/>
        <v>43757</v>
      </c>
      <c r="B6867" s="5">
        <f t="shared" ref="B6867:B6868" si="980">B6866</f>
        <v>129.78</v>
      </c>
    </row>
    <row r="6868" spans="1:2" ht="15.75" customHeight="1" thickBot="1" x14ac:dyDescent="0.3">
      <c r="A6868" s="7">
        <f ca="1"/>
        <v>43758</v>
      </c>
      <c r="B6868" s="5">
        <f t="shared" si="980"/>
        <v>129.78</v>
      </c>
    </row>
    <row r="6869" spans="1:2" ht="15.75" customHeight="1" thickBot="1" x14ac:dyDescent="0.3">
      <c r="A6869" s="7">
        <f ca="1"/>
        <v>43759</v>
      </c>
      <c r="B6869" s="6">
        <v>132.97999999999999</v>
      </c>
    </row>
    <row r="6870" spans="1:2" ht="15.75" customHeight="1" thickBot="1" x14ac:dyDescent="0.3">
      <c r="A6870" s="7">
        <f ca="1"/>
        <v>43760</v>
      </c>
      <c r="B6870" s="6">
        <v>133.31</v>
      </c>
    </row>
    <row r="6871" spans="1:2" ht="15.75" customHeight="1" thickBot="1" x14ac:dyDescent="0.3">
      <c r="A6871" s="7">
        <f ca="1"/>
        <v>43761</v>
      </c>
      <c r="B6871" s="6">
        <v>130.91</v>
      </c>
    </row>
    <row r="6872" spans="1:2" ht="15.75" customHeight="1" thickBot="1" x14ac:dyDescent="0.3">
      <c r="A6872" s="7">
        <f ca="1"/>
        <v>43762</v>
      </c>
      <c r="B6872" s="6">
        <v>131.47</v>
      </c>
    </row>
    <row r="6873" spans="1:2" ht="15.75" customHeight="1" thickBot="1" x14ac:dyDescent="0.3">
      <c r="A6873" s="7">
        <f ca="1"/>
        <v>43763</v>
      </c>
      <c r="B6873" s="6">
        <v>131.35</v>
      </c>
    </row>
    <row r="6874" spans="1:2" ht="15.75" customHeight="1" thickBot="1" x14ac:dyDescent="0.3">
      <c r="A6874" s="7">
        <f ca="1"/>
        <v>43764</v>
      </c>
      <c r="B6874" s="5">
        <f t="shared" ref="B6874:B6875" si="981">B6873</f>
        <v>131.35</v>
      </c>
    </row>
    <row r="6875" spans="1:2" ht="15.75" customHeight="1" thickBot="1" x14ac:dyDescent="0.3">
      <c r="A6875" s="7">
        <f ca="1"/>
        <v>43765</v>
      </c>
      <c r="B6875" s="5">
        <f t="shared" si="981"/>
        <v>131.35</v>
      </c>
    </row>
    <row r="6876" spans="1:2" ht="15.75" customHeight="1" thickBot="1" x14ac:dyDescent="0.3">
      <c r="A6876" s="7">
        <f ca="1"/>
        <v>43766</v>
      </c>
      <c r="B6876" s="6">
        <v>132.57</v>
      </c>
    </row>
    <row r="6877" spans="1:2" ht="15.75" customHeight="1" thickBot="1" x14ac:dyDescent="0.3">
      <c r="A6877" s="7">
        <f ca="1"/>
        <v>43767</v>
      </c>
      <c r="B6877" s="6">
        <v>131.85</v>
      </c>
    </row>
    <row r="6878" spans="1:2" ht="15.75" customHeight="1" thickBot="1" x14ac:dyDescent="0.3">
      <c r="A6878" s="7">
        <f ca="1"/>
        <v>43768</v>
      </c>
      <c r="B6878" s="6">
        <v>132.26</v>
      </c>
    </row>
    <row r="6879" spans="1:2" ht="15.75" customHeight="1" thickBot="1" x14ac:dyDescent="0.3">
      <c r="A6879" s="7">
        <f ca="1"/>
        <v>43769</v>
      </c>
      <c r="B6879" s="6">
        <v>132.72999999999999</v>
      </c>
    </row>
    <row r="6880" spans="1:2" ht="15.75" customHeight="1" thickBot="1" x14ac:dyDescent="0.3">
      <c r="A6880" s="7">
        <f ca="1"/>
        <v>43770</v>
      </c>
      <c r="B6880" s="6">
        <v>133.93</v>
      </c>
    </row>
    <row r="6881" spans="1:2" ht="15.75" customHeight="1" thickBot="1" x14ac:dyDescent="0.3">
      <c r="A6881" s="7">
        <f ca="1"/>
        <v>43771</v>
      </c>
      <c r="B6881" s="5">
        <f t="shared" ref="B6881:B6882" si="982">B6880</f>
        <v>133.93</v>
      </c>
    </row>
    <row r="6882" spans="1:2" ht="15.75" customHeight="1" thickBot="1" x14ac:dyDescent="0.3">
      <c r="A6882" s="7">
        <f ca="1"/>
        <v>43772</v>
      </c>
      <c r="B6882" s="5">
        <f t="shared" si="982"/>
        <v>133.93</v>
      </c>
    </row>
    <row r="6883" spans="1:2" ht="15.75" customHeight="1" thickBot="1" x14ac:dyDescent="0.3">
      <c r="A6883" s="7">
        <f ca="1"/>
        <v>43773</v>
      </c>
      <c r="B6883" s="6">
        <v>134.99</v>
      </c>
    </row>
    <row r="6884" spans="1:2" ht="15.75" customHeight="1" thickBot="1" x14ac:dyDescent="0.3">
      <c r="A6884" s="7">
        <f ca="1"/>
        <v>43774</v>
      </c>
      <c r="B6884" s="6">
        <v>133.57</v>
      </c>
    </row>
    <row r="6885" spans="1:2" ht="15.75" customHeight="1" thickBot="1" x14ac:dyDescent="0.3">
      <c r="A6885" s="7">
        <f ca="1"/>
        <v>43775</v>
      </c>
      <c r="B6885" s="6">
        <v>134.86000000000001</v>
      </c>
    </row>
    <row r="6886" spans="1:2" ht="15.75" customHeight="1" thickBot="1" x14ac:dyDescent="0.3">
      <c r="A6886" s="7">
        <f ca="1"/>
        <v>43776</v>
      </c>
      <c r="B6886" s="6">
        <v>134.86000000000001</v>
      </c>
    </row>
    <row r="6887" spans="1:2" ht="15.75" customHeight="1" thickBot="1" x14ac:dyDescent="0.3">
      <c r="A6887" s="7">
        <f ca="1"/>
        <v>43777</v>
      </c>
      <c r="B6887" s="6">
        <v>135.38999999999999</v>
      </c>
    </row>
    <row r="6888" spans="1:2" ht="15.75" customHeight="1" thickBot="1" x14ac:dyDescent="0.3">
      <c r="A6888" s="7">
        <f ca="1"/>
        <v>43778</v>
      </c>
      <c r="B6888" s="5">
        <f t="shared" ref="B6888:B6889" si="983">B6887</f>
        <v>135.38999999999999</v>
      </c>
    </row>
    <row r="6889" spans="1:2" ht="15.75" customHeight="1" thickBot="1" x14ac:dyDescent="0.3">
      <c r="A6889" s="7">
        <f ca="1"/>
        <v>43779</v>
      </c>
      <c r="B6889" s="5">
        <f t="shared" si="983"/>
        <v>135.38999999999999</v>
      </c>
    </row>
    <row r="6890" spans="1:2" ht="15.75" customHeight="1" thickBot="1" x14ac:dyDescent="0.3">
      <c r="A6890" s="7">
        <f ca="1"/>
        <v>43780</v>
      </c>
      <c r="B6890" s="6">
        <v>135.96</v>
      </c>
    </row>
    <row r="6891" spans="1:2" ht="15.75" customHeight="1" thickBot="1" x14ac:dyDescent="0.3">
      <c r="A6891" s="7">
        <f ca="1"/>
        <v>43781</v>
      </c>
      <c r="B6891" s="6">
        <v>135.72999999999999</v>
      </c>
    </row>
    <row r="6892" spans="1:2" ht="15.75" customHeight="1" thickBot="1" x14ac:dyDescent="0.3">
      <c r="A6892" s="7">
        <f ca="1"/>
        <v>43782</v>
      </c>
      <c r="B6892" s="6">
        <v>134.47</v>
      </c>
    </row>
    <row r="6893" spans="1:2" ht="15.75" customHeight="1" thickBot="1" x14ac:dyDescent="0.3">
      <c r="A6893" s="7">
        <f ca="1"/>
        <v>43783</v>
      </c>
      <c r="B6893" s="6">
        <v>134.15</v>
      </c>
    </row>
    <row r="6894" spans="1:2" ht="15.75" customHeight="1" thickBot="1" x14ac:dyDescent="0.3">
      <c r="A6894" s="7">
        <f ca="1"/>
        <v>43784</v>
      </c>
      <c r="B6894" s="6">
        <v>134.27000000000001</v>
      </c>
    </row>
    <row r="6895" spans="1:2" ht="15.75" customHeight="1" thickBot="1" x14ac:dyDescent="0.3">
      <c r="A6895" s="7">
        <f ca="1"/>
        <v>43785</v>
      </c>
      <c r="B6895" s="5">
        <f t="shared" ref="B6895:B6896" si="984">B6894</f>
        <v>134.27000000000001</v>
      </c>
    </row>
    <row r="6896" spans="1:2" ht="15.75" customHeight="1" thickBot="1" x14ac:dyDescent="0.3">
      <c r="A6896" s="7">
        <f ca="1"/>
        <v>43786</v>
      </c>
      <c r="B6896" s="5">
        <f t="shared" si="984"/>
        <v>134.27000000000001</v>
      </c>
    </row>
    <row r="6897" spans="1:2" ht="15.75" customHeight="1" thickBot="1" x14ac:dyDescent="0.3">
      <c r="A6897" s="7">
        <f ca="1"/>
        <v>43787</v>
      </c>
      <c r="B6897" s="6">
        <v>134.19999999999999</v>
      </c>
    </row>
    <row r="6898" spans="1:2" ht="15.75" customHeight="1" thickBot="1" x14ac:dyDescent="0.3">
      <c r="A6898" s="7">
        <f ca="1"/>
        <v>43788</v>
      </c>
      <c r="B6898" s="6">
        <v>137.01</v>
      </c>
    </row>
    <row r="6899" spans="1:2" ht="15.75" customHeight="1" thickBot="1" x14ac:dyDescent="0.3">
      <c r="A6899" s="7">
        <f ca="1"/>
        <v>43789</v>
      </c>
      <c r="B6899" s="6">
        <v>135.29</v>
      </c>
    </row>
    <row r="6900" spans="1:2" ht="15.75" customHeight="1" thickBot="1" x14ac:dyDescent="0.3">
      <c r="A6900" s="7">
        <f ca="1"/>
        <v>43790</v>
      </c>
      <c r="B6900" s="6">
        <v>135.44</v>
      </c>
    </row>
    <row r="6901" spans="1:2" ht="15.75" customHeight="1" thickBot="1" x14ac:dyDescent="0.3">
      <c r="A6901" s="7">
        <f ca="1"/>
        <v>43791</v>
      </c>
      <c r="B6901" s="6">
        <v>136.22999999999999</v>
      </c>
    </row>
    <row r="6902" spans="1:2" ht="15.75" customHeight="1" thickBot="1" x14ac:dyDescent="0.3">
      <c r="A6902" s="7">
        <f ca="1"/>
        <v>43792</v>
      </c>
      <c r="B6902" s="5">
        <f t="shared" ref="B6902:B6903" si="985">B6901</f>
        <v>136.22999999999999</v>
      </c>
    </row>
    <row r="6903" spans="1:2" ht="15.75" customHeight="1" thickBot="1" x14ac:dyDescent="0.3">
      <c r="A6903" s="7">
        <f ca="1"/>
        <v>43793</v>
      </c>
      <c r="B6903" s="5">
        <f t="shared" si="985"/>
        <v>136.22999999999999</v>
      </c>
    </row>
    <row r="6904" spans="1:2" ht="15.75" customHeight="1" thickBot="1" x14ac:dyDescent="0.3">
      <c r="A6904" s="7">
        <f ca="1"/>
        <v>43794</v>
      </c>
      <c r="B6904" s="6">
        <v>135.79</v>
      </c>
    </row>
    <row r="6905" spans="1:2" ht="15.75" customHeight="1" thickBot="1" x14ac:dyDescent="0.3">
      <c r="A6905" s="7">
        <f ca="1"/>
        <v>43795</v>
      </c>
      <c r="B6905" s="6">
        <v>135.41</v>
      </c>
    </row>
    <row r="6906" spans="1:2" ht="15.75" customHeight="1" thickBot="1" x14ac:dyDescent="0.3">
      <c r="A6906" s="7">
        <f ca="1"/>
        <v>43796</v>
      </c>
      <c r="B6906" s="6">
        <v>134.93</v>
      </c>
    </row>
    <row r="6907" spans="1:2" ht="15.75" customHeight="1" thickBot="1" x14ac:dyDescent="0.3">
      <c r="A6907" s="7">
        <f ca="1"/>
        <v>43797</v>
      </c>
      <c r="B6907" s="5">
        <f>B6906</f>
        <v>134.93</v>
      </c>
    </row>
    <row r="6908" spans="1:2" ht="15.75" customHeight="1" thickBot="1" x14ac:dyDescent="0.3">
      <c r="A6908" s="7">
        <f ca="1"/>
        <v>43798</v>
      </c>
      <c r="B6908" s="6">
        <v>135.46</v>
      </c>
    </row>
    <row r="6909" spans="1:2" ht="15.75" customHeight="1" thickBot="1" x14ac:dyDescent="0.3">
      <c r="A6909" s="7">
        <f ca="1"/>
        <v>43799</v>
      </c>
      <c r="B6909" s="5">
        <f t="shared" ref="B6909:B6910" si="986">B6908</f>
        <v>135.46</v>
      </c>
    </row>
    <row r="6910" spans="1:2" ht="15.75" customHeight="1" thickBot="1" x14ac:dyDescent="0.3">
      <c r="A6910" s="7">
        <f ca="1"/>
        <v>43800</v>
      </c>
      <c r="B6910" s="5">
        <f t="shared" si="986"/>
        <v>135.46</v>
      </c>
    </row>
    <row r="6911" spans="1:2" ht="15.75" customHeight="1" thickBot="1" x14ac:dyDescent="0.3">
      <c r="A6911" s="7">
        <f ca="1"/>
        <v>43801</v>
      </c>
      <c r="B6911" s="6">
        <v>134.93</v>
      </c>
    </row>
    <row r="6912" spans="1:2" ht="15.75" customHeight="1" thickBot="1" x14ac:dyDescent="0.3">
      <c r="A6912" s="7">
        <f ca="1"/>
        <v>43802</v>
      </c>
      <c r="B6912" s="6">
        <v>132.86000000000001</v>
      </c>
    </row>
    <row r="6913" spans="1:2" ht="15.75" customHeight="1" thickBot="1" x14ac:dyDescent="0.3">
      <c r="A6913" s="7">
        <f ca="1"/>
        <v>43803</v>
      </c>
      <c r="B6913" s="6">
        <v>135.24</v>
      </c>
    </row>
    <row r="6914" spans="1:2" ht="15.75" customHeight="1" thickBot="1" x14ac:dyDescent="0.3">
      <c r="A6914" s="7">
        <f ca="1"/>
        <v>43804</v>
      </c>
      <c r="B6914" s="6">
        <v>135.53</v>
      </c>
    </row>
    <row r="6915" spans="1:2" ht="15.75" customHeight="1" thickBot="1" x14ac:dyDescent="0.3">
      <c r="A6915" s="7">
        <f ca="1"/>
        <v>43805</v>
      </c>
      <c r="B6915" s="6">
        <v>135.51</v>
      </c>
    </row>
    <row r="6916" spans="1:2" ht="15.75" customHeight="1" thickBot="1" x14ac:dyDescent="0.3">
      <c r="A6916" s="7">
        <f ca="1"/>
        <v>43806</v>
      </c>
      <c r="B6916" s="5">
        <f t="shared" ref="B6916:B6917" si="987">B6915</f>
        <v>135.51</v>
      </c>
    </row>
    <row r="6917" spans="1:2" ht="15.75" customHeight="1" thickBot="1" x14ac:dyDescent="0.3">
      <c r="A6917" s="7">
        <f ca="1"/>
        <v>43807</v>
      </c>
      <c r="B6917" s="5">
        <f t="shared" si="987"/>
        <v>135.51</v>
      </c>
    </row>
    <row r="6918" spans="1:2" ht="15.75" customHeight="1" thickBot="1" x14ac:dyDescent="0.3">
      <c r="A6918" s="7">
        <f ca="1"/>
        <v>43808</v>
      </c>
      <c r="B6918" s="6">
        <v>135.12</v>
      </c>
    </row>
    <row r="6919" spans="1:2" ht="15.75" customHeight="1" thickBot="1" x14ac:dyDescent="0.3">
      <c r="A6919" s="7">
        <f ca="1"/>
        <v>43809</v>
      </c>
      <c r="B6919" s="6">
        <v>134.25</v>
      </c>
    </row>
    <row r="6920" spans="1:2" ht="15.75" customHeight="1" thickBot="1" x14ac:dyDescent="0.3">
      <c r="A6920" s="7">
        <f ca="1"/>
        <v>43810</v>
      </c>
      <c r="B6920" s="6">
        <v>134.25</v>
      </c>
    </row>
    <row r="6921" spans="1:2" ht="15.75" customHeight="1" thickBot="1" x14ac:dyDescent="0.3">
      <c r="A6921" s="7">
        <f ca="1"/>
        <v>43811</v>
      </c>
      <c r="B6921" s="6">
        <v>135.08000000000001</v>
      </c>
    </row>
    <row r="6922" spans="1:2" ht="15.75" customHeight="1" thickBot="1" x14ac:dyDescent="0.3">
      <c r="A6922" s="7">
        <f ca="1"/>
        <v>43812</v>
      </c>
      <c r="B6922" s="6">
        <v>137.03</v>
      </c>
    </row>
    <row r="6923" spans="1:2" ht="15.75" customHeight="1" thickBot="1" x14ac:dyDescent="0.3">
      <c r="A6923" s="7">
        <f ca="1"/>
        <v>43813</v>
      </c>
      <c r="B6923" s="5">
        <f t="shared" ref="B6923:B6924" si="988">B6922</f>
        <v>137.03</v>
      </c>
    </row>
    <row r="6924" spans="1:2" ht="15.75" customHeight="1" thickBot="1" x14ac:dyDescent="0.3">
      <c r="A6924" s="7">
        <f ca="1"/>
        <v>43814</v>
      </c>
      <c r="B6924" s="5">
        <f t="shared" si="988"/>
        <v>137.03</v>
      </c>
    </row>
    <row r="6925" spans="1:2" ht="15.75" customHeight="1" thickBot="1" x14ac:dyDescent="0.3">
      <c r="A6925" s="7">
        <f ca="1"/>
        <v>43815</v>
      </c>
      <c r="B6925" s="6">
        <v>138.63</v>
      </c>
    </row>
    <row r="6926" spans="1:2" ht="15.75" customHeight="1" thickBot="1" x14ac:dyDescent="0.3">
      <c r="A6926" s="7">
        <f ca="1"/>
        <v>43816</v>
      </c>
      <c r="B6926" s="6">
        <v>135.80000000000001</v>
      </c>
    </row>
    <row r="6927" spans="1:2" ht="15.75" customHeight="1" thickBot="1" x14ac:dyDescent="0.3">
      <c r="A6927" s="7">
        <f ca="1"/>
        <v>43817</v>
      </c>
      <c r="B6927" s="6">
        <v>133.32</v>
      </c>
    </row>
    <row r="6928" spans="1:2" ht="15.75" customHeight="1" thickBot="1" x14ac:dyDescent="0.3">
      <c r="A6928" s="7">
        <f ca="1"/>
        <v>43818</v>
      </c>
      <c r="B6928" s="6">
        <v>133.03</v>
      </c>
    </row>
    <row r="6929" spans="1:2" ht="15.75" customHeight="1" thickBot="1" x14ac:dyDescent="0.3">
      <c r="A6929" s="7">
        <f ca="1"/>
        <v>43819</v>
      </c>
      <c r="B6929" s="6">
        <v>133.93</v>
      </c>
    </row>
    <row r="6930" spans="1:2" ht="15.75" customHeight="1" thickBot="1" x14ac:dyDescent="0.3">
      <c r="A6930" s="7">
        <f ca="1"/>
        <v>43820</v>
      </c>
      <c r="B6930" s="5">
        <f t="shared" ref="B6930:B6931" si="989">B6929</f>
        <v>133.93</v>
      </c>
    </row>
    <row r="6931" spans="1:2" ht="15.75" customHeight="1" thickBot="1" x14ac:dyDescent="0.3">
      <c r="A6931" s="7">
        <f ca="1"/>
        <v>43821</v>
      </c>
      <c r="B6931" s="5">
        <f t="shared" si="989"/>
        <v>133.93</v>
      </c>
    </row>
    <row r="6932" spans="1:2" ht="15.75" customHeight="1" thickBot="1" x14ac:dyDescent="0.3">
      <c r="A6932" s="7">
        <f ca="1"/>
        <v>43822</v>
      </c>
      <c r="B6932" s="6">
        <v>133.16</v>
      </c>
    </row>
    <row r="6933" spans="1:2" ht="15.75" customHeight="1" thickBot="1" x14ac:dyDescent="0.3">
      <c r="A6933" s="7">
        <f ca="1"/>
        <v>43823</v>
      </c>
      <c r="B6933" s="6">
        <v>134.12</v>
      </c>
    </row>
    <row r="6934" spans="1:2" ht="15.75" customHeight="1" thickBot="1" x14ac:dyDescent="0.3">
      <c r="A6934" s="7">
        <f ca="1"/>
        <v>43824</v>
      </c>
      <c r="B6934" s="5">
        <f>B6933</f>
        <v>134.12</v>
      </c>
    </row>
    <row r="6935" spans="1:2" ht="15.75" customHeight="1" thickBot="1" x14ac:dyDescent="0.3">
      <c r="A6935" s="7">
        <f ca="1"/>
        <v>43825</v>
      </c>
      <c r="B6935" s="6">
        <v>133.91999999999999</v>
      </c>
    </row>
    <row r="6936" spans="1:2" ht="15.75" customHeight="1" thickBot="1" x14ac:dyDescent="0.3">
      <c r="A6936" s="7">
        <f ca="1"/>
        <v>43826</v>
      </c>
      <c r="B6936" s="6">
        <v>135.88</v>
      </c>
    </row>
    <row r="6937" spans="1:2" ht="15.75" customHeight="1" thickBot="1" x14ac:dyDescent="0.3">
      <c r="A6937" s="7">
        <f ca="1"/>
        <v>43827</v>
      </c>
      <c r="B6937" s="5">
        <f t="shared" ref="B6937:B6938" si="990">B6936</f>
        <v>135.88</v>
      </c>
    </row>
    <row r="6938" spans="1:2" ht="15.75" customHeight="1" thickBot="1" x14ac:dyDescent="0.3">
      <c r="A6938" s="7">
        <f ca="1"/>
        <v>43828</v>
      </c>
      <c r="B6938" s="5">
        <f t="shared" si="990"/>
        <v>135.88</v>
      </c>
    </row>
    <row r="6939" spans="1:2" ht="15.75" customHeight="1" thickBot="1" x14ac:dyDescent="0.3">
      <c r="A6939" s="7">
        <f ca="1"/>
        <v>43829</v>
      </c>
      <c r="B6939" s="6">
        <v>134.66</v>
      </c>
    </row>
    <row r="6940" spans="1:2" ht="15.75" customHeight="1" thickBot="1" x14ac:dyDescent="0.3">
      <c r="A6940" s="7">
        <f ca="1"/>
        <v>43830</v>
      </c>
      <c r="B6940" s="6">
        <v>133.16999999999999</v>
      </c>
    </row>
    <row r="6941" spans="1:2" ht="15.75" customHeight="1" thickBot="1" x14ac:dyDescent="0.3">
      <c r="A6941" s="7">
        <f ca="1"/>
        <v>43831</v>
      </c>
      <c r="B6941" s="5">
        <f>B6940</f>
        <v>133.16999999999999</v>
      </c>
    </row>
    <row r="6942" spans="1:2" ht="15.75" customHeight="1" thickBot="1" x14ac:dyDescent="0.3">
      <c r="A6942" s="7">
        <f ca="1"/>
        <v>43832</v>
      </c>
      <c r="B6942" s="6">
        <v>135.41999999999999</v>
      </c>
    </row>
    <row r="6943" spans="1:2" ht="15.75" customHeight="1" thickBot="1" x14ac:dyDescent="0.3">
      <c r="A6943" s="7">
        <f ca="1"/>
        <v>43833</v>
      </c>
      <c r="B6943" s="6">
        <v>133.30000000000001</v>
      </c>
    </row>
    <row r="6944" spans="1:2" ht="15.75" customHeight="1" thickBot="1" x14ac:dyDescent="0.3">
      <c r="A6944" s="7">
        <f ca="1"/>
        <v>43834</v>
      </c>
      <c r="B6944" s="5">
        <f t="shared" ref="B6944:B6945" si="991">B6943</f>
        <v>133.30000000000001</v>
      </c>
    </row>
    <row r="6945" spans="1:2" ht="15.75" customHeight="1" thickBot="1" x14ac:dyDescent="0.3">
      <c r="A6945" s="7">
        <f ca="1"/>
        <v>43835</v>
      </c>
      <c r="B6945" s="5">
        <f t="shared" si="991"/>
        <v>133.30000000000001</v>
      </c>
    </row>
    <row r="6946" spans="1:2" ht="15.75" customHeight="1" thickBot="1" x14ac:dyDescent="0.3">
      <c r="A6946" s="7">
        <f ca="1"/>
        <v>43836</v>
      </c>
      <c r="B6946" s="6">
        <v>133.16</v>
      </c>
    </row>
    <row r="6947" spans="1:2" ht="15.75" customHeight="1" thickBot="1" x14ac:dyDescent="0.3">
      <c r="A6947" s="7">
        <f ca="1"/>
        <v>43837</v>
      </c>
      <c r="B6947" s="6">
        <v>134.08000000000001</v>
      </c>
    </row>
    <row r="6948" spans="1:2" ht="15.75" customHeight="1" thickBot="1" x14ac:dyDescent="0.3">
      <c r="A6948" s="7">
        <f ca="1"/>
        <v>43838</v>
      </c>
      <c r="B6948" s="6">
        <v>133.9</v>
      </c>
    </row>
    <row r="6949" spans="1:2" ht="15.75" customHeight="1" thickBot="1" x14ac:dyDescent="0.3">
      <c r="A6949" s="7">
        <f ca="1"/>
        <v>43839</v>
      </c>
      <c r="B6949" s="6">
        <v>136.49</v>
      </c>
    </row>
    <row r="6950" spans="1:2" ht="15.75" customHeight="1" thickBot="1" x14ac:dyDescent="0.3">
      <c r="A6950" s="7">
        <f ca="1"/>
        <v>43840</v>
      </c>
      <c r="B6950" s="6">
        <v>137.55000000000001</v>
      </c>
    </row>
    <row r="6951" spans="1:2" ht="15.75" customHeight="1" thickBot="1" x14ac:dyDescent="0.3">
      <c r="A6951" s="7">
        <f ca="1"/>
        <v>43841</v>
      </c>
      <c r="B6951" s="5">
        <f t="shared" ref="B6951:B6952" si="992">B6950</f>
        <v>137.55000000000001</v>
      </c>
    </row>
    <row r="6952" spans="1:2" ht="15.75" customHeight="1" thickBot="1" x14ac:dyDescent="0.3">
      <c r="A6952" s="7">
        <f ca="1"/>
        <v>43842</v>
      </c>
      <c r="B6952" s="5">
        <f t="shared" si="992"/>
        <v>137.55000000000001</v>
      </c>
    </row>
    <row r="6953" spans="1:2" ht="15.75" customHeight="1" thickBot="1" x14ac:dyDescent="0.3">
      <c r="A6953" s="7">
        <f ca="1"/>
        <v>43843</v>
      </c>
      <c r="B6953" s="6">
        <v>137.65</v>
      </c>
    </row>
    <row r="6954" spans="1:2" ht="15.75" customHeight="1" thickBot="1" x14ac:dyDescent="0.3">
      <c r="A6954" s="7">
        <f ca="1"/>
        <v>43844</v>
      </c>
      <c r="B6954" s="6">
        <v>137.5</v>
      </c>
    </row>
    <row r="6955" spans="1:2" ht="15.75" customHeight="1" thickBot="1" x14ac:dyDescent="0.3">
      <c r="A6955" s="7">
        <f ca="1"/>
        <v>43845</v>
      </c>
      <c r="B6955" s="6">
        <v>137.33000000000001</v>
      </c>
    </row>
    <row r="6956" spans="1:2" ht="15.75" customHeight="1" thickBot="1" x14ac:dyDescent="0.3">
      <c r="A6956" s="7">
        <f ca="1"/>
        <v>43846</v>
      </c>
      <c r="B6956" s="6">
        <v>136.66999999999999</v>
      </c>
    </row>
    <row r="6957" spans="1:2" ht="15.75" customHeight="1" thickBot="1" x14ac:dyDescent="0.3">
      <c r="A6957" s="7">
        <f ca="1"/>
        <v>43847</v>
      </c>
      <c r="B6957" s="6">
        <v>139.04</v>
      </c>
    </row>
    <row r="6958" spans="1:2" ht="15.75" customHeight="1" thickBot="1" x14ac:dyDescent="0.3">
      <c r="A6958" s="7">
        <f ca="1"/>
        <v>43848</v>
      </c>
      <c r="B6958" s="5">
        <f t="shared" ref="B6958:B6960" si="993">B6957</f>
        <v>139.04</v>
      </c>
    </row>
    <row r="6959" spans="1:2" ht="15.75" customHeight="1" thickBot="1" x14ac:dyDescent="0.3">
      <c r="A6959" s="7">
        <f ca="1"/>
        <v>43849</v>
      </c>
      <c r="B6959" s="5">
        <f t="shared" si="993"/>
        <v>139.04</v>
      </c>
    </row>
    <row r="6960" spans="1:2" ht="15.75" customHeight="1" thickBot="1" x14ac:dyDescent="0.3">
      <c r="A6960" s="7">
        <f ca="1"/>
        <v>43850</v>
      </c>
      <c r="B6960" s="5">
        <f t="shared" si="993"/>
        <v>139.04</v>
      </c>
    </row>
    <row r="6961" spans="1:2" ht="15.75" customHeight="1" thickBot="1" x14ac:dyDescent="0.3">
      <c r="A6961" s="7">
        <f ca="1"/>
        <v>43851</v>
      </c>
      <c r="B6961" s="6">
        <v>138.9</v>
      </c>
    </row>
    <row r="6962" spans="1:2" ht="15.75" customHeight="1" thickBot="1" x14ac:dyDescent="0.3">
      <c r="A6962" s="7">
        <f ca="1"/>
        <v>43852</v>
      </c>
      <c r="B6962" s="6">
        <v>140.35</v>
      </c>
    </row>
    <row r="6963" spans="1:2" ht="15.75" customHeight="1" thickBot="1" x14ac:dyDescent="0.3">
      <c r="A6963" s="7">
        <f ca="1"/>
        <v>43853</v>
      </c>
      <c r="B6963" s="6">
        <v>138.41</v>
      </c>
    </row>
    <row r="6964" spans="1:2" ht="15.75" customHeight="1" thickBot="1" x14ac:dyDescent="0.3">
      <c r="A6964" s="7">
        <f ca="1"/>
        <v>43854</v>
      </c>
      <c r="B6964" s="6">
        <v>139.66999999999999</v>
      </c>
    </row>
    <row r="6965" spans="1:2" ht="15.75" customHeight="1" thickBot="1" x14ac:dyDescent="0.3">
      <c r="A6965" s="7">
        <f ca="1"/>
        <v>43855</v>
      </c>
      <c r="B6965" s="5">
        <f t="shared" ref="B6965:B6966" si="994">B6964</f>
        <v>139.66999999999999</v>
      </c>
    </row>
    <row r="6966" spans="1:2" ht="15.75" customHeight="1" thickBot="1" x14ac:dyDescent="0.3">
      <c r="A6966" s="7">
        <f ca="1"/>
        <v>43856</v>
      </c>
      <c r="B6966" s="5">
        <f t="shared" si="994"/>
        <v>139.66999999999999</v>
      </c>
    </row>
    <row r="6967" spans="1:2" ht="15.75" customHeight="1" thickBot="1" x14ac:dyDescent="0.3">
      <c r="A6967" s="7">
        <f ca="1"/>
        <v>43857</v>
      </c>
      <c r="B6967" s="6">
        <v>134.87</v>
      </c>
    </row>
    <row r="6968" spans="1:2" ht="15.75" customHeight="1" thickBot="1" x14ac:dyDescent="0.3">
      <c r="A6968" s="7">
        <f ca="1"/>
        <v>43858</v>
      </c>
      <c r="B6968" s="6">
        <v>132.47</v>
      </c>
    </row>
    <row r="6969" spans="1:2" ht="15.75" customHeight="1" thickBot="1" x14ac:dyDescent="0.3">
      <c r="A6969" s="7">
        <f ca="1"/>
        <v>43859</v>
      </c>
      <c r="B6969" s="6">
        <v>131.88</v>
      </c>
    </row>
    <row r="6970" spans="1:2" ht="15.75" customHeight="1" thickBot="1" x14ac:dyDescent="0.3">
      <c r="A6970" s="7">
        <f ca="1"/>
        <v>43860</v>
      </c>
      <c r="B6970" s="6">
        <v>130.37</v>
      </c>
    </row>
    <row r="6971" spans="1:2" ht="15.75" customHeight="1" thickBot="1" x14ac:dyDescent="0.3">
      <c r="A6971" s="7">
        <f ca="1"/>
        <v>43861</v>
      </c>
      <c r="B6971" s="6">
        <v>132.1</v>
      </c>
    </row>
    <row r="6972" spans="1:2" ht="15.75" customHeight="1" thickBot="1" x14ac:dyDescent="0.3">
      <c r="A6972" s="7">
        <f ca="1"/>
        <v>43862</v>
      </c>
      <c r="B6972" s="5">
        <f t="shared" ref="B6972:B6973" si="995">B6971</f>
        <v>132.1</v>
      </c>
    </row>
    <row r="6973" spans="1:2" ht="15.75" customHeight="1" thickBot="1" x14ac:dyDescent="0.3">
      <c r="A6973" s="7">
        <f ca="1"/>
        <v>43863</v>
      </c>
      <c r="B6973" s="5">
        <f t="shared" si="995"/>
        <v>132.1</v>
      </c>
    </row>
    <row r="6974" spans="1:2" ht="15.75" customHeight="1" thickBot="1" x14ac:dyDescent="0.3">
      <c r="A6974" s="7">
        <f ca="1"/>
        <v>43864</v>
      </c>
      <c r="B6974" s="6">
        <v>131.82</v>
      </c>
    </row>
    <row r="6975" spans="1:2" ht="15.75" customHeight="1" thickBot="1" x14ac:dyDescent="0.3">
      <c r="A6975" s="7">
        <f ca="1"/>
        <v>43865</v>
      </c>
      <c r="B6975" s="6">
        <v>134.86000000000001</v>
      </c>
    </row>
    <row r="6976" spans="1:2" ht="15.75" customHeight="1" thickBot="1" x14ac:dyDescent="0.3">
      <c r="A6976" s="7">
        <f ca="1"/>
        <v>43866</v>
      </c>
      <c r="B6976" s="6">
        <v>137.49</v>
      </c>
    </row>
    <row r="6977" spans="1:2" ht="15.75" customHeight="1" thickBot="1" x14ac:dyDescent="0.3">
      <c r="A6977" s="7">
        <f ca="1"/>
        <v>43867</v>
      </c>
      <c r="B6977" s="6">
        <v>136.09</v>
      </c>
    </row>
    <row r="6978" spans="1:2" ht="15.75" customHeight="1" thickBot="1" x14ac:dyDescent="0.3">
      <c r="A6978" s="7">
        <f ca="1"/>
        <v>43868</v>
      </c>
      <c r="B6978" s="6">
        <v>135.94999999999999</v>
      </c>
    </row>
    <row r="6979" spans="1:2" ht="15.75" customHeight="1" thickBot="1" x14ac:dyDescent="0.3">
      <c r="A6979" s="7">
        <f ca="1"/>
        <v>43869</v>
      </c>
      <c r="B6979" s="5">
        <f t="shared" ref="B6979:B6980" si="996">B6978</f>
        <v>135.94999999999999</v>
      </c>
    </row>
    <row r="6980" spans="1:2" ht="15.75" customHeight="1" thickBot="1" x14ac:dyDescent="0.3">
      <c r="A6980" s="7">
        <f ca="1"/>
        <v>43870</v>
      </c>
      <c r="B6980" s="5">
        <f t="shared" si="996"/>
        <v>135.94999999999999</v>
      </c>
    </row>
    <row r="6981" spans="1:2" ht="15.75" customHeight="1" thickBot="1" x14ac:dyDescent="0.3">
      <c r="A6981" s="7">
        <f ca="1"/>
        <v>43871</v>
      </c>
      <c r="B6981" s="6">
        <v>134.68</v>
      </c>
    </row>
    <row r="6982" spans="1:2" ht="15.75" customHeight="1" thickBot="1" x14ac:dyDescent="0.3">
      <c r="A6982" s="7">
        <f ca="1"/>
        <v>43872</v>
      </c>
      <c r="B6982" s="6">
        <v>136.5</v>
      </c>
    </row>
    <row r="6983" spans="1:2" ht="15.75" customHeight="1" thickBot="1" x14ac:dyDescent="0.3">
      <c r="A6983" s="7">
        <f ca="1"/>
        <v>43873</v>
      </c>
      <c r="B6983" s="6">
        <v>138.38999999999999</v>
      </c>
    </row>
    <row r="6984" spans="1:2" ht="15.75" customHeight="1" thickBot="1" x14ac:dyDescent="0.3">
      <c r="A6984" s="7">
        <f ca="1"/>
        <v>43874</v>
      </c>
      <c r="B6984" s="6">
        <v>136.28</v>
      </c>
    </row>
    <row r="6985" spans="1:2" ht="15.75" customHeight="1" thickBot="1" x14ac:dyDescent="0.3">
      <c r="A6985" s="7">
        <f ca="1"/>
        <v>43875</v>
      </c>
      <c r="B6985" s="6">
        <v>137.01</v>
      </c>
    </row>
    <row r="6986" spans="1:2" ht="15.75" customHeight="1" thickBot="1" x14ac:dyDescent="0.3">
      <c r="A6986" s="7">
        <f ca="1"/>
        <v>43876</v>
      </c>
      <c r="B6986" s="5">
        <f t="shared" ref="B6986:B6988" si="997">B6985</f>
        <v>137.01</v>
      </c>
    </row>
    <row r="6987" spans="1:2" ht="15.75" customHeight="1" thickBot="1" x14ac:dyDescent="0.3">
      <c r="A6987" s="7">
        <f ca="1"/>
        <v>43877</v>
      </c>
      <c r="B6987" s="5">
        <f t="shared" si="997"/>
        <v>137.01</v>
      </c>
    </row>
    <row r="6988" spans="1:2" ht="15.75" customHeight="1" thickBot="1" x14ac:dyDescent="0.3">
      <c r="A6988" s="7">
        <f ca="1"/>
        <v>43878</v>
      </c>
      <c r="B6988" s="5">
        <f t="shared" si="997"/>
        <v>137.01</v>
      </c>
    </row>
    <row r="6989" spans="1:2" ht="15.75" customHeight="1" thickBot="1" x14ac:dyDescent="0.3">
      <c r="A6989" s="7">
        <f ca="1"/>
        <v>43879</v>
      </c>
      <c r="B6989" s="6">
        <v>137.04</v>
      </c>
    </row>
    <row r="6990" spans="1:2" ht="15.75" customHeight="1" thickBot="1" x14ac:dyDescent="0.3">
      <c r="A6990" s="7">
        <f ca="1"/>
        <v>43880</v>
      </c>
      <c r="B6990" s="6">
        <v>138.49</v>
      </c>
    </row>
    <row r="6991" spans="1:2" ht="15.75" customHeight="1" thickBot="1" x14ac:dyDescent="0.3">
      <c r="A6991" s="7">
        <f ca="1"/>
        <v>43881</v>
      </c>
      <c r="B6991" s="6">
        <v>138.85</v>
      </c>
    </row>
    <row r="6992" spans="1:2" ht="15.75" customHeight="1" thickBot="1" x14ac:dyDescent="0.3">
      <c r="A6992" s="7">
        <f ca="1"/>
        <v>43882</v>
      </c>
      <c r="B6992" s="6">
        <v>137.25</v>
      </c>
    </row>
    <row r="6993" spans="1:2" ht="15.75" customHeight="1" thickBot="1" x14ac:dyDescent="0.3">
      <c r="A6993" s="7">
        <f ca="1"/>
        <v>43883</v>
      </c>
      <c r="B6993" s="5">
        <f t="shared" ref="B6993:B6994" si="998">B6992</f>
        <v>137.25</v>
      </c>
    </row>
    <row r="6994" spans="1:2" ht="15.75" customHeight="1" thickBot="1" x14ac:dyDescent="0.3">
      <c r="A6994" s="7">
        <f ca="1"/>
        <v>43884</v>
      </c>
      <c r="B6994" s="5">
        <f t="shared" si="998"/>
        <v>137.25</v>
      </c>
    </row>
    <row r="6995" spans="1:2" ht="15.75" customHeight="1" thickBot="1" x14ac:dyDescent="0.3">
      <c r="A6995" s="7">
        <f ca="1"/>
        <v>43885</v>
      </c>
      <c r="B6995" s="6">
        <v>130.33000000000001</v>
      </c>
    </row>
    <row r="6996" spans="1:2" ht="15.75" customHeight="1" thickBot="1" x14ac:dyDescent="0.3">
      <c r="A6996" s="7">
        <f ca="1"/>
        <v>43886</v>
      </c>
      <c r="B6996" s="6">
        <v>130.91999999999999</v>
      </c>
    </row>
    <row r="6997" spans="1:2" ht="15.75" customHeight="1" thickBot="1" x14ac:dyDescent="0.3">
      <c r="A6997" s="7">
        <f ca="1"/>
        <v>43887</v>
      </c>
      <c r="B6997" s="6">
        <v>128.68</v>
      </c>
    </row>
    <row r="6998" spans="1:2" ht="15.75" customHeight="1" thickBot="1" x14ac:dyDescent="0.3">
      <c r="A6998" s="7">
        <f ca="1"/>
        <v>43888</v>
      </c>
      <c r="B6998" s="6">
        <v>125.22</v>
      </c>
    </row>
    <row r="6999" spans="1:2" ht="15.75" customHeight="1" thickBot="1" x14ac:dyDescent="0.3">
      <c r="A6999" s="7">
        <f ca="1"/>
        <v>43889</v>
      </c>
      <c r="B6999" s="6">
        <v>121.22</v>
      </c>
    </row>
    <row r="7000" spans="1:2" ht="15.75" customHeight="1" thickBot="1" x14ac:dyDescent="0.3">
      <c r="A7000" s="7">
        <f ca="1"/>
        <v>43890</v>
      </c>
      <c r="B7000" s="5">
        <f t="shared" ref="B7000:B7001" si="999">B6999</f>
        <v>121.22</v>
      </c>
    </row>
    <row r="7001" spans="1:2" ht="15.75" customHeight="1" thickBot="1" x14ac:dyDescent="0.3">
      <c r="A7001" s="7">
        <f ca="1"/>
        <v>43891</v>
      </c>
      <c r="B7001" s="5">
        <f t="shared" si="999"/>
        <v>121.22</v>
      </c>
    </row>
    <row r="7002" spans="1:2" ht="15.75" customHeight="1" thickBot="1" x14ac:dyDescent="0.3">
      <c r="A7002" s="7">
        <f ca="1"/>
        <v>43892</v>
      </c>
      <c r="B7002" s="6">
        <v>124.13</v>
      </c>
    </row>
    <row r="7003" spans="1:2" ht="15.75" customHeight="1" thickBot="1" x14ac:dyDescent="0.3">
      <c r="A7003" s="7">
        <f ca="1"/>
        <v>43893</v>
      </c>
      <c r="B7003" s="6">
        <v>127.24</v>
      </c>
    </row>
    <row r="7004" spans="1:2" ht="15.75" customHeight="1" thickBot="1" x14ac:dyDescent="0.3">
      <c r="A7004" s="7">
        <f ca="1"/>
        <v>43894</v>
      </c>
      <c r="B7004" s="6">
        <v>124.98</v>
      </c>
    </row>
    <row r="7005" spans="1:2" ht="15.75" customHeight="1" thickBot="1" x14ac:dyDescent="0.3">
      <c r="A7005" s="7">
        <f ca="1"/>
        <v>43895</v>
      </c>
      <c r="B7005" s="6">
        <v>122.54</v>
      </c>
    </row>
    <row r="7006" spans="1:2" ht="15.75" customHeight="1" thickBot="1" x14ac:dyDescent="0.3">
      <c r="A7006" s="7">
        <f ca="1"/>
        <v>43896</v>
      </c>
      <c r="B7006" s="6">
        <v>120.27</v>
      </c>
    </row>
    <row r="7007" spans="1:2" ht="15.75" customHeight="1" thickBot="1" x14ac:dyDescent="0.3">
      <c r="A7007" s="7">
        <f ca="1"/>
        <v>43897</v>
      </c>
      <c r="B7007" s="5">
        <f t="shared" ref="B7007:B7008" si="1000">B7006</f>
        <v>120.27</v>
      </c>
    </row>
    <row r="7008" spans="1:2" ht="15.75" customHeight="1" thickBot="1" x14ac:dyDescent="0.3">
      <c r="A7008" s="7">
        <f ca="1"/>
        <v>43898</v>
      </c>
      <c r="B7008" s="5">
        <f t="shared" si="1000"/>
        <v>120.27</v>
      </c>
    </row>
    <row r="7009" spans="1:2" ht="15.75" customHeight="1" thickBot="1" x14ac:dyDescent="0.3">
      <c r="A7009" s="7">
        <f ca="1"/>
        <v>43899</v>
      </c>
      <c r="B7009" s="6">
        <v>113.61</v>
      </c>
    </row>
    <row r="7010" spans="1:2" ht="15.75" customHeight="1" thickBot="1" x14ac:dyDescent="0.3">
      <c r="A7010" s="7">
        <f ca="1"/>
        <v>43900</v>
      </c>
      <c r="B7010" s="6">
        <v>117.48</v>
      </c>
    </row>
    <row r="7011" spans="1:2" ht="15.75" customHeight="1" thickBot="1" x14ac:dyDescent="0.3">
      <c r="A7011" s="7">
        <f ca="1"/>
        <v>43901</v>
      </c>
      <c r="B7011" s="6">
        <v>115.31</v>
      </c>
    </row>
    <row r="7012" spans="1:2" ht="15.75" customHeight="1" thickBot="1" x14ac:dyDescent="0.3">
      <c r="A7012" s="7">
        <f ca="1"/>
        <v>43902</v>
      </c>
      <c r="B7012" s="6">
        <v>105.82</v>
      </c>
    </row>
    <row r="7013" spans="1:2" ht="15.75" customHeight="1" thickBot="1" x14ac:dyDescent="0.3">
      <c r="A7013" s="7">
        <f ca="1"/>
        <v>43903</v>
      </c>
      <c r="B7013" s="6">
        <v>107.71</v>
      </c>
    </row>
    <row r="7014" spans="1:2" ht="15.75" customHeight="1" thickBot="1" x14ac:dyDescent="0.3">
      <c r="A7014" s="7">
        <f ca="1"/>
        <v>43904</v>
      </c>
      <c r="B7014" s="5">
        <f t="shared" ref="B7014:B7015" si="1001">B7013</f>
        <v>107.71</v>
      </c>
    </row>
    <row r="7015" spans="1:2" ht="15.75" customHeight="1" thickBot="1" x14ac:dyDescent="0.3">
      <c r="A7015" s="7">
        <f ca="1"/>
        <v>43905</v>
      </c>
      <c r="B7015" s="5">
        <f t="shared" si="1001"/>
        <v>107.71</v>
      </c>
    </row>
    <row r="7016" spans="1:2" ht="15.75" customHeight="1" thickBot="1" x14ac:dyDescent="0.3">
      <c r="A7016" s="7">
        <f ca="1"/>
        <v>43906</v>
      </c>
      <c r="B7016" s="6">
        <v>93.43</v>
      </c>
    </row>
    <row r="7017" spans="1:2" ht="15.75" customHeight="1" thickBot="1" x14ac:dyDescent="0.3">
      <c r="A7017" s="7">
        <f ca="1"/>
        <v>43907</v>
      </c>
      <c r="B7017" s="6">
        <v>97.7</v>
      </c>
    </row>
    <row r="7018" spans="1:2" ht="15.75" customHeight="1" thickBot="1" x14ac:dyDescent="0.3">
      <c r="A7018" s="7">
        <f ca="1"/>
        <v>43908</v>
      </c>
      <c r="B7018" s="6">
        <v>95.23</v>
      </c>
    </row>
    <row r="7019" spans="1:2" ht="15.75" customHeight="1" thickBot="1" x14ac:dyDescent="0.3">
      <c r="A7019" s="7">
        <f ca="1"/>
        <v>43909</v>
      </c>
      <c r="B7019" s="6">
        <v>92.5</v>
      </c>
    </row>
    <row r="7020" spans="1:2" ht="15.75" customHeight="1" thickBot="1" x14ac:dyDescent="0.3">
      <c r="A7020" s="7">
        <f ca="1"/>
        <v>43910</v>
      </c>
      <c r="B7020" s="6">
        <v>96.54</v>
      </c>
    </row>
    <row r="7021" spans="1:2" ht="15.75" customHeight="1" thickBot="1" x14ac:dyDescent="0.3">
      <c r="A7021" s="7">
        <f ca="1"/>
        <v>43911</v>
      </c>
      <c r="B7021" s="5">
        <f t="shared" ref="B7021:B7022" si="1002">B7020</f>
        <v>96.54</v>
      </c>
    </row>
    <row r="7022" spans="1:2" ht="15.75" customHeight="1" thickBot="1" x14ac:dyDescent="0.3">
      <c r="A7022" s="7">
        <f ca="1"/>
        <v>43912</v>
      </c>
      <c r="B7022" s="5">
        <f t="shared" si="1002"/>
        <v>96.54</v>
      </c>
    </row>
    <row r="7023" spans="1:2" ht="15.75" customHeight="1" thickBot="1" x14ac:dyDescent="0.3">
      <c r="A7023" s="7">
        <f ca="1"/>
        <v>43913</v>
      </c>
      <c r="B7023" s="6">
        <v>97.99</v>
      </c>
    </row>
    <row r="7024" spans="1:2" ht="15.75" customHeight="1" thickBot="1" x14ac:dyDescent="0.3">
      <c r="A7024" s="7">
        <f ca="1"/>
        <v>43914</v>
      </c>
      <c r="B7024" s="6">
        <v>107.02</v>
      </c>
    </row>
    <row r="7025" spans="1:2" ht="15.75" customHeight="1" thickBot="1" x14ac:dyDescent="0.3">
      <c r="A7025" s="7">
        <f ca="1"/>
        <v>43915</v>
      </c>
      <c r="B7025" s="6">
        <v>104.46</v>
      </c>
    </row>
    <row r="7026" spans="1:2" ht="15.75" customHeight="1" thickBot="1" x14ac:dyDescent="0.3">
      <c r="A7026" s="7">
        <f ca="1"/>
        <v>43916</v>
      </c>
      <c r="B7026" s="6">
        <v>109.6</v>
      </c>
    </row>
    <row r="7027" spans="1:2" ht="15.75" customHeight="1" thickBot="1" x14ac:dyDescent="0.3">
      <c r="A7027" s="7">
        <f ca="1"/>
        <v>43917</v>
      </c>
      <c r="B7027" s="6">
        <v>110.51</v>
      </c>
    </row>
    <row r="7028" spans="1:2" ht="15.75" customHeight="1" thickBot="1" x14ac:dyDescent="0.3">
      <c r="A7028" s="7">
        <f ca="1"/>
        <v>43918</v>
      </c>
      <c r="B7028" s="5">
        <f t="shared" ref="B7028:B7029" si="1003">B7027</f>
        <v>110.51</v>
      </c>
    </row>
    <row r="7029" spans="1:2" ht="15.75" customHeight="1" thickBot="1" x14ac:dyDescent="0.3">
      <c r="A7029" s="7">
        <f ca="1"/>
        <v>43919</v>
      </c>
      <c r="B7029" s="5">
        <f t="shared" si="1003"/>
        <v>110.51</v>
      </c>
    </row>
    <row r="7030" spans="1:2" ht="15.75" customHeight="1" thickBot="1" x14ac:dyDescent="0.3">
      <c r="A7030" s="7">
        <f ca="1"/>
        <v>43920</v>
      </c>
      <c r="B7030" s="6">
        <v>112.09</v>
      </c>
    </row>
    <row r="7031" spans="1:2" ht="15.75" customHeight="1" thickBot="1" x14ac:dyDescent="0.3">
      <c r="A7031" s="7">
        <f ca="1"/>
        <v>43921</v>
      </c>
      <c r="B7031" s="6">
        <v>111.14</v>
      </c>
    </row>
    <row r="7032" spans="1:2" ht="15.75" customHeight="1" thickBot="1" x14ac:dyDescent="0.3">
      <c r="A7032" s="7">
        <f ca="1"/>
        <v>43922</v>
      </c>
      <c r="B7032" s="6">
        <v>107.12</v>
      </c>
    </row>
    <row r="7033" spans="1:2" ht="15.75" customHeight="1" thickBot="1" x14ac:dyDescent="0.3">
      <c r="A7033" s="7">
        <f ca="1"/>
        <v>43923</v>
      </c>
      <c r="B7033" s="6">
        <v>103.84</v>
      </c>
    </row>
    <row r="7034" spans="1:2" ht="15.75" customHeight="1" thickBot="1" x14ac:dyDescent="0.3">
      <c r="A7034" s="7">
        <f ca="1"/>
        <v>43924</v>
      </c>
      <c r="B7034" s="6">
        <v>104.76</v>
      </c>
    </row>
    <row r="7035" spans="1:2" ht="15.75" customHeight="1" thickBot="1" x14ac:dyDescent="0.3">
      <c r="A7035" s="7">
        <f ca="1"/>
        <v>43925</v>
      </c>
      <c r="B7035" s="5">
        <f t="shared" ref="B7035:B7036" si="1004">B7034</f>
        <v>104.76</v>
      </c>
    </row>
    <row r="7036" spans="1:2" ht="15.75" customHeight="1" thickBot="1" x14ac:dyDescent="0.3">
      <c r="A7036" s="7">
        <f ca="1"/>
        <v>43926</v>
      </c>
      <c r="B7036" s="5">
        <f t="shared" si="1004"/>
        <v>104.76</v>
      </c>
    </row>
    <row r="7037" spans="1:2" ht="15.75" customHeight="1" thickBot="1" x14ac:dyDescent="0.3">
      <c r="A7037" s="7">
        <f ca="1"/>
        <v>43927</v>
      </c>
      <c r="B7037" s="6">
        <v>108.75</v>
      </c>
    </row>
    <row r="7038" spans="1:2" ht="15.75" customHeight="1" thickBot="1" x14ac:dyDescent="0.3">
      <c r="A7038" s="7">
        <f ca="1"/>
        <v>43928</v>
      </c>
      <c r="B7038" s="6">
        <v>114.19</v>
      </c>
    </row>
    <row r="7039" spans="1:2" ht="15.75" customHeight="1" thickBot="1" x14ac:dyDescent="0.3">
      <c r="A7039" s="7">
        <f ca="1"/>
        <v>43929</v>
      </c>
      <c r="B7039" s="6">
        <v>114.07</v>
      </c>
    </row>
    <row r="7040" spans="1:2" ht="15.75" customHeight="1" thickBot="1" x14ac:dyDescent="0.3">
      <c r="A7040" s="7">
        <f ca="1"/>
        <v>43930</v>
      </c>
      <c r="B7040" s="6">
        <v>120.08</v>
      </c>
    </row>
    <row r="7041" spans="1:2" ht="15.75" customHeight="1" thickBot="1" x14ac:dyDescent="0.3">
      <c r="A7041" s="7">
        <f ca="1"/>
        <v>43931</v>
      </c>
      <c r="B7041" s="5">
        <f t="shared" ref="B7041:B7043" si="1005">B7040</f>
        <v>120.08</v>
      </c>
    </row>
    <row r="7042" spans="1:2" ht="15.75" customHeight="1" thickBot="1" x14ac:dyDescent="0.3">
      <c r="A7042" s="7">
        <f ca="1"/>
        <v>43932</v>
      </c>
      <c r="B7042" s="5">
        <f t="shared" si="1005"/>
        <v>120.08</v>
      </c>
    </row>
    <row r="7043" spans="1:2" ht="15.75" customHeight="1" thickBot="1" x14ac:dyDescent="0.3">
      <c r="A7043" s="7">
        <f ca="1"/>
        <v>43933</v>
      </c>
      <c r="B7043" s="5">
        <f t="shared" si="1005"/>
        <v>120.08</v>
      </c>
    </row>
    <row r="7044" spans="1:2" ht="15.75" customHeight="1" thickBot="1" x14ac:dyDescent="0.3">
      <c r="A7044" s="7">
        <f ca="1"/>
        <v>43934</v>
      </c>
      <c r="B7044" s="6">
        <v>120.1</v>
      </c>
    </row>
    <row r="7045" spans="1:2" ht="15.75" customHeight="1" thickBot="1" x14ac:dyDescent="0.3">
      <c r="A7045" s="7">
        <f ca="1"/>
        <v>43935</v>
      </c>
      <c r="B7045" s="6">
        <v>124.59</v>
      </c>
    </row>
    <row r="7046" spans="1:2" ht="15.75" customHeight="1" thickBot="1" x14ac:dyDescent="0.3">
      <c r="A7046" s="7">
        <f ca="1"/>
        <v>43936</v>
      </c>
      <c r="B7046" s="6">
        <v>117.49</v>
      </c>
    </row>
    <row r="7047" spans="1:2" ht="15.75" customHeight="1" thickBot="1" x14ac:dyDescent="0.3">
      <c r="A7047" s="7">
        <f ca="1"/>
        <v>43937</v>
      </c>
      <c r="B7047" s="6">
        <v>120.43</v>
      </c>
    </row>
    <row r="7048" spans="1:2" ht="15.75" customHeight="1" thickBot="1" x14ac:dyDescent="0.3">
      <c r="A7048" s="7">
        <f ca="1"/>
        <v>43938</v>
      </c>
      <c r="B7048" s="6">
        <v>122.97</v>
      </c>
    </row>
    <row r="7049" spans="1:2" ht="15.75" customHeight="1" thickBot="1" x14ac:dyDescent="0.3">
      <c r="A7049" s="7">
        <f ca="1"/>
        <v>43939</v>
      </c>
      <c r="B7049" s="5">
        <f t="shared" ref="B7049:B7050" si="1006">B7048</f>
        <v>122.97</v>
      </c>
    </row>
    <row r="7050" spans="1:2" ht="15.75" customHeight="1" thickBot="1" x14ac:dyDescent="0.3">
      <c r="A7050" s="7">
        <f ca="1"/>
        <v>43940</v>
      </c>
      <c r="B7050" s="5">
        <f t="shared" si="1006"/>
        <v>122.97</v>
      </c>
    </row>
    <row r="7051" spans="1:2" ht="15.75" customHeight="1" thickBot="1" x14ac:dyDescent="0.3">
      <c r="A7051" s="7">
        <f ca="1"/>
        <v>43941</v>
      </c>
      <c r="B7051" s="6">
        <v>121.26</v>
      </c>
    </row>
    <row r="7052" spans="1:2" ht="15.75" customHeight="1" thickBot="1" x14ac:dyDescent="0.3">
      <c r="A7052" s="7">
        <f ca="1"/>
        <v>43942</v>
      </c>
      <c r="B7052" s="6">
        <v>118.93</v>
      </c>
    </row>
    <row r="7053" spans="1:2" ht="15.75" customHeight="1" thickBot="1" x14ac:dyDescent="0.3">
      <c r="A7053" s="7">
        <f ca="1"/>
        <v>43943</v>
      </c>
      <c r="B7053" s="6">
        <v>117.38</v>
      </c>
    </row>
    <row r="7054" spans="1:2" ht="15.75" customHeight="1" thickBot="1" x14ac:dyDescent="0.3">
      <c r="A7054" s="7">
        <f ca="1"/>
        <v>43944</v>
      </c>
      <c r="B7054" s="6">
        <v>115.23</v>
      </c>
    </row>
    <row r="7055" spans="1:2" ht="15.75" customHeight="1" thickBot="1" x14ac:dyDescent="0.3">
      <c r="A7055" s="7">
        <f ca="1"/>
        <v>43945</v>
      </c>
      <c r="B7055" s="6">
        <v>116.25</v>
      </c>
    </row>
    <row r="7056" spans="1:2" ht="15.75" customHeight="1" thickBot="1" x14ac:dyDescent="0.3">
      <c r="A7056" s="7">
        <f ca="1"/>
        <v>43946</v>
      </c>
      <c r="B7056" s="5">
        <f t="shared" ref="B7056:B7057" si="1007">B7055</f>
        <v>116.25</v>
      </c>
    </row>
    <row r="7057" spans="1:2" ht="15.75" customHeight="1" thickBot="1" x14ac:dyDescent="0.3">
      <c r="A7057" s="7">
        <f ca="1"/>
        <v>43947</v>
      </c>
      <c r="B7057" s="5">
        <f t="shared" si="1007"/>
        <v>116.25</v>
      </c>
    </row>
    <row r="7058" spans="1:2" ht="15.75" customHeight="1" thickBot="1" x14ac:dyDescent="0.3">
      <c r="A7058" s="7">
        <f ca="1"/>
        <v>43948</v>
      </c>
      <c r="B7058" s="6">
        <v>116.44</v>
      </c>
    </row>
    <row r="7059" spans="1:2" ht="15.75" customHeight="1" thickBot="1" x14ac:dyDescent="0.3">
      <c r="A7059" s="7">
        <f ca="1"/>
        <v>43949</v>
      </c>
      <c r="B7059" s="6">
        <v>119.23</v>
      </c>
    </row>
    <row r="7060" spans="1:2" ht="15.75" customHeight="1" thickBot="1" x14ac:dyDescent="0.3">
      <c r="A7060" s="7">
        <f ca="1"/>
        <v>43950</v>
      </c>
      <c r="B7060" s="6">
        <v>117.89</v>
      </c>
    </row>
    <row r="7061" spans="1:2" ht="15.75" customHeight="1" thickBot="1" x14ac:dyDescent="0.3">
      <c r="A7061" s="7">
        <f ca="1"/>
        <v>43951</v>
      </c>
      <c r="B7061" s="6">
        <v>120.22</v>
      </c>
    </row>
    <row r="7062" spans="1:2" ht="15.75" customHeight="1" thickBot="1" x14ac:dyDescent="0.3">
      <c r="A7062" s="7">
        <f ca="1"/>
        <v>43952</v>
      </c>
      <c r="B7062" s="6">
        <v>116.86</v>
      </c>
    </row>
    <row r="7063" spans="1:2" ht="15.75" customHeight="1" thickBot="1" x14ac:dyDescent="0.3">
      <c r="A7063" s="7">
        <f ca="1"/>
        <v>43953</v>
      </c>
      <c r="B7063" s="5">
        <f t="shared" ref="B7063:B7064" si="1008">B7062</f>
        <v>116.86</v>
      </c>
    </row>
    <row r="7064" spans="1:2" ht="15.75" customHeight="1" thickBot="1" x14ac:dyDescent="0.3">
      <c r="A7064" s="7">
        <f ca="1"/>
        <v>43954</v>
      </c>
      <c r="B7064" s="5">
        <f t="shared" si="1008"/>
        <v>116.86</v>
      </c>
    </row>
    <row r="7065" spans="1:2" ht="15.75" customHeight="1" thickBot="1" x14ac:dyDescent="0.3">
      <c r="A7065" s="7">
        <f ca="1"/>
        <v>43955</v>
      </c>
      <c r="B7065" s="6">
        <v>115.95</v>
      </c>
    </row>
    <row r="7066" spans="1:2" ht="15.75" customHeight="1" thickBot="1" x14ac:dyDescent="0.3">
      <c r="A7066" s="7">
        <f ca="1"/>
        <v>43956</v>
      </c>
      <c r="B7066" s="6">
        <v>116.43</v>
      </c>
    </row>
    <row r="7067" spans="1:2" ht="15.75" customHeight="1" thickBot="1" x14ac:dyDescent="0.3">
      <c r="A7067" s="7">
        <f ca="1"/>
        <v>43957</v>
      </c>
      <c r="B7067" s="6">
        <v>114.7</v>
      </c>
    </row>
    <row r="7068" spans="1:2" ht="15.75" customHeight="1" thickBot="1" x14ac:dyDescent="0.3">
      <c r="A7068" s="7">
        <f ca="1"/>
        <v>43958</v>
      </c>
      <c r="B7068" s="6">
        <v>117.03</v>
      </c>
    </row>
    <row r="7069" spans="1:2" ht="15.75" customHeight="1" thickBot="1" x14ac:dyDescent="0.3">
      <c r="A7069" s="7">
        <f ca="1"/>
        <v>43959</v>
      </c>
      <c r="B7069" s="6">
        <v>116.19</v>
      </c>
    </row>
    <row r="7070" spans="1:2" ht="15.75" customHeight="1" thickBot="1" x14ac:dyDescent="0.3">
      <c r="A7070" s="7">
        <f ca="1"/>
        <v>43960</v>
      </c>
      <c r="B7070" s="5">
        <f t="shared" ref="B7070:B7071" si="1009">B7069</f>
        <v>116.19</v>
      </c>
    </row>
    <row r="7071" spans="1:2" ht="15.75" customHeight="1" thickBot="1" x14ac:dyDescent="0.3">
      <c r="A7071" s="7">
        <f ca="1"/>
        <v>43961</v>
      </c>
      <c r="B7071" s="5">
        <f t="shared" si="1009"/>
        <v>116.19</v>
      </c>
    </row>
    <row r="7072" spans="1:2" ht="15.75" customHeight="1" thickBot="1" x14ac:dyDescent="0.3">
      <c r="A7072" s="7">
        <f ca="1"/>
        <v>43962</v>
      </c>
      <c r="B7072" s="6">
        <v>114.88</v>
      </c>
    </row>
    <row r="7073" spans="1:2" ht="15.75" customHeight="1" thickBot="1" x14ac:dyDescent="0.3">
      <c r="A7073" s="7">
        <f ca="1"/>
        <v>43963</v>
      </c>
      <c r="B7073" s="6">
        <v>116.23</v>
      </c>
    </row>
    <row r="7074" spans="1:2" ht="15.75" customHeight="1" thickBot="1" x14ac:dyDescent="0.3">
      <c r="A7074" s="7">
        <f ca="1"/>
        <v>43964</v>
      </c>
      <c r="B7074" s="6">
        <v>116.42</v>
      </c>
    </row>
    <row r="7075" spans="1:2" ht="15.75" customHeight="1" thickBot="1" x14ac:dyDescent="0.3">
      <c r="A7075" s="7">
        <f ca="1"/>
        <v>43965</v>
      </c>
      <c r="B7075" s="6">
        <v>110.6</v>
      </c>
    </row>
    <row r="7076" spans="1:2" ht="15.75" customHeight="1" thickBot="1" x14ac:dyDescent="0.3">
      <c r="A7076" s="7">
        <f ca="1"/>
        <v>43966</v>
      </c>
      <c r="B7076" s="6">
        <v>112.32</v>
      </c>
    </row>
    <row r="7077" spans="1:2" ht="15.75" customHeight="1" thickBot="1" x14ac:dyDescent="0.3">
      <c r="A7077" s="7">
        <f ca="1"/>
        <v>43967</v>
      </c>
      <c r="B7077" s="5">
        <f t="shared" ref="B7077:B7078" si="1010">B7076</f>
        <v>112.32</v>
      </c>
    </row>
    <row r="7078" spans="1:2" ht="15.75" customHeight="1" thickBot="1" x14ac:dyDescent="0.3">
      <c r="A7078" s="7">
        <f ca="1"/>
        <v>43968</v>
      </c>
      <c r="B7078" s="5">
        <f t="shared" si="1010"/>
        <v>112.32</v>
      </c>
    </row>
    <row r="7079" spans="1:2" ht="15.75" customHeight="1" thickBot="1" x14ac:dyDescent="0.3">
      <c r="A7079" s="7">
        <f ca="1"/>
        <v>43969</v>
      </c>
      <c r="B7079" s="6">
        <v>116.41</v>
      </c>
    </row>
    <row r="7080" spans="1:2" ht="15.75" customHeight="1" thickBot="1" x14ac:dyDescent="0.3">
      <c r="A7080" s="7">
        <f ca="1"/>
        <v>43970</v>
      </c>
      <c r="B7080" s="6">
        <v>117.5</v>
      </c>
    </row>
    <row r="7081" spans="1:2" ht="15.75" customHeight="1" thickBot="1" x14ac:dyDescent="0.3">
      <c r="A7081" s="7">
        <f ca="1"/>
        <v>43971</v>
      </c>
      <c r="B7081" s="6">
        <v>120.13</v>
      </c>
    </row>
    <row r="7082" spans="1:2" ht="15.75" customHeight="1" thickBot="1" x14ac:dyDescent="0.3">
      <c r="A7082" s="7">
        <f ca="1"/>
        <v>43972</v>
      </c>
      <c r="B7082" s="6">
        <v>118.71</v>
      </c>
    </row>
    <row r="7083" spans="1:2" ht="15.75" customHeight="1" thickBot="1" x14ac:dyDescent="0.3">
      <c r="A7083" s="7">
        <f ca="1"/>
        <v>43973</v>
      </c>
      <c r="B7083" s="6">
        <v>115.62</v>
      </c>
    </row>
    <row r="7084" spans="1:2" ht="15.75" customHeight="1" thickBot="1" x14ac:dyDescent="0.3">
      <c r="A7084" s="7">
        <f ca="1"/>
        <v>43974</v>
      </c>
      <c r="B7084" s="5">
        <f t="shared" ref="B7084:B7086" si="1011">B7083</f>
        <v>115.62</v>
      </c>
    </row>
    <row r="7085" spans="1:2" ht="15.75" customHeight="1" thickBot="1" x14ac:dyDescent="0.3">
      <c r="A7085" s="7">
        <f ca="1"/>
        <v>43975</v>
      </c>
      <c r="B7085" s="5">
        <f t="shared" si="1011"/>
        <v>115.62</v>
      </c>
    </row>
    <row r="7086" spans="1:2" ht="15.75" customHeight="1" thickBot="1" x14ac:dyDescent="0.3">
      <c r="A7086" s="7">
        <f ca="1"/>
        <v>43976</v>
      </c>
      <c r="B7086" s="5">
        <f t="shared" si="1011"/>
        <v>115.62</v>
      </c>
    </row>
    <row r="7087" spans="1:2" ht="15.75" customHeight="1" thickBot="1" x14ac:dyDescent="0.3">
      <c r="A7087" s="7">
        <f ca="1"/>
        <v>43977</v>
      </c>
      <c r="B7087" s="6">
        <v>123.52</v>
      </c>
    </row>
    <row r="7088" spans="1:2" ht="15.75" customHeight="1" thickBot="1" x14ac:dyDescent="0.3">
      <c r="A7088" s="7">
        <f ca="1"/>
        <v>43978</v>
      </c>
      <c r="B7088" s="6">
        <v>123.59</v>
      </c>
    </row>
    <row r="7089" spans="1:2" ht="15.75" customHeight="1" thickBot="1" x14ac:dyDescent="0.3">
      <c r="A7089" s="7">
        <f ca="1"/>
        <v>43979</v>
      </c>
      <c r="B7089" s="6">
        <v>123.26</v>
      </c>
    </row>
    <row r="7090" spans="1:2" ht="15.75" customHeight="1" thickBot="1" x14ac:dyDescent="0.3">
      <c r="A7090" s="7">
        <f ca="1"/>
        <v>43980</v>
      </c>
      <c r="B7090" s="6">
        <v>127.27</v>
      </c>
    </row>
    <row r="7091" spans="1:2" ht="15.75" customHeight="1" thickBot="1" x14ac:dyDescent="0.3">
      <c r="A7091" s="7">
        <f ca="1"/>
        <v>43981</v>
      </c>
      <c r="B7091" s="5">
        <f t="shared" ref="B7091:B7092" si="1012">B7090</f>
        <v>127.27</v>
      </c>
    </row>
    <row r="7092" spans="1:2" ht="15.75" customHeight="1" thickBot="1" x14ac:dyDescent="0.3">
      <c r="A7092" s="7">
        <f ca="1"/>
        <v>43982</v>
      </c>
      <c r="B7092" s="5">
        <f t="shared" si="1012"/>
        <v>127.27</v>
      </c>
    </row>
    <row r="7093" spans="1:2" ht="15.75" customHeight="1" thickBot="1" x14ac:dyDescent="0.3">
      <c r="A7093" s="7">
        <f ca="1"/>
        <v>43983</v>
      </c>
      <c r="B7093" s="6">
        <v>127.66</v>
      </c>
    </row>
    <row r="7094" spans="1:2" ht="15.75" customHeight="1" thickBot="1" x14ac:dyDescent="0.3">
      <c r="A7094" s="7">
        <f ca="1"/>
        <v>43984</v>
      </c>
      <c r="B7094" s="6">
        <v>129.35</v>
      </c>
    </row>
    <row r="7095" spans="1:2" ht="15.75" customHeight="1" thickBot="1" x14ac:dyDescent="0.3">
      <c r="A7095" s="7">
        <f ca="1"/>
        <v>43985</v>
      </c>
      <c r="B7095" s="6">
        <v>131.63</v>
      </c>
    </row>
    <row r="7096" spans="1:2" ht="15.75" customHeight="1" thickBot="1" x14ac:dyDescent="0.3">
      <c r="A7096" s="7">
        <f ca="1"/>
        <v>43986</v>
      </c>
      <c r="B7096" s="6">
        <v>133.69999999999999</v>
      </c>
    </row>
    <row r="7097" spans="1:2" ht="15.75" customHeight="1" thickBot="1" x14ac:dyDescent="0.3">
      <c r="A7097" s="7">
        <f ca="1"/>
        <v>43987</v>
      </c>
      <c r="B7097" s="6">
        <v>135.81</v>
      </c>
    </row>
    <row r="7098" spans="1:2" ht="15.75" customHeight="1" thickBot="1" x14ac:dyDescent="0.3">
      <c r="A7098" s="7">
        <f ca="1"/>
        <v>43988</v>
      </c>
      <c r="B7098" s="5">
        <f t="shared" ref="B7098:B7099" si="1013">B7097</f>
        <v>135.81</v>
      </c>
    </row>
    <row r="7099" spans="1:2" ht="15.75" customHeight="1" thickBot="1" x14ac:dyDescent="0.3">
      <c r="A7099" s="7">
        <f ca="1"/>
        <v>43989</v>
      </c>
      <c r="B7099" s="5">
        <f t="shared" si="1013"/>
        <v>135.81</v>
      </c>
    </row>
    <row r="7100" spans="1:2" ht="15.75" customHeight="1" thickBot="1" x14ac:dyDescent="0.3">
      <c r="A7100" s="7">
        <f ca="1"/>
        <v>43990</v>
      </c>
      <c r="B7100" s="6">
        <v>135.65</v>
      </c>
    </row>
    <row r="7101" spans="1:2" ht="15.75" customHeight="1" thickBot="1" x14ac:dyDescent="0.3">
      <c r="A7101" s="7">
        <f ca="1"/>
        <v>43991</v>
      </c>
      <c r="B7101" s="6">
        <v>137.38</v>
      </c>
    </row>
    <row r="7102" spans="1:2" ht="15.75" customHeight="1" thickBot="1" x14ac:dyDescent="0.3">
      <c r="A7102" s="7">
        <f ca="1"/>
        <v>43992</v>
      </c>
      <c r="B7102" s="6">
        <v>137.59</v>
      </c>
    </row>
    <row r="7103" spans="1:2" ht="15.75" customHeight="1" thickBot="1" x14ac:dyDescent="0.3">
      <c r="A7103" s="7">
        <f ca="1"/>
        <v>43993</v>
      </c>
      <c r="B7103" s="6">
        <v>135.6</v>
      </c>
    </row>
    <row r="7104" spans="1:2" ht="15.75" customHeight="1" thickBot="1" x14ac:dyDescent="0.3">
      <c r="A7104" s="7">
        <f ca="1"/>
        <v>43994</v>
      </c>
      <c r="B7104" s="6">
        <v>131.93</v>
      </c>
    </row>
    <row r="7105" spans="1:2" ht="15.75" customHeight="1" thickBot="1" x14ac:dyDescent="0.3">
      <c r="A7105" s="7">
        <f ca="1"/>
        <v>43995</v>
      </c>
      <c r="B7105" s="5">
        <f t="shared" ref="B7105:B7106" si="1014">B7104</f>
        <v>131.93</v>
      </c>
    </row>
    <row r="7106" spans="1:2" ht="15.75" customHeight="1" thickBot="1" x14ac:dyDescent="0.3">
      <c r="A7106" s="7">
        <f ca="1"/>
        <v>43996</v>
      </c>
      <c r="B7106" s="5">
        <f t="shared" si="1014"/>
        <v>131.93</v>
      </c>
    </row>
    <row r="7107" spans="1:2" ht="15.75" customHeight="1" thickBot="1" x14ac:dyDescent="0.3">
      <c r="A7107" s="7">
        <f ca="1"/>
        <v>43997</v>
      </c>
      <c r="B7107" s="6">
        <v>127.97</v>
      </c>
    </row>
    <row r="7108" spans="1:2" ht="15.75" customHeight="1" thickBot="1" x14ac:dyDescent="0.3">
      <c r="A7108" s="7">
        <f ca="1"/>
        <v>43998</v>
      </c>
      <c r="B7108" s="6">
        <v>133.54</v>
      </c>
    </row>
    <row r="7109" spans="1:2" ht="15.75" customHeight="1" thickBot="1" x14ac:dyDescent="0.3">
      <c r="A7109" s="7">
        <f ca="1"/>
        <v>43999</v>
      </c>
      <c r="B7109" s="6">
        <v>135.13</v>
      </c>
    </row>
    <row r="7110" spans="1:2" ht="15.75" customHeight="1" thickBot="1" x14ac:dyDescent="0.3">
      <c r="A7110" s="7">
        <f ca="1"/>
        <v>44000</v>
      </c>
      <c r="B7110" s="6">
        <v>134.94</v>
      </c>
    </row>
    <row r="7111" spans="1:2" ht="15.75" customHeight="1" thickBot="1" x14ac:dyDescent="0.3">
      <c r="A7111" s="7">
        <f ca="1"/>
        <v>44001</v>
      </c>
      <c r="B7111" s="6">
        <v>138.94</v>
      </c>
    </row>
    <row r="7112" spans="1:2" ht="15.75" customHeight="1" thickBot="1" x14ac:dyDescent="0.3">
      <c r="A7112" s="7">
        <f ca="1"/>
        <v>44002</v>
      </c>
      <c r="B7112" s="5">
        <f t="shared" ref="B7112:B7113" si="1015">B7111</f>
        <v>138.94</v>
      </c>
    </row>
    <row r="7113" spans="1:2" ht="15.75" customHeight="1" thickBot="1" x14ac:dyDescent="0.3">
      <c r="A7113" s="7">
        <f ca="1"/>
        <v>44003</v>
      </c>
      <c r="B7113" s="5">
        <f t="shared" si="1015"/>
        <v>138.94</v>
      </c>
    </row>
    <row r="7114" spans="1:2" ht="15.75" customHeight="1" thickBot="1" x14ac:dyDescent="0.3">
      <c r="A7114" s="7">
        <f ca="1"/>
        <v>44004</v>
      </c>
      <c r="B7114" s="6">
        <v>139.22999999999999</v>
      </c>
    </row>
    <row r="7115" spans="1:2" ht="15.75" customHeight="1" thickBot="1" x14ac:dyDescent="0.3">
      <c r="A7115" s="7">
        <f ca="1"/>
        <v>44005</v>
      </c>
      <c r="B7115" s="6">
        <v>142.6</v>
      </c>
    </row>
    <row r="7116" spans="1:2" ht="15.75" customHeight="1" thickBot="1" x14ac:dyDescent="0.3">
      <c r="A7116" s="7">
        <f ca="1"/>
        <v>44006</v>
      </c>
      <c r="B7116" s="6">
        <v>138.54</v>
      </c>
    </row>
    <row r="7117" spans="1:2" ht="15.75" customHeight="1" thickBot="1" x14ac:dyDescent="0.3">
      <c r="A7117" s="7">
        <f ca="1"/>
        <v>44007</v>
      </c>
      <c r="B7117" s="6">
        <v>134.85</v>
      </c>
    </row>
    <row r="7118" spans="1:2" ht="15.75" customHeight="1" thickBot="1" x14ac:dyDescent="0.3">
      <c r="A7118" s="7">
        <f ca="1"/>
        <v>44008</v>
      </c>
      <c r="B7118" s="6">
        <v>138.61000000000001</v>
      </c>
    </row>
    <row r="7119" spans="1:2" ht="15.75" customHeight="1" thickBot="1" x14ac:dyDescent="0.3">
      <c r="A7119" s="7">
        <f ca="1"/>
        <v>44009</v>
      </c>
      <c r="B7119" s="5">
        <f t="shared" ref="B7119:B7120" si="1016">B7118</f>
        <v>138.61000000000001</v>
      </c>
    </row>
    <row r="7120" spans="1:2" ht="15.75" customHeight="1" thickBot="1" x14ac:dyDescent="0.3">
      <c r="A7120" s="7">
        <f ca="1"/>
        <v>44010</v>
      </c>
      <c r="B7120" s="5">
        <f t="shared" si="1016"/>
        <v>138.61000000000001</v>
      </c>
    </row>
    <row r="7121" spans="1:2" ht="15.75" customHeight="1" thickBot="1" x14ac:dyDescent="0.3">
      <c r="A7121" s="7">
        <f ca="1"/>
        <v>44011</v>
      </c>
      <c r="B7121" s="6">
        <v>138.08000000000001</v>
      </c>
    </row>
    <row r="7122" spans="1:2" ht="15.75" customHeight="1" thickBot="1" x14ac:dyDescent="0.3">
      <c r="A7122" s="7">
        <f ca="1"/>
        <v>44012</v>
      </c>
      <c r="B7122" s="6">
        <v>138.22</v>
      </c>
    </row>
    <row r="7123" spans="1:2" ht="15.75" customHeight="1" thickBot="1" x14ac:dyDescent="0.3">
      <c r="A7123" s="7">
        <f ca="1"/>
        <v>44013</v>
      </c>
      <c r="B7123" s="6">
        <v>138.62</v>
      </c>
    </row>
    <row r="7124" spans="1:2" ht="15.75" customHeight="1" thickBot="1" x14ac:dyDescent="0.3">
      <c r="A7124" s="7">
        <f ca="1"/>
        <v>44014</v>
      </c>
      <c r="B7124" s="6">
        <v>142.63999999999999</v>
      </c>
    </row>
    <row r="7125" spans="1:2" ht="15.75" customHeight="1" thickBot="1" x14ac:dyDescent="0.3">
      <c r="A7125" s="7">
        <f ca="1"/>
        <v>44015</v>
      </c>
      <c r="B7125" s="5">
        <f t="shared" ref="B7125:B7127" si="1017">B7124</f>
        <v>142.63999999999999</v>
      </c>
    </row>
    <row r="7126" spans="1:2" ht="15.75" customHeight="1" thickBot="1" x14ac:dyDescent="0.3">
      <c r="A7126" s="7">
        <f ca="1"/>
        <v>44016</v>
      </c>
      <c r="B7126" s="5">
        <f t="shared" si="1017"/>
        <v>142.63999999999999</v>
      </c>
    </row>
    <row r="7127" spans="1:2" ht="15.75" customHeight="1" thickBot="1" x14ac:dyDescent="0.3">
      <c r="A7127" s="7">
        <f ca="1"/>
        <v>44017</v>
      </c>
      <c r="B7127" s="5">
        <f t="shared" si="1017"/>
        <v>142.63999999999999</v>
      </c>
    </row>
    <row r="7128" spans="1:2" ht="15.75" customHeight="1" thickBot="1" x14ac:dyDescent="0.3">
      <c r="A7128" s="7">
        <f ca="1"/>
        <v>44018</v>
      </c>
      <c r="B7128" s="6">
        <v>147.21</v>
      </c>
    </row>
    <row r="7129" spans="1:2" ht="15.75" customHeight="1" thickBot="1" x14ac:dyDescent="0.3">
      <c r="A7129" s="7">
        <f ca="1"/>
        <v>44019</v>
      </c>
      <c r="B7129" s="6">
        <v>145.04</v>
      </c>
    </row>
    <row r="7130" spans="1:2" ht="15.75" customHeight="1" thickBot="1" x14ac:dyDescent="0.3">
      <c r="A7130" s="7">
        <f ca="1"/>
        <v>44020</v>
      </c>
      <c r="B7130" s="6">
        <v>145.19999999999999</v>
      </c>
    </row>
    <row r="7131" spans="1:2" ht="15.75" customHeight="1" thickBot="1" x14ac:dyDescent="0.3">
      <c r="A7131" s="7">
        <f ca="1"/>
        <v>44021</v>
      </c>
      <c r="B7131" s="6">
        <v>155.43</v>
      </c>
    </row>
    <row r="7132" spans="1:2" ht="15.75" customHeight="1" thickBot="1" x14ac:dyDescent="0.3">
      <c r="A7132" s="7">
        <f ca="1"/>
        <v>44022</v>
      </c>
      <c r="B7132" s="6">
        <v>152.71</v>
      </c>
    </row>
    <row r="7133" spans="1:2" ht="15.75" customHeight="1" thickBot="1" x14ac:dyDescent="0.3">
      <c r="A7133" s="7">
        <f ca="1"/>
        <v>44023</v>
      </c>
      <c r="B7133" s="5">
        <f t="shared" ref="B7133:B7134" si="1018">B7132</f>
        <v>152.71</v>
      </c>
    </row>
    <row r="7134" spans="1:2" ht="15.75" customHeight="1" thickBot="1" x14ac:dyDescent="0.3">
      <c r="A7134" s="7">
        <f ca="1"/>
        <v>44024</v>
      </c>
      <c r="B7134" s="5">
        <f t="shared" si="1018"/>
        <v>152.71</v>
      </c>
    </row>
    <row r="7135" spans="1:2" ht="15.75" customHeight="1" thickBot="1" x14ac:dyDescent="0.3">
      <c r="A7135" s="7">
        <f ca="1"/>
        <v>44025</v>
      </c>
      <c r="B7135" s="6">
        <v>155.62</v>
      </c>
    </row>
    <row r="7136" spans="1:2" ht="15.75" customHeight="1" thickBot="1" x14ac:dyDescent="0.3">
      <c r="A7136" s="7">
        <f ca="1"/>
        <v>44026</v>
      </c>
      <c r="B7136" s="6">
        <v>151.29</v>
      </c>
    </row>
    <row r="7137" spans="1:2" ht="15.75" customHeight="1" thickBot="1" x14ac:dyDescent="0.3">
      <c r="A7137" s="7">
        <f ca="1"/>
        <v>44027</v>
      </c>
      <c r="B7137" s="6">
        <v>155.52000000000001</v>
      </c>
    </row>
    <row r="7138" spans="1:2" ht="15.75" customHeight="1" thickBot="1" x14ac:dyDescent="0.3">
      <c r="A7138" s="7">
        <f ca="1"/>
        <v>44028</v>
      </c>
      <c r="B7138" s="6">
        <v>155.55000000000001</v>
      </c>
    </row>
    <row r="7139" spans="1:2" ht="15.75" customHeight="1" thickBot="1" x14ac:dyDescent="0.3">
      <c r="A7139" s="7">
        <f ca="1"/>
        <v>44029</v>
      </c>
      <c r="B7139" s="6">
        <v>155.47999999999999</v>
      </c>
    </row>
    <row r="7140" spans="1:2" ht="15.75" customHeight="1" thickBot="1" x14ac:dyDescent="0.3">
      <c r="A7140" s="7">
        <f ca="1"/>
        <v>44030</v>
      </c>
      <c r="B7140" s="5">
        <f t="shared" ref="B7140:B7141" si="1019">B7139</f>
        <v>155.47999999999999</v>
      </c>
    </row>
    <row r="7141" spans="1:2" ht="15.75" customHeight="1" thickBot="1" x14ac:dyDescent="0.3">
      <c r="A7141" s="7">
        <f ca="1"/>
        <v>44031</v>
      </c>
      <c r="B7141" s="5">
        <f t="shared" si="1019"/>
        <v>155.47999999999999</v>
      </c>
    </row>
    <row r="7142" spans="1:2" ht="15.75" customHeight="1" thickBot="1" x14ac:dyDescent="0.3">
      <c r="A7142" s="7">
        <f ca="1"/>
        <v>44032</v>
      </c>
      <c r="B7142" s="6">
        <v>157.69</v>
      </c>
    </row>
    <row r="7143" spans="1:2" ht="15.75" customHeight="1" thickBot="1" x14ac:dyDescent="0.3">
      <c r="A7143" s="7">
        <f ca="1"/>
        <v>44033</v>
      </c>
      <c r="B7143" s="6">
        <v>163</v>
      </c>
    </row>
    <row r="7144" spans="1:2" ht="15.75" customHeight="1" thickBot="1" x14ac:dyDescent="0.3">
      <c r="A7144" s="7">
        <f ca="1"/>
        <v>44034</v>
      </c>
      <c r="B7144" s="6">
        <v>164.86</v>
      </c>
    </row>
    <row r="7145" spans="1:2" ht="15.75" customHeight="1" thickBot="1" x14ac:dyDescent="0.3">
      <c r="A7145" s="7">
        <f ca="1"/>
        <v>44035</v>
      </c>
      <c r="B7145" s="6">
        <v>163.66999999999999</v>
      </c>
    </row>
    <row r="7146" spans="1:2" ht="15.75" customHeight="1" thickBot="1" x14ac:dyDescent="0.3">
      <c r="A7146" s="7">
        <f ca="1"/>
        <v>44036</v>
      </c>
      <c r="B7146" s="6">
        <v>157.46</v>
      </c>
    </row>
    <row r="7147" spans="1:2" ht="15.75" customHeight="1" thickBot="1" x14ac:dyDescent="0.3">
      <c r="A7147" s="7">
        <f ca="1"/>
        <v>44037</v>
      </c>
      <c r="B7147" s="5">
        <f t="shared" ref="B7147:B7148" si="1020">B7146</f>
        <v>157.46</v>
      </c>
    </row>
    <row r="7148" spans="1:2" ht="15.75" customHeight="1" thickBot="1" x14ac:dyDescent="0.3">
      <c r="A7148" s="7">
        <f ca="1"/>
        <v>44038</v>
      </c>
      <c r="B7148" s="5">
        <f t="shared" si="1020"/>
        <v>157.46</v>
      </c>
    </row>
    <row r="7149" spans="1:2" ht="15.75" customHeight="1" thickBot="1" x14ac:dyDescent="0.3">
      <c r="A7149" s="7">
        <f ca="1"/>
        <v>44039</v>
      </c>
      <c r="B7149" s="6">
        <v>162.28</v>
      </c>
    </row>
    <row r="7150" spans="1:2" ht="15.75" customHeight="1" thickBot="1" x14ac:dyDescent="0.3">
      <c r="A7150" s="7">
        <f ca="1"/>
        <v>44040</v>
      </c>
      <c r="B7150" s="6">
        <v>161.82</v>
      </c>
    </row>
    <row r="7151" spans="1:2" ht="15.75" customHeight="1" thickBot="1" x14ac:dyDescent="0.3">
      <c r="A7151" s="7">
        <f ca="1"/>
        <v>44041</v>
      </c>
      <c r="B7151" s="6">
        <v>163.84</v>
      </c>
    </row>
    <row r="7152" spans="1:2" ht="15.75" customHeight="1" thickBot="1" x14ac:dyDescent="0.3">
      <c r="A7152" s="7">
        <f ca="1"/>
        <v>44042</v>
      </c>
      <c r="B7152" s="6">
        <v>158.16</v>
      </c>
    </row>
    <row r="7153" spans="1:2" ht="15.75" customHeight="1" thickBot="1" x14ac:dyDescent="0.3">
      <c r="A7153" s="7">
        <f ca="1"/>
        <v>44043</v>
      </c>
      <c r="B7153" s="6">
        <v>160.66999999999999</v>
      </c>
    </row>
    <row r="7154" spans="1:2" ht="15.75" customHeight="1" thickBot="1" x14ac:dyDescent="0.3">
      <c r="A7154" s="7">
        <f ca="1"/>
        <v>44044</v>
      </c>
      <c r="B7154" s="5">
        <f t="shared" ref="B7154:B7155" si="1021">B7153</f>
        <v>160.66999999999999</v>
      </c>
    </row>
    <row r="7155" spans="1:2" ht="15.75" customHeight="1" thickBot="1" x14ac:dyDescent="0.3">
      <c r="A7155" s="7">
        <f ca="1"/>
        <v>44045</v>
      </c>
      <c r="B7155" s="5">
        <f t="shared" si="1021"/>
        <v>160.66999999999999</v>
      </c>
    </row>
    <row r="7156" spans="1:2" ht="15.75" customHeight="1" thickBot="1" x14ac:dyDescent="0.3">
      <c r="A7156" s="7">
        <f ca="1"/>
        <v>44046</v>
      </c>
      <c r="B7156" s="6">
        <v>160.78</v>
      </c>
    </row>
    <row r="7157" spans="1:2" ht="15.75" customHeight="1" thickBot="1" x14ac:dyDescent="0.3">
      <c r="A7157" s="7">
        <f ca="1"/>
        <v>44047</v>
      </c>
      <c r="B7157" s="6">
        <v>158.65</v>
      </c>
    </row>
    <row r="7158" spans="1:2" ht="15.75" customHeight="1" thickBot="1" x14ac:dyDescent="0.3">
      <c r="A7158" s="7">
        <f ca="1"/>
        <v>44048</v>
      </c>
      <c r="B7158" s="6">
        <v>162.07</v>
      </c>
    </row>
    <row r="7159" spans="1:2" ht="15.75" customHeight="1" thickBot="1" x14ac:dyDescent="0.3">
      <c r="A7159" s="7">
        <f ca="1"/>
        <v>44049</v>
      </c>
      <c r="B7159" s="6">
        <v>160.63</v>
      </c>
    </row>
    <row r="7160" spans="1:2" ht="15.75" customHeight="1" thickBot="1" x14ac:dyDescent="0.3">
      <c r="A7160" s="7">
        <f ca="1"/>
        <v>44050</v>
      </c>
      <c r="B7160" s="6">
        <v>161.28</v>
      </c>
    </row>
    <row r="7161" spans="1:2" ht="15.75" customHeight="1" thickBot="1" x14ac:dyDescent="0.3">
      <c r="A7161" s="7">
        <f ca="1"/>
        <v>44051</v>
      </c>
      <c r="B7161" s="5">
        <f t="shared" ref="B7161:B7162" si="1022">B7160</f>
        <v>161.28</v>
      </c>
    </row>
    <row r="7162" spans="1:2" ht="15.75" customHeight="1" thickBot="1" x14ac:dyDescent="0.3">
      <c r="A7162" s="7">
        <f ca="1"/>
        <v>44052</v>
      </c>
      <c r="B7162" s="5">
        <f t="shared" si="1022"/>
        <v>161.28</v>
      </c>
    </row>
    <row r="7163" spans="1:2" ht="15.75" customHeight="1" thickBot="1" x14ac:dyDescent="0.3">
      <c r="A7163" s="7">
        <f ca="1"/>
        <v>44053</v>
      </c>
      <c r="B7163" s="6">
        <v>159.62</v>
      </c>
    </row>
    <row r="7164" spans="1:2" ht="15.75" customHeight="1" thickBot="1" x14ac:dyDescent="0.3">
      <c r="A7164" s="7">
        <f ca="1"/>
        <v>44054</v>
      </c>
      <c r="B7164" s="6">
        <v>161.94</v>
      </c>
    </row>
    <row r="7165" spans="1:2" ht="15.75" customHeight="1" thickBot="1" x14ac:dyDescent="0.3">
      <c r="A7165" s="7">
        <f ca="1"/>
        <v>44055</v>
      </c>
      <c r="B7165" s="6">
        <v>160.31</v>
      </c>
    </row>
    <row r="7166" spans="1:2" ht="15.75" customHeight="1" thickBot="1" x14ac:dyDescent="0.3">
      <c r="A7166" s="7">
        <f ca="1"/>
        <v>44056</v>
      </c>
      <c r="B7166" s="6">
        <v>161.12</v>
      </c>
    </row>
    <row r="7167" spans="1:2" ht="15.75" customHeight="1" thickBot="1" x14ac:dyDescent="0.3">
      <c r="A7167" s="7">
        <f ca="1"/>
        <v>44057</v>
      </c>
      <c r="B7167" s="6">
        <v>160.44999999999999</v>
      </c>
    </row>
    <row r="7168" spans="1:2" ht="15.75" customHeight="1" thickBot="1" x14ac:dyDescent="0.3">
      <c r="A7168" s="7">
        <f ca="1"/>
        <v>44058</v>
      </c>
      <c r="B7168" s="5">
        <f t="shared" ref="B7168:B7169" si="1023">B7167</f>
        <v>160.44999999999999</v>
      </c>
    </row>
    <row r="7169" spans="1:2" ht="15.75" customHeight="1" thickBot="1" x14ac:dyDescent="0.3">
      <c r="A7169" s="7">
        <f ca="1"/>
        <v>44059</v>
      </c>
      <c r="B7169" s="5">
        <f t="shared" si="1023"/>
        <v>160.44999999999999</v>
      </c>
    </row>
    <row r="7170" spans="1:2" ht="15.75" customHeight="1" thickBot="1" x14ac:dyDescent="0.3">
      <c r="A7170" s="7">
        <f ca="1"/>
        <v>44060</v>
      </c>
      <c r="B7170" s="6">
        <v>161.07</v>
      </c>
    </row>
    <row r="7171" spans="1:2" ht="15.75" customHeight="1" thickBot="1" x14ac:dyDescent="0.3">
      <c r="A7171" s="7">
        <f ca="1"/>
        <v>44061</v>
      </c>
      <c r="B7171" s="6">
        <v>162.99</v>
      </c>
    </row>
    <row r="7172" spans="1:2" ht="15.75" customHeight="1" thickBot="1" x14ac:dyDescent="0.3">
      <c r="A7172" s="7">
        <f ca="1"/>
        <v>44062</v>
      </c>
      <c r="B7172" s="6">
        <v>163.91</v>
      </c>
    </row>
    <row r="7173" spans="1:2" ht="15.75" customHeight="1" thickBot="1" x14ac:dyDescent="0.3">
      <c r="A7173" s="7">
        <f ca="1"/>
        <v>44063</v>
      </c>
      <c r="B7173" s="6">
        <v>160.87</v>
      </c>
    </row>
    <row r="7174" spans="1:2" ht="15.75" customHeight="1" thickBot="1" x14ac:dyDescent="0.3">
      <c r="A7174" s="7">
        <f ca="1"/>
        <v>44064</v>
      </c>
      <c r="B7174" s="6">
        <v>159.21</v>
      </c>
    </row>
    <row r="7175" spans="1:2" ht="15.75" customHeight="1" thickBot="1" x14ac:dyDescent="0.3">
      <c r="A7175" s="7">
        <f ca="1"/>
        <v>44065</v>
      </c>
      <c r="B7175" s="5">
        <f t="shared" ref="B7175:B7176" si="1024">B7174</f>
        <v>159.21</v>
      </c>
    </row>
    <row r="7176" spans="1:2" ht="15.75" customHeight="1" thickBot="1" x14ac:dyDescent="0.3">
      <c r="A7176" s="7">
        <f ca="1"/>
        <v>44066</v>
      </c>
      <c r="B7176" s="5">
        <f t="shared" si="1024"/>
        <v>159.21</v>
      </c>
    </row>
    <row r="7177" spans="1:2" ht="15.75" customHeight="1" thickBot="1" x14ac:dyDescent="0.3">
      <c r="A7177" s="7">
        <f ca="1"/>
        <v>44067</v>
      </c>
      <c r="B7177" s="6">
        <v>164.49</v>
      </c>
    </row>
    <row r="7178" spans="1:2" ht="15.75" customHeight="1" thickBot="1" x14ac:dyDescent="0.3">
      <c r="A7178" s="7">
        <f ca="1"/>
        <v>44068</v>
      </c>
      <c r="B7178" s="6">
        <v>165.82</v>
      </c>
    </row>
    <row r="7179" spans="1:2" ht="15.75" customHeight="1" thickBot="1" x14ac:dyDescent="0.3">
      <c r="A7179" s="7">
        <f ca="1"/>
        <v>44069</v>
      </c>
      <c r="B7179" s="6">
        <v>166.01</v>
      </c>
    </row>
    <row r="7180" spans="1:2" ht="15.75" customHeight="1" thickBot="1" x14ac:dyDescent="0.3">
      <c r="A7180" s="7">
        <f ca="1"/>
        <v>44070</v>
      </c>
      <c r="B7180" s="6">
        <v>168.09</v>
      </c>
    </row>
    <row r="7181" spans="1:2" ht="15.75" customHeight="1" thickBot="1" x14ac:dyDescent="0.3">
      <c r="A7181" s="7">
        <f ca="1"/>
        <v>44071</v>
      </c>
      <c r="B7181" s="6">
        <v>166.3</v>
      </c>
    </row>
    <row r="7182" spans="1:2" ht="15.75" customHeight="1" thickBot="1" x14ac:dyDescent="0.3">
      <c r="A7182" s="7">
        <f ca="1"/>
        <v>44072</v>
      </c>
      <c r="B7182" s="5">
        <f t="shared" ref="B7182:B7183" si="1025">B7181</f>
        <v>166.3</v>
      </c>
    </row>
    <row r="7183" spans="1:2" ht="15.75" customHeight="1" thickBot="1" x14ac:dyDescent="0.3">
      <c r="A7183" s="7">
        <f ca="1"/>
        <v>44073</v>
      </c>
      <c r="B7183" s="5">
        <f t="shared" si="1025"/>
        <v>166.3</v>
      </c>
    </row>
    <row r="7184" spans="1:2" ht="15.75" customHeight="1" thickBot="1" x14ac:dyDescent="0.3">
      <c r="A7184" s="7">
        <f ca="1"/>
        <v>44074</v>
      </c>
      <c r="B7184" s="6">
        <v>165.48</v>
      </c>
    </row>
    <row r="7185" spans="1:2" ht="15.75" customHeight="1" thickBot="1" x14ac:dyDescent="0.3">
      <c r="A7185" s="7">
        <f ca="1"/>
        <v>44075</v>
      </c>
      <c r="B7185" s="6">
        <v>165.68</v>
      </c>
    </row>
    <row r="7186" spans="1:2" ht="15.75" customHeight="1" thickBot="1" x14ac:dyDescent="0.3">
      <c r="A7186" s="7">
        <f ca="1"/>
        <v>44076</v>
      </c>
      <c r="B7186" s="6">
        <v>167.66</v>
      </c>
    </row>
    <row r="7187" spans="1:2" ht="15.75" customHeight="1" thickBot="1" x14ac:dyDescent="0.3">
      <c r="A7187" s="7">
        <f ca="1"/>
        <v>44077</v>
      </c>
      <c r="B7187" s="6">
        <v>167.49</v>
      </c>
    </row>
    <row r="7188" spans="1:2" ht="15.75" customHeight="1" thickBot="1" x14ac:dyDescent="0.3">
      <c r="A7188" s="7">
        <f ca="1"/>
        <v>44078</v>
      </c>
      <c r="B7188" s="6">
        <v>160.43</v>
      </c>
    </row>
    <row r="7189" spans="1:2" ht="15.75" customHeight="1" thickBot="1" x14ac:dyDescent="0.3">
      <c r="A7189" s="7">
        <f ca="1"/>
        <v>44079</v>
      </c>
      <c r="B7189" s="5">
        <f t="shared" ref="B7189:B7191" si="1026">B7188</f>
        <v>160.43</v>
      </c>
    </row>
    <row r="7190" spans="1:2" ht="15.75" customHeight="1" thickBot="1" x14ac:dyDescent="0.3">
      <c r="A7190" s="7">
        <f ca="1"/>
        <v>44080</v>
      </c>
      <c r="B7190" s="5">
        <f t="shared" si="1026"/>
        <v>160.43</v>
      </c>
    </row>
    <row r="7191" spans="1:2" ht="15.75" customHeight="1" thickBot="1" x14ac:dyDescent="0.3">
      <c r="A7191" s="7">
        <f ca="1"/>
        <v>44081</v>
      </c>
      <c r="B7191" s="5">
        <f t="shared" si="1026"/>
        <v>160.43</v>
      </c>
    </row>
    <row r="7192" spans="1:2" ht="15.75" customHeight="1" thickBot="1" x14ac:dyDescent="0.3">
      <c r="A7192" s="7">
        <f ca="1"/>
        <v>44082</v>
      </c>
      <c r="B7192" s="6">
        <v>155.72</v>
      </c>
    </row>
    <row r="7193" spans="1:2" ht="15.75" customHeight="1" thickBot="1" x14ac:dyDescent="0.3">
      <c r="A7193" s="7">
        <f ca="1"/>
        <v>44083</v>
      </c>
      <c r="B7193" s="6">
        <v>160.83000000000001</v>
      </c>
    </row>
    <row r="7194" spans="1:2" ht="15.75" customHeight="1" thickBot="1" x14ac:dyDescent="0.3">
      <c r="A7194" s="7">
        <f ca="1"/>
        <v>44084</v>
      </c>
      <c r="B7194" s="6">
        <v>162.46</v>
      </c>
    </row>
    <row r="7195" spans="1:2" ht="15.75" customHeight="1" thickBot="1" x14ac:dyDescent="0.3">
      <c r="A7195" s="7">
        <f ca="1"/>
        <v>44085</v>
      </c>
      <c r="B7195" s="6">
        <v>160.47</v>
      </c>
    </row>
    <row r="7196" spans="1:2" ht="15.75" customHeight="1" thickBot="1" x14ac:dyDescent="0.3">
      <c r="A7196" s="7">
        <f ca="1"/>
        <v>44086</v>
      </c>
      <c r="B7196" s="5">
        <f t="shared" ref="B7196:B7197" si="1027">B7195</f>
        <v>160.47</v>
      </c>
    </row>
    <row r="7197" spans="1:2" ht="15.75" customHeight="1" thickBot="1" x14ac:dyDescent="0.3">
      <c r="A7197" s="7">
        <f ca="1"/>
        <v>44087</v>
      </c>
      <c r="B7197" s="5">
        <f t="shared" si="1027"/>
        <v>160.47</v>
      </c>
    </row>
    <row r="7198" spans="1:2" ht="15.75" customHeight="1" thickBot="1" x14ac:dyDescent="0.3">
      <c r="A7198" s="7">
        <f ca="1"/>
        <v>44088</v>
      </c>
      <c r="B7198" s="6">
        <v>160.91</v>
      </c>
    </row>
    <row r="7199" spans="1:2" ht="15.75" customHeight="1" thickBot="1" x14ac:dyDescent="0.3">
      <c r="A7199" s="7">
        <f ca="1"/>
        <v>44089</v>
      </c>
      <c r="B7199" s="6">
        <v>160.72</v>
      </c>
    </row>
    <row r="7200" spans="1:2" ht="15.75" customHeight="1" thickBot="1" x14ac:dyDescent="0.3">
      <c r="A7200" s="7">
        <f ca="1"/>
        <v>44090</v>
      </c>
      <c r="B7200" s="6">
        <v>161.34</v>
      </c>
    </row>
    <row r="7201" spans="1:2" ht="15.75" customHeight="1" thickBot="1" x14ac:dyDescent="0.3">
      <c r="A7201" s="7">
        <f ca="1"/>
        <v>44091</v>
      </c>
      <c r="B7201" s="6">
        <v>159.34</v>
      </c>
    </row>
    <row r="7202" spans="1:2" ht="15.75" customHeight="1" thickBot="1" x14ac:dyDescent="0.3">
      <c r="A7202" s="7">
        <f ca="1"/>
        <v>44092</v>
      </c>
      <c r="B7202" s="6">
        <v>162.11000000000001</v>
      </c>
    </row>
    <row r="7203" spans="1:2" ht="15.75" customHeight="1" thickBot="1" x14ac:dyDescent="0.3">
      <c r="A7203" s="7">
        <f ca="1"/>
        <v>44093</v>
      </c>
      <c r="B7203" s="5">
        <f t="shared" ref="B7203:B7204" si="1028">B7202</f>
        <v>162.11000000000001</v>
      </c>
    </row>
    <row r="7204" spans="1:2" ht="15.75" customHeight="1" thickBot="1" x14ac:dyDescent="0.3">
      <c r="A7204" s="7">
        <f ca="1"/>
        <v>44094</v>
      </c>
      <c r="B7204" s="5">
        <f t="shared" si="1028"/>
        <v>162.11000000000001</v>
      </c>
    </row>
    <row r="7205" spans="1:2" ht="15.75" customHeight="1" thickBot="1" x14ac:dyDescent="0.3">
      <c r="A7205" s="7">
        <f ca="1"/>
        <v>44095</v>
      </c>
      <c r="B7205" s="6">
        <v>155.66</v>
      </c>
    </row>
    <row r="7206" spans="1:2" ht="15.75" customHeight="1" thickBot="1" x14ac:dyDescent="0.3">
      <c r="A7206" s="7">
        <f ca="1"/>
        <v>44096</v>
      </c>
      <c r="B7206" s="6">
        <v>156.37</v>
      </c>
    </row>
    <row r="7207" spans="1:2" ht="15.75" customHeight="1" thickBot="1" x14ac:dyDescent="0.3">
      <c r="A7207" s="7">
        <f ca="1"/>
        <v>44097</v>
      </c>
      <c r="B7207" s="6">
        <v>155.30000000000001</v>
      </c>
    </row>
    <row r="7208" spans="1:2" ht="15.75" customHeight="1" thickBot="1" x14ac:dyDescent="0.3">
      <c r="A7208" s="7">
        <f ca="1"/>
        <v>44098</v>
      </c>
      <c r="B7208" s="6">
        <v>152.86000000000001</v>
      </c>
    </row>
    <row r="7209" spans="1:2" ht="15.75" customHeight="1" thickBot="1" x14ac:dyDescent="0.3">
      <c r="A7209" s="7">
        <f ca="1"/>
        <v>44099</v>
      </c>
      <c r="B7209" s="6">
        <v>149.93</v>
      </c>
    </row>
    <row r="7210" spans="1:2" ht="15.75" customHeight="1" thickBot="1" x14ac:dyDescent="0.3">
      <c r="A7210" s="7">
        <f ca="1"/>
        <v>44100</v>
      </c>
      <c r="B7210" s="5">
        <f t="shared" ref="B7210:B7211" si="1029">B7209</f>
        <v>149.93</v>
      </c>
    </row>
    <row r="7211" spans="1:2" ht="15.75" customHeight="1" thickBot="1" x14ac:dyDescent="0.3">
      <c r="A7211" s="7">
        <f ca="1"/>
        <v>44101</v>
      </c>
      <c r="B7211" s="5">
        <f t="shared" si="1029"/>
        <v>149.93</v>
      </c>
    </row>
    <row r="7212" spans="1:2" ht="15.75" customHeight="1" thickBot="1" x14ac:dyDescent="0.3">
      <c r="A7212" s="7">
        <f ca="1"/>
        <v>44102</v>
      </c>
      <c r="B7212" s="6">
        <v>155.93</v>
      </c>
    </row>
    <row r="7213" spans="1:2" ht="15.75" customHeight="1" thickBot="1" x14ac:dyDescent="0.3">
      <c r="A7213" s="7">
        <f ca="1"/>
        <v>44103</v>
      </c>
      <c r="B7213" s="6">
        <v>156.4</v>
      </c>
    </row>
    <row r="7214" spans="1:2" ht="15.75" customHeight="1" thickBot="1" x14ac:dyDescent="0.3">
      <c r="A7214" s="7">
        <f ca="1"/>
        <v>44104</v>
      </c>
      <c r="B7214" s="6">
        <v>156.06</v>
      </c>
    </row>
    <row r="7215" spans="1:2" ht="15.75" customHeight="1" thickBot="1" x14ac:dyDescent="0.3">
      <c r="A7215" s="7">
        <f ca="1"/>
        <v>44105</v>
      </c>
      <c r="B7215" s="6">
        <v>156.38999999999999</v>
      </c>
    </row>
    <row r="7216" spans="1:2" ht="15.75" customHeight="1" thickBot="1" x14ac:dyDescent="0.3">
      <c r="A7216" s="7">
        <f ca="1"/>
        <v>44106</v>
      </c>
      <c r="B7216" s="6">
        <v>154.74</v>
      </c>
    </row>
    <row r="7217" spans="1:2" ht="15.75" customHeight="1" thickBot="1" x14ac:dyDescent="0.3">
      <c r="A7217" s="7">
        <f ca="1"/>
        <v>44107</v>
      </c>
      <c r="B7217" s="5">
        <f t="shared" ref="B7217:B7218" si="1030">B7216</f>
        <v>154.74</v>
      </c>
    </row>
    <row r="7218" spans="1:2" ht="15.75" customHeight="1" thickBot="1" x14ac:dyDescent="0.3">
      <c r="A7218" s="7">
        <f ca="1"/>
        <v>44108</v>
      </c>
      <c r="B7218" s="5">
        <f t="shared" si="1030"/>
        <v>154.74</v>
      </c>
    </row>
    <row r="7219" spans="1:2" ht="15.75" customHeight="1" thickBot="1" x14ac:dyDescent="0.3">
      <c r="A7219" s="7">
        <f ca="1"/>
        <v>44109</v>
      </c>
      <c r="B7219" s="6">
        <v>154.79</v>
      </c>
    </row>
    <row r="7220" spans="1:2" ht="15.75" customHeight="1" thickBot="1" x14ac:dyDescent="0.3">
      <c r="A7220" s="7">
        <f ca="1"/>
        <v>44110</v>
      </c>
      <c r="B7220" s="6">
        <v>155.69</v>
      </c>
    </row>
    <row r="7221" spans="1:2" ht="15.75" customHeight="1" thickBot="1" x14ac:dyDescent="0.3">
      <c r="A7221" s="7">
        <f ca="1"/>
        <v>44111</v>
      </c>
      <c r="B7221" s="6">
        <v>153.38999999999999</v>
      </c>
    </row>
    <row r="7222" spans="1:2" ht="15.75" customHeight="1" thickBot="1" x14ac:dyDescent="0.3">
      <c r="A7222" s="7">
        <f ca="1"/>
        <v>44112</v>
      </c>
      <c r="B7222" s="6">
        <v>155.55000000000001</v>
      </c>
    </row>
    <row r="7223" spans="1:2" ht="15.75" customHeight="1" thickBot="1" x14ac:dyDescent="0.3">
      <c r="A7223" s="7">
        <f ca="1"/>
        <v>44113</v>
      </c>
      <c r="B7223" s="6">
        <v>156.69</v>
      </c>
    </row>
    <row r="7224" spans="1:2" ht="15.75" customHeight="1" thickBot="1" x14ac:dyDescent="0.3">
      <c r="A7224" s="7">
        <f ca="1"/>
        <v>44114</v>
      </c>
      <c r="B7224" s="5">
        <f t="shared" ref="B7224:B7225" si="1031">B7223</f>
        <v>156.69</v>
      </c>
    </row>
    <row r="7225" spans="1:2" ht="15.75" customHeight="1" thickBot="1" x14ac:dyDescent="0.3">
      <c r="A7225" s="7">
        <f ca="1"/>
        <v>44115</v>
      </c>
      <c r="B7225" s="5">
        <f t="shared" si="1031"/>
        <v>156.69</v>
      </c>
    </row>
    <row r="7226" spans="1:2" ht="15.75" customHeight="1" thickBot="1" x14ac:dyDescent="0.3">
      <c r="A7226" s="7">
        <f ca="1"/>
        <v>44116</v>
      </c>
      <c r="B7226" s="6">
        <v>158.16</v>
      </c>
    </row>
    <row r="7227" spans="1:2" ht="15.75" customHeight="1" thickBot="1" x14ac:dyDescent="0.3">
      <c r="A7227" s="7">
        <f ca="1"/>
        <v>44117</v>
      </c>
      <c r="B7227" s="6">
        <v>157.04</v>
      </c>
    </row>
    <row r="7228" spans="1:2" ht="15.75" customHeight="1" thickBot="1" x14ac:dyDescent="0.3">
      <c r="A7228" s="7">
        <f ca="1"/>
        <v>44118</v>
      </c>
      <c r="B7228" s="6">
        <v>158.36000000000001</v>
      </c>
    </row>
    <row r="7229" spans="1:2" ht="15.75" customHeight="1" thickBot="1" x14ac:dyDescent="0.3">
      <c r="A7229" s="7">
        <f ca="1"/>
        <v>44119</v>
      </c>
      <c r="B7229" s="6">
        <v>152.75</v>
      </c>
    </row>
    <row r="7230" spans="1:2" ht="15.75" customHeight="1" thickBot="1" x14ac:dyDescent="0.3">
      <c r="A7230" s="7">
        <f ca="1"/>
        <v>44120</v>
      </c>
      <c r="B7230" s="6">
        <v>155.63999999999999</v>
      </c>
    </row>
    <row r="7231" spans="1:2" ht="15.75" customHeight="1" thickBot="1" x14ac:dyDescent="0.3">
      <c r="A7231" s="7">
        <f ca="1"/>
        <v>44121</v>
      </c>
      <c r="B7231" s="5">
        <f t="shared" ref="B7231:B7232" si="1032">B7230</f>
        <v>155.63999999999999</v>
      </c>
    </row>
    <row r="7232" spans="1:2" ht="15.75" customHeight="1" thickBot="1" x14ac:dyDescent="0.3">
      <c r="A7232" s="7">
        <f ca="1"/>
        <v>44122</v>
      </c>
      <c r="B7232" s="5">
        <f t="shared" si="1032"/>
        <v>155.63999999999999</v>
      </c>
    </row>
    <row r="7233" spans="1:2" ht="15.75" customHeight="1" thickBot="1" x14ac:dyDescent="0.3">
      <c r="A7233" s="7">
        <f ca="1"/>
        <v>44123</v>
      </c>
      <c r="B7233" s="6">
        <v>156.06</v>
      </c>
    </row>
    <row r="7234" spans="1:2" ht="15.75" customHeight="1" thickBot="1" x14ac:dyDescent="0.3">
      <c r="A7234" s="7">
        <f ca="1"/>
        <v>44124</v>
      </c>
      <c r="B7234" s="6">
        <v>151.83000000000001</v>
      </c>
    </row>
    <row r="7235" spans="1:2" ht="15.75" customHeight="1" thickBot="1" x14ac:dyDescent="0.3">
      <c r="A7235" s="7">
        <f ca="1"/>
        <v>44125</v>
      </c>
      <c r="B7235" s="6">
        <v>148.22999999999999</v>
      </c>
    </row>
    <row r="7236" spans="1:2" ht="15.75" customHeight="1" thickBot="1" x14ac:dyDescent="0.3">
      <c r="A7236" s="7">
        <f ca="1"/>
        <v>44126</v>
      </c>
      <c r="B7236" s="6">
        <v>146.59</v>
      </c>
    </row>
    <row r="7237" spans="1:2" ht="15.75" customHeight="1" thickBot="1" x14ac:dyDescent="0.3">
      <c r="A7237" s="7">
        <f ca="1"/>
        <v>44127</v>
      </c>
      <c r="B7237" s="6">
        <v>148.06</v>
      </c>
    </row>
    <row r="7238" spans="1:2" ht="15.75" customHeight="1" thickBot="1" x14ac:dyDescent="0.3">
      <c r="A7238" s="7">
        <f ca="1"/>
        <v>44128</v>
      </c>
      <c r="B7238" s="5">
        <f t="shared" ref="B7238:B7239" si="1033">B7237</f>
        <v>148.06</v>
      </c>
    </row>
    <row r="7239" spans="1:2" ht="15.75" customHeight="1" thickBot="1" x14ac:dyDescent="0.3">
      <c r="A7239" s="7">
        <f ca="1"/>
        <v>44129</v>
      </c>
      <c r="B7239" s="5">
        <f t="shared" si="1033"/>
        <v>148.06</v>
      </c>
    </row>
    <row r="7240" spans="1:2" ht="15.75" customHeight="1" thickBot="1" x14ac:dyDescent="0.3">
      <c r="A7240" s="7">
        <f ca="1"/>
        <v>44130</v>
      </c>
      <c r="B7240" s="6">
        <v>118.27</v>
      </c>
    </row>
    <row r="7241" spans="1:2" ht="15.75" customHeight="1" thickBot="1" x14ac:dyDescent="0.3">
      <c r="A7241" s="7">
        <f ca="1"/>
        <v>44131</v>
      </c>
      <c r="B7241" s="6">
        <v>118.53</v>
      </c>
    </row>
    <row r="7242" spans="1:2" ht="15.75" customHeight="1" thickBot="1" x14ac:dyDescent="0.3">
      <c r="A7242" s="7">
        <f ca="1"/>
        <v>44132</v>
      </c>
      <c r="B7242" s="6">
        <v>109.67</v>
      </c>
    </row>
    <row r="7243" spans="1:2" ht="15.75" customHeight="1" thickBot="1" x14ac:dyDescent="0.3">
      <c r="A7243" s="7">
        <f ca="1"/>
        <v>44133</v>
      </c>
      <c r="B7243" s="6">
        <v>106.8</v>
      </c>
    </row>
    <row r="7244" spans="1:2" ht="15.75" customHeight="1" thickBot="1" x14ac:dyDescent="0.3">
      <c r="A7244" s="7">
        <f ca="1"/>
        <v>44134</v>
      </c>
      <c r="B7244" s="6">
        <v>108</v>
      </c>
    </row>
    <row r="7245" spans="1:2" ht="15.75" customHeight="1" thickBot="1" x14ac:dyDescent="0.3">
      <c r="A7245" s="7">
        <f ca="1"/>
        <v>44135</v>
      </c>
      <c r="B7245" s="5">
        <f t="shared" ref="B7245:B7246" si="1034">B7244</f>
        <v>108</v>
      </c>
    </row>
    <row r="7246" spans="1:2" ht="15.75" customHeight="1" thickBot="1" x14ac:dyDescent="0.3">
      <c r="A7246" s="7">
        <f ca="1"/>
        <v>44136</v>
      </c>
      <c r="B7246" s="5">
        <f t="shared" si="1034"/>
        <v>108</v>
      </c>
    </row>
    <row r="7247" spans="1:2" ht="15.75" customHeight="1" thickBot="1" x14ac:dyDescent="0.3">
      <c r="A7247" s="7">
        <f ca="1"/>
        <v>44137</v>
      </c>
      <c r="B7247" s="6">
        <v>106.31</v>
      </c>
    </row>
    <row r="7248" spans="1:2" ht="15.75" customHeight="1" thickBot="1" x14ac:dyDescent="0.3">
      <c r="A7248" s="7">
        <f ca="1"/>
        <v>44138</v>
      </c>
      <c r="B7248" s="6">
        <v>108.5</v>
      </c>
    </row>
    <row r="7249" spans="1:2" ht="15.75" customHeight="1" thickBot="1" x14ac:dyDescent="0.3">
      <c r="A7249" s="7">
        <f ca="1"/>
        <v>44139</v>
      </c>
      <c r="B7249" s="6">
        <v>111.64</v>
      </c>
    </row>
    <row r="7250" spans="1:2" ht="15.75" customHeight="1" thickBot="1" x14ac:dyDescent="0.3">
      <c r="A7250" s="7">
        <f ca="1"/>
        <v>44140</v>
      </c>
      <c r="B7250" s="6">
        <v>117.07</v>
      </c>
    </row>
    <row r="7251" spans="1:2" ht="15.75" customHeight="1" thickBot="1" x14ac:dyDescent="0.3">
      <c r="A7251" s="7">
        <f ca="1"/>
        <v>44141</v>
      </c>
      <c r="B7251" s="6">
        <v>116.7</v>
      </c>
    </row>
    <row r="7252" spans="1:2" ht="15.75" customHeight="1" thickBot="1" x14ac:dyDescent="0.3">
      <c r="A7252" s="7">
        <f ca="1"/>
        <v>44142</v>
      </c>
      <c r="B7252" s="5">
        <f t="shared" ref="B7252:B7253" si="1035">B7251</f>
        <v>116.7</v>
      </c>
    </row>
    <row r="7253" spans="1:2" ht="15.75" customHeight="1" thickBot="1" x14ac:dyDescent="0.3">
      <c r="A7253" s="7">
        <f ca="1"/>
        <v>44143</v>
      </c>
      <c r="B7253" s="5">
        <f t="shared" si="1035"/>
        <v>116.7</v>
      </c>
    </row>
    <row r="7254" spans="1:2" ht="15.75" customHeight="1" thickBot="1" x14ac:dyDescent="0.3">
      <c r="A7254" s="7">
        <f ca="1"/>
        <v>44144</v>
      </c>
      <c r="B7254" s="6">
        <v>120.05</v>
      </c>
    </row>
    <row r="7255" spans="1:2" ht="15.75" customHeight="1" thickBot="1" x14ac:dyDescent="0.3">
      <c r="A7255" s="7">
        <f ca="1"/>
        <v>44145</v>
      </c>
      <c r="B7255" s="6">
        <v>119.29</v>
      </c>
    </row>
    <row r="7256" spans="1:2" ht="15.75" customHeight="1" thickBot="1" x14ac:dyDescent="0.3">
      <c r="A7256" s="7">
        <f ca="1"/>
        <v>44146</v>
      </c>
      <c r="B7256" s="6">
        <v>119</v>
      </c>
    </row>
    <row r="7257" spans="1:2" ht="15.75" customHeight="1" thickBot="1" x14ac:dyDescent="0.3">
      <c r="A7257" s="7">
        <f ca="1"/>
        <v>44147</v>
      </c>
      <c r="B7257" s="6">
        <v>119.35</v>
      </c>
    </row>
    <row r="7258" spans="1:2" ht="15.75" customHeight="1" thickBot="1" x14ac:dyDescent="0.3">
      <c r="A7258" s="7">
        <f ca="1"/>
        <v>44148</v>
      </c>
      <c r="B7258" s="6">
        <v>119.63</v>
      </c>
    </row>
    <row r="7259" spans="1:2" ht="15.75" customHeight="1" thickBot="1" x14ac:dyDescent="0.3">
      <c r="A7259" s="7">
        <f ca="1"/>
        <v>44149</v>
      </c>
      <c r="B7259" s="5">
        <f t="shared" ref="B7259:B7260" si="1036">B7258</f>
        <v>119.63</v>
      </c>
    </row>
    <row r="7260" spans="1:2" ht="15.75" customHeight="1" thickBot="1" x14ac:dyDescent="0.3">
      <c r="A7260" s="7">
        <f ca="1"/>
        <v>44150</v>
      </c>
      <c r="B7260" s="5">
        <f t="shared" si="1036"/>
        <v>119.63</v>
      </c>
    </row>
    <row r="7261" spans="1:2" ht="15.75" customHeight="1" thickBot="1" x14ac:dyDescent="0.3">
      <c r="A7261" s="7">
        <f ca="1"/>
        <v>44151</v>
      </c>
      <c r="B7261" s="6">
        <v>120.56</v>
      </c>
    </row>
    <row r="7262" spans="1:2" ht="15.75" customHeight="1" thickBot="1" x14ac:dyDescent="0.3">
      <c r="A7262" s="7">
        <f ca="1"/>
        <v>44152</v>
      </c>
      <c r="B7262" s="6">
        <v>117.45</v>
      </c>
    </row>
    <row r="7263" spans="1:2" ht="15.75" customHeight="1" thickBot="1" x14ac:dyDescent="0.3">
      <c r="A7263" s="7">
        <f ca="1"/>
        <v>44153</v>
      </c>
      <c r="B7263" s="6">
        <v>118.49</v>
      </c>
    </row>
    <row r="7264" spans="1:2" ht="15.75" customHeight="1" thickBot="1" x14ac:dyDescent="0.3">
      <c r="A7264" s="7">
        <f ca="1"/>
        <v>44154</v>
      </c>
      <c r="B7264" s="6">
        <v>117.91</v>
      </c>
    </row>
    <row r="7265" spans="1:2" ht="15.75" customHeight="1" thickBot="1" x14ac:dyDescent="0.3">
      <c r="A7265" s="7">
        <f ca="1"/>
        <v>44155</v>
      </c>
      <c r="B7265" s="6">
        <v>117.31</v>
      </c>
    </row>
    <row r="7266" spans="1:2" ht="15.75" customHeight="1" thickBot="1" x14ac:dyDescent="0.3">
      <c r="A7266" s="7">
        <f ca="1"/>
        <v>44156</v>
      </c>
      <c r="B7266" s="5">
        <f t="shared" ref="B7266:B7267" si="1037">B7265</f>
        <v>117.31</v>
      </c>
    </row>
    <row r="7267" spans="1:2" ht="15.75" customHeight="1" thickBot="1" x14ac:dyDescent="0.3">
      <c r="A7267" s="7">
        <f ca="1"/>
        <v>44157</v>
      </c>
      <c r="B7267" s="5">
        <f t="shared" si="1037"/>
        <v>117.31</v>
      </c>
    </row>
    <row r="7268" spans="1:2" ht="15.75" customHeight="1" thickBot="1" x14ac:dyDescent="0.3">
      <c r="A7268" s="7">
        <f ca="1"/>
        <v>44158</v>
      </c>
      <c r="B7268" s="6">
        <v>117.83</v>
      </c>
    </row>
    <row r="7269" spans="1:2" ht="15.75" customHeight="1" thickBot="1" x14ac:dyDescent="0.3">
      <c r="A7269" s="7">
        <f ca="1"/>
        <v>44159</v>
      </c>
      <c r="B7269" s="6">
        <v>117.19</v>
      </c>
    </row>
    <row r="7270" spans="1:2" ht="15.75" customHeight="1" thickBot="1" x14ac:dyDescent="0.3">
      <c r="A7270" s="7">
        <f ca="1"/>
        <v>44160</v>
      </c>
      <c r="B7270" s="6">
        <v>116.59</v>
      </c>
    </row>
    <row r="7271" spans="1:2" ht="15.75" customHeight="1" thickBot="1" x14ac:dyDescent="0.3">
      <c r="A7271" s="7">
        <f ca="1"/>
        <v>44161</v>
      </c>
      <c r="B7271" s="5">
        <f>B7270</f>
        <v>116.59</v>
      </c>
    </row>
    <row r="7272" spans="1:2" ht="15.75" customHeight="1" thickBot="1" x14ac:dyDescent="0.3">
      <c r="A7272" s="7">
        <f ca="1"/>
        <v>44162</v>
      </c>
      <c r="B7272" s="6">
        <v>119.43</v>
      </c>
    </row>
    <row r="7273" spans="1:2" ht="15.75" customHeight="1" thickBot="1" x14ac:dyDescent="0.3">
      <c r="A7273" s="7">
        <f ca="1"/>
        <v>44163</v>
      </c>
      <c r="B7273" s="5">
        <f t="shared" ref="B7273:B7274" si="1038">B7272</f>
        <v>119.43</v>
      </c>
    </row>
    <row r="7274" spans="1:2" ht="15.75" customHeight="1" thickBot="1" x14ac:dyDescent="0.3">
      <c r="A7274" s="7">
        <f ca="1"/>
        <v>44164</v>
      </c>
      <c r="B7274" s="5">
        <f t="shared" si="1038"/>
        <v>119.43</v>
      </c>
    </row>
    <row r="7275" spans="1:2" ht="15.75" customHeight="1" thickBot="1" x14ac:dyDescent="0.3">
      <c r="A7275" s="7">
        <f ca="1"/>
        <v>44165</v>
      </c>
      <c r="B7275" s="6">
        <v>121.68</v>
      </c>
    </row>
    <row r="7276" spans="1:2" ht="15.75" customHeight="1" thickBot="1" x14ac:dyDescent="0.3">
      <c r="A7276" s="7">
        <f ca="1"/>
        <v>44166</v>
      </c>
      <c r="B7276" s="6">
        <v>122.16</v>
      </c>
    </row>
    <row r="7277" spans="1:2" ht="15.75" customHeight="1" thickBot="1" x14ac:dyDescent="0.3">
      <c r="A7277" s="7">
        <f ca="1"/>
        <v>44167</v>
      </c>
      <c r="B7277" s="6">
        <v>122.46</v>
      </c>
    </row>
    <row r="7278" spans="1:2" ht="15.75" customHeight="1" thickBot="1" x14ac:dyDescent="0.3">
      <c r="A7278" s="7">
        <f ca="1"/>
        <v>44168</v>
      </c>
      <c r="B7278" s="6">
        <v>121.77</v>
      </c>
    </row>
    <row r="7279" spans="1:2" ht="15.75" customHeight="1" thickBot="1" x14ac:dyDescent="0.3">
      <c r="A7279" s="7">
        <f ca="1"/>
        <v>44169</v>
      </c>
      <c r="B7279" s="6">
        <v>123.75</v>
      </c>
    </row>
    <row r="7280" spans="1:2" ht="15.75" customHeight="1" thickBot="1" x14ac:dyDescent="0.3">
      <c r="A7280" s="7">
        <f ca="1"/>
        <v>44170</v>
      </c>
      <c r="B7280" s="5">
        <f t="shared" ref="B7280:B7281" si="1039">B7279</f>
        <v>123.75</v>
      </c>
    </row>
    <row r="7281" spans="1:2" ht="15.75" customHeight="1" thickBot="1" x14ac:dyDescent="0.3">
      <c r="A7281" s="7">
        <f ca="1"/>
        <v>44171</v>
      </c>
      <c r="B7281" s="5">
        <f t="shared" si="1039"/>
        <v>123.75</v>
      </c>
    </row>
    <row r="7282" spans="1:2" ht="15.75" customHeight="1" thickBot="1" x14ac:dyDescent="0.3">
      <c r="A7282" s="7">
        <f ca="1"/>
        <v>44172</v>
      </c>
      <c r="B7282" s="6">
        <v>123.12</v>
      </c>
    </row>
    <row r="7283" spans="1:2" ht="15.75" customHeight="1" thickBot="1" x14ac:dyDescent="0.3">
      <c r="A7283" s="7">
        <f ca="1"/>
        <v>44173</v>
      </c>
      <c r="B7283" s="6">
        <v>122.98</v>
      </c>
    </row>
    <row r="7284" spans="1:2" ht="15.75" customHeight="1" thickBot="1" x14ac:dyDescent="0.3">
      <c r="A7284" s="7">
        <f ca="1"/>
        <v>44174</v>
      </c>
      <c r="B7284" s="6">
        <v>125.24</v>
      </c>
    </row>
    <row r="7285" spans="1:2" ht="15.75" customHeight="1" thickBot="1" x14ac:dyDescent="0.3">
      <c r="A7285" s="7">
        <f ca="1"/>
        <v>44175</v>
      </c>
      <c r="B7285" s="6">
        <v>121.05</v>
      </c>
    </row>
    <row r="7286" spans="1:2" ht="15.75" customHeight="1" thickBot="1" x14ac:dyDescent="0.3">
      <c r="A7286" s="7">
        <f ca="1"/>
        <v>44176</v>
      </c>
      <c r="B7286" s="6">
        <v>121.12</v>
      </c>
    </row>
    <row r="7287" spans="1:2" ht="15.75" customHeight="1" thickBot="1" x14ac:dyDescent="0.3">
      <c r="A7287" s="7">
        <f ca="1"/>
        <v>44177</v>
      </c>
      <c r="B7287" s="5">
        <f t="shared" ref="B7287:B7288" si="1040">B7286</f>
        <v>121.12</v>
      </c>
    </row>
    <row r="7288" spans="1:2" ht="15.75" customHeight="1" thickBot="1" x14ac:dyDescent="0.3">
      <c r="A7288" s="7">
        <f ca="1"/>
        <v>44178</v>
      </c>
      <c r="B7288" s="5">
        <f t="shared" si="1040"/>
        <v>121.12</v>
      </c>
    </row>
    <row r="7289" spans="1:2" ht="15.75" customHeight="1" thickBot="1" x14ac:dyDescent="0.3">
      <c r="A7289" s="7">
        <f ca="1"/>
        <v>44179</v>
      </c>
      <c r="B7289" s="6">
        <v>121.09</v>
      </c>
    </row>
    <row r="7290" spans="1:2" ht="15.75" customHeight="1" thickBot="1" x14ac:dyDescent="0.3">
      <c r="A7290" s="7">
        <f ca="1"/>
        <v>44180</v>
      </c>
      <c r="B7290" s="6">
        <v>122.97</v>
      </c>
    </row>
    <row r="7291" spans="1:2" ht="15.75" customHeight="1" thickBot="1" x14ac:dyDescent="0.3">
      <c r="A7291" s="7">
        <f ca="1"/>
        <v>44181</v>
      </c>
      <c r="B7291" s="6">
        <v>124.13</v>
      </c>
    </row>
    <row r="7292" spans="1:2" ht="15.75" customHeight="1" thickBot="1" x14ac:dyDescent="0.3">
      <c r="A7292" s="7">
        <f ca="1"/>
        <v>44182</v>
      </c>
      <c r="B7292" s="6">
        <v>128.15</v>
      </c>
    </row>
    <row r="7293" spans="1:2" ht="15.75" customHeight="1" thickBot="1" x14ac:dyDescent="0.3">
      <c r="A7293" s="7">
        <f ca="1"/>
        <v>44183</v>
      </c>
      <c r="B7293" s="6">
        <v>128.55000000000001</v>
      </c>
    </row>
    <row r="7294" spans="1:2" ht="15.75" customHeight="1" thickBot="1" x14ac:dyDescent="0.3">
      <c r="A7294" s="7">
        <f ca="1"/>
        <v>44184</v>
      </c>
      <c r="B7294" s="5">
        <f t="shared" ref="B7294:B7295" si="1041">B7293</f>
        <v>128.55000000000001</v>
      </c>
    </row>
    <row r="7295" spans="1:2" ht="15.75" customHeight="1" thickBot="1" x14ac:dyDescent="0.3">
      <c r="A7295" s="7">
        <f ca="1"/>
        <v>44185</v>
      </c>
      <c r="B7295" s="5">
        <f t="shared" si="1041"/>
        <v>128.55000000000001</v>
      </c>
    </row>
    <row r="7296" spans="1:2" ht="15.75" customHeight="1" thickBot="1" x14ac:dyDescent="0.3">
      <c r="A7296" s="7">
        <f ca="1"/>
        <v>44186</v>
      </c>
      <c r="B7296" s="6">
        <v>124.12</v>
      </c>
    </row>
    <row r="7297" spans="1:2" ht="15.75" customHeight="1" thickBot="1" x14ac:dyDescent="0.3">
      <c r="A7297" s="7">
        <f ca="1"/>
        <v>44187</v>
      </c>
      <c r="B7297" s="6">
        <v>126.45</v>
      </c>
    </row>
    <row r="7298" spans="1:2" ht="15.75" customHeight="1" thickBot="1" x14ac:dyDescent="0.3">
      <c r="A7298" s="7">
        <f ca="1"/>
        <v>44188</v>
      </c>
      <c r="B7298" s="6">
        <v>126.84</v>
      </c>
    </row>
    <row r="7299" spans="1:2" ht="15.75" customHeight="1" thickBot="1" x14ac:dyDescent="0.3">
      <c r="A7299" s="7">
        <f ca="1"/>
        <v>44189</v>
      </c>
      <c r="B7299" s="6">
        <v>125.92</v>
      </c>
    </row>
    <row r="7300" spans="1:2" ht="15.75" customHeight="1" thickBot="1" x14ac:dyDescent="0.3">
      <c r="A7300" s="7">
        <f ca="1"/>
        <v>44190</v>
      </c>
      <c r="B7300" s="5">
        <f t="shared" ref="B7300:B7302" si="1042">B7299</f>
        <v>125.92</v>
      </c>
    </row>
    <row r="7301" spans="1:2" ht="15.75" customHeight="1" thickBot="1" x14ac:dyDescent="0.3">
      <c r="A7301" s="7">
        <f ca="1"/>
        <v>44191</v>
      </c>
      <c r="B7301" s="5">
        <f t="shared" si="1042"/>
        <v>125.92</v>
      </c>
    </row>
    <row r="7302" spans="1:2" ht="15.75" customHeight="1" thickBot="1" x14ac:dyDescent="0.3">
      <c r="A7302" s="7">
        <f ca="1"/>
        <v>44192</v>
      </c>
      <c r="B7302" s="5">
        <f t="shared" si="1042"/>
        <v>125.92</v>
      </c>
    </row>
    <row r="7303" spans="1:2" ht="15.75" customHeight="1" thickBot="1" x14ac:dyDescent="0.3">
      <c r="A7303" s="7">
        <f ca="1"/>
        <v>44193</v>
      </c>
      <c r="B7303" s="6">
        <v>129.34</v>
      </c>
    </row>
    <row r="7304" spans="1:2" ht="15.75" customHeight="1" thickBot="1" x14ac:dyDescent="0.3">
      <c r="A7304" s="7">
        <f ca="1"/>
        <v>44194</v>
      </c>
      <c r="B7304" s="6">
        <v>131.94999999999999</v>
      </c>
    </row>
    <row r="7305" spans="1:2" ht="15.75" customHeight="1" thickBot="1" x14ac:dyDescent="0.3">
      <c r="A7305" s="7">
        <f ca="1"/>
        <v>44195</v>
      </c>
      <c r="B7305" s="6">
        <v>130.55000000000001</v>
      </c>
    </row>
    <row r="7306" spans="1:2" ht="15.75" customHeight="1" thickBot="1" x14ac:dyDescent="0.3">
      <c r="A7306" s="7">
        <f ca="1"/>
        <v>44196</v>
      </c>
      <c r="B7306" s="6">
        <v>130.66999999999999</v>
      </c>
    </row>
    <row r="7307" spans="1:2" ht="15.75" customHeight="1" thickBot="1" x14ac:dyDescent="0.3">
      <c r="A7307" s="7">
        <f ca="1"/>
        <v>44197</v>
      </c>
      <c r="B7307" s="5">
        <f t="shared" ref="B7307:B7309" si="1043">B7306</f>
        <v>130.66999999999999</v>
      </c>
    </row>
    <row r="7308" spans="1:2" ht="15.75" customHeight="1" thickBot="1" x14ac:dyDescent="0.3">
      <c r="A7308" s="7">
        <f ca="1"/>
        <v>44198</v>
      </c>
      <c r="B7308" s="5">
        <f t="shared" si="1043"/>
        <v>130.66999999999999</v>
      </c>
    </row>
    <row r="7309" spans="1:2" ht="15.75" customHeight="1" thickBot="1" x14ac:dyDescent="0.3">
      <c r="A7309" s="7">
        <f ca="1"/>
        <v>44199</v>
      </c>
      <c r="B7309" s="5">
        <f t="shared" si="1043"/>
        <v>130.66999999999999</v>
      </c>
    </row>
    <row r="7310" spans="1:2" ht="15.75" customHeight="1" thickBot="1" x14ac:dyDescent="0.3">
      <c r="A7310" s="7">
        <f ca="1"/>
        <v>44200</v>
      </c>
      <c r="B7310" s="6">
        <v>131.66</v>
      </c>
    </row>
    <row r="7311" spans="1:2" ht="15.75" customHeight="1" thickBot="1" x14ac:dyDescent="0.3">
      <c r="A7311" s="7">
        <f ca="1"/>
        <v>44201</v>
      </c>
      <c r="B7311" s="6">
        <v>129.06</v>
      </c>
    </row>
    <row r="7312" spans="1:2" ht="15.75" customHeight="1" thickBot="1" x14ac:dyDescent="0.3">
      <c r="A7312" s="7">
        <f ca="1"/>
        <v>44202</v>
      </c>
      <c r="B7312" s="6">
        <v>129</v>
      </c>
    </row>
    <row r="7313" spans="1:2" ht="15.75" customHeight="1" thickBot="1" x14ac:dyDescent="0.3">
      <c r="A7313" s="7">
        <f ca="1"/>
        <v>44203</v>
      </c>
      <c r="B7313" s="6">
        <v>128.06</v>
      </c>
    </row>
    <row r="7314" spans="1:2" ht="15.75" customHeight="1" thickBot="1" x14ac:dyDescent="0.3">
      <c r="A7314" s="7">
        <f ca="1"/>
        <v>44204</v>
      </c>
      <c r="B7314" s="6">
        <v>130.16</v>
      </c>
    </row>
    <row r="7315" spans="1:2" ht="15.75" customHeight="1" thickBot="1" x14ac:dyDescent="0.3">
      <c r="A7315" s="7">
        <f ca="1"/>
        <v>44205</v>
      </c>
      <c r="B7315" s="5">
        <f t="shared" ref="B7315:B7316" si="1044">B7314</f>
        <v>130.16</v>
      </c>
    </row>
    <row r="7316" spans="1:2" ht="15.75" customHeight="1" thickBot="1" x14ac:dyDescent="0.3">
      <c r="A7316" s="7">
        <f ca="1"/>
        <v>44206</v>
      </c>
      <c r="B7316" s="5">
        <f t="shared" si="1044"/>
        <v>130.16</v>
      </c>
    </row>
    <row r="7317" spans="1:2" ht="15.75" customHeight="1" thickBot="1" x14ac:dyDescent="0.3">
      <c r="A7317" s="7">
        <f ca="1"/>
        <v>44207</v>
      </c>
      <c r="B7317" s="6">
        <v>128.04</v>
      </c>
    </row>
    <row r="7318" spans="1:2" ht="15.75" customHeight="1" thickBot="1" x14ac:dyDescent="0.3">
      <c r="A7318" s="7">
        <f ca="1"/>
        <v>44208</v>
      </c>
      <c r="B7318" s="6">
        <v>129.33000000000001</v>
      </c>
    </row>
    <row r="7319" spans="1:2" ht="15.75" customHeight="1" thickBot="1" x14ac:dyDescent="0.3">
      <c r="A7319" s="7">
        <f ca="1"/>
        <v>44209</v>
      </c>
      <c r="B7319" s="6">
        <v>128.69999999999999</v>
      </c>
    </row>
    <row r="7320" spans="1:2" ht="15.75" customHeight="1" thickBot="1" x14ac:dyDescent="0.3">
      <c r="A7320" s="7">
        <f ca="1"/>
        <v>44210</v>
      </c>
      <c r="B7320" s="6">
        <v>126.01</v>
      </c>
    </row>
    <row r="7321" spans="1:2" ht="15.75" customHeight="1" thickBot="1" x14ac:dyDescent="0.3">
      <c r="A7321" s="7">
        <f ca="1"/>
        <v>44211</v>
      </c>
      <c r="B7321" s="6">
        <v>125.53</v>
      </c>
    </row>
    <row r="7322" spans="1:2" ht="15.75" customHeight="1" thickBot="1" x14ac:dyDescent="0.3">
      <c r="A7322" s="7">
        <f ca="1"/>
        <v>44212</v>
      </c>
      <c r="B7322" s="5">
        <f t="shared" ref="B7322:B7324" si="1045">B7321</f>
        <v>125.53</v>
      </c>
    </row>
    <row r="7323" spans="1:2" ht="15.75" customHeight="1" thickBot="1" x14ac:dyDescent="0.3">
      <c r="A7323" s="7">
        <f ca="1"/>
        <v>44213</v>
      </c>
      <c r="B7323" s="5">
        <f t="shared" si="1045"/>
        <v>125.53</v>
      </c>
    </row>
    <row r="7324" spans="1:2" ht="15.75" customHeight="1" thickBot="1" x14ac:dyDescent="0.3">
      <c r="A7324" s="7">
        <f ca="1"/>
        <v>44214</v>
      </c>
      <c r="B7324" s="5">
        <f t="shared" si="1045"/>
        <v>125.53</v>
      </c>
    </row>
    <row r="7325" spans="1:2" ht="15.75" customHeight="1" thickBot="1" x14ac:dyDescent="0.3">
      <c r="A7325" s="7">
        <f ca="1"/>
        <v>44215</v>
      </c>
      <c r="B7325" s="6">
        <v>126.46</v>
      </c>
    </row>
    <row r="7326" spans="1:2" ht="15.75" customHeight="1" thickBot="1" x14ac:dyDescent="0.3">
      <c r="A7326" s="7">
        <f ca="1"/>
        <v>44216</v>
      </c>
      <c r="B7326" s="6">
        <v>126.74</v>
      </c>
    </row>
    <row r="7327" spans="1:2" ht="15.75" customHeight="1" thickBot="1" x14ac:dyDescent="0.3">
      <c r="A7327" s="7">
        <f ca="1"/>
        <v>44217</v>
      </c>
      <c r="B7327" s="6">
        <v>127.6</v>
      </c>
    </row>
    <row r="7328" spans="1:2" ht="15.75" customHeight="1" thickBot="1" x14ac:dyDescent="0.3">
      <c r="A7328" s="7">
        <f ca="1"/>
        <v>44218</v>
      </c>
      <c r="B7328" s="6">
        <v>126.49</v>
      </c>
    </row>
    <row r="7329" spans="1:2" ht="15.75" customHeight="1" thickBot="1" x14ac:dyDescent="0.3">
      <c r="A7329" s="7">
        <f ca="1"/>
        <v>44219</v>
      </c>
      <c r="B7329" s="5">
        <f t="shared" ref="B7329:B7330" si="1046">B7328</f>
        <v>126.49</v>
      </c>
    </row>
    <row r="7330" spans="1:2" ht="15.75" customHeight="1" thickBot="1" x14ac:dyDescent="0.3">
      <c r="A7330" s="7">
        <f ca="1"/>
        <v>44220</v>
      </c>
      <c r="B7330" s="5">
        <f t="shared" si="1046"/>
        <v>126.49</v>
      </c>
    </row>
    <row r="7331" spans="1:2" ht="15.75" customHeight="1" thickBot="1" x14ac:dyDescent="0.3">
      <c r="A7331" s="7">
        <f ca="1"/>
        <v>44221</v>
      </c>
      <c r="B7331" s="6">
        <v>127.68</v>
      </c>
    </row>
    <row r="7332" spans="1:2" ht="15.75" customHeight="1" thickBot="1" x14ac:dyDescent="0.3">
      <c r="A7332" s="7">
        <f ca="1"/>
        <v>44222</v>
      </c>
      <c r="B7332" s="6">
        <v>132.18</v>
      </c>
    </row>
    <row r="7333" spans="1:2" ht="15.75" customHeight="1" thickBot="1" x14ac:dyDescent="0.3">
      <c r="A7333" s="7">
        <f ca="1"/>
        <v>44223</v>
      </c>
      <c r="B7333" s="6">
        <v>131.85</v>
      </c>
    </row>
    <row r="7334" spans="1:2" ht="15.75" customHeight="1" thickBot="1" x14ac:dyDescent="0.3">
      <c r="A7334" s="7">
        <f ca="1"/>
        <v>44224</v>
      </c>
      <c r="B7334" s="6">
        <v>130.81</v>
      </c>
    </row>
    <row r="7335" spans="1:2" ht="15.75" customHeight="1" thickBot="1" x14ac:dyDescent="0.3">
      <c r="A7335" s="7">
        <f ca="1"/>
        <v>44225</v>
      </c>
      <c r="B7335" s="6">
        <v>129.81</v>
      </c>
    </row>
    <row r="7336" spans="1:2" ht="15.75" customHeight="1" thickBot="1" x14ac:dyDescent="0.3">
      <c r="A7336" s="7">
        <f ca="1"/>
        <v>44226</v>
      </c>
      <c r="B7336" s="5">
        <f t="shared" ref="B7336:B7337" si="1047">B7335</f>
        <v>129.81</v>
      </c>
    </row>
    <row r="7337" spans="1:2" ht="15.75" customHeight="1" thickBot="1" x14ac:dyDescent="0.3">
      <c r="A7337" s="7">
        <f ca="1"/>
        <v>44227</v>
      </c>
      <c r="B7337" s="5">
        <f t="shared" si="1047"/>
        <v>129.81</v>
      </c>
    </row>
    <row r="7338" spans="1:2" ht="15.75" customHeight="1" thickBot="1" x14ac:dyDescent="0.3">
      <c r="A7338" s="7">
        <f ca="1"/>
        <v>44228</v>
      </c>
      <c r="B7338" s="6">
        <v>130.13</v>
      </c>
    </row>
    <row r="7339" spans="1:2" ht="15.75" customHeight="1" thickBot="1" x14ac:dyDescent="0.3">
      <c r="A7339" s="7">
        <f ca="1"/>
        <v>44229</v>
      </c>
      <c r="B7339" s="6">
        <v>130.01</v>
      </c>
    </row>
    <row r="7340" spans="1:2" ht="15.75" customHeight="1" thickBot="1" x14ac:dyDescent="0.3">
      <c r="A7340" s="7">
        <f ca="1"/>
        <v>44230</v>
      </c>
      <c r="B7340" s="6">
        <v>129.97</v>
      </c>
    </row>
    <row r="7341" spans="1:2" ht="15.75" customHeight="1" thickBot="1" x14ac:dyDescent="0.3">
      <c r="A7341" s="7">
        <f ca="1"/>
        <v>44231</v>
      </c>
      <c r="B7341" s="6">
        <v>131.24</v>
      </c>
    </row>
    <row r="7342" spans="1:2" ht="15.75" customHeight="1" thickBot="1" x14ac:dyDescent="0.3">
      <c r="A7342" s="7">
        <f ca="1"/>
        <v>44232</v>
      </c>
      <c r="B7342" s="6">
        <v>131.13</v>
      </c>
    </row>
    <row r="7343" spans="1:2" ht="15.75" customHeight="1" thickBot="1" x14ac:dyDescent="0.3">
      <c r="A7343" s="7">
        <f ca="1"/>
        <v>44233</v>
      </c>
      <c r="B7343" s="5">
        <f t="shared" ref="B7343:B7344" si="1048">B7342</f>
        <v>131.13</v>
      </c>
    </row>
    <row r="7344" spans="1:2" ht="15.75" customHeight="1" thickBot="1" x14ac:dyDescent="0.3">
      <c r="A7344" s="7">
        <f ca="1"/>
        <v>44234</v>
      </c>
      <c r="B7344" s="5">
        <f t="shared" si="1048"/>
        <v>131.13</v>
      </c>
    </row>
    <row r="7345" spans="1:2" ht="15.75" customHeight="1" thickBot="1" x14ac:dyDescent="0.3">
      <c r="A7345" s="7">
        <f ca="1"/>
        <v>44235</v>
      </c>
      <c r="B7345" s="6">
        <v>131.72</v>
      </c>
    </row>
    <row r="7346" spans="1:2" ht="15.75" customHeight="1" thickBot="1" x14ac:dyDescent="0.3">
      <c r="A7346" s="7">
        <f ca="1"/>
        <v>44236</v>
      </c>
      <c r="B7346" s="6">
        <v>130.88</v>
      </c>
    </row>
    <row r="7347" spans="1:2" ht="15.75" customHeight="1" thickBot="1" x14ac:dyDescent="0.3">
      <c r="A7347" s="7">
        <f ca="1"/>
        <v>44237</v>
      </c>
      <c r="B7347" s="6">
        <v>131.36000000000001</v>
      </c>
    </row>
    <row r="7348" spans="1:2" ht="15.75" customHeight="1" thickBot="1" x14ac:dyDescent="0.3">
      <c r="A7348" s="7">
        <f ca="1"/>
        <v>44238</v>
      </c>
      <c r="B7348" s="6">
        <v>131.88999999999999</v>
      </c>
    </row>
    <row r="7349" spans="1:2" ht="15.75" customHeight="1" thickBot="1" x14ac:dyDescent="0.3">
      <c r="A7349" s="7">
        <f ca="1"/>
        <v>44239</v>
      </c>
      <c r="B7349" s="6">
        <v>130.91</v>
      </c>
    </row>
    <row r="7350" spans="1:2" ht="15.75" customHeight="1" thickBot="1" x14ac:dyDescent="0.3">
      <c r="A7350" s="7">
        <f ca="1"/>
        <v>44240</v>
      </c>
      <c r="B7350" s="5">
        <f t="shared" ref="B7350:B7352" si="1049">B7349</f>
        <v>130.91</v>
      </c>
    </row>
    <row r="7351" spans="1:2" ht="15.75" customHeight="1" thickBot="1" x14ac:dyDescent="0.3">
      <c r="A7351" s="7">
        <f ca="1"/>
        <v>44241</v>
      </c>
      <c r="B7351" s="5">
        <f t="shared" si="1049"/>
        <v>130.91</v>
      </c>
    </row>
    <row r="7352" spans="1:2" ht="15.75" customHeight="1" thickBot="1" x14ac:dyDescent="0.3">
      <c r="A7352" s="7">
        <f ca="1"/>
        <v>44242</v>
      </c>
      <c r="B7352" s="5">
        <f t="shared" si="1049"/>
        <v>130.91</v>
      </c>
    </row>
    <row r="7353" spans="1:2" ht="15.75" customHeight="1" thickBot="1" x14ac:dyDescent="0.3">
      <c r="A7353" s="7">
        <f ca="1"/>
        <v>44243</v>
      </c>
      <c r="B7353" s="6">
        <v>131.19999999999999</v>
      </c>
    </row>
    <row r="7354" spans="1:2" ht="15.75" customHeight="1" thickBot="1" x14ac:dyDescent="0.3">
      <c r="A7354" s="7">
        <f ca="1"/>
        <v>44244</v>
      </c>
      <c r="B7354" s="6">
        <v>126.84</v>
      </c>
    </row>
    <row r="7355" spans="1:2" ht="15.75" customHeight="1" thickBot="1" x14ac:dyDescent="0.3">
      <c r="A7355" s="7">
        <f ca="1"/>
        <v>44245</v>
      </c>
      <c r="B7355" s="6">
        <v>127.1</v>
      </c>
    </row>
    <row r="7356" spans="1:2" ht="15.75" customHeight="1" thickBot="1" x14ac:dyDescent="0.3">
      <c r="A7356" s="7">
        <f ca="1"/>
        <v>44246</v>
      </c>
      <c r="B7356" s="6">
        <v>128.15</v>
      </c>
    </row>
    <row r="7357" spans="1:2" ht="15.75" customHeight="1" thickBot="1" x14ac:dyDescent="0.3">
      <c r="A7357" s="7">
        <f ca="1"/>
        <v>44247</v>
      </c>
      <c r="B7357" s="5">
        <f t="shared" ref="B7357:B7358" si="1050">B7356</f>
        <v>128.15</v>
      </c>
    </row>
    <row r="7358" spans="1:2" ht="15.75" customHeight="1" thickBot="1" x14ac:dyDescent="0.3">
      <c r="A7358" s="7">
        <f ca="1"/>
        <v>44248</v>
      </c>
      <c r="B7358" s="5">
        <f t="shared" si="1050"/>
        <v>128.15</v>
      </c>
    </row>
    <row r="7359" spans="1:2" ht="15.75" customHeight="1" thickBot="1" x14ac:dyDescent="0.3">
      <c r="A7359" s="7">
        <f ca="1"/>
        <v>44249</v>
      </c>
      <c r="B7359" s="6">
        <v>126.09</v>
      </c>
    </row>
    <row r="7360" spans="1:2" ht="15.75" customHeight="1" thickBot="1" x14ac:dyDescent="0.3">
      <c r="A7360" s="7">
        <f ca="1"/>
        <v>44250</v>
      </c>
      <c r="B7360" s="6">
        <v>124.36</v>
      </c>
    </row>
    <row r="7361" spans="1:2" ht="15.75" customHeight="1" thickBot="1" x14ac:dyDescent="0.3">
      <c r="A7361" s="7">
        <f ca="1"/>
        <v>44251</v>
      </c>
      <c r="B7361" s="6">
        <v>124.79</v>
      </c>
    </row>
    <row r="7362" spans="1:2" ht="15.75" customHeight="1" thickBot="1" x14ac:dyDescent="0.3">
      <c r="A7362" s="7">
        <f ca="1"/>
        <v>44252</v>
      </c>
      <c r="B7362" s="6">
        <v>125.55</v>
      </c>
    </row>
    <row r="7363" spans="1:2" ht="15.75" customHeight="1" thickBot="1" x14ac:dyDescent="0.3">
      <c r="A7363" s="7">
        <f ca="1"/>
        <v>44253</v>
      </c>
      <c r="B7363" s="6">
        <v>124.2</v>
      </c>
    </row>
    <row r="7364" spans="1:2" ht="15.75" customHeight="1" thickBot="1" x14ac:dyDescent="0.3">
      <c r="A7364" s="7">
        <f ca="1"/>
        <v>44254</v>
      </c>
      <c r="B7364" s="5">
        <f t="shared" ref="B7364:B7365" si="1051">B7363</f>
        <v>124.2</v>
      </c>
    </row>
    <row r="7365" spans="1:2" ht="15.75" customHeight="1" thickBot="1" x14ac:dyDescent="0.3">
      <c r="A7365" s="7">
        <f ca="1"/>
        <v>44255</v>
      </c>
      <c r="B7365" s="5">
        <f t="shared" si="1051"/>
        <v>124.2</v>
      </c>
    </row>
    <row r="7366" spans="1:2" ht="15.75" customHeight="1" thickBot="1" x14ac:dyDescent="0.3">
      <c r="A7366" s="7">
        <f ca="1"/>
        <v>44256</v>
      </c>
      <c r="B7366" s="6">
        <v>124</v>
      </c>
    </row>
    <row r="7367" spans="1:2" ht="15.75" customHeight="1" thickBot="1" x14ac:dyDescent="0.3">
      <c r="A7367" s="7">
        <f ca="1"/>
        <v>44257</v>
      </c>
      <c r="B7367" s="6">
        <v>125.79</v>
      </c>
    </row>
    <row r="7368" spans="1:2" ht="15.75" customHeight="1" thickBot="1" x14ac:dyDescent="0.3">
      <c r="A7368" s="7">
        <f ca="1"/>
        <v>44258</v>
      </c>
      <c r="B7368" s="6">
        <v>123.89</v>
      </c>
    </row>
    <row r="7369" spans="1:2" ht="15.75" customHeight="1" thickBot="1" x14ac:dyDescent="0.3">
      <c r="A7369" s="7">
        <f ca="1"/>
        <v>44259</v>
      </c>
      <c r="B7369" s="6">
        <v>123.7</v>
      </c>
    </row>
    <row r="7370" spans="1:2" ht="15.75" customHeight="1" thickBot="1" x14ac:dyDescent="0.3">
      <c r="A7370" s="7">
        <f ca="1"/>
        <v>44260</v>
      </c>
      <c r="B7370" s="6">
        <v>122.21</v>
      </c>
    </row>
    <row r="7371" spans="1:2" ht="15.75" customHeight="1" thickBot="1" x14ac:dyDescent="0.3">
      <c r="A7371" s="7">
        <f ca="1"/>
        <v>44261</v>
      </c>
      <c r="B7371" s="5">
        <f t="shared" ref="B7371:B7372" si="1052">B7370</f>
        <v>122.21</v>
      </c>
    </row>
    <row r="7372" spans="1:2" ht="15.75" customHeight="1" thickBot="1" x14ac:dyDescent="0.3">
      <c r="A7372" s="7">
        <f ca="1"/>
        <v>44262</v>
      </c>
      <c r="B7372" s="5">
        <f t="shared" si="1052"/>
        <v>122.21</v>
      </c>
    </row>
    <row r="7373" spans="1:2" ht="15.75" customHeight="1" thickBot="1" x14ac:dyDescent="0.3">
      <c r="A7373" s="7">
        <f ca="1"/>
        <v>44263</v>
      </c>
      <c r="B7373" s="6">
        <v>122.52</v>
      </c>
    </row>
    <row r="7374" spans="1:2" ht="15.75" customHeight="1" thickBot="1" x14ac:dyDescent="0.3">
      <c r="A7374" s="7">
        <f ca="1"/>
        <v>44264</v>
      </c>
      <c r="B7374" s="6">
        <v>126.64</v>
      </c>
    </row>
    <row r="7375" spans="1:2" ht="15.75" customHeight="1" thickBot="1" x14ac:dyDescent="0.3">
      <c r="A7375" s="7">
        <f ca="1"/>
        <v>44265</v>
      </c>
      <c r="B7375" s="6">
        <v>126.67</v>
      </c>
    </row>
    <row r="7376" spans="1:2" ht="15.75" customHeight="1" thickBot="1" x14ac:dyDescent="0.3">
      <c r="A7376" s="7">
        <f ca="1"/>
        <v>44266</v>
      </c>
      <c r="B7376" s="6">
        <v>127.11</v>
      </c>
    </row>
    <row r="7377" spans="1:2" ht="15.75" customHeight="1" thickBot="1" x14ac:dyDescent="0.3">
      <c r="A7377" s="7">
        <f ca="1"/>
        <v>44267</v>
      </c>
      <c r="B7377" s="6">
        <v>124.35</v>
      </c>
    </row>
    <row r="7378" spans="1:2" ht="15.75" customHeight="1" thickBot="1" x14ac:dyDescent="0.3">
      <c r="A7378" s="7">
        <f ca="1"/>
        <v>44268</v>
      </c>
      <c r="B7378" s="5">
        <f t="shared" ref="B7378:B7379" si="1053">B7377</f>
        <v>124.35</v>
      </c>
    </row>
    <row r="7379" spans="1:2" ht="15.75" customHeight="1" thickBot="1" x14ac:dyDescent="0.3">
      <c r="A7379" s="7">
        <f ca="1"/>
        <v>44269</v>
      </c>
      <c r="B7379" s="5">
        <f t="shared" si="1053"/>
        <v>124.35</v>
      </c>
    </row>
    <row r="7380" spans="1:2" ht="15.75" customHeight="1" thickBot="1" x14ac:dyDescent="0.3">
      <c r="A7380" s="7">
        <f ca="1"/>
        <v>44270</v>
      </c>
      <c r="B7380" s="6">
        <v>122.89</v>
      </c>
    </row>
    <row r="7381" spans="1:2" ht="15.75" customHeight="1" thickBot="1" x14ac:dyDescent="0.3">
      <c r="A7381" s="7">
        <f ca="1"/>
        <v>44271</v>
      </c>
      <c r="B7381" s="6">
        <v>122.57</v>
      </c>
    </row>
    <row r="7382" spans="1:2" ht="15.75" customHeight="1" thickBot="1" x14ac:dyDescent="0.3">
      <c r="A7382" s="7">
        <f ca="1"/>
        <v>44272</v>
      </c>
      <c r="B7382" s="6">
        <v>122.37</v>
      </c>
    </row>
    <row r="7383" spans="1:2" ht="15.75" customHeight="1" thickBot="1" x14ac:dyDescent="0.3">
      <c r="A7383" s="7">
        <f ca="1"/>
        <v>44273</v>
      </c>
      <c r="B7383" s="6">
        <v>122.21</v>
      </c>
    </row>
    <row r="7384" spans="1:2" ht="15.75" customHeight="1" thickBot="1" x14ac:dyDescent="0.3">
      <c r="A7384" s="7">
        <f ca="1"/>
        <v>44274</v>
      </c>
      <c r="B7384" s="6">
        <v>122.23</v>
      </c>
    </row>
    <row r="7385" spans="1:2" ht="15.75" customHeight="1" thickBot="1" x14ac:dyDescent="0.3">
      <c r="A7385" s="7">
        <f ca="1"/>
        <v>44275</v>
      </c>
      <c r="B7385" s="5">
        <f t="shared" ref="B7385:B7386" si="1054">B7384</f>
        <v>122.23</v>
      </c>
    </row>
    <row r="7386" spans="1:2" ht="15.75" customHeight="1" thickBot="1" x14ac:dyDescent="0.3">
      <c r="A7386" s="7">
        <f ca="1"/>
        <v>44276</v>
      </c>
      <c r="B7386" s="5">
        <f t="shared" si="1054"/>
        <v>122.23</v>
      </c>
    </row>
    <row r="7387" spans="1:2" ht="15.75" customHeight="1" thickBot="1" x14ac:dyDescent="0.3">
      <c r="A7387" s="7">
        <f ca="1"/>
        <v>44277</v>
      </c>
      <c r="B7387" s="6">
        <v>122.45</v>
      </c>
    </row>
    <row r="7388" spans="1:2" ht="15.75" customHeight="1" thickBot="1" x14ac:dyDescent="0.3">
      <c r="A7388" s="7">
        <f ca="1"/>
        <v>44278</v>
      </c>
      <c r="B7388" s="6">
        <v>122.04</v>
      </c>
    </row>
    <row r="7389" spans="1:2" ht="15.75" customHeight="1" thickBot="1" x14ac:dyDescent="0.3">
      <c r="A7389" s="7">
        <f ca="1"/>
        <v>44279</v>
      </c>
      <c r="B7389" s="6">
        <v>121.57</v>
      </c>
    </row>
    <row r="7390" spans="1:2" ht="15.75" customHeight="1" thickBot="1" x14ac:dyDescent="0.3">
      <c r="A7390" s="7">
        <f ca="1"/>
        <v>44280</v>
      </c>
      <c r="B7390" s="6">
        <v>120.63</v>
      </c>
    </row>
    <row r="7391" spans="1:2" ht="15.75" customHeight="1" thickBot="1" x14ac:dyDescent="0.3">
      <c r="A7391" s="7">
        <f ca="1"/>
        <v>44281</v>
      </c>
      <c r="B7391" s="6">
        <v>121.44</v>
      </c>
    </row>
    <row r="7392" spans="1:2" ht="15.75" customHeight="1" thickBot="1" x14ac:dyDescent="0.3">
      <c r="A7392" s="7">
        <f ca="1"/>
        <v>44282</v>
      </c>
      <c r="B7392" s="5">
        <f t="shared" ref="B7392:B7393" si="1055">B7391</f>
        <v>121.44</v>
      </c>
    </row>
    <row r="7393" spans="1:2" ht="15.75" customHeight="1" thickBot="1" x14ac:dyDescent="0.3">
      <c r="A7393" s="7">
        <f ca="1"/>
        <v>44283</v>
      </c>
      <c r="B7393" s="5">
        <f t="shared" si="1055"/>
        <v>121.44</v>
      </c>
    </row>
    <row r="7394" spans="1:2" ht="15.75" customHeight="1" thickBot="1" x14ac:dyDescent="0.3">
      <c r="A7394" s="7">
        <f ca="1"/>
        <v>44284</v>
      </c>
      <c r="B7394" s="6">
        <v>121.64</v>
      </c>
    </row>
    <row r="7395" spans="1:2" ht="15.75" customHeight="1" thickBot="1" x14ac:dyDescent="0.3">
      <c r="A7395" s="7">
        <f ca="1"/>
        <v>44285</v>
      </c>
      <c r="B7395" s="6">
        <v>121.63</v>
      </c>
    </row>
    <row r="7396" spans="1:2" ht="15.75" customHeight="1" thickBot="1" x14ac:dyDescent="0.3">
      <c r="A7396" s="7">
        <f ca="1"/>
        <v>44286</v>
      </c>
      <c r="B7396" s="6">
        <v>121.45</v>
      </c>
    </row>
    <row r="7397" spans="1:2" ht="15.75" customHeight="1" thickBot="1" x14ac:dyDescent="0.3">
      <c r="A7397" s="7">
        <f ca="1"/>
        <v>44287</v>
      </c>
      <c r="B7397" s="6">
        <v>125.14</v>
      </c>
    </row>
    <row r="7398" spans="1:2" ht="15.75" customHeight="1" thickBot="1" x14ac:dyDescent="0.3">
      <c r="A7398" s="7">
        <f ca="1"/>
        <v>44288</v>
      </c>
      <c r="B7398" s="5">
        <f t="shared" ref="B7398:B7400" si="1056">B7397</f>
        <v>125.14</v>
      </c>
    </row>
    <row r="7399" spans="1:2" ht="15.75" customHeight="1" thickBot="1" x14ac:dyDescent="0.3">
      <c r="A7399" s="7">
        <f ca="1"/>
        <v>44289</v>
      </c>
      <c r="B7399" s="5">
        <f t="shared" si="1056"/>
        <v>125.14</v>
      </c>
    </row>
    <row r="7400" spans="1:2" ht="15.75" customHeight="1" thickBot="1" x14ac:dyDescent="0.3">
      <c r="A7400" s="7">
        <f ca="1"/>
        <v>44290</v>
      </c>
      <c r="B7400" s="5">
        <f t="shared" si="1056"/>
        <v>125.14</v>
      </c>
    </row>
    <row r="7401" spans="1:2" ht="15.75" customHeight="1" thickBot="1" x14ac:dyDescent="0.3">
      <c r="A7401" s="7">
        <f ca="1"/>
        <v>44291</v>
      </c>
      <c r="B7401" s="6">
        <v>126.49</v>
      </c>
    </row>
    <row r="7402" spans="1:2" ht="15.75" customHeight="1" thickBot="1" x14ac:dyDescent="0.3">
      <c r="A7402" s="7">
        <f ca="1"/>
        <v>44292</v>
      </c>
      <c r="B7402" s="6">
        <v>128.9</v>
      </c>
    </row>
    <row r="7403" spans="1:2" ht="15.75" customHeight="1" thickBot="1" x14ac:dyDescent="0.3">
      <c r="A7403" s="7">
        <f ca="1"/>
        <v>44293</v>
      </c>
      <c r="B7403" s="6">
        <v>129.80000000000001</v>
      </c>
    </row>
    <row r="7404" spans="1:2" ht="15.75" customHeight="1" thickBot="1" x14ac:dyDescent="0.3">
      <c r="A7404" s="7">
        <f ca="1"/>
        <v>44294</v>
      </c>
      <c r="B7404" s="6">
        <v>132.57</v>
      </c>
    </row>
    <row r="7405" spans="1:2" ht="15.75" customHeight="1" thickBot="1" x14ac:dyDescent="0.3">
      <c r="A7405" s="7">
        <f ca="1"/>
        <v>44295</v>
      </c>
      <c r="B7405" s="6">
        <v>132.61000000000001</v>
      </c>
    </row>
    <row r="7406" spans="1:2" ht="15.75" customHeight="1" thickBot="1" x14ac:dyDescent="0.3">
      <c r="A7406" s="7">
        <f ca="1"/>
        <v>44296</v>
      </c>
      <c r="B7406" s="5">
        <f t="shared" ref="B7406:B7407" si="1057">B7405</f>
        <v>132.61000000000001</v>
      </c>
    </row>
    <row r="7407" spans="1:2" ht="15.75" customHeight="1" thickBot="1" x14ac:dyDescent="0.3">
      <c r="A7407" s="7">
        <f ca="1"/>
        <v>44297</v>
      </c>
      <c r="B7407" s="5">
        <f t="shared" si="1057"/>
        <v>132.61000000000001</v>
      </c>
    </row>
    <row r="7408" spans="1:2" ht="15.75" customHeight="1" thickBot="1" x14ac:dyDescent="0.3">
      <c r="A7408" s="7">
        <f ca="1"/>
        <v>44298</v>
      </c>
      <c r="B7408" s="6">
        <v>132.25</v>
      </c>
    </row>
    <row r="7409" spans="1:2" ht="15.75" customHeight="1" thickBot="1" x14ac:dyDescent="0.3">
      <c r="A7409" s="7">
        <f ca="1"/>
        <v>44299</v>
      </c>
      <c r="B7409" s="6">
        <v>133.13</v>
      </c>
    </row>
    <row r="7410" spans="1:2" ht="15.75" customHeight="1" thickBot="1" x14ac:dyDescent="0.3">
      <c r="A7410" s="7">
        <f ca="1"/>
        <v>44300</v>
      </c>
      <c r="B7410" s="6">
        <v>139</v>
      </c>
    </row>
    <row r="7411" spans="1:2" ht="15.75" customHeight="1" thickBot="1" x14ac:dyDescent="0.3">
      <c r="A7411" s="7">
        <f ca="1"/>
        <v>44301</v>
      </c>
      <c r="B7411" s="6">
        <v>138.38</v>
      </c>
    </row>
    <row r="7412" spans="1:2" ht="15.75" customHeight="1" thickBot="1" x14ac:dyDescent="0.3">
      <c r="A7412" s="7">
        <f ca="1"/>
        <v>44302</v>
      </c>
      <c r="B7412" s="6">
        <v>138.69</v>
      </c>
    </row>
    <row r="7413" spans="1:2" ht="15.75" customHeight="1" thickBot="1" x14ac:dyDescent="0.3">
      <c r="A7413" s="7">
        <f ca="1"/>
        <v>44303</v>
      </c>
      <c r="B7413" s="5">
        <f t="shared" ref="B7413:B7414" si="1058">B7412</f>
        <v>138.69</v>
      </c>
    </row>
    <row r="7414" spans="1:2" ht="15.75" customHeight="1" thickBot="1" x14ac:dyDescent="0.3">
      <c r="A7414" s="7">
        <f ca="1"/>
        <v>44304</v>
      </c>
      <c r="B7414" s="5">
        <f t="shared" si="1058"/>
        <v>138.69</v>
      </c>
    </row>
    <row r="7415" spans="1:2" ht="15.75" customHeight="1" thickBot="1" x14ac:dyDescent="0.3">
      <c r="A7415" s="7">
        <f ca="1"/>
        <v>44305</v>
      </c>
      <c r="B7415" s="6">
        <v>139.16</v>
      </c>
    </row>
    <row r="7416" spans="1:2" ht="15.75" customHeight="1" thickBot="1" x14ac:dyDescent="0.3">
      <c r="A7416" s="7">
        <f ca="1"/>
        <v>44306</v>
      </c>
      <c r="B7416" s="6">
        <v>139.5</v>
      </c>
    </row>
    <row r="7417" spans="1:2" ht="15.75" customHeight="1" thickBot="1" x14ac:dyDescent="0.3">
      <c r="A7417" s="7">
        <f ca="1"/>
        <v>44307</v>
      </c>
      <c r="B7417" s="6">
        <v>138.63</v>
      </c>
    </row>
    <row r="7418" spans="1:2" ht="15.75" customHeight="1" thickBot="1" x14ac:dyDescent="0.3">
      <c r="A7418" s="7">
        <f ca="1"/>
        <v>44308</v>
      </c>
      <c r="B7418" s="6">
        <v>142.36000000000001</v>
      </c>
    </row>
    <row r="7419" spans="1:2" ht="15.75" customHeight="1" thickBot="1" x14ac:dyDescent="0.3">
      <c r="A7419" s="7">
        <f ca="1"/>
        <v>44309</v>
      </c>
      <c r="B7419" s="6">
        <v>142.46</v>
      </c>
    </row>
    <row r="7420" spans="1:2" ht="15.75" customHeight="1" thickBot="1" x14ac:dyDescent="0.3">
      <c r="A7420" s="7">
        <f ca="1"/>
        <v>44310</v>
      </c>
      <c r="B7420" s="5">
        <f t="shared" ref="B7420:B7421" si="1059">B7419</f>
        <v>142.46</v>
      </c>
    </row>
    <row r="7421" spans="1:2" ht="15.75" customHeight="1" thickBot="1" x14ac:dyDescent="0.3">
      <c r="A7421" s="7">
        <f ca="1"/>
        <v>44311</v>
      </c>
      <c r="B7421" s="5">
        <f t="shared" si="1059"/>
        <v>142.46</v>
      </c>
    </row>
    <row r="7422" spans="1:2" ht="15.75" customHeight="1" thickBot="1" x14ac:dyDescent="0.3">
      <c r="A7422" s="7">
        <f ca="1"/>
        <v>44312</v>
      </c>
      <c r="B7422" s="6">
        <v>143.31</v>
      </c>
    </row>
    <row r="7423" spans="1:2" ht="15.75" customHeight="1" thickBot="1" x14ac:dyDescent="0.3">
      <c r="A7423" s="7">
        <f ca="1"/>
        <v>44313</v>
      </c>
      <c r="B7423" s="6">
        <v>143.46</v>
      </c>
    </row>
    <row r="7424" spans="1:2" ht="15.75" customHeight="1" thickBot="1" x14ac:dyDescent="0.3">
      <c r="A7424" s="7">
        <f ca="1"/>
        <v>44314</v>
      </c>
      <c r="B7424" s="6">
        <v>142.94999999999999</v>
      </c>
    </row>
    <row r="7425" spans="1:2" ht="15.75" customHeight="1" thickBot="1" x14ac:dyDescent="0.3">
      <c r="A7425" s="7">
        <f ca="1"/>
        <v>44315</v>
      </c>
      <c r="B7425" s="6">
        <v>144.07</v>
      </c>
    </row>
    <row r="7426" spans="1:2" ht="15.75" customHeight="1" thickBot="1" x14ac:dyDescent="0.3">
      <c r="A7426" s="7">
        <f ca="1"/>
        <v>44316</v>
      </c>
      <c r="B7426" s="6">
        <v>142.19999999999999</v>
      </c>
    </row>
    <row r="7427" spans="1:2" ht="15.75" customHeight="1" thickBot="1" x14ac:dyDescent="0.3">
      <c r="A7427" s="7">
        <f ca="1"/>
        <v>44317</v>
      </c>
      <c r="B7427" s="5">
        <f t="shared" ref="B7427:B7428" si="1060">B7426</f>
        <v>142.19999999999999</v>
      </c>
    </row>
    <row r="7428" spans="1:2" ht="15.75" customHeight="1" thickBot="1" x14ac:dyDescent="0.3">
      <c r="A7428" s="7">
        <f ca="1"/>
        <v>44318</v>
      </c>
      <c r="B7428" s="5">
        <f t="shared" si="1060"/>
        <v>142.19999999999999</v>
      </c>
    </row>
    <row r="7429" spans="1:2" ht="15.75" customHeight="1" thickBot="1" x14ac:dyDescent="0.3">
      <c r="A7429" s="7">
        <f ca="1"/>
        <v>44319</v>
      </c>
      <c r="B7429" s="6">
        <v>141.30000000000001</v>
      </c>
    </row>
    <row r="7430" spans="1:2" ht="15.75" customHeight="1" thickBot="1" x14ac:dyDescent="0.3">
      <c r="A7430" s="7">
        <f ca="1"/>
        <v>44320</v>
      </c>
      <c r="B7430" s="6">
        <v>138.09</v>
      </c>
    </row>
    <row r="7431" spans="1:2" ht="15.75" customHeight="1" thickBot="1" x14ac:dyDescent="0.3">
      <c r="A7431" s="7">
        <f ca="1"/>
        <v>44321</v>
      </c>
      <c r="B7431" s="6">
        <v>139.15</v>
      </c>
    </row>
    <row r="7432" spans="1:2" ht="15.75" customHeight="1" thickBot="1" x14ac:dyDescent="0.3">
      <c r="A7432" s="7">
        <f ca="1"/>
        <v>44322</v>
      </c>
      <c r="B7432" s="6">
        <v>140.28</v>
      </c>
    </row>
    <row r="7433" spans="1:2" ht="15.75" customHeight="1" thickBot="1" x14ac:dyDescent="0.3">
      <c r="A7433" s="7">
        <f ca="1"/>
        <v>44323</v>
      </c>
      <c r="B7433" s="6">
        <v>141.91999999999999</v>
      </c>
    </row>
    <row r="7434" spans="1:2" ht="15.75" customHeight="1" thickBot="1" x14ac:dyDescent="0.3">
      <c r="A7434" s="7">
        <f ca="1"/>
        <v>44324</v>
      </c>
      <c r="B7434" s="5">
        <f t="shared" ref="B7434:B7435" si="1061">B7433</f>
        <v>141.91999999999999</v>
      </c>
    </row>
    <row r="7435" spans="1:2" ht="15.75" customHeight="1" thickBot="1" x14ac:dyDescent="0.3">
      <c r="A7435" s="7">
        <f ca="1"/>
        <v>44325</v>
      </c>
      <c r="B7435" s="5">
        <f t="shared" si="1061"/>
        <v>141.91999999999999</v>
      </c>
    </row>
    <row r="7436" spans="1:2" ht="15.75" customHeight="1" thickBot="1" x14ac:dyDescent="0.3">
      <c r="A7436" s="7">
        <f ca="1"/>
        <v>44326</v>
      </c>
      <c r="B7436" s="6">
        <v>140.88999999999999</v>
      </c>
    </row>
    <row r="7437" spans="1:2" ht="15.75" customHeight="1" thickBot="1" x14ac:dyDescent="0.3">
      <c r="A7437" s="7">
        <f ca="1"/>
        <v>44327</v>
      </c>
      <c r="B7437" s="6">
        <v>136.59</v>
      </c>
    </row>
    <row r="7438" spans="1:2" ht="15.75" customHeight="1" thickBot="1" x14ac:dyDescent="0.3">
      <c r="A7438" s="7">
        <f ca="1"/>
        <v>44328</v>
      </c>
      <c r="B7438" s="6">
        <v>136.19</v>
      </c>
    </row>
    <row r="7439" spans="1:2" ht="15.75" customHeight="1" thickBot="1" x14ac:dyDescent="0.3">
      <c r="A7439" s="7">
        <f ca="1"/>
        <v>44329</v>
      </c>
      <c r="B7439" s="6">
        <v>135.56</v>
      </c>
    </row>
    <row r="7440" spans="1:2" ht="15.75" customHeight="1" thickBot="1" x14ac:dyDescent="0.3">
      <c r="A7440" s="7">
        <f ca="1"/>
        <v>44330</v>
      </c>
      <c r="B7440" s="6">
        <v>137.11000000000001</v>
      </c>
    </row>
    <row r="7441" spans="1:2" ht="15.75" customHeight="1" thickBot="1" x14ac:dyDescent="0.3">
      <c r="A7441" s="7">
        <f ca="1"/>
        <v>44331</v>
      </c>
      <c r="B7441" s="5">
        <f t="shared" ref="B7441:B7442" si="1062">B7440</f>
        <v>137.11000000000001</v>
      </c>
    </row>
    <row r="7442" spans="1:2" ht="15.75" customHeight="1" thickBot="1" x14ac:dyDescent="0.3">
      <c r="A7442" s="7">
        <f ca="1"/>
        <v>44332</v>
      </c>
      <c r="B7442" s="5">
        <f t="shared" si="1062"/>
        <v>137.11000000000001</v>
      </c>
    </row>
    <row r="7443" spans="1:2" ht="15.75" customHeight="1" thickBot="1" x14ac:dyDescent="0.3">
      <c r="A7443" s="7">
        <f ca="1"/>
        <v>44333</v>
      </c>
      <c r="B7443" s="6">
        <v>137.54</v>
      </c>
    </row>
    <row r="7444" spans="1:2" ht="15.75" customHeight="1" thickBot="1" x14ac:dyDescent="0.3">
      <c r="A7444" s="7">
        <f ca="1"/>
        <v>44334</v>
      </c>
      <c r="B7444" s="6">
        <v>137.96</v>
      </c>
    </row>
    <row r="7445" spans="1:2" ht="15.75" customHeight="1" thickBot="1" x14ac:dyDescent="0.3">
      <c r="A7445" s="7">
        <f ca="1"/>
        <v>44335</v>
      </c>
      <c r="B7445" s="6">
        <v>136.22</v>
      </c>
    </row>
    <row r="7446" spans="1:2" ht="15.75" customHeight="1" thickBot="1" x14ac:dyDescent="0.3">
      <c r="A7446" s="7">
        <f ca="1"/>
        <v>44336</v>
      </c>
      <c r="B7446" s="6">
        <v>137.94</v>
      </c>
    </row>
    <row r="7447" spans="1:2" ht="15.75" customHeight="1" thickBot="1" x14ac:dyDescent="0.3">
      <c r="A7447" s="7">
        <f ca="1"/>
        <v>44337</v>
      </c>
      <c r="B7447" s="6">
        <v>140.32</v>
      </c>
    </row>
    <row r="7448" spans="1:2" ht="15.75" customHeight="1" thickBot="1" x14ac:dyDescent="0.3">
      <c r="A7448" s="7">
        <f ca="1"/>
        <v>44338</v>
      </c>
      <c r="B7448" s="5">
        <f t="shared" ref="B7448:B7449" si="1063">B7447</f>
        <v>140.32</v>
      </c>
    </row>
    <row r="7449" spans="1:2" ht="15.75" customHeight="1" thickBot="1" x14ac:dyDescent="0.3">
      <c r="A7449" s="7">
        <f ca="1"/>
        <v>44339</v>
      </c>
      <c r="B7449" s="5">
        <f t="shared" si="1063"/>
        <v>140.32</v>
      </c>
    </row>
    <row r="7450" spans="1:2" ht="15.75" customHeight="1" thickBot="1" x14ac:dyDescent="0.3">
      <c r="A7450" s="7">
        <f ca="1"/>
        <v>44340</v>
      </c>
      <c r="B7450" s="6">
        <v>141.18</v>
      </c>
    </row>
    <row r="7451" spans="1:2" ht="15.75" customHeight="1" thickBot="1" x14ac:dyDescent="0.3">
      <c r="A7451" s="7">
        <f ca="1"/>
        <v>44341</v>
      </c>
      <c r="B7451" s="6">
        <v>141.24</v>
      </c>
    </row>
    <row r="7452" spans="1:2" ht="15.75" customHeight="1" thickBot="1" x14ac:dyDescent="0.3">
      <c r="A7452" s="7">
        <f ca="1"/>
        <v>44342</v>
      </c>
      <c r="B7452" s="6">
        <v>141.91</v>
      </c>
    </row>
    <row r="7453" spans="1:2" ht="15.75" customHeight="1" thickBot="1" x14ac:dyDescent="0.3">
      <c r="A7453" s="7">
        <f ca="1"/>
        <v>44343</v>
      </c>
      <c r="B7453" s="6">
        <v>139.71</v>
      </c>
    </row>
    <row r="7454" spans="1:2" ht="15.75" customHeight="1" thickBot="1" x14ac:dyDescent="0.3">
      <c r="A7454" s="7">
        <f ca="1"/>
        <v>44344</v>
      </c>
      <c r="B7454" s="6">
        <v>140</v>
      </c>
    </row>
    <row r="7455" spans="1:2" ht="15.75" customHeight="1" thickBot="1" x14ac:dyDescent="0.3">
      <c r="A7455" s="7">
        <f ca="1"/>
        <v>44345</v>
      </c>
      <c r="B7455" s="5">
        <f t="shared" ref="B7455:B7457" si="1064">B7454</f>
        <v>140</v>
      </c>
    </row>
    <row r="7456" spans="1:2" ht="15.75" customHeight="1" thickBot="1" x14ac:dyDescent="0.3">
      <c r="A7456" s="7">
        <f ca="1"/>
        <v>44346</v>
      </c>
      <c r="B7456" s="5">
        <f t="shared" si="1064"/>
        <v>140</v>
      </c>
    </row>
    <row r="7457" spans="1:2" ht="15.75" customHeight="1" thickBot="1" x14ac:dyDescent="0.3">
      <c r="A7457" s="7">
        <f ca="1"/>
        <v>44347</v>
      </c>
      <c r="B7457" s="5">
        <f t="shared" si="1064"/>
        <v>140</v>
      </c>
    </row>
    <row r="7458" spans="1:2" ht="15.75" customHeight="1" thickBot="1" x14ac:dyDescent="0.3">
      <c r="A7458" s="7">
        <f ca="1"/>
        <v>44348</v>
      </c>
      <c r="B7458" s="6">
        <v>141.19999999999999</v>
      </c>
    </row>
    <row r="7459" spans="1:2" ht="15.75" customHeight="1" thickBot="1" x14ac:dyDescent="0.3">
      <c r="A7459" s="7">
        <f ca="1"/>
        <v>44349</v>
      </c>
      <c r="B7459" s="6">
        <v>138.96</v>
      </c>
    </row>
    <row r="7460" spans="1:2" ht="15.75" customHeight="1" thickBot="1" x14ac:dyDescent="0.3">
      <c r="A7460" s="7">
        <f ca="1"/>
        <v>44350</v>
      </c>
      <c r="B7460" s="6">
        <v>137.88999999999999</v>
      </c>
    </row>
    <row r="7461" spans="1:2" ht="15.75" customHeight="1" thickBot="1" x14ac:dyDescent="0.3">
      <c r="A7461" s="7">
        <f ca="1"/>
        <v>44351</v>
      </c>
      <c r="B7461" s="6">
        <v>139.06</v>
      </c>
    </row>
    <row r="7462" spans="1:2" ht="15.75" customHeight="1" thickBot="1" x14ac:dyDescent="0.3">
      <c r="A7462" s="7">
        <f ca="1"/>
        <v>44352</v>
      </c>
      <c r="B7462" s="5">
        <f t="shared" ref="B7462:B7463" si="1065">B7461</f>
        <v>139.06</v>
      </c>
    </row>
    <row r="7463" spans="1:2" ht="15.75" customHeight="1" thickBot="1" x14ac:dyDescent="0.3">
      <c r="A7463" s="7">
        <f ca="1"/>
        <v>44353</v>
      </c>
      <c r="B7463" s="5">
        <f t="shared" si="1065"/>
        <v>139.06</v>
      </c>
    </row>
    <row r="7464" spans="1:2" ht="15.75" customHeight="1" thickBot="1" x14ac:dyDescent="0.3">
      <c r="A7464" s="7">
        <f ca="1"/>
        <v>44354</v>
      </c>
      <c r="B7464" s="6">
        <v>140.79</v>
      </c>
    </row>
    <row r="7465" spans="1:2" ht="15.75" customHeight="1" thickBot="1" x14ac:dyDescent="0.3">
      <c r="A7465" s="7">
        <f ca="1"/>
        <v>44355</v>
      </c>
      <c r="B7465" s="6">
        <v>142.72999999999999</v>
      </c>
    </row>
    <row r="7466" spans="1:2" ht="15.75" customHeight="1" thickBot="1" x14ac:dyDescent="0.3">
      <c r="A7466" s="7">
        <f ca="1"/>
        <v>44356</v>
      </c>
      <c r="B7466" s="6">
        <v>140.63999999999999</v>
      </c>
    </row>
    <row r="7467" spans="1:2" ht="15.75" customHeight="1" thickBot="1" x14ac:dyDescent="0.3">
      <c r="A7467" s="7">
        <f ca="1"/>
        <v>44357</v>
      </c>
      <c r="B7467" s="6">
        <v>140.21</v>
      </c>
    </row>
    <row r="7468" spans="1:2" ht="15.75" customHeight="1" thickBot="1" x14ac:dyDescent="0.3">
      <c r="A7468" s="7">
        <f ca="1"/>
        <v>44358</v>
      </c>
      <c r="B7468" s="6">
        <v>142.29</v>
      </c>
    </row>
    <row r="7469" spans="1:2" ht="15.75" customHeight="1" thickBot="1" x14ac:dyDescent="0.3">
      <c r="A7469" s="7">
        <f ca="1"/>
        <v>44359</v>
      </c>
      <c r="B7469" s="5">
        <f t="shared" ref="B7469:B7470" si="1066">B7468</f>
        <v>142.29</v>
      </c>
    </row>
    <row r="7470" spans="1:2" ht="15.75" customHeight="1" thickBot="1" x14ac:dyDescent="0.3">
      <c r="A7470" s="7">
        <f ca="1"/>
        <v>44360</v>
      </c>
      <c r="B7470" s="5">
        <f t="shared" si="1066"/>
        <v>142.29</v>
      </c>
    </row>
    <row r="7471" spans="1:2" ht="15.75" customHeight="1" thickBot="1" x14ac:dyDescent="0.3">
      <c r="A7471" s="7">
        <f ca="1"/>
        <v>44361</v>
      </c>
      <c r="B7471" s="6">
        <v>145</v>
      </c>
    </row>
    <row r="7472" spans="1:2" ht="15.75" customHeight="1" thickBot="1" x14ac:dyDescent="0.3">
      <c r="A7472" s="7">
        <f ca="1"/>
        <v>44362</v>
      </c>
      <c r="B7472" s="6">
        <v>146.19999999999999</v>
      </c>
    </row>
    <row r="7473" spans="1:2" ht="15.75" customHeight="1" thickBot="1" x14ac:dyDescent="0.3">
      <c r="A7473" s="7">
        <f ca="1"/>
        <v>44363</v>
      </c>
      <c r="B7473" s="6">
        <v>144.72999999999999</v>
      </c>
    </row>
    <row r="7474" spans="1:2" ht="15.75" customHeight="1" thickBot="1" x14ac:dyDescent="0.3">
      <c r="A7474" s="7">
        <f ca="1"/>
        <v>44364</v>
      </c>
      <c r="B7474" s="6">
        <v>140.63999999999999</v>
      </c>
    </row>
    <row r="7475" spans="1:2" ht="15.75" customHeight="1" thickBot="1" x14ac:dyDescent="0.3">
      <c r="A7475" s="7">
        <f ca="1"/>
        <v>44365</v>
      </c>
      <c r="B7475" s="6">
        <v>140.71</v>
      </c>
    </row>
    <row r="7476" spans="1:2" ht="15.75" customHeight="1" thickBot="1" x14ac:dyDescent="0.3">
      <c r="A7476" s="7">
        <f ca="1"/>
        <v>44366</v>
      </c>
      <c r="B7476" s="5">
        <f t="shared" ref="B7476:B7477" si="1067">B7475</f>
        <v>140.71</v>
      </c>
    </row>
    <row r="7477" spans="1:2" ht="15.75" customHeight="1" thickBot="1" x14ac:dyDescent="0.3">
      <c r="A7477" s="7">
        <f ca="1"/>
        <v>44367</v>
      </c>
      <c r="B7477" s="5">
        <f t="shared" si="1067"/>
        <v>140.71</v>
      </c>
    </row>
    <row r="7478" spans="1:2" ht="15.75" customHeight="1" thickBot="1" x14ac:dyDescent="0.3">
      <c r="A7478" s="7">
        <f ca="1"/>
        <v>44368</v>
      </c>
      <c r="B7478" s="6">
        <v>140.82</v>
      </c>
    </row>
    <row r="7479" spans="1:2" ht="15.75" customHeight="1" thickBot="1" x14ac:dyDescent="0.3">
      <c r="A7479" s="7">
        <f ca="1"/>
        <v>44369</v>
      </c>
      <c r="B7479" s="6">
        <v>140.05000000000001</v>
      </c>
    </row>
    <row r="7480" spans="1:2" ht="15.75" customHeight="1" thickBot="1" x14ac:dyDescent="0.3">
      <c r="A7480" s="7">
        <f ca="1"/>
        <v>44370</v>
      </c>
      <c r="B7480" s="6">
        <v>140.86000000000001</v>
      </c>
    </row>
    <row r="7481" spans="1:2" ht="15.75" customHeight="1" thickBot="1" x14ac:dyDescent="0.3">
      <c r="A7481" s="7">
        <f ca="1"/>
        <v>44371</v>
      </c>
      <c r="B7481" s="6">
        <v>141.66</v>
      </c>
    </row>
    <row r="7482" spans="1:2" ht="15.75" customHeight="1" thickBot="1" x14ac:dyDescent="0.3">
      <c r="A7482" s="7">
        <f ca="1"/>
        <v>44372</v>
      </c>
      <c r="B7482" s="6">
        <v>140.94</v>
      </c>
    </row>
    <row r="7483" spans="1:2" ht="15.75" customHeight="1" thickBot="1" x14ac:dyDescent="0.3">
      <c r="A7483" s="7">
        <f ca="1"/>
        <v>44373</v>
      </c>
      <c r="B7483" s="5">
        <f t="shared" ref="B7483:B7484" si="1068">B7482</f>
        <v>140.94</v>
      </c>
    </row>
    <row r="7484" spans="1:2" ht="15.75" customHeight="1" thickBot="1" x14ac:dyDescent="0.3">
      <c r="A7484" s="7">
        <f ca="1"/>
        <v>44374</v>
      </c>
      <c r="B7484" s="5">
        <f t="shared" si="1068"/>
        <v>140.94</v>
      </c>
    </row>
    <row r="7485" spans="1:2" ht="15.75" customHeight="1" thickBot="1" x14ac:dyDescent="0.3">
      <c r="A7485" s="7">
        <f ca="1"/>
        <v>44375</v>
      </c>
      <c r="B7485" s="6">
        <v>141.41999999999999</v>
      </c>
    </row>
    <row r="7486" spans="1:2" ht="15.75" customHeight="1" thickBot="1" x14ac:dyDescent="0.3">
      <c r="A7486" s="7">
        <f ca="1"/>
        <v>44376</v>
      </c>
      <c r="B7486" s="6">
        <v>142.88</v>
      </c>
    </row>
    <row r="7487" spans="1:2" ht="15.75" customHeight="1" thickBot="1" x14ac:dyDescent="0.3">
      <c r="A7487" s="7">
        <f ca="1"/>
        <v>44377</v>
      </c>
      <c r="B7487" s="6">
        <v>141.52000000000001</v>
      </c>
    </row>
    <row r="7488" spans="1:2" ht="15.75" customHeight="1" thickBot="1" x14ac:dyDescent="0.3">
      <c r="A7488" s="7">
        <f ca="1"/>
        <v>44378</v>
      </c>
      <c r="B7488" s="6">
        <v>140.08000000000001</v>
      </c>
    </row>
    <row r="7489" spans="1:2" ht="15.75" customHeight="1" thickBot="1" x14ac:dyDescent="0.3">
      <c r="A7489" s="7">
        <f ca="1"/>
        <v>44379</v>
      </c>
      <c r="B7489" s="6">
        <v>140.84</v>
      </c>
    </row>
    <row r="7490" spans="1:2" ht="15.75" customHeight="1" thickBot="1" x14ac:dyDescent="0.3">
      <c r="A7490" s="7">
        <f ca="1"/>
        <v>44380</v>
      </c>
      <c r="B7490" s="5">
        <f t="shared" ref="B7490:B7492" si="1069">B7489</f>
        <v>140.84</v>
      </c>
    </row>
    <row r="7491" spans="1:2" ht="15.75" customHeight="1" thickBot="1" x14ac:dyDescent="0.3">
      <c r="A7491" s="7">
        <f ca="1"/>
        <v>44381</v>
      </c>
      <c r="B7491" s="5">
        <f t="shared" si="1069"/>
        <v>140.84</v>
      </c>
    </row>
    <row r="7492" spans="1:2" ht="15.75" customHeight="1" thickBot="1" x14ac:dyDescent="0.3">
      <c r="A7492" s="7">
        <f ca="1"/>
        <v>44382</v>
      </c>
      <c r="B7492" s="5">
        <f t="shared" si="1069"/>
        <v>140.84</v>
      </c>
    </row>
    <row r="7493" spans="1:2" ht="15.75" customHeight="1" thickBot="1" x14ac:dyDescent="0.3">
      <c r="A7493" s="7">
        <f ca="1"/>
        <v>44383</v>
      </c>
      <c r="B7493" s="6">
        <v>142.55000000000001</v>
      </c>
    </row>
    <row r="7494" spans="1:2" ht="15.75" customHeight="1" thickBot="1" x14ac:dyDescent="0.3">
      <c r="A7494" s="7">
        <f ca="1"/>
        <v>44384</v>
      </c>
      <c r="B7494" s="6">
        <v>147.69</v>
      </c>
    </row>
    <row r="7495" spans="1:2" ht="15.75" customHeight="1" thickBot="1" x14ac:dyDescent="0.3">
      <c r="A7495" s="7">
        <f ca="1"/>
        <v>44385</v>
      </c>
      <c r="B7495" s="6">
        <v>144.44</v>
      </c>
    </row>
    <row r="7496" spans="1:2" ht="15.75" customHeight="1" thickBot="1" x14ac:dyDescent="0.3">
      <c r="A7496" s="7">
        <f ca="1"/>
        <v>44386</v>
      </c>
      <c r="B7496" s="6">
        <v>146.53</v>
      </c>
    </row>
    <row r="7497" spans="1:2" ht="15.75" customHeight="1" thickBot="1" x14ac:dyDescent="0.3">
      <c r="A7497" s="7">
        <f ca="1"/>
        <v>44387</v>
      </c>
      <c r="B7497" s="5">
        <f t="shared" ref="B7497:B7498" si="1070">B7496</f>
        <v>146.53</v>
      </c>
    </row>
    <row r="7498" spans="1:2" ht="15.75" customHeight="1" thickBot="1" x14ac:dyDescent="0.3">
      <c r="A7498" s="7">
        <f ca="1"/>
        <v>44388</v>
      </c>
      <c r="B7498" s="5">
        <f t="shared" si="1070"/>
        <v>146.53</v>
      </c>
    </row>
    <row r="7499" spans="1:2" ht="15.75" customHeight="1" thickBot="1" x14ac:dyDescent="0.3">
      <c r="A7499" s="7">
        <f ca="1"/>
        <v>44389</v>
      </c>
      <c r="B7499" s="6">
        <v>148.38</v>
      </c>
    </row>
    <row r="7500" spans="1:2" ht="15.75" customHeight="1" thickBot="1" x14ac:dyDescent="0.3">
      <c r="A7500" s="7">
        <f ca="1"/>
        <v>44390</v>
      </c>
      <c r="B7500" s="6">
        <v>148.77000000000001</v>
      </c>
    </row>
    <row r="7501" spans="1:2" ht="15.75" customHeight="1" thickBot="1" x14ac:dyDescent="0.3">
      <c r="A7501" s="7">
        <f ca="1"/>
        <v>44391</v>
      </c>
      <c r="B7501" s="6">
        <v>150.18</v>
      </c>
    </row>
    <row r="7502" spans="1:2" ht="15.75" customHeight="1" thickBot="1" x14ac:dyDescent="0.3">
      <c r="A7502" s="7">
        <f ca="1"/>
        <v>44392</v>
      </c>
      <c r="B7502" s="6">
        <v>148.32</v>
      </c>
    </row>
    <row r="7503" spans="1:2" ht="15.75" customHeight="1" thickBot="1" x14ac:dyDescent="0.3">
      <c r="A7503" s="7">
        <f ca="1"/>
        <v>44393</v>
      </c>
      <c r="B7503" s="6">
        <v>148.61000000000001</v>
      </c>
    </row>
    <row r="7504" spans="1:2" ht="15.75" customHeight="1" thickBot="1" x14ac:dyDescent="0.3">
      <c r="A7504" s="7">
        <f ca="1"/>
        <v>44394</v>
      </c>
      <c r="B7504" s="5">
        <f t="shared" ref="B7504:B7505" si="1071">B7503</f>
        <v>148.61000000000001</v>
      </c>
    </row>
    <row r="7505" spans="1:2" ht="15.75" customHeight="1" thickBot="1" x14ac:dyDescent="0.3">
      <c r="A7505" s="7">
        <f ca="1"/>
        <v>44395</v>
      </c>
      <c r="B7505" s="5">
        <f t="shared" si="1071"/>
        <v>148.61000000000001</v>
      </c>
    </row>
    <row r="7506" spans="1:2" ht="15.75" customHeight="1" thickBot="1" x14ac:dyDescent="0.3">
      <c r="A7506" s="7">
        <f ca="1"/>
        <v>44396</v>
      </c>
      <c r="B7506" s="6">
        <v>144.83000000000001</v>
      </c>
    </row>
    <row r="7507" spans="1:2" ht="15.75" customHeight="1" thickBot="1" x14ac:dyDescent="0.3">
      <c r="A7507" s="7">
        <f ca="1"/>
        <v>44397</v>
      </c>
      <c r="B7507" s="6">
        <v>142.65</v>
      </c>
    </row>
    <row r="7508" spans="1:2" ht="15.75" customHeight="1" thickBot="1" x14ac:dyDescent="0.3">
      <c r="A7508" s="7">
        <f ca="1"/>
        <v>44398</v>
      </c>
      <c r="B7508" s="6">
        <v>136.33000000000001</v>
      </c>
    </row>
    <row r="7509" spans="1:2" ht="15.75" customHeight="1" thickBot="1" x14ac:dyDescent="0.3">
      <c r="A7509" s="7">
        <f ca="1"/>
        <v>44399</v>
      </c>
      <c r="B7509" s="6">
        <v>138.38999999999999</v>
      </c>
    </row>
    <row r="7510" spans="1:2" ht="15.75" customHeight="1" thickBot="1" x14ac:dyDescent="0.3">
      <c r="A7510" s="7">
        <f ca="1"/>
        <v>44400</v>
      </c>
      <c r="B7510" s="6">
        <v>140.01</v>
      </c>
    </row>
    <row r="7511" spans="1:2" ht="15.75" customHeight="1" thickBot="1" x14ac:dyDescent="0.3">
      <c r="A7511" s="7">
        <f ca="1"/>
        <v>44401</v>
      </c>
      <c r="B7511" s="5">
        <f t="shared" ref="B7511:B7512" si="1072">B7510</f>
        <v>140.01</v>
      </c>
    </row>
    <row r="7512" spans="1:2" ht="15.75" customHeight="1" thickBot="1" x14ac:dyDescent="0.3">
      <c r="A7512" s="7">
        <f ca="1"/>
        <v>44402</v>
      </c>
      <c r="B7512" s="5">
        <f t="shared" si="1072"/>
        <v>140.01</v>
      </c>
    </row>
    <row r="7513" spans="1:2" ht="15.75" customHeight="1" thickBot="1" x14ac:dyDescent="0.3">
      <c r="A7513" s="7">
        <f ca="1"/>
        <v>44403</v>
      </c>
      <c r="B7513" s="6">
        <v>139.09</v>
      </c>
    </row>
    <row r="7514" spans="1:2" ht="15.75" customHeight="1" thickBot="1" x14ac:dyDescent="0.3">
      <c r="A7514" s="7">
        <f ca="1"/>
        <v>44404</v>
      </c>
      <c r="B7514" s="6">
        <v>141.65</v>
      </c>
    </row>
    <row r="7515" spans="1:2" ht="15.75" customHeight="1" thickBot="1" x14ac:dyDescent="0.3">
      <c r="A7515" s="7">
        <f ca="1"/>
        <v>44405</v>
      </c>
      <c r="B7515" s="6">
        <v>141.66</v>
      </c>
    </row>
    <row r="7516" spans="1:2" ht="15.75" customHeight="1" thickBot="1" x14ac:dyDescent="0.3">
      <c r="A7516" s="7">
        <f ca="1"/>
        <v>44406</v>
      </c>
      <c r="B7516" s="6">
        <v>143.65</v>
      </c>
    </row>
    <row r="7517" spans="1:2" ht="15.75" customHeight="1" thickBot="1" x14ac:dyDescent="0.3">
      <c r="A7517" s="7">
        <f ca="1"/>
        <v>44407</v>
      </c>
      <c r="B7517" s="6">
        <v>143.32</v>
      </c>
    </row>
    <row r="7518" spans="1:2" ht="15.75" customHeight="1" thickBot="1" x14ac:dyDescent="0.3">
      <c r="A7518" s="7">
        <f ca="1"/>
        <v>44408</v>
      </c>
      <c r="B7518" s="5">
        <f t="shared" ref="B7518:B7519" si="1073">B7517</f>
        <v>143.32</v>
      </c>
    </row>
    <row r="7519" spans="1:2" ht="15.75" customHeight="1" thickBot="1" x14ac:dyDescent="0.3">
      <c r="A7519" s="7">
        <f ca="1"/>
        <v>44409</v>
      </c>
      <c r="B7519" s="5">
        <f t="shared" si="1073"/>
        <v>143.32</v>
      </c>
    </row>
    <row r="7520" spans="1:2" ht="15.75" customHeight="1" thickBot="1" x14ac:dyDescent="0.3">
      <c r="A7520" s="7">
        <f ca="1"/>
        <v>44410</v>
      </c>
      <c r="B7520" s="6">
        <v>143.05000000000001</v>
      </c>
    </row>
    <row r="7521" spans="1:2" ht="15.75" customHeight="1" thickBot="1" x14ac:dyDescent="0.3">
      <c r="A7521" s="7">
        <f ca="1"/>
        <v>44411</v>
      </c>
      <c r="B7521" s="6">
        <v>144.51</v>
      </c>
    </row>
    <row r="7522" spans="1:2" ht="15.75" customHeight="1" thickBot="1" x14ac:dyDescent="0.3">
      <c r="A7522" s="7">
        <f ca="1"/>
        <v>44412</v>
      </c>
      <c r="B7522" s="6">
        <v>145.88</v>
      </c>
    </row>
    <row r="7523" spans="1:2" ht="15.75" customHeight="1" thickBot="1" x14ac:dyDescent="0.3">
      <c r="A7523" s="7">
        <f ca="1"/>
        <v>44413</v>
      </c>
      <c r="B7523" s="6">
        <v>148.53</v>
      </c>
    </row>
    <row r="7524" spans="1:2" ht="15.75" customHeight="1" thickBot="1" x14ac:dyDescent="0.3">
      <c r="A7524" s="7">
        <f ca="1"/>
        <v>44414</v>
      </c>
      <c r="B7524" s="6">
        <v>146.96</v>
      </c>
    </row>
    <row r="7525" spans="1:2" ht="15.75" customHeight="1" thickBot="1" x14ac:dyDescent="0.3">
      <c r="A7525" s="7">
        <f ca="1"/>
        <v>44415</v>
      </c>
      <c r="B7525" s="5">
        <f t="shared" ref="B7525:B7526" si="1074">B7524</f>
        <v>146.96</v>
      </c>
    </row>
    <row r="7526" spans="1:2" ht="15.75" customHeight="1" thickBot="1" x14ac:dyDescent="0.3">
      <c r="A7526" s="7">
        <f ca="1"/>
        <v>44416</v>
      </c>
      <c r="B7526" s="5">
        <f t="shared" si="1074"/>
        <v>146.96</v>
      </c>
    </row>
    <row r="7527" spans="1:2" ht="15.75" customHeight="1" thickBot="1" x14ac:dyDescent="0.3">
      <c r="A7527" s="7">
        <f ca="1"/>
        <v>44417</v>
      </c>
      <c r="B7527" s="6">
        <v>146.4</v>
      </c>
    </row>
    <row r="7528" spans="1:2" ht="15.75" customHeight="1" thickBot="1" x14ac:dyDescent="0.3">
      <c r="A7528" s="7">
        <f ca="1"/>
        <v>44418</v>
      </c>
      <c r="B7528" s="6">
        <v>147.26</v>
      </c>
    </row>
    <row r="7529" spans="1:2" ht="15.75" customHeight="1" thickBot="1" x14ac:dyDescent="0.3">
      <c r="A7529" s="7">
        <f ca="1"/>
        <v>44419</v>
      </c>
      <c r="B7529" s="6">
        <v>146.44999999999999</v>
      </c>
    </row>
    <row r="7530" spans="1:2" ht="15.75" customHeight="1" thickBot="1" x14ac:dyDescent="0.3">
      <c r="A7530" s="7">
        <f ca="1"/>
        <v>44420</v>
      </c>
      <c r="B7530" s="6">
        <v>146.41999999999999</v>
      </c>
    </row>
    <row r="7531" spans="1:2" ht="15.75" customHeight="1" thickBot="1" x14ac:dyDescent="0.3">
      <c r="A7531" s="7">
        <f ca="1"/>
        <v>44421</v>
      </c>
      <c r="B7531" s="6">
        <v>147.77000000000001</v>
      </c>
    </row>
    <row r="7532" spans="1:2" ht="15.75" customHeight="1" thickBot="1" x14ac:dyDescent="0.3">
      <c r="A7532" s="7">
        <f ca="1"/>
        <v>44422</v>
      </c>
      <c r="B7532" s="5">
        <f t="shared" ref="B7532:B7533" si="1075">B7531</f>
        <v>147.77000000000001</v>
      </c>
    </row>
    <row r="7533" spans="1:2" ht="15.75" customHeight="1" thickBot="1" x14ac:dyDescent="0.3">
      <c r="A7533" s="7">
        <f ca="1"/>
        <v>44423</v>
      </c>
      <c r="B7533" s="5">
        <f t="shared" si="1075"/>
        <v>147.77000000000001</v>
      </c>
    </row>
    <row r="7534" spans="1:2" ht="15.75" customHeight="1" thickBot="1" x14ac:dyDescent="0.3">
      <c r="A7534" s="7">
        <f ca="1"/>
        <v>44424</v>
      </c>
      <c r="B7534" s="6">
        <v>147.44999999999999</v>
      </c>
    </row>
    <row r="7535" spans="1:2" ht="15.75" customHeight="1" thickBot="1" x14ac:dyDescent="0.3">
      <c r="A7535" s="7">
        <f ca="1"/>
        <v>44425</v>
      </c>
      <c r="B7535" s="6">
        <v>147.80000000000001</v>
      </c>
    </row>
    <row r="7536" spans="1:2" ht="15.75" customHeight="1" thickBot="1" x14ac:dyDescent="0.3">
      <c r="A7536" s="7">
        <f ca="1"/>
        <v>44426</v>
      </c>
      <c r="B7536" s="6">
        <v>148.71</v>
      </c>
    </row>
    <row r="7537" spans="1:2" ht="15.75" customHeight="1" thickBot="1" x14ac:dyDescent="0.3">
      <c r="A7537" s="7">
        <f ca="1"/>
        <v>44427</v>
      </c>
      <c r="B7537" s="6">
        <v>145.56</v>
      </c>
    </row>
    <row r="7538" spans="1:2" ht="15.75" customHeight="1" thickBot="1" x14ac:dyDescent="0.3">
      <c r="A7538" s="7">
        <f ca="1"/>
        <v>44428</v>
      </c>
      <c r="B7538" s="6">
        <v>147.43</v>
      </c>
    </row>
    <row r="7539" spans="1:2" ht="15.75" customHeight="1" thickBot="1" x14ac:dyDescent="0.3">
      <c r="A7539" s="7">
        <f ca="1"/>
        <v>44429</v>
      </c>
      <c r="B7539" s="5">
        <f t="shared" ref="B7539:B7540" si="1076">B7538</f>
        <v>147.43</v>
      </c>
    </row>
    <row r="7540" spans="1:2" ht="15.75" customHeight="1" thickBot="1" x14ac:dyDescent="0.3">
      <c r="A7540" s="7">
        <f ca="1"/>
        <v>44430</v>
      </c>
      <c r="B7540" s="5">
        <f t="shared" si="1076"/>
        <v>147.43</v>
      </c>
    </row>
    <row r="7541" spans="1:2" ht="15.75" customHeight="1" thickBot="1" x14ac:dyDescent="0.3">
      <c r="A7541" s="7">
        <f ca="1"/>
        <v>44431</v>
      </c>
      <c r="B7541" s="6">
        <v>147.72999999999999</v>
      </c>
    </row>
    <row r="7542" spans="1:2" ht="15.75" customHeight="1" thickBot="1" x14ac:dyDescent="0.3">
      <c r="A7542" s="7">
        <f ca="1"/>
        <v>44432</v>
      </c>
      <c r="B7542" s="6">
        <v>147.85</v>
      </c>
    </row>
    <row r="7543" spans="1:2" ht="15.75" customHeight="1" thickBot="1" x14ac:dyDescent="0.3">
      <c r="A7543" s="7">
        <f ca="1"/>
        <v>44433</v>
      </c>
      <c r="B7543" s="6">
        <v>147.43</v>
      </c>
    </row>
    <row r="7544" spans="1:2" ht="15.75" customHeight="1" thickBot="1" x14ac:dyDescent="0.3">
      <c r="A7544" s="7">
        <f ca="1"/>
        <v>44434</v>
      </c>
      <c r="B7544" s="6">
        <v>147.26</v>
      </c>
    </row>
    <row r="7545" spans="1:2" ht="15.75" customHeight="1" thickBot="1" x14ac:dyDescent="0.3">
      <c r="A7545" s="7">
        <f ca="1"/>
        <v>44435</v>
      </c>
      <c r="B7545" s="6">
        <v>147.55000000000001</v>
      </c>
    </row>
    <row r="7546" spans="1:2" ht="15.75" customHeight="1" thickBot="1" x14ac:dyDescent="0.3">
      <c r="A7546" s="7">
        <f ca="1"/>
        <v>44436</v>
      </c>
      <c r="B7546" s="5">
        <f t="shared" ref="B7546:B7547" si="1077">B7545</f>
        <v>147.55000000000001</v>
      </c>
    </row>
    <row r="7547" spans="1:2" ht="15.75" customHeight="1" thickBot="1" x14ac:dyDescent="0.3">
      <c r="A7547" s="7">
        <f ca="1"/>
        <v>44437</v>
      </c>
      <c r="B7547" s="5">
        <f t="shared" si="1077"/>
        <v>147.55000000000001</v>
      </c>
    </row>
    <row r="7548" spans="1:2" ht="15.75" customHeight="1" thickBot="1" x14ac:dyDescent="0.3">
      <c r="A7548" s="7">
        <f ca="1"/>
        <v>44438</v>
      </c>
      <c r="B7548" s="6">
        <v>148.79</v>
      </c>
    </row>
    <row r="7549" spans="1:2" ht="15.75" customHeight="1" thickBot="1" x14ac:dyDescent="0.3">
      <c r="A7549" s="7">
        <f ca="1"/>
        <v>44439</v>
      </c>
      <c r="B7549" s="6">
        <v>150.36000000000001</v>
      </c>
    </row>
    <row r="7550" spans="1:2" ht="15.75" customHeight="1" thickBot="1" x14ac:dyDescent="0.3">
      <c r="A7550" s="7">
        <f ca="1"/>
        <v>44440</v>
      </c>
      <c r="B7550" s="6">
        <v>150.78</v>
      </c>
    </row>
    <row r="7551" spans="1:2" ht="15.75" customHeight="1" thickBot="1" x14ac:dyDescent="0.3">
      <c r="A7551" s="7">
        <f ca="1"/>
        <v>44441</v>
      </c>
      <c r="B7551" s="6">
        <v>149.57</v>
      </c>
    </row>
    <row r="7552" spans="1:2" ht="15.75" customHeight="1" thickBot="1" x14ac:dyDescent="0.3">
      <c r="A7552" s="7">
        <f ca="1"/>
        <v>44442</v>
      </c>
      <c r="B7552" s="6">
        <v>148.16</v>
      </c>
    </row>
    <row r="7553" spans="1:2" ht="15.75" customHeight="1" thickBot="1" x14ac:dyDescent="0.3">
      <c r="A7553" s="7">
        <f ca="1"/>
        <v>44443</v>
      </c>
      <c r="B7553" s="5">
        <f t="shared" ref="B7553:B7555" si="1078">B7552</f>
        <v>148.16</v>
      </c>
    </row>
    <row r="7554" spans="1:2" ht="15.75" customHeight="1" thickBot="1" x14ac:dyDescent="0.3">
      <c r="A7554" s="7">
        <f ca="1"/>
        <v>44444</v>
      </c>
      <c r="B7554" s="5">
        <f t="shared" si="1078"/>
        <v>148.16</v>
      </c>
    </row>
    <row r="7555" spans="1:2" ht="15.75" customHeight="1" thickBot="1" x14ac:dyDescent="0.3">
      <c r="A7555" s="7">
        <f ca="1"/>
        <v>44445</v>
      </c>
      <c r="B7555" s="5">
        <f t="shared" si="1078"/>
        <v>148.16</v>
      </c>
    </row>
    <row r="7556" spans="1:2" ht="15.75" customHeight="1" thickBot="1" x14ac:dyDescent="0.3">
      <c r="A7556" s="7">
        <f ca="1"/>
        <v>44446</v>
      </c>
      <c r="B7556" s="6">
        <v>150.72</v>
      </c>
    </row>
    <row r="7557" spans="1:2" ht="15.75" customHeight="1" thickBot="1" x14ac:dyDescent="0.3">
      <c r="A7557" s="7">
        <f ca="1"/>
        <v>44447</v>
      </c>
      <c r="B7557" s="6">
        <v>147.26</v>
      </c>
    </row>
    <row r="7558" spans="1:2" ht="15.75" customHeight="1" thickBot="1" x14ac:dyDescent="0.3">
      <c r="A7558" s="7">
        <f ca="1"/>
        <v>44448</v>
      </c>
      <c r="B7558" s="6">
        <v>146.52000000000001</v>
      </c>
    </row>
    <row r="7559" spans="1:2" ht="15.75" customHeight="1" thickBot="1" x14ac:dyDescent="0.3">
      <c r="A7559" s="7">
        <f ca="1"/>
        <v>44449</v>
      </c>
      <c r="B7559" s="6">
        <v>146.66999999999999</v>
      </c>
    </row>
    <row r="7560" spans="1:2" ht="15.75" customHeight="1" thickBot="1" x14ac:dyDescent="0.3">
      <c r="A7560" s="7">
        <f ca="1"/>
        <v>44450</v>
      </c>
      <c r="B7560" s="5">
        <f t="shared" ref="B7560:B7561" si="1079">B7559</f>
        <v>146.66999999999999</v>
      </c>
    </row>
    <row r="7561" spans="1:2" ht="15.75" customHeight="1" thickBot="1" x14ac:dyDescent="0.3">
      <c r="A7561" s="7">
        <f ca="1"/>
        <v>44451</v>
      </c>
      <c r="B7561" s="5">
        <f t="shared" si="1079"/>
        <v>146.66999999999999</v>
      </c>
    </row>
    <row r="7562" spans="1:2" ht="15.75" customHeight="1" thickBot="1" x14ac:dyDescent="0.3">
      <c r="A7562" s="7">
        <f ca="1"/>
        <v>44452</v>
      </c>
      <c r="B7562" s="6">
        <v>145.93</v>
      </c>
    </row>
    <row r="7563" spans="1:2" ht="15.75" customHeight="1" thickBot="1" x14ac:dyDescent="0.3">
      <c r="A7563" s="7">
        <f ca="1"/>
        <v>44453</v>
      </c>
      <c r="B7563" s="6">
        <v>145.09</v>
      </c>
    </row>
    <row r="7564" spans="1:2" ht="15.75" customHeight="1" thickBot="1" x14ac:dyDescent="0.3">
      <c r="A7564" s="7">
        <f ca="1"/>
        <v>44454</v>
      </c>
      <c r="B7564" s="6">
        <v>145.55000000000001</v>
      </c>
    </row>
    <row r="7565" spans="1:2" ht="15.75" customHeight="1" thickBot="1" x14ac:dyDescent="0.3">
      <c r="A7565" s="7">
        <f ca="1"/>
        <v>44455</v>
      </c>
      <c r="B7565" s="6">
        <v>144.72999999999999</v>
      </c>
    </row>
    <row r="7566" spans="1:2" ht="15.75" customHeight="1" thickBot="1" x14ac:dyDescent="0.3">
      <c r="A7566" s="7">
        <f ca="1"/>
        <v>44456</v>
      </c>
      <c r="B7566" s="6">
        <v>145.06</v>
      </c>
    </row>
    <row r="7567" spans="1:2" ht="15.75" customHeight="1" thickBot="1" x14ac:dyDescent="0.3">
      <c r="A7567" s="7">
        <f ca="1"/>
        <v>44457</v>
      </c>
      <c r="B7567" s="5">
        <f t="shared" ref="B7567:B7568" si="1080">B7566</f>
        <v>145.06</v>
      </c>
    </row>
    <row r="7568" spans="1:2" ht="15.75" customHeight="1" thickBot="1" x14ac:dyDescent="0.3">
      <c r="A7568" s="7">
        <f ca="1"/>
        <v>44458</v>
      </c>
      <c r="B7568" s="5">
        <f t="shared" si="1080"/>
        <v>145.06</v>
      </c>
    </row>
    <row r="7569" spans="1:2" ht="15.75" customHeight="1" thickBot="1" x14ac:dyDescent="0.3">
      <c r="A7569" s="7">
        <f ca="1"/>
        <v>44459</v>
      </c>
      <c r="B7569" s="6">
        <v>139.41</v>
      </c>
    </row>
    <row r="7570" spans="1:2" ht="15.75" customHeight="1" thickBot="1" x14ac:dyDescent="0.3">
      <c r="A7570" s="7">
        <f ca="1"/>
        <v>44460</v>
      </c>
      <c r="B7570" s="6">
        <v>142.02000000000001</v>
      </c>
    </row>
    <row r="7571" spans="1:2" ht="15.75" customHeight="1" thickBot="1" x14ac:dyDescent="0.3">
      <c r="A7571" s="7">
        <f ca="1"/>
        <v>44461</v>
      </c>
      <c r="B7571" s="6">
        <v>141.78</v>
      </c>
    </row>
    <row r="7572" spans="1:2" ht="15.75" customHeight="1" thickBot="1" x14ac:dyDescent="0.3">
      <c r="A7572" s="7">
        <f ca="1"/>
        <v>44462</v>
      </c>
      <c r="B7572" s="6">
        <v>143.88</v>
      </c>
    </row>
    <row r="7573" spans="1:2" ht="15.75" customHeight="1" thickBot="1" x14ac:dyDescent="0.3">
      <c r="A7573" s="7">
        <f ca="1"/>
        <v>44463</v>
      </c>
      <c r="B7573" s="6">
        <v>142.24</v>
      </c>
    </row>
    <row r="7574" spans="1:2" ht="15.75" customHeight="1" thickBot="1" x14ac:dyDescent="0.3">
      <c r="A7574" s="7">
        <f ca="1"/>
        <v>44464</v>
      </c>
      <c r="B7574" s="5">
        <f t="shared" ref="B7574:B7575" si="1081">B7573</f>
        <v>142.24</v>
      </c>
    </row>
    <row r="7575" spans="1:2" ht="15.75" customHeight="1" thickBot="1" x14ac:dyDescent="0.3">
      <c r="A7575" s="7">
        <f ca="1"/>
        <v>44465</v>
      </c>
      <c r="B7575" s="5">
        <f t="shared" si="1081"/>
        <v>142.24</v>
      </c>
    </row>
    <row r="7576" spans="1:2" ht="15.75" customHeight="1" thickBot="1" x14ac:dyDescent="0.3">
      <c r="A7576" s="7">
        <f ca="1"/>
        <v>44466</v>
      </c>
      <c r="B7576" s="6">
        <v>142.13999999999999</v>
      </c>
    </row>
    <row r="7577" spans="1:2" ht="15.75" customHeight="1" thickBot="1" x14ac:dyDescent="0.3">
      <c r="A7577" s="7">
        <f ca="1"/>
        <v>44467</v>
      </c>
      <c r="B7577" s="6">
        <v>139.05000000000001</v>
      </c>
    </row>
    <row r="7578" spans="1:2" ht="15.75" customHeight="1" thickBot="1" x14ac:dyDescent="0.3">
      <c r="A7578" s="7">
        <f ca="1"/>
        <v>44468</v>
      </c>
      <c r="B7578" s="6">
        <v>137.53</v>
      </c>
    </row>
    <row r="7579" spans="1:2" ht="15.75" customHeight="1" thickBot="1" x14ac:dyDescent="0.3">
      <c r="A7579" s="7">
        <f ca="1"/>
        <v>44469</v>
      </c>
      <c r="B7579" s="6">
        <v>135.84</v>
      </c>
    </row>
    <row r="7580" spans="1:2" ht="15.75" customHeight="1" thickBot="1" x14ac:dyDescent="0.3">
      <c r="A7580" s="7">
        <f ca="1"/>
        <v>44470</v>
      </c>
      <c r="B7580" s="6">
        <v>136.1</v>
      </c>
    </row>
    <row r="7581" spans="1:2" ht="15.75" customHeight="1" thickBot="1" x14ac:dyDescent="0.3">
      <c r="A7581" s="7">
        <f ca="1"/>
        <v>44471</v>
      </c>
      <c r="B7581" s="5">
        <f t="shared" ref="B7581:B7582" si="1082">B7580</f>
        <v>136.1</v>
      </c>
    </row>
    <row r="7582" spans="1:2" ht="15.75" customHeight="1" thickBot="1" x14ac:dyDescent="0.3">
      <c r="A7582" s="7">
        <f ca="1"/>
        <v>44472</v>
      </c>
      <c r="B7582" s="5">
        <f t="shared" si="1082"/>
        <v>136.1</v>
      </c>
    </row>
    <row r="7583" spans="1:2" ht="15.75" customHeight="1" thickBot="1" x14ac:dyDescent="0.3">
      <c r="A7583" s="7">
        <f ca="1"/>
        <v>44473</v>
      </c>
      <c r="B7583" s="6">
        <v>135.16999999999999</v>
      </c>
    </row>
    <row r="7584" spans="1:2" ht="15.75" customHeight="1" thickBot="1" x14ac:dyDescent="0.3">
      <c r="A7584" s="7">
        <f ca="1"/>
        <v>44474</v>
      </c>
      <c r="B7584" s="6">
        <v>133.35</v>
      </c>
    </row>
    <row r="7585" spans="1:2" ht="15.75" customHeight="1" thickBot="1" x14ac:dyDescent="0.3">
      <c r="A7585" s="7">
        <f ca="1"/>
        <v>44475</v>
      </c>
      <c r="B7585" s="6">
        <v>133.16</v>
      </c>
    </row>
    <row r="7586" spans="1:2" ht="15.75" customHeight="1" thickBot="1" x14ac:dyDescent="0.3">
      <c r="A7586" s="7">
        <f ca="1"/>
        <v>44476</v>
      </c>
      <c r="B7586" s="6">
        <v>135.54</v>
      </c>
    </row>
    <row r="7587" spans="1:2" ht="15.75" customHeight="1" thickBot="1" x14ac:dyDescent="0.3">
      <c r="A7587" s="7">
        <f ca="1"/>
        <v>44477</v>
      </c>
      <c r="B7587" s="6">
        <v>136.74</v>
      </c>
    </row>
    <row r="7588" spans="1:2" ht="15.75" customHeight="1" thickBot="1" x14ac:dyDescent="0.3">
      <c r="A7588" s="7">
        <f ca="1"/>
        <v>44478</v>
      </c>
      <c r="B7588" s="5">
        <f t="shared" ref="B7588:B7589" si="1083">B7587</f>
        <v>136.74</v>
      </c>
    </row>
    <row r="7589" spans="1:2" ht="15.75" customHeight="1" thickBot="1" x14ac:dyDescent="0.3">
      <c r="A7589" s="7">
        <f ca="1"/>
        <v>44479</v>
      </c>
      <c r="B7589" s="5">
        <f t="shared" si="1083"/>
        <v>136.74</v>
      </c>
    </row>
    <row r="7590" spans="1:2" ht="15.75" customHeight="1" thickBot="1" x14ac:dyDescent="0.3">
      <c r="A7590" s="7">
        <f ca="1"/>
        <v>44480</v>
      </c>
      <c r="B7590" s="6">
        <v>135.26</v>
      </c>
    </row>
    <row r="7591" spans="1:2" ht="15.75" customHeight="1" thickBot="1" x14ac:dyDescent="0.3">
      <c r="A7591" s="7">
        <f ca="1"/>
        <v>44481</v>
      </c>
      <c r="B7591" s="6">
        <v>135.43</v>
      </c>
    </row>
    <row r="7592" spans="1:2" ht="15.75" customHeight="1" thickBot="1" x14ac:dyDescent="0.3">
      <c r="A7592" s="7">
        <f ca="1"/>
        <v>44482</v>
      </c>
      <c r="B7592" s="6">
        <v>141.04</v>
      </c>
    </row>
    <row r="7593" spans="1:2" ht="15.75" customHeight="1" thickBot="1" x14ac:dyDescent="0.3">
      <c r="A7593" s="7">
        <f ca="1"/>
        <v>44483</v>
      </c>
      <c r="B7593" s="6">
        <v>143.84</v>
      </c>
    </row>
    <row r="7594" spans="1:2" ht="15.75" customHeight="1" thickBot="1" x14ac:dyDescent="0.3">
      <c r="A7594" s="7">
        <f ca="1"/>
        <v>44484</v>
      </c>
      <c r="B7594" s="6">
        <v>145.80000000000001</v>
      </c>
    </row>
    <row r="7595" spans="1:2" ht="15.75" customHeight="1" thickBot="1" x14ac:dyDescent="0.3">
      <c r="A7595" s="7">
        <f ca="1"/>
        <v>44485</v>
      </c>
      <c r="B7595" s="5">
        <f t="shared" ref="B7595:B7596" si="1084">B7594</f>
        <v>145.80000000000001</v>
      </c>
    </row>
    <row r="7596" spans="1:2" ht="15.75" customHeight="1" thickBot="1" x14ac:dyDescent="0.3">
      <c r="A7596" s="7">
        <f ca="1"/>
        <v>44486</v>
      </c>
      <c r="B7596" s="5">
        <f t="shared" si="1084"/>
        <v>145.80000000000001</v>
      </c>
    </row>
    <row r="7597" spans="1:2" ht="15.75" customHeight="1" thickBot="1" x14ac:dyDescent="0.3">
      <c r="A7597" s="7">
        <f ca="1"/>
        <v>44487</v>
      </c>
      <c r="B7597" s="6">
        <v>145.34</v>
      </c>
    </row>
    <row r="7598" spans="1:2" ht="15.75" customHeight="1" thickBot="1" x14ac:dyDescent="0.3">
      <c r="A7598" s="7">
        <f ca="1"/>
        <v>44488</v>
      </c>
      <c r="B7598" s="6">
        <v>145.56</v>
      </c>
    </row>
    <row r="7599" spans="1:2" ht="15.75" customHeight="1" thickBot="1" x14ac:dyDescent="0.3">
      <c r="A7599" s="7">
        <f ca="1"/>
        <v>44489</v>
      </c>
      <c r="B7599" s="6">
        <v>145.27000000000001</v>
      </c>
    </row>
    <row r="7600" spans="1:2" ht="15.75" customHeight="1" thickBot="1" x14ac:dyDescent="0.3">
      <c r="A7600" s="7">
        <f ca="1"/>
        <v>44490</v>
      </c>
      <c r="B7600" s="6">
        <v>139.22999999999999</v>
      </c>
    </row>
    <row r="7601" spans="1:2" ht="15.75" customHeight="1" thickBot="1" x14ac:dyDescent="0.3">
      <c r="A7601" s="7">
        <f ca="1"/>
        <v>44491</v>
      </c>
      <c r="B7601" s="6">
        <v>141.61000000000001</v>
      </c>
    </row>
    <row r="7602" spans="1:2" ht="15.75" customHeight="1" thickBot="1" x14ac:dyDescent="0.3">
      <c r="A7602" s="7">
        <f ca="1"/>
        <v>44492</v>
      </c>
      <c r="B7602" s="5">
        <f t="shared" ref="B7602:B7603" si="1085">B7601</f>
        <v>141.61000000000001</v>
      </c>
    </row>
    <row r="7603" spans="1:2" ht="15.75" customHeight="1" thickBot="1" x14ac:dyDescent="0.3">
      <c r="A7603" s="7">
        <f ca="1"/>
        <v>44493</v>
      </c>
      <c r="B7603" s="5">
        <f t="shared" si="1085"/>
        <v>141.61000000000001</v>
      </c>
    </row>
    <row r="7604" spans="1:2" ht="15.75" customHeight="1" thickBot="1" x14ac:dyDescent="0.3">
      <c r="A7604" s="7">
        <f ca="1"/>
        <v>44494</v>
      </c>
      <c r="B7604" s="6">
        <v>143.80000000000001</v>
      </c>
    </row>
    <row r="7605" spans="1:2" ht="15.75" customHeight="1" thickBot="1" x14ac:dyDescent="0.3">
      <c r="A7605" s="7">
        <f ca="1"/>
        <v>44495</v>
      </c>
      <c r="B7605" s="6">
        <v>145.9</v>
      </c>
    </row>
    <row r="7606" spans="1:2" ht="15.75" customHeight="1" thickBot="1" x14ac:dyDescent="0.3">
      <c r="A7606" s="7">
        <f ca="1"/>
        <v>44496</v>
      </c>
      <c r="B7606" s="6">
        <v>144.63999999999999</v>
      </c>
    </row>
    <row r="7607" spans="1:2" ht="15.75" customHeight="1" thickBot="1" x14ac:dyDescent="0.3">
      <c r="A7607" s="7">
        <f ca="1"/>
        <v>44497</v>
      </c>
      <c r="B7607" s="6">
        <v>146.84</v>
      </c>
    </row>
    <row r="7608" spans="1:2" ht="15.75" customHeight="1" thickBot="1" x14ac:dyDescent="0.3">
      <c r="A7608" s="7">
        <f ca="1"/>
        <v>44498</v>
      </c>
      <c r="B7608" s="6">
        <v>144.5</v>
      </c>
    </row>
    <row r="7609" spans="1:2" ht="15.75" customHeight="1" thickBot="1" x14ac:dyDescent="0.3">
      <c r="A7609" s="7">
        <f ca="1"/>
        <v>44499</v>
      </c>
      <c r="B7609" s="5">
        <f t="shared" ref="B7609:B7610" si="1086">B7608</f>
        <v>144.5</v>
      </c>
    </row>
    <row r="7610" spans="1:2" ht="15.75" customHeight="1" thickBot="1" x14ac:dyDescent="0.3">
      <c r="A7610" s="7">
        <f ca="1"/>
        <v>44500</v>
      </c>
      <c r="B7610" s="5">
        <f t="shared" si="1086"/>
        <v>144.5</v>
      </c>
    </row>
    <row r="7611" spans="1:2" ht="15.75" customHeight="1" thickBot="1" x14ac:dyDescent="0.3">
      <c r="A7611" s="7">
        <f ca="1"/>
        <v>44501</v>
      </c>
      <c r="B7611" s="6">
        <v>145.65</v>
      </c>
    </row>
    <row r="7612" spans="1:2" ht="15.75" customHeight="1" thickBot="1" x14ac:dyDescent="0.3">
      <c r="A7612" s="7">
        <f ca="1"/>
        <v>44502</v>
      </c>
      <c r="B7612" s="6">
        <v>147.16</v>
      </c>
    </row>
    <row r="7613" spans="1:2" ht="15.75" customHeight="1" thickBot="1" x14ac:dyDescent="0.3">
      <c r="A7613" s="7">
        <f ca="1"/>
        <v>44503</v>
      </c>
      <c r="B7613" s="6">
        <v>147.81</v>
      </c>
    </row>
    <row r="7614" spans="1:2" ht="15.75" customHeight="1" thickBot="1" x14ac:dyDescent="0.3">
      <c r="A7614" s="7">
        <f ca="1"/>
        <v>44504</v>
      </c>
      <c r="B7614" s="6">
        <v>148.46</v>
      </c>
    </row>
    <row r="7615" spans="1:2" ht="15.75" customHeight="1" thickBot="1" x14ac:dyDescent="0.3">
      <c r="A7615" s="7">
        <f ca="1"/>
        <v>44505</v>
      </c>
      <c r="B7615" s="6">
        <v>149.28</v>
      </c>
    </row>
    <row r="7616" spans="1:2" ht="15.75" customHeight="1" thickBot="1" x14ac:dyDescent="0.3">
      <c r="A7616" s="7">
        <f ca="1"/>
        <v>44506</v>
      </c>
      <c r="B7616" s="5">
        <f t="shared" ref="B7616:B7617" si="1087">B7615</f>
        <v>149.28</v>
      </c>
    </row>
    <row r="7617" spans="1:2" ht="15.75" customHeight="1" thickBot="1" x14ac:dyDescent="0.3">
      <c r="A7617" s="7">
        <f ca="1"/>
        <v>44507</v>
      </c>
      <c r="B7617" s="5">
        <f t="shared" si="1087"/>
        <v>149.28</v>
      </c>
    </row>
    <row r="7618" spans="1:2" ht="15.75" customHeight="1" thickBot="1" x14ac:dyDescent="0.3">
      <c r="A7618" s="7">
        <f ca="1"/>
        <v>44508</v>
      </c>
      <c r="B7618" s="6">
        <v>148.91</v>
      </c>
    </row>
    <row r="7619" spans="1:2" ht="15.75" customHeight="1" thickBot="1" x14ac:dyDescent="0.3">
      <c r="A7619" s="7">
        <f ca="1"/>
        <v>44509</v>
      </c>
      <c r="B7619" s="6">
        <v>149.30000000000001</v>
      </c>
    </row>
    <row r="7620" spans="1:2" ht="15.75" customHeight="1" thickBot="1" x14ac:dyDescent="0.3">
      <c r="A7620" s="7">
        <f ca="1"/>
        <v>44510</v>
      </c>
      <c r="B7620" s="6">
        <v>147.12</v>
      </c>
    </row>
    <row r="7621" spans="1:2" ht="15.75" customHeight="1" thickBot="1" x14ac:dyDescent="0.3">
      <c r="A7621" s="7">
        <f ca="1"/>
        <v>44511</v>
      </c>
      <c r="B7621" s="6">
        <v>145.72</v>
      </c>
    </row>
    <row r="7622" spans="1:2" ht="15.75" customHeight="1" thickBot="1" x14ac:dyDescent="0.3">
      <c r="A7622" s="7">
        <f ca="1"/>
        <v>44512</v>
      </c>
      <c r="B7622" s="6">
        <v>143.97</v>
      </c>
    </row>
    <row r="7623" spans="1:2" ht="15.75" customHeight="1" thickBot="1" x14ac:dyDescent="0.3">
      <c r="A7623" s="7">
        <f ca="1"/>
        <v>44513</v>
      </c>
      <c r="B7623" s="5">
        <f t="shared" ref="B7623:B7624" si="1088">B7622</f>
        <v>143.97</v>
      </c>
    </row>
    <row r="7624" spans="1:2" ht="15.75" customHeight="1" thickBot="1" x14ac:dyDescent="0.3">
      <c r="A7624" s="7">
        <f ca="1"/>
        <v>44514</v>
      </c>
      <c r="B7624" s="5">
        <f t="shared" si="1088"/>
        <v>143.97</v>
      </c>
    </row>
    <row r="7625" spans="1:2" ht="15.75" customHeight="1" thickBot="1" x14ac:dyDescent="0.3">
      <c r="A7625" s="7">
        <f ca="1"/>
        <v>44515</v>
      </c>
      <c r="B7625" s="6">
        <v>142.35</v>
      </c>
    </row>
    <row r="7626" spans="1:2" ht="15.75" customHeight="1" thickBot="1" x14ac:dyDescent="0.3">
      <c r="A7626" s="7">
        <f ca="1"/>
        <v>44516</v>
      </c>
      <c r="B7626" s="6">
        <v>141.53</v>
      </c>
    </row>
    <row r="7627" spans="1:2" ht="15.75" customHeight="1" thickBot="1" x14ac:dyDescent="0.3">
      <c r="A7627" s="7">
        <f ca="1"/>
        <v>44517</v>
      </c>
      <c r="B7627" s="6">
        <v>142.22</v>
      </c>
    </row>
    <row r="7628" spans="1:2" ht="15.75" customHeight="1" thickBot="1" x14ac:dyDescent="0.3">
      <c r="A7628" s="7">
        <f ca="1"/>
        <v>44518</v>
      </c>
      <c r="B7628" s="6">
        <v>140.76</v>
      </c>
    </row>
    <row r="7629" spans="1:2" ht="15.75" customHeight="1" thickBot="1" x14ac:dyDescent="0.3">
      <c r="A7629" s="7">
        <f ca="1"/>
        <v>44519</v>
      </c>
      <c r="B7629" s="6">
        <v>142.38</v>
      </c>
    </row>
    <row r="7630" spans="1:2" ht="15.75" customHeight="1" thickBot="1" x14ac:dyDescent="0.3">
      <c r="A7630" s="7">
        <f ca="1"/>
        <v>44520</v>
      </c>
      <c r="B7630" s="5">
        <f t="shared" ref="B7630:B7631" si="1089">B7629</f>
        <v>142.38</v>
      </c>
    </row>
    <row r="7631" spans="1:2" ht="15.75" customHeight="1" thickBot="1" x14ac:dyDescent="0.3">
      <c r="A7631" s="7">
        <f ca="1"/>
        <v>44521</v>
      </c>
      <c r="B7631" s="5">
        <f t="shared" si="1089"/>
        <v>142.38</v>
      </c>
    </row>
    <row r="7632" spans="1:2" ht="15.75" customHeight="1" thickBot="1" x14ac:dyDescent="0.3">
      <c r="A7632" s="7">
        <f ca="1"/>
        <v>44522</v>
      </c>
      <c r="B7632" s="6">
        <v>137.99</v>
      </c>
    </row>
    <row r="7633" spans="1:2" ht="15.75" customHeight="1" thickBot="1" x14ac:dyDescent="0.3">
      <c r="A7633" s="7">
        <f ca="1"/>
        <v>44523</v>
      </c>
      <c r="B7633" s="6">
        <v>134.97</v>
      </c>
    </row>
    <row r="7634" spans="1:2" ht="15.75" customHeight="1" thickBot="1" x14ac:dyDescent="0.3">
      <c r="A7634" s="7">
        <f ca="1"/>
        <v>44524</v>
      </c>
      <c r="B7634" s="6">
        <v>131.54</v>
      </c>
    </row>
    <row r="7635" spans="1:2" ht="15.75" customHeight="1" thickBot="1" x14ac:dyDescent="0.3">
      <c r="A7635" s="7">
        <f ca="1"/>
        <v>44525</v>
      </c>
      <c r="B7635" s="5">
        <f>B7634</f>
        <v>131.54</v>
      </c>
    </row>
    <row r="7636" spans="1:2" ht="15.75" customHeight="1" thickBot="1" x14ac:dyDescent="0.3">
      <c r="A7636" s="7">
        <f ca="1"/>
        <v>44526</v>
      </c>
      <c r="B7636" s="6">
        <v>132.6</v>
      </c>
    </row>
    <row r="7637" spans="1:2" ht="15.75" customHeight="1" thickBot="1" x14ac:dyDescent="0.3">
      <c r="A7637" s="7">
        <f ca="1"/>
        <v>44527</v>
      </c>
      <c r="B7637" s="5">
        <f t="shared" ref="B7637:B7638" si="1090">B7636</f>
        <v>132.6</v>
      </c>
    </row>
    <row r="7638" spans="1:2" ht="15.75" customHeight="1" thickBot="1" x14ac:dyDescent="0.3">
      <c r="A7638" s="7">
        <f ca="1"/>
        <v>44528</v>
      </c>
      <c r="B7638" s="5">
        <f t="shared" si="1090"/>
        <v>132.6</v>
      </c>
    </row>
    <row r="7639" spans="1:2" ht="15.75" customHeight="1" thickBot="1" x14ac:dyDescent="0.3">
      <c r="A7639" s="7">
        <f ca="1"/>
        <v>44529</v>
      </c>
      <c r="B7639" s="6">
        <v>132.29</v>
      </c>
    </row>
    <row r="7640" spans="1:2" ht="15.75" customHeight="1" thickBot="1" x14ac:dyDescent="0.3">
      <c r="A7640" s="7">
        <f ca="1"/>
        <v>44530</v>
      </c>
      <c r="B7640" s="6">
        <v>130.83000000000001</v>
      </c>
    </row>
    <row r="7641" spans="1:2" ht="15.75" customHeight="1" thickBot="1" x14ac:dyDescent="0.3">
      <c r="A7641" s="7">
        <f ca="1"/>
        <v>44531</v>
      </c>
      <c r="B7641" s="6">
        <v>131.47999999999999</v>
      </c>
    </row>
    <row r="7642" spans="1:2" ht="15.75" customHeight="1" thickBot="1" x14ac:dyDescent="0.3">
      <c r="A7642" s="7">
        <f ca="1"/>
        <v>44532</v>
      </c>
      <c r="B7642" s="6">
        <v>129.63999999999999</v>
      </c>
    </row>
    <row r="7643" spans="1:2" ht="15.75" customHeight="1" thickBot="1" x14ac:dyDescent="0.3">
      <c r="A7643" s="7">
        <f ca="1"/>
        <v>44533</v>
      </c>
      <c r="B7643" s="6">
        <v>130.53</v>
      </c>
    </row>
    <row r="7644" spans="1:2" ht="15.75" customHeight="1" thickBot="1" x14ac:dyDescent="0.3">
      <c r="A7644" s="7">
        <f ca="1"/>
        <v>44534</v>
      </c>
      <c r="B7644" s="5">
        <f t="shared" ref="B7644:B7645" si="1091">B7643</f>
        <v>130.53</v>
      </c>
    </row>
    <row r="7645" spans="1:2" ht="15.75" customHeight="1" thickBot="1" x14ac:dyDescent="0.3">
      <c r="A7645" s="7">
        <f ca="1"/>
        <v>44535</v>
      </c>
      <c r="B7645" s="5">
        <f t="shared" si="1091"/>
        <v>130.53</v>
      </c>
    </row>
    <row r="7646" spans="1:2" ht="15.75" customHeight="1" thickBot="1" x14ac:dyDescent="0.3">
      <c r="A7646" s="7">
        <f ca="1"/>
        <v>44536</v>
      </c>
      <c r="B7646" s="6">
        <v>130.52000000000001</v>
      </c>
    </row>
    <row r="7647" spans="1:2" ht="15.75" customHeight="1" thickBot="1" x14ac:dyDescent="0.3">
      <c r="A7647" s="7">
        <f ca="1"/>
        <v>44537</v>
      </c>
      <c r="B7647" s="6">
        <v>132.69999999999999</v>
      </c>
    </row>
    <row r="7648" spans="1:2" ht="15.75" customHeight="1" thickBot="1" x14ac:dyDescent="0.3">
      <c r="A7648" s="7">
        <f ca="1"/>
        <v>44538</v>
      </c>
      <c r="B7648" s="6">
        <v>134.41999999999999</v>
      </c>
    </row>
    <row r="7649" spans="1:2" ht="15.75" customHeight="1" thickBot="1" x14ac:dyDescent="0.3">
      <c r="A7649" s="7">
        <f ca="1"/>
        <v>44539</v>
      </c>
      <c r="B7649" s="6">
        <v>133.97999999999999</v>
      </c>
    </row>
    <row r="7650" spans="1:2" ht="15.75" customHeight="1" thickBot="1" x14ac:dyDescent="0.3">
      <c r="A7650" s="7">
        <f ca="1"/>
        <v>44540</v>
      </c>
      <c r="B7650" s="6">
        <v>134.78</v>
      </c>
    </row>
    <row r="7651" spans="1:2" ht="15.75" customHeight="1" thickBot="1" x14ac:dyDescent="0.3">
      <c r="A7651" s="7">
        <f ca="1"/>
        <v>44541</v>
      </c>
      <c r="B7651" s="5">
        <f t="shared" ref="B7651:B7652" si="1092">B7650</f>
        <v>134.78</v>
      </c>
    </row>
    <row r="7652" spans="1:2" ht="15.75" customHeight="1" thickBot="1" x14ac:dyDescent="0.3">
      <c r="A7652" s="7">
        <f ca="1"/>
        <v>44542</v>
      </c>
      <c r="B7652" s="5">
        <f t="shared" si="1092"/>
        <v>134.78</v>
      </c>
    </row>
    <row r="7653" spans="1:2" ht="15.75" customHeight="1" thickBot="1" x14ac:dyDescent="0.3">
      <c r="A7653" s="7">
        <f ca="1"/>
        <v>44543</v>
      </c>
      <c r="B7653" s="6">
        <v>138.53</v>
      </c>
    </row>
    <row r="7654" spans="1:2" ht="15.75" customHeight="1" thickBot="1" x14ac:dyDescent="0.3">
      <c r="A7654" s="7">
        <f ca="1"/>
        <v>44544</v>
      </c>
      <c r="B7654" s="6">
        <v>136.58000000000001</v>
      </c>
    </row>
    <row r="7655" spans="1:2" ht="15.75" customHeight="1" thickBot="1" x14ac:dyDescent="0.3">
      <c r="A7655" s="7">
        <f ca="1"/>
        <v>44545</v>
      </c>
      <c r="B7655" s="6">
        <v>136.07</v>
      </c>
    </row>
    <row r="7656" spans="1:2" ht="15.75" customHeight="1" thickBot="1" x14ac:dyDescent="0.3">
      <c r="A7656" s="7">
        <f ca="1"/>
        <v>44546</v>
      </c>
      <c r="B7656" s="6">
        <v>139.78</v>
      </c>
    </row>
    <row r="7657" spans="1:2" ht="15.75" customHeight="1" thickBot="1" x14ac:dyDescent="0.3">
      <c r="A7657" s="7">
        <f ca="1"/>
        <v>44547</v>
      </c>
      <c r="B7657" s="6">
        <v>138.13999999999999</v>
      </c>
    </row>
    <row r="7658" spans="1:2" ht="15.75" customHeight="1" thickBot="1" x14ac:dyDescent="0.3">
      <c r="A7658" s="7">
        <f ca="1"/>
        <v>44548</v>
      </c>
      <c r="B7658" s="5">
        <f t="shared" ref="B7658:B7659" si="1093">B7657</f>
        <v>138.13999999999999</v>
      </c>
    </row>
    <row r="7659" spans="1:2" ht="15.75" customHeight="1" thickBot="1" x14ac:dyDescent="0.3">
      <c r="A7659" s="7">
        <f ca="1"/>
        <v>44549</v>
      </c>
      <c r="B7659" s="5">
        <f t="shared" si="1093"/>
        <v>138.13999999999999</v>
      </c>
    </row>
    <row r="7660" spans="1:2" ht="15.75" customHeight="1" thickBot="1" x14ac:dyDescent="0.3">
      <c r="A7660" s="7">
        <f ca="1"/>
        <v>44550</v>
      </c>
      <c r="B7660" s="6">
        <v>136.19999999999999</v>
      </c>
    </row>
    <row r="7661" spans="1:2" ht="15.75" customHeight="1" thickBot="1" x14ac:dyDescent="0.3">
      <c r="A7661" s="7">
        <f ca="1"/>
        <v>44551</v>
      </c>
      <c r="B7661" s="6">
        <v>136.76</v>
      </c>
    </row>
    <row r="7662" spans="1:2" ht="15.75" customHeight="1" thickBot="1" x14ac:dyDescent="0.3">
      <c r="A7662" s="7">
        <f ca="1"/>
        <v>44552</v>
      </c>
      <c r="B7662" s="6">
        <v>137.22999999999999</v>
      </c>
    </row>
    <row r="7663" spans="1:2" ht="15.75" customHeight="1" thickBot="1" x14ac:dyDescent="0.3">
      <c r="A7663" s="7">
        <f ca="1"/>
        <v>44553</v>
      </c>
      <c r="B7663" s="6">
        <v>139.16999999999999</v>
      </c>
    </row>
    <row r="7664" spans="1:2" ht="15.75" customHeight="1" thickBot="1" x14ac:dyDescent="0.3">
      <c r="A7664" s="7">
        <f ca="1"/>
        <v>44554</v>
      </c>
      <c r="B7664" s="5">
        <f t="shared" ref="B7664:B7666" si="1094">B7663</f>
        <v>139.16999999999999</v>
      </c>
    </row>
    <row r="7665" spans="1:2" ht="15.75" customHeight="1" thickBot="1" x14ac:dyDescent="0.3">
      <c r="A7665" s="7">
        <f ca="1"/>
        <v>44555</v>
      </c>
      <c r="B7665" s="5">
        <f t="shared" si="1094"/>
        <v>139.16999999999999</v>
      </c>
    </row>
    <row r="7666" spans="1:2" ht="15.75" customHeight="1" thickBot="1" x14ac:dyDescent="0.3">
      <c r="A7666" s="7">
        <f ca="1"/>
        <v>44556</v>
      </c>
      <c r="B7666" s="5">
        <f t="shared" si="1094"/>
        <v>139.16999999999999</v>
      </c>
    </row>
    <row r="7667" spans="1:2" ht="15.75" customHeight="1" thickBot="1" x14ac:dyDescent="0.3">
      <c r="A7667" s="7">
        <f ca="1"/>
        <v>44557</v>
      </c>
      <c r="B7667" s="6">
        <v>139.85</v>
      </c>
    </row>
    <row r="7668" spans="1:2" ht="15.75" customHeight="1" thickBot="1" x14ac:dyDescent="0.3">
      <c r="A7668" s="7">
        <f ca="1"/>
        <v>44558</v>
      </c>
      <c r="B7668" s="6">
        <v>140.66999999999999</v>
      </c>
    </row>
    <row r="7669" spans="1:2" ht="15.75" customHeight="1" thickBot="1" x14ac:dyDescent="0.3">
      <c r="A7669" s="7">
        <f ca="1"/>
        <v>44559</v>
      </c>
      <c r="B7669" s="6">
        <v>140.4</v>
      </c>
    </row>
    <row r="7670" spans="1:2" ht="15.75" customHeight="1" thickBot="1" x14ac:dyDescent="0.3">
      <c r="A7670" s="7">
        <f ca="1"/>
        <v>44560</v>
      </c>
      <c r="B7670" s="6">
        <v>140.91</v>
      </c>
    </row>
    <row r="7671" spans="1:2" ht="15.75" customHeight="1" thickBot="1" x14ac:dyDescent="0.3">
      <c r="A7671" s="7">
        <f ca="1"/>
        <v>44561</v>
      </c>
      <c r="B7671" s="6">
        <v>140.28</v>
      </c>
    </row>
    <row r="7672" spans="1:2" ht="15.75" customHeight="1" thickBot="1" x14ac:dyDescent="0.3">
      <c r="A7672" s="7">
        <f ca="1"/>
        <v>44562</v>
      </c>
      <c r="B7672" s="5">
        <f t="shared" ref="B7672:B7673" si="1095">B7671</f>
        <v>140.28</v>
      </c>
    </row>
    <row r="7673" spans="1:2" ht="15.75" customHeight="1" thickBot="1" x14ac:dyDescent="0.3">
      <c r="A7673" s="7">
        <f ca="1"/>
        <v>44563</v>
      </c>
      <c r="B7673" s="5">
        <f t="shared" si="1095"/>
        <v>140.28</v>
      </c>
    </row>
    <row r="7674" spans="1:2" ht="15.75" customHeight="1" thickBot="1" x14ac:dyDescent="0.3">
      <c r="A7674" s="7">
        <f ca="1"/>
        <v>44564</v>
      </c>
      <c r="B7674" s="6">
        <v>140.32</v>
      </c>
    </row>
    <row r="7675" spans="1:2" ht="15.75" customHeight="1" thickBot="1" x14ac:dyDescent="0.3">
      <c r="A7675" s="7">
        <f ca="1"/>
        <v>44565</v>
      </c>
      <c r="B7675" s="6">
        <v>141.11000000000001</v>
      </c>
    </row>
    <row r="7676" spans="1:2" ht="15.75" customHeight="1" thickBot="1" x14ac:dyDescent="0.3">
      <c r="A7676" s="7">
        <f ca="1"/>
        <v>44566</v>
      </c>
      <c r="B7676" s="6">
        <v>141.63999999999999</v>
      </c>
    </row>
    <row r="7677" spans="1:2" ht="15.75" customHeight="1" thickBot="1" x14ac:dyDescent="0.3">
      <c r="A7677" s="7">
        <f ca="1"/>
        <v>44567</v>
      </c>
      <c r="B7677" s="6">
        <v>137.26</v>
      </c>
    </row>
    <row r="7678" spans="1:2" ht="15.75" customHeight="1" thickBot="1" x14ac:dyDescent="0.3">
      <c r="A7678" s="7">
        <f ca="1"/>
        <v>44568</v>
      </c>
      <c r="B7678" s="6">
        <v>137.07</v>
      </c>
    </row>
    <row r="7679" spans="1:2" ht="15.75" customHeight="1" thickBot="1" x14ac:dyDescent="0.3">
      <c r="A7679" s="7">
        <f ca="1"/>
        <v>44569</v>
      </c>
      <c r="B7679" s="5">
        <f t="shared" ref="B7679:B7680" si="1096">B7678</f>
        <v>137.07</v>
      </c>
    </row>
    <row r="7680" spans="1:2" ht="15.75" customHeight="1" thickBot="1" x14ac:dyDescent="0.3">
      <c r="A7680" s="7">
        <f ca="1"/>
        <v>44570</v>
      </c>
      <c r="B7680" s="5">
        <f t="shared" si="1096"/>
        <v>137.07</v>
      </c>
    </row>
    <row r="7681" spans="1:2" ht="15.75" customHeight="1" thickBot="1" x14ac:dyDescent="0.3">
      <c r="A7681" s="7">
        <f ca="1"/>
        <v>44571</v>
      </c>
      <c r="B7681" s="6">
        <v>137.11000000000001</v>
      </c>
    </row>
    <row r="7682" spans="1:2" ht="15.75" customHeight="1" thickBot="1" x14ac:dyDescent="0.3">
      <c r="A7682" s="7">
        <f ca="1"/>
        <v>44572</v>
      </c>
      <c r="B7682" s="6">
        <v>137.74</v>
      </c>
    </row>
    <row r="7683" spans="1:2" ht="15.75" customHeight="1" thickBot="1" x14ac:dyDescent="0.3">
      <c r="A7683" s="7">
        <f ca="1"/>
        <v>44573</v>
      </c>
      <c r="B7683" s="6">
        <v>139.87</v>
      </c>
    </row>
    <row r="7684" spans="1:2" ht="15.75" customHeight="1" thickBot="1" x14ac:dyDescent="0.3">
      <c r="A7684" s="7">
        <f ca="1"/>
        <v>44574</v>
      </c>
      <c r="B7684" s="6">
        <v>139.03</v>
      </c>
    </row>
    <row r="7685" spans="1:2" ht="15.75" customHeight="1" thickBot="1" x14ac:dyDescent="0.3">
      <c r="A7685" s="7">
        <f ca="1"/>
        <v>44575</v>
      </c>
      <c r="B7685" s="6">
        <v>136.56</v>
      </c>
    </row>
    <row r="7686" spans="1:2" ht="15.75" customHeight="1" thickBot="1" x14ac:dyDescent="0.3">
      <c r="A7686" s="7">
        <f ca="1"/>
        <v>44576</v>
      </c>
      <c r="B7686" s="5">
        <f t="shared" ref="B7686:B7688" si="1097">B7685</f>
        <v>136.56</v>
      </c>
    </row>
    <row r="7687" spans="1:2" ht="15.75" customHeight="1" thickBot="1" x14ac:dyDescent="0.3">
      <c r="A7687" s="7">
        <f ca="1"/>
        <v>44577</v>
      </c>
      <c r="B7687" s="5">
        <f t="shared" si="1097"/>
        <v>136.56</v>
      </c>
    </row>
    <row r="7688" spans="1:2" ht="15.75" customHeight="1" thickBot="1" x14ac:dyDescent="0.3">
      <c r="A7688" s="7">
        <f ca="1"/>
        <v>44578</v>
      </c>
      <c r="B7688" s="5">
        <f t="shared" si="1097"/>
        <v>136.56</v>
      </c>
    </row>
    <row r="7689" spans="1:2" ht="15.75" customHeight="1" thickBot="1" x14ac:dyDescent="0.3">
      <c r="A7689" s="7">
        <f ca="1"/>
        <v>44579</v>
      </c>
      <c r="B7689" s="6">
        <v>136.43</v>
      </c>
    </row>
    <row r="7690" spans="1:2" ht="15.75" customHeight="1" thickBot="1" x14ac:dyDescent="0.3">
      <c r="A7690" s="7">
        <f ca="1"/>
        <v>44580</v>
      </c>
      <c r="B7690" s="6">
        <v>137.22</v>
      </c>
    </row>
    <row r="7691" spans="1:2" ht="15.75" customHeight="1" thickBot="1" x14ac:dyDescent="0.3">
      <c r="A7691" s="7">
        <f ca="1"/>
        <v>44581</v>
      </c>
      <c r="B7691" s="6">
        <v>139.28</v>
      </c>
    </row>
    <row r="7692" spans="1:2" ht="15.75" customHeight="1" thickBot="1" x14ac:dyDescent="0.3">
      <c r="A7692" s="7">
        <f ca="1"/>
        <v>44582</v>
      </c>
      <c r="B7692" s="6">
        <v>137.37</v>
      </c>
    </row>
    <row r="7693" spans="1:2" ht="15.75" customHeight="1" thickBot="1" x14ac:dyDescent="0.3">
      <c r="A7693" s="7">
        <f ca="1"/>
        <v>44583</v>
      </c>
      <c r="B7693" s="5">
        <f t="shared" ref="B7693:B7694" si="1098">B7692</f>
        <v>137.37</v>
      </c>
    </row>
    <row r="7694" spans="1:2" ht="15.75" customHeight="1" thickBot="1" x14ac:dyDescent="0.3">
      <c r="A7694" s="7">
        <f ca="1"/>
        <v>44584</v>
      </c>
      <c r="B7694" s="5">
        <f t="shared" si="1098"/>
        <v>137.37</v>
      </c>
    </row>
    <row r="7695" spans="1:2" ht="15.75" customHeight="1" thickBot="1" x14ac:dyDescent="0.3">
      <c r="A7695" s="7">
        <f ca="1"/>
        <v>44585</v>
      </c>
      <c r="B7695" s="6">
        <v>132.16</v>
      </c>
    </row>
    <row r="7696" spans="1:2" ht="15.75" customHeight="1" thickBot="1" x14ac:dyDescent="0.3">
      <c r="A7696" s="7">
        <f ca="1"/>
        <v>44586</v>
      </c>
      <c r="B7696" s="6">
        <v>130.80000000000001</v>
      </c>
    </row>
    <row r="7697" spans="1:2" ht="15.75" customHeight="1" thickBot="1" x14ac:dyDescent="0.3">
      <c r="A7697" s="7">
        <f ca="1"/>
        <v>44587</v>
      </c>
      <c r="B7697" s="6">
        <v>133.32</v>
      </c>
    </row>
    <row r="7698" spans="1:2" ht="15.75" customHeight="1" thickBot="1" x14ac:dyDescent="0.3">
      <c r="A7698" s="7">
        <f ca="1"/>
        <v>44588</v>
      </c>
      <c r="B7698" s="6">
        <v>123.92</v>
      </c>
    </row>
    <row r="7699" spans="1:2" ht="15.75" customHeight="1" thickBot="1" x14ac:dyDescent="0.3">
      <c r="A7699" s="7">
        <f ca="1"/>
        <v>44589</v>
      </c>
      <c r="B7699" s="6">
        <v>119.7</v>
      </c>
    </row>
    <row r="7700" spans="1:2" ht="15.75" customHeight="1" thickBot="1" x14ac:dyDescent="0.3">
      <c r="A7700" s="7">
        <f ca="1"/>
        <v>44590</v>
      </c>
      <c r="B7700" s="5">
        <f t="shared" ref="B7700:B7701" si="1099">B7699</f>
        <v>119.7</v>
      </c>
    </row>
    <row r="7701" spans="1:2" ht="15.75" customHeight="1" thickBot="1" x14ac:dyDescent="0.3">
      <c r="A7701" s="7">
        <f ca="1"/>
        <v>44591</v>
      </c>
      <c r="B7701" s="5">
        <f t="shared" si="1099"/>
        <v>119.7</v>
      </c>
    </row>
    <row r="7702" spans="1:2" ht="15.75" customHeight="1" thickBot="1" x14ac:dyDescent="0.3">
      <c r="A7702" s="7">
        <f ca="1"/>
        <v>44592</v>
      </c>
      <c r="B7702" s="6">
        <v>121.82</v>
      </c>
    </row>
    <row r="7703" spans="1:2" ht="15.75" customHeight="1" thickBot="1" x14ac:dyDescent="0.3">
      <c r="A7703" s="7">
        <f ca="1"/>
        <v>44593</v>
      </c>
      <c r="B7703" s="6">
        <v>126.55</v>
      </c>
    </row>
    <row r="7704" spans="1:2" ht="15.75" customHeight="1" thickBot="1" x14ac:dyDescent="0.3">
      <c r="A7704" s="7">
        <f ca="1"/>
        <v>44594</v>
      </c>
      <c r="B7704" s="6">
        <v>127</v>
      </c>
    </row>
    <row r="7705" spans="1:2" ht="15.75" customHeight="1" thickBot="1" x14ac:dyDescent="0.3">
      <c r="A7705" s="7">
        <f ca="1"/>
        <v>44595</v>
      </c>
      <c r="B7705" s="6">
        <v>124.28</v>
      </c>
    </row>
    <row r="7706" spans="1:2" ht="15.75" customHeight="1" thickBot="1" x14ac:dyDescent="0.3">
      <c r="A7706" s="7">
        <f ca="1"/>
        <v>44596</v>
      </c>
      <c r="B7706" s="6">
        <v>124.54</v>
      </c>
    </row>
    <row r="7707" spans="1:2" ht="15.75" customHeight="1" thickBot="1" x14ac:dyDescent="0.3">
      <c r="A7707" s="7">
        <f ca="1"/>
        <v>44597</v>
      </c>
      <c r="B7707" s="5">
        <f t="shared" ref="B7707:B7708" si="1100">B7706</f>
        <v>124.54</v>
      </c>
    </row>
    <row r="7708" spans="1:2" ht="15.75" customHeight="1" thickBot="1" x14ac:dyDescent="0.3">
      <c r="A7708" s="7">
        <f ca="1"/>
        <v>44598</v>
      </c>
      <c r="B7708" s="5">
        <f t="shared" si="1100"/>
        <v>124.54</v>
      </c>
    </row>
    <row r="7709" spans="1:2" ht="15.75" customHeight="1" thickBot="1" x14ac:dyDescent="0.3">
      <c r="A7709" s="7">
        <f ca="1"/>
        <v>44599</v>
      </c>
      <c r="B7709" s="6">
        <v>127.71</v>
      </c>
    </row>
    <row r="7710" spans="1:2" ht="15.75" customHeight="1" thickBot="1" x14ac:dyDescent="0.3">
      <c r="A7710" s="7">
        <f ca="1"/>
        <v>44600</v>
      </c>
      <c r="B7710" s="6">
        <v>125.28</v>
      </c>
    </row>
    <row r="7711" spans="1:2" ht="15.75" customHeight="1" thickBot="1" x14ac:dyDescent="0.3">
      <c r="A7711" s="7">
        <f ca="1"/>
        <v>44601</v>
      </c>
      <c r="B7711" s="6">
        <v>125.55</v>
      </c>
    </row>
    <row r="7712" spans="1:2" ht="15.75" customHeight="1" thickBot="1" x14ac:dyDescent="0.3">
      <c r="A7712" s="7">
        <f ca="1"/>
        <v>44602</v>
      </c>
      <c r="B7712" s="6">
        <v>123.54</v>
      </c>
    </row>
    <row r="7713" spans="1:2" ht="15.75" customHeight="1" thickBot="1" x14ac:dyDescent="0.3">
      <c r="A7713" s="7">
        <f ca="1"/>
        <v>44603</v>
      </c>
      <c r="B7713" s="6">
        <v>123.63</v>
      </c>
    </row>
    <row r="7714" spans="1:2" ht="15.75" customHeight="1" thickBot="1" x14ac:dyDescent="0.3">
      <c r="A7714" s="7">
        <f ca="1"/>
        <v>44604</v>
      </c>
      <c r="B7714" s="5">
        <f t="shared" ref="B7714:B7715" si="1101">B7713</f>
        <v>123.63</v>
      </c>
    </row>
    <row r="7715" spans="1:2" ht="15.75" customHeight="1" thickBot="1" x14ac:dyDescent="0.3">
      <c r="A7715" s="7">
        <f ca="1"/>
        <v>44605</v>
      </c>
      <c r="B7715" s="5">
        <f t="shared" si="1101"/>
        <v>123.63</v>
      </c>
    </row>
    <row r="7716" spans="1:2" ht="15.75" customHeight="1" thickBot="1" x14ac:dyDescent="0.3">
      <c r="A7716" s="7">
        <f ca="1"/>
        <v>44606</v>
      </c>
      <c r="B7716" s="6">
        <v>118.59</v>
      </c>
    </row>
    <row r="7717" spans="1:2" ht="15.75" customHeight="1" thickBot="1" x14ac:dyDescent="0.3">
      <c r="A7717" s="7">
        <f ca="1"/>
        <v>44607</v>
      </c>
      <c r="B7717" s="6">
        <v>120.21</v>
      </c>
    </row>
    <row r="7718" spans="1:2" ht="15.75" customHeight="1" thickBot="1" x14ac:dyDescent="0.3">
      <c r="A7718" s="7">
        <f ca="1"/>
        <v>44608</v>
      </c>
      <c r="B7718" s="6">
        <v>119.86</v>
      </c>
    </row>
    <row r="7719" spans="1:2" ht="15.75" customHeight="1" thickBot="1" x14ac:dyDescent="0.3">
      <c r="A7719" s="7">
        <f ca="1"/>
        <v>44609</v>
      </c>
      <c r="B7719" s="6">
        <v>119.57</v>
      </c>
    </row>
    <row r="7720" spans="1:2" ht="15.75" customHeight="1" thickBot="1" x14ac:dyDescent="0.3">
      <c r="A7720" s="7">
        <f ca="1"/>
        <v>44610</v>
      </c>
      <c r="B7720" s="6">
        <v>117.61</v>
      </c>
    </row>
    <row r="7721" spans="1:2" ht="15.75" customHeight="1" thickBot="1" x14ac:dyDescent="0.3">
      <c r="A7721" s="7">
        <f ca="1"/>
        <v>44611</v>
      </c>
      <c r="B7721" s="5">
        <f t="shared" ref="B7721:B7723" si="1102">B7720</f>
        <v>117.61</v>
      </c>
    </row>
    <row r="7722" spans="1:2" ht="15.75" customHeight="1" thickBot="1" x14ac:dyDescent="0.3">
      <c r="A7722" s="7">
        <f ca="1"/>
        <v>44612</v>
      </c>
      <c r="B7722" s="5">
        <f t="shared" si="1102"/>
        <v>117.61</v>
      </c>
    </row>
    <row r="7723" spans="1:2" ht="15.75" customHeight="1" thickBot="1" x14ac:dyDescent="0.3">
      <c r="A7723" s="7">
        <f ca="1"/>
        <v>44613</v>
      </c>
      <c r="B7723" s="5">
        <f t="shared" si="1102"/>
        <v>117.61</v>
      </c>
    </row>
    <row r="7724" spans="1:2" ht="15.75" customHeight="1" thickBot="1" x14ac:dyDescent="0.3">
      <c r="A7724" s="7">
        <f ca="1"/>
        <v>44614</v>
      </c>
      <c r="B7724" s="6">
        <v>113.56</v>
      </c>
    </row>
    <row r="7725" spans="1:2" ht="15.75" customHeight="1" thickBot="1" x14ac:dyDescent="0.3">
      <c r="A7725" s="7">
        <f ca="1"/>
        <v>44615</v>
      </c>
      <c r="B7725" s="6">
        <v>114.38</v>
      </c>
    </row>
    <row r="7726" spans="1:2" ht="15.75" customHeight="1" thickBot="1" x14ac:dyDescent="0.3">
      <c r="A7726" s="7">
        <f ca="1"/>
        <v>44616</v>
      </c>
      <c r="B7726" s="6">
        <v>107.62</v>
      </c>
    </row>
    <row r="7727" spans="1:2" ht="15.75" customHeight="1" thickBot="1" x14ac:dyDescent="0.3">
      <c r="A7727" s="7">
        <f ca="1"/>
        <v>44617</v>
      </c>
      <c r="B7727" s="6">
        <v>113.6</v>
      </c>
    </row>
    <row r="7728" spans="1:2" ht="15.75" customHeight="1" thickBot="1" x14ac:dyDescent="0.3">
      <c r="A7728" s="7">
        <f ca="1"/>
        <v>44618</v>
      </c>
      <c r="B7728" s="5">
        <f t="shared" ref="B7728:B7729" si="1103">B7727</f>
        <v>113.6</v>
      </c>
    </row>
    <row r="7729" spans="1:2" ht="15.75" customHeight="1" thickBot="1" x14ac:dyDescent="0.3">
      <c r="A7729" s="7">
        <f ca="1"/>
        <v>44619</v>
      </c>
      <c r="B7729" s="5">
        <f t="shared" si="1103"/>
        <v>113.6</v>
      </c>
    </row>
    <row r="7730" spans="1:2" ht="15.75" customHeight="1" thickBot="1" x14ac:dyDescent="0.3">
      <c r="A7730" s="7">
        <f ca="1"/>
        <v>44620</v>
      </c>
      <c r="B7730" s="6">
        <v>112.18</v>
      </c>
    </row>
    <row r="7731" spans="1:2" ht="15.75" customHeight="1" thickBot="1" x14ac:dyDescent="0.3">
      <c r="A7731" s="7">
        <f ca="1"/>
        <v>44621</v>
      </c>
      <c r="B7731" s="6">
        <v>111.14</v>
      </c>
    </row>
    <row r="7732" spans="1:2" ht="15.75" customHeight="1" thickBot="1" x14ac:dyDescent="0.3">
      <c r="A7732" s="7">
        <f ca="1"/>
        <v>44622</v>
      </c>
      <c r="B7732" s="6">
        <v>111.12</v>
      </c>
    </row>
    <row r="7733" spans="1:2" ht="15.75" customHeight="1" thickBot="1" x14ac:dyDescent="0.3">
      <c r="A7733" s="7">
        <f ca="1"/>
        <v>44623</v>
      </c>
      <c r="B7733" s="6">
        <v>111.48</v>
      </c>
    </row>
    <row r="7734" spans="1:2" ht="15.75" customHeight="1" thickBot="1" x14ac:dyDescent="0.3">
      <c r="A7734" s="7">
        <f ca="1"/>
        <v>44624</v>
      </c>
      <c r="B7734" s="6">
        <v>107.12</v>
      </c>
    </row>
    <row r="7735" spans="1:2" ht="15.75" customHeight="1" thickBot="1" x14ac:dyDescent="0.3">
      <c r="A7735" s="7">
        <f ca="1"/>
        <v>44625</v>
      </c>
      <c r="B7735" s="5">
        <f t="shared" ref="B7735:B7736" si="1104">B7734</f>
        <v>107.12</v>
      </c>
    </row>
    <row r="7736" spans="1:2" ht="15.75" customHeight="1" thickBot="1" x14ac:dyDescent="0.3">
      <c r="A7736" s="7">
        <f ca="1"/>
        <v>44626</v>
      </c>
      <c r="B7736" s="5">
        <f t="shared" si="1104"/>
        <v>107.12</v>
      </c>
    </row>
    <row r="7737" spans="1:2" ht="15.75" customHeight="1" thickBot="1" x14ac:dyDescent="0.3">
      <c r="A7737" s="7">
        <f ca="1"/>
        <v>44627</v>
      </c>
      <c r="B7737" s="6">
        <v>108.06</v>
      </c>
    </row>
    <row r="7738" spans="1:2" ht="15.75" customHeight="1" thickBot="1" x14ac:dyDescent="0.3">
      <c r="A7738" s="7">
        <f ca="1"/>
        <v>44628</v>
      </c>
      <c r="B7738" s="6">
        <v>106.09</v>
      </c>
    </row>
    <row r="7739" spans="1:2" ht="15.75" customHeight="1" thickBot="1" x14ac:dyDescent="0.3">
      <c r="A7739" s="7">
        <f ca="1"/>
        <v>44629</v>
      </c>
      <c r="B7739" s="6">
        <v>109.63</v>
      </c>
    </row>
    <row r="7740" spans="1:2" ht="15.75" customHeight="1" thickBot="1" x14ac:dyDescent="0.3">
      <c r="A7740" s="7">
        <f ca="1"/>
        <v>44630</v>
      </c>
      <c r="B7740" s="6">
        <v>108.09</v>
      </c>
    </row>
    <row r="7741" spans="1:2" ht="15.75" customHeight="1" thickBot="1" x14ac:dyDescent="0.3">
      <c r="A7741" s="7">
        <f ca="1"/>
        <v>44631</v>
      </c>
      <c r="B7741" s="6">
        <v>110.88</v>
      </c>
    </row>
    <row r="7742" spans="1:2" ht="15.75" customHeight="1" thickBot="1" x14ac:dyDescent="0.3">
      <c r="A7742" s="7">
        <f ca="1"/>
        <v>44632</v>
      </c>
      <c r="B7742" s="5">
        <f t="shared" ref="B7742:B7743" si="1105">B7741</f>
        <v>110.88</v>
      </c>
    </row>
    <row r="7743" spans="1:2" ht="15.75" customHeight="1" thickBot="1" x14ac:dyDescent="0.3">
      <c r="A7743" s="7">
        <f ca="1"/>
        <v>44633</v>
      </c>
      <c r="B7743" s="5">
        <f t="shared" si="1105"/>
        <v>110.88</v>
      </c>
    </row>
    <row r="7744" spans="1:2" ht="15.75" customHeight="1" thickBot="1" x14ac:dyDescent="0.3">
      <c r="A7744" s="7">
        <f ca="1"/>
        <v>44634</v>
      </c>
      <c r="B7744" s="6">
        <v>110.55</v>
      </c>
    </row>
    <row r="7745" spans="1:2" ht="15.75" customHeight="1" thickBot="1" x14ac:dyDescent="0.3">
      <c r="A7745" s="7">
        <f ca="1"/>
        <v>44635</v>
      </c>
      <c r="B7745" s="6">
        <v>110.88</v>
      </c>
    </row>
    <row r="7746" spans="1:2" ht="15.75" customHeight="1" thickBot="1" x14ac:dyDescent="0.3">
      <c r="A7746" s="7">
        <f ca="1"/>
        <v>44636</v>
      </c>
      <c r="B7746" s="6">
        <v>112.4</v>
      </c>
    </row>
    <row r="7747" spans="1:2" ht="15.75" customHeight="1" thickBot="1" x14ac:dyDescent="0.3">
      <c r="A7747" s="7">
        <f ca="1"/>
        <v>44637</v>
      </c>
      <c r="B7747" s="6">
        <v>113.64</v>
      </c>
    </row>
    <row r="7748" spans="1:2" ht="15.75" customHeight="1" thickBot="1" x14ac:dyDescent="0.3">
      <c r="A7748" s="7">
        <f ca="1"/>
        <v>44638</v>
      </c>
      <c r="B7748" s="6">
        <v>112.25</v>
      </c>
    </row>
    <row r="7749" spans="1:2" ht="15.75" customHeight="1" thickBot="1" x14ac:dyDescent="0.3">
      <c r="A7749" s="7">
        <f ca="1"/>
        <v>44639</v>
      </c>
      <c r="B7749" s="5">
        <f t="shared" ref="B7749:B7750" si="1106">B7748</f>
        <v>112.25</v>
      </c>
    </row>
    <row r="7750" spans="1:2" ht="15.75" customHeight="1" thickBot="1" x14ac:dyDescent="0.3">
      <c r="A7750" s="7">
        <f ca="1"/>
        <v>44640</v>
      </c>
      <c r="B7750" s="5">
        <f t="shared" si="1106"/>
        <v>112.25</v>
      </c>
    </row>
    <row r="7751" spans="1:2" ht="15.75" customHeight="1" thickBot="1" x14ac:dyDescent="0.3">
      <c r="A7751" s="7">
        <f ca="1"/>
        <v>44641</v>
      </c>
      <c r="B7751" s="6">
        <v>112.76</v>
      </c>
    </row>
    <row r="7752" spans="1:2" ht="15.75" customHeight="1" thickBot="1" x14ac:dyDescent="0.3">
      <c r="A7752" s="7">
        <f ca="1"/>
        <v>44642</v>
      </c>
      <c r="B7752" s="6">
        <v>111.8</v>
      </c>
    </row>
    <row r="7753" spans="1:2" ht="15.75" customHeight="1" thickBot="1" x14ac:dyDescent="0.3">
      <c r="A7753" s="7">
        <f ca="1"/>
        <v>44643</v>
      </c>
      <c r="B7753" s="6">
        <v>110.49</v>
      </c>
    </row>
    <row r="7754" spans="1:2" ht="15.75" customHeight="1" thickBot="1" x14ac:dyDescent="0.3">
      <c r="A7754" s="7">
        <f ca="1"/>
        <v>44644</v>
      </c>
      <c r="B7754" s="6">
        <v>110.01</v>
      </c>
    </row>
    <row r="7755" spans="1:2" ht="15.75" customHeight="1" thickBot="1" x14ac:dyDescent="0.3">
      <c r="A7755" s="7">
        <f ca="1"/>
        <v>44645</v>
      </c>
      <c r="B7755" s="6">
        <v>112.03</v>
      </c>
    </row>
    <row r="7756" spans="1:2" ht="15.75" customHeight="1" thickBot="1" x14ac:dyDescent="0.3">
      <c r="A7756" s="7">
        <f ca="1"/>
        <v>44646</v>
      </c>
      <c r="B7756" s="5">
        <f t="shared" ref="B7756:B7757" si="1107">B7755</f>
        <v>112.03</v>
      </c>
    </row>
    <row r="7757" spans="1:2" ht="15.75" customHeight="1" thickBot="1" x14ac:dyDescent="0.3">
      <c r="A7757" s="7">
        <f ca="1"/>
        <v>44647</v>
      </c>
      <c r="B7757" s="5">
        <f t="shared" si="1107"/>
        <v>112.03</v>
      </c>
    </row>
    <row r="7758" spans="1:2" ht="15.75" customHeight="1" thickBot="1" x14ac:dyDescent="0.3">
      <c r="A7758" s="7">
        <f ca="1"/>
        <v>44648</v>
      </c>
      <c r="B7758" s="6">
        <v>110.87</v>
      </c>
    </row>
    <row r="7759" spans="1:2" ht="15.75" customHeight="1" thickBot="1" x14ac:dyDescent="0.3">
      <c r="A7759" s="7">
        <f ca="1"/>
        <v>44649</v>
      </c>
      <c r="B7759" s="6">
        <v>115.29</v>
      </c>
    </row>
    <row r="7760" spans="1:2" ht="15.75" customHeight="1" thickBot="1" x14ac:dyDescent="0.3">
      <c r="A7760" s="7">
        <f ca="1"/>
        <v>44650</v>
      </c>
      <c r="B7760" s="6">
        <v>113.48</v>
      </c>
    </row>
    <row r="7761" spans="1:2" ht="15.75" customHeight="1" thickBot="1" x14ac:dyDescent="0.3">
      <c r="A7761" s="7">
        <f ca="1"/>
        <v>44651</v>
      </c>
      <c r="B7761" s="6">
        <v>113.1</v>
      </c>
    </row>
    <row r="7762" spans="1:2" ht="15.75" customHeight="1" thickBot="1" x14ac:dyDescent="0.3">
      <c r="A7762" s="7">
        <f ca="1"/>
        <v>44652</v>
      </c>
      <c r="B7762" s="6">
        <v>110.81</v>
      </c>
    </row>
    <row r="7763" spans="1:2" ht="15.75" customHeight="1" thickBot="1" x14ac:dyDescent="0.3">
      <c r="A7763" s="7">
        <f ca="1"/>
        <v>44653</v>
      </c>
      <c r="B7763" s="5">
        <f t="shared" ref="B7763:B7764" si="1108">B7762</f>
        <v>110.81</v>
      </c>
    </row>
    <row r="7764" spans="1:2" ht="15.75" customHeight="1" thickBot="1" x14ac:dyDescent="0.3">
      <c r="A7764" s="7">
        <f ca="1"/>
        <v>44654</v>
      </c>
      <c r="B7764" s="5">
        <f t="shared" si="1108"/>
        <v>110.81</v>
      </c>
    </row>
    <row r="7765" spans="1:2" ht="15.75" customHeight="1" thickBot="1" x14ac:dyDescent="0.3">
      <c r="A7765" s="7">
        <f ca="1"/>
        <v>44655</v>
      </c>
      <c r="B7765" s="6">
        <v>110.14</v>
      </c>
    </row>
    <row r="7766" spans="1:2" ht="15.75" customHeight="1" thickBot="1" x14ac:dyDescent="0.3">
      <c r="A7766" s="7">
        <f ca="1"/>
        <v>44656</v>
      </c>
      <c r="B7766" s="6">
        <v>111.12</v>
      </c>
    </row>
    <row r="7767" spans="1:2" ht="15.75" customHeight="1" thickBot="1" x14ac:dyDescent="0.3">
      <c r="A7767" s="7">
        <f ca="1"/>
        <v>44657</v>
      </c>
      <c r="B7767" s="6">
        <v>109.98</v>
      </c>
    </row>
    <row r="7768" spans="1:2" ht="15.75" customHeight="1" thickBot="1" x14ac:dyDescent="0.3">
      <c r="A7768" s="7">
        <f ca="1"/>
        <v>44658</v>
      </c>
      <c r="B7768" s="6">
        <v>108.96</v>
      </c>
    </row>
    <row r="7769" spans="1:2" ht="15.75" customHeight="1" thickBot="1" x14ac:dyDescent="0.3">
      <c r="A7769" s="7">
        <f ca="1"/>
        <v>44659</v>
      </c>
      <c r="B7769" s="6">
        <v>107.95</v>
      </c>
    </row>
    <row r="7770" spans="1:2" ht="15.75" customHeight="1" thickBot="1" x14ac:dyDescent="0.3">
      <c r="A7770" s="7">
        <f ca="1"/>
        <v>44660</v>
      </c>
      <c r="B7770" s="5">
        <f t="shared" ref="B7770:B7771" si="1109">B7769</f>
        <v>107.95</v>
      </c>
    </row>
    <row r="7771" spans="1:2" ht="15.75" customHeight="1" thickBot="1" x14ac:dyDescent="0.3">
      <c r="A7771" s="7">
        <f ca="1"/>
        <v>44661</v>
      </c>
      <c r="B7771" s="5">
        <f t="shared" si="1109"/>
        <v>107.95</v>
      </c>
    </row>
    <row r="7772" spans="1:2" ht="15.75" customHeight="1" thickBot="1" x14ac:dyDescent="0.3">
      <c r="A7772" s="7">
        <f ca="1"/>
        <v>44662</v>
      </c>
      <c r="B7772" s="6">
        <v>108.2</v>
      </c>
    </row>
    <row r="7773" spans="1:2" ht="15.75" customHeight="1" thickBot="1" x14ac:dyDescent="0.3">
      <c r="A7773" s="7">
        <f ca="1"/>
        <v>44663</v>
      </c>
      <c r="B7773" s="6">
        <v>106.67</v>
      </c>
    </row>
    <row r="7774" spans="1:2" ht="15.75" customHeight="1" thickBot="1" x14ac:dyDescent="0.3">
      <c r="A7774" s="7">
        <f ca="1"/>
        <v>44664</v>
      </c>
      <c r="B7774" s="6">
        <v>104.29</v>
      </c>
    </row>
    <row r="7775" spans="1:2" ht="15.75" customHeight="1" thickBot="1" x14ac:dyDescent="0.3">
      <c r="A7775" s="7">
        <f ca="1"/>
        <v>44665</v>
      </c>
      <c r="B7775" s="6">
        <v>105.65</v>
      </c>
    </row>
    <row r="7776" spans="1:2" ht="15.75" customHeight="1" thickBot="1" x14ac:dyDescent="0.3">
      <c r="A7776" s="7">
        <f ca="1"/>
        <v>44666</v>
      </c>
      <c r="B7776" s="5">
        <f t="shared" ref="B7776:B7778" si="1110">B7775</f>
        <v>105.65</v>
      </c>
    </row>
    <row r="7777" spans="1:2" ht="15.75" customHeight="1" thickBot="1" x14ac:dyDescent="0.3">
      <c r="A7777" s="7">
        <f ca="1"/>
        <v>44667</v>
      </c>
      <c r="B7777" s="5">
        <f t="shared" si="1110"/>
        <v>105.65</v>
      </c>
    </row>
    <row r="7778" spans="1:2" ht="15.75" customHeight="1" thickBot="1" x14ac:dyDescent="0.3">
      <c r="A7778" s="7">
        <f ca="1"/>
        <v>44668</v>
      </c>
      <c r="B7778" s="5">
        <f t="shared" si="1110"/>
        <v>105.65</v>
      </c>
    </row>
    <row r="7779" spans="1:2" ht="15.75" customHeight="1" thickBot="1" x14ac:dyDescent="0.3">
      <c r="A7779" s="7">
        <f ca="1"/>
        <v>44669</v>
      </c>
      <c r="B7779" s="6">
        <v>103.92</v>
      </c>
    </row>
    <row r="7780" spans="1:2" ht="15.75" customHeight="1" thickBot="1" x14ac:dyDescent="0.3">
      <c r="A7780" s="7">
        <f ca="1"/>
        <v>44670</v>
      </c>
      <c r="B7780" s="6">
        <v>104.29</v>
      </c>
    </row>
    <row r="7781" spans="1:2" ht="15.75" customHeight="1" thickBot="1" x14ac:dyDescent="0.3">
      <c r="A7781" s="7">
        <f ca="1"/>
        <v>44671</v>
      </c>
      <c r="B7781" s="6">
        <v>106.55</v>
      </c>
    </row>
    <row r="7782" spans="1:2" ht="15.75" customHeight="1" thickBot="1" x14ac:dyDescent="0.3">
      <c r="A7782" s="7">
        <f ca="1"/>
        <v>44672</v>
      </c>
      <c r="B7782" s="6">
        <v>108.3</v>
      </c>
    </row>
    <row r="7783" spans="1:2" ht="15.75" customHeight="1" thickBot="1" x14ac:dyDescent="0.3">
      <c r="A7783" s="7">
        <f ca="1"/>
        <v>44673</v>
      </c>
      <c r="B7783" s="6">
        <v>105.05</v>
      </c>
    </row>
    <row r="7784" spans="1:2" ht="15.75" customHeight="1" thickBot="1" x14ac:dyDescent="0.3">
      <c r="A7784" s="7">
        <f ca="1"/>
        <v>44674</v>
      </c>
      <c r="B7784" s="5">
        <f t="shared" ref="B7784:B7785" si="1111">B7783</f>
        <v>105.05</v>
      </c>
    </row>
    <row r="7785" spans="1:2" ht="15.75" customHeight="1" thickBot="1" x14ac:dyDescent="0.3">
      <c r="A7785" s="7">
        <f ca="1"/>
        <v>44675</v>
      </c>
      <c r="B7785" s="5">
        <f t="shared" si="1111"/>
        <v>105.05</v>
      </c>
    </row>
    <row r="7786" spans="1:2" ht="15.75" customHeight="1" thickBot="1" x14ac:dyDescent="0.3">
      <c r="A7786" s="7">
        <f ca="1"/>
        <v>44676</v>
      </c>
      <c r="B7786" s="6">
        <v>102.95</v>
      </c>
    </row>
    <row r="7787" spans="1:2" ht="15.75" customHeight="1" thickBot="1" x14ac:dyDescent="0.3">
      <c r="A7787" s="7">
        <f ca="1"/>
        <v>44677</v>
      </c>
      <c r="B7787" s="6">
        <v>103.26</v>
      </c>
    </row>
    <row r="7788" spans="1:2" ht="15.75" customHeight="1" thickBot="1" x14ac:dyDescent="0.3">
      <c r="A7788" s="7">
        <f ca="1"/>
        <v>44678</v>
      </c>
      <c r="B7788" s="6">
        <v>100.13</v>
      </c>
    </row>
    <row r="7789" spans="1:2" ht="15.75" customHeight="1" thickBot="1" x14ac:dyDescent="0.3">
      <c r="A7789" s="7">
        <f ca="1"/>
        <v>44679</v>
      </c>
      <c r="B7789" s="6">
        <v>101</v>
      </c>
    </row>
    <row r="7790" spans="1:2" ht="15.75" customHeight="1" thickBot="1" x14ac:dyDescent="0.3">
      <c r="A7790" s="7">
        <f ca="1"/>
        <v>44680</v>
      </c>
      <c r="B7790" s="6">
        <v>103.5</v>
      </c>
    </row>
    <row r="7791" spans="1:2" ht="15.75" customHeight="1" thickBot="1" x14ac:dyDescent="0.3">
      <c r="A7791" s="7">
        <f ca="1"/>
        <v>44681</v>
      </c>
      <c r="B7791" s="5">
        <f t="shared" ref="B7791:B7792" si="1112">B7790</f>
        <v>103.5</v>
      </c>
    </row>
    <row r="7792" spans="1:2" ht="15.75" customHeight="1" thickBot="1" x14ac:dyDescent="0.3">
      <c r="A7792" s="7">
        <f ca="1"/>
        <v>44682</v>
      </c>
      <c r="B7792" s="5">
        <f t="shared" si="1112"/>
        <v>103.5</v>
      </c>
    </row>
    <row r="7793" spans="1:2" ht="15.75" customHeight="1" thickBot="1" x14ac:dyDescent="0.3">
      <c r="A7793" s="7">
        <f ca="1"/>
        <v>44683</v>
      </c>
      <c r="B7793" s="6">
        <v>101.24</v>
      </c>
    </row>
    <row r="7794" spans="1:2" ht="15.75" customHeight="1" thickBot="1" x14ac:dyDescent="0.3">
      <c r="A7794" s="7">
        <f ca="1"/>
        <v>44684</v>
      </c>
      <c r="B7794" s="6">
        <v>101.07</v>
      </c>
    </row>
    <row r="7795" spans="1:2" ht="15.75" customHeight="1" thickBot="1" x14ac:dyDescent="0.3">
      <c r="A7795" s="7">
        <f ca="1"/>
        <v>44685</v>
      </c>
      <c r="B7795" s="6">
        <v>99.79</v>
      </c>
    </row>
    <row r="7796" spans="1:2" ht="15.75" customHeight="1" thickBot="1" x14ac:dyDescent="0.3">
      <c r="A7796" s="7">
        <f ca="1"/>
        <v>44686</v>
      </c>
      <c r="B7796" s="6">
        <v>101.25</v>
      </c>
    </row>
    <row r="7797" spans="1:2" ht="15.75" customHeight="1" thickBot="1" x14ac:dyDescent="0.3">
      <c r="A7797" s="7">
        <f ca="1"/>
        <v>44687</v>
      </c>
      <c r="B7797" s="6">
        <v>97.22</v>
      </c>
    </row>
    <row r="7798" spans="1:2" ht="15.75" customHeight="1" thickBot="1" x14ac:dyDescent="0.3">
      <c r="A7798" s="7">
        <f ca="1"/>
        <v>44688</v>
      </c>
      <c r="B7798" s="5">
        <f t="shared" ref="B7798:B7799" si="1113">B7797</f>
        <v>97.22</v>
      </c>
    </row>
    <row r="7799" spans="1:2" ht="15.75" customHeight="1" thickBot="1" x14ac:dyDescent="0.3">
      <c r="A7799" s="7">
        <f ca="1"/>
        <v>44689</v>
      </c>
      <c r="B7799" s="5">
        <f t="shared" si="1113"/>
        <v>97.22</v>
      </c>
    </row>
    <row r="7800" spans="1:2" ht="15.75" customHeight="1" thickBot="1" x14ac:dyDescent="0.3">
      <c r="A7800" s="7">
        <f ca="1"/>
        <v>44690</v>
      </c>
      <c r="B7800" s="6">
        <v>95.05</v>
      </c>
    </row>
    <row r="7801" spans="1:2" ht="15.75" customHeight="1" thickBot="1" x14ac:dyDescent="0.3">
      <c r="A7801" s="7">
        <f ca="1"/>
        <v>44691</v>
      </c>
      <c r="B7801" s="6">
        <v>98.23</v>
      </c>
    </row>
    <row r="7802" spans="1:2" ht="15.75" customHeight="1" thickBot="1" x14ac:dyDescent="0.3">
      <c r="A7802" s="7">
        <f ca="1"/>
        <v>44692</v>
      </c>
      <c r="B7802" s="6">
        <v>96.5</v>
      </c>
    </row>
    <row r="7803" spans="1:2" ht="15.75" customHeight="1" thickBot="1" x14ac:dyDescent="0.3">
      <c r="A7803" s="7">
        <f ca="1"/>
        <v>44693</v>
      </c>
      <c r="B7803" s="6">
        <v>95.27</v>
      </c>
    </row>
    <row r="7804" spans="1:2" ht="15.75" customHeight="1" thickBot="1" x14ac:dyDescent="0.3">
      <c r="A7804" s="7">
        <f ca="1"/>
        <v>44694</v>
      </c>
      <c r="B7804" s="6">
        <v>97.42</v>
      </c>
    </row>
    <row r="7805" spans="1:2" ht="15.75" customHeight="1" thickBot="1" x14ac:dyDescent="0.3">
      <c r="A7805" s="7">
        <f ca="1"/>
        <v>44695</v>
      </c>
      <c r="B7805" s="5">
        <f t="shared" ref="B7805:B7806" si="1114">B7804</f>
        <v>97.42</v>
      </c>
    </row>
    <row r="7806" spans="1:2" ht="15.75" customHeight="1" thickBot="1" x14ac:dyDescent="0.3">
      <c r="A7806" s="7">
        <f ca="1"/>
        <v>44696</v>
      </c>
      <c r="B7806" s="5">
        <f t="shared" si="1114"/>
        <v>97.42</v>
      </c>
    </row>
    <row r="7807" spans="1:2" ht="15.75" customHeight="1" thickBot="1" x14ac:dyDescent="0.3">
      <c r="A7807" s="7">
        <f ca="1"/>
        <v>44697</v>
      </c>
      <c r="B7807" s="6">
        <v>98.15</v>
      </c>
    </row>
    <row r="7808" spans="1:2" ht="15.75" customHeight="1" thickBot="1" x14ac:dyDescent="0.3">
      <c r="A7808" s="7">
        <f ca="1"/>
        <v>44698</v>
      </c>
      <c r="B7808" s="6">
        <v>100.01</v>
      </c>
    </row>
    <row r="7809" spans="1:2" ht="15.75" customHeight="1" thickBot="1" x14ac:dyDescent="0.3">
      <c r="A7809" s="7">
        <f ca="1"/>
        <v>44699</v>
      </c>
      <c r="B7809" s="6">
        <v>97.36</v>
      </c>
    </row>
    <row r="7810" spans="1:2" ht="15.75" customHeight="1" thickBot="1" x14ac:dyDescent="0.3">
      <c r="A7810" s="7">
        <f ca="1"/>
        <v>44700</v>
      </c>
      <c r="B7810" s="6">
        <v>93.2</v>
      </c>
    </row>
    <row r="7811" spans="1:2" ht="15.75" customHeight="1" thickBot="1" x14ac:dyDescent="0.3">
      <c r="A7811" s="7">
        <f ca="1"/>
        <v>44701</v>
      </c>
      <c r="B7811" s="6">
        <v>97.34</v>
      </c>
    </row>
    <row r="7812" spans="1:2" ht="15.75" customHeight="1" thickBot="1" x14ac:dyDescent="0.3">
      <c r="A7812" s="7">
        <f ca="1"/>
        <v>44702</v>
      </c>
      <c r="B7812" s="5">
        <f t="shared" ref="B7812:B7813" si="1115">B7811</f>
        <v>97.34</v>
      </c>
    </row>
    <row r="7813" spans="1:2" ht="15.75" customHeight="1" thickBot="1" x14ac:dyDescent="0.3">
      <c r="A7813" s="7">
        <f ca="1"/>
        <v>44703</v>
      </c>
      <c r="B7813" s="5">
        <f t="shared" si="1115"/>
        <v>97.34</v>
      </c>
    </row>
    <row r="7814" spans="1:2" ht="15.75" customHeight="1" thickBot="1" x14ac:dyDescent="0.3">
      <c r="A7814" s="7">
        <f ca="1"/>
        <v>44704</v>
      </c>
      <c r="B7814" s="6">
        <v>98.64</v>
      </c>
    </row>
    <row r="7815" spans="1:2" ht="15.75" customHeight="1" thickBot="1" x14ac:dyDescent="0.3">
      <c r="A7815" s="7">
        <f ca="1"/>
        <v>44705</v>
      </c>
      <c r="B7815" s="6">
        <v>99.71</v>
      </c>
    </row>
    <row r="7816" spans="1:2" ht="15.75" customHeight="1" thickBot="1" x14ac:dyDescent="0.3">
      <c r="A7816" s="7">
        <f ca="1"/>
        <v>44706</v>
      </c>
      <c r="B7816" s="6">
        <v>96.61</v>
      </c>
    </row>
    <row r="7817" spans="1:2" ht="15.75" customHeight="1" thickBot="1" x14ac:dyDescent="0.3">
      <c r="A7817" s="7">
        <f ca="1"/>
        <v>44707</v>
      </c>
      <c r="B7817" s="6">
        <v>97.04</v>
      </c>
    </row>
    <row r="7818" spans="1:2" ht="15.75" customHeight="1" thickBot="1" x14ac:dyDescent="0.3">
      <c r="A7818" s="7">
        <f ca="1"/>
        <v>44708</v>
      </c>
      <c r="B7818" s="6">
        <v>100.01</v>
      </c>
    </row>
    <row r="7819" spans="1:2" ht="15.75" customHeight="1" thickBot="1" x14ac:dyDescent="0.3">
      <c r="A7819" s="7">
        <f ca="1"/>
        <v>44709</v>
      </c>
      <c r="B7819" s="5">
        <f t="shared" ref="B7819:B7821" si="1116">B7818</f>
        <v>100.01</v>
      </c>
    </row>
    <row r="7820" spans="1:2" ht="15.75" customHeight="1" thickBot="1" x14ac:dyDescent="0.3">
      <c r="A7820" s="7">
        <f ca="1"/>
        <v>44710</v>
      </c>
      <c r="B7820" s="5">
        <f t="shared" si="1116"/>
        <v>100.01</v>
      </c>
    </row>
    <row r="7821" spans="1:2" ht="15.75" customHeight="1" thickBot="1" x14ac:dyDescent="0.3">
      <c r="A7821" s="7">
        <f ca="1"/>
        <v>44711</v>
      </c>
      <c r="B7821" s="5">
        <f t="shared" si="1116"/>
        <v>100.01</v>
      </c>
    </row>
    <row r="7822" spans="1:2" ht="15.75" customHeight="1" thickBot="1" x14ac:dyDescent="0.3">
      <c r="A7822" s="7">
        <f ca="1"/>
        <v>44712</v>
      </c>
      <c r="B7822" s="6">
        <v>99.74</v>
      </c>
    </row>
    <row r="7823" spans="1:2" ht="15.75" customHeight="1" thickBot="1" x14ac:dyDescent="0.3">
      <c r="A7823" s="7">
        <f ca="1"/>
        <v>44713</v>
      </c>
      <c r="B7823" s="6">
        <v>100.94</v>
      </c>
    </row>
    <row r="7824" spans="1:2" ht="15.75" customHeight="1" thickBot="1" x14ac:dyDescent="0.3">
      <c r="A7824" s="7">
        <f ca="1"/>
        <v>44714</v>
      </c>
      <c r="B7824" s="6">
        <v>99.52</v>
      </c>
    </row>
    <row r="7825" spans="1:2" ht="15.75" customHeight="1" thickBot="1" x14ac:dyDescent="0.3">
      <c r="A7825" s="7">
        <f ca="1"/>
        <v>44715</v>
      </c>
      <c r="B7825" s="6">
        <v>100.59</v>
      </c>
    </row>
    <row r="7826" spans="1:2" ht="15.75" customHeight="1" thickBot="1" x14ac:dyDescent="0.3">
      <c r="A7826" s="7">
        <f ca="1"/>
        <v>44716</v>
      </c>
      <c r="B7826" s="5">
        <f t="shared" ref="B7826:B7827" si="1117">B7825</f>
        <v>100.59</v>
      </c>
    </row>
    <row r="7827" spans="1:2" ht="15.75" customHeight="1" thickBot="1" x14ac:dyDescent="0.3">
      <c r="A7827" s="7">
        <f ca="1"/>
        <v>44717</v>
      </c>
      <c r="B7827" s="5">
        <f t="shared" si="1117"/>
        <v>100.59</v>
      </c>
    </row>
    <row r="7828" spans="1:2" ht="15.75" customHeight="1" thickBot="1" x14ac:dyDescent="0.3">
      <c r="A7828" s="7">
        <f ca="1"/>
        <v>44718</v>
      </c>
      <c r="B7828" s="6">
        <v>102.17</v>
      </c>
    </row>
    <row r="7829" spans="1:2" ht="15.75" customHeight="1" thickBot="1" x14ac:dyDescent="0.3">
      <c r="A7829" s="7">
        <f ca="1"/>
        <v>44719</v>
      </c>
      <c r="B7829" s="6">
        <v>100.48</v>
      </c>
    </row>
    <row r="7830" spans="1:2" ht="15.75" customHeight="1" thickBot="1" x14ac:dyDescent="0.3">
      <c r="A7830" s="7">
        <f ca="1"/>
        <v>44720</v>
      </c>
      <c r="B7830" s="6">
        <v>100.57</v>
      </c>
    </row>
    <row r="7831" spans="1:2" ht="15.75" customHeight="1" thickBot="1" x14ac:dyDescent="0.3">
      <c r="A7831" s="7">
        <f ca="1"/>
        <v>44721</v>
      </c>
      <c r="B7831" s="6">
        <v>98.81</v>
      </c>
    </row>
    <row r="7832" spans="1:2" ht="15.75" customHeight="1" thickBot="1" x14ac:dyDescent="0.3">
      <c r="A7832" s="7">
        <f ca="1"/>
        <v>44722</v>
      </c>
      <c r="B7832" s="6">
        <v>95.59</v>
      </c>
    </row>
    <row r="7833" spans="1:2" ht="15.75" customHeight="1" thickBot="1" x14ac:dyDescent="0.3">
      <c r="A7833" s="7">
        <f ca="1"/>
        <v>44723</v>
      </c>
      <c r="B7833" s="5">
        <f t="shared" ref="B7833:B7834" si="1118">B7832</f>
        <v>95.59</v>
      </c>
    </row>
    <row r="7834" spans="1:2" ht="15.75" customHeight="1" thickBot="1" x14ac:dyDescent="0.3">
      <c r="A7834" s="7">
        <f ca="1"/>
        <v>44724</v>
      </c>
      <c r="B7834" s="5">
        <f t="shared" si="1118"/>
        <v>95.59</v>
      </c>
    </row>
    <row r="7835" spans="1:2" ht="15.75" customHeight="1" thickBot="1" x14ac:dyDescent="0.3">
      <c r="A7835" s="7">
        <f ca="1"/>
        <v>44725</v>
      </c>
      <c r="B7835" s="6">
        <v>90.65</v>
      </c>
    </row>
    <row r="7836" spans="1:2" ht="15.75" customHeight="1" thickBot="1" x14ac:dyDescent="0.3">
      <c r="A7836" s="7">
        <f ca="1"/>
        <v>44726</v>
      </c>
      <c r="B7836" s="6">
        <v>91.72</v>
      </c>
    </row>
    <row r="7837" spans="1:2" ht="15.75" customHeight="1" thickBot="1" x14ac:dyDescent="0.3">
      <c r="A7837" s="7">
        <f ca="1"/>
        <v>44727</v>
      </c>
      <c r="B7837" s="6">
        <v>92.77</v>
      </c>
    </row>
    <row r="7838" spans="1:2" ht="15.75" customHeight="1" thickBot="1" x14ac:dyDescent="0.3">
      <c r="A7838" s="7">
        <f ca="1"/>
        <v>44728</v>
      </c>
      <c r="B7838" s="6">
        <v>92.36</v>
      </c>
    </row>
    <row r="7839" spans="1:2" ht="15.75" customHeight="1" thickBot="1" x14ac:dyDescent="0.3">
      <c r="A7839" s="7">
        <f ca="1"/>
        <v>44729</v>
      </c>
      <c r="B7839" s="6">
        <v>92.67</v>
      </c>
    </row>
    <row r="7840" spans="1:2" ht="15.75" customHeight="1" thickBot="1" x14ac:dyDescent="0.3">
      <c r="A7840" s="7">
        <f ca="1"/>
        <v>44730</v>
      </c>
      <c r="B7840" s="5">
        <f t="shared" ref="B7840:B7842" si="1119">B7839</f>
        <v>92.67</v>
      </c>
    </row>
    <row r="7841" spans="1:2" ht="15.75" customHeight="1" thickBot="1" x14ac:dyDescent="0.3">
      <c r="A7841" s="7">
        <f ca="1"/>
        <v>44731</v>
      </c>
      <c r="B7841" s="5">
        <f t="shared" si="1119"/>
        <v>92.67</v>
      </c>
    </row>
    <row r="7842" spans="1:2" ht="15.75" customHeight="1" thickBot="1" x14ac:dyDescent="0.3">
      <c r="A7842" s="7">
        <f ca="1"/>
        <v>44732</v>
      </c>
      <c r="B7842" s="5">
        <f t="shared" si="1119"/>
        <v>92.67</v>
      </c>
    </row>
    <row r="7843" spans="1:2" ht="15.75" customHeight="1" thickBot="1" x14ac:dyDescent="0.3">
      <c r="A7843" s="7">
        <f ca="1"/>
        <v>44733</v>
      </c>
      <c r="B7843" s="6">
        <v>94.33</v>
      </c>
    </row>
    <row r="7844" spans="1:2" ht="15.75" customHeight="1" thickBot="1" x14ac:dyDescent="0.3">
      <c r="A7844" s="7">
        <f ca="1"/>
        <v>44734</v>
      </c>
      <c r="B7844" s="6">
        <v>93.08</v>
      </c>
    </row>
    <row r="7845" spans="1:2" ht="15.75" customHeight="1" thickBot="1" x14ac:dyDescent="0.3">
      <c r="A7845" s="7">
        <f ca="1"/>
        <v>44735</v>
      </c>
      <c r="B7845" s="6">
        <v>93.34</v>
      </c>
    </row>
    <row r="7846" spans="1:2" ht="15.75" customHeight="1" thickBot="1" x14ac:dyDescent="0.3">
      <c r="A7846" s="7">
        <f ca="1"/>
        <v>44736</v>
      </c>
      <c r="B7846" s="6">
        <v>95.79</v>
      </c>
    </row>
    <row r="7847" spans="1:2" ht="15.75" customHeight="1" thickBot="1" x14ac:dyDescent="0.3">
      <c r="A7847" s="7">
        <f ca="1"/>
        <v>44737</v>
      </c>
      <c r="B7847" s="5">
        <f t="shared" ref="B7847:B7848" si="1120">B7846</f>
        <v>95.79</v>
      </c>
    </row>
    <row r="7848" spans="1:2" ht="15.75" customHeight="1" thickBot="1" x14ac:dyDescent="0.3">
      <c r="A7848" s="7">
        <f ca="1"/>
        <v>44738</v>
      </c>
      <c r="B7848" s="5">
        <f t="shared" si="1120"/>
        <v>95.79</v>
      </c>
    </row>
    <row r="7849" spans="1:2" ht="15.75" customHeight="1" thickBot="1" x14ac:dyDescent="0.3">
      <c r="A7849" s="7">
        <f ca="1"/>
        <v>44739</v>
      </c>
      <c r="B7849" s="6">
        <v>97.75</v>
      </c>
    </row>
    <row r="7850" spans="1:2" ht="15.75" customHeight="1" thickBot="1" x14ac:dyDescent="0.3">
      <c r="A7850" s="7">
        <f ca="1"/>
        <v>44740</v>
      </c>
      <c r="B7850" s="6">
        <v>96.56</v>
      </c>
    </row>
    <row r="7851" spans="1:2" ht="15.75" customHeight="1" thickBot="1" x14ac:dyDescent="0.3">
      <c r="A7851" s="7">
        <f ca="1"/>
        <v>44741</v>
      </c>
      <c r="B7851" s="6">
        <v>94.33</v>
      </c>
    </row>
    <row r="7852" spans="1:2" ht="15.75" customHeight="1" thickBot="1" x14ac:dyDescent="0.3">
      <c r="A7852" s="7">
        <f ca="1"/>
        <v>44742</v>
      </c>
      <c r="B7852" s="6">
        <v>89.91</v>
      </c>
    </row>
    <row r="7853" spans="1:2" ht="15.75" customHeight="1" thickBot="1" x14ac:dyDescent="0.3">
      <c r="A7853" s="7">
        <f ca="1"/>
        <v>44743</v>
      </c>
      <c r="B7853" s="6">
        <v>89.77</v>
      </c>
    </row>
    <row r="7854" spans="1:2" ht="15.75" customHeight="1" thickBot="1" x14ac:dyDescent="0.3">
      <c r="A7854" s="7">
        <f ca="1"/>
        <v>44744</v>
      </c>
      <c r="B7854" s="5">
        <f t="shared" ref="B7854:B7856" si="1121">B7853</f>
        <v>89.77</v>
      </c>
    </row>
    <row r="7855" spans="1:2" ht="15.75" customHeight="1" thickBot="1" x14ac:dyDescent="0.3">
      <c r="A7855" s="7">
        <f ca="1"/>
        <v>44745</v>
      </c>
      <c r="B7855" s="5">
        <f t="shared" si="1121"/>
        <v>89.77</v>
      </c>
    </row>
    <row r="7856" spans="1:2" ht="15.75" customHeight="1" thickBot="1" x14ac:dyDescent="0.3">
      <c r="A7856" s="7">
        <f ca="1"/>
        <v>44746</v>
      </c>
      <c r="B7856" s="5">
        <f t="shared" si="1121"/>
        <v>89.77</v>
      </c>
    </row>
    <row r="7857" spans="1:2" ht="15.75" customHeight="1" thickBot="1" x14ac:dyDescent="0.3">
      <c r="A7857" s="7">
        <f ca="1"/>
        <v>44747</v>
      </c>
      <c r="B7857" s="6">
        <v>87.57</v>
      </c>
    </row>
    <row r="7858" spans="1:2" ht="15.75" customHeight="1" thickBot="1" x14ac:dyDescent="0.3">
      <c r="A7858" s="7">
        <f ca="1"/>
        <v>44748</v>
      </c>
      <c r="B7858" s="6">
        <v>90.04</v>
      </c>
    </row>
    <row r="7859" spans="1:2" ht="15.75" customHeight="1" thickBot="1" x14ac:dyDescent="0.3">
      <c r="A7859" s="7">
        <f ca="1"/>
        <v>44749</v>
      </c>
      <c r="B7859" s="6">
        <v>89.88</v>
      </c>
    </row>
    <row r="7860" spans="1:2" ht="15.75" customHeight="1" thickBot="1" x14ac:dyDescent="0.3">
      <c r="A7860" s="7">
        <f ca="1"/>
        <v>44750</v>
      </c>
      <c r="B7860" s="6">
        <v>90.08</v>
      </c>
    </row>
    <row r="7861" spans="1:2" ht="15.75" customHeight="1" thickBot="1" x14ac:dyDescent="0.3">
      <c r="A7861" s="7">
        <f ca="1"/>
        <v>44751</v>
      </c>
      <c r="B7861" s="5">
        <f t="shared" ref="B7861:B7862" si="1122">B7860</f>
        <v>90.08</v>
      </c>
    </row>
    <row r="7862" spans="1:2" ht="15.75" customHeight="1" thickBot="1" x14ac:dyDescent="0.3">
      <c r="A7862" s="7">
        <f ca="1"/>
        <v>44752</v>
      </c>
      <c r="B7862" s="5">
        <f t="shared" si="1122"/>
        <v>90.08</v>
      </c>
    </row>
    <row r="7863" spans="1:2" ht="15.75" customHeight="1" thickBot="1" x14ac:dyDescent="0.3">
      <c r="A7863" s="7">
        <f ca="1"/>
        <v>44753</v>
      </c>
      <c r="B7863" s="6">
        <v>89.17</v>
      </c>
    </row>
    <row r="7864" spans="1:2" ht="15.75" customHeight="1" thickBot="1" x14ac:dyDescent="0.3">
      <c r="A7864" s="7">
        <f ca="1"/>
        <v>44754</v>
      </c>
      <c r="B7864" s="6">
        <v>87.85</v>
      </c>
    </row>
    <row r="7865" spans="1:2" ht="15.75" customHeight="1" thickBot="1" x14ac:dyDescent="0.3">
      <c r="A7865" s="7">
        <f ca="1"/>
        <v>44755</v>
      </c>
      <c r="B7865" s="6">
        <v>84.57</v>
      </c>
    </row>
    <row r="7866" spans="1:2" ht="15.75" customHeight="1" thickBot="1" x14ac:dyDescent="0.3">
      <c r="A7866" s="7">
        <f ca="1"/>
        <v>44756</v>
      </c>
      <c r="B7866" s="6">
        <v>84.64</v>
      </c>
    </row>
    <row r="7867" spans="1:2" ht="15.75" customHeight="1" thickBot="1" x14ac:dyDescent="0.3">
      <c r="A7867" s="7">
        <f ca="1"/>
        <v>44757</v>
      </c>
      <c r="B7867" s="6">
        <v>87</v>
      </c>
    </row>
    <row r="7868" spans="1:2" ht="15.75" customHeight="1" thickBot="1" x14ac:dyDescent="0.3">
      <c r="A7868" s="7">
        <f ca="1"/>
        <v>44758</v>
      </c>
      <c r="B7868" s="5">
        <f t="shared" ref="B7868:B7869" si="1123">B7867</f>
        <v>87</v>
      </c>
    </row>
    <row r="7869" spans="1:2" ht="15.75" customHeight="1" thickBot="1" x14ac:dyDescent="0.3">
      <c r="A7869" s="7">
        <f ca="1"/>
        <v>44759</v>
      </c>
      <c r="B7869" s="5">
        <f t="shared" si="1123"/>
        <v>87</v>
      </c>
    </row>
    <row r="7870" spans="1:2" ht="15.75" customHeight="1" thickBot="1" x14ac:dyDescent="0.3">
      <c r="A7870" s="7">
        <f ca="1"/>
        <v>44760</v>
      </c>
      <c r="B7870" s="6">
        <v>88.76</v>
      </c>
    </row>
    <row r="7871" spans="1:2" ht="15.75" customHeight="1" thickBot="1" x14ac:dyDescent="0.3">
      <c r="A7871" s="7">
        <f ca="1"/>
        <v>44761</v>
      </c>
      <c r="B7871" s="6">
        <v>90.56</v>
      </c>
    </row>
    <row r="7872" spans="1:2" ht="15.75" customHeight="1" thickBot="1" x14ac:dyDescent="0.3">
      <c r="A7872" s="7">
        <f ca="1"/>
        <v>44762</v>
      </c>
      <c r="B7872" s="6">
        <v>91.77</v>
      </c>
    </row>
    <row r="7873" spans="1:2" ht="15.75" customHeight="1" thickBot="1" x14ac:dyDescent="0.3">
      <c r="A7873" s="7">
        <f ca="1"/>
        <v>44763</v>
      </c>
      <c r="B7873" s="6">
        <v>87.84</v>
      </c>
    </row>
    <row r="7874" spans="1:2" ht="15.75" customHeight="1" thickBot="1" x14ac:dyDescent="0.3">
      <c r="A7874" s="7">
        <f ca="1"/>
        <v>44764</v>
      </c>
      <c r="B7874" s="6">
        <v>94.78</v>
      </c>
    </row>
    <row r="7875" spans="1:2" ht="15.75" customHeight="1" thickBot="1" x14ac:dyDescent="0.3">
      <c r="A7875" s="7">
        <f ca="1"/>
        <v>44765</v>
      </c>
      <c r="B7875" s="5">
        <f t="shared" ref="B7875:B7876" si="1124">B7874</f>
        <v>94.78</v>
      </c>
    </row>
    <row r="7876" spans="1:2" ht="15.75" customHeight="1" thickBot="1" x14ac:dyDescent="0.3">
      <c r="A7876" s="7">
        <f ca="1"/>
        <v>44766</v>
      </c>
      <c r="B7876" s="5">
        <f t="shared" si="1124"/>
        <v>94.78</v>
      </c>
    </row>
    <row r="7877" spans="1:2" ht="15.75" customHeight="1" thickBot="1" x14ac:dyDescent="0.3">
      <c r="A7877" s="7">
        <f ca="1"/>
        <v>44767</v>
      </c>
      <c r="B7877" s="6">
        <v>93</v>
      </c>
    </row>
    <row r="7878" spans="1:2" ht="15.75" customHeight="1" thickBot="1" x14ac:dyDescent="0.3">
      <c r="A7878" s="7">
        <f ca="1"/>
        <v>44768</v>
      </c>
      <c r="B7878" s="6">
        <v>90.88</v>
      </c>
    </row>
    <row r="7879" spans="1:2" ht="15.75" customHeight="1" thickBot="1" x14ac:dyDescent="0.3">
      <c r="A7879" s="7">
        <f ca="1"/>
        <v>44769</v>
      </c>
      <c r="B7879" s="6">
        <v>89.6</v>
      </c>
    </row>
    <row r="7880" spans="1:2" ht="15.75" customHeight="1" thickBot="1" x14ac:dyDescent="0.3">
      <c r="A7880" s="7">
        <f ca="1"/>
        <v>44770</v>
      </c>
      <c r="B7880" s="6">
        <v>90.73</v>
      </c>
    </row>
    <row r="7881" spans="1:2" ht="15.75" customHeight="1" thickBot="1" x14ac:dyDescent="0.3">
      <c r="A7881" s="7">
        <f ca="1"/>
        <v>44771</v>
      </c>
      <c r="B7881" s="6">
        <v>92.54</v>
      </c>
    </row>
    <row r="7882" spans="1:2" ht="15.75" customHeight="1" thickBot="1" x14ac:dyDescent="0.3">
      <c r="A7882" s="7">
        <f ca="1"/>
        <v>44772</v>
      </c>
      <c r="B7882" s="5">
        <f t="shared" ref="B7882:B7883" si="1125">B7881</f>
        <v>92.54</v>
      </c>
    </row>
    <row r="7883" spans="1:2" ht="15.75" customHeight="1" thickBot="1" x14ac:dyDescent="0.3">
      <c r="A7883" s="7">
        <f ca="1"/>
        <v>44773</v>
      </c>
      <c r="B7883" s="5">
        <f t="shared" si="1125"/>
        <v>92.54</v>
      </c>
    </row>
    <row r="7884" spans="1:2" ht="15.75" customHeight="1" thickBot="1" x14ac:dyDescent="0.3">
      <c r="A7884" s="7">
        <f ca="1"/>
        <v>44774</v>
      </c>
      <c r="B7884" s="6">
        <v>93.78</v>
      </c>
    </row>
    <row r="7885" spans="1:2" ht="15.75" customHeight="1" thickBot="1" x14ac:dyDescent="0.3">
      <c r="A7885" s="7">
        <f ca="1"/>
        <v>44775</v>
      </c>
      <c r="B7885" s="6">
        <v>91.55</v>
      </c>
    </row>
    <row r="7886" spans="1:2" ht="15.75" customHeight="1" thickBot="1" x14ac:dyDescent="0.3">
      <c r="A7886" s="7">
        <f ca="1"/>
        <v>44776</v>
      </c>
      <c r="B7886" s="6">
        <v>92.26</v>
      </c>
    </row>
    <row r="7887" spans="1:2" ht="15.75" customHeight="1" thickBot="1" x14ac:dyDescent="0.3">
      <c r="A7887" s="7">
        <f ca="1"/>
        <v>44777</v>
      </c>
      <c r="B7887" s="6">
        <v>95.14</v>
      </c>
    </row>
    <row r="7888" spans="1:2" ht="15.75" customHeight="1" thickBot="1" x14ac:dyDescent="0.3">
      <c r="A7888" s="7">
        <f ca="1"/>
        <v>44778</v>
      </c>
      <c r="B7888" s="6">
        <v>93.65</v>
      </c>
    </row>
    <row r="7889" spans="1:2" ht="15.75" customHeight="1" thickBot="1" x14ac:dyDescent="0.3">
      <c r="A7889" s="7">
        <f ca="1"/>
        <v>44779</v>
      </c>
      <c r="B7889" s="5">
        <f t="shared" ref="B7889:B7890" si="1126">B7888</f>
        <v>93.65</v>
      </c>
    </row>
    <row r="7890" spans="1:2" ht="15.75" customHeight="1" thickBot="1" x14ac:dyDescent="0.3">
      <c r="A7890" s="7">
        <f ca="1"/>
        <v>44780</v>
      </c>
      <c r="B7890" s="5">
        <f t="shared" si="1126"/>
        <v>93.65</v>
      </c>
    </row>
    <row r="7891" spans="1:2" ht="15.75" customHeight="1" thickBot="1" x14ac:dyDescent="0.3">
      <c r="A7891" s="7">
        <f ca="1"/>
        <v>44781</v>
      </c>
      <c r="B7891" s="6">
        <v>95.02</v>
      </c>
    </row>
    <row r="7892" spans="1:2" ht="15.75" customHeight="1" thickBot="1" x14ac:dyDescent="0.3">
      <c r="A7892" s="7">
        <f ca="1"/>
        <v>44782</v>
      </c>
      <c r="B7892" s="6">
        <v>94.19</v>
      </c>
    </row>
    <row r="7893" spans="1:2" ht="15.75" customHeight="1" thickBot="1" x14ac:dyDescent="0.3">
      <c r="A7893" s="7">
        <f ca="1"/>
        <v>44783</v>
      </c>
      <c r="B7893" s="6">
        <v>96.2</v>
      </c>
    </row>
    <row r="7894" spans="1:2" ht="15.75" customHeight="1" thickBot="1" x14ac:dyDescent="0.3">
      <c r="A7894" s="7">
        <f ca="1"/>
        <v>44784</v>
      </c>
      <c r="B7894" s="6">
        <v>96.19</v>
      </c>
    </row>
    <row r="7895" spans="1:2" ht="15.75" customHeight="1" thickBot="1" x14ac:dyDescent="0.3">
      <c r="A7895" s="7">
        <f ca="1"/>
        <v>44785</v>
      </c>
      <c r="B7895" s="6">
        <v>95.51</v>
      </c>
    </row>
    <row r="7896" spans="1:2" ht="15.75" customHeight="1" thickBot="1" x14ac:dyDescent="0.3">
      <c r="A7896" s="7">
        <f ca="1"/>
        <v>44786</v>
      </c>
      <c r="B7896" s="5">
        <f t="shared" ref="B7896:B7897" si="1127">B7895</f>
        <v>95.51</v>
      </c>
    </row>
    <row r="7897" spans="1:2" ht="15.75" customHeight="1" thickBot="1" x14ac:dyDescent="0.3">
      <c r="A7897" s="7">
        <f ca="1"/>
        <v>44787</v>
      </c>
      <c r="B7897" s="5">
        <f t="shared" si="1127"/>
        <v>95.51</v>
      </c>
    </row>
    <row r="7898" spans="1:2" ht="15.75" customHeight="1" thickBot="1" x14ac:dyDescent="0.3">
      <c r="A7898" s="7">
        <f ca="1"/>
        <v>44788</v>
      </c>
      <c r="B7898" s="6">
        <v>94.91</v>
      </c>
    </row>
    <row r="7899" spans="1:2" ht="15.75" customHeight="1" thickBot="1" x14ac:dyDescent="0.3">
      <c r="A7899" s="7">
        <f ca="1"/>
        <v>44789</v>
      </c>
      <c r="B7899" s="6">
        <v>94.19</v>
      </c>
    </row>
    <row r="7900" spans="1:2" ht="15.75" customHeight="1" thickBot="1" x14ac:dyDescent="0.3">
      <c r="A7900" s="7">
        <f ca="1"/>
        <v>44790</v>
      </c>
      <c r="B7900" s="6">
        <v>93.08</v>
      </c>
    </row>
    <row r="7901" spans="1:2" ht="15.75" customHeight="1" thickBot="1" x14ac:dyDescent="0.3">
      <c r="A7901" s="7">
        <f ca="1"/>
        <v>44791</v>
      </c>
      <c r="B7901" s="6">
        <v>92.74</v>
      </c>
    </row>
    <row r="7902" spans="1:2" ht="15.75" customHeight="1" thickBot="1" x14ac:dyDescent="0.3">
      <c r="A7902" s="7">
        <f ca="1"/>
        <v>44792</v>
      </c>
      <c r="B7902" s="6">
        <v>92.35</v>
      </c>
    </row>
    <row r="7903" spans="1:2" ht="15.75" customHeight="1" thickBot="1" x14ac:dyDescent="0.3">
      <c r="A7903" s="7">
        <f ca="1"/>
        <v>44793</v>
      </c>
      <c r="B7903" s="5">
        <f t="shared" ref="B7903:B7904" si="1128">B7902</f>
        <v>92.35</v>
      </c>
    </row>
    <row r="7904" spans="1:2" ht="15.75" customHeight="1" thickBot="1" x14ac:dyDescent="0.3">
      <c r="A7904" s="7">
        <f ca="1"/>
        <v>44794</v>
      </c>
      <c r="B7904" s="5">
        <f t="shared" si="1128"/>
        <v>92.35</v>
      </c>
    </row>
    <row r="7905" spans="1:2" ht="15.75" customHeight="1" thickBot="1" x14ac:dyDescent="0.3">
      <c r="A7905" s="7">
        <f ca="1"/>
        <v>44795</v>
      </c>
      <c r="B7905" s="6">
        <v>89.45</v>
      </c>
    </row>
    <row r="7906" spans="1:2" ht="15.75" customHeight="1" thickBot="1" x14ac:dyDescent="0.3">
      <c r="A7906" s="7">
        <f ca="1"/>
        <v>44796</v>
      </c>
      <c r="B7906" s="6">
        <v>87.9</v>
      </c>
    </row>
    <row r="7907" spans="1:2" ht="15.75" customHeight="1" thickBot="1" x14ac:dyDescent="0.3">
      <c r="A7907" s="7">
        <f ca="1"/>
        <v>44797</v>
      </c>
      <c r="B7907" s="6">
        <v>87.03</v>
      </c>
    </row>
    <row r="7908" spans="1:2" ht="15.75" customHeight="1" thickBot="1" x14ac:dyDescent="0.3">
      <c r="A7908" s="7">
        <f ca="1"/>
        <v>44798</v>
      </c>
      <c r="B7908" s="6">
        <v>87.34</v>
      </c>
    </row>
    <row r="7909" spans="1:2" ht="15.75" customHeight="1" thickBot="1" x14ac:dyDescent="0.3">
      <c r="A7909" s="7">
        <f ca="1"/>
        <v>44799</v>
      </c>
      <c r="B7909" s="6">
        <v>87.85</v>
      </c>
    </row>
    <row r="7910" spans="1:2" ht="15.75" customHeight="1" thickBot="1" x14ac:dyDescent="0.3">
      <c r="A7910" s="7">
        <f ca="1"/>
        <v>44800</v>
      </c>
      <c r="B7910" s="5">
        <f t="shared" ref="B7910:B7911" si="1129">B7909</f>
        <v>87.85</v>
      </c>
    </row>
    <row r="7911" spans="1:2" ht="15.75" customHeight="1" thickBot="1" x14ac:dyDescent="0.3">
      <c r="A7911" s="7">
        <f ca="1"/>
        <v>44801</v>
      </c>
      <c r="B7911" s="5">
        <f t="shared" si="1129"/>
        <v>87.85</v>
      </c>
    </row>
    <row r="7912" spans="1:2" ht="15.75" customHeight="1" thickBot="1" x14ac:dyDescent="0.3">
      <c r="A7912" s="7">
        <f ca="1"/>
        <v>44802</v>
      </c>
      <c r="B7912" s="6">
        <v>84.36</v>
      </c>
    </row>
    <row r="7913" spans="1:2" ht="15.75" customHeight="1" thickBot="1" x14ac:dyDescent="0.3">
      <c r="A7913" s="7">
        <f ca="1"/>
        <v>44803</v>
      </c>
      <c r="B7913" s="6">
        <v>85.69</v>
      </c>
    </row>
    <row r="7914" spans="1:2" ht="15.75" customHeight="1" thickBot="1" x14ac:dyDescent="0.3">
      <c r="A7914" s="7">
        <f ca="1"/>
        <v>44804</v>
      </c>
      <c r="B7914" s="6">
        <v>85.33</v>
      </c>
    </row>
    <row r="7915" spans="1:2" ht="15.75" customHeight="1" thickBot="1" x14ac:dyDescent="0.3">
      <c r="A7915" s="7">
        <f ca="1"/>
        <v>44805</v>
      </c>
      <c r="B7915" s="6">
        <v>84.53</v>
      </c>
    </row>
    <row r="7916" spans="1:2" ht="15.75" customHeight="1" thickBot="1" x14ac:dyDescent="0.3">
      <c r="A7916" s="7">
        <f ca="1"/>
        <v>44806</v>
      </c>
      <c r="B7916" s="6">
        <v>84.84</v>
      </c>
    </row>
    <row r="7917" spans="1:2" ht="15.75" customHeight="1" thickBot="1" x14ac:dyDescent="0.3">
      <c r="A7917" s="7">
        <f ca="1"/>
        <v>44807</v>
      </c>
      <c r="B7917" s="5">
        <f t="shared" ref="B7917:B7919" si="1130">B7916</f>
        <v>84.84</v>
      </c>
    </row>
    <row r="7918" spans="1:2" ht="15.75" customHeight="1" thickBot="1" x14ac:dyDescent="0.3">
      <c r="A7918" s="7">
        <f ca="1"/>
        <v>44808</v>
      </c>
      <c r="B7918" s="5">
        <f t="shared" si="1130"/>
        <v>84.84</v>
      </c>
    </row>
    <row r="7919" spans="1:2" ht="15.75" customHeight="1" thickBot="1" x14ac:dyDescent="0.3">
      <c r="A7919" s="7">
        <f ca="1"/>
        <v>44809</v>
      </c>
      <c r="B7919" s="5">
        <f t="shared" si="1130"/>
        <v>84.84</v>
      </c>
    </row>
    <row r="7920" spans="1:2" ht="15.75" customHeight="1" thickBot="1" x14ac:dyDescent="0.3">
      <c r="A7920" s="7">
        <f ca="1"/>
        <v>44810</v>
      </c>
      <c r="B7920" s="6">
        <v>84.83</v>
      </c>
    </row>
    <row r="7921" spans="1:2" ht="15.75" customHeight="1" thickBot="1" x14ac:dyDescent="0.3">
      <c r="A7921" s="7">
        <f ca="1"/>
        <v>44811</v>
      </c>
      <c r="B7921" s="6">
        <v>84.6</v>
      </c>
    </row>
    <row r="7922" spans="1:2" ht="15.75" customHeight="1" thickBot="1" x14ac:dyDescent="0.3">
      <c r="A7922" s="7">
        <f ca="1"/>
        <v>44812</v>
      </c>
      <c r="B7922" s="6">
        <v>83.69</v>
      </c>
    </row>
    <row r="7923" spans="1:2" ht="15.75" customHeight="1" thickBot="1" x14ac:dyDescent="0.3">
      <c r="A7923" s="7">
        <f ca="1"/>
        <v>44813</v>
      </c>
      <c r="B7923" s="6">
        <v>86.4</v>
      </c>
    </row>
    <row r="7924" spans="1:2" ht="15.75" customHeight="1" thickBot="1" x14ac:dyDescent="0.3">
      <c r="A7924" s="7">
        <f ca="1"/>
        <v>44814</v>
      </c>
      <c r="B7924" s="5">
        <f t="shared" ref="B7924:B7925" si="1131">B7923</f>
        <v>86.4</v>
      </c>
    </row>
    <row r="7925" spans="1:2" ht="15.75" customHeight="1" thickBot="1" x14ac:dyDescent="0.3">
      <c r="A7925" s="7">
        <f ca="1"/>
        <v>44815</v>
      </c>
      <c r="B7925" s="5">
        <f t="shared" si="1131"/>
        <v>86.4</v>
      </c>
    </row>
    <row r="7926" spans="1:2" ht="15.75" customHeight="1" thickBot="1" x14ac:dyDescent="0.3">
      <c r="A7926" s="7">
        <f ca="1"/>
        <v>44816</v>
      </c>
      <c r="B7926" s="6">
        <v>88.5</v>
      </c>
    </row>
    <row r="7927" spans="1:2" ht="15.75" customHeight="1" thickBot="1" x14ac:dyDescent="0.3">
      <c r="A7927" s="7">
        <f ca="1"/>
        <v>44817</v>
      </c>
      <c r="B7927" s="6">
        <v>87.01</v>
      </c>
    </row>
    <row r="7928" spans="1:2" ht="15.75" customHeight="1" thickBot="1" x14ac:dyDescent="0.3">
      <c r="A7928" s="7">
        <f ca="1"/>
        <v>44818</v>
      </c>
      <c r="B7928" s="6">
        <v>85.54</v>
      </c>
    </row>
    <row r="7929" spans="1:2" ht="15.75" customHeight="1" thickBot="1" x14ac:dyDescent="0.3">
      <c r="A7929" s="7">
        <f ca="1"/>
        <v>44819</v>
      </c>
      <c r="B7929" s="6">
        <v>85.5</v>
      </c>
    </row>
    <row r="7930" spans="1:2" ht="15.75" customHeight="1" thickBot="1" x14ac:dyDescent="0.3">
      <c r="A7930" s="7">
        <f ca="1"/>
        <v>44820</v>
      </c>
      <c r="B7930" s="6">
        <v>83</v>
      </c>
    </row>
    <row r="7931" spans="1:2" ht="15.75" customHeight="1" thickBot="1" x14ac:dyDescent="0.3">
      <c r="A7931" s="7">
        <f ca="1"/>
        <v>44821</v>
      </c>
      <c r="B7931" s="5">
        <f t="shared" ref="B7931:B7932" si="1132">B7930</f>
        <v>83</v>
      </c>
    </row>
    <row r="7932" spans="1:2" ht="15.75" customHeight="1" thickBot="1" x14ac:dyDescent="0.3">
      <c r="A7932" s="7">
        <f ca="1"/>
        <v>44822</v>
      </c>
      <c r="B7932" s="5">
        <f t="shared" si="1132"/>
        <v>83</v>
      </c>
    </row>
    <row r="7933" spans="1:2" ht="15.75" customHeight="1" thickBot="1" x14ac:dyDescent="0.3">
      <c r="A7933" s="7">
        <f ca="1"/>
        <v>44823</v>
      </c>
      <c r="B7933" s="6">
        <v>82.69</v>
      </c>
    </row>
    <row r="7934" spans="1:2" ht="15.75" customHeight="1" thickBot="1" x14ac:dyDescent="0.3">
      <c r="A7934" s="7">
        <f ca="1"/>
        <v>44824</v>
      </c>
      <c r="B7934" s="6">
        <v>82.75</v>
      </c>
    </row>
    <row r="7935" spans="1:2" ht="15.75" customHeight="1" thickBot="1" x14ac:dyDescent="0.3">
      <c r="A7935" s="7">
        <f ca="1"/>
        <v>44825</v>
      </c>
      <c r="B7935" s="6">
        <v>83.07</v>
      </c>
    </row>
    <row r="7936" spans="1:2" ht="15.75" customHeight="1" thickBot="1" x14ac:dyDescent="0.3">
      <c r="A7936" s="7">
        <f ca="1"/>
        <v>44826</v>
      </c>
      <c r="B7936" s="6">
        <v>82.04</v>
      </c>
    </row>
    <row r="7937" spans="1:2" ht="15.75" customHeight="1" thickBot="1" x14ac:dyDescent="0.3">
      <c r="A7937" s="7">
        <f ca="1"/>
        <v>44827</v>
      </c>
      <c r="B7937" s="6">
        <v>79.180000000000007</v>
      </c>
    </row>
    <row r="7938" spans="1:2" ht="15.75" customHeight="1" thickBot="1" x14ac:dyDescent="0.3">
      <c r="A7938" s="7">
        <f ca="1"/>
        <v>44828</v>
      </c>
      <c r="B7938" s="5">
        <f t="shared" ref="B7938:B7939" si="1133">B7937</f>
        <v>79.180000000000007</v>
      </c>
    </row>
    <row r="7939" spans="1:2" ht="15.75" customHeight="1" thickBot="1" x14ac:dyDescent="0.3">
      <c r="A7939" s="7">
        <f ca="1"/>
        <v>44829</v>
      </c>
      <c r="B7939" s="5">
        <f t="shared" si="1133"/>
        <v>79.180000000000007</v>
      </c>
    </row>
    <row r="7940" spans="1:2" ht="15.75" customHeight="1" thickBot="1" x14ac:dyDescent="0.3">
      <c r="A7940" s="7">
        <f ca="1"/>
        <v>44830</v>
      </c>
      <c r="B7940" s="6">
        <v>80.08</v>
      </c>
    </row>
    <row r="7941" spans="1:2" ht="15.75" customHeight="1" thickBot="1" x14ac:dyDescent="0.3">
      <c r="A7941" s="7">
        <f ca="1"/>
        <v>44831</v>
      </c>
      <c r="B7941" s="6">
        <v>80.48</v>
      </c>
    </row>
    <row r="7942" spans="1:2" ht="15.75" customHeight="1" thickBot="1" x14ac:dyDescent="0.3">
      <c r="A7942" s="7">
        <f ca="1"/>
        <v>44832</v>
      </c>
      <c r="B7942" s="6">
        <v>79.37</v>
      </c>
    </row>
    <row r="7943" spans="1:2" ht="15.75" customHeight="1" thickBot="1" x14ac:dyDescent="0.3">
      <c r="A7943" s="7">
        <f ca="1"/>
        <v>44833</v>
      </c>
      <c r="B7943" s="6">
        <v>80.25</v>
      </c>
    </row>
    <row r="7944" spans="1:2" ht="15.75" customHeight="1" thickBot="1" x14ac:dyDescent="0.3">
      <c r="A7944" s="7">
        <f ca="1"/>
        <v>44834</v>
      </c>
      <c r="B7944" s="6">
        <v>81.459999999999994</v>
      </c>
    </row>
    <row r="7945" spans="1:2" ht="15.75" customHeight="1" thickBot="1" x14ac:dyDescent="0.3">
      <c r="A7945" s="7">
        <f ca="1"/>
        <v>44835</v>
      </c>
      <c r="B7945" s="5">
        <f t="shared" ref="B7945:B7946" si="1134">B7944</f>
        <v>81.459999999999994</v>
      </c>
    </row>
    <row r="7946" spans="1:2" ht="15.75" customHeight="1" thickBot="1" x14ac:dyDescent="0.3">
      <c r="A7946" s="7">
        <f ca="1"/>
        <v>44836</v>
      </c>
      <c r="B7946" s="5">
        <f t="shared" si="1134"/>
        <v>81.459999999999994</v>
      </c>
    </row>
    <row r="7947" spans="1:2" ht="15.75" customHeight="1" thickBot="1" x14ac:dyDescent="0.3">
      <c r="A7947" s="7">
        <f ca="1"/>
        <v>44837</v>
      </c>
      <c r="B7947" s="6">
        <v>82.45</v>
      </c>
    </row>
    <row r="7948" spans="1:2" ht="15.75" customHeight="1" thickBot="1" x14ac:dyDescent="0.3">
      <c r="A7948" s="7">
        <f ca="1"/>
        <v>44838</v>
      </c>
      <c r="B7948" s="6">
        <v>86.82</v>
      </c>
    </row>
    <row r="7949" spans="1:2" ht="15.75" customHeight="1" thickBot="1" x14ac:dyDescent="0.3">
      <c r="A7949" s="7">
        <f ca="1"/>
        <v>44839</v>
      </c>
      <c r="B7949" s="6">
        <v>86.19</v>
      </c>
    </row>
    <row r="7950" spans="1:2" ht="15.75" customHeight="1" thickBot="1" x14ac:dyDescent="0.3">
      <c r="A7950" s="7">
        <f ca="1"/>
        <v>44840</v>
      </c>
      <c r="B7950" s="6">
        <v>86.59</v>
      </c>
    </row>
    <row r="7951" spans="1:2" ht="15.75" customHeight="1" thickBot="1" x14ac:dyDescent="0.3">
      <c r="A7951" s="7">
        <f ca="1"/>
        <v>44841</v>
      </c>
      <c r="B7951" s="6">
        <v>85.39</v>
      </c>
    </row>
    <row r="7952" spans="1:2" ht="15.75" customHeight="1" thickBot="1" x14ac:dyDescent="0.3">
      <c r="A7952" s="7">
        <f ca="1"/>
        <v>44842</v>
      </c>
      <c r="B7952" s="5">
        <f t="shared" ref="B7952:B7953" si="1135">B7951</f>
        <v>85.39</v>
      </c>
    </row>
    <row r="7953" spans="1:2" ht="15.75" customHeight="1" thickBot="1" x14ac:dyDescent="0.3">
      <c r="A7953" s="7">
        <f ca="1"/>
        <v>44843</v>
      </c>
      <c r="B7953" s="5">
        <f t="shared" si="1135"/>
        <v>85.39</v>
      </c>
    </row>
    <row r="7954" spans="1:2" ht="15.75" customHeight="1" thickBot="1" x14ac:dyDescent="0.3">
      <c r="A7954" s="7">
        <f ca="1"/>
        <v>44844</v>
      </c>
      <c r="B7954" s="6">
        <v>84.46</v>
      </c>
    </row>
    <row r="7955" spans="1:2" ht="15.75" customHeight="1" thickBot="1" x14ac:dyDescent="0.3">
      <c r="A7955" s="7">
        <f ca="1"/>
        <v>44845</v>
      </c>
      <c r="B7955" s="6">
        <v>83.64</v>
      </c>
    </row>
    <row r="7956" spans="1:2" ht="15.75" customHeight="1" thickBot="1" x14ac:dyDescent="0.3">
      <c r="A7956" s="7">
        <f ca="1"/>
        <v>44846</v>
      </c>
      <c r="B7956" s="6">
        <v>83.27</v>
      </c>
    </row>
    <row r="7957" spans="1:2" ht="15.75" customHeight="1" thickBot="1" x14ac:dyDescent="0.3">
      <c r="A7957" s="7">
        <f ca="1"/>
        <v>44847</v>
      </c>
      <c r="B7957" s="6">
        <v>80.98</v>
      </c>
    </row>
    <row r="7958" spans="1:2" ht="15.75" customHeight="1" thickBot="1" x14ac:dyDescent="0.3">
      <c r="A7958" s="7">
        <f ca="1"/>
        <v>44848</v>
      </c>
      <c r="B7958" s="6">
        <v>86.7</v>
      </c>
    </row>
    <row r="7959" spans="1:2" ht="15.75" customHeight="1" thickBot="1" x14ac:dyDescent="0.3">
      <c r="A7959" s="7">
        <f ca="1"/>
        <v>44849</v>
      </c>
      <c r="B7959" s="5">
        <f t="shared" ref="B7959:B7960" si="1136">B7958</f>
        <v>86.7</v>
      </c>
    </row>
    <row r="7960" spans="1:2" ht="15.75" customHeight="1" thickBot="1" x14ac:dyDescent="0.3">
      <c r="A7960" s="7">
        <f ca="1"/>
        <v>44850</v>
      </c>
      <c r="B7960" s="5">
        <f t="shared" si="1136"/>
        <v>86.7</v>
      </c>
    </row>
    <row r="7961" spans="1:2" ht="15.75" customHeight="1" thickBot="1" x14ac:dyDescent="0.3">
      <c r="A7961" s="7">
        <f ca="1"/>
        <v>44851</v>
      </c>
      <c r="B7961" s="6">
        <v>86.41</v>
      </c>
    </row>
    <row r="7962" spans="1:2" ht="15.75" customHeight="1" thickBot="1" x14ac:dyDescent="0.3">
      <c r="A7962" s="7">
        <f ca="1"/>
        <v>44852</v>
      </c>
      <c r="B7962" s="6">
        <v>90.22</v>
      </c>
    </row>
    <row r="7963" spans="1:2" ht="15.75" customHeight="1" thickBot="1" x14ac:dyDescent="0.3">
      <c r="A7963" s="7">
        <f ca="1"/>
        <v>44853</v>
      </c>
      <c r="B7963" s="6">
        <v>87.71</v>
      </c>
    </row>
    <row r="7964" spans="1:2" ht="15.75" customHeight="1" thickBot="1" x14ac:dyDescent="0.3">
      <c r="A7964" s="7">
        <f ca="1"/>
        <v>44854</v>
      </c>
      <c r="B7964" s="6">
        <v>86.91</v>
      </c>
    </row>
    <row r="7965" spans="1:2" ht="15.75" customHeight="1" thickBot="1" x14ac:dyDescent="0.3">
      <c r="A7965" s="7">
        <f ca="1"/>
        <v>44855</v>
      </c>
      <c r="B7965" s="6">
        <v>88.44</v>
      </c>
    </row>
    <row r="7966" spans="1:2" ht="15.75" customHeight="1" thickBot="1" x14ac:dyDescent="0.3">
      <c r="A7966" s="7">
        <f ca="1"/>
        <v>44856</v>
      </c>
      <c r="B7966" s="5">
        <f t="shared" ref="B7966:B7967" si="1137">B7965</f>
        <v>88.44</v>
      </c>
    </row>
    <row r="7967" spans="1:2" ht="15.75" customHeight="1" thickBot="1" x14ac:dyDescent="0.3">
      <c r="A7967" s="7">
        <f ca="1"/>
        <v>44857</v>
      </c>
      <c r="B7967" s="5">
        <f t="shared" si="1137"/>
        <v>88.44</v>
      </c>
    </row>
    <row r="7968" spans="1:2" ht="15.75" customHeight="1" thickBot="1" x14ac:dyDescent="0.3">
      <c r="A7968" s="7">
        <f ca="1"/>
        <v>44858</v>
      </c>
      <c r="B7968" s="6">
        <v>90.62</v>
      </c>
    </row>
    <row r="7969" spans="1:2" ht="15.75" customHeight="1" thickBot="1" x14ac:dyDescent="0.3">
      <c r="A7969" s="7">
        <f ca="1"/>
        <v>44859</v>
      </c>
      <c r="B7969" s="6">
        <v>96.58</v>
      </c>
    </row>
    <row r="7970" spans="1:2" ht="15.75" customHeight="1" thickBot="1" x14ac:dyDescent="0.3">
      <c r="A7970" s="7">
        <f ca="1"/>
        <v>44860</v>
      </c>
      <c r="B7970" s="6">
        <v>96.23</v>
      </c>
    </row>
    <row r="7971" spans="1:2" ht="15.75" customHeight="1" thickBot="1" x14ac:dyDescent="0.3">
      <c r="A7971" s="7">
        <f ca="1"/>
        <v>44861</v>
      </c>
      <c r="B7971" s="6">
        <v>97.73</v>
      </c>
    </row>
    <row r="7972" spans="1:2" ht="15.75" customHeight="1" thickBot="1" x14ac:dyDescent="0.3">
      <c r="A7972" s="7">
        <f ca="1"/>
        <v>44862</v>
      </c>
      <c r="B7972" s="6">
        <v>96.58</v>
      </c>
    </row>
    <row r="7973" spans="1:2" ht="15.75" customHeight="1" thickBot="1" x14ac:dyDescent="0.3">
      <c r="A7973" s="7">
        <f ca="1"/>
        <v>44863</v>
      </c>
      <c r="B7973" s="5">
        <f t="shared" ref="B7973:B7974" si="1138">B7972</f>
        <v>96.58</v>
      </c>
    </row>
    <row r="7974" spans="1:2" ht="15.75" customHeight="1" thickBot="1" x14ac:dyDescent="0.3">
      <c r="A7974" s="7">
        <f ca="1"/>
        <v>44864</v>
      </c>
      <c r="B7974" s="5">
        <f t="shared" si="1138"/>
        <v>96.58</v>
      </c>
    </row>
    <row r="7975" spans="1:2" ht="15.75" customHeight="1" thickBot="1" x14ac:dyDescent="0.3">
      <c r="A7975" s="7">
        <f ca="1"/>
        <v>44865</v>
      </c>
      <c r="B7975" s="6">
        <v>96.48</v>
      </c>
    </row>
    <row r="7976" spans="1:2" ht="15.75" customHeight="1" thickBot="1" x14ac:dyDescent="0.3">
      <c r="A7976" s="7">
        <f ca="1"/>
        <v>44866</v>
      </c>
      <c r="B7976" s="6">
        <v>97.21</v>
      </c>
    </row>
    <row r="7977" spans="1:2" ht="15.75" customHeight="1" thickBot="1" x14ac:dyDescent="0.3">
      <c r="A7977" s="7">
        <f ca="1"/>
        <v>44867</v>
      </c>
      <c r="B7977" s="6">
        <v>96.66</v>
      </c>
    </row>
    <row r="7978" spans="1:2" ht="15.75" customHeight="1" thickBot="1" x14ac:dyDescent="0.3">
      <c r="A7978" s="7">
        <f ca="1"/>
        <v>44868</v>
      </c>
      <c r="B7978" s="6">
        <v>93.31</v>
      </c>
    </row>
    <row r="7979" spans="1:2" ht="15.75" customHeight="1" thickBot="1" x14ac:dyDescent="0.3">
      <c r="A7979" s="7">
        <f ca="1"/>
        <v>44869</v>
      </c>
      <c r="B7979" s="6">
        <v>95.68</v>
      </c>
    </row>
    <row r="7980" spans="1:2" ht="15.75" customHeight="1" thickBot="1" x14ac:dyDescent="0.3">
      <c r="A7980" s="7">
        <f ca="1"/>
        <v>44870</v>
      </c>
      <c r="B7980" s="5">
        <f t="shared" ref="B7980:B7981" si="1139">B7979</f>
        <v>95.68</v>
      </c>
    </row>
    <row r="7981" spans="1:2" ht="15.75" customHeight="1" thickBot="1" x14ac:dyDescent="0.3">
      <c r="A7981" s="7">
        <f ca="1"/>
        <v>44871</v>
      </c>
      <c r="B7981" s="5">
        <f t="shared" si="1139"/>
        <v>95.68</v>
      </c>
    </row>
    <row r="7982" spans="1:2" ht="15.75" customHeight="1" thickBot="1" x14ac:dyDescent="0.3">
      <c r="A7982" s="7">
        <f ca="1"/>
        <v>44872</v>
      </c>
      <c r="B7982" s="6">
        <v>96.95</v>
      </c>
    </row>
    <row r="7983" spans="1:2" ht="15.75" customHeight="1" thickBot="1" x14ac:dyDescent="0.3">
      <c r="A7983" s="7">
        <f ca="1"/>
        <v>44873</v>
      </c>
      <c r="B7983" s="6">
        <v>97.87</v>
      </c>
    </row>
    <row r="7984" spans="1:2" ht="15.75" customHeight="1" thickBot="1" x14ac:dyDescent="0.3">
      <c r="A7984" s="7">
        <f ca="1"/>
        <v>44874</v>
      </c>
      <c r="B7984" s="6">
        <v>97.94</v>
      </c>
    </row>
    <row r="7985" spans="1:2" ht="15.75" customHeight="1" thickBot="1" x14ac:dyDescent="0.3">
      <c r="A7985" s="7">
        <f ca="1"/>
        <v>44875</v>
      </c>
      <c r="B7985" s="6">
        <v>103.81</v>
      </c>
    </row>
    <row r="7986" spans="1:2" ht="15.75" customHeight="1" thickBot="1" x14ac:dyDescent="0.3">
      <c r="A7986" s="7">
        <f ca="1"/>
        <v>44876</v>
      </c>
      <c r="B7986" s="6">
        <v>109.04</v>
      </c>
    </row>
    <row r="7987" spans="1:2" ht="15.75" customHeight="1" thickBot="1" x14ac:dyDescent="0.3">
      <c r="A7987" s="7">
        <f ca="1"/>
        <v>44877</v>
      </c>
      <c r="B7987" s="5">
        <f t="shared" ref="B7987:B7988" si="1140">B7986</f>
        <v>109.04</v>
      </c>
    </row>
    <row r="7988" spans="1:2" ht="15.75" customHeight="1" thickBot="1" x14ac:dyDescent="0.3">
      <c r="A7988" s="7">
        <f ca="1"/>
        <v>44878</v>
      </c>
      <c r="B7988" s="5">
        <f t="shared" si="1140"/>
        <v>109.04</v>
      </c>
    </row>
    <row r="7989" spans="1:2" ht="15.75" customHeight="1" thickBot="1" x14ac:dyDescent="0.3">
      <c r="A7989" s="7">
        <f ca="1"/>
        <v>44879</v>
      </c>
      <c r="B7989" s="6">
        <v>109.1</v>
      </c>
    </row>
    <row r="7990" spans="1:2" ht="15.75" customHeight="1" thickBot="1" x14ac:dyDescent="0.3">
      <c r="A7990" s="7">
        <f ca="1"/>
        <v>44880</v>
      </c>
      <c r="B7990" s="6">
        <v>110.33</v>
      </c>
    </row>
    <row r="7991" spans="1:2" ht="15.75" customHeight="1" thickBot="1" x14ac:dyDescent="0.3">
      <c r="A7991" s="7">
        <f ca="1"/>
        <v>44881</v>
      </c>
      <c r="B7991" s="6">
        <v>111.18</v>
      </c>
    </row>
    <row r="7992" spans="1:2" ht="15.75" customHeight="1" thickBot="1" x14ac:dyDescent="0.3">
      <c r="A7992" s="7">
        <f ca="1"/>
        <v>44882</v>
      </c>
      <c r="B7992" s="6">
        <v>110.5</v>
      </c>
    </row>
    <row r="7993" spans="1:2" ht="15.75" customHeight="1" thickBot="1" x14ac:dyDescent="0.3">
      <c r="A7993" s="7">
        <f ca="1"/>
        <v>44883</v>
      </c>
      <c r="B7993" s="6">
        <v>109.71</v>
      </c>
    </row>
    <row r="7994" spans="1:2" ht="15.75" customHeight="1" thickBot="1" x14ac:dyDescent="0.3">
      <c r="A7994" s="7">
        <f ca="1"/>
        <v>44884</v>
      </c>
      <c r="B7994" s="5">
        <f t="shared" ref="B7994:B7995" si="1141">B7993</f>
        <v>109.71</v>
      </c>
    </row>
    <row r="7995" spans="1:2" ht="15.75" customHeight="1" thickBot="1" x14ac:dyDescent="0.3">
      <c r="A7995" s="7">
        <f ca="1"/>
        <v>44885</v>
      </c>
      <c r="B7995" s="5">
        <f t="shared" si="1141"/>
        <v>109.71</v>
      </c>
    </row>
    <row r="7996" spans="1:2" ht="15.75" customHeight="1" thickBot="1" x14ac:dyDescent="0.3">
      <c r="A7996" s="7">
        <f ca="1"/>
        <v>44886</v>
      </c>
      <c r="B7996" s="6">
        <v>109.47</v>
      </c>
    </row>
    <row r="7997" spans="1:2" ht="15.75" customHeight="1" thickBot="1" x14ac:dyDescent="0.3">
      <c r="A7997" s="7">
        <f ca="1"/>
        <v>44887</v>
      </c>
      <c r="B7997" s="6">
        <v>108.45</v>
      </c>
    </row>
    <row r="7998" spans="1:2" ht="15.75" customHeight="1" thickBot="1" x14ac:dyDescent="0.3">
      <c r="A7998" s="7">
        <f ca="1"/>
        <v>44888</v>
      </c>
      <c r="B7998" s="6">
        <v>109.06</v>
      </c>
    </row>
    <row r="7999" spans="1:2" ht="15.75" customHeight="1" thickBot="1" x14ac:dyDescent="0.3">
      <c r="A7999" s="7">
        <f ca="1"/>
        <v>44889</v>
      </c>
      <c r="B7999" s="5">
        <f>B7998</f>
        <v>109.06</v>
      </c>
    </row>
    <row r="8000" spans="1:2" ht="15.75" customHeight="1" thickBot="1" x14ac:dyDescent="0.3">
      <c r="A8000" s="7">
        <f ca="1"/>
        <v>44890</v>
      </c>
      <c r="B8000" s="6">
        <v>109.82</v>
      </c>
    </row>
    <row r="8001" spans="1:2" ht="15.75" customHeight="1" thickBot="1" x14ac:dyDescent="0.3">
      <c r="A8001" s="7">
        <f ca="1"/>
        <v>44891</v>
      </c>
      <c r="B8001" s="5">
        <f t="shared" ref="B8001:B8002" si="1142">B8000</f>
        <v>109.82</v>
      </c>
    </row>
    <row r="8002" spans="1:2" ht="15.75" customHeight="1" thickBot="1" x14ac:dyDescent="0.3">
      <c r="A8002" s="7">
        <f ca="1"/>
        <v>44892</v>
      </c>
      <c r="B8002" s="5">
        <f t="shared" si="1142"/>
        <v>109.82</v>
      </c>
    </row>
    <row r="8003" spans="1:2" ht="15.75" customHeight="1" thickBot="1" x14ac:dyDescent="0.3">
      <c r="A8003" s="7">
        <f ca="1"/>
        <v>44893</v>
      </c>
      <c r="B8003" s="6">
        <v>109.62</v>
      </c>
    </row>
    <row r="8004" spans="1:2" ht="15.75" customHeight="1" thickBot="1" x14ac:dyDescent="0.3">
      <c r="A8004" s="7">
        <f ca="1"/>
        <v>44894</v>
      </c>
      <c r="B8004" s="6">
        <v>107.34</v>
      </c>
    </row>
    <row r="8005" spans="1:2" ht="15.75" customHeight="1" thickBot="1" x14ac:dyDescent="0.3">
      <c r="A8005" s="7">
        <f ca="1"/>
        <v>44895</v>
      </c>
      <c r="B8005" s="6">
        <v>107.92</v>
      </c>
    </row>
    <row r="8006" spans="1:2" ht="15.75" customHeight="1" thickBot="1" x14ac:dyDescent="0.3">
      <c r="A8006" s="7">
        <f ca="1"/>
        <v>44896</v>
      </c>
      <c r="B8006" s="6">
        <v>111.59</v>
      </c>
    </row>
    <row r="8007" spans="1:2" ht="15.75" customHeight="1" thickBot="1" x14ac:dyDescent="0.3">
      <c r="A8007" s="7">
        <f ca="1"/>
        <v>44897</v>
      </c>
      <c r="B8007" s="6">
        <v>111.16</v>
      </c>
    </row>
    <row r="8008" spans="1:2" ht="15.75" customHeight="1" thickBot="1" x14ac:dyDescent="0.3">
      <c r="A8008" s="7">
        <f ca="1"/>
        <v>44898</v>
      </c>
      <c r="B8008" s="5">
        <f t="shared" ref="B8008:B8009" si="1143">B8007</f>
        <v>111.16</v>
      </c>
    </row>
    <row r="8009" spans="1:2" ht="15.75" customHeight="1" thickBot="1" x14ac:dyDescent="0.3">
      <c r="A8009" s="7">
        <f ca="1"/>
        <v>44899</v>
      </c>
      <c r="B8009" s="5">
        <f t="shared" si="1143"/>
        <v>111.16</v>
      </c>
    </row>
    <row r="8010" spans="1:2" ht="15.75" customHeight="1" thickBot="1" x14ac:dyDescent="0.3">
      <c r="A8010" s="7">
        <f ca="1"/>
        <v>44900</v>
      </c>
      <c r="B8010" s="6">
        <v>110.76</v>
      </c>
    </row>
    <row r="8011" spans="1:2" ht="15.75" customHeight="1" thickBot="1" x14ac:dyDescent="0.3">
      <c r="A8011" s="7">
        <f ca="1"/>
        <v>44901</v>
      </c>
      <c r="B8011" s="6">
        <v>109.49</v>
      </c>
    </row>
    <row r="8012" spans="1:2" ht="15.75" customHeight="1" thickBot="1" x14ac:dyDescent="0.3">
      <c r="A8012" s="7">
        <f ca="1"/>
        <v>44902</v>
      </c>
      <c r="B8012" s="6">
        <v>107.49</v>
      </c>
    </row>
    <row r="8013" spans="1:2" ht="15.75" customHeight="1" thickBot="1" x14ac:dyDescent="0.3">
      <c r="A8013" s="7">
        <f ca="1"/>
        <v>44903</v>
      </c>
      <c r="B8013" s="6">
        <v>107.16</v>
      </c>
    </row>
    <row r="8014" spans="1:2" ht="15.75" customHeight="1" thickBot="1" x14ac:dyDescent="0.3">
      <c r="A8014" s="7">
        <f ca="1"/>
        <v>44904</v>
      </c>
      <c r="B8014" s="6">
        <v>107.47</v>
      </c>
    </row>
    <row r="8015" spans="1:2" ht="15.75" customHeight="1" thickBot="1" x14ac:dyDescent="0.3">
      <c r="A8015" s="7">
        <f ca="1"/>
        <v>44905</v>
      </c>
      <c r="B8015" s="5">
        <f t="shared" ref="B8015:B8016" si="1144">B8014</f>
        <v>107.47</v>
      </c>
    </row>
    <row r="8016" spans="1:2" ht="15.75" customHeight="1" thickBot="1" x14ac:dyDescent="0.3">
      <c r="A8016" s="7">
        <f ca="1"/>
        <v>44906</v>
      </c>
      <c r="B8016" s="5">
        <f t="shared" si="1144"/>
        <v>107.47</v>
      </c>
    </row>
    <row r="8017" spans="1:2" ht="15.75" customHeight="1" thickBot="1" x14ac:dyDescent="0.3">
      <c r="A8017" s="7">
        <f ca="1"/>
        <v>44907</v>
      </c>
      <c r="B8017" s="6">
        <v>107.22</v>
      </c>
    </row>
    <row r="8018" spans="1:2" ht="15.75" customHeight="1" thickBot="1" x14ac:dyDescent="0.3">
      <c r="A8018" s="7">
        <f ca="1"/>
        <v>44908</v>
      </c>
      <c r="B8018" s="6">
        <v>112.22</v>
      </c>
    </row>
    <row r="8019" spans="1:2" ht="15.75" customHeight="1" thickBot="1" x14ac:dyDescent="0.3">
      <c r="A8019" s="7">
        <f ca="1"/>
        <v>44909</v>
      </c>
      <c r="B8019" s="6">
        <v>109.88</v>
      </c>
    </row>
    <row r="8020" spans="1:2" ht="15.75" customHeight="1" thickBot="1" x14ac:dyDescent="0.3">
      <c r="A8020" s="7">
        <f ca="1"/>
        <v>44910</v>
      </c>
      <c r="B8020" s="6">
        <v>107.89</v>
      </c>
    </row>
    <row r="8021" spans="1:2" ht="15.75" customHeight="1" thickBot="1" x14ac:dyDescent="0.3">
      <c r="A8021" s="7">
        <f ca="1"/>
        <v>44911</v>
      </c>
      <c r="B8021" s="6">
        <v>104.71</v>
      </c>
    </row>
    <row r="8022" spans="1:2" ht="15.75" customHeight="1" thickBot="1" x14ac:dyDescent="0.3">
      <c r="A8022" s="7">
        <f ca="1"/>
        <v>44912</v>
      </c>
      <c r="B8022" s="5">
        <f t="shared" ref="B8022:B8023" si="1145">B8021</f>
        <v>104.71</v>
      </c>
    </row>
    <row r="8023" spans="1:2" ht="15.75" customHeight="1" thickBot="1" x14ac:dyDescent="0.3">
      <c r="A8023" s="7">
        <f ca="1"/>
        <v>44913</v>
      </c>
      <c r="B8023" s="5">
        <f t="shared" si="1145"/>
        <v>104.71</v>
      </c>
    </row>
    <row r="8024" spans="1:2" ht="15.75" customHeight="1" thickBot="1" x14ac:dyDescent="0.3">
      <c r="A8024" s="7">
        <f ca="1"/>
        <v>44914</v>
      </c>
      <c r="B8024" s="6">
        <v>105.37</v>
      </c>
    </row>
    <row r="8025" spans="1:2" ht="15.75" customHeight="1" thickBot="1" x14ac:dyDescent="0.3">
      <c r="A8025" s="7">
        <f ca="1"/>
        <v>44915</v>
      </c>
      <c r="B8025" s="6">
        <v>103.91</v>
      </c>
    </row>
    <row r="8026" spans="1:2" ht="15.75" customHeight="1" thickBot="1" x14ac:dyDescent="0.3">
      <c r="A8026" s="7">
        <f ca="1"/>
        <v>44916</v>
      </c>
      <c r="B8026" s="6">
        <v>104.81</v>
      </c>
    </row>
    <row r="8027" spans="1:2" ht="15.75" customHeight="1" thickBot="1" x14ac:dyDescent="0.3">
      <c r="A8027" s="7">
        <f ca="1"/>
        <v>44917</v>
      </c>
      <c r="B8027" s="6">
        <v>104.18</v>
      </c>
    </row>
    <row r="8028" spans="1:2" ht="15.75" customHeight="1" thickBot="1" x14ac:dyDescent="0.3">
      <c r="A8028" s="7">
        <f ca="1"/>
        <v>44918</v>
      </c>
      <c r="B8028" s="6">
        <v>103.22</v>
      </c>
    </row>
    <row r="8029" spans="1:2" ht="15.75" customHeight="1" thickBot="1" x14ac:dyDescent="0.3">
      <c r="A8029" s="7">
        <f ca="1"/>
        <v>44919</v>
      </c>
      <c r="B8029" s="5">
        <f t="shared" ref="B8029:B8031" si="1146">B8028</f>
        <v>103.22</v>
      </c>
    </row>
    <row r="8030" spans="1:2" ht="15.75" customHeight="1" thickBot="1" x14ac:dyDescent="0.3">
      <c r="A8030" s="7">
        <f ca="1"/>
        <v>44920</v>
      </c>
      <c r="B8030" s="5">
        <f t="shared" si="1146"/>
        <v>103.22</v>
      </c>
    </row>
    <row r="8031" spans="1:2" ht="15.75" customHeight="1" thickBot="1" x14ac:dyDescent="0.3">
      <c r="A8031" s="7">
        <f ca="1"/>
        <v>44921</v>
      </c>
      <c r="B8031" s="5">
        <f t="shared" si="1146"/>
        <v>103.22</v>
      </c>
    </row>
    <row r="8032" spans="1:2" ht="15.75" customHeight="1" thickBot="1" x14ac:dyDescent="0.3">
      <c r="A8032" s="7">
        <f ca="1"/>
        <v>44922</v>
      </c>
      <c r="B8032" s="6">
        <v>103.33</v>
      </c>
    </row>
    <row r="8033" spans="1:2" ht="15.75" customHeight="1" thickBot="1" x14ac:dyDescent="0.3">
      <c r="A8033" s="7">
        <f ca="1"/>
        <v>44923</v>
      </c>
      <c r="B8033" s="6">
        <v>102.87</v>
      </c>
    </row>
    <row r="8034" spans="1:2" ht="15.75" customHeight="1" thickBot="1" x14ac:dyDescent="0.3">
      <c r="A8034" s="7">
        <f ca="1"/>
        <v>44924</v>
      </c>
      <c r="B8034" s="6">
        <v>103.39</v>
      </c>
    </row>
    <row r="8035" spans="1:2" ht="15.75" customHeight="1" thickBot="1" x14ac:dyDescent="0.3">
      <c r="A8035" s="7">
        <f ca="1"/>
        <v>44925</v>
      </c>
      <c r="B8035" s="6">
        <v>102.81</v>
      </c>
    </row>
    <row r="8036" spans="1:2" ht="15.75" customHeight="1" thickBot="1" x14ac:dyDescent="0.3">
      <c r="A8036" s="7">
        <f ca="1"/>
        <v>44926</v>
      </c>
      <c r="B8036" s="5">
        <f t="shared" ref="B8036:B8038" si="1147">B8035</f>
        <v>102.81</v>
      </c>
    </row>
    <row r="8037" spans="1:2" ht="15.75" customHeight="1" thickBot="1" x14ac:dyDescent="0.3">
      <c r="A8037" s="7">
        <f ca="1"/>
        <v>44927</v>
      </c>
      <c r="B8037" s="5">
        <f t="shared" si="1147"/>
        <v>102.81</v>
      </c>
    </row>
    <row r="8038" spans="1:2" ht="15.75" customHeight="1" thickBot="1" x14ac:dyDescent="0.3">
      <c r="A8038" s="7">
        <f ca="1"/>
        <v>44928</v>
      </c>
      <c r="B8038" s="5">
        <f t="shared" si="1147"/>
        <v>102.81</v>
      </c>
    </row>
    <row r="8039" spans="1:2" ht="15.75" customHeight="1" thickBot="1" x14ac:dyDescent="0.3">
      <c r="A8039" s="7">
        <f ca="1"/>
        <v>44929</v>
      </c>
      <c r="B8039" s="6">
        <v>104.04</v>
      </c>
    </row>
    <row r="8040" spans="1:2" ht="15.75" customHeight="1" thickBot="1" x14ac:dyDescent="0.3">
      <c r="A8040" s="7">
        <f ca="1"/>
        <v>44930</v>
      </c>
      <c r="B8040" s="6">
        <v>107.12</v>
      </c>
    </row>
    <row r="8041" spans="1:2" ht="15.75" customHeight="1" thickBot="1" x14ac:dyDescent="0.3">
      <c r="A8041" s="7">
        <f ca="1"/>
        <v>44931</v>
      </c>
      <c r="B8041" s="6">
        <v>107.31</v>
      </c>
    </row>
    <row r="8042" spans="1:2" ht="15.75" customHeight="1" thickBot="1" x14ac:dyDescent="0.3">
      <c r="A8042" s="7">
        <f ca="1"/>
        <v>44932</v>
      </c>
      <c r="B8042" s="6">
        <v>106.58</v>
      </c>
    </row>
    <row r="8043" spans="1:2" ht="15.75" customHeight="1" thickBot="1" x14ac:dyDescent="0.3">
      <c r="A8043" s="7">
        <f ca="1"/>
        <v>44933</v>
      </c>
      <c r="B8043" s="5">
        <f t="shared" ref="B8043:B8044" si="1148">B8042</f>
        <v>106.58</v>
      </c>
    </row>
    <row r="8044" spans="1:2" ht="15.75" customHeight="1" thickBot="1" x14ac:dyDescent="0.3">
      <c r="A8044" s="7">
        <f ca="1"/>
        <v>44934</v>
      </c>
      <c r="B8044" s="5">
        <f t="shared" si="1148"/>
        <v>106.58</v>
      </c>
    </row>
    <row r="8045" spans="1:2" ht="15.75" customHeight="1" thickBot="1" x14ac:dyDescent="0.3">
      <c r="A8045" s="7">
        <f ca="1"/>
        <v>44935</v>
      </c>
      <c r="B8045" s="6">
        <v>110.7</v>
      </c>
    </row>
    <row r="8046" spans="1:2" ht="15.75" customHeight="1" thickBot="1" x14ac:dyDescent="0.3">
      <c r="A8046" s="7">
        <f ca="1"/>
        <v>44936</v>
      </c>
      <c r="B8046" s="6">
        <v>112.31</v>
      </c>
    </row>
    <row r="8047" spans="1:2" ht="15.75" customHeight="1" thickBot="1" x14ac:dyDescent="0.3">
      <c r="A8047" s="7">
        <f ca="1"/>
        <v>44937</v>
      </c>
      <c r="B8047" s="6">
        <v>114.21</v>
      </c>
    </row>
    <row r="8048" spans="1:2" ht="15.75" customHeight="1" thickBot="1" x14ac:dyDescent="0.3">
      <c r="A8048" s="7">
        <f ca="1"/>
        <v>44938</v>
      </c>
      <c r="B8048" s="6">
        <v>115.31</v>
      </c>
    </row>
    <row r="8049" spans="1:2" ht="15.75" customHeight="1" thickBot="1" x14ac:dyDescent="0.3">
      <c r="A8049" s="7">
        <f ca="1"/>
        <v>44939</v>
      </c>
      <c r="B8049" s="6">
        <v>115.72</v>
      </c>
    </row>
    <row r="8050" spans="1:2" ht="15.75" customHeight="1" thickBot="1" x14ac:dyDescent="0.3">
      <c r="A8050" s="7">
        <f ca="1"/>
        <v>44940</v>
      </c>
      <c r="B8050" s="5">
        <f t="shared" ref="B8050:B8052" si="1149">B8049</f>
        <v>115.72</v>
      </c>
    </row>
    <row r="8051" spans="1:2" ht="15.75" customHeight="1" thickBot="1" x14ac:dyDescent="0.3">
      <c r="A8051" s="7">
        <f ca="1"/>
        <v>44941</v>
      </c>
      <c r="B8051" s="5">
        <f t="shared" si="1149"/>
        <v>115.72</v>
      </c>
    </row>
    <row r="8052" spans="1:2" ht="15.75" customHeight="1" thickBot="1" x14ac:dyDescent="0.3">
      <c r="A8052" s="7">
        <f ca="1"/>
        <v>44942</v>
      </c>
      <c r="B8052" s="5">
        <f t="shared" si="1149"/>
        <v>115.72</v>
      </c>
    </row>
    <row r="8053" spans="1:2" ht="15.75" customHeight="1" thickBot="1" x14ac:dyDescent="0.3">
      <c r="A8053" s="7">
        <f ca="1"/>
        <v>44943</v>
      </c>
      <c r="B8053" s="6">
        <v>116.22</v>
      </c>
    </row>
    <row r="8054" spans="1:2" ht="15.75" customHeight="1" thickBot="1" x14ac:dyDescent="0.3">
      <c r="A8054" s="7">
        <f ca="1"/>
        <v>44944</v>
      </c>
      <c r="B8054" s="6">
        <v>118.06</v>
      </c>
    </row>
    <row r="8055" spans="1:2" ht="15.75" customHeight="1" thickBot="1" x14ac:dyDescent="0.3">
      <c r="A8055" s="7">
        <f ca="1"/>
        <v>44945</v>
      </c>
      <c r="B8055" s="6">
        <v>114.85</v>
      </c>
    </row>
    <row r="8056" spans="1:2" ht="15.75" customHeight="1" thickBot="1" x14ac:dyDescent="0.3">
      <c r="A8056" s="7">
        <f ca="1"/>
        <v>44946</v>
      </c>
      <c r="B8056" s="6">
        <v>115.56</v>
      </c>
    </row>
    <row r="8057" spans="1:2" ht="15.75" customHeight="1" thickBot="1" x14ac:dyDescent="0.3">
      <c r="A8057" s="7">
        <f ca="1"/>
        <v>44947</v>
      </c>
      <c r="B8057" s="5">
        <f t="shared" ref="B8057:B8058" si="1150">B8056</f>
        <v>115.56</v>
      </c>
    </row>
    <row r="8058" spans="1:2" ht="15.75" customHeight="1" thickBot="1" x14ac:dyDescent="0.3">
      <c r="A8058" s="7">
        <f ca="1"/>
        <v>44948</v>
      </c>
      <c r="B8058" s="5">
        <f t="shared" si="1150"/>
        <v>115.56</v>
      </c>
    </row>
    <row r="8059" spans="1:2" ht="15.75" customHeight="1" thickBot="1" x14ac:dyDescent="0.3">
      <c r="A8059" s="7">
        <f ca="1"/>
        <v>44949</v>
      </c>
      <c r="B8059" s="6">
        <v>115.64</v>
      </c>
    </row>
    <row r="8060" spans="1:2" ht="15.75" customHeight="1" thickBot="1" x14ac:dyDescent="0.3">
      <c r="A8060" s="7">
        <f ca="1"/>
        <v>44950</v>
      </c>
      <c r="B8060" s="6">
        <v>116.04</v>
      </c>
    </row>
    <row r="8061" spans="1:2" ht="15.75" customHeight="1" thickBot="1" x14ac:dyDescent="0.3">
      <c r="A8061" s="7">
        <f ca="1"/>
        <v>44951</v>
      </c>
      <c r="B8061" s="6">
        <v>115.42</v>
      </c>
    </row>
    <row r="8062" spans="1:2" ht="15.75" customHeight="1" thickBot="1" x14ac:dyDescent="0.3">
      <c r="A8062" s="7">
        <f ca="1"/>
        <v>44952</v>
      </c>
      <c r="B8062" s="6">
        <v>112.75</v>
      </c>
    </row>
    <row r="8063" spans="1:2" ht="15.75" customHeight="1" thickBot="1" x14ac:dyDescent="0.3">
      <c r="A8063" s="7">
        <f ca="1"/>
        <v>44953</v>
      </c>
      <c r="B8063" s="6">
        <v>112.55</v>
      </c>
    </row>
    <row r="8064" spans="1:2" ht="15.75" customHeight="1" thickBot="1" x14ac:dyDescent="0.3">
      <c r="A8064" s="7">
        <f ca="1"/>
        <v>44954</v>
      </c>
      <c r="B8064" s="5">
        <f t="shared" ref="B8064:B8065" si="1151">B8063</f>
        <v>112.55</v>
      </c>
    </row>
    <row r="8065" spans="1:2" ht="15.75" customHeight="1" thickBot="1" x14ac:dyDescent="0.3">
      <c r="A8065" s="7">
        <f ca="1"/>
        <v>44955</v>
      </c>
      <c r="B8065" s="5">
        <f t="shared" si="1151"/>
        <v>112.55</v>
      </c>
    </row>
    <row r="8066" spans="1:2" ht="15.75" customHeight="1" thickBot="1" x14ac:dyDescent="0.3">
      <c r="A8066" s="7">
        <f ca="1"/>
        <v>44956</v>
      </c>
      <c r="B8066" s="6">
        <v>116.51</v>
      </c>
    </row>
    <row r="8067" spans="1:2" ht="15.75" customHeight="1" thickBot="1" x14ac:dyDescent="0.3">
      <c r="A8067" s="7">
        <f ca="1"/>
        <v>44957</v>
      </c>
      <c r="B8067" s="6">
        <v>116.63</v>
      </c>
    </row>
    <row r="8068" spans="1:2" ht="15.75" customHeight="1" thickBot="1" x14ac:dyDescent="0.3">
      <c r="A8068" s="7">
        <f ca="1"/>
        <v>44958</v>
      </c>
      <c r="B8068" s="6">
        <v>119.37</v>
      </c>
    </row>
    <row r="8069" spans="1:2" ht="15.75" customHeight="1" thickBot="1" x14ac:dyDescent="0.3">
      <c r="A8069" s="7">
        <f ca="1"/>
        <v>44959</v>
      </c>
      <c r="B8069" s="6">
        <v>122.71</v>
      </c>
    </row>
    <row r="8070" spans="1:2" ht="15.75" customHeight="1" thickBot="1" x14ac:dyDescent="0.3">
      <c r="A8070" s="7">
        <f ca="1"/>
        <v>44960</v>
      </c>
      <c r="B8070" s="6">
        <v>120.18</v>
      </c>
    </row>
    <row r="8071" spans="1:2" ht="15.75" customHeight="1" thickBot="1" x14ac:dyDescent="0.3">
      <c r="A8071" s="7">
        <f ca="1"/>
        <v>44961</v>
      </c>
      <c r="B8071" s="5">
        <f t="shared" ref="B8071:B8072" si="1152">B8070</f>
        <v>120.18</v>
      </c>
    </row>
    <row r="8072" spans="1:2" ht="15.75" customHeight="1" thickBot="1" x14ac:dyDescent="0.3">
      <c r="A8072" s="7">
        <f ca="1"/>
        <v>44962</v>
      </c>
      <c r="B8072" s="5">
        <f t="shared" si="1152"/>
        <v>120.18</v>
      </c>
    </row>
    <row r="8073" spans="1:2" ht="15.75" customHeight="1" thickBot="1" x14ac:dyDescent="0.3">
      <c r="A8073" s="7">
        <f ca="1"/>
        <v>44963</v>
      </c>
      <c r="B8073" s="6">
        <v>119.95</v>
      </c>
    </row>
    <row r="8074" spans="1:2" ht="15.75" customHeight="1" thickBot="1" x14ac:dyDescent="0.3">
      <c r="A8074" s="7">
        <f ca="1"/>
        <v>44964</v>
      </c>
      <c r="B8074" s="6">
        <v>118.11</v>
      </c>
    </row>
    <row r="8075" spans="1:2" ht="15.75" customHeight="1" thickBot="1" x14ac:dyDescent="0.3">
      <c r="A8075" s="7">
        <f ca="1"/>
        <v>44965</v>
      </c>
      <c r="B8075" s="6">
        <v>118.64</v>
      </c>
    </row>
    <row r="8076" spans="1:2" ht="15.75" customHeight="1" thickBot="1" x14ac:dyDescent="0.3">
      <c r="A8076" s="7">
        <f ca="1"/>
        <v>44966</v>
      </c>
      <c r="B8076" s="6">
        <v>120.53</v>
      </c>
    </row>
    <row r="8077" spans="1:2" ht="15.75" customHeight="1" thickBot="1" x14ac:dyDescent="0.3">
      <c r="A8077" s="7">
        <f ca="1"/>
        <v>44967</v>
      </c>
      <c r="B8077" s="6">
        <v>117.55</v>
      </c>
    </row>
    <row r="8078" spans="1:2" ht="15.75" customHeight="1" thickBot="1" x14ac:dyDescent="0.3">
      <c r="A8078" s="7">
        <f ca="1"/>
        <v>44968</v>
      </c>
      <c r="B8078" s="5">
        <f t="shared" ref="B8078:B8079" si="1153">B8077</f>
        <v>117.55</v>
      </c>
    </row>
    <row r="8079" spans="1:2" ht="15.75" customHeight="1" thickBot="1" x14ac:dyDescent="0.3">
      <c r="A8079" s="7">
        <f ca="1"/>
        <v>44969</v>
      </c>
      <c r="B8079" s="5">
        <f t="shared" si="1153"/>
        <v>117.55</v>
      </c>
    </row>
    <row r="8080" spans="1:2" ht="15.75" customHeight="1" thickBot="1" x14ac:dyDescent="0.3">
      <c r="A8080" s="7">
        <f ca="1"/>
        <v>44970</v>
      </c>
      <c r="B8080" s="6">
        <v>117.53</v>
      </c>
    </row>
    <row r="8081" spans="1:2" ht="15.75" customHeight="1" thickBot="1" x14ac:dyDescent="0.3">
      <c r="A8081" s="7">
        <f ca="1"/>
        <v>44971</v>
      </c>
      <c r="B8081" s="6">
        <v>117.99</v>
      </c>
    </row>
    <row r="8082" spans="1:2" ht="15.75" customHeight="1" thickBot="1" x14ac:dyDescent="0.3">
      <c r="A8082" s="7">
        <f ca="1"/>
        <v>44972</v>
      </c>
      <c r="B8082" s="6">
        <v>117.8</v>
      </c>
    </row>
    <row r="8083" spans="1:2" ht="15.75" customHeight="1" thickBot="1" x14ac:dyDescent="0.3">
      <c r="A8083" s="7">
        <f ca="1"/>
        <v>44973</v>
      </c>
      <c r="B8083" s="6">
        <v>117.58</v>
      </c>
    </row>
    <row r="8084" spans="1:2" ht="15.75" customHeight="1" thickBot="1" x14ac:dyDescent="0.3">
      <c r="A8084" s="7">
        <f ca="1"/>
        <v>44974</v>
      </c>
      <c r="B8084" s="6">
        <v>116.51</v>
      </c>
    </row>
    <row r="8085" spans="1:2" ht="15.75" customHeight="1" thickBot="1" x14ac:dyDescent="0.3">
      <c r="A8085" s="7">
        <f ca="1"/>
        <v>44975</v>
      </c>
      <c r="B8085" s="5">
        <f t="shared" ref="B8085:B8087" si="1154">B8084</f>
        <v>116.51</v>
      </c>
    </row>
    <row r="8086" spans="1:2" ht="15.75" customHeight="1" thickBot="1" x14ac:dyDescent="0.3">
      <c r="A8086" s="7">
        <f ca="1"/>
        <v>44976</v>
      </c>
      <c r="B8086" s="5">
        <f t="shared" si="1154"/>
        <v>116.51</v>
      </c>
    </row>
    <row r="8087" spans="1:2" ht="15.75" customHeight="1" thickBot="1" x14ac:dyDescent="0.3">
      <c r="A8087" s="7">
        <f ca="1"/>
        <v>44977</v>
      </c>
      <c r="B8087" s="5">
        <f t="shared" si="1154"/>
        <v>116.51</v>
      </c>
    </row>
    <row r="8088" spans="1:2" ht="15.75" customHeight="1" thickBot="1" x14ac:dyDescent="0.3">
      <c r="A8088" s="7">
        <f ca="1"/>
        <v>44978</v>
      </c>
      <c r="B8088" s="6">
        <v>115.16</v>
      </c>
    </row>
    <row r="8089" spans="1:2" ht="15.75" customHeight="1" thickBot="1" x14ac:dyDescent="0.3">
      <c r="A8089" s="7">
        <f ca="1"/>
        <v>44979</v>
      </c>
      <c r="B8089" s="6">
        <v>115.53</v>
      </c>
    </row>
    <row r="8090" spans="1:2" ht="15.75" customHeight="1" thickBot="1" x14ac:dyDescent="0.3">
      <c r="A8090" s="7">
        <f ca="1"/>
        <v>44980</v>
      </c>
      <c r="B8090" s="6">
        <v>116.31</v>
      </c>
    </row>
    <row r="8091" spans="1:2" ht="15.75" customHeight="1" thickBot="1" x14ac:dyDescent="0.3">
      <c r="A8091" s="7">
        <f ca="1"/>
        <v>44981</v>
      </c>
      <c r="B8091" s="6">
        <v>113.96</v>
      </c>
    </row>
    <row r="8092" spans="1:2" ht="15.75" customHeight="1" thickBot="1" x14ac:dyDescent="0.3">
      <c r="A8092" s="7">
        <f ca="1"/>
        <v>44982</v>
      </c>
      <c r="B8092" s="5">
        <f t="shared" ref="B8092:B8093" si="1155">B8091</f>
        <v>113.96</v>
      </c>
    </row>
    <row r="8093" spans="1:2" ht="15.75" customHeight="1" thickBot="1" x14ac:dyDescent="0.3">
      <c r="A8093" s="7">
        <f ca="1"/>
        <v>44983</v>
      </c>
      <c r="B8093" s="5">
        <f t="shared" si="1155"/>
        <v>113.96</v>
      </c>
    </row>
    <row r="8094" spans="1:2" ht="15.75" customHeight="1" thickBot="1" x14ac:dyDescent="0.3">
      <c r="A8094" s="7">
        <f ca="1"/>
        <v>44984</v>
      </c>
      <c r="B8094" s="6">
        <v>115.18</v>
      </c>
    </row>
    <row r="8095" spans="1:2" ht="15.75" customHeight="1" thickBot="1" x14ac:dyDescent="0.3">
      <c r="A8095" s="7">
        <f ca="1"/>
        <v>44985</v>
      </c>
      <c r="B8095" s="6">
        <v>114.07</v>
      </c>
    </row>
    <row r="8096" spans="1:2" ht="15.75" customHeight="1" thickBot="1" x14ac:dyDescent="0.3">
      <c r="A8096" s="7">
        <f ca="1"/>
        <v>44986</v>
      </c>
      <c r="B8096" s="6">
        <v>115.12</v>
      </c>
    </row>
    <row r="8097" spans="1:2" ht="15.75" customHeight="1" thickBot="1" x14ac:dyDescent="0.3">
      <c r="A8097" s="7">
        <f ca="1"/>
        <v>44987</v>
      </c>
      <c r="B8097" s="6">
        <v>113.05</v>
      </c>
    </row>
    <row r="8098" spans="1:2" ht="15.75" customHeight="1" thickBot="1" x14ac:dyDescent="0.3">
      <c r="A8098" s="7">
        <f ca="1"/>
        <v>44988</v>
      </c>
      <c r="B8098" s="6">
        <v>115.86</v>
      </c>
    </row>
    <row r="8099" spans="1:2" ht="15.75" customHeight="1" thickBot="1" x14ac:dyDescent="0.3">
      <c r="A8099" s="7">
        <f ca="1"/>
        <v>44989</v>
      </c>
      <c r="B8099" s="5">
        <f t="shared" ref="B8099:B8100" si="1156">B8098</f>
        <v>115.86</v>
      </c>
    </row>
    <row r="8100" spans="1:2" ht="15.75" customHeight="1" thickBot="1" x14ac:dyDescent="0.3">
      <c r="A8100" s="7">
        <f ca="1"/>
        <v>44990</v>
      </c>
      <c r="B8100" s="5">
        <f t="shared" si="1156"/>
        <v>115.86</v>
      </c>
    </row>
    <row r="8101" spans="1:2" ht="15.75" customHeight="1" thickBot="1" x14ac:dyDescent="0.3">
      <c r="A8101" s="7">
        <f ca="1"/>
        <v>44991</v>
      </c>
      <c r="B8101" s="6">
        <v>119.5</v>
      </c>
    </row>
    <row r="8102" spans="1:2" ht="15.75" customHeight="1" thickBot="1" x14ac:dyDescent="0.3">
      <c r="A8102" s="7">
        <f ca="1"/>
        <v>44992</v>
      </c>
      <c r="B8102" s="6">
        <v>118.86</v>
      </c>
    </row>
    <row r="8103" spans="1:2" ht="15.75" customHeight="1" thickBot="1" x14ac:dyDescent="0.3">
      <c r="A8103" s="7">
        <f ca="1"/>
        <v>44993</v>
      </c>
      <c r="B8103" s="6">
        <v>116.72</v>
      </c>
    </row>
    <row r="8104" spans="1:2" ht="15.75" customHeight="1" thickBot="1" x14ac:dyDescent="0.3">
      <c r="A8104" s="7">
        <f ca="1"/>
        <v>44994</v>
      </c>
      <c r="B8104" s="6">
        <v>117.4</v>
      </c>
    </row>
    <row r="8105" spans="1:2" ht="15.75" customHeight="1" thickBot="1" x14ac:dyDescent="0.3">
      <c r="A8105" s="7">
        <f ca="1"/>
        <v>44995</v>
      </c>
      <c r="B8105" s="6">
        <v>117.97</v>
      </c>
    </row>
    <row r="8106" spans="1:2" ht="15.75" customHeight="1" thickBot="1" x14ac:dyDescent="0.3">
      <c r="A8106" s="7">
        <f ca="1"/>
        <v>44996</v>
      </c>
      <c r="B8106" s="5">
        <f t="shared" ref="B8106:B8107" si="1157">B8105</f>
        <v>117.97</v>
      </c>
    </row>
    <row r="8107" spans="1:2" ht="15.75" customHeight="1" thickBot="1" x14ac:dyDescent="0.3">
      <c r="A8107" s="7">
        <f ca="1"/>
        <v>44997</v>
      </c>
      <c r="B8107" s="5">
        <f t="shared" si="1157"/>
        <v>117.97</v>
      </c>
    </row>
    <row r="8108" spans="1:2" ht="15.75" customHeight="1" thickBot="1" x14ac:dyDescent="0.3">
      <c r="A8108" s="7">
        <f ca="1"/>
        <v>44998</v>
      </c>
      <c r="B8108" s="6">
        <v>114.31</v>
      </c>
    </row>
    <row r="8109" spans="1:2" ht="15.75" customHeight="1" thickBot="1" x14ac:dyDescent="0.3">
      <c r="A8109" s="7">
        <f ca="1"/>
        <v>44999</v>
      </c>
      <c r="B8109" s="6">
        <v>118.07</v>
      </c>
    </row>
    <row r="8110" spans="1:2" ht="15.75" customHeight="1" thickBot="1" x14ac:dyDescent="0.3">
      <c r="A8110" s="7">
        <f ca="1"/>
        <v>45000</v>
      </c>
      <c r="B8110" s="6">
        <v>114.34</v>
      </c>
    </row>
    <row r="8111" spans="1:2" ht="15.75" customHeight="1" thickBot="1" x14ac:dyDescent="0.3">
      <c r="A8111" s="7">
        <f ca="1"/>
        <v>45001</v>
      </c>
      <c r="B8111" s="6">
        <v>116.38</v>
      </c>
    </row>
    <row r="8112" spans="1:2" ht="15.75" customHeight="1" thickBot="1" x14ac:dyDescent="0.3">
      <c r="A8112" s="7">
        <f ca="1"/>
        <v>45002</v>
      </c>
      <c r="B8112" s="6">
        <v>119.07</v>
      </c>
    </row>
    <row r="8113" spans="1:2" ht="15.75" customHeight="1" thickBot="1" x14ac:dyDescent="0.3">
      <c r="A8113" s="7">
        <f ca="1"/>
        <v>45003</v>
      </c>
      <c r="B8113" s="5">
        <f t="shared" ref="B8113:B8114" si="1158">B8112</f>
        <v>119.07</v>
      </c>
    </row>
    <row r="8114" spans="1:2" ht="15.75" customHeight="1" thickBot="1" x14ac:dyDescent="0.3">
      <c r="A8114" s="7">
        <f ca="1"/>
        <v>45004</v>
      </c>
      <c r="B8114" s="5">
        <f t="shared" si="1158"/>
        <v>119.07</v>
      </c>
    </row>
    <row r="8115" spans="1:2" ht="15.75" customHeight="1" thickBot="1" x14ac:dyDescent="0.3">
      <c r="A8115" s="7">
        <f ca="1"/>
        <v>45005</v>
      </c>
      <c r="B8115" s="6">
        <v>121.34</v>
      </c>
    </row>
    <row r="8116" spans="1:2" ht="15.75" customHeight="1" thickBot="1" x14ac:dyDescent="0.3">
      <c r="A8116" s="7">
        <f ca="1"/>
        <v>45006</v>
      </c>
      <c r="B8116" s="6">
        <v>122.43</v>
      </c>
    </row>
    <row r="8117" spans="1:2" ht="15.75" customHeight="1" thickBot="1" x14ac:dyDescent="0.3">
      <c r="A8117" s="7">
        <f ca="1"/>
        <v>45007</v>
      </c>
      <c r="B8117" s="6">
        <v>122.82</v>
      </c>
    </row>
    <row r="8118" spans="1:2" ht="15.75" customHeight="1" thickBot="1" x14ac:dyDescent="0.3">
      <c r="A8118" s="7">
        <f ca="1"/>
        <v>45008</v>
      </c>
      <c r="B8118" s="6">
        <v>124.04</v>
      </c>
    </row>
    <row r="8119" spans="1:2" ht="15.75" customHeight="1" thickBot="1" x14ac:dyDescent="0.3">
      <c r="A8119" s="7">
        <f ca="1"/>
        <v>45009</v>
      </c>
      <c r="B8119" s="6">
        <v>123.11</v>
      </c>
    </row>
    <row r="8120" spans="1:2" ht="15.75" customHeight="1" thickBot="1" x14ac:dyDescent="0.3">
      <c r="A8120" s="7">
        <f ca="1"/>
        <v>45010</v>
      </c>
      <c r="B8120" s="5">
        <f t="shared" ref="B8120:B8121" si="1159">B8119</f>
        <v>123.11</v>
      </c>
    </row>
    <row r="8121" spans="1:2" ht="15.75" customHeight="1" thickBot="1" x14ac:dyDescent="0.3">
      <c r="A8121" s="7">
        <f ca="1"/>
        <v>45011</v>
      </c>
      <c r="B8121" s="5">
        <f t="shared" si="1159"/>
        <v>123.11</v>
      </c>
    </row>
    <row r="8122" spans="1:2" ht="15.75" customHeight="1" thickBot="1" x14ac:dyDescent="0.3">
      <c r="A8122" s="7">
        <f ca="1"/>
        <v>45012</v>
      </c>
      <c r="B8122" s="6">
        <v>123.85</v>
      </c>
    </row>
    <row r="8123" spans="1:2" ht="15.75" customHeight="1" thickBot="1" x14ac:dyDescent="0.3">
      <c r="A8123" s="7">
        <f ca="1"/>
        <v>45013</v>
      </c>
      <c r="B8123" s="6">
        <v>123.55</v>
      </c>
    </row>
    <row r="8124" spans="1:2" ht="15.75" customHeight="1" thickBot="1" x14ac:dyDescent="0.3">
      <c r="A8124" s="7">
        <f ca="1"/>
        <v>45014</v>
      </c>
      <c r="B8124" s="6">
        <v>123.58</v>
      </c>
    </row>
    <row r="8125" spans="1:2" ht="15.75" customHeight="1" thickBot="1" x14ac:dyDescent="0.3">
      <c r="A8125" s="7">
        <f ca="1"/>
        <v>45015</v>
      </c>
      <c r="B8125" s="6">
        <v>125.51</v>
      </c>
    </row>
    <row r="8126" spans="1:2" ht="15.75" customHeight="1" thickBot="1" x14ac:dyDescent="0.3">
      <c r="A8126" s="7">
        <f ca="1"/>
        <v>45016</v>
      </c>
      <c r="B8126" s="6">
        <v>125.84</v>
      </c>
    </row>
    <row r="8127" spans="1:2" ht="15.75" customHeight="1" thickBot="1" x14ac:dyDescent="0.3">
      <c r="A8127" s="7">
        <f ca="1"/>
        <v>45017</v>
      </c>
      <c r="B8127" s="5">
        <f t="shared" ref="B8127:B8128" si="1160">B8126</f>
        <v>125.84</v>
      </c>
    </row>
    <row r="8128" spans="1:2" ht="15.75" customHeight="1" thickBot="1" x14ac:dyDescent="0.3">
      <c r="A8128" s="7">
        <f ca="1"/>
        <v>45018</v>
      </c>
      <c r="B8128" s="5">
        <f t="shared" si="1160"/>
        <v>125.84</v>
      </c>
    </row>
    <row r="8129" spans="1:2" ht="15.75" customHeight="1" thickBot="1" x14ac:dyDescent="0.3">
      <c r="A8129" s="7">
        <f ca="1"/>
        <v>45019</v>
      </c>
      <c r="B8129" s="6">
        <v>126.18</v>
      </c>
    </row>
    <row r="8130" spans="1:2" ht="15.75" customHeight="1" thickBot="1" x14ac:dyDescent="0.3">
      <c r="A8130" s="7">
        <f ca="1"/>
        <v>45020</v>
      </c>
      <c r="B8130" s="6">
        <v>126.95</v>
      </c>
    </row>
    <row r="8131" spans="1:2" ht="15.75" customHeight="1" thickBot="1" x14ac:dyDescent="0.3">
      <c r="A8131" s="7">
        <f ca="1"/>
        <v>45021</v>
      </c>
      <c r="B8131" s="6">
        <v>128.01</v>
      </c>
    </row>
    <row r="8132" spans="1:2" ht="15.75" customHeight="1" thickBot="1" x14ac:dyDescent="0.3">
      <c r="A8132" s="7">
        <f ca="1"/>
        <v>45022</v>
      </c>
      <c r="B8132" s="6">
        <v>128</v>
      </c>
    </row>
    <row r="8133" spans="1:2" ht="15.75" customHeight="1" thickBot="1" x14ac:dyDescent="0.3">
      <c r="A8133" s="7">
        <f ca="1"/>
        <v>45023</v>
      </c>
      <c r="B8133" s="5">
        <f t="shared" ref="B8133:B8135" si="1161">B8132</f>
        <v>128</v>
      </c>
    </row>
    <row r="8134" spans="1:2" ht="15.75" customHeight="1" thickBot="1" x14ac:dyDescent="0.3">
      <c r="A8134" s="7">
        <f ca="1"/>
        <v>45024</v>
      </c>
      <c r="B8134" s="5">
        <f t="shared" si="1161"/>
        <v>128</v>
      </c>
    </row>
    <row r="8135" spans="1:2" ht="15.75" customHeight="1" thickBot="1" x14ac:dyDescent="0.3">
      <c r="A8135" s="7">
        <f ca="1"/>
        <v>45025</v>
      </c>
      <c r="B8135" s="5">
        <f t="shared" si="1161"/>
        <v>128</v>
      </c>
    </row>
    <row r="8136" spans="1:2" ht="15.75" customHeight="1" thickBot="1" x14ac:dyDescent="0.3">
      <c r="A8136" s="7">
        <f ca="1"/>
        <v>45026</v>
      </c>
      <c r="B8136" s="6">
        <v>127.6</v>
      </c>
    </row>
    <row r="8137" spans="1:2" ht="15.75" customHeight="1" thickBot="1" x14ac:dyDescent="0.3">
      <c r="A8137" s="7">
        <f ca="1"/>
        <v>45027</v>
      </c>
      <c r="B8137" s="6">
        <v>126.69</v>
      </c>
    </row>
    <row r="8138" spans="1:2" ht="15.75" customHeight="1" thickBot="1" x14ac:dyDescent="0.3">
      <c r="A8138" s="7">
        <f ca="1"/>
        <v>45028</v>
      </c>
      <c r="B8138" s="6">
        <v>127.59</v>
      </c>
    </row>
    <row r="8139" spans="1:2" ht="15.75" customHeight="1" thickBot="1" x14ac:dyDescent="0.3">
      <c r="A8139" s="7">
        <f ca="1"/>
        <v>45029</v>
      </c>
      <c r="B8139" s="6">
        <v>127.06</v>
      </c>
    </row>
    <row r="8140" spans="1:2" ht="15.75" customHeight="1" thickBot="1" x14ac:dyDescent="0.3">
      <c r="A8140" s="7">
        <f ca="1"/>
        <v>45030</v>
      </c>
      <c r="B8140" s="6">
        <v>127.72</v>
      </c>
    </row>
    <row r="8141" spans="1:2" ht="15.75" customHeight="1" thickBot="1" x14ac:dyDescent="0.3">
      <c r="A8141" s="7">
        <f ca="1"/>
        <v>45031</v>
      </c>
      <c r="B8141" s="5">
        <f t="shared" ref="B8141:B8142" si="1162">B8140</f>
        <v>127.72</v>
      </c>
    </row>
    <row r="8142" spans="1:2" ht="15.75" customHeight="1" thickBot="1" x14ac:dyDescent="0.3">
      <c r="A8142" s="7">
        <f ca="1"/>
        <v>45032</v>
      </c>
      <c r="B8142" s="5">
        <f t="shared" si="1162"/>
        <v>127.72</v>
      </c>
    </row>
    <row r="8143" spans="1:2" ht="15.75" customHeight="1" thickBot="1" x14ac:dyDescent="0.3">
      <c r="A8143" s="7">
        <f ca="1"/>
        <v>45033</v>
      </c>
      <c r="B8143" s="6">
        <v>127.75</v>
      </c>
    </row>
    <row r="8144" spans="1:2" ht="15.75" customHeight="1" thickBot="1" x14ac:dyDescent="0.3">
      <c r="A8144" s="7">
        <f ca="1"/>
        <v>45034</v>
      </c>
      <c r="B8144" s="6">
        <v>128.13</v>
      </c>
    </row>
    <row r="8145" spans="1:2" ht="15.75" customHeight="1" thickBot="1" x14ac:dyDescent="0.3">
      <c r="A8145" s="7">
        <f ca="1"/>
        <v>45035</v>
      </c>
      <c r="B8145" s="6">
        <v>127.67</v>
      </c>
    </row>
    <row r="8146" spans="1:2" ht="15.75" customHeight="1" thickBot="1" x14ac:dyDescent="0.3">
      <c r="A8146" s="7">
        <f ca="1"/>
        <v>45036</v>
      </c>
      <c r="B8146" s="6">
        <v>126.93</v>
      </c>
    </row>
    <row r="8147" spans="1:2" ht="15.75" customHeight="1" thickBot="1" x14ac:dyDescent="0.3">
      <c r="A8147" s="7">
        <f ca="1"/>
        <v>45037</v>
      </c>
      <c r="B8147" s="6">
        <v>132.13</v>
      </c>
    </row>
    <row r="8148" spans="1:2" ht="15.75" customHeight="1" thickBot="1" x14ac:dyDescent="0.3">
      <c r="A8148" s="7">
        <f ca="1"/>
        <v>45038</v>
      </c>
      <c r="B8148" s="5">
        <f t="shared" ref="B8148:B8149" si="1163">B8147</f>
        <v>132.13</v>
      </c>
    </row>
    <row r="8149" spans="1:2" ht="15.75" customHeight="1" thickBot="1" x14ac:dyDescent="0.3">
      <c r="A8149" s="7">
        <f ca="1"/>
        <v>45039</v>
      </c>
      <c r="B8149" s="5">
        <f t="shared" si="1163"/>
        <v>132.13</v>
      </c>
    </row>
    <row r="8150" spans="1:2" ht="15.75" customHeight="1" thickBot="1" x14ac:dyDescent="0.3">
      <c r="A8150" s="7">
        <f ca="1"/>
        <v>45040</v>
      </c>
      <c r="B8150" s="6">
        <v>132.88999999999999</v>
      </c>
    </row>
    <row r="8151" spans="1:2" ht="15.75" customHeight="1" thickBot="1" x14ac:dyDescent="0.3">
      <c r="A8151" s="7">
        <f ca="1"/>
        <v>45041</v>
      </c>
      <c r="B8151" s="6">
        <v>134.46</v>
      </c>
    </row>
    <row r="8152" spans="1:2" ht="15.75" customHeight="1" thickBot="1" x14ac:dyDescent="0.3">
      <c r="A8152" s="7">
        <f ca="1"/>
        <v>45042</v>
      </c>
      <c r="B8152" s="6">
        <v>135.61000000000001</v>
      </c>
    </row>
    <row r="8153" spans="1:2" ht="15.75" customHeight="1" thickBot="1" x14ac:dyDescent="0.3">
      <c r="A8153" s="7">
        <f ca="1"/>
        <v>45043</v>
      </c>
      <c r="B8153" s="6">
        <v>135.79</v>
      </c>
    </row>
    <row r="8154" spans="1:2" ht="15.75" customHeight="1" thickBot="1" x14ac:dyDescent="0.3">
      <c r="A8154" s="7">
        <f ca="1"/>
        <v>45044</v>
      </c>
      <c r="B8154" s="6">
        <v>135.34</v>
      </c>
    </row>
    <row r="8155" spans="1:2" ht="15.75" customHeight="1" thickBot="1" x14ac:dyDescent="0.3">
      <c r="A8155" s="7">
        <f ca="1"/>
        <v>45045</v>
      </c>
      <c r="B8155" s="5">
        <f t="shared" ref="B8155:B8156" si="1164">B8154</f>
        <v>135.34</v>
      </c>
    </row>
    <row r="8156" spans="1:2" ht="15.75" customHeight="1" thickBot="1" x14ac:dyDescent="0.3">
      <c r="A8156" s="7">
        <f ca="1"/>
        <v>45046</v>
      </c>
      <c r="B8156" s="5">
        <f t="shared" si="1164"/>
        <v>135.34</v>
      </c>
    </row>
    <row r="8157" spans="1:2" ht="15.75" customHeight="1" thickBot="1" x14ac:dyDescent="0.3">
      <c r="A8157" s="7">
        <f ca="1"/>
        <v>45047</v>
      </c>
      <c r="B8157" s="6">
        <v>135.57</v>
      </c>
    </row>
    <row r="8158" spans="1:2" ht="15.75" customHeight="1" thickBot="1" x14ac:dyDescent="0.3">
      <c r="A8158" s="7">
        <f ca="1"/>
        <v>45048</v>
      </c>
      <c r="B8158" s="6">
        <v>133.61000000000001</v>
      </c>
    </row>
    <row r="8159" spans="1:2" ht="15.75" customHeight="1" thickBot="1" x14ac:dyDescent="0.3">
      <c r="A8159" s="7">
        <f ca="1"/>
        <v>45049</v>
      </c>
      <c r="B8159" s="6">
        <v>136.08000000000001</v>
      </c>
    </row>
    <row r="8160" spans="1:2" ht="15.75" customHeight="1" thickBot="1" x14ac:dyDescent="0.3">
      <c r="A8160" s="7">
        <f ca="1"/>
        <v>45050</v>
      </c>
      <c r="B8160" s="6">
        <v>133.86000000000001</v>
      </c>
    </row>
    <row r="8161" spans="1:2" ht="15.75" customHeight="1" thickBot="1" x14ac:dyDescent="0.3">
      <c r="A8161" s="7">
        <f ca="1"/>
        <v>45051</v>
      </c>
      <c r="B8161" s="6">
        <v>134.13</v>
      </c>
    </row>
    <row r="8162" spans="1:2" ht="15.75" customHeight="1" thickBot="1" x14ac:dyDescent="0.3">
      <c r="A8162" s="7">
        <f ca="1"/>
        <v>45052</v>
      </c>
      <c r="B8162" s="5">
        <f t="shared" ref="B8162:B8163" si="1165">B8161</f>
        <v>134.13</v>
      </c>
    </row>
    <row r="8163" spans="1:2" ht="15.75" customHeight="1" thickBot="1" x14ac:dyDescent="0.3">
      <c r="A8163" s="7">
        <f ca="1"/>
        <v>45053</v>
      </c>
      <c r="B8163" s="5">
        <f t="shared" si="1165"/>
        <v>134.13</v>
      </c>
    </row>
    <row r="8164" spans="1:2" ht="15.75" customHeight="1" thickBot="1" x14ac:dyDescent="0.3">
      <c r="A8164" s="7">
        <f ca="1"/>
        <v>45054</v>
      </c>
      <c r="B8164" s="6">
        <v>136.06</v>
      </c>
    </row>
    <row r="8165" spans="1:2" ht="15.75" customHeight="1" thickBot="1" x14ac:dyDescent="0.3">
      <c r="A8165" s="7">
        <f ca="1"/>
        <v>45055</v>
      </c>
      <c r="B8165" s="6">
        <v>133.96</v>
      </c>
    </row>
    <row r="8166" spans="1:2" ht="15.75" customHeight="1" thickBot="1" x14ac:dyDescent="0.3">
      <c r="A8166" s="7">
        <f ca="1"/>
        <v>45056</v>
      </c>
      <c r="B8166" s="6">
        <v>134.84</v>
      </c>
    </row>
    <row r="8167" spans="1:2" ht="15.75" customHeight="1" thickBot="1" x14ac:dyDescent="0.3">
      <c r="A8167" s="7">
        <f ca="1"/>
        <v>45057</v>
      </c>
      <c r="B8167" s="6">
        <v>134.07</v>
      </c>
    </row>
    <row r="8168" spans="1:2" ht="15.75" customHeight="1" thickBot="1" x14ac:dyDescent="0.3">
      <c r="A8168" s="7">
        <f ca="1"/>
        <v>45058</v>
      </c>
      <c r="B8168" s="6">
        <v>131.79</v>
      </c>
    </row>
    <row r="8169" spans="1:2" ht="15.75" customHeight="1" thickBot="1" x14ac:dyDescent="0.3">
      <c r="A8169" s="7">
        <f ca="1"/>
        <v>45059</v>
      </c>
      <c r="B8169" s="5">
        <f t="shared" ref="B8169:B8170" si="1166">B8168</f>
        <v>131.79</v>
      </c>
    </row>
    <row r="8170" spans="1:2" ht="15.75" customHeight="1" thickBot="1" x14ac:dyDescent="0.3">
      <c r="A8170" s="7">
        <f ca="1"/>
        <v>45060</v>
      </c>
      <c r="B8170" s="5">
        <f t="shared" si="1166"/>
        <v>131.79</v>
      </c>
    </row>
    <row r="8171" spans="1:2" ht="15.75" customHeight="1" thickBot="1" x14ac:dyDescent="0.3">
      <c r="A8171" s="7">
        <f ca="1"/>
        <v>45061</v>
      </c>
      <c r="B8171" s="6">
        <v>130.36000000000001</v>
      </c>
    </row>
    <row r="8172" spans="1:2" ht="15.75" customHeight="1" thickBot="1" x14ac:dyDescent="0.3">
      <c r="A8172" s="7">
        <f ca="1"/>
        <v>45062</v>
      </c>
      <c r="B8172" s="6">
        <v>131.32</v>
      </c>
    </row>
    <row r="8173" spans="1:2" ht="15.75" customHeight="1" thickBot="1" x14ac:dyDescent="0.3">
      <c r="A8173" s="7">
        <f ca="1"/>
        <v>45063</v>
      </c>
      <c r="B8173" s="6">
        <v>133.4</v>
      </c>
    </row>
    <row r="8174" spans="1:2" ht="15.75" customHeight="1" thickBot="1" x14ac:dyDescent="0.3">
      <c r="A8174" s="7">
        <f ca="1"/>
        <v>45064</v>
      </c>
      <c r="B8174" s="6">
        <v>133.4</v>
      </c>
    </row>
    <row r="8175" spans="1:2" ht="15.75" customHeight="1" thickBot="1" x14ac:dyDescent="0.3">
      <c r="A8175" s="7">
        <f ca="1"/>
        <v>45065</v>
      </c>
      <c r="B8175" s="6">
        <v>134.58000000000001</v>
      </c>
    </row>
    <row r="8176" spans="1:2" ht="15.75" customHeight="1" thickBot="1" x14ac:dyDescent="0.3">
      <c r="A8176" s="7">
        <f ca="1"/>
        <v>45066</v>
      </c>
      <c r="B8176" s="5">
        <f t="shared" ref="B8176:B8177" si="1167">B8175</f>
        <v>134.58000000000001</v>
      </c>
    </row>
    <row r="8177" spans="1:2" ht="15.75" customHeight="1" thickBot="1" x14ac:dyDescent="0.3">
      <c r="A8177" s="7">
        <f ca="1"/>
        <v>45067</v>
      </c>
      <c r="B8177" s="5">
        <f t="shared" si="1167"/>
        <v>134.58000000000001</v>
      </c>
    </row>
    <row r="8178" spans="1:2" ht="15.75" customHeight="1" thickBot="1" x14ac:dyDescent="0.3">
      <c r="A8178" s="7">
        <f ca="1"/>
        <v>45068</v>
      </c>
      <c r="B8178" s="6">
        <v>133.47</v>
      </c>
    </row>
    <row r="8179" spans="1:2" ht="15.75" customHeight="1" thickBot="1" x14ac:dyDescent="0.3">
      <c r="A8179" s="7">
        <f ca="1"/>
        <v>45069</v>
      </c>
      <c r="B8179" s="6">
        <v>132.53</v>
      </c>
    </row>
    <row r="8180" spans="1:2" ht="15.75" customHeight="1" thickBot="1" x14ac:dyDescent="0.3">
      <c r="A8180" s="7">
        <f ca="1"/>
        <v>45070</v>
      </c>
      <c r="B8180" s="6">
        <v>129.63</v>
      </c>
    </row>
    <row r="8181" spans="1:2" ht="15.75" customHeight="1" thickBot="1" x14ac:dyDescent="0.3">
      <c r="A8181" s="7">
        <f ca="1"/>
        <v>45071</v>
      </c>
      <c r="B8181" s="6">
        <v>129.80000000000001</v>
      </c>
    </row>
    <row r="8182" spans="1:2" ht="15.75" customHeight="1" thickBot="1" x14ac:dyDescent="0.3">
      <c r="A8182" s="7">
        <f ca="1"/>
        <v>45072</v>
      </c>
      <c r="B8182" s="6">
        <v>130.13</v>
      </c>
    </row>
    <row r="8183" spans="1:2" ht="15.75" customHeight="1" thickBot="1" x14ac:dyDescent="0.3">
      <c r="A8183" s="7">
        <f ca="1"/>
        <v>45073</v>
      </c>
      <c r="B8183" s="5">
        <f t="shared" ref="B8183:B8185" si="1168">B8182</f>
        <v>130.13</v>
      </c>
    </row>
    <row r="8184" spans="1:2" ht="15.75" customHeight="1" thickBot="1" x14ac:dyDescent="0.3">
      <c r="A8184" s="7">
        <f ca="1"/>
        <v>45074</v>
      </c>
      <c r="B8184" s="5">
        <f t="shared" si="1168"/>
        <v>130.13</v>
      </c>
    </row>
    <row r="8185" spans="1:2" ht="15.75" customHeight="1" thickBot="1" x14ac:dyDescent="0.3">
      <c r="A8185" s="7">
        <f ca="1"/>
        <v>45075</v>
      </c>
      <c r="B8185" s="5">
        <f t="shared" si="1168"/>
        <v>130.13</v>
      </c>
    </row>
    <row r="8186" spans="1:2" ht="15.75" customHeight="1" thickBot="1" x14ac:dyDescent="0.3">
      <c r="A8186" s="7">
        <f ca="1"/>
        <v>45076</v>
      </c>
      <c r="B8186" s="6">
        <v>131.91</v>
      </c>
    </row>
    <row r="8187" spans="1:2" ht="15.75" customHeight="1" thickBot="1" x14ac:dyDescent="0.3">
      <c r="A8187" s="7">
        <f ca="1"/>
        <v>45077</v>
      </c>
      <c r="B8187" s="6">
        <v>130.47999999999999</v>
      </c>
    </row>
    <row r="8188" spans="1:2" ht="15.75" customHeight="1" thickBot="1" x14ac:dyDescent="0.3">
      <c r="A8188" s="7">
        <f ca="1"/>
        <v>45078</v>
      </c>
      <c r="B8188" s="6">
        <v>131.15</v>
      </c>
    </row>
    <row r="8189" spans="1:2" ht="15.75" customHeight="1" thickBot="1" x14ac:dyDescent="0.3">
      <c r="A8189" s="7">
        <f ca="1"/>
        <v>45079</v>
      </c>
      <c r="B8189" s="6">
        <v>133.26</v>
      </c>
    </row>
    <row r="8190" spans="1:2" ht="15.75" customHeight="1" thickBot="1" x14ac:dyDescent="0.3">
      <c r="A8190" s="7">
        <f ca="1"/>
        <v>45080</v>
      </c>
      <c r="B8190" s="5">
        <f t="shared" ref="B8190:B8191" si="1169">B8189</f>
        <v>133.26</v>
      </c>
    </row>
    <row r="8191" spans="1:2" ht="15.75" customHeight="1" thickBot="1" x14ac:dyDescent="0.3">
      <c r="A8191" s="7">
        <f ca="1"/>
        <v>45081</v>
      </c>
      <c r="B8191" s="5">
        <f t="shared" si="1169"/>
        <v>133.26</v>
      </c>
    </row>
    <row r="8192" spans="1:2" ht="15.75" customHeight="1" thickBot="1" x14ac:dyDescent="0.3">
      <c r="A8192" s="7">
        <f ca="1"/>
        <v>45082</v>
      </c>
      <c r="B8192" s="6">
        <v>132.30000000000001</v>
      </c>
    </row>
    <row r="8193" spans="1:2" ht="15.75" customHeight="1" thickBot="1" x14ac:dyDescent="0.3">
      <c r="A8193" s="7">
        <f ca="1"/>
        <v>45083</v>
      </c>
      <c r="B8193" s="6">
        <v>132.16</v>
      </c>
    </row>
    <row r="8194" spans="1:2" ht="15.75" customHeight="1" thickBot="1" x14ac:dyDescent="0.3">
      <c r="A8194" s="7">
        <f ca="1"/>
        <v>45084</v>
      </c>
      <c r="B8194" s="6">
        <v>132.75</v>
      </c>
    </row>
    <row r="8195" spans="1:2" ht="15.75" customHeight="1" thickBot="1" x14ac:dyDescent="0.3">
      <c r="A8195" s="7">
        <f ca="1"/>
        <v>45085</v>
      </c>
      <c r="B8195" s="6">
        <v>132.01</v>
      </c>
    </row>
    <row r="8196" spans="1:2" ht="15.75" customHeight="1" thickBot="1" x14ac:dyDescent="0.3">
      <c r="A8196" s="7">
        <f ca="1"/>
        <v>45086</v>
      </c>
      <c r="B8196" s="6">
        <v>132.94999999999999</v>
      </c>
    </row>
    <row r="8197" spans="1:2" ht="15.75" customHeight="1" thickBot="1" x14ac:dyDescent="0.3">
      <c r="A8197" s="7">
        <f ca="1"/>
        <v>45087</v>
      </c>
      <c r="B8197" s="5">
        <f t="shared" ref="B8197:B8198" si="1170">B8196</f>
        <v>132.94999999999999</v>
      </c>
    </row>
    <row r="8198" spans="1:2" ht="15.75" customHeight="1" thickBot="1" x14ac:dyDescent="0.3">
      <c r="A8198" s="7">
        <f ca="1"/>
        <v>45088</v>
      </c>
      <c r="B8198" s="5">
        <f t="shared" si="1170"/>
        <v>132.94999999999999</v>
      </c>
    </row>
    <row r="8199" spans="1:2" ht="15.75" customHeight="1" thickBot="1" x14ac:dyDescent="0.3">
      <c r="A8199" s="7">
        <f ca="1"/>
        <v>45089</v>
      </c>
      <c r="B8199" s="6">
        <v>131.96</v>
      </c>
    </row>
    <row r="8200" spans="1:2" ht="15.75" customHeight="1" thickBot="1" x14ac:dyDescent="0.3">
      <c r="A8200" s="7">
        <f ca="1"/>
        <v>45090</v>
      </c>
      <c r="B8200" s="6">
        <v>134.66</v>
      </c>
    </row>
    <row r="8201" spans="1:2" ht="15.75" customHeight="1" thickBot="1" x14ac:dyDescent="0.3">
      <c r="A8201" s="7">
        <f ca="1"/>
        <v>45091</v>
      </c>
      <c r="B8201" s="6">
        <v>134.63999999999999</v>
      </c>
    </row>
    <row r="8202" spans="1:2" ht="15.75" customHeight="1" thickBot="1" x14ac:dyDescent="0.3">
      <c r="A8202" s="7">
        <f ca="1"/>
        <v>45092</v>
      </c>
      <c r="B8202" s="6">
        <v>134.91999999999999</v>
      </c>
    </row>
    <row r="8203" spans="1:2" ht="15.75" customHeight="1" thickBot="1" x14ac:dyDescent="0.3">
      <c r="A8203" s="7">
        <f ca="1"/>
        <v>45093</v>
      </c>
      <c r="B8203" s="6">
        <v>139.04</v>
      </c>
    </row>
    <row r="8204" spans="1:2" ht="15.75" customHeight="1" thickBot="1" x14ac:dyDescent="0.3">
      <c r="A8204" s="7">
        <f ca="1"/>
        <v>45094</v>
      </c>
      <c r="B8204" s="5">
        <f t="shared" ref="B8204:B8206" si="1171">B8203</f>
        <v>139.04</v>
      </c>
    </row>
    <row r="8205" spans="1:2" ht="15.75" customHeight="1" thickBot="1" x14ac:dyDescent="0.3">
      <c r="A8205" s="7">
        <f ca="1"/>
        <v>45095</v>
      </c>
      <c r="B8205" s="5">
        <f t="shared" si="1171"/>
        <v>139.04</v>
      </c>
    </row>
    <row r="8206" spans="1:2" ht="15.75" customHeight="1" thickBot="1" x14ac:dyDescent="0.3">
      <c r="A8206" s="7">
        <f ca="1"/>
        <v>45096</v>
      </c>
      <c r="B8206" s="5">
        <f t="shared" si="1171"/>
        <v>139.04</v>
      </c>
    </row>
    <row r="8207" spans="1:2" ht="15.75" customHeight="1" thickBot="1" x14ac:dyDescent="0.3">
      <c r="A8207" s="7">
        <f ca="1"/>
        <v>45097</v>
      </c>
      <c r="B8207" s="6">
        <v>136.06</v>
      </c>
    </row>
    <row r="8208" spans="1:2" ht="15.75" customHeight="1" thickBot="1" x14ac:dyDescent="0.3">
      <c r="A8208" s="7">
        <f ca="1"/>
        <v>45098</v>
      </c>
      <c r="B8208" s="6">
        <v>135.57</v>
      </c>
    </row>
    <row r="8209" spans="1:2" ht="15.75" customHeight="1" thickBot="1" x14ac:dyDescent="0.3">
      <c r="A8209" s="7">
        <f ca="1"/>
        <v>45099</v>
      </c>
      <c r="B8209" s="6">
        <v>134.38</v>
      </c>
    </row>
    <row r="8210" spans="1:2" ht="15.75" customHeight="1" thickBot="1" x14ac:dyDescent="0.3">
      <c r="A8210" s="7">
        <f ca="1"/>
        <v>45100</v>
      </c>
      <c r="B8210" s="6">
        <v>133.69999999999999</v>
      </c>
    </row>
    <row r="8211" spans="1:2" ht="15.75" customHeight="1" thickBot="1" x14ac:dyDescent="0.3">
      <c r="A8211" s="7">
        <f ca="1"/>
        <v>45101</v>
      </c>
      <c r="B8211" s="5">
        <f t="shared" ref="B8211:B8212" si="1172">B8210</f>
        <v>133.69999999999999</v>
      </c>
    </row>
    <row r="8212" spans="1:2" ht="15.75" customHeight="1" thickBot="1" x14ac:dyDescent="0.3">
      <c r="A8212" s="7">
        <f ca="1"/>
        <v>45102</v>
      </c>
      <c r="B8212" s="5">
        <f t="shared" si="1172"/>
        <v>133.69999999999999</v>
      </c>
    </row>
    <row r="8213" spans="1:2" ht="15.75" customHeight="1" thickBot="1" x14ac:dyDescent="0.3">
      <c r="A8213" s="7">
        <f ca="1"/>
        <v>45103</v>
      </c>
      <c r="B8213" s="6">
        <v>133.1</v>
      </c>
    </row>
    <row r="8214" spans="1:2" ht="15.75" customHeight="1" thickBot="1" x14ac:dyDescent="0.3">
      <c r="A8214" s="7">
        <f ca="1"/>
        <v>45104</v>
      </c>
      <c r="B8214" s="6">
        <v>132.49</v>
      </c>
    </row>
    <row r="8215" spans="1:2" ht="15.75" customHeight="1" thickBot="1" x14ac:dyDescent="0.3">
      <c r="A8215" s="7">
        <f ca="1"/>
        <v>45105</v>
      </c>
      <c r="B8215" s="6">
        <v>133.75</v>
      </c>
    </row>
    <row r="8216" spans="1:2" ht="15.75" customHeight="1" thickBot="1" x14ac:dyDescent="0.3">
      <c r="A8216" s="7">
        <f ca="1"/>
        <v>45106</v>
      </c>
      <c r="B8216" s="6">
        <v>134.30000000000001</v>
      </c>
    </row>
    <row r="8217" spans="1:2" ht="15.75" customHeight="1" thickBot="1" x14ac:dyDescent="0.3">
      <c r="A8217" s="7">
        <f ca="1"/>
        <v>45107</v>
      </c>
      <c r="B8217" s="6">
        <v>135.46</v>
      </c>
    </row>
    <row r="8218" spans="1:2" ht="15.75" customHeight="1" thickBot="1" x14ac:dyDescent="0.3">
      <c r="A8218" s="7">
        <f ca="1"/>
        <v>45108</v>
      </c>
      <c r="B8218" s="5">
        <f t="shared" ref="B8218:B8219" si="1173">B8217</f>
        <v>135.46</v>
      </c>
    </row>
    <row r="8219" spans="1:2" ht="15.75" customHeight="1" thickBot="1" x14ac:dyDescent="0.3">
      <c r="A8219" s="7">
        <f ca="1"/>
        <v>45109</v>
      </c>
      <c r="B8219" s="5">
        <f t="shared" si="1173"/>
        <v>135.46</v>
      </c>
    </row>
    <row r="8220" spans="1:2" ht="15.75" customHeight="1" thickBot="1" x14ac:dyDescent="0.3">
      <c r="A8220" s="7">
        <f ca="1"/>
        <v>45110</v>
      </c>
      <c r="B8220" s="6">
        <v>135.66999999999999</v>
      </c>
    </row>
    <row r="8221" spans="1:2" ht="15.75" customHeight="1" thickBot="1" x14ac:dyDescent="0.3">
      <c r="A8221" s="7">
        <f ca="1"/>
        <v>45111</v>
      </c>
      <c r="B8221" s="5">
        <f>B8220</f>
        <v>135.66999999999999</v>
      </c>
    </row>
    <row r="8222" spans="1:2" ht="15.75" customHeight="1" thickBot="1" x14ac:dyDescent="0.3">
      <c r="A8222" s="7">
        <f ca="1"/>
        <v>45112</v>
      </c>
      <c r="B8222" s="6">
        <v>133.69999999999999</v>
      </c>
    </row>
    <row r="8223" spans="1:2" ht="15.75" customHeight="1" thickBot="1" x14ac:dyDescent="0.3">
      <c r="A8223" s="7">
        <f ca="1"/>
        <v>45113</v>
      </c>
      <c r="B8223" s="6">
        <v>132.83000000000001</v>
      </c>
    </row>
    <row r="8224" spans="1:2" ht="15.75" customHeight="1" thickBot="1" x14ac:dyDescent="0.3">
      <c r="A8224" s="7">
        <f ca="1"/>
        <v>45114</v>
      </c>
      <c r="B8224" s="6">
        <v>132.77000000000001</v>
      </c>
    </row>
    <row r="8225" spans="1:2" ht="15.75" customHeight="1" thickBot="1" x14ac:dyDescent="0.3">
      <c r="A8225" s="7">
        <f ca="1"/>
        <v>45115</v>
      </c>
      <c r="B8225" s="5">
        <f t="shared" ref="B8225:B8226" si="1174">B8224</f>
        <v>132.77000000000001</v>
      </c>
    </row>
    <row r="8226" spans="1:2" ht="15.75" customHeight="1" thickBot="1" x14ac:dyDescent="0.3">
      <c r="A8226" s="7">
        <f ca="1"/>
        <v>45116</v>
      </c>
      <c r="B8226" s="5">
        <f t="shared" si="1174"/>
        <v>132.77000000000001</v>
      </c>
    </row>
    <row r="8227" spans="1:2" ht="15.75" customHeight="1" thickBot="1" x14ac:dyDescent="0.3">
      <c r="A8227" s="7">
        <f ca="1"/>
        <v>45117</v>
      </c>
      <c r="B8227" s="6">
        <v>133.38999999999999</v>
      </c>
    </row>
    <row r="8228" spans="1:2" ht="15.75" customHeight="1" thickBot="1" x14ac:dyDescent="0.3">
      <c r="A8228" s="7">
        <f ca="1"/>
        <v>45118</v>
      </c>
      <c r="B8228" s="6">
        <v>135.29</v>
      </c>
    </row>
    <row r="8229" spans="1:2" ht="15.75" customHeight="1" thickBot="1" x14ac:dyDescent="0.3">
      <c r="A8229" s="7">
        <f ca="1"/>
        <v>45119</v>
      </c>
      <c r="B8229" s="6">
        <v>138.69</v>
      </c>
    </row>
    <row r="8230" spans="1:2" ht="15.75" customHeight="1" thickBot="1" x14ac:dyDescent="0.3">
      <c r="A8230" s="7">
        <f ca="1"/>
        <v>45120</v>
      </c>
      <c r="B8230" s="6">
        <v>142.4</v>
      </c>
    </row>
    <row r="8231" spans="1:2" ht="15.75" customHeight="1" thickBot="1" x14ac:dyDescent="0.3">
      <c r="A8231" s="7">
        <f ca="1"/>
        <v>45121</v>
      </c>
      <c r="B8231" s="6">
        <v>144.04</v>
      </c>
    </row>
    <row r="8232" spans="1:2" ht="15.75" customHeight="1" thickBot="1" x14ac:dyDescent="0.3">
      <c r="A8232" s="7">
        <f ca="1"/>
        <v>45122</v>
      </c>
      <c r="B8232" s="5">
        <f t="shared" ref="B8232:B8233" si="1175">B8231</f>
        <v>144.04</v>
      </c>
    </row>
    <row r="8233" spans="1:2" ht="15.75" customHeight="1" thickBot="1" x14ac:dyDescent="0.3">
      <c r="A8233" s="7">
        <f ca="1"/>
        <v>45123</v>
      </c>
      <c r="B8233" s="5">
        <f t="shared" si="1175"/>
        <v>144.04</v>
      </c>
    </row>
    <row r="8234" spans="1:2" ht="15.75" customHeight="1" thickBot="1" x14ac:dyDescent="0.3">
      <c r="A8234" s="7">
        <f ca="1"/>
        <v>45124</v>
      </c>
      <c r="B8234" s="6">
        <v>142.86000000000001</v>
      </c>
    </row>
    <row r="8235" spans="1:2" ht="15.75" customHeight="1" thickBot="1" x14ac:dyDescent="0.3">
      <c r="A8235" s="7">
        <f ca="1"/>
        <v>45125</v>
      </c>
      <c r="B8235" s="6">
        <v>144.38</v>
      </c>
    </row>
    <row r="8236" spans="1:2" ht="15.75" customHeight="1" thickBot="1" x14ac:dyDescent="0.3">
      <c r="A8236" s="7">
        <f ca="1"/>
        <v>45126</v>
      </c>
      <c r="B8236" s="6">
        <v>143.63</v>
      </c>
    </row>
    <row r="8237" spans="1:2" ht="15.75" customHeight="1" thickBot="1" x14ac:dyDescent="0.3">
      <c r="A8237" s="7">
        <f ca="1"/>
        <v>45127</v>
      </c>
      <c r="B8237" s="6">
        <v>140.86000000000001</v>
      </c>
    </row>
    <row r="8238" spans="1:2" ht="15.75" customHeight="1" thickBot="1" x14ac:dyDescent="0.3">
      <c r="A8238" s="7">
        <f ca="1"/>
        <v>45128</v>
      </c>
      <c r="B8238" s="6">
        <v>135.75</v>
      </c>
    </row>
    <row r="8239" spans="1:2" ht="15.75" customHeight="1" thickBot="1" x14ac:dyDescent="0.3">
      <c r="A8239" s="7">
        <f ca="1"/>
        <v>45129</v>
      </c>
      <c r="B8239" s="5">
        <f t="shared" ref="B8239:B8240" si="1176">B8238</f>
        <v>135.75</v>
      </c>
    </row>
    <row r="8240" spans="1:2" ht="15.75" customHeight="1" thickBot="1" x14ac:dyDescent="0.3">
      <c r="A8240" s="7">
        <f ca="1"/>
        <v>45130</v>
      </c>
      <c r="B8240" s="5">
        <f t="shared" si="1176"/>
        <v>135.75</v>
      </c>
    </row>
    <row r="8241" spans="1:2" ht="15.75" customHeight="1" thickBot="1" x14ac:dyDescent="0.3">
      <c r="A8241" s="7">
        <f ca="1"/>
        <v>45131</v>
      </c>
      <c r="B8241" s="6">
        <v>133.52000000000001</v>
      </c>
    </row>
    <row r="8242" spans="1:2" ht="15.75" customHeight="1" thickBot="1" x14ac:dyDescent="0.3">
      <c r="A8242" s="7">
        <f ca="1"/>
        <v>45132</v>
      </c>
      <c r="B8242" s="6">
        <v>132.11000000000001</v>
      </c>
    </row>
    <row r="8243" spans="1:2" ht="15.75" customHeight="1" thickBot="1" x14ac:dyDescent="0.3">
      <c r="A8243" s="7">
        <f ca="1"/>
        <v>45133</v>
      </c>
      <c r="B8243" s="6">
        <v>131.44999999999999</v>
      </c>
    </row>
    <row r="8244" spans="1:2" ht="15.75" customHeight="1" thickBot="1" x14ac:dyDescent="0.3">
      <c r="A8244" s="7">
        <f ca="1"/>
        <v>45134</v>
      </c>
      <c r="B8244" s="6">
        <v>135.44</v>
      </c>
    </row>
    <row r="8245" spans="1:2" ht="15.75" customHeight="1" thickBot="1" x14ac:dyDescent="0.3">
      <c r="A8245" s="7">
        <f ca="1"/>
        <v>45135</v>
      </c>
      <c r="B8245" s="6">
        <v>135.83000000000001</v>
      </c>
    </row>
    <row r="8246" spans="1:2" ht="15.75" customHeight="1" thickBot="1" x14ac:dyDescent="0.3">
      <c r="A8246" s="7">
        <f ca="1"/>
        <v>45136</v>
      </c>
      <c r="B8246" s="5">
        <f t="shared" ref="B8246:B8247" si="1177">B8245</f>
        <v>135.83000000000001</v>
      </c>
    </row>
    <row r="8247" spans="1:2" ht="15.75" customHeight="1" thickBot="1" x14ac:dyDescent="0.3">
      <c r="A8247" s="7">
        <f ca="1"/>
        <v>45137</v>
      </c>
      <c r="B8247" s="5">
        <f t="shared" si="1177"/>
        <v>135.83000000000001</v>
      </c>
    </row>
    <row r="8248" spans="1:2" ht="15.75" customHeight="1" thickBot="1" x14ac:dyDescent="0.3">
      <c r="A8248" s="7">
        <f ca="1"/>
        <v>45138</v>
      </c>
      <c r="B8248" s="6">
        <v>137.27000000000001</v>
      </c>
    </row>
    <row r="8249" spans="1:2" ht="15.75" customHeight="1" thickBot="1" x14ac:dyDescent="0.3">
      <c r="A8249" s="7">
        <f ca="1"/>
        <v>45139</v>
      </c>
      <c r="B8249" s="6">
        <v>136.32</v>
      </c>
    </row>
    <row r="8250" spans="1:2" ht="15.75" customHeight="1" thickBot="1" x14ac:dyDescent="0.3">
      <c r="A8250" s="7">
        <f ca="1"/>
        <v>45140</v>
      </c>
      <c r="B8250" s="6">
        <v>135.16999999999999</v>
      </c>
    </row>
    <row r="8251" spans="1:2" ht="15.75" customHeight="1" thickBot="1" x14ac:dyDescent="0.3">
      <c r="A8251" s="7">
        <f ca="1"/>
        <v>45141</v>
      </c>
      <c r="B8251" s="6">
        <v>132.21</v>
      </c>
    </row>
    <row r="8252" spans="1:2" ht="15.75" customHeight="1" thickBot="1" x14ac:dyDescent="0.3">
      <c r="A8252" s="7">
        <f ca="1"/>
        <v>45142</v>
      </c>
      <c r="B8252" s="6">
        <v>133.05000000000001</v>
      </c>
    </row>
    <row r="8253" spans="1:2" ht="15.75" customHeight="1" thickBot="1" x14ac:dyDescent="0.3">
      <c r="A8253" s="7">
        <f ca="1"/>
        <v>45143</v>
      </c>
      <c r="B8253" s="5">
        <f t="shared" ref="B8253:B8254" si="1178">B8252</f>
        <v>133.05000000000001</v>
      </c>
    </row>
    <row r="8254" spans="1:2" ht="15.75" customHeight="1" thickBot="1" x14ac:dyDescent="0.3">
      <c r="A8254" s="7">
        <f ca="1"/>
        <v>45144</v>
      </c>
      <c r="B8254" s="5">
        <f t="shared" si="1178"/>
        <v>133.05000000000001</v>
      </c>
    </row>
    <row r="8255" spans="1:2" ht="15.75" customHeight="1" thickBot="1" x14ac:dyDescent="0.3">
      <c r="A8255" s="7">
        <f ca="1"/>
        <v>45145</v>
      </c>
      <c r="B8255" s="6">
        <v>135.52000000000001</v>
      </c>
    </row>
    <row r="8256" spans="1:2" ht="15.75" customHeight="1" thickBot="1" x14ac:dyDescent="0.3">
      <c r="A8256" s="7">
        <f ca="1"/>
        <v>45146</v>
      </c>
      <c r="B8256" s="6">
        <v>133.55000000000001</v>
      </c>
    </row>
    <row r="8257" spans="1:2" ht="15.75" customHeight="1" thickBot="1" x14ac:dyDescent="0.3">
      <c r="A8257" s="7">
        <f ca="1"/>
        <v>45147</v>
      </c>
      <c r="B8257" s="6">
        <v>134.74</v>
      </c>
    </row>
    <row r="8258" spans="1:2" ht="15.75" customHeight="1" thickBot="1" x14ac:dyDescent="0.3">
      <c r="A8258" s="7">
        <f ca="1"/>
        <v>45148</v>
      </c>
      <c r="B8258" s="6">
        <v>137.97</v>
      </c>
    </row>
    <row r="8259" spans="1:2" ht="15.75" customHeight="1" thickBot="1" x14ac:dyDescent="0.3">
      <c r="A8259" s="7">
        <f ca="1"/>
        <v>45149</v>
      </c>
      <c r="B8259" s="6">
        <v>136.97</v>
      </c>
    </row>
    <row r="8260" spans="1:2" ht="15.75" customHeight="1" thickBot="1" x14ac:dyDescent="0.3">
      <c r="A8260" s="7">
        <f ca="1"/>
        <v>45150</v>
      </c>
      <c r="B8260" s="5">
        <f t="shared" ref="B8260:B8261" si="1179">B8259</f>
        <v>136.97</v>
      </c>
    </row>
    <row r="8261" spans="1:2" ht="15.75" customHeight="1" thickBot="1" x14ac:dyDescent="0.3">
      <c r="A8261" s="7">
        <f ca="1"/>
        <v>45151</v>
      </c>
      <c r="B8261" s="5">
        <f t="shared" si="1179"/>
        <v>136.97</v>
      </c>
    </row>
    <row r="8262" spans="1:2" ht="15.75" customHeight="1" thickBot="1" x14ac:dyDescent="0.3">
      <c r="A8262" s="7">
        <f ca="1"/>
        <v>45152</v>
      </c>
      <c r="B8262" s="6">
        <v>137.77000000000001</v>
      </c>
    </row>
    <row r="8263" spans="1:2" ht="15.75" customHeight="1" thickBot="1" x14ac:dyDescent="0.3">
      <c r="A8263" s="7">
        <f ca="1"/>
        <v>45153</v>
      </c>
      <c r="B8263" s="6">
        <v>138.08000000000001</v>
      </c>
    </row>
    <row r="8264" spans="1:2" ht="15.75" customHeight="1" thickBot="1" x14ac:dyDescent="0.3">
      <c r="A8264" s="7">
        <f ca="1"/>
        <v>45154</v>
      </c>
      <c r="B8264" s="6">
        <v>138.32</v>
      </c>
    </row>
    <row r="8265" spans="1:2" ht="15.75" customHeight="1" thickBot="1" x14ac:dyDescent="0.3">
      <c r="A8265" s="7">
        <f ca="1"/>
        <v>45155</v>
      </c>
      <c r="B8265" s="6">
        <v>136.47999999999999</v>
      </c>
    </row>
    <row r="8266" spans="1:2" ht="15.75" customHeight="1" thickBot="1" x14ac:dyDescent="0.3">
      <c r="A8266" s="7">
        <f ca="1"/>
        <v>45156</v>
      </c>
      <c r="B8266" s="6">
        <v>133.97999999999999</v>
      </c>
    </row>
    <row r="8267" spans="1:2" ht="15.75" customHeight="1" thickBot="1" x14ac:dyDescent="0.3">
      <c r="A8267" s="7">
        <f ca="1"/>
        <v>45157</v>
      </c>
      <c r="B8267" s="5">
        <f t="shared" ref="B8267:B8268" si="1180">B8266</f>
        <v>133.97999999999999</v>
      </c>
    </row>
    <row r="8268" spans="1:2" ht="15.75" customHeight="1" thickBot="1" x14ac:dyDescent="0.3">
      <c r="A8268" s="7">
        <f ca="1"/>
        <v>45158</v>
      </c>
      <c r="B8268" s="5">
        <f t="shared" si="1180"/>
        <v>133.97999999999999</v>
      </c>
    </row>
    <row r="8269" spans="1:2" ht="15.75" customHeight="1" thickBot="1" x14ac:dyDescent="0.3">
      <c r="A8269" s="7">
        <f ca="1"/>
        <v>45159</v>
      </c>
      <c r="B8269" s="6">
        <v>136.09</v>
      </c>
    </row>
    <row r="8270" spans="1:2" ht="15.75" customHeight="1" thickBot="1" x14ac:dyDescent="0.3">
      <c r="A8270" s="7">
        <f ca="1"/>
        <v>45160</v>
      </c>
      <c r="B8270" s="6">
        <v>138.84</v>
      </c>
    </row>
    <row r="8271" spans="1:2" ht="15.75" customHeight="1" thickBot="1" x14ac:dyDescent="0.3">
      <c r="A8271" s="7">
        <f ca="1"/>
        <v>45161</v>
      </c>
      <c r="B8271" s="6">
        <v>138.47999999999999</v>
      </c>
    </row>
    <row r="8272" spans="1:2" ht="15.75" customHeight="1" thickBot="1" x14ac:dyDescent="0.3">
      <c r="A8272" s="7">
        <f ca="1"/>
        <v>45162</v>
      </c>
      <c r="B8272" s="6">
        <v>138.82</v>
      </c>
    </row>
    <row r="8273" spans="1:2" ht="15.75" customHeight="1" thickBot="1" x14ac:dyDescent="0.3">
      <c r="A8273" s="7">
        <f ca="1"/>
        <v>45163</v>
      </c>
      <c r="B8273" s="6">
        <v>136.91</v>
      </c>
    </row>
    <row r="8274" spans="1:2" ht="15.75" customHeight="1" thickBot="1" x14ac:dyDescent="0.3">
      <c r="A8274" s="7">
        <f ca="1"/>
        <v>45164</v>
      </c>
      <c r="B8274" s="5">
        <f t="shared" ref="B8274:B8275" si="1181">B8273</f>
        <v>136.91</v>
      </c>
    </row>
    <row r="8275" spans="1:2" ht="15.75" customHeight="1" thickBot="1" x14ac:dyDescent="0.3">
      <c r="A8275" s="7">
        <f ca="1"/>
        <v>45165</v>
      </c>
      <c r="B8275" s="5">
        <f t="shared" si="1181"/>
        <v>136.91</v>
      </c>
    </row>
    <row r="8276" spans="1:2" ht="15.75" customHeight="1" thickBot="1" x14ac:dyDescent="0.3">
      <c r="A8276" s="7">
        <f ca="1"/>
        <v>45166</v>
      </c>
      <c r="B8276" s="6">
        <v>137.94</v>
      </c>
    </row>
    <row r="8277" spans="1:2" ht="15.75" customHeight="1" thickBot="1" x14ac:dyDescent="0.3">
      <c r="A8277" s="7">
        <f ca="1"/>
        <v>45167</v>
      </c>
      <c r="B8277" s="6">
        <v>137.55000000000001</v>
      </c>
    </row>
    <row r="8278" spans="1:2" ht="15.75" customHeight="1" thickBot="1" x14ac:dyDescent="0.3">
      <c r="A8278" s="7">
        <f ca="1"/>
        <v>45168</v>
      </c>
      <c r="B8278" s="6">
        <v>140.18</v>
      </c>
    </row>
    <row r="8279" spans="1:2" ht="15.75" customHeight="1" thickBot="1" x14ac:dyDescent="0.3">
      <c r="A8279" s="7">
        <f ca="1"/>
        <v>45169</v>
      </c>
      <c r="B8279" s="6">
        <v>140.69</v>
      </c>
    </row>
    <row r="8280" spans="1:2" ht="15.75" customHeight="1" thickBot="1" x14ac:dyDescent="0.3">
      <c r="A8280" s="7">
        <f ca="1"/>
        <v>45170</v>
      </c>
      <c r="B8280" s="6">
        <v>140.52000000000001</v>
      </c>
    </row>
    <row r="8281" spans="1:2" ht="15.75" customHeight="1" thickBot="1" x14ac:dyDescent="0.3">
      <c r="A8281" s="7">
        <f ca="1"/>
        <v>45171</v>
      </c>
      <c r="B8281" s="5">
        <f t="shared" ref="B8281:B8283" si="1182">B8280</f>
        <v>140.52000000000001</v>
      </c>
    </row>
    <row r="8282" spans="1:2" ht="15.75" customHeight="1" thickBot="1" x14ac:dyDescent="0.3">
      <c r="A8282" s="7">
        <f ca="1"/>
        <v>45172</v>
      </c>
      <c r="B8282" s="5">
        <f t="shared" si="1182"/>
        <v>140.52000000000001</v>
      </c>
    </row>
    <row r="8283" spans="1:2" ht="15.75" customHeight="1" thickBot="1" x14ac:dyDescent="0.3">
      <c r="A8283" s="7">
        <f ca="1"/>
        <v>45173</v>
      </c>
      <c r="B8283" s="5">
        <f t="shared" si="1182"/>
        <v>140.52000000000001</v>
      </c>
    </row>
    <row r="8284" spans="1:2" ht="15.75" customHeight="1" thickBot="1" x14ac:dyDescent="0.3">
      <c r="A8284" s="7">
        <f ca="1"/>
        <v>45174</v>
      </c>
      <c r="B8284" s="6">
        <v>137.81</v>
      </c>
    </row>
    <row r="8285" spans="1:2" ht="15.75" customHeight="1" thickBot="1" x14ac:dyDescent="0.3">
      <c r="A8285" s="7">
        <f ca="1"/>
        <v>45175</v>
      </c>
      <c r="B8285" s="6">
        <v>138.29</v>
      </c>
    </row>
    <row r="8286" spans="1:2" ht="15.75" customHeight="1" thickBot="1" x14ac:dyDescent="0.3">
      <c r="A8286" s="7">
        <f ca="1"/>
        <v>45176</v>
      </c>
      <c r="B8286" s="6">
        <v>139.34</v>
      </c>
    </row>
    <row r="8287" spans="1:2" ht="15.75" customHeight="1" thickBot="1" x14ac:dyDescent="0.3">
      <c r="A8287" s="7">
        <f ca="1"/>
        <v>45177</v>
      </c>
      <c r="B8287" s="6">
        <v>140.29</v>
      </c>
    </row>
    <row r="8288" spans="1:2" ht="15.75" customHeight="1" thickBot="1" x14ac:dyDescent="0.3">
      <c r="A8288" s="7">
        <f ca="1"/>
        <v>45178</v>
      </c>
      <c r="B8288" s="5">
        <f t="shared" ref="B8288:B8289" si="1183">B8287</f>
        <v>140.29</v>
      </c>
    </row>
    <row r="8289" spans="1:2" ht="15.75" customHeight="1" thickBot="1" x14ac:dyDescent="0.3">
      <c r="A8289" s="7">
        <f ca="1"/>
        <v>45179</v>
      </c>
      <c r="B8289" s="5">
        <f t="shared" si="1183"/>
        <v>140.29</v>
      </c>
    </row>
    <row r="8290" spans="1:2" ht="15.75" customHeight="1" thickBot="1" x14ac:dyDescent="0.3">
      <c r="A8290" s="7">
        <f ca="1"/>
        <v>45180</v>
      </c>
      <c r="B8290" s="6">
        <v>139.12</v>
      </c>
    </row>
    <row r="8291" spans="1:2" ht="15.75" customHeight="1" thickBot="1" x14ac:dyDescent="0.3">
      <c r="A8291" s="7">
        <f ca="1"/>
        <v>45181</v>
      </c>
      <c r="B8291" s="6">
        <v>135.15</v>
      </c>
    </row>
    <row r="8292" spans="1:2" ht="15.75" customHeight="1" thickBot="1" x14ac:dyDescent="0.3">
      <c r="A8292" s="7">
        <f ca="1"/>
        <v>45182</v>
      </c>
      <c r="B8292" s="6">
        <v>135.6</v>
      </c>
    </row>
    <row r="8293" spans="1:2" ht="15.75" customHeight="1" thickBot="1" x14ac:dyDescent="0.3">
      <c r="A8293" s="7">
        <f ca="1"/>
        <v>45183</v>
      </c>
      <c r="B8293" s="6">
        <v>135.63</v>
      </c>
    </row>
    <row r="8294" spans="1:2" ht="15.75" customHeight="1" thickBot="1" x14ac:dyDescent="0.3">
      <c r="A8294" s="7">
        <f ca="1"/>
        <v>45184</v>
      </c>
      <c r="B8294" s="6">
        <v>135.75</v>
      </c>
    </row>
    <row r="8295" spans="1:2" ht="15.75" customHeight="1" thickBot="1" x14ac:dyDescent="0.3">
      <c r="A8295" s="7">
        <f ca="1"/>
        <v>45185</v>
      </c>
      <c r="B8295" s="5">
        <f t="shared" ref="B8295:B8296" si="1184">B8294</f>
        <v>135.75</v>
      </c>
    </row>
    <row r="8296" spans="1:2" ht="15.75" customHeight="1" thickBot="1" x14ac:dyDescent="0.3">
      <c r="A8296" s="7">
        <f ca="1"/>
        <v>45186</v>
      </c>
      <c r="B8296" s="5">
        <f t="shared" si="1184"/>
        <v>135.75</v>
      </c>
    </row>
    <row r="8297" spans="1:2" ht="15.75" customHeight="1" thickBot="1" x14ac:dyDescent="0.3">
      <c r="A8297" s="7">
        <f ca="1"/>
        <v>45187</v>
      </c>
      <c r="B8297" s="6">
        <v>134.41999999999999</v>
      </c>
    </row>
    <row r="8298" spans="1:2" ht="15.75" customHeight="1" thickBot="1" x14ac:dyDescent="0.3">
      <c r="A8298" s="7">
        <f ca="1"/>
        <v>45188</v>
      </c>
      <c r="B8298" s="6">
        <v>134.52000000000001</v>
      </c>
    </row>
    <row r="8299" spans="1:2" ht="15.75" customHeight="1" thickBot="1" x14ac:dyDescent="0.3">
      <c r="A8299" s="7">
        <f ca="1"/>
        <v>45189</v>
      </c>
      <c r="B8299" s="6">
        <v>134.38999999999999</v>
      </c>
    </row>
    <row r="8300" spans="1:2" ht="15.75" customHeight="1" thickBot="1" x14ac:dyDescent="0.3">
      <c r="A8300" s="7">
        <f ca="1"/>
        <v>45190</v>
      </c>
      <c r="B8300" s="6">
        <v>132.94</v>
      </c>
    </row>
    <row r="8301" spans="1:2" ht="15.75" customHeight="1" thickBot="1" x14ac:dyDescent="0.3">
      <c r="A8301" s="7">
        <f ca="1"/>
        <v>45191</v>
      </c>
      <c r="B8301" s="6">
        <v>132.26</v>
      </c>
    </row>
    <row r="8302" spans="1:2" ht="15.75" customHeight="1" thickBot="1" x14ac:dyDescent="0.3">
      <c r="A8302" s="7">
        <f ca="1"/>
        <v>45192</v>
      </c>
      <c r="B8302" s="5">
        <f t="shared" ref="B8302:B8303" si="1185">B8301</f>
        <v>132.26</v>
      </c>
    </row>
    <row r="8303" spans="1:2" ht="15.75" customHeight="1" thickBot="1" x14ac:dyDescent="0.3">
      <c r="A8303" s="7">
        <f ca="1"/>
        <v>45193</v>
      </c>
      <c r="B8303" s="5">
        <f t="shared" si="1185"/>
        <v>132.26</v>
      </c>
    </row>
    <row r="8304" spans="1:2" ht="15.75" customHeight="1" thickBot="1" x14ac:dyDescent="0.3">
      <c r="A8304" s="7">
        <f ca="1"/>
        <v>45194</v>
      </c>
      <c r="B8304" s="6">
        <v>131.69999999999999</v>
      </c>
    </row>
    <row r="8305" spans="1:2" ht="15.75" customHeight="1" thickBot="1" x14ac:dyDescent="0.3">
      <c r="A8305" s="7">
        <f ca="1"/>
        <v>45195</v>
      </c>
      <c r="B8305" s="6">
        <v>128.86000000000001</v>
      </c>
    </row>
    <row r="8306" spans="1:2" ht="15.75" customHeight="1" thickBot="1" x14ac:dyDescent="0.3">
      <c r="A8306" s="7">
        <f ca="1"/>
        <v>45196</v>
      </c>
      <c r="B8306" s="6">
        <v>128.27000000000001</v>
      </c>
    </row>
    <row r="8307" spans="1:2" ht="15.75" customHeight="1" thickBot="1" x14ac:dyDescent="0.3">
      <c r="A8307" s="7">
        <f ca="1"/>
        <v>45197</v>
      </c>
      <c r="B8307" s="6">
        <v>127.2</v>
      </c>
    </row>
    <row r="8308" spans="1:2" ht="15.75" customHeight="1" thickBot="1" x14ac:dyDescent="0.3">
      <c r="A8308" s="7">
        <f ca="1"/>
        <v>45198</v>
      </c>
      <c r="B8308" s="6">
        <v>131.12</v>
      </c>
    </row>
    <row r="8309" spans="1:2" ht="15.75" customHeight="1" thickBot="1" x14ac:dyDescent="0.3">
      <c r="A8309" s="7">
        <f ca="1"/>
        <v>45199</v>
      </c>
      <c r="B8309" s="5">
        <f t="shared" ref="B8309:B8310" si="1186">B8308</f>
        <v>131.12</v>
      </c>
    </row>
    <row r="8310" spans="1:2" ht="15.75" customHeight="1" thickBot="1" x14ac:dyDescent="0.3">
      <c r="A8310" s="7">
        <f ca="1"/>
        <v>45200</v>
      </c>
      <c r="B8310" s="5">
        <f t="shared" si="1186"/>
        <v>131.12</v>
      </c>
    </row>
    <row r="8311" spans="1:2" ht="15.75" customHeight="1" thickBot="1" x14ac:dyDescent="0.3">
      <c r="A8311" s="7">
        <f ca="1"/>
        <v>45201</v>
      </c>
      <c r="B8311" s="6">
        <v>129.24</v>
      </c>
    </row>
    <row r="8312" spans="1:2" ht="15.75" customHeight="1" thickBot="1" x14ac:dyDescent="0.3">
      <c r="A8312" s="7">
        <f ca="1"/>
        <v>45202</v>
      </c>
      <c r="B8312" s="6">
        <v>128.38</v>
      </c>
    </row>
    <row r="8313" spans="1:2" ht="15.75" customHeight="1" thickBot="1" x14ac:dyDescent="0.3">
      <c r="A8313" s="7">
        <f ca="1"/>
        <v>45203</v>
      </c>
      <c r="B8313" s="6">
        <v>128.75</v>
      </c>
    </row>
    <row r="8314" spans="1:2" ht="15.75" customHeight="1" thickBot="1" x14ac:dyDescent="0.3">
      <c r="A8314" s="7">
        <f ca="1"/>
        <v>45204</v>
      </c>
      <c r="B8314" s="6">
        <v>128.83000000000001</v>
      </c>
    </row>
    <row r="8315" spans="1:2" ht="15.75" customHeight="1" thickBot="1" x14ac:dyDescent="0.3">
      <c r="A8315" s="7">
        <f ca="1"/>
        <v>45205</v>
      </c>
      <c r="B8315" s="6">
        <v>128.72999999999999</v>
      </c>
    </row>
    <row r="8316" spans="1:2" ht="15.75" customHeight="1" thickBot="1" x14ac:dyDescent="0.3">
      <c r="A8316" s="7">
        <f ca="1"/>
        <v>45206</v>
      </c>
      <c r="B8316" s="5">
        <f t="shared" ref="B8316:B8317" si="1187">B8315</f>
        <v>128.72999999999999</v>
      </c>
    </row>
    <row r="8317" spans="1:2" ht="15.75" customHeight="1" thickBot="1" x14ac:dyDescent="0.3">
      <c r="A8317" s="7">
        <f ca="1"/>
        <v>45207</v>
      </c>
      <c r="B8317" s="5">
        <f t="shared" si="1187"/>
        <v>128.72999999999999</v>
      </c>
    </row>
    <row r="8318" spans="1:2" ht="15.75" customHeight="1" thickBot="1" x14ac:dyDescent="0.3">
      <c r="A8318" s="7">
        <f ca="1"/>
        <v>45208</v>
      </c>
      <c r="B8318" s="6">
        <v>129</v>
      </c>
    </row>
    <row r="8319" spans="1:2" ht="15.75" customHeight="1" thickBot="1" x14ac:dyDescent="0.3">
      <c r="A8319" s="7">
        <f ca="1"/>
        <v>45209</v>
      </c>
      <c r="B8319" s="6">
        <v>131.03</v>
      </c>
    </row>
    <row r="8320" spans="1:2" ht="15.75" customHeight="1" thickBot="1" x14ac:dyDescent="0.3">
      <c r="A8320" s="7">
        <f ca="1"/>
        <v>45210</v>
      </c>
      <c r="B8320" s="6">
        <v>131.69999999999999</v>
      </c>
    </row>
    <row r="8321" spans="1:2" ht="15.75" customHeight="1" thickBot="1" x14ac:dyDescent="0.3">
      <c r="A8321" s="7">
        <f ca="1"/>
        <v>45211</v>
      </c>
      <c r="B8321" s="6">
        <v>132.54</v>
      </c>
    </row>
    <row r="8322" spans="1:2" ht="15.75" customHeight="1" thickBot="1" x14ac:dyDescent="0.3">
      <c r="A8322" s="7">
        <f ca="1"/>
        <v>45212</v>
      </c>
      <c r="B8322" s="6">
        <v>130.69999999999999</v>
      </c>
    </row>
    <row r="8323" spans="1:2" ht="15.75" customHeight="1" thickBot="1" x14ac:dyDescent="0.3">
      <c r="A8323" s="7">
        <f ca="1"/>
        <v>45213</v>
      </c>
      <c r="B8323" s="5">
        <f t="shared" ref="B8323:B8324" si="1188">B8322</f>
        <v>130.69999999999999</v>
      </c>
    </row>
    <row r="8324" spans="1:2" ht="15.75" customHeight="1" thickBot="1" x14ac:dyDescent="0.3">
      <c r="A8324" s="7">
        <f ca="1"/>
        <v>45214</v>
      </c>
      <c r="B8324" s="5">
        <f t="shared" si="1188"/>
        <v>130.69999999999999</v>
      </c>
    </row>
    <row r="8325" spans="1:2" ht="15.75" customHeight="1" thickBot="1" x14ac:dyDescent="0.3">
      <c r="A8325" s="7">
        <f ca="1"/>
        <v>45215</v>
      </c>
      <c r="B8325" s="6">
        <v>129.30000000000001</v>
      </c>
    </row>
    <row r="8326" spans="1:2" ht="15.75" customHeight="1" thickBot="1" x14ac:dyDescent="0.3">
      <c r="A8326" s="7">
        <f ca="1"/>
        <v>45216</v>
      </c>
      <c r="B8326" s="6">
        <v>128.80000000000001</v>
      </c>
    </row>
    <row r="8327" spans="1:2" ht="15.75" customHeight="1" thickBot="1" x14ac:dyDescent="0.3">
      <c r="A8327" s="7">
        <f ca="1"/>
        <v>45217</v>
      </c>
      <c r="B8327" s="6">
        <v>128.22999999999999</v>
      </c>
    </row>
    <row r="8328" spans="1:2" ht="15.75" customHeight="1" thickBot="1" x14ac:dyDescent="0.3">
      <c r="A8328" s="7">
        <f ca="1"/>
        <v>45218</v>
      </c>
      <c r="B8328" s="6">
        <v>134.41999999999999</v>
      </c>
    </row>
    <row r="8329" spans="1:2" ht="15.75" customHeight="1" thickBot="1" x14ac:dyDescent="0.3">
      <c r="A8329" s="7">
        <f ca="1"/>
        <v>45219</v>
      </c>
      <c r="B8329" s="6">
        <v>132.66999999999999</v>
      </c>
    </row>
    <row r="8330" spans="1:2" ht="15.75" customHeight="1" thickBot="1" x14ac:dyDescent="0.3">
      <c r="A8330" s="7">
        <f ca="1"/>
        <v>45220</v>
      </c>
      <c r="B8330" s="5">
        <f t="shared" ref="B8330:B8331" si="1189">B8329</f>
        <v>132.66999999999999</v>
      </c>
    </row>
    <row r="8331" spans="1:2" ht="15.75" customHeight="1" thickBot="1" x14ac:dyDescent="0.3">
      <c r="A8331" s="7">
        <f ca="1"/>
        <v>45221</v>
      </c>
      <c r="B8331" s="5">
        <f t="shared" si="1189"/>
        <v>132.66999999999999</v>
      </c>
    </row>
    <row r="8332" spans="1:2" ht="15.75" customHeight="1" thickBot="1" x14ac:dyDescent="0.3">
      <c r="A8332" s="7">
        <f ca="1"/>
        <v>45222</v>
      </c>
      <c r="B8332" s="6">
        <v>131.15</v>
      </c>
    </row>
    <row r="8333" spans="1:2" ht="15.75" customHeight="1" thickBot="1" x14ac:dyDescent="0.3">
      <c r="A8333" s="7">
        <f ca="1"/>
        <v>45223</v>
      </c>
      <c r="B8333" s="6">
        <v>132.97</v>
      </c>
    </row>
    <row r="8334" spans="1:2" ht="15.75" customHeight="1" thickBot="1" x14ac:dyDescent="0.3">
      <c r="A8334" s="7">
        <f ca="1"/>
        <v>45224</v>
      </c>
      <c r="B8334" s="6">
        <v>132.49</v>
      </c>
    </row>
    <row r="8335" spans="1:2" ht="15.75" customHeight="1" thickBot="1" x14ac:dyDescent="0.3">
      <c r="A8335" s="7">
        <f ca="1"/>
        <v>45225</v>
      </c>
      <c r="B8335" s="6">
        <v>131.94999999999999</v>
      </c>
    </row>
    <row r="8336" spans="1:2" ht="15.75" customHeight="1" thickBot="1" x14ac:dyDescent="0.3">
      <c r="A8336" s="7">
        <f ca="1"/>
        <v>45226</v>
      </c>
      <c r="B8336" s="6">
        <v>132.57</v>
      </c>
    </row>
    <row r="8337" spans="1:2" ht="15.75" customHeight="1" thickBot="1" x14ac:dyDescent="0.3">
      <c r="A8337" s="7">
        <f ca="1"/>
        <v>45227</v>
      </c>
      <c r="B8337" s="5">
        <f t="shared" ref="B8337:B8338" si="1190">B8336</f>
        <v>132.57</v>
      </c>
    </row>
    <row r="8338" spans="1:2" ht="15.75" customHeight="1" thickBot="1" x14ac:dyDescent="0.3">
      <c r="A8338" s="7">
        <f ca="1"/>
        <v>45228</v>
      </c>
      <c r="B8338" s="5">
        <f t="shared" si="1190"/>
        <v>132.57</v>
      </c>
    </row>
    <row r="8339" spans="1:2" ht="15.75" customHeight="1" thickBot="1" x14ac:dyDescent="0.3">
      <c r="A8339" s="7">
        <f ca="1"/>
        <v>45229</v>
      </c>
      <c r="B8339" s="6">
        <v>132.77000000000001</v>
      </c>
    </row>
    <row r="8340" spans="1:2" ht="15.75" customHeight="1" thickBot="1" x14ac:dyDescent="0.3">
      <c r="A8340" s="7">
        <f ca="1"/>
        <v>45230</v>
      </c>
      <c r="B8340" s="6">
        <v>133.84</v>
      </c>
    </row>
    <row r="8341" spans="1:2" ht="15.75" customHeight="1" thickBot="1" x14ac:dyDescent="0.3">
      <c r="A8341" s="7">
        <f ca="1"/>
        <v>45231</v>
      </c>
      <c r="B8341" s="6">
        <v>134.24</v>
      </c>
    </row>
    <row r="8342" spans="1:2" ht="15.75" customHeight="1" thickBot="1" x14ac:dyDescent="0.3">
      <c r="A8342" s="7">
        <f ca="1"/>
        <v>45232</v>
      </c>
      <c r="B8342" s="6">
        <v>138.87</v>
      </c>
    </row>
    <row r="8343" spans="1:2" ht="15.75" customHeight="1" thickBot="1" x14ac:dyDescent="0.3">
      <c r="A8343" s="7">
        <f ca="1"/>
        <v>45233</v>
      </c>
      <c r="B8343" s="6">
        <v>138.74</v>
      </c>
    </row>
    <row r="8344" spans="1:2" ht="15.75" customHeight="1" thickBot="1" x14ac:dyDescent="0.3">
      <c r="A8344" s="7">
        <f ca="1"/>
        <v>45234</v>
      </c>
      <c r="B8344" s="5">
        <f t="shared" ref="B8344:B8345" si="1191">B8343</f>
        <v>138.74</v>
      </c>
    </row>
    <row r="8345" spans="1:2" ht="15.75" customHeight="1" thickBot="1" x14ac:dyDescent="0.3">
      <c r="A8345" s="7">
        <f ca="1"/>
        <v>45235</v>
      </c>
      <c r="B8345" s="5">
        <f t="shared" si="1191"/>
        <v>138.74</v>
      </c>
    </row>
    <row r="8346" spans="1:2" ht="15.75" customHeight="1" thickBot="1" x14ac:dyDescent="0.3">
      <c r="A8346" s="7">
        <f ca="1"/>
        <v>45236</v>
      </c>
      <c r="B8346" s="6">
        <v>138.44</v>
      </c>
    </row>
    <row r="8347" spans="1:2" ht="15.75" customHeight="1" thickBot="1" x14ac:dyDescent="0.3">
      <c r="A8347" s="7">
        <f ca="1"/>
        <v>45237</v>
      </c>
      <c r="B8347" s="6">
        <v>140.09</v>
      </c>
    </row>
    <row r="8348" spans="1:2" ht="15.75" customHeight="1" thickBot="1" x14ac:dyDescent="0.3">
      <c r="A8348" s="7">
        <f ca="1"/>
        <v>45238</v>
      </c>
      <c r="B8348" s="6">
        <v>141.71</v>
      </c>
    </row>
    <row r="8349" spans="1:2" ht="15.75" customHeight="1" thickBot="1" x14ac:dyDescent="0.3">
      <c r="A8349" s="7">
        <f ca="1"/>
        <v>45239</v>
      </c>
      <c r="B8349" s="6">
        <v>143.05000000000001</v>
      </c>
    </row>
    <row r="8350" spans="1:2" ht="15.75" customHeight="1" thickBot="1" x14ac:dyDescent="0.3">
      <c r="A8350" s="7">
        <f ca="1"/>
        <v>45240</v>
      </c>
      <c r="B8350" s="6">
        <v>143.31</v>
      </c>
    </row>
    <row r="8351" spans="1:2" ht="15.75" customHeight="1" thickBot="1" x14ac:dyDescent="0.3">
      <c r="A8351" s="7">
        <f ca="1"/>
        <v>45241</v>
      </c>
      <c r="B8351" s="5">
        <f t="shared" ref="B8351:B8352" si="1192">B8350</f>
        <v>143.31</v>
      </c>
    </row>
    <row r="8352" spans="1:2" ht="15.75" customHeight="1" thickBot="1" x14ac:dyDescent="0.3">
      <c r="A8352" s="7">
        <f ca="1"/>
        <v>45242</v>
      </c>
      <c r="B8352" s="5">
        <f t="shared" si="1192"/>
        <v>143.31</v>
      </c>
    </row>
    <row r="8353" spans="1:2" ht="15.75" customHeight="1" thickBot="1" x14ac:dyDescent="0.3">
      <c r="A8353" s="7">
        <f ca="1"/>
        <v>45243</v>
      </c>
      <c r="B8353" s="6">
        <v>143.9</v>
      </c>
    </row>
    <row r="8354" spans="1:2" ht="15.75" customHeight="1" thickBot="1" x14ac:dyDescent="0.3">
      <c r="A8354" s="7">
        <f ca="1"/>
        <v>45244</v>
      </c>
      <c r="B8354" s="6">
        <v>148.09</v>
      </c>
    </row>
    <row r="8355" spans="1:2" ht="15.75" customHeight="1" thickBot="1" x14ac:dyDescent="0.3">
      <c r="A8355" s="7">
        <f ca="1"/>
        <v>45245</v>
      </c>
      <c r="B8355" s="6">
        <v>148.16</v>
      </c>
    </row>
    <row r="8356" spans="1:2" ht="15.75" customHeight="1" thickBot="1" x14ac:dyDescent="0.3">
      <c r="A8356" s="7">
        <f ca="1"/>
        <v>45246</v>
      </c>
      <c r="B8356" s="6">
        <v>148.68</v>
      </c>
    </row>
    <row r="8357" spans="1:2" ht="15.75" customHeight="1" thickBot="1" x14ac:dyDescent="0.3">
      <c r="A8357" s="7">
        <f ca="1"/>
        <v>45247</v>
      </c>
      <c r="B8357" s="6">
        <v>149.30000000000001</v>
      </c>
    </row>
    <row r="8358" spans="1:2" ht="15.75" customHeight="1" thickBot="1" x14ac:dyDescent="0.3">
      <c r="A8358" s="7">
        <f ca="1"/>
        <v>45248</v>
      </c>
      <c r="B8358" s="5">
        <f t="shared" ref="B8358:B8359" si="1193">B8357</f>
        <v>149.30000000000001</v>
      </c>
    </row>
    <row r="8359" spans="1:2" ht="15.75" customHeight="1" thickBot="1" x14ac:dyDescent="0.3">
      <c r="A8359" s="7">
        <f ca="1"/>
        <v>45249</v>
      </c>
      <c r="B8359" s="5">
        <f t="shared" si="1193"/>
        <v>149.30000000000001</v>
      </c>
    </row>
    <row r="8360" spans="1:2" ht="15.75" customHeight="1" thickBot="1" x14ac:dyDescent="0.3">
      <c r="A8360" s="7">
        <f ca="1"/>
        <v>45250</v>
      </c>
      <c r="B8360" s="6">
        <v>152.54</v>
      </c>
    </row>
    <row r="8361" spans="1:2" ht="15.75" customHeight="1" thickBot="1" x14ac:dyDescent="0.3">
      <c r="A8361" s="7">
        <f ca="1"/>
        <v>45251</v>
      </c>
      <c r="B8361" s="6">
        <v>153.1</v>
      </c>
    </row>
    <row r="8362" spans="1:2" ht="15.75" customHeight="1" thickBot="1" x14ac:dyDescent="0.3">
      <c r="A8362" s="7">
        <f ca="1"/>
        <v>45252</v>
      </c>
      <c r="B8362" s="6">
        <v>154.31</v>
      </c>
    </row>
    <row r="8363" spans="1:2" ht="15.75" customHeight="1" thickBot="1" x14ac:dyDescent="0.3">
      <c r="A8363" s="7">
        <f ca="1"/>
        <v>45253</v>
      </c>
      <c r="B8363" s="5">
        <f>B8362</f>
        <v>154.31</v>
      </c>
    </row>
    <row r="8364" spans="1:2" ht="15.75" customHeight="1" thickBot="1" x14ac:dyDescent="0.3">
      <c r="A8364" s="7">
        <f ca="1"/>
        <v>45254</v>
      </c>
      <c r="B8364" s="6">
        <v>154.27000000000001</v>
      </c>
    </row>
    <row r="8365" spans="1:2" ht="15.75" customHeight="1" thickBot="1" x14ac:dyDescent="0.3">
      <c r="A8365" s="7">
        <f ca="1"/>
        <v>45255</v>
      </c>
      <c r="B8365" s="5">
        <f t="shared" ref="B8365:B8366" si="1194">B8364</f>
        <v>154.27000000000001</v>
      </c>
    </row>
    <row r="8366" spans="1:2" ht="15.75" customHeight="1" thickBot="1" x14ac:dyDescent="0.3">
      <c r="A8366" s="7">
        <f ca="1"/>
        <v>45256</v>
      </c>
      <c r="B8366" s="5">
        <f t="shared" si="1194"/>
        <v>154.27000000000001</v>
      </c>
    </row>
    <row r="8367" spans="1:2" ht="15.75" customHeight="1" thickBot="1" x14ac:dyDescent="0.3">
      <c r="A8367" s="7">
        <f ca="1"/>
        <v>45257</v>
      </c>
      <c r="B8367" s="6">
        <v>154.56</v>
      </c>
    </row>
    <row r="8368" spans="1:2" ht="15.75" customHeight="1" thickBot="1" x14ac:dyDescent="0.3">
      <c r="A8368" s="7">
        <f ca="1"/>
        <v>45258</v>
      </c>
      <c r="B8368" s="6">
        <v>155.5</v>
      </c>
    </row>
    <row r="8369" spans="1:2" ht="15.75" customHeight="1" thickBot="1" x14ac:dyDescent="0.3">
      <c r="A8369" s="7">
        <f ca="1"/>
        <v>45259</v>
      </c>
      <c r="B8369" s="6">
        <v>158.28</v>
      </c>
    </row>
    <row r="8370" spans="1:2" ht="15.75" customHeight="1" thickBot="1" x14ac:dyDescent="0.3">
      <c r="A8370" s="7">
        <f ca="1"/>
        <v>45260</v>
      </c>
      <c r="B8370" s="6">
        <v>159.15</v>
      </c>
    </row>
    <row r="8371" spans="1:2" ht="15.75" customHeight="1" thickBot="1" x14ac:dyDescent="0.3">
      <c r="A8371" s="7">
        <f ca="1"/>
        <v>45261</v>
      </c>
      <c r="B8371" s="6">
        <v>158.38999999999999</v>
      </c>
    </row>
    <row r="8372" spans="1:2" ht="15.75" customHeight="1" thickBot="1" x14ac:dyDescent="0.3">
      <c r="A8372" s="7">
        <f ca="1"/>
        <v>45262</v>
      </c>
      <c r="B8372" s="5">
        <f t="shared" ref="B8372:B8373" si="1195">B8371</f>
        <v>158.38999999999999</v>
      </c>
    </row>
    <row r="8373" spans="1:2" ht="15.75" customHeight="1" thickBot="1" x14ac:dyDescent="0.3">
      <c r="A8373" s="7">
        <f ca="1"/>
        <v>45263</v>
      </c>
      <c r="B8373" s="5">
        <f t="shared" si="1195"/>
        <v>158.38999999999999</v>
      </c>
    </row>
    <row r="8374" spans="1:2" ht="15.75" customHeight="1" thickBot="1" x14ac:dyDescent="0.3">
      <c r="A8374" s="7">
        <f ca="1"/>
        <v>45264</v>
      </c>
      <c r="B8374" s="6">
        <v>158.77000000000001</v>
      </c>
    </row>
    <row r="8375" spans="1:2" ht="15.75" customHeight="1" thickBot="1" x14ac:dyDescent="0.3">
      <c r="A8375" s="7">
        <f ca="1"/>
        <v>45265</v>
      </c>
      <c r="B8375" s="6">
        <v>158.46</v>
      </c>
    </row>
    <row r="8376" spans="1:2" ht="15.75" customHeight="1" thickBot="1" x14ac:dyDescent="0.3">
      <c r="A8376" s="7">
        <f ca="1"/>
        <v>45266</v>
      </c>
      <c r="B8376" s="6">
        <v>159.83000000000001</v>
      </c>
    </row>
    <row r="8377" spans="1:2" ht="15.75" customHeight="1" thickBot="1" x14ac:dyDescent="0.3">
      <c r="A8377" s="7">
        <f ca="1"/>
        <v>45267</v>
      </c>
      <c r="B8377" s="6">
        <v>158.58000000000001</v>
      </c>
    </row>
    <row r="8378" spans="1:2" ht="15.75" customHeight="1" thickBot="1" x14ac:dyDescent="0.3">
      <c r="A8378" s="7">
        <f ca="1"/>
        <v>45268</v>
      </c>
      <c r="B8378" s="6">
        <v>158.35</v>
      </c>
    </row>
    <row r="8379" spans="1:2" ht="15.75" customHeight="1" thickBot="1" x14ac:dyDescent="0.3">
      <c r="A8379" s="7">
        <f ca="1"/>
        <v>45269</v>
      </c>
      <c r="B8379" s="5">
        <f t="shared" ref="B8379:B8380" si="1196">B8378</f>
        <v>158.35</v>
      </c>
    </row>
    <row r="8380" spans="1:2" ht="15.75" customHeight="1" thickBot="1" x14ac:dyDescent="0.3">
      <c r="A8380" s="7">
        <f ca="1"/>
        <v>45270</v>
      </c>
      <c r="B8380" s="5">
        <f t="shared" si="1196"/>
        <v>158.35</v>
      </c>
    </row>
    <row r="8381" spans="1:2" ht="15.75" customHeight="1" thickBot="1" x14ac:dyDescent="0.3">
      <c r="A8381" s="7">
        <f ca="1"/>
        <v>45271</v>
      </c>
      <c r="B8381" s="6">
        <v>156.51</v>
      </c>
    </row>
    <row r="8382" spans="1:2" ht="15.75" customHeight="1" thickBot="1" x14ac:dyDescent="0.3">
      <c r="A8382" s="7">
        <f ca="1"/>
        <v>45272</v>
      </c>
      <c r="B8382" s="6">
        <v>157.79</v>
      </c>
    </row>
    <row r="8383" spans="1:2" ht="15.75" customHeight="1" thickBot="1" x14ac:dyDescent="0.3">
      <c r="A8383" s="7">
        <f ca="1"/>
        <v>45273</v>
      </c>
      <c r="B8383" s="6">
        <v>158.47999999999999</v>
      </c>
    </row>
    <row r="8384" spans="1:2" ht="15.75" customHeight="1" thickBot="1" x14ac:dyDescent="0.3">
      <c r="A8384" s="7">
        <f ca="1"/>
        <v>45274</v>
      </c>
      <c r="B8384" s="6">
        <v>156.68</v>
      </c>
    </row>
    <row r="8385" spans="1:2" ht="15.75" customHeight="1" thickBot="1" x14ac:dyDescent="0.3">
      <c r="A8385" s="7">
        <f ca="1"/>
        <v>45275</v>
      </c>
      <c r="B8385" s="6">
        <v>154.4</v>
      </c>
    </row>
    <row r="8386" spans="1:2" ht="15.75" customHeight="1" thickBot="1" x14ac:dyDescent="0.3">
      <c r="A8386" s="7">
        <f ca="1"/>
        <v>45276</v>
      </c>
      <c r="B8386" s="5">
        <f t="shared" ref="B8386:B8387" si="1197">B8385</f>
        <v>154.4</v>
      </c>
    </row>
    <row r="8387" spans="1:2" ht="15.75" customHeight="1" thickBot="1" x14ac:dyDescent="0.3">
      <c r="A8387" s="7">
        <f ca="1"/>
        <v>45277</v>
      </c>
      <c r="B8387" s="5">
        <f t="shared" si="1197"/>
        <v>154.4</v>
      </c>
    </row>
    <row r="8388" spans="1:2" ht="15.75" customHeight="1" thickBot="1" x14ac:dyDescent="0.3">
      <c r="A8388" s="7">
        <f ca="1"/>
        <v>45278</v>
      </c>
      <c r="B8388" s="6">
        <v>154.47999999999999</v>
      </c>
    </row>
    <row r="8389" spans="1:2" ht="15.75" customHeight="1" thickBot="1" x14ac:dyDescent="0.3">
      <c r="A8389" s="7">
        <f ca="1"/>
        <v>45279</v>
      </c>
      <c r="B8389" s="6">
        <v>155.08000000000001</v>
      </c>
    </row>
    <row r="8390" spans="1:2" ht="15.75" customHeight="1" thickBot="1" x14ac:dyDescent="0.3">
      <c r="A8390" s="7">
        <f ca="1"/>
        <v>45280</v>
      </c>
      <c r="B8390" s="6">
        <v>153.44999999999999</v>
      </c>
    </row>
    <row r="8391" spans="1:2" ht="15.75" customHeight="1" thickBot="1" x14ac:dyDescent="0.3">
      <c r="A8391" s="7">
        <f ca="1"/>
        <v>45281</v>
      </c>
      <c r="B8391" s="6">
        <v>151.32</v>
      </c>
    </row>
    <row r="8392" spans="1:2" ht="15.75" customHeight="1" thickBot="1" x14ac:dyDescent="0.3">
      <c r="A8392" s="7">
        <f ca="1"/>
        <v>45282</v>
      </c>
      <c r="B8392" s="6">
        <v>152.03</v>
      </c>
    </row>
    <row r="8393" spans="1:2" ht="15.75" customHeight="1" thickBot="1" x14ac:dyDescent="0.3">
      <c r="A8393" s="7">
        <f ca="1"/>
        <v>45283</v>
      </c>
      <c r="B8393" s="5">
        <f t="shared" ref="B8393:B8395" si="1198">B8392</f>
        <v>152.03</v>
      </c>
    </row>
    <row r="8394" spans="1:2" ht="15.75" customHeight="1" thickBot="1" x14ac:dyDescent="0.3">
      <c r="A8394" s="7">
        <f ca="1"/>
        <v>45284</v>
      </c>
      <c r="B8394" s="5">
        <f t="shared" si="1198"/>
        <v>152.03</v>
      </c>
    </row>
    <row r="8395" spans="1:2" ht="15.75" customHeight="1" thickBot="1" x14ac:dyDescent="0.3">
      <c r="A8395" s="7">
        <f ca="1"/>
        <v>45285</v>
      </c>
      <c r="B8395" s="5">
        <f t="shared" si="1198"/>
        <v>152.03</v>
      </c>
    </row>
    <row r="8396" spans="1:2" ht="15.75" customHeight="1" thickBot="1" x14ac:dyDescent="0.3">
      <c r="A8396" s="7">
        <f ca="1"/>
        <v>45286</v>
      </c>
      <c r="B8396" s="6">
        <v>152.52000000000001</v>
      </c>
    </row>
    <row r="8397" spans="1:2" ht="15.75" customHeight="1" thickBot="1" x14ac:dyDescent="0.3">
      <c r="A8397" s="7">
        <f ca="1"/>
        <v>45287</v>
      </c>
      <c r="B8397" s="6">
        <v>154.86000000000001</v>
      </c>
    </row>
    <row r="8398" spans="1:2" ht="15.75" customHeight="1" thickBot="1" x14ac:dyDescent="0.3">
      <c r="A8398" s="7">
        <f ca="1"/>
        <v>45288</v>
      </c>
      <c r="B8398" s="6">
        <v>155.13999999999999</v>
      </c>
    </row>
    <row r="8399" spans="1:2" ht="15.75" customHeight="1" thickBot="1" x14ac:dyDescent="0.3">
      <c r="A8399" s="7">
        <f ca="1"/>
        <v>45289</v>
      </c>
      <c r="B8399" s="6">
        <v>154</v>
      </c>
    </row>
    <row r="8400" spans="1:2" ht="15.75" customHeight="1" thickBot="1" x14ac:dyDescent="0.3">
      <c r="A8400" s="7">
        <f ca="1"/>
        <v>45290</v>
      </c>
      <c r="B8400" s="5">
        <f t="shared" ref="B8400:B8402" si="1199">B8399</f>
        <v>154</v>
      </c>
    </row>
    <row r="8401" spans="1:2" ht="15.75" customHeight="1" thickBot="1" x14ac:dyDescent="0.3">
      <c r="A8401" s="7">
        <f ca="1"/>
        <v>45291</v>
      </c>
      <c r="B8401" s="5">
        <f t="shared" si="1199"/>
        <v>154</v>
      </c>
    </row>
    <row r="8402" spans="1:2" ht="15.75" customHeight="1" thickBot="1" x14ac:dyDescent="0.3">
      <c r="A8402" s="7">
        <f ca="1"/>
        <v>45292</v>
      </c>
      <c r="B8402" s="5">
        <f t="shared" si="1199"/>
        <v>154</v>
      </c>
    </row>
    <row r="8403" spans="1:2" ht="15.75" customHeight="1" thickBot="1" x14ac:dyDescent="0.3">
      <c r="A8403" s="7">
        <f ca="1"/>
        <v>45293</v>
      </c>
      <c r="B8403" s="6">
        <v>151.16999999999999</v>
      </c>
    </row>
    <row r="8404" spans="1:2" ht="15.75" customHeight="1" thickBot="1" x14ac:dyDescent="0.3">
      <c r="A8404" s="7">
        <f ca="1"/>
        <v>45294</v>
      </c>
      <c r="B8404" s="6">
        <v>150</v>
      </c>
    </row>
    <row r="8405" spans="1:2" ht="15.75" customHeight="1" thickBot="1" x14ac:dyDescent="0.3">
      <c r="A8405" s="7">
        <f ca="1"/>
        <v>45295</v>
      </c>
      <c r="B8405" s="6">
        <v>149.54</v>
      </c>
    </row>
    <row r="8406" spans="1:2" ht="15.75" customHeight="1" thickBot="1" x14ac:dyDescent="0.3">
      <c r="A8406" s="7">
        <f ca="1"/>
        <v>45296</v>
      </c>
      <c r="B8406" s="6">
        <v>149.47</v>
      </c>
    </row>
    <row r="8407" spans="1:2" ht="15.75" customHeight="1" thickBot="1" x14ac:dyDescent="0.3">
      <c r="A8407" s="7">
        <f ca="1"/>
        <v>45297</v>
      </c>
      <c r="B8407" s="5">
        <f t="shared" ref="B8407:B8408" si="1200">B8406</f>
        <v>149.47</v>
      </c>
    </row>
    <row r="8408" spans="1:2" ht="15.75" customHeight="1" thickBot="1" x14ac:dyDescent="0.3">
      <c r="A8408" s="7">
        <f ca="1"/>
        <v>45298</v>
      </c>
      <c r="B8408" s="5">
        <f t="shared" si="1200"/>
        <v>149.47</v>
      </c>
    </row>
    <row r="8409" spans="1:2" ht="15.75" customHeight="1" thickBot="1" x14ac:dyDescent="0.3">
      <c r="A8409" s="7">
        <f ca="1"/>
        <v>45299</v>
      </c>
      <c r="B8409" s="6">
        <v>151.43</v>
      </c>
    </row>
    <row r="8410" spans="1:2" ht="15.75" customHeight="1" thickBot="1" x14ac:dyDescent="0.3">
      <c r="A8410" s="7">
        <f ca="1"/>
        <v>45300</v>
      </c>
      <c r="B8410" s="6">
        <v>151.16</v>
      </c>
    </row>
    <row r="8411" spans="1:2" ht="15.75" customHeight="1" thickBot="1" x14ac:dyDescent="0.3">
      <c r="A8411" s="7">
        <f ca="1"/>
        <v>45301</v>
      </c>
      <c r="B8411" s="6">
        <v>154.84</v>
      </c>
    </row>
    <row r="8412" spans="1:2" ht="15.75" customHeight="1" thickBot="1" x14ac:dyDescent="0.3">
      <c r="A8412" s="7">
        <f ca="1"/>
        <v>45302</v>
      </c>
      <c r="B8412" s="6">
        <v>156.65</v>
      </c>
    </row>
    <row r="8413" spans="1:2" ht="15.75" customHeight="1" thickBot="1" x14ac:dyDescent="0.3">
      <c r="A8413" s="7">
        <f ca="1"/>
        <v>45303</v>
      </c>
      <c r="B8413" s="6">
        <v>157.97999999999999</v>
      </c>
    </row>
    <row r="8414" spans="1:2" ht="15.75" customHeight="1" thickBot="1" x14ac:dyDescent="0.3">
      <c r="A8414" s="7">
        <f ca="1"/>
        <v>45304</v>
      </c>
      <c r="B8414" s="5">
        <f t="shared" ref="B8414:B8416" si="1201">B8413</f>
        <v>157.97999999999999</v>
      </c>
    </row>
    <row r="8415" spans="1:2" ht="15.75" customHeight="1" thickBot="1" x14ac:dyDescent="0.3">
      <c r="A8415" s="7">
        <f ca="1"/>
        <v>45305</v>
      </c>
      <c r="B8415" s="5">
        <f t="shared" si="1201"/>
        <v>157.97999999999999</v>
      </c>
    </row>
    <row r="8416" spans="1:2" ht="15.75" customHeight="1" thickBot="1" x14ac:dyDescent="0.3">
      <c r="A8416" s="7">
        <f ca="1"/>
        <v>45306</v>
      </c>
      <c r="B8416" s="5">
        <f t="shared" si="1201"/>
        <v>157.97999999999999</v>
      </c>
    </row>
    <row r="8417" spans="1:2" ht="15.75" customHeight="1" thickBot="1" x14ac:dyDescent="0.3">
      <c r="A8417" s="7">
        <f ca="1"/>
        <v>45307</v>
      </c>
      <c r="B8417" s="6">
        <v>156.78</v>
      </c>
    </row>
    <row r="8418" spans="1:2" ht="15.75" customHeight="1" thickBot="1" x14ac:dyDescent="0.3">
      <c r="A8418" s="7">
        <f ca="1"/>
        <v>45308</v>
      </c>
      <c r="B8418" s="6">
        <v>156.82</v>
      </c>
    </row>
    <row r="8419" spans="1:2" ht="15.75" customHeight="1" thickBot="1" x14ac:dyDescent="0.3">
      <c r="A8419" s="7">
        <f ca="1"/>
        <v>45309</v>
      </c>
      <c r="B8419" s="6">
        <v>159.01</v>
      </c>
    </row>
    <row r="8420" spans="1:2" ht="15.75" customHeight="1" thickBot="1" x14ac:dyDescent="0.3">
      <c r="A8420" s="7">
        <f ca="1"/>
        <v>45310</v>
      </c>
      <c r="B8420" s="6">
        <v>161.18</v>
      </c>
    </row>
    <row r="8421" spans="1:2" ht="15.75" customHeight="1" thickBot="1" x14ac:dyDescent="0.3">
      <c r="A8421" s="7">
        <f ca="1"/>
        <v>45311</v>
      </c>
      <c r="B8421" s="5">
        <f t="shared" ref="B8421:B8422" si="1202">B8420</f>
        <v>161.18</v>
      </c>
    </row>
    <row r="8422" spans="1:2" ht="15.75" customHeight="1" thickBot="1" x14ac:dyDescent="0.3">
      <c r="A8422" s="7">
        <f ca="1"/>
        <v>45312</v>
      </c>
      <c r="B8422" s="5">
        <f t="shared" si="1202"/>
        <v>161.18</v>
      </c>
    </row>
    <row r="8423" spans="1:2" ht="15.75" customHeight="1" thickBot="1" x14ac:dyDescent="0.3">
      <c r="A8423" s="7">
        <f ca="1"/>
        <v>45313</v>
      </c>
      <c r="B8423" s="6">
        <v>162.88</v>
      </c>
    </row>
    <row r="8424" spans="1:2" ht="15.75" customHeight="1" thickBot="1" x14ac:dyDescent="0.3">
      <c r="A8424" s="7">
        <f ca="1"/>
        <v>45314</v>
      </c>
      <c r="B8424" s="6">
        <v>161.19</v>
      </c>
    </row>
    <row r="8425" spans="1:2" ht="15.75" customHeight="1" thickBot="1" x14ac:dyDescent="0.3">
      <c r="A8425" s="7">
        <f ca="1"/>
        <v>45315</v>
      </c>
      <c r="B8425" s="6">
        <v>174.55</v>
      </c>
    </row>
    <row r="8426" spans="1:2" ht="15.75" customHeight="1" thickBot="1" x14ac:dyDescent="0.3">
      <c r="A8426" s="7">
        <f ca="1"/>
        <v>45316</v>
      </c>
      <c r="B8426" s="6">
        <v>175.95</v>
      </c>
    </row>
    <row r="8427" spans="1:2" ht="15.75" customHeight="1" thickBot="1" x14ac:dyDescent="0.3">
      <c r="A8427" s="7">
        <f ca="1"/>
        <v>45317</v>
      </c>
      <c r="B8427" s="6">
        <v>173.31</v>
      </c>
    </row>
    <row r="8428" spans="1:2" ht="15.75" customHeight="1" thickBot="1" x14ac:dyDescent="0.3">
      <c r="A8428" s="7">
        <f ca="1"/>
        <v>45318</v>
      </c>
      <c r="B8428" s="5">
        <f t="shared" ref="B8428:B8429" si="1203">B8427</f>
        <v>173.31</v>
      </c>
    </row>
    <row r="8429" spans="1:2" ht="15.75" customHeight="1" thickBot="1" x14ac:dyDescent="0.3">
      <c r="A8429" s="7">
        <f ca="1"/>
        <v>45319</v>
      </c>
      <c r="B8429" s="5">
        <f t="shared" si="1203"/>
        <v>173.31</v>
      </c>
    </row>
    <row r="8430" spans="1:2" ht="15.75" customHeight="1" thickBot="1" x14ac:dyDescent="0.3">
      <c r="A8430" s="7">
        <f ca="1"/>
        <v>45320</v>
      </c>
      <c r="B8430" s="6">
        <v>174.16</v>
      </c>
    </row>
    <row r="8431" spans="1:2" ht="15.75" customHeight="1" thickBot="1" x14ac:dyDescent="0.3">
      <c r="A8431" s="7">
        <f ca="1"/>
        <v>45321</v>
      </c>
      <c r="B8431" s="6">
        <v>176.4</v>
      </c>
    </row>
    <row r="8432" spans="1:2" ht="15.75" customHeight="1" thickBot="1" x14ac:dyDescent="0.3">
      <c r="A8432" s="7">
        <f ca="1"/>
        <v>45322</v>
      </c>
      <c r="B8432" s="6">
        <v>175.64</v>
      </c>
    </row>
    <row r="8433" spans="1:2" ht="15.75" customHeight="1" thickBot="1" x14ac:dyDescent="0.3">
      <c r="A8433" s="7">
        <f ca="1"/>
        <v>45323</v>
      </c>
      <c r="B8433" s="6">
        <v>175.11</v>
      </c>
    </row>
    <row r="8434" spans="1:2" ht="15.75" customHeight="1" thickBot="1" x14ac:dyDescent="0.3">
      <c r="A8434" s="7">
        <f ca="1"/>
        <v>45324</v>
      </c>
      <c r="B8434" s="6">
        <v>176.5</v>
      </c>
    </row>
    <row r="8435" spans="1:2" ht="15.75" customHeight="1" thickBot="1" x14ac:dyDescent="0.3">
      <c r="A8435" s="7">
        <f ca="1"/>
        <v>45325</v>
      </c>
      <c r="B8435" s="5">
        <f t="shared" ref="B8435:B8436" si="1204">B8434</f>
        <v>176.5</v>
      </c>
    </row>
    <row r="8436" spans="1:2" ht="15.75" customHeight="1" thickBot="1" x14ac:dyDescent="0.3">
      <c r="A8436" s="7">
        <f ca="1"/>
        <v>45326</v>
      </c>
      <c r="B8436" s="5">
        <f t="shared" si="1204"/>
        <v>176.5</v>
      </c>
    </row>
    <row r="8437" spans="1:2" ht="15.75" customHeight="1" thickBot="1" x14ac:dyDescent="0.3">
      <c r="A8437" s="7">
        <f ca="1"/>
        <v>45327</v>
      </c>
      <c r="B8437" s="6">
        <v>176.28</v>
      </c>
    </row>
    <row r="8438" spans="1:2" ht="15.75" customHeight="1" thickBot="1" x14ac:dyDescent="0.3">
      <c r="A8438" s="7">
        <f ca="1"/>
        <v>45328</v>
      </c>
      <c r="B8438" s="6">
        <v>179.17</v>
      </c>
    </row>
    <row r="8439" spans="1:2" ht="15.75" customHeight="1" thickBot="1" x14ac:dyDescent="0.3">
      <c r="A8439" s="7">
        <f ca="1"/>
        <v>45329</v>
      </c>
      <c r="B8439" s="6">
        <v>180.07</v>
      </c>
    </row>
    <row r="8440" spans="1:2" ht="15.75" customHeight="1" thickBot="1" x14ac:dyDescent="0.3">
      <c r="A8440" s="7">
        <f ca="1"/>
        <v>45330</v>
      </c>
      <c r="B8440" s="6">
        <v>180.5</v>
      </c>
    </row>
    <row r="8441" spans="1:2" ht="15.75" customHeight="1" thickBot="1" x14ac:dyDescent="0.3">
      <c r="A8441" s="7">
        <f ca="1"/>
        <v>45331</v>
      </c>
      <c r="B8441" s="6">
        <v>181.66</v>
      </c>
    </row>
    <row r="8442" spans="1:2" ht="15.75" customHeight="1" thickBot="1" x14ac:dyDescent="0.3">
      <c r="A8442" s="7">
        <f ca="1"/>
        <v>45332</v>
      </c>
      <c r="B8442" s="5">
        <f t="shared" ref="B8442:B8443" si="1205">B8441</f>
        <v>181.66</v>
      </c>
    </row>
    <row r="8443" spans="1:2" ht="15.75" customHeight="1" thickBot="1" x14ac:dyDescent="0.3">
      <c r="A8443" s="7">
        <f ca="1"/>
        <v>45333</v>
      </c>
      <c r="B8443" s="5">
        <f t="shared" si="1205"/>
        <v>181.66</v>
      </c>
    </row>
    <row r="8444" spans="1:2" ht="15.75" customHeight="1" thickBot="1" x14ac:dyDescent="0.3">
      <c r="A8444" s="7">
        <f ca="1"/>
        <v>45334</v>
      </c>
      <c r="B8444" s="6">
        <v>179.89</v>
      </c>
    </row>
    <row r="8445" spans="1:2" ht="15.75" customHeight="1" thickBot="1" x14ac:dyDescent="0.3">
      <c r="A8445" s="7">
        <f ca="1"/>
        <v>45335</v>
      </c>
      <c r="B8445" s="6">
        <v>173.25</v>
      </c>
    </row>
    <row r="8446" spans="1:2" ht="15.75" customHeight="1" thickBot="1" x14ac:dyDescent="0.3">
      <c r="A8446" s="7">
        <f ca="1"/>
        <v>45336</v>
      </c>
      <c r="B8446" s="6">
        <v>175.87</v>
      </c>
    </row>
    <row r="8447" spans="1:2" ht="15.75" customHeight="1" thickBot="1" x14ac:dyDescent="0.3">
      <c r="A8447" s="7">
        <f ca="1"/>
        <v>45337</v>
      </c>
      <c r="B8447" s="6">
        <v>177.26</v>
      </c>
    </row>
    <row r="8448" spans="1:2" ht="15.75" customHeight="1" thickBot="1" x14ac:dyDescent="0.3">
      <c r="A8448" s="7">
        <f ca="1"/>
        <v>45338</v>
      </c>
      <c r="B8448" s="6">
        <v>176.62</v>
      </c>
    </row>
    <row r="8449" spans="1:2" ht="15.75" customHeight="1" thickBot="1" x14ac:dyDescent="0.3">
      <c r="A8449" s="7">
        <f ca="1"/>
        <v>45339</v>
      </c>
      <c r="B8449" s="5">
        <f t="shared" ref="B8449:B8451" si="1206">B8448</f>
        <v>176.62</v>
      </c>
    </row>
    <row r="8450" spans="1:2" ht="15.75" customHeight="1" thickBot="1" x14ac:dyDescent="0.3">
      <c r="A8450" s="7">
        <f ca="1"/>
        <v>45340</v>
      </c>
      <c r="B8450" s="5">
        <f t="shared" si="1206"/>
        <v>176.62</v>
      </c>
    </row>
    <row r="8451" spans="1:2" ht="15.75" customHeight="1" thickBot="1" x14ac:dyDescent="0.3">
      <c r="A8451" s="7">
        <f ca="1"/>
        <v>45341</v>
      </c>
      <c r="B8451" s="5">
        <f t="shared" si="1206"/>
        <v>176.62</v>
      </c>
    </row>
    <row r="8452" spans="1:2" ht="15.75" customHeight="1" thickBot="1" x14ac:dyDescent="0.3">
      <c r="A8452" s="7">
        <f ca="1"/>
        <v>45342</v>
      </c>
      <c r="B8452" s="6">
        <v>177.08</v>
      </c>
    </row>
    <row r="8453" spans="1:2" ht="15.75" customHeight="1" thickBot="1" x14ac:dyDescent="0.3">
      <c r="A8453" s="7">
        <f ca="1"/>
        <v>45343</v>
      </c>
      <c r="B8453" s="6">
        <v>175.36</v>
      </c>
    </row>
    <row r="8454" spans="1:2" ht="15.75" customHeight="1" thickBot="1" x14ac:dyDescent="0.3">
      <c r="A8454" s="7">
        <f ca="1"/>
        <v>45344</v>
      </c>
      <c r="B8454" s="6">
        <v>180.33</v>
      </c>
    </row>
    <row r="8455" spans="1:2" ht="15.75" customHeight="1" thickBot="1" x14ac:dyDescent="0.3">
      <c r="A8455" s="7">
        <f ca="1"/>
        <v>45345</v>
      </c>
      <c r="B8455" s="6">
        <v>183.5</v>
      </c>
    </row>
    <row r="8456" spans="1:2" ht="15.75" customHeight="1" thickBot="1" x14ac:dyDescent="0.3">
      <c r="A8456" s="7">
        <f ca="1"/>
        <v>45346</v>
      </c>
      <c r="B8456" s="5">
        <f t="shared" ref="B8456:B8457" si="1207">B8455</f>
        <v>183.5</v>
      </c>
    </row>
    <row r="8457" spans="1:2" ht="15.75" customHeight="1" thickBot="1" x14ac:dyDescent="0.3">
      <c r="A8457" s="7">
        <f ca="1"/>
        <v>45347</v>
      </c>
      <c r="B8457" s="5">
        <f t="shared" si="1207"/>
        <v>183.5</v>
      </c>
    </row>
    <row r="8458" spans="1:2" ht="15.75" customHeight="1" thickBot="1" x14ac:dyDescent="0.3">
      <c r="A8458" s="7">
        <f ca="1"/>
        <v>45348</v>
      </c>
      <c r="B8458" s="6">
        <v>187.84</v>
      </c>
    </row>
    <row r="8459" spans="1:2" ht="15.75" customHeight="1" thickBot="1" x14ac:dyDescent="0.3">
      <c r="A8459" s="7">
        <f ca="1"/>
        <v>45349</v>
      </c>
      <c r="B8459" s="6">
        <v>188.44</v>
      </c>
    </row>
    <row r="8460" spans="1:2" ht="15.75" customHeight="1" thickBot="1" x14ac:dyDescent="0.3">
      <c r="A8460" s="7">
        <f ca="1"/>
        <v>45350</v>
      </c>
      <c r="B8460" s="6">
        <v>186.99</v>
      </c>
    </row>
    <row r="8461" spans="1:2" ht="15.75" customHeight="1" thickBot="1" x14ac:dyDescent="0.3">
      <c r="A8461" s="7">
        <f ca="1"/>
        <v>45351</v>
      </c>
      <c r="B8461" s="6">
        <v>187.34</v>
      </c>
    </row>
    <row r="8462" spans="1:2" ht="15.75" customHeight="1" thickBot="1" x14ac:dyDescent="0.3">
      <c r="A8462" s="7">
        <f ca="1"/>
        <v>45352</v>
      </c>
      <c r="B8462" s="6">
        <v>187.03</v>
      </c>
    </row>
    <row r="8463" spans="1:2" ht="15.75" customHeight="1" thickBot="1" x14ac:dyDescent="0.3">
      <c r="A8463" s="7">
        <f ca="1"/>
        <v>45353</v>
      </c>
      <c r="B8463" s="5">
        <f t="shared" ref="B8463:B8464" si="1208">B8462</f>
        <v>187.03</v>
      </c>
    </row>
    <row r="8464" spans="1:2" ht="15.75" customHeight="1" thickBot="1" x14ac:dyDescent="0.3">
      <c r="A8464" s="7">
        <f ca="1"/>
        <v>45354</v>
      </c>
      <c r="B8464" s="5">
        <f t="shared" si="1208"/>
        <v>187.03</v>
      </c>
    </row>
    <row r="8465" spans="1:2" ht="15.75" customHeight="1" thickBot="1" x14ac:dyDescent="0.3">
      <c r="A8465" s="7">
        <f ca="1"/>
        <v>45355</v>
      </c>
      <c r="B8465" s="6">
        <v>189.36</v>
      </c>
    </row>
    <row r="8466" spans="1:2" ht="15.75" customHeight="1" thickBot="1" x14ac:dyDescent="0.3">
      <c r="A8466" s="7">
        <f ca="1"/>
        <v>45356</v>
      </c>
      <c r="B8466" s="6">
        <v>191.23</v>
      </c>
    </row>
    <row r="8467" spans="1:2" ht="15.75" customHeight="1" thickBot="1" x14ac:dyDescent="0.3">
      <c r="A8467" s="7">
        <f ca="1"/>
        <v>45357</v>
      </c>
      <c r="B8467" s="6">
        <v>190.2</v>
      </c>
    </row>
    <row r="8468" spans="1:2" ht="15.75" customHeight="1" thickBot="1" x14ac:dyDescent="0.3">
      <c r="A8468" s="7">
        <f ca="1"/>
        <v>45358</v>
      </c>
      <c r="B8468" s="6">
        <v>193.25</v>
      </c>
    </row>
    <row r="8469" spans="1:2" ht="15.75" customHeight="1" thickBot="1" x14ac:dyDescent="0.3">
      <c r="A8469" s="7">
        <f ca="1"/>
        <v>45359</v>
      </c>
      <c r="B8469" s="6">
        <v>194.25</v>
      </c>
    </row>
    <row r="8470" spans="1:2" ht="15.75" customHeight="1" thickBot="1" x14ac:dyDescent="0.3">
      <c r="A8470" s="7">
        <f ca="1"/>
        <v>45360</v>
      </c>
      <c r="B8470" s="5">
        <f t="shared" ref="B8470:B8471" si="1209">B8469</f>
        <v>194.25</v>
      </c>
    </row>
    <row r="8471" spans="1:2" ht="15.75" customHeight="1" thickBot="1" x14ac:dyDescent="0.3">
      <c r="A8471" s="7">
        <f ca="1"/>
        <v>45361</v>
      </c>
      <c r="B8471" s="5">
        <f t="shared" si="1209"/>
        <v>194.25</v>
      </c>
    </row>
    <row r="8472" spans="1:2" ht="15.75" customHeight="1" thickBot="1" x14ac:dyDescent="0.3">
      <c r="A8472" s="7">
        <f ca="1"/>
        <v>45362</v>
      </c>
      <c r="B8472" s="6">
        <v>188.52</v>
      </c>
    </row>
    <row r="8473" spans="1:2" ht="15.75" customHeight="1" thickBot="1" x14ac:dyDescent="0.3">
      <c r="A8473" s="7">
        <f ca="1"/>
        <v>45363</v>
      </c>
      <c r="B8473" s="6">
        <v>191.3</v>
      </c>
    </row>
    <row r="8474" spans="1:2" ht="15.75" customHeight="1" thickBot="1" x14ac:dyDescent="0.3">
      <c r="A8474" s="7">
        <f ca="1"/>
        <v>45364</v>
      </c>
      <c r="B8474" s="6">
        <v>192.88</v>
      </c>
    </row>
    <row r="8475" spans="1:2" ht="15.75" customHeight="1" thickBot="1" x14ac:dyDescent="0.3">
      <c r="A8475" s="7">
        <f ca="1"/>
        <v>45365</v>
      </c>
      <c r="B8475" s="6">
        <v>191.96</v>
      </c>
    </row>
    <row r="8476" spans="1:2" ht="15.75" customHeight="1" thickBot="1" x14ac:dyDescent="0.3">
      <c r="A8476" s="7">
        <f ca="1"/>
        <v>45366</v>
      </c>
      <c r="B8476" s="6">
        <v>188.72</v>
      </c>
    </row>
    <row r="8477" spans="1:2" ht="15.75" customHeight="1" thickBot="1" x14ac:dyDescent="0.3">
      <c r="A8477" s="7">
        <f ca="1"/>
        <v>45367</v>
      </c>
      <c r="B8477" s="5">
        <f t="shared" ref="B8477:B8478" si="1210">B8476</f>
        <v>188.72</v>
      </c>
    </row>
    <row r="8478" spans="1:2" ht="15.75" customHeight="1" thickBot="1" x14ac:dyDescent="0.3">
      <c r="A8478" s="7">
        <f ca="1"/>
        <v>45368</v>
      </c>
      <c r="B8478" s="5">
        <f t="shared" si="1210"/>
        <v>188.72</v>
      </c>
    </row>
    <row r="8479" spans="1:2" ht="15.75" customHeight="1" thickBot="1" x14ac:dyDescent="0.3">
      <c r="A8479" s="7">
        <f ca="1"/>
        <v>45369</v>
      </c>
      <c r="B8479" s="6">
        <v>188.6</v>
      </c>
    </row>
    <row r="8480" spans="1:2" ht="15.75" customHeight="1" thickBot="1" x14ac:dyDescent="0.3">
      <c r="A8480" s="7">
        <f ca="1"/>
        <v>45370</v>
      </c>
      <c r="B8480" s="6">
        <v>187.68</v>
      </c>
    </row>
    <row r="8481" spans="1:2" ht="15.75" customHeight="1" thickBot="1" x14ac:dyDescent="0.3">
      <c r="A8481" s="7">
        <f ca="1"/>
        <v>45371</v>
      </c>
      <c r="B8481" s="6">
        <v>188.77</v>
      </c>
    </row>
    <row r="8482" spans="1:2" ht="15.75" customHeight="1" thickBot="1" x14ac:dyDescent="0.3">
      <c r="A8482" s="7">
        <f ca="1"/>
        <v>45372</v>
      </c>
      <c r="B8482" s="6">
        <v>192.4</v>
      </c>
    </row>
    <row r="8483" spans="1:2" ht="15.75" customHeight="1" thickBot="1" x14ac:dyDescent="0.3">
      <c r="A8483" s="7">
        <f ca="1"/>
        <v>45373</v>
      </c>
      <c r="B8483" s="6">
        <v>194.52</v>
      </c>
    </row>
    <row r="8484" spans="1:2" ht="15.75" customHeight="1" thickBot="1" x14ac:dyDescent="0.3">
      <c r="A8484" s="7">
        <f ca="1"/>
        <v>45374</v>
      </c>
      <c r="B8484" s="5">
        <f t="shared" ref="B8484:B8485" si="1211">B8483</f>
        <v>194.52</v>
      </c>
    </row>
    <row r="8485" spans="1:2" ht="15.75" customHeight="1" thickBot="1" x14ac:dyDescent="0.3">
      <c r="A8485" s="7">
        <f ca="1"/>
        <v>45375</v>
      </c>
      <c r="B8485" s="5">
        <f t="shared" si="1211"/>
        <v>194.52</v>
      </c>
    </row>
    <row r="8486" spans="1:2" ht="15.75" customHeight="1" thickBot="1" x14ac:dyDescent="0.3">
      <c r="A8486" s="7">
        <f ca="1"/>
        <v>45376</v>
      </c>
      <c r="B8486" s="6">
        <v>195.15</v>
      </c>
    </row>
    <row r="8487" spans="1:2" ht="15.75" customHeight="1" thickBot="1" x14ac:dyDescent="0.3">
      <c r="A8487" s="7">
        <f ca="1"/>
        <v>45377</v>
      </c>
      <c r="B8487" s="6">
        <v>197.68</v>
      </c>
    </row>
    <row r="8488" spans="1:2" ht="15.75" customHeight="1" thickBot="1" x14ac:dyDescent="0.3">
      <c r="A8488" s="7">
        <f ca="1"/>
        <v>45378</v>
      </c>
      <c r="B8488" s="6">
        <v>199.2</v>
      </c>
    </row>
    <row r="8489" spans="1:2" ht="15.75" customHeight="1" thickBot="1" x14ac:dyDescent="0.3">
      <c r="A8489" s="7">
        <f ca="1"/>
        <v>45379</v>
      </c>
      <c r="B8489" s="6">
        <v>195.49</v>
      </c>
    </row>
    <row r="8490" spans="1:2" ht="15.75" customHeight="1" thickBot="1" x14ac:dyDescent="0.3">
      <c r="A8490" s="7">
        <f ca="1"/>
        <v>45380</v>
      </c>
      <c r="B8490" s="5">
        <f t="shared" ref="B8490:B8492" si="1212">B8489</f>
        <v>195.49</v>
      </c>
    </row>
    <row r="8491" spans="1:2" ht="15.75" customHeight="1" thickBot="1" x14ac:dyDescent="0.3">
      <c r="A8491" s="7">
        <f ca="1"/>
        <v>45381</v>
      </c>
      <c r="B8491" s="5">
        <f t="shared" si="1212"/>
        <v>195.49</v>
      </c>
    </row>
    <row r="8492" spans="1:2" ht="15.75" customHeight="1" thickBot="1" x14ac:dyDescent="0.3">
      <c r="A8492" s="7">
        <f ca="1"/>
        <v>45382</v>
      </c>
      <c r="B8492" s="5">
        <f t="shared" si="1212"/>
        <v>195.49</v>
      </c>
    </row>
    <row r="8493" spans="1:2" ht="15.75" customHeight="1" thickBot="1" x14ac:dyDescent="0.3">
      <c r="A8493" s="7">
        <f ca="1"/>
        <v>45383</v>
      </c>
      <c r="B8493" s="6">
        <v>196.37</v>
      </c>
    </row>
    <row r="8494" spans="1:2" ht="15.75" customHeight="1" thickBot="1" x14ac:dyDescent="0.3">
      <c r="A8494" s="7">
        <f ca="1"/>
        <v>45384</v>
      </c>
      <c r="B8494" s="6">
        <v>192.33</v>
      </c>
    </row>
    <row r="8495" spans="1:2" ht="15.75" customHeight="1" thickBot="1" x14ac:dyDescent="0.3">
      <c r="A8495" s="7">
        <f ca="1"/>
        <v>45385</v>
      </c>
      <c r="B8495" s="6">
        <v>190.96</v>
      </c>
    </row>
    <row r="8496" spans="1:2" ht="15.75" customHeight="1" thickBot="1" x14ac:dyDescent="0.3">
      <c r="A8496" s="7">
        <f ca="1"/>
        <v>45386</v>
      </c>
      <c r="B8496" s="6">
        <v>193.22</v>
      </c>
    </row>
    <row r="8497" spans="1:2" ht="15.75" customHeight="1" thickBot="1" x14ac:dyDescent="0.3">
      <c r="A8497" s="7">
        <f ca="1"/>
        <v>45387</v>
      </c>
      <c r="B8497" s="6">
        <v>191.41</v>
      </c>
    </row>
    <row r="8498" spans="1:2" ht="15.75" customHeight="1" thickBot="1" x14ac:dyDescent="0.3">
      <c r="A8498" s="7">
        <f ca="1"/>
        <v>45388</v>
      </c>
      <c r="B8498" s="5">
        <f t="shared" ref="B8498:B8499" si="1213">B8497</f>
        <v>191.41</v>
      </c>
    </row>
    <row r="8499" spans="1:2" ht="15.75" customHeight="1" thickBot="1" x14ac:dyDescent="0.3">
      <c r="A8499" s="7">
        <f ca="1"/>
        <v>45389</v>
      </c>
      <c r="B8499" s="5">
        <f t="shared" si="1213"/>
        <v>191.41</v>
      </c>
    </row>
    <row r="8500" spans="1:2" ht="15.75" customHeight="1" thickBot="1" x14ac:dyDescent="0.3">
      <c r="A8500" s="7">
        <f ca="1"/>
        <v>45390</v>
      </c>
      <c r="B8500" s="6">
        <v>192.78</v>
      </c>
    </row>
    <row r="8501" spans="1:2" ht="15.75" customHeight="1" thickBot="1" x14ac:dyDescent="0.3">
      <c r="A8501" s="7">
        <f ca="1"/>
        <v>45391</v>
      </c>
      <c r="B8501" s="6">
        <v>189.8</v>
      </c>
    </row>
    <row r="8502" spans="1:2" ht="15.75" customHeight="1" thickBot="1" x14ac:dyDescent="0.3">
      <c r="A8502" s="7">
        <f ca="1"/>
        <v>45392</v>
      </c>
      <c r="B8502" s="6">
        <v>184.88</v>
      </c>
    </row>
    <row r="8503" spans="1:2" ht="15.75" customHeight="1" thickBot="1" x14ac:dyDescent="0.3">
      <c r="A8503" s="7">
        <f ca="1"/>
        <v>45393</v>
      </c>
      <c r="B8503" s="6">
        <v>183.98</v>
      </c>
    </row>
    <row r="8504" spans="1:2" ht="15.75" customHeight="1" thickBot="1" x14ac:dyDescent="0.3">
      <c r="A8504" s="7">
        <f ca="1"/>
        <v>45394</v>
      </c>
      <c r="B8504" s="6">
        <v>181.59</v>
      </c>
    </row>
    <row r="8505" spans="1:2" ht="15.75" customHeight="1" thickBot="1" x14ac:dyDescent="0.3">
      <c r="A8505" s="7">
        <f ca="1"/>
        <v>45395</v>
      </c>
      <c r="B8505" s="5">
        <f t="shared" ref="B8505:B8506" si="1214">B8504</f>
        <v>181.59</v>
      </c>
    </row>
    <row r="8506" spans="1:2" ht="15.75" customHeight="1" thickBot="1" x14ac:dyDescent="0.3">
      <c r="A8506" s="7">
        <f ca="1"/>
        <v>45396</v>
      </c>
      <c r="B8506" s="5">
        <f t="shared" si="1214"/>
        <v>181.59</v>
      </c>
    </row>
    <row r="8507" spans="1:2" ht="15.75" customHeight="1" thickBot="1" x14ac:dyDescent="0.3">
      <c r="A8507" s="7">
        <f ca="1"/>
        <v>45397</v>
      </c>
      <c r="B8507" s="6">
        <v>184.17</v>
      </c>
    </row>
    <row r="8508" spans="1:2" ht="15.75" customHeight="1" thickBot="1" x14ac:dyDescent="0.3">
      <c r="A8508" s="7">
        <f ca="1"/>
        <v>45398</v>
      </c>
      <c r="B8508" s="6">
        <v>181.5</v>
      </c>
    </row>
    <row r="8509" spans="1:2" ht="15.75" customHeight="1" thickBot="1" x14ac:dyDescent="0.3">
      <c r="A8509" s="7">
        <f ca="1"/>
        <v>45399</v>
      </c>
      <c r="B8509" s="6">
        <v>181.76</v>
      </c>
    </row>
    <row r="8510" spans="1:2" ht="15.75" customHeight="1" thickBot="1" x14ac:dyDescent="0.3">
      <c r="A8510" s="7">
        <f ca="1"/>
        <v>45400</v>
      </c>
      <c r="B8510" s="6">
        <v>179.91</v>
      </c>
    </row>
    <row r="8511" spans="1:2" ht="15.75" customHeight="1" thickBot="1" x14ac:dyDescent="0.3">
      <c r="A8511" s="7">
        <f ca="1"/>
        <v>45401</v>
      </c>
      <c r="B8511" s="6">
        <v>178.21</v>
      </c>
    </row>
    <row r="8512" spans="1:2" ht="15.75" customHeight="1" thickBot="1" x14ac:dyDescent="0.3">
      <c r="A8512" s="7">
        <f ca="1"/>
        <v>45402</v>
      </c>
      <c r="B8512" s="5">
        <f t="shared" ref="B8512:B8513" si="1215">B8511</f>
        <v>178.21</v>
      </c>
    </row>
    <row r="8513" spans="1:2" ht="15.75" customHeight="1" thickBot="1" x14ac:dyDescent="0.3">
      <c r="A8513" s="7">
        <f ca="1"/>
        <v>45403</v>
      </c>
      <c r="B8513" s="5">
        <f t="shared" si="1215"/>
        <v>178.21</v>
      </c>
    </row>
    <row r="8514" spans="1:2" ht="15.75" customHeight="1" thickBot="1" x14ac:dyDescent="0.3">
      <c r="A8514" s="7">
        <f ca="1"/>
        <v>45404</v>
      </c>
      <c r="B8514" s="6">
        <v>176.59</v>
      </c>
    </row>
    <row r="8515" spans="1:2" ht="15.75" customHeight="1" thickBot="1" x14ac:dyDescent="0.3">
      <c r="A8515" s="7">
        <f ca="1"/>
        <v>45405</v>
      </c>
      <c r="B8515" s="6">
        <v>184.83</v>
      </c>
    </row>
    <row r="8516" spans="1:2" ht="15.75" customHeight="1" thickBot="1" x14ac:dyDescent="0.3">
      <c r="A8516" s="7">
        <f ca="1"/>
        <v>45406</v>
      </c>
      <c r="B8516" s="6">
        <v>188.53</v>
      </c>
    </row>
    <row r="8517" spans="1:2" ht="15.75" customHeight="1" thickBot="1" x14ac:dyDescent="0.3">
      <c r="A8517" s="7">
        <f ca="1"/>
        <v>45407</v>
      </c>
      <c r="B8517" s="6">
        <v>181.37</v>
      </c>
    </row>
    <row r="8518" spans="1:2" ht="15.75" customHeight="1" thickBot="1" x14ac:dyDescent="0.3">
      <c r="A8518" s="7">
        <f ca="1"/>
        <v>45408</v>
      </c>
      <c r="B8518" s="6">
        <v>185.69</v>
      </c>
    </row>
    <row r="8519" spans="1:2" ht="15.75" customHeight="1" thickBot="1" x14ac:dyDescent="0.3">
      <c r="A8519" s="7">
        <f ca="1"/>
        <v>45409</v>
      </c>
      <c r="B8519" s="5">
        <f t="shared" ref="B8519:B8520" si="1216">B8518</f>
        <v>185.69</v>
      </c>
    </row>
    <row r="8520" spans="1:2" ht="15.75" customHeight="1" thickBot="1" x14ac:dyDescent="0.3">
      <c r="A8520" s="7">
        <f ca="1"/>
        <v>45410</v>
      </c>
      <c r="B8520" s="5">
        <f t="shared" si="1216"/>
        <v>185.69</v>
      </c>
    </row>
    <row r="8521" spans="1:2" ht="15.75" customHeight="1" thickBot="1" x14ac:dyDescent="0.3">
      <c r="A8521" s="7">
        <f ca="1"/>
        <v>45411</v>
      </c>
      <c r="B8521" s="6">
        <v>184.77</v>
      </c>
    </row>
    <row r="8522" spans="1:2" ht="15.75" customHeight="1" thickBot="1" x14ac:dyDescent="0.3">
      <c r="A8522" s="7">
        <f ca="1"/>
        <v>45412</v>
      </c>
      <c r="B8522" s="6">
        <v>182.65</v>
      </c>
    </row>
    <row r="8523" spans="1:2" ht="15.75" customHeight="1" thickBot="1" x14ac:dyDescent="0.3">
      <c r="A8523" s="7">
        <f ca="1"/>
        <v>45413</v>
      </c>
      <c r="B8523" s="6">
        <v>181.7</v>
      </c>
    </row>
    <row r="8524" spans="1:2" ht="15.75" customHeight="1" thickBot="1" x14ac:dyDescent="0.3">
      <c r="A8524" s="7">
        <f ca="1"/>
        <v>45414</v>
      </c>
      <c r="B8524" s="6">
        <v>181.49</v>
      </c>
    </row>
    <row r="8525" spans="1:2" ht="15.75" customHeight="1" thickBot="1" x14ac:dyDescent="0.3">
      <c r="A8525" s="7">
        <f ca="1"/>
        <v>45415</v>
      </c>
      <c r="B8525" s="6">
        <v>183.61</v>
      </c>
    </row>
    <row r="8526" spans="1:2" ht="15.75" customHeight="1" thickBot="1" x14ac:dyDescent="0.3">
      <c r="A8526" s="7">
        <f ca="1"/>
        <v>45416</v>
      </c>
      <c r="B8526" s="5">
        <f t="shared" ref="B8526:B8527" si="1217">B8525</f>
        <v>183.61</v>
      </c>
    </row>
    <row r="8527" spans="1:2" ht="15.75" customHeight="1" thickBot="1" x14ac:dyDescent="0.3">
      <c r="A8527" s="7">
        <f ca="1"/>
        <v>45417</v>
      </c>
      <c r="B8527" s="5">
        <f t="shared" si="1217"/>
        <v>183.61</v>
      </c>
    </row>
    <row r="8528" spans="1:2" ht="15.75" customHeight="1" thickBot="1" x14ac:dyDescent="0.3">
      <c r="A8528" s="7">
        <f ca="1"/>
        <v>45418</v>
      </c>
      <c r="B8528" s="6">
        <v>183.99</v>
      </c>
    </row>
    <row r="8529" spans="1:2" ht="15.75" customHeight="1" thickBot="1" x14ac:dyDescent="0.3">
      <c r="A8529" s="7">
        <f ca="1"/>
        <v>45419</v>
      </c>
      <c r="B8529" s="6">
        <v>187.04</v>
      </c>
    </row>
    <row r="8530" spans="1:2" ht="15.75" customHeight="1" thickBot="1" x14ac:dyDescent="0.3">
      <c r="A8530" s="7">
        <f ca="1"/>
        <v>45420</v>
      </c>
      <c r="B8530" s="6">
        <v>188.89</v>
      </c>
    </row>
    <row r="8531" spans="1:2" ht="15.75" customHeight="1" thickBot="1" x14ac:dyDescent="0.3">
      <c r="A8531" s="7">
        <f ca="1"/>
        <v>45421</v>
      </c>
      <c r="B8531" s="6">
        <v>190.41</v>
      </c>
    </row>
    <row r="8532" spans="1:2" ht="15.75" customHeight="1" thickBot="1" x14ac:dyDescent="0.3">
      <c r="A8532" s="7">
        <f ca="1"/>
        <v>45422</v>
      </c>
      <c r="B8532" s="6">
        <v>189.7</v>
      </c>
    </row>
    <row r="8533" spans="1:2" ht="15.75" customHeight="1" thickBot="1" x14ac:dyDescent="0.3">
      <c r="A8533" s="7">
        <f ca="1"/>
        <v>45423</v>
      </c>
      <c r="B8533" s="5">
        <f t="shared" ref="B8533:B8534" si="1218">B8532</f>
        <v>189.7</v>
      </c>
    </row>
    <row r="8534" spans="1:2" ht="15.75" customHeight="1" thickBot="1" x14ac:dyDescent="0.3">
      <c r="A8534" s="7">
        <f ca="1"/>
        <v>45424</v>
      </c>
      <c r="B8534" s="5">
        <f t="shared" si="1218"/>
        <v>189.7</v>
      </c>
    </row>
    <row r="8535" spans="1:2" ht="15.75" customHeight="1" thickBot="1" x14ac:dyDescent="0.3">
      <c r="A8535" s="7">
        <f ca="1"/>
        <v>45425</v>
      </c>
      <c r="B8535" s="6">
        <v>190.91</v>
      </c>
    </row>
    <row r="8536" spans="1:2" ht="15.75" customHeight="1" thickBot="1" x14ac:dyDescent="0.3">
      <c r="A8536" s="7">
        <f ca="1"/>
        <v>45426</v>
      </c>
      <c r="B8536" s="6">
        <v>189.15</v>
      </c>
    </row>
    <row r="8537" spans="1:2" ht="15.75" customHeight="1" thickBot="1" x14ac:dyDescent="0.3">
      <c r="A8537" s="7">
        <f ca="1"/>
        <v>45427</v>
      </c>
      <c r="B8537" s="6">
        <v>189.98</v>
      </c>
    </row>
    <row r="8538" spans="1:2" ht="15.75" customHeight="1" thickBot="1" x14ac:dyDescent="0.3">
      <c r="A8538" s="7">
        <f ca="1"/>
        <v>45428</v>
      </c>
      <c r="B8538" s="6">
        <v>192.55</v>
      </c>
    </row>
    <row r="8539" spans="1:2" ht="15.75" customHeight="1" thickBot="1" x14ac:dyDescent="0.3">
      <c r="A8539" s="7">
        <f ca="1"/>
        <v>45429</v>
      </c>
      <c r="B8539" s="6">
        <v>191.12</v>
      </c>
    </row>
    <row r="8540" spans="1:2" ht="15.75" customHeight="1" thickBot="1" x14ac:dyDescent="0.3">
      <c r="A8540" s="7">
        <f ca="1"/>
        <v>45430</v>
      </c>
      <c r="B8540" s="5">
        <f t="shared" ref="B8540:B8541" si="1219">B8539</f>
        <v>191.12</v>
      </c>
    </row>
    <row r="8541" spans="1:2" ht="15.75" customHeight="1" thickBot="1" x14ac:dyDescent="0.3">
      <c r="A8541" s="7">
        <f ca="1"/>
        <v>45431</v>
      </c>
      <c r="B8541" s="5">
        <f t="shared" si="1219"/>
        <v>191.12</v>
      </c>
    </row>
    <row r="8542" spans="1:2" ht="15.75" customHeight="1" thickBot="1" x14ac:dyDescent="0.3">
      <c r="A8542" s="7">
        <f ca="1"/>
        <v>45432</v>
      </c>
      <c r="B8542" s="6">
        <v>194.14</v>
      </c>
    </row>
    <row r="8543" spans="1:2" ht="15.75" customHeight="1" thickBot="1" x14ac:dyDescent="0.3">
      <c r="A8543" s="7">
        <f ca="1"/>
        <v>45433</v>
      </c>
      <c r="B8543" s="6">
        <v>195.19</v>
      </c>
    </row>
    <row r="8544" spans="1:2" ht="15.75" customHeight="1" thickBot="1" x14ac:dyDescent="0.3">
      <c r="A8544" s="7">
        <f ca="1"/>
        <v>45434</v>
      </c>
      <c r="B8544" s="6">
        <v>194</v>
      </c>
    </row>
    <row r="8545" spans="1:2" ht="15.75" customHeight="1" thickBot="1" x14ac:dyDescent="0.3">
      <c r="A8545" s="7">
        <f ca="1"/>
        <v>45435</v>
      </c>
      <c r="B8545" s="6">
        <v>196.75</v>
      </c>
    </row>
    <row r="8546" spans="1:2" ht="15.75" customHeight="1" thickBot="1" x14ac:dyDescent="0.3">
      <c r="A8546" s="7">
        <f ca="1"/>
        <v>45436</v>
      </c>
      <c r="B8546" s="6">
        <v>194.62</v>
      </c>
    </row>
    <row r="8547" spans="1:2" ht="15.75" customHeight="1" thickBot="1" x14ac:dyDescent="0.3">
      <c r="A8547" s="7">
        <f ca="1"/>
        <v>45437</v>
      </c>
      <c r="B8547" s="5">
        <f t="shared" ref="B8547:B8549" si="1220">B8546</f>
        <v>194.62</v>
      </c>
    </row>
    <row r="8548" spans="1:2" ht="15.75" customHeight="1" thickBot="1" x14ac:dyDescent="0.3">
      <c r="A8548" s="7">
        <f ca="1"/>
        <v>45438</v>
      </c>
      <c r="B8548" s="5">
        <f t="shared" si="1220"/>
        <v>194.62</v>
      </c>
    </row>
    <row r="8549" spans="1:2" ht="15.75" customHeight="1" thickBot="1" x14ac:dyDescent="0.3">
      <c r="A8549" s="7">
        <f ca="1"/>
        <v>45439</v>
      </c>
      <c r="B8549" s="5">
        <f t="shared" si="1220"/>
        <v>194.62</v>
      </c>
    </row>
    <row r="8550" spans="1:2" ht="15.75" customHeight="1" thickBot="1" x14ac:dyDescent="0.3">
      <c r="A8550" s="7">
        <f ca="1"/>
        <v>45440</v>
      </c>
      <c r="B8550" s="6">
        <v>193.91</v>
      </c>
    </row>
    <row r="8551" spans="1:2" ht="15.75" customHeight="1" thickBot="1" x14ac:dyDescent="0.3">
      <c r="A8551" s="7">
        <f ca="1"/>
        <v>45441</v>
      </c>
      <c r="B8551" s="6">
        <v>189.96</v>
      </c>
    </row>
    <row r="8552" spans="1:2" ht="15.75" customHeight="1" thickBot="1" x14ac:dyDescent="0.3">
      <c r="A8552" s="7">
        <f ca="1"/>
        <v>45442</v>
      </c>
      <c r="B8552" s="6">
        <v>185.25</v>
      </c>
    </row>
    <row r="8553" spans="1:2" ht="15.75" customHeight="1" thickBot="1" x14ac:dyDescent="0.3">
      <c r="A8553" s="7">
        <f ca="1"/>
        <v>45443</v>
      </c>
      <c r="B8553" s="6">
        <v>181.98</v>
      </c>
    </row>
    <row r="8554" spans="1:2" ht="15.75" customHeight="1" thickBot="1" x14ac:dyDescent="0.3">
      <c r="A8554" s="7">
        <f ca="1"/>
        <v>45444</v>
      </c>
      <c r="B8554" s="5">
        <f t="shared" ref="B8554:B8555" si="1221">B8553</f>
        <v>181.98</v>
      </c>
    </row>
    <row r="8555" spans="1:2" ht="15.75" customHeight="1" thickBot="1" x14ac:dyDescent="0.3">
      <c r="A8555" s="7">
        <f ca="1"/>
        <v>45445</v>
      </c>
      <c r="B8555" s="5">
        <f t="shared" si="1221"/>
        <v>181.98</v>
      </c>
    </row>
    <row r="8556" spans="1:2" ht="15.75" customHeight="1" thickBot="1" x14ac:dyDescent="0.3">
      <c r="A8556" s="7">
        <f ca="1"/>
        <v>45446</v>
      </c>
      <c r="B8556" s="6">
        <v>183.9</v>
      </c>
    </row>
    <row r="8557" spans="1:2" ht="15.75" customHeight="1" thickBot="1" x14ac:dyDescent="0.3">
      <c r="A8557" s="7">
        <f ca="1"/>
        <v>45447</v>
      </c>
      <c r="B8557" s="6">
        <v>184</v>
      </c>
    </row>
    <row r="8558" spans="1:2" ht="15.75" customHeight="1" thickBot="1" x14ac:dyDescent="0.3">
      <c r="A8558" s="7">
        <f ca="1"/>
        <v>45448</v>
      </c>
      <c r="B8558" s="6">
        <v>186.17</v>
      </c>
    </row>
    <row r="8559" spans="1:2" ht="15.75" customHeight="1" thickBot="1" x14ac:dyDescent="0.3">
      <c r="A8559" s="7">
        <f ca="1"/>
        <v>45449</v>
      </c>
      <c r="B8559" s="6">
        <v>194.31</v>
      </c>
    </row>
    <row r="8560" spans="1:2" ht="15.75" customHeight="1" thickBot="1" x14ac:dyDescent="0.3">
      <c r="A8560" s="7">
        <f ca="1"/>
        <v>45450</v>
      </c>
      <c r="B8560" s="6">
        <v>191.73</v>
      </c>
    </row>
    <row r="8561" spans="1:2" ht="15.75" customHeight="1" thickBot="1" x14ac:dyDescent="0.3">
      <c r="A8561" s="7">
        <f ca="1"/>
        <v>45451</v>
      </c>
      <c r="B8561" s="5">
        <f t="shared" ref="B8561:B8562" si="1222">B8560</f>
        <v>191.73</v>
      </c>
    </row>
    <row r="8562" spans="1:2" ht="15.75" customHeight="1" thickBot="1" x14ac:dyDescent="0.3">
      <c r="A8562" s="7">
        <f ca="1"/>
        <v>45452</v>
      </c>
      <c r="B8562" s="5">
        <f t="shared" si="1222"/>
        <v>191.73</v>
      </c>
    </row>
    <row r="8563" spans="1:2" ht="15.75" customHeight="1" thickBot="1" x14ac:dyDescent="0.3">
      <c r="A8563" s="7">
        <f ca="1"/>
        <v>45453</v>
      </c>
      <c r="B8563" s="6">
        <v>188.83</v>
      </c>
    </row>
    <row r="8564" spans="1:2" ht="15.75" customHeight="1" thickBot="1" x14ac:dyDescent="0.3">
      <c r="A8564" s="7">
        <f ca="1"/>
        <v>45454</v>
      </c>
      <c r="B8564" s="6">
        <v>187.19</v>
      </c>
    </row>
    <row r="8565" spans="1:2" ht="15.75" customHeight="1" thickBot="1" x14ac:dyDescent="0.3">
      <c r="A8565" s="7">
        <f ca="1"/>
        <v>45455</v>
      </c>
      <c r="B8565" s="6">
        <v>195.17</v>
      </c>
    </row>
    <row r="8566" spans="1:2" ht="15.75" customHeight="1" thickBot="1" x14ac:dyDescent="0.3">
      <c r="A8566" s="7">
        <f ca="1"/>
        <v>45456</v>
      </c>
      <c r="B8566" s="6">
        <v>195.1</v>
      </c>
    </row>
    <row r="8567" spans="1:2" ht="15.75" customHeight="1" thickBot="1" x14ac:dyDescent="0.3">
      <c r="A8567" s="7">
        <f ca="1"/>
        <v>45457</v>
      </c>
      <c r="B8567" s="6">
        <v>188.16</v>
      </c>
    </row>
    <row r="8568" spans="1:2" ht="15.75" customHeight="1" thickBot="1" x14ac:dyDescent="0.3">
      <c r="A8568" s="7">
        <f ca="1"/>
        <v>45458</v>
      </c>
      <c r="B8568" s="5">
        <f t="shared" ref="B8568:B8569" si="1223">B8567</f>
        <v>188.16</v>
      </c>
    </row>
    <row r="8569" spans="1:2" ht="15.75" customHeight="1" thickBot="1" x14ac:dyDescent="0.3">
      <c r="A8569" s="7">
        <f ca="1"/>
        <v>45459</v>
      </c>
      <c r="B8569" s="5">
        <f t="shared" si="1223"/>
        <v>188.16</v>
      </c>
    </row>
    <row r="8570" spans="1:2" ht="15.75" customHeight="1" thickBot="1" x14ac:dyDescent="0.3">
      <c r="A8570" s="7">
        <f ca="1"/>
        <v>45460</v>
      </c>
      <c r="B8570" s="6">
        <v>188.71</v>
      </c>
    </row>
    <row r="8571" spans="1:2" ht="15.75" customHeight="1" thickBot="1" x14ac:dyDescent="0.3">
      <c r="A8571" s="7">
        <f ca="1"/>
        <v>45461</v>
      </c>
      <c r="B8571" s="6">
        <v>188.8</v>
      </c>
    </row>
    <row r="8572" spans="1:2" ht="15.75" customHeight="1" thickBot="1" x14ac:dyDescent="0.3">
      <c r="A8572" s="7">
        <f ca="1"/>
        <v>45462</v>
      </c>
      <c r="B8572" s="5">
        <f>B8571</f>
        <v>188.8</v>
      </c>
    </row>
    <row r="8573" spans="1:2" ht="15.75" customHeight="1" thickBot="1" x14ac:dyDescent="0.3">
      <c r="A8573" s="7">
        <f ca="1"/>
        <v>45463</v>
      </c>
      <c r="B8573" s="6">
        <v>190.49</v>
      </c>
    </row>
    <row r="8574" spans="1:2" ht="15.75" customHeight="1" thickBot="1" x14ac:dyDescent="0.3">
      <c r="A8574" s="7">
        <f ca="1"/>
        <v>45464</v>
      </c>
      <c r="B8574" s="6">
        <v>192.88</v>
      </c>
    </row>
    <row r="8575" spans="1:2" ht="15.75" customHeight="1" thickBot="1" x14ac:dyDescent="0.3">
      <c r="A8575" s="7">
        <f ca="1"/>
        <v>45465</v>
      </c>
      <c r="B8575" s="5">
        <f t="shared" ref="B8575:B8576" si="1224">B8574</f>
        <v>192.88</v>
      </c>
    </row>
    <row r="8576" spans="1:2" ht="15.75" customHeight="1" thickBot="1" x14ac:dyDescent="0.3">
      <c r="A8576" s="7">
        <f ca="1"/>
        <v>45466</v>
      </c>
      <c r="B8576" s="5">
        <f t="shared" si="1224"/>
        <v>192.88</v>
      </c>
    </row>
    <row r="8577" spans="1:2" ht="15.75" customHeight="1" thickBot="1" x14ac:dyDescent="0.3">
      <c r="A8577" s="7">
        <f ca="1"/>
        <v>45467</v>
      </c>
      <c r="B8577" s="6">
        <v>192.14</v>
      </c>
    </row>
    <row r="8578" spans="1:2" ht="15.75" customHeight="1" thickBot="1" x14ac:dyDescent="0.3">
      <c r="A8578" s="7">
        <f ca="1"/>
        <v>45468</v>
      </c>
      <c r="B8578" s="6">
        <v>193.01</v>
      </c>
    </row>
    <row r="8579" spans="1:2" ht="15.75" customHeight="1" thickBot="1" x14ac:dyDescent="0.3">
      <c r="A8579" s="7">
        <f ca="1"/>
        <v>45469</v>
      </c>
      <c r="B8579" s="6">
        <v>197.33</v>
      </c>
    </row>
    <row r="8580" spans="1:2" ht="15.75" customHeight="1" thickBot="1" x14ac:dyDescent="0.3">
      <c r="A8580" s="7">
        <f ca="1"/>
        <v>45470</v>
      </c>
      <c r="B8580" s="6">
        <v>199.67</v>
      </c>
    </row>
    <row r="8581" spans="1:2" ht="15.75" customHeight="1" thickBot="1" x14ac:dyDescent="0.3">
      <c r="A8581" s="7">
        <f ca="1"/>
        <v>45471</v>
      </c>
      <c r="B8581" s="6">
        <v>201.76</v>
      </c>
    </row>
    <row r="8582" spans="1:2" ht="15.75" customHeight="1" thickBot="1" x14ac:dyDescent="0.3">
      <c r="A8582" s="7">
        <f ca="1"/>
        <v>45472</v>
      </c>
      <c r="B8582" s="5">
        <f t="shared" ref="B8582:B8583" si="1225">B8581</f>
        <v>201.76</v>
      </c>
    </row>
    <row r="8583" spans="1:2" ht="15.75" customHeight="1" thickBot="1" x14ac:dyDescent="0.3">
      <c r="A8583" s="7">
        <f ca="1"/>
        <v>45473</v>
      </c>
      <c r="B8583" s="5">
        <f t="shared" si="1225"/>
        <v>201.76</v>
      </c>
    </row>
    <row r="8584" spans="1:2" ht="15.75" customHeight="1" thickBot="1" x14ac:dyDescent="0.3">
      <c r="A8584" s="7">
        <f ca="1"/>
        <v>45474</v>
      </c>
      <c r="B8584" s="6">
        <v>200.54</v>
      </c>
    </row>
    <row r="8585" spans="1:2" ht="15.75" customHeight="1" thickBot="1" x14ac:dyDescent="0.3">
      <c r="A8585" s="7">
        <f ca="1"/>
        <v>45475</v>
      </c>
      <c r="B8585" s="6">
        <v>197.68</v>
      </c>
    </row>
    <row r="8586" spans="1:2" ht="15.75" customHeight="1" thickBot="1" x14ac:dyDescent="0.3">
      <c r="A8586" s="7">
        <f ca="1"/>
        <v>45476</v>
      </c>
      <c r="B8586" s="6">
        <v>201.16</v>
      </c>
    </row>
    <row r="8587" spans="1:2" ht="15.75" customHeight="1" thickBot="1" x14ac:dyDescent="0.3">
      <c r="A8587" s="7">
        <f ca="1"/>
        <v>45477</v>
      </c>
      <c r="B8587" s="5">
        <f>B8586</f>
        <v>201.16</v>
      </c>
    </row>
    <row r="8588" spans="1:2" ht="15.75" customHeight="1" thickBot="1" x14ac:dyDescent="0.3">
      <c r="A8588" s="7">
        <f ca="1"/>
        <v>45478</v>
      </c>
      <c r="B8588" s="6">
        <v>205.71</v>
      </c>
    </row>
    <row r="8589" spans="1:2" ht="15.75" customHeight="1" thickBot="1" x14ac:dyDescent="0.3">
      <c r="A8589" s="7">
        <f ca="1"/>
        <v>45479</v>
      </c>
      <c r="B8589" s="5">
        <f t="shared" ref="B8589:B8590" si="1226">B8588</f>
        <v>205.71</v>
      </c>
    </row>
    <row r="8590" spans="1:2" ht="15.75" customHeight="1" thickBot="1" x14ac:dyDescent="0.3">
      <c r="A8590" s="7">
        <f ca="1"/>
        <v>45480</v>
      </c>
      <c r="B8590" s="5">
        <f t="shared" si="1226"/>
        <v>205.71</v>
      </c>
    </row>
    <row r="8591" spans="1:2" ht="15.75" customHeight="1" thickBot="1" x14ac:dyDescent="0.3">
      <c r="A8591" s="7">
        <f ca="1"/>
        <v>45481</v>
      </c>
      <c r="B8591" s="6">
        <v>205.65</v>
      </c>
    </row>
    <row r="8592" spans="1:2" ht="15.75" customHeight="1" thickBot="1" x14ac:dyDescent="0.3">
      <c r="A8592" s="7">
        <f ca="1"/>
        <v>45482</v>
      </c>
      <c r="B8592" s="6">
        <v>202.65</v>
      </c>
    </row>
    <row r="8593" spans="1:2" ht="15.75" customHeight="1" thickBot="1" x14ac:dyDescent="0.3">
      <c r="A8593" s="7">
        <f ca="1"/>
        <v>45483</v>
      </c>
      <c r="B8593" s="6">
        <v>201.27</v>
      </c>
    </row>
    <row r="8594" spans="1:2" ht="15.75" customHeight="1" thickBot="1" x14ac:dyDescent="0.3">
      <c r="A8594" s="7">
        <f ca="1"/>
        <v>45484</v>
      </c>
      <c r="B8594" s="6">
        <v>203.77</v>
      </c>
    </row>
    <row r="8595" spans="1:2" ht="15.75" customHeight="1" thickBot="1" x14ac:dyDescent="0.3">
      <c r="A8595" s="7">
        <f ca="1"/>
        <v>45485</v>
      </c>
      <c r="B8595" s="6">
        <v>202.88</v>
      </c>
    </row>
    <row r="8596" spans="1:2" ht="15.75" customHeight="1" thickBot="1" x14ac:dyDescent="0.3">
      <c r="A8596" s="7">
        <f ca="1"/>
        <v>45486</v>
      </c>
      <c r="B8596" s="5">
        <f t="shared" ref="B8596:B8597" si="1227">B8595</f>
        <v>202.88</v>
      </c>
    </row>
    <row r="8597" spans="1:2" ht="15.75" customHeight="1" thickBot="1" x14ac:dyDescent="0.3">
      <c r="A8597" s="7">
        <f ca="1"/>
        <v>45487</v>
      </c>
      <c r="B8597" s="5">
        <f t="shared" si="1227"/>
        <v>202.88</v>
      </c>
    </row>
    <row r="8598" spans="1:2" ht="15.75" customHeight="1" thickBot="1" x14ac:dyDescent="0.3">
      <c r="A8598" s="7">
        <f ca="1"/>
        <v>45488</v>
      </c>
      <c r="B8598" s="6">
        <v>205.33</v>
      </c>
    </row>
    <row r="8599" spans="1:2" ht="15.75" customHeight="1" thickBot="1" x14ac:dyDescent="0.3">
      <c r="A8599" s="7">
        <f ca="1"/>
        <v>45489</v>
      </c>
      <c r="B8599" s="6">
        <v>204.49</v>
      </c>
    </row>
    <row r="8600" spans="1:2" ht="15.75" customHeight="1" thickBot="1" x14ac:dyDescent="0.3">
      <c r="A8600" s="7">
        <f ca="1"/>
        <v>45490</v>
      </c>
      <c r="B8600" s="6">
        <v>201.51</v>
      </c>
    </row>
    <row r="8601" spans="1:2" ht="15.75" customHeight="1" thickBot="1" x14ac:dyDescent="0.3">
      <c r="A8601" s="7">
        <f ca="1"/>
        <v>45491</v>
      </c>
      <c r="B8601" s="6">
        <v>200.63</v>
      </c>
    </row>
    <row r="8602" spans="1:2" ht="15.75" customHeight="1" thickBot="1" x14ac:dyDescent="0.3">
      <c r="A8602" s="7">
        <f ca="1"/>
        <v>45492</v>
      </c>
      <c r="B8602" s="6">
        <v>196.76</v>
      </c>
    </row>
    <row r="8603" spans="1:2" ht="15.75" customHeight="1" thickBot="1" x14ac:dyDescent="0.3">
      <c r="A8603" s="7">
        <f ca="1"/>
        <v>45493</v>
      </c>
      <c r="B8603" s="5">
        <f t="shared" ref="B8603:B8604" si="1228">B8602</f>
        <v>196.76</v>
      </c>
    </row>
    <row r="8604" spans="1:2" ht="15.75" customHeight="1" thickBot="1" x14ac:dyDescent="0.3">
      <c r="A8604" s="7">
        <f ca="1"/>
        <v>45494</v>
      </c>
      <c r="B8604" s="5">
        <f t="shared" si="1228"/>
        <v>196.76</v>
      </c>
    </row>
    <row r="8605" spans="1:2" ht="15.75" customHeight="1" thickBot="1" x14ac:dyDescent="0.3">
      <c r="A8605" s="7">
        <f ca="1"/>
        <v>45495</v>
      </c>
      <c r="B8605" s="6">
        <v>199.23</v>
      </c>
    </row>
    <row r="8606" spans="1:2" ht="15.75" customHeight="1" thickBot="1" x14ac:dyDescent="0.3">
      <c r="A8606" s="7">
        <f ca="1"/>
        <v>45496</v>
      </c>
      <c r="B8606" s="6">
        <v>212.56</v>
      </c>
    </row>
    <row r="8607" spans="1:2" ht="15.75" customHeight="1" thickBot="1" x14ac:dyDescent="0.3">
      <c r="A8607" s="7">
        <f ca="1"/>
        <v>45497</v>
      </c>
      <c r="B8607" s="6">
        <v>211.85</v>
      </c>
    </row>
    <row r="8608" spans="1:2" ht="15.75" customHeight="1" thickBot="1" x14ac:dyDescent="0.3">
      <c r="A8608" s="7">
        <f ca="1"/>
        <v>45498</v>
      </c>
      <c r="B8608" s="6">
        <v>210.28</v>
      </c>
    </row>
    <row r="8609" spans="1:2" ht="15.75" customHeight="1" thickBot="1" x14ac:dyDescent="0.3">
      <c r="A8609" s="7">
        <f ca="1"/>
        <v>45499</v>
      </c>
      <c r="B8609" s="6">
        <v>211.71</v>
      </c>
    </row>
    <row r="8610" spans="1:2" ht="15.75" customHeight="1" thickBot="1" x14ac:dyDescent="0.3">
      <c r="A8610" s="7">
        <f ca="1"/>
        <v>45500</v>
      </c>
      <c r="B8610" s="5">
        <f t="shared" ref="B8610:B8611" si="1229">B8609</f>
        <v>211.71</v>
      </c>
    </row>
    <row r="8611" spans="1:2" ht="15.75" customHeight="1" thickBot="1" x14ac:dyDescent="0.3">
      <c r="A8611" s="7">
        <f ca="1"/>
        <v>45501</v>
      </c>
      <c r="B8611" s="5">
        <f t="shared" si="1229"/>
        <v>211.71</v>
      </c>
    </row>
    <row r="8612" spans="1:2" ht="15.75" customHeight="1" thickBot="1" x14ac:dyDescent="0.3">
      <c r="A8612" s="7">
        <f ca="1"/>
        <v>45502</v>
      </c>
      <c r="B8612" s="6">
        <v>211.27</v>
      </c>
    </row>
    <row r="8613" spans="1:2" ht="15.75" customHeight="1" thickBot="1" x14ac:dyDescent="0.3">
      <c r="A8613" s="7">
        <f ca="1"/>
        <v>45503</v>
      </c>
      <c r="B8613" s="6">
        <v>207.79</v>
      </c>
    </row>
    <row r="8614" spans="1:2" ht="15.75" customHeight="1" thickBot="1" x14ac:dyDescent="0.3">
      <c r="A8614" s="7">
        <f ca="1"/>
        <v>45504</v>
      </c>
      <c r="B8614" s="6">
        <v>210.71</v>
      </c>
    </row>
    <row r="8615" spans="1:2" ht="15.75" customHeight="1" thickBot="1" x14ac:dyDescent="0.3">
      <c r="A8615" s="7">
        <f ca="1"/>
        <v>45505</v>
      </c>
      <c r="B8615" s="6">
        <v>208.69</v>
      </c>
    </row>
    <row r="8616" spans="1:2" ht="15.75" customHeight="1" thickBot="1" x14ac:dyDescent="0.3">
      <c r="A8616" s="7">
        <f ca="1"/>
        <v>45506</v>
      </c>
      <c r="B8616" s="6">
        <v>204.08</v>
      </c>
    </row>
    <row r="8617" spans="1:2" ht="15.75" customHeight="1" thickBot="1" x14ac:dyDescent="0.3">
      <c r="A8617" s="7">
        <f ca="1"/>
        <v>45507</v>
      </c>
      <c r="B8617" s="5">
        <f t="shared" ref="B8617:B8618" si="1230">B8616</f>
        <v>204.08</v>
      </c>
    </row>
    <row r="8618" spans="1:2" ht="15.75" customHeight="1" thickBot="1" x14ac:dyDescent="0.3">
      <c r="A8618" s="7">
        <f ca="1"/>
        <v>45508</v>
      </c>
      <c r="B8618" s="5">
        <f t="shared" si="1230"/>
        <v>204.08</v>
      </c>
    </row>
    <row r="8619" spans="1:2" ht="15.75" customHeight="1" thickBot="1" x14ac:dyDescent="0.3">
      <c r="A8619" s="7">
        <f ca="1"/>
        <v>45509</v>
      </c>
      <c r="B8619" s="6">
        <v>195.1</v>
      </c>
    </row>
    <row r="8620" spans="1:2" ht="15.75" customHeight="1" thickBot="1" x14ac:dyDescent="0.3">
      <c r="A8620" s="7">
        <f ca="1"/>
        <v>45510</v>
      </c>
      <c r="B8620" s="6">
        <v>201.29</v>
      </c>
    </row>
    <row r="8621" spans="1:2" ht="15.75" customHeight="1" thickBot="1" x14ac:dyDescent="0.3">
      <c r="A8621" s="7">
        <f ca="1"/>
        <v>45511</v>
      </c>
      <c r="B8621" s="6">
        <v>203.88</v>
      </c>
    </row>
    <row r="8622" spans="1:2" ht="15.75" customHeight="1" thickBot="1" x14ac:dyDescent="0.3">
      <c r="A8622" s="7">
        <f ca="1"/>
        <v>45512</v>
      </c>
      <c r="B8622" s="6">
        <v>203.09</v>
      </c>
    </row>
    <row r="8623" spans="1:2" ht="15.75" customHeight="1" thickBot="1" x14ac:dyDescent="0.3">
      <c r="A8623" s="7">
        <f ca="1"/>
        <v>45513</v>
      </c>
      <c r="B8623" s="6">
        <v>205.76</v>
      </c>
    </row>
    <row r="8624" spans="1:2" ht="15.75" customHeight="1" thickBot="1" x14ac:dyDescent="0.3">
      <c r="A8624" s="7">
        <f ca="1"/>
        <v>45514</v>
      </c>
      <c r="B8624" s="5">
        <f t="shared" ref="B8624:B8625" si="1231">B8623</f>
        <v>205.76</v>
      </c>
    </row>
    <row r="8625" spans="1:2" ht="15.75" customHeight="1" thickBot="1" x14ac:dyDescent="0.3">
      <c r="A8625" s="7">
        <f ca="1"/>
        <v>45515</v>
      </c>
      <c r="B8625" s="5">
        <f t="shared" si="1231"/>
        <v>205.76</v>
      </c>
    </row>
    <row r="8626" spans="1:2" ht="15.75" customHeight="1" thickBot="1" x14ac:dyDescent="0.3">
      <c r="A8626" s="7">
        <f ca="1"/>
        <v>45516</v>
      </c>
      <c r="B8626" s="6">
        <v>207.08</v>
      </c>
    </row>
    <row r="8627" spans="1:2" ht="15.75" customHeight="1" thickBot="1" x14ac:dyDescent="0.3">
      <c r="A8627" s="7">
        <f ca="1"/>
        <v>45517</v>
      </c>
      <c r="B8627" s="6">
        <v>208.46</v>
      </c>
    </row>
    <row r="8628" spans="1:2" ht="15.75" customHeight="1" thickBot="1" x14ac:dyDescent="0.3">
      <c r="A8628" s="7">
        <f ca="1"/>
        <v>45518</v>
      </c>
      <c r="B8628" s="6">
        <v>211.97</v>
      </c>
    </row>
    <row r="8629" spans="1:2" ht="15.75" customHeight="1" thickBot="1" x14ac:dyDescent="0.3">
      <c r="A8629" s="7">
        <f ca="1"/>
        <v>45519</v>
      </c>
      <c r="B8629" s="6">
        <v>213.48</v>
      </c>
    </row>
    <row r="8630" spans="1:2" ht="15.75" customHeight="1" thickBot="1" x14ac:dyDescent="0.3">
      <c r="A8630" s="7">
        <f ca="1"/>
        <v>45520</v>
      </c>
      <c r="B8630" s="6">
        <v>215.63</v>
      </c>
    </row>
    <row r="8631" spans="1:2" ht="15.75" customHeight="1" thickBot="1" x14ac:dyDescent="0.3">
      <c r="A8631" s="7">
        <f ca="1"/>
        <v>45521</v>
      </c>
      <c r="B8631" s="5">
        <f t="shared" ref="B8631:B8632" si="1232">B8630</f>
        <v>215.63</v>
      </c>
    </row>
    <row r="8632" spans="1:2" ht="15.75" customHeight="1" thickBot="1" x14ac:dyDescent="0.3">
      <c r="A8632" s="7">
        <f ca="1"/>
        <v>45522</v>
      </c>
      <c r="B8632" s="5">
        <f t="shared" si="1232"/>
        <v>215.63</v>
      </c>
    </row>
    <row r="8633" spans="1:2" ht="15.75" customHeight="1" thickBot="1" x14ac:dyDescent="0.3">
      <c r="A8633" s="7">
        <f ca="1"/>
        <v>45523</v>
      </c>
      <c r="B8633" s="6">
        <v>216.16</v>
      </c>
    </row>
    <row r="8634" spans="1:2" ht="15.75" customHeight="1" thickBot="1" x14ac:dyDescent="0.3">
      <c r="A8634" s="7">
        <f ca="1"/>
        <v>45524</v>
      </c>
      <c r="B8634" s="6">
        <v>219.18</v>
      </c>
    </row>
    <row r="8635" spans="1:2" ht="15.75" customHeight="1" thickBot="1" x14ac:dyDescent="0.3">
      <c r="A8635" s="7">
        <f ca="1"/>
        <v>45525</v>
      </c>
      <c r="B8635" s="6">
        <v>218.82</v>
      </c>
    </row>
    <row r="8636" spans="1:2" ht="15.75" customHeight="1" thickBot="1" x14ac:dyDescent="0.3">
      <c r="A8636" s="7">
        <f ca="1"/>
        <v>45526</v>
      </c>
      <c r="B8636" s="6">
        <v>219.68</v>
      </c>
    </row>
    <row r="8637" spans="1:2" ht="15.75" customHeight="1" thickBot="1" x14ac:dyDescent="0.3">
      <c r="A8637" s="7">
        <f ca="1"/>
        <v>45527</v>
      </c>
      <c r="B8637" s="6">
        <v>218.03</v>
      </c>
    </row>
    <row r="8638" spans="1:2" ht="15.75" customHeight="1" thickBot="1" x14ac:dyDescent="0.3">
      <c r="A8638" s="7">
        <f ca="1"/>
        <v>45528</v>
      </c>
      <c r="B8638" s="5">
        <f t="shared" ref="B8638:B8639" si="1233">B8637</f>
        <v>218.03</v>
      </c>
    </row>
    <row r="8639" spans="1:2" ht="15.75" customHeight="1" thickBot="1" x14ac:dyDescent="0.3">
      <c r="A8639" s="7">
        <f ca="1"/>
        <v>45529</v>
      </c>
      <c r="B8639" s="5">
        <f t="shared" si="1233"/>
        <v>218.03</v>
      </c>
    </row>
    <row r="8640" spans="1:2" ht="15.75" customHeight="1" thickBot="1" x14ac:dyDescent="0.3">
      <c r="A8640" s="7">
        <f ca="1"/>
        <v>45530</v>
      </c>
      <c r="B8640" s="6">
        <v>217.41</v>
      </c>
    </row>
    <row r="8641" spans="1:2" ht="15.75" customHeight="1" thickBot="1" x14ac:dyDescent="0.3">
      <c r="A8641" s="7">
        <f ca="1"/>
        <v>45531</v>
      </c>
      <c r="B8641" s="6">
        <v>216.55</v>
      </c>
    </row>
    <row r="8642" spans="1:2" ht="15.75" customHeight="1" thickBot="1" x14ac:dyDescent="0.3">
      <c r="A8642" s="7">
        <f ca="1"/>
        <v>45532</v>
      </c>
      <c r="B8642" s="6">
        <v>218.63</v>
      </c>
    </row>
    <row r="8643" spans="1:2" ht="15.75" customHeight="1" thickBot="1" x14ac:dyDescent="0.3">
      <c r="A8643" s="7">
        <f ca="1"/>
        <v>45533</v>
      </c>
      <c r="B8643" s="6">
        <v>219.45</v>
      </c>
    </row>
    <row r="8644" spans="1:2" ht="15.75" customHeight="1" thickBot="1" x14ac:dyDescent="0.3">
      <c r="A8644" s="7">
        <f ca="1"/>
        <v>45534</v>
      </c>
      <c r="B8644" s="6">
        <v>218.85</v>
      </c>
    </row>
    <row r="8645" spans="1:2" ht="15.75" customHeight="1" thickBot="1" x14ac:dyDescent="0.3">
      <c r="A8645" s="7">
        <f ca="1"/>
        <v>45535</v>
      </c>
      <c r="B8645" s="5">
        <f t="shared" ref="B8645:B8647" si="1234">B8644</f>
        <v>218.85</v>
      </c>
    </row>
    <row r="8646" spans="1:2" ht="15.75" customHeight="1" thickBot="1" x14ac:dyDescent="0.3">
      <c r="A8646" s="7">
        <f ca="1"/>
        <v>45536</v>
      </c>
      <c r="B8646" s="5">
        <f t="shared" si="1234"/>
        <v>218.85</v>
      </c>
    </row>
    <row r="8647" spans="1:2" ht="15.75" customHeight="1" thickBot="1" x14ac:dyDescent="0.3">
      <c r="A8647" s="7">
        <f ca="1"/>
        <v>45537</v>
      </c>
      <c r="B8647" s="5">
        <f t="shared" si="1234"/>
        <v>218.85</v>
      </c>
    </row>
    <row r="8648" spans="1:2" ht="15.75" customHeight="1" thickBot="1" x14ac:dyDescent="0.3">
      <c r="A8648" s="7">
        <f ca="1"/>
        <v>45538</v>
      </c>
      <c r="B8648" s="6">
        <v>220.34</v>
      </c>
    </row>
    <row r="8649" spans="1:2" ht="15.75" customHeight="1" thickBot="1" x14ac:dyDescent="0.3">
      <c r="A8649" s="7">
        <f ca="1"/>
        <v>45539</v>
      </c>
      <c r="B8649" s="6">
        <v>213.74</v>
      </c>
    </row>
    <row r="8650" spans="1:2" ht="15.75" customHeight="1" thickBot="1" x14ac:dyDescent="0.3">
      <c r="A8650" s="7">
        <f ca="1"/>
        <v>45540</v>
      </c>
      <c r="B8650" s="6">
        <v>212.51</v>
      </c>
    </row>
    <row r="8651" spans="1:2" ht="15.75" customHeight="1" thickBot="1" x14ac:dyDescent="0.3">
      <c r="A8651" s="7">
        <f ca="1"/>
        <v>45541</v>
      </c>
      <c r="B8651" s="6">
        <v>214.31</v>
      </c>
    </row>
    <row r="8652" spans="1:2" ht="15.75" customHeight="1" thickBot="1" x14ac:dyDescent="0.3">
      <c r="A8652" s="7">
        <f ca="1"/>
        <v>45542</v>
      </c>
      <c r="B8652" s="5">
        <f t="shared" ref="B8652:B8653" si="1235">B8651</f>
        <v>214.31</v>
      </c>
    </row>
    <row r="8653" spans="1:2" ht="15.75" customHeight="1" thickBot="1" x14ac:dyDescent="0.3">
      <c r="A8653" s="7">
        <f ca="1"/>
        <v>45543</v>
      </c>
      <c r="B8653" s="5">
        <f t="shared" si="1235"/>
        <v>214.31</v>
      </c>
    </row>
    <row r="8654" spans="1:2" ht="15.75" customHeight="1" thickBot="1" x14ac:dyDescent="0.3">
      <c r="A8654" s="7">
        <f ca="1"/>
        <v>45544</v>
      </c>
      <c r="B8654" s="6">
        <v>212.08</v>
      </c>
    </row>
    <row r="8655" spans="1:2" ht="15.75" customHeight="1" thickBot="1" x14ac:dyDescent="0.3">
      <c r="A8655" s="7">
        <f ca="1"/>
        <v>45545</v>
      </c>
      <c r="B8655" s="6">
        <v>213.4</v>
      </c>
    </row>
    <row r="8656" spans="1:2" ht="15.75" customHeight="1" thickBot="1" x14ac:dyDescent="0.3">
      <c r="A8656" s="7">
        <f ca="1"/>
        <v>45546</v>
      </c>
      <c r="B8656" s="6">
        <v>214.82</v>
      </c>
    </row>
    <row r="8657" spans="1:2" ht="15.75" customHeight="1" thickBot="1" x14ac:dyDescent="0.3">
      <c r="A8657" s="7">
        <f ca="1"/>
        <v>45547</v>
      </c>
      <c r="B8657" s="6">
        <v>218.46</v>
      </c>
    </row>
    <row r="8658" spans="1:2" ht="15.75" customHeight="1" thickBot="1" x14ac:dyDescent="0.3">
      <c r="A8658" s="7">
        <f ca="1"/>
        <v>45548</v>
      </c>
      <c r="B8658" s="6">
        <v>221.2</v>
      </c>
    </row>
    <row r="8659" spans="1:2" ht="15.75" customHeight="1" thickBot="1" x14ac:dyDescent="0.3">
      <c r="A8659" s="7">
        <f ca="1"/>
        <v>45549</v>
      </c>
      <c r="B8659" s="5">
        <f t="shared" ref="B8659:B8660" si="1236">B8658</f>
        <v>221.2</v>
      </c>
    </row>
    <row r="8660" spans="1:2" ht="15.75" customHeight="1" thickBot="1" x14ac:dyDescent="0.3">
      <c r="A8660" s="7">
        <f ca="1"/>
        <v>45550</v>
      </c>
      <c r="B8660" s="5">
        <f t="shared" si="1236"/>
        <v>221.2</v>
      </c>
    </row>
    <row r="8661" spans="1:2" ht="15.75" customHeight="1" thickBot="1" x14ac:dyDescent="0.3">
      <c r="A8661" s="7">
        <f ca="1"/>
        <v>45551</v>
      </c>
      <c r="B8661" s="6">
        <v>223.52</v>
      </c>
    </row>
    <row r="8662" spans="1:2" ht="15.75" customHeight="1" thickBot="1" x14ac:dyDescent="0.3">
      <c r="A8662" s="7">
        <f ca="1"/>
        <v>45552</v>
      </c>
      <c r="B8662" s="6">
        <v>223.26</v>
      </c>
    </row>
    <row r="8663" spans="1:2" ht="15.75" customHeight="1" thickBot="1" x14ac:dyDescent="0.3">
      <c r="A8663" s="7">
        <f ca="1"/>
        <v>45553</v>
      </c>
      <c r="B8663" s="6">
        <v>222.46</v>
      </c>
    </row>
    <row r="8664" spans="1:2" ht="15.75" customHeight="1" thickBot="1" x14ac:dyDescent="0.3">
      <c r="A8664" s="7">
        <f ca="1"/>
        <v>45554</v>
      </c>
      <c r="B8664" s="6">
        <v>229.14</v>
      </c>
    </row>
    <row r="8665" spans="1:2" ht="15.75" customHeight="1" thickBot="1" x14ac:dyDescent="0.3">
      <c r="A8665" s="7">
        <f ca="1"/>
        <v>45555</v>
      </c>
      <c r="B8665" s="6">
        <v>229.18</v>
      </c>
    </row>
    <row r="8666" spans="1:2" ht="15.75" customHeight="1" thickBot="1" x14ac:dyDescent="0.3">
      <c r="A8666" s="7">
        <f ca="1"/>
        <v>45556</v>
      </c>
      <c r="B8666" s="5">
        <f t="shared" ref="B8666:B8667" si="1237">B8665</f>
        <v>229.18</v>
      </c>
    </row>
    <row r="8667" spans="1:2" ht="15.75" customHeight="1" thickBot="1" x14ac:dyDescent="0.3">
      <c r="A8667" s="7">
        <f ca="1"/>
        <v>45557</v>
      </c>
      <c r="B8667" s="5">
        <f t="shared" si="1237"/>
        <v>229.18</v>
      </c>
    </row>
    <row r="8668" spans="1:2" ht="15.75" customHeight="1" thickBot="1" x14ac:dyDescent="0.3">
      <c r="A8668" s="7">
        <f ca="1"/>
        <v>45558</v>
      </c>
      <c r="B8668" s="6">
        <v>230.47</v>
      </c>
    </row>
    <row r="8669" spans="1:2" ht="15.75" customHeight="1" thickBot="1" x14ac:dyDescent="0.3">
      <c r="A8669" s="7">
        <f ca="1"/>
        <v>45559</v>
      </c>
      <c r="B8669" s="6">
        <v>229.92</v>
      </c>
    </row>
    <row r="8670" spans="1:2" ht="15.75" customHeight="1" thickBot="1" x14ac:dyDescent="0.3">
      <c r="A8670" s="7">
        <f ca="1"/>
        <v>45560</v>
      </c>
      <c r="B8670" s="6">
        <v>224.96</v>
      </c>
    </row>
    <row r="8671" spans="1:2" ht="15.75" customHeight="1" thickBot="1" x14ac:dyDescent="0.3">
      <c r="A8671" s="7">
        <f ca="1"/>
        <v>45561</v>
      </c>
      <c r="B8671" s="6">
        <v>229.64</v>
      </c>
    </row>
    <row r="8672" spans="1:2" ht="15.75" customHeight="1" thickBot="1" x14ac:dyDescent="0.3">
      <c r="A8672" s="7">
        <f ca="1"/>
        <v>45562</v>
      </c>
      <c r="B8672" s="6">
        <v>228.64</v>
      </c>
    </row>
    <row r="8673" spans="1:2" ht="15.75" customHeight="1" thickBot="1" x14ac:dyDescent="0.3">
      <c r="A8673" s="7">
        <f ca="1"/>
        <v>45563</v>
      </c>
      <c r="B8673" s="5">
        <f t="shared" ref="B8673:B8674" si="1238">B8672</f>
        <v>228.64</v>
      </c>
    </row>
    <row r="8674" spans="1:2" ht="15.75" customHeight="1" thickBot="1" x14ac:dyDescent="0.3">
      <c r="A8674" s="7">
        <f ca="1"/>
        <v>45564</v>
      </c>
      <c r="B8674" s="5">
        <f t="shared" si="1238"/>
        <v>228.64</v>
      </c>
    </row>
    <row r="8675" spans="1:2" ht="15.75" customHeight="1" thickBot="1" x14ac:dyDescent="0.3">
      <c r="A8675" s="7">
        <f ca="1"/>
        <v>45565</v>
      </c>
      <c r="B8675" s="6">
        <v>229.6</v>
      </c>
    </row>
    <row r="8676" spans="1:2" ht="15.75" customHeight="1" thickBot="1" x14ac:dyDescent="0.3">
      <c r="A8676" s="7">
        <f ca="1"/>
        <v>45566</v>
      </c>
      <c r="B8676" s="6">
        <v>230.63</v>
      </c>
    </row>
    <row r="8677" spans="1:2" ht="15.75" customHeight="1" thickBot="1" x14ac:dyDescent="0.3">
      <c r="A8677" s="7">
        <f ca="1"/>
        <v>45567</v>
      </c>
      <c r="B8677" s="6">
        <v>223.59</v>
      </c>
    </row>
    <row r="8678" spans="1:2" ht="15.75" customHeight="1" thickBot="1" x14ac:dyDescent="0.3">
      <c r="A8678" s="7">
        <f ca="1"/>
        <v>45568</v>
      </c>
      <c r="B8678" s="6">
        <v>221.53</v>
      </c>
    </row>
    <row r="8679" spans="1:2" ht="15.75" customHeight="1" thickBot="1" x14ac:dyDescent="0.3">
      <c r="A8679" s="7">
        <f ca="1"/>
        <v>45569</v>
      </c>
      <c r="B8679" s="6">
        <v>220.31</v>
      </c>
    </row>
    <row r="8680" spans="1:2" ht="15.75" customHeight="1" thickBot="1" x14ac:dyDescent="0.3">
      <c r="A8680" s="7">
        <f ca="1"/>
        <v>45570</v>
      </c>
      <c r="B8680" s="5">
        <f t="shared" ref="B8680:B8681" si="1239">B8679</f>
        <v>220.31</v>
      </c>
    </row>
    <row r="8681" spans="1:2" ht="15.75" customHeight="1" thickBot="1" x14ac:dyDescent="0.3">
      <c r="A8681" s="7">
        <f ca="1"/>
        <v>45571</v>
      </c>
      <c r="B8681" s="5">
        <f t="shared" si="1239"/>
        <v>220.31</v>
      </c>
    </row>
    <row r="8682" spans="1:2" ht="15.75" customHeight="1" thickBot="1" x14ac:dyDescent="0.3">
      <c r="A8682" s="7">
        <f ca="1"/>
        <v>45572</v>
      </c>
      <c r="B8682" s="6">
        <v>220.41</v>
      </c>
    </row>
    <row r="8683" spans="1:2" ht="15.75" customHeight="1" thickBot="1" x14ac:dyDescent="0.3">
      <c r="A8683" s="7">
        <f ca="1"/>
        <v>45573</v>
      </c>
      <c r="B8683" s="6">
        <v>223.76</v>
      </c>
    </row>
    <row r="8684" spans="1:2" ht="15.75" customHeight="1" thickBot="1" x14ac:dyDescent="0.3">
      <c r="A8684" s="7">
        <f ca="1"/>
        <v>45574</v>
      </c>
      <c r="B8684" s="6">
        <v>225.58</v>
      </c>
    </row>
    <row r="8685" spans="1:2" ht="15.75" customHeight="1" thickBot="1" x14ac:dyDescent="0.3">
      <c r="A8685" s="7">
        <f ca="1"/>
        <v>45575</v>
      </c>
      <c r="B8685" s="6">
        <v>224.89</v>
      </c>
    </row>
    <row r="8686" spans="1:2" ht="15.75" customHeight="1" thickBot="1" x14ac:dyDescent="0.3">
      <c r="A8686" s="7">
        <f ca="1"/>
        <v>45576</v>
      </c>
      <c r="B8686" s="6">
        <v>226.18</v>
      </c>
    </row>
    <row r="8687" spans="1:2" ht="15.75" customHeight="1" thickBot="1" x14ac:dyDescent="0.3">
      <c r="A8687" s="7">
        <f ca="1"/>
        <v>45577</v>
      </c>
      <c r="B8687" s="5">
        <f t="shared" ref="B8687:B8688" si="1240">B8686</f>
        <v>226.18</v>
      </c>
    </row>
    <row r="8688" spans="1:2" ht="15.75" customHeight="1" thickBot="1" x14ac:dyDescent="0.3">
      <c r="A8688" s="7">
        <f ca="1"/>
        <v>45578</v>
      </c>
      <c r="B8688" s="5">
        <f t="shared" si="1240"/>
        <v>226.18</v>
      </c>
    </row>
    <row r="8689" spans="1:2" ht="15.75" customHeight="1" thickBot="1" x14ac:dyDescent="0.3">
      <c r="A8689" s="7">
        <f ca="1"/>
        <v>45579</v>
      </c>
      <c r="B8689" s="6">
        <v>230.27</v>
      </c>
    </row>
    <row r="8690" spans="1:2" ht="15.75" customHeight="1" thickBot="1" x14ac:dyDescent="0.3">
      <c r="A8690" s="7">
        <f ca="1"/>
        <v>45580</v>
      </c>
      <c r="B8690" s="6">
        <v>231.66</v>
      </c>
    </row>
    <row r="8691" spans="1:2" ht="15.75" customHeight="1" thickBot="1" x14ac:dyDescent="0.3">
      <c r="A8691" s="7">
        <f ca="1"/>
        <v>45581</v>
      </c>
      <c r="B8691" s="6">
        <v>230.08</v>
      </c>
    </row>
    <row r="8692" spans="1:2" ht="15.75" customHeight="1" thickBot="1" x14ac:dyDescent="0.3">
      <c r="A8692" s="7">
        <f ca="1"/>
        <v>45582</v>
      </c>
      <c r="B8692" s="6">
        <v>229.71</v>
      </c>
    </row>
    <row r="8693" spans="1:2" ht="15.75" customHeight="1" thickBot="1" x14ac:dyDescent="0.3">
      <c r="A8693" s="7">
        <f ca="1"/>
        <v>45583</v>
      </c>
      <c r="B8693" s="6">
        <v>229.7</v>
      </c>
    </row>
    <row r="8694" spans="1:2" ht="15.75" customHeight="1" thickBot="1" x14ac:dyDescent="0.3">
      <c r="A8694" s="7">
        <f ca="1"/>
        <v>45584</v>
      </c>
      <c r="B8694" s="5">
        <f t="shared" ref="B8694:B8695" si="1241">B8693</f>
        <v>229.7</v>
      </c>
    </row>
    <row r="8695" spans="1:2" ht="15.75" customHeight="1" thickBot="1" x14ac:dyDescent="0.3">
      <c r="A8695" s="7">
        <f ca="1"/>
        <v>45585</v>
      </c>
      <c r="B8695" s="5">
        <f t="shared" si="1241"/>
        <v>229.7</v>
      </c>
    </row>
    <row r="8696" spans="1:2" ht="15.75" customHeight="1" thickBot="1" x14ac:dyDescent="0.3">
      <c r="A8696" s="7">
        <f ca="1"/>
        <v>45586</v>
      </c>
      <c r="B8696" s="6">
        <v>229.87</v>
      </c>
    </row>
    <row r="8697" spans="1:2" ht="15.75" customHeight="1" thickBot="1" x14ac:dyDescent="0.3">
      <c r="A8697" s="7">
        <f ca="1"/>
        <v>45587</v>
      </c>
      <c r="B8697" s="6">
        <v>236.41</v>
      </c>
    </row>
    <row r="8698" spans="1:2" ht="15.75" customHeight="1" thickBot="1" x14ac:dyDescent="0.3">
      <c r="A8698" s="7">
        <f ca="1"/>
        <v>45588</v>
      </c>
      <c r="B8698" s="6">
        <v>235.12</v>
      </c>
    </row>
    <row r="8699" spans="1:2" ht="15.75" customHeight="1" thickBot="1" x14ac:dyDescent="0.3">
      <c r="A8699" s="7">
        <f ca="1"/>
        <v>45589</v>
      </c>
      <c r="B8699" s="6">
        <v>237.2</v>
      </c>
    </row>
    <row r="8700" spans="1:2" ht="15.75" customHeight="1" thickBot="1" x14ac:dyDescent="0.3">
      <c r="A8700" s="7">
        <f ca="1"/>
        <v>45590</v>
      </c>
      <c r="B8700" s="6">
        <v>238.89</v>
      </c>
    </row>
    <row r="8701" spans="1:2" ht="15.75" customHeight="1" thickBot="1" x14ac:dyDescent="0.3">
      <c r="A8701" s="7">
        <f ca="1"/>
        <v>45591</v>
      </c>
      <c r="B8701" s="5">
        <f t="shared" ref="B8701:B8702" si="1242">B8700</f>
        <v>238.89</v>
      </c>
    </row>
    <row r="8702" spans="1:2" ht="15.75" customHeight="1" thickBot="1" x14ac:dyDescent="0.3">
      <c r="A8702" s="7">
        <f ca="1"/>
        <v>45592</v>
      </c>
      <c r="B8702" s="5">
        <f t="shared" si="1242"/>
        <v>238.89</v>
      </c>
    </row>
    <row r="8703" spans="1:2" ht="15.75" customHeight="1" thickBot="1" x14ac:dyDescent="0.3">
      <c r="A8703" s="7">
        <f ca="1"/>
        <v>45593</v>
      </c>
      <c r="B8703" s="6">
        <v>240.82</v>
      </c>
    </row>
    <row r="8704" spans="1:2" ht="15.75" customHeight="1" thickBot="1" x14ac:dyDescent="0.3">
      <c r="A8704" s="7">
        <f ca="1"/>
        <v>45594</v>
      </c>
      <c r="B8704" s="6">
        <v>240.5</v>
      </c>
    </row>
    <row r="8705" spans="1:2" ht="15.75" customHeight="1" thickBot="1" x14ac:dyDescent="0.3">
      <c r="A8705" s="7">
        <f ca="1"/>
        <v>45595</v>
      </c>
      <c r="B8705" s="6">
        <v>238.7</v>
      </c>
    </row>
    <row r="8706" spans="1:2" ht="15.75" customHeight="1" thickBot="1" x14ac:dyDescent="0.3">
      <c r="A8706" s="7">
        <f ca="1"/>
        <v>45596</v>
      </c>
      <c r="B8706" s="6">
        <v>235.95</v>
      </c>
    </row>
    <row r="8707" spans="1:2" ht="15.75" customHeight="1" thickBot="1" x14ac:dyDescent="0.3">
      <c r="A8707" s="7">
        <f ca="1"/>
        <v>45597</v>
      </c>
      <c r="B8707" s="6">
        <v>234.8</v>
      </c>
    </row>
    <row r="8708" spans="1:2" ht="15.75" customHeight="1" thickBot="1" x14ac:dyDescent="0.3">
      <c r="A8708" s="7">
        <f ca="1"/>
        <v>45598</v>
      </c>
      <c r="B8708" s="5">
        <f t="shared" ref="B8708:B8709" si="1243">B8707</f>
        <v>234.8</v>
      </c>
    </row>
    <row r="8709" spans="1:2" ht="15.75" customHeight="1" thickBot="1" x14ac:dyDescent="0.3">
      <c r="A8709" s="7">
        <f ca="1"/>
        <v>45599</v>
      </c>
      <c r="B8709" s="5">
        <f t="shared" si="1243"/>
        <v>234.8</v>
      </c>
    </row>
    <row r="8710" spans="1:2" ht="15.75" customHeight="1" thickBot="1" x14ac:dyDescent="0.3">
      <c r="A8710" s="7">
        <f ca="1"/>
        <v>45600</v>
      </c>
      <c r="B8710" s="6">
        <v>233.04</v>
      </c>
    </row>
    <row r="8711" spans="1:2" ht="15.75" customHeight="1" thickBot="1" x14ac:dyDescent="0.3">
      <c r="A8711" s="7">
        <f ca="1"/>
        <v>45601</v>
      </c>
      <c r="B8711" s="6">
        <v>234.08</v>
      </c>
    </row>
    <row r="8712" spans="1:2" ht="15.75" customHeight="1" thickBot="1" x14ac:dyDescent="0.3">
      <c r="A8712" s="7">
        <f ca="1"/>
        <v>45602</v>
      </c>
      <c r="B8712" s="6">
        <v>229.88</v>
      </c>
    </row>
    <row r="8713" spans="1:2" ht="15.75" customHeight="1" thickBot="1" x14ac:dyDescent="0.3">
      <c r="A8713" s="7">
        <f ca="1"/>
        <v>45603</v>
      </c>
      <c r="B8713" s="6">
        <v>236.74</v>
      </c>
    </row>
    <row r="8714" spans="1:2" ht="15.75" customHeight="1" thickBot="1" x14ac:dyDescent="0.3">
      <c r="A8714" s="7">
        <f ca="1"/>
        <v>45604</v>
      </c>
      <c r="B8714" s="6">
        <v>239.14</v>
      </c>
    </row>
    <row r="8715" spans="1:2" ht="15.75" customHeight="1" thickBot="1" x14ac:dyDescent="0.3">
      <c r="A8715" s="7">
        <f ca="1"/>
        <v>45605</v>
      </c>
      <c r="B8715" s="5">
        <f t="shared" ref="B8715:B8716" si="1244">B8714</f>
        <v>239.14</v>
      </c>
    </row>
    <row r="8716" spans="1:2" ht="15.75" customHeight="1" thickBot="1" x14ac:dyDescent="0.3">
      <c r="A8716" s="7">
        <f ca="1"/>
        <v>45606</v>
      </c>
      <c r="B8716" s="5">
        <f t="shared" si="1244"/>
        <v>239.14</v>
      </c>
    </row>
    <row r="8717" spans="1:2" ht="15.75" customHeight="1" thickBot="1" x14ac:dyDescent="0.3">
      <c r="A8717" s="7">
        <f ca="1"/>
        <v>45607</v>
      </c>
      <c r="B8717" s="6">
        <v>237.42</v>
      </c>
    </row>
    <row r="8718" spans="1:2" ht="15.75" customHeight="1" thickBot="1" x14ac:dyDescent="0.3">
      <c r="A8718" s="7">
        <f ca="1"/>
        <v>45608</v>
      </c>
      <c r="B8718" s="6">
        <v>235.89</v>
      </c>
    </row>
    <row r="8719" spans="1:2" ht="15.75" customHeight="1" thickBot="1" x14ac:dyDescent="0.3">
      <c r="A8719" s="7">
        <f ca="1"/>
        <v>45609</v>
      </c>
      <c r="B8719" s="6">
        <v>231.6</v>
      </c>
    </row>
    <row r="8720" spans="1:2" ht="15.75" customHeight="1" thickBot="1" x14ac:dyDescent="0.3">
      <c r="A8720" s="7">
        <f ca="1"/>
        <v>45610</v>
      </c>
      <c r="B8720" s="6">
        <v>232.13</v>
      </c>
    </row>
    <row r="8721" spans="1:2" ht="15.75" customHeight="1" thickBot="1" x14ac:dyDescent="0.3">
      <c r="A8721" s="7">
        <f ca="1"/>
        <v>45611</v>
      </c>
      <c r="B8721" s="6">
        <v>228.9</v>
      </c>
    </row>
    <row r="8722" spans="1:2" ht="15.75" customHeight="1" thickBot="1" x14ac:dyDescent="0.3">
      <c r="A8722" s="7">
        <f ca="1"/>
        <v>45612</v>
      </c>
      <c r="B8722" s="5">
        <f t="shared" ref="B8722:B8723" si="1245">B8721</f>
        <v>228.9</v>
      </c>
    </row>
    <row r="8723" spans="1:2" ht="15.75" customHeight="1" thickBot="1" x14ac:dyDescent="0.3">
      <c r="A8723" s="7">
        <f ca="1"/>
        <v>45613</v>
      </c>
      <c r="B8723" s="5">
        <f t="shared" si="1245"/>
        <v>228.9</v>
      </c>
    </row>
    <row r="8724" spans="1:2" ht="15.75" customHeight="1" thickBot="1" x14ac:dyDescent="0.3">
      <c r="A8724" s="7">
        <f ca="1"/>
        <v>45614</v>
      </c>
      <c r="B8724" s="6">
        <v>229.7</v>
      </c>
    </row>
    <row r="8725" spans="1:2" ht="15.75" customHeight="1" thickBot="1" x14ac:dyDescent="0.3">
      <c r="A8725" s="7">
        <f ca="1"/>
        <v>45615</v>
      </c>
      <c r="B8725" s="6">
        <v>229.99</v>
      </c>
    </row>
    <row r="8726" spans="1:2" ht="15.75" customHeight="1" thickBot="1" x14ac:dyDescent="0.3">
      <c r="A8726" s="7">
        <f ca="1"/>
        <v>45616</v>
      </c>
      <c r="B8726" s="6">
        <v>234.11</v>
      </c>
    </row>
    <row r="8727" spans="1:2" ht="15.75" customHeight="1" thickBot="1" x14ac:dyDescent="0.3">
      <c r="A8727" s="7">
        <f ca="1"/>
        <v>45617</v>
      </c>
      <c r="B8727" s="6">
        <v>234.54</v>
      </c>
    </row>
    <row r="8728" spans="1:2" ht="15.75" customHeight="1" thickBot="1" x14ac:dyDescent="0.3">
      <c r="A8728" s="7">
        <f ca="1"/>
        <v>45618</v>
      </c>
      <c r="B8728" s="6">
        <v>235.74</v>
      </c>
    </row>
    <row r="8729" spans="1:2" ht="15.75" customHeight="1" thickBot="1" x14ac:dyDescent="0.3">
      <c r="A8729" s="7">
        <f ca="1"/>
        <v>45619</v>
      </c>
      <c r="B8729" s="5">
        <f t="shared" ref="B8729:B8730" si="1246">B8728</f>
        <v>235.74</v>
      </c>
    </row>
    <row r="8730" spans="1:2" ht="15.75" customHeight="1" thickBot="1" x14ac:dyDescent="0.3">
      <c r="A8730" s="7">
        <f ca="1"/>
        <v>45620</v>
      </c>
      <c r="B8730" s="5">
        <f t="shared" si="1246"/>
        <v>235.74</v>
      </c>
    </row>
    <row r="8731" spans="1:2" ht="15.75" customHeight="1" thickBot="1" x14ac:dyDescent="0.3">
      <c r="A8731" s="7">
        <f ca="1"/>
        <v>45621</v>
      </c>
      <c r="B8731" s="6">
        <v>237.17</v>
      </c>
    </row>
    <row r="8732" spans="1:2" ht="15.75" customHeight="1" thickBot="1" x14ac:dyDescent="0.3">
      <c r="A8732" s="7">
        <f ca="1"/>
        <v>45622</v>
      </c>
      <c r="B8732" s="6">
        <v>234.41</v>
      </c>
    </row>
    <row r="8733" spans="1:2" ht="15.75" customHeight="1" thickBot="1" x14ac:dyDescent="0.3">
      <c r="A8733" s="7">
        <f ca="1"/>
        <v>45623</v>
      </c>
      <c r="B8733" s="6">
        <v>232.46</v>
      </c>
    </row>
    <row r="8734" spans="1:2" ht="15.75" customHeight="1" thickBot="1" x14ac:dyDescent="0.3">
      <c r="A8734" s="7">
        <f ca="1"/>
        <v>45624</v>
      </c>
      <c r="B8734" s="5">
        <f>B8733</f>
        <v>232.46</v>
      </c>
    </row>
    <row r="8735" spans="1:2" ht="15.75" customHeight="1" thickBot="1" x14ac:dyDescent="0.3">
      <c r="A8735" s="7">
        <f ca="1"/>
        <v>45625</v>
      </c>
      <c r="B8735" s="6">
        <v>234.36</v>
      </c>
    </row>
    <row r="8736" spans="1:2" ht="15.75" customHeight="1" thickBot="1" x14ac:dyDescent="0.3">
      <c r="A8736" s="7">
        <f ca="1"/>
        <v>45626</v>
      </c>
      <c r="B8736" s="5">
        <f t="shared" ref="B8736:B8737" si="1247">B8735</f>
        <v>234.36</v>
      </c>
    </row>
    <row r="8737" spans="1:2" ht="15.75" customHeight="1" thickBot="1" x14ac:dyDescent="0.3">
      <c r="A8737" s="7">
        <f ca="1"/>
        <v>45627</v>
      </c>
      <c r="B8737" s="5">
        <f t="shared" si="1247"/>
        <v>234.36</v>
      </c>
    </row>
    <row r="8738" spans="1:2" ht="15.75" customHeight="1" thickBot="1" x14ac:dyDescent="0.3">
      <c r="A8738" s="7">
        <f ca="1"/>
        <v>45628</v>
      </c>
      <c r="B8738" s="6">
        <v>239.72</v>
      </c>
    </row>
    <row r="8739" spans="1:2" ht="15.75" customHeight="1" thickBot="1" x14ac:dyDescent="0.3">
      <c r="A8739" s="7">
        <f ca="1"/>
        <v>45629</v>
      </c>
      <c r="B8739" s="6">
        <v>242.31</v>
      </c>
    </row>
    <row r="8740" spans="1:2" ht="15.75" customHeight="1" thickBot="1" x14ac:dyDescent="0.3">
      <c r="A8740" s="7">
        <f ca="1"/>
        <v>45630</v>
      </c>
      <c r="B8740" s="6">
        <v>249.59</v>
      </c>
    </row>
    <row r="8741" spans="1:2" ht="15.75" customHeight="1" thickBot="1" x14ac:dyDescent="0.3">
      <c r="A8741" s="7">
        <f ca="1"/>
        <v>45631</v>
      </c>
      <c r="B8741" s="6">
        <v>255.29</v>
      </c>
    </row>
    <row r="8742" spans="1:2" ht="15.75" customHeight="1" thickBot="1" x14ac:dyDescent="0.3">
      <c r="A8742" s="7">
        <f ca="1"/>
        <v>45632</v>
      </c>
      <c r="B8742" s="6">
        <v>254.61</v>
      </c>
    </row>
    <row r="8743" spans="1:2" ht="15.75" customHeight="1" thickBot="1" x14ac:dyDescent="0.3">
      <c r="A8743" s="7">
        <f ca="1"/>
        <v>45633</v>
      </c>
      <c r="B8743" s="5">
        <f t="shared" ref="B8743:B8744" si="1248">B8742</f>
        <v>254.61</v>
      </c>
    </row>
    <row r="8744" spans="1:2" ht="15.75" customHeight="1" thickBot="1" x14ac:dyDescent="0.3">
      <c r="A8744" s="7">
        <f ca="1"/>
        <v>45634</v>
      </c>
      <c r="B8744" s="5">
        <f t="shared" si="1248"/>
        <v>254.61</v>
      </c>
    </row>
    <row r="8745" spans="1:2" ht="15.75" customHeight="1" thickBot="1" x14ac:dyDescent="0.3">
      <c r="A8745" s="7">
        <f ca="1"/>
        <v>45635</v>
      </c>
      <c r="B8745" s="6">
        <v>254.2</v>
      </c>
    </row>
    <row r="8746" spans="1:2" ht="15.75" customHeight="1" thickBot="1" x14ac:dyDescent="0.3">
      <c r="A8746" s="7">
        <f ca="1"/>
        <v>45636</v>
      </c>
      <c r="B8746" s="6">
        <v>253.58</v>
      </c>
    </row>
    <row r="8747" spans="1:2" ht="15.75" customHeight="1" thickBot="1" x14ac:dyDescent="0.3">
      <c r="A8747" s="7">
        <f ca="1"/>
        <v>45637</v>
      </c>
      <c r="B8747" s="6">
        <v>246.41</v>
      </c>
    </row>
    <row r="8748" spans="1:2" ht="15.75" customHeight="1" thickBot="1" x14ac:dyDescent="0.3">
      <c r="A8748" s="7">
        <f ca="1"/>
        <v>45638</v>
      </c>
      <c r="B8748" s="6">
        <v>251.03</v>
      </c>
    </row>
    <row r="8749" spans="1:2" ht="15.75" customHeight="1" thickBot="1" x14ac:dyDescent="0.3">
      <c r="A8749" s="7">
        <f ca="1"/>
        <v>45639</v>
      </c>
      <c r="B8749" s="6">
        <v>253.17</v>
      </c>
    </row>
    <row r="8750" spans="1:2" ht="15.75" customHeight="1" thickBot="1" x14ac:dyDescent="0.3">
      <c r="A8750" s="7">
        <f ca="1"/>
        <v>45640</v>
      </c>
      <c r="B8750" s="5">
        <f t="shared" ref="B8750:B8751" si="1249">B8749</f>
        <v>253.17</v>
      </c>
    </row>
    <row r="8751" spans="1:2" ht="15.75" customHeight="1" thickBot="1" x14ac:dyDescent="0.3">
      <c r="A8751" s="7">
        <f ca="1"/>
        <v>45641</v>
      </c>
      <c r="B8751" s="5">
        <f t="shared" si="1249"/>
        <v>253.17</v>
      </c>
    </row>
    <row r="8752" spans="1:2" ht="15.75" customHeight="1" thickBot="1" x14ac:dyDescent="0.3">
      <c r="A8752" s="7">
        <f ca="1"/>
        <v>45642</v>
      </c>
      <c r="B8752" s="6">
        <v>252.61</v>
      </c>
    </row>
    <row r="8753" spans="1:2" ht="15.75" customHeight="1" thickBot="1" x14ac:dyDescent="0.3">
      <c r="A8753" s="7">
        <f ca="1"/>
        <v>45643</v>
      </c>
      <c r="B8753" s="6">
        <v>252.04</v>
      </c>
    </row>
    <row r="8754" spans="1:2" ht="15.75" customHeight="1" thickBot="1" x14ac:dyDescent="0.3">
      <c r="A8754" s="7">
        <f ca="1"/>
        <v>45644</v>
      </c>
      <c r="B8754" s="6">
        <v>252.62</v>
      </c>
    </row>
    <row r="8755" spans="1:2" ht="15.75" customHeight="1" thickBot="1" x14ac:dyDescent="0.3">
      <c r="A8755" s="7">
        <f ca="1"/>
        <v>45645</v>
      </c>
      <c r="B8755" s="6">
        <v>247.43</v>
      </c>
    </row>
    <row r="8756" spans="1:2" ht="15.75" customHeight="1" thickBot="1" x14ac:dyDescent="0.3">
      <c r="A8756" s="7">
        <f ca="1"/>
        <v>45646</v>
      </c>
      <c r="B8756" s="6">
        <v>243.79</v>
      </c>
    </row>
    <row r="8757" spans="1:2" ht="15.75" customHeight="1" thickBot="1" x14ac:dyDescent="0.3">
      <c r="A8757" s="7">
        <f ca="1"/>
        <v>45647</v>
      </c>
      <c r="B8757" s="5">
        <f t="shared" ref="B8757:B8758" si="1250">B8756</f>
        <v>243.79</v>
      </c>
    </row>
    <row r="8758" spans="1:2" ht="15.75" customHeight="1" thickBot="1" x14ac:dyDescent="0.3">
      <c r="A8758" s="7">
        <f ca="1"/>
        <v>45648</v>
      </c>
      <c r="B8758" s="5">
        <f t="shared" si="1250"/>
        <v>243.79</v>
      </c>
    </row>
    <row r="8759" spans="1:2" ht="15.75" customHeight="1" thickBot="1" x14ac:dyDescent="0.3">
      <c r="A8759" s="7">
        <f ca="1"/>
        <v>45649</v>
      </c>
      <c r="B8759" s="6">
        <v>246.57</v>
      </c>
    </row>
    <row r="8760" spans="1:2" ht="15.75" customHeight="1" thickBot="1" x14ac:dyDescent="0.3">
      <c r="A8760" s="7">
        <f ca="1"/>
        <v>45650</v>
      </c>
      <c r="B8760" s="6">
        <v>248.47</v>
      </c>
    </row>
    <row r="8761" spans="1:2" ht="15.75" customHeight="1" thickBot="1" x14ac:dyDescent="0.3">
      <c r="A8761" s="7">
        <f ca="1"/>
        <v>45651</v>
      </c>
      <c r="B8761" s="5">
        <f>B8760</f>
        <v>248.47</v>
      </c>
    </row>
    <row r="8762" spans="1:2" ht="15.75" customHeight="1" thickBot="1" x14ac:dyDescent="0.3">
      <c r="A8762" s="7">
        <f ca="1"/>
        <v>45652</v>
      </c>
      <c r="B8762" s="6">
        <v>253.01</v>
      </c>
    </row>
    <row r="8763" spans="1:2" ht="15.75" customHeight="1" thickBot="1" x14ac:dyDescent="0.3">
      <c r="A8763" s="7">
        <f ca="1"/>
        <v>45653</v>
      </c>
      <c r="B8763" s="6">
        <v>249.96</v>
      </c>
    </row>
    <row r="8764" spans="1:2" ht="15.75" customHeight="1" thickBot="1" x14ac:dyDescent="0.3">
      <c r="A8764" s="7">
        <f ca="1"/>
        <v>45654</v>
      </c>
      <c r="B8764" s="5">
        <f t="shared" ref="B8764:B8765" si="1251">B8763</f>
        <v>249.96</v>
      </c>
    </row>
    <row r="8765" spans="1:2" ht="15.75" customHeight="1" thickBot="1" x14ac:dyDescent="0.3">
      <c r="A8765" s="7">
        <f ca="1"/>
        <v>45655</v>
      </c>
      <c r="B8765" s="5">
        <f t="shared" si="1251"/>
        <v>249.96</v>
      </c>
    </row>
    <row r="8766" spans="1:2" ht="15.75" customHeight="1" thickBot="1" x14ac:dyDescent="0.3">
      <c r="A8766" s="7">
        <f ca="1"/>
        <v>45656</v>
      </c>
      <c r="B8766" s="6">
        <v>246.88</v>
      </c>
    </row>
    <row r="8767" spans="1:2" ht="15.75" customHeight="1" thickBot="1" x14ac:dyDescent="0.3">
      <c r="A8767" s="7">
        <f ca="1"/>
        <v>45657</v>
      </c>
      <c r="B8767" s="6">
        <v>248.83</v>
      </c>
    </row>
    <row r="8768" spans="1:2" ht="15.75" customHeight="1" thickBot="1" x14ac:dyDescent="0.3">
      <c r="A8768" s="7">
        <f ca="1"/>
        <v>45658</v>
      </c>
      <c r="B8768" s="5">
        <f>B8767</f>
        <v>248.83</v>
      </c>
    </row>
    <row r="8769" spans="1:2" ht="15.75" customHeight="1" thickBot="1" x14ac:dyDescent="0.3">
      <c r="A8769" s="7">
        <f ca="1"/>
        <v>45659</v>
      </c>
      <c r="B8769" s="6">
        <v>245.34</v>
      </c>
    </row>
    <row r="8770" spans="1:2" ht="15.75" customHeight="1" thickBot="1" x14ac:dyDescent="0.3">
      <c r="A8770" s="7">
        <f ca="1"/>
        <v>45660</v>
      </c>
      <c r="B8770" s="6">
        <v>241.99</v>
      </c>
    </row>
    <row r="8771" spans="1:2" ht="15.75" customHeight="1" thickBot="1" x14ac:dyDescent="0.3">
      <c r="A8771" s="7">
        <f ca="1"/>
        <v>45661</v>
      </c>
      <c r="B8771" s="5">
        <f t="shared" ref="B8771:B8772" si="1252">B8770</f>
        <v>241.99</v>
      </c>
    </row>
    <row r="8772" spans="1:2" ht="15.75" customHeight="1" thickBot="1" x14ac:dyDescent="0.3">
      <c r="A8772" s="7">
        <f ca="1"/>
        <v>45662</v>
      </c>
      <c r="B8772" s="5">
        <f t="shared" si="1252"/>
        <v>241.99</v>
      </c>
    </row>
    <row r="8773" spans="1:2" ht="15.75" customHeight="1" thickBot="1" x14ac:dyDescent="0.3">
      <c r="A8773" s="7">
        <f ca="1"/>
        <v>45663</v>
      </c>
      <c r="B8773" s="6">
        <v>245.2</v>
      </c>
    </row>
    <row r="8774" spans="1:2" ht="15.75" customHeight="1" thickBot="1" x14ac:dyDescent="0.3">
      <c r="A8774" s="7">
        <f ca="1"/>
        <v>45664</v>
      </c>
      <c r="B8774" s="6">
        <v>253.43</v>
      </c>
    </row>
    <row r="8775" spans="1:2" ht="15.75" customHeight="1" thickBot="1" x14ac:dyDescent="0.3">
      <c r="A8775" s="7">
        <f ca="1"/>
        <v>45665</v>
      </c>
      <c r="B8775" s="6">
        <v>250.97</v>
      </c>
    </row>
    <row r="8776" spans="1:2" ht="15.75" customHeight="1" thickBot="1" x14ac:dyDescent="0.3">
      <c r="A8776" s="7">
        <f ca="1"/>
        <v>45666</v>
      </c>
      <c r="B8776" s="5">
        <f>B8775</f>
        <v>250.97</v>
      </c>
    </row>
    <row r="8777" spans="1:2" ht="15.75" customHeight="1" thickBot="1" x14ac:dyDescent="0.3">
      <c r="A8777" s="7">
        <f ca="1"/>
        <v>45667</v>
      </c>
      <c r="B8777" s="6">
        <v>253.25</v>
      </c>
    </row>
    <row r="8778" spans="1:2" ht="15.75" customHeight="1" thickBot="1" x14ac:dyDescent="0.3">
      <c r="A8778" s="7">
        <f ca="1"/>
        <v>45668</v>
      </c>
      <c r="B8778" s="5">
        <f t="shared" ref="B8778:B8779" si="1253">B8777</f>
        <v>253.25</v>
      </c>
    </row>
    <row r="8779" spans="1:2" ht="15.75" customHeight="1" thickBot="1" x14ac:dyDescent="0.3">
      <c r="A8779" s="7">
        <f ca="1"/>
        <v>45669</v>
      </c>
      <c r="B8779" s="5">
        <f t="shared" si="1253"/>
        <v>253.25</v>
      </c>
    </row>
    <row r="8780" spans="1:2" ht="15.75" customHeight="1" thickBot="1" x14ac:dyDescent="0.3">
      <c r="A8780" s="7">
        <f ca="1"/>
        <v>45670</v>
      </c>
      <c r="B8780" s="6">
        <v>247.88</v>
      </c>
    </row>
    <row r="8781" spans="1:2" ht="15.75" customHeight="1" thickBot="1" x14ac:dyDescent="0.3">
      <c r="A8781" s="7">
        <f ca="1"/>
        <v>45671</v>
      </c>
      <c r="B8781" s="6">
        <v>253.63</v>
      </c>
    </row>
    <row r="8782" spans="1:2" ht="15.75" customHeight="1" thickBot="1" x14ac:dyDescent="0.3">
      <c r="A8782" s="7">
        <f ca="1"/>
        <v>45672</v>
      </c>
      <c r="B8782" s="6">
        <v>260.61</v>
      </c>
    </row>
    <row r="8783" spans="1:2" ht="15.75" customHeight="1" thickBot="1" x14ac:dyDescent="0.3">
      <c r="A8783" s="7">
        <f ca="1"/>
        <v>45673</v>
      </c>
      <c r="B8783" s="6">
        <v>262.16000000000003</v>
      </c>
    </row>
    <row r="8784" spans="1:2" ht="15.75" customHeight="1" thickBot="1" x14ac:dyDescent="0.3">
      <c r="A8784" s="7">
        <f ca="1"/>
        <v>45674</v>
      </c>
      <c r="B8784" s="6">
        <v>263.3</v>
      </c>
    </row>
    <row r="8785" spans="1:2" ht="15.75" customHeight="1" thickBot="1" x14ac:dyDescent="0.3">
      <c r="A8785" s="7">
        <f ca="1"/>
        <v>45675</v>
      </c>
      <c r="B8785" s="5">
        <f t="shared" ref="B8785:B8787" si="1254">B8784</f>
        <v>263.3</v>
      </c>
    </row>
    <row r="8786" spans="1:2" ht="15.75" customHeight="1" thickBot="1" x14ac:dyDescent="0.3">
      <c r="A8786" s="7">
        <f ca="1"/>
        <v>45676</v>
      </c>
      <c r="B8786" s="5">
        <f t="shared" si="1254"/>
        <v>263.3</v>
      </c>
    </row>
    <row r="8787" spans="1:2" ht="15.75" customHeight="1" thickBot="1" x14ac:dyDescent="0.3">
      <c r="A8787" s="7">
        <f ca="1"/>
        <v>45677</v>
      </c>
      <c r="B8787" s="5">
        <f t="shared" si="1254"/>
        <v>263.3</v>
      </c>
    </row>
    <row r="8788" spans="1:2" ht="15.75" customHeight="1" thickBot="1" x14ac:dyDescent="0.3">
      <c r="A8788" s="7">
        <f ca="1"/>
        <v>45678</v>
      </c>
      <c r="B8788" s="6">
        <v>267.08999999999997</v>
      </c>
    </row>
    <row r="8789" spans="1:2" ht="15.75" customHeight="1" thickBot="1" x14ac:dyDescent="0.3">
      <c r="A8789" s="7">
        <f ca="1"/>
        <v>45679</v>
      </c>
      <c r="B8789" s="6">
        <v>274.74</v>
      </c>
    </row>
    <row r="8790" spans="1:2" ht="15.75" customHeight="1" thickBot="1" x14ac:dyDescent="0.3">
      <c r="A8790" s="7">
        <f ca="1"/>
        <v>45680</v>
      </c>
      <c r="B8790" s="6">
        <v>271.42</v>
      </c>
    </row>
    <row r="8791" spans="1:2" ht="15.75" customHeight="1" thickBot="1" x14ac:dyDescent="0.3">
      <c r="A8791" s="7">
        <f ca="1"/>
        <v>45681</v>
      </c>
      <c r="B8791" s="6">
        <v>275.25</v>
      </c>
    </row>
    <row r="8792" spans="1:2" ht="15.75" customHeight="1" thickBot="1" x14ac:dyDescent="0.3">
      <c r="A8792" s="7">
        <f ca="1"/>
        <v>45682</v>
      </c>
      <c r="B8792" s="5">
        <f t="shared" ref="B8792:B8793" si="1255">B8791</f>
        <v>275.25</v>
      </c>
    </row>
    <row r="8793" spans="1:2" ht="15.75" customHeight="1" thickBot="1" x14ac:dyDescent="0.3">
      <c r="A8793" s="7">
        <f ca="1"/>
        <v>45683</v>
      </c>
      <c r="B8793" s="5">
        <f t="shared" si="1255"/>
        <v>275.25</v>
      </c>
    </row>
    <row r="8794" spans="1:2" ht="15.75" customHeight="1" thickBot="1" x14ac:dyDescent="0.3">
      <c r="A8794" s="7">
        <f ca="1"/>
        <v>45684</v>
      </c>
      <c r="B8794" s="6">
        <v>273.02999999999997</v>
      </c>
    </row>
    <row r="8795" spans="1:2" ht="15.75" customHeight="1" thickBot="1" x14ac:dyDescent="0.3">
      <c r="A8795" s="7">
        <f ca="1"/>
        <v>45685</v>
      </c>
      <c r="B8795" s="6">
        <v>269.94</v>
      </c>
    </row>
    <row r="8796" spans="1:2" ht="15.75" customHeight="1" thickBot="1" x14ac:dyDescent="0.3">
      <c r="A8796" s="7">
        <f ca="1"/>
        <v>45686</v>
      </c>
      <c r="B8796" s="6">
        <v>278.64999999999998</v>
      </c>
    </row>
    <row r="8797" spans="1:2" ht="15.75" customHeight="1" thickBot="1" x14ac:dyDescent="0.3">
      <c r="A8797" s="7">
        <f ca="1"/>
        <v>45687</v>
      </c>
      <c r="B8797" s="6">
        <v>276.5</v>
      </c>
    </row>
    <row r="8798" spans="1:2" ht="15.75" customHeight="1" thickBot="1" x14ac:dyDescent="0.3">
      <c r="A8798" s="7">
        <f ca="1"/>
        <v>45688</v>
      </c>
      <c r="B8798" s="6">
        <v>278.76</v>
      </c>
    </row>
    <row r="8799" spans="1:2" ht="15.75" customHeight="1" thickBot="1" x14ac:dyDescent="0.3">
      <c r="A8799" s="7">
        <f ca="1"/>
        <v>45689</v>
      </c>
      <c r="B8799" s="5">
        <f t="shared" ref="B8799:B8800" si="1256">B8798</f>
        <v>278.76</v>
      </c>
    </row>
    <row r="8800" spans="1:2" ht="15.75" customHeight="1" thickBot="1" x14ac:dyDescent="0.3">
      <c r="A8800" s="7">
        <f ca="1"/>
        <v>45690</v>
      </c>
      <c r="B8800" s="5">
        <f t="shared" si="1256"/>
        <v>278.76</v>
      </c>
    </row>
    <row r="8801" spans="1:2" ht="15.75" customHeight="1" thickBot="1" x14ac:dyDescent="0.3">
      <c r="A8801" s="7">
        <f ca="1"/>
        <v>45691</v>
      </c>
      <c r="B8801" s="6">
        <v>272.06</v>
      </c>
    </row>
    <row r="8802" spans="1:2" ht="15.75" customHeight="1" thickBot="1" x14ac:dyDescent="0.3">
      <c r="A8802" s="7">
        <f ca="1"/>
        <v>45692</v>
      </c>
      <c r="B8802" s="6">
        <v>275.23</v>
      </c>
    </row>
    <row r="8803" spans="1:2" ht="15.75" customHeight="1" thickBot="1" x14ac:dyDescent="0.3">
      <c r="A8803" s="7">
        <f ca="1"/>
        <v>45693</v>
      </c>
      <c r="B8803" s="6">
        <v>281.02</v>
      </c>
    </row>
    <row r="8804" spans="1:2" ht="15.75" customHeight="1" thickBot="1" x14ac:dyDescent="0.3">
      <c r="A8804" s="7">
        <f ca="1"/>
        <v>45694</v>
      </c>
      <c r="B8804" s="6">
        <v>280.47000000000003</v>
      </c>
    </row>
    <row r="8805" spans="1:2" ht="15.75" customHeight="1" thickBot="1" x14ac:dyDescent="0.3">
      <c r="A8805" s="7">
        <f ca="1"/>
        <v>45695</v>
      </c>
      <c r="B8805" s="6">
        <v>283.31</v>
      </c>
    </row>
    <row r="8806" spans="1:2" ht="15.75" customHeight="1" thickBot="1" x14ac:dyDescent="0.3">
      <c r="A8806" s="7">
        <f ca="1"/>
        <v>45696</v>
      </c>
      <c r="B8806" s="5">
        <f t="shared" ref="B8806:B8807" si="1257">B8805</f>
        <v>283.31</v>
      </c>
    </row>
    <row r="8807" spans="1:2" ht="15.75" customHeight="1" thickBot="1" x14ac:dyDescent="0.3">
      <c r="A8807" s="7">
        <f ca="1"/>
        <v>45697</v>
      </c>
      <c r="B8807" s="5">
        <f t="shared" si="1257"/>
        <v>283.31</v>
      </c>
    </row>
    <row r="8808" spans="1:2" ht="15.75" customHeight="1" thickBot="1" x14ac:dyDescent="0.3">
      <c r="A8808" s="7">
        <f ca="1"/>
        <v>45698</v>
      </c>
      <c r="B8808" s="6">
        <v>279.04000000000002</v>
      </c>
    </row>
    <row r="8809" spans="1:2" ht="15.75" customHeight="1" thickBot="1" x14ac:dyDescent="0.3">
      <c r="A8809" s="7">
        <f ca="1"/>
        <v>45699</v>
      </c>
      <c r="B8809" s="6">
        <v>284.42</v>
      </c>
    </row>
    <row r="8810" spans="1:2" ht="15.75" customHeight="1" thickBot="1" x14ac:dyDescent="0.3">
      <c r="A8810" s="7">
        <f ca="1"/>
        <v>45700</v>
      </c>
      <c r="B8810" s="6">
        <v>287.86</v>
      </c>
    </row>
    <row r="8811" spans="1:2" ht="15.75" customHeight="1" thickBot="1" x14ac:dyDescent="0.3">
      <c r="A8811" s="7">
        <f ca="1"/>
        <v>45701</v>
      </c>
      <c r="B8811" s="6">
        <v>291.27</v>
      </c>
    </row>
    <row r="8812" spans="1:2" ht="15.75" customHeight="1" thickBot="1" x14ac:dyDescent="0.3">
      <c r="A8812" s="7">
        <f ca="1"/>
        <v>45702</v>
      </c>
      <c r="B8812" s="5">
        <f t="shared" ref="B8812:D8812" si="1258">B8811</f>
        <v>291.27</v>
      </c>
    </row>
    <row r="8813" spans="1:2" ht="15.75" customHeight="1" thickBot="1" x14ac:dyDescent="0.3">
      <c r="A8813" s="7">
        <f t="shared" ref="A8813:A8876" ca="1" si="1259">A8812</f>
        <v>45702</v>
      </c>
      <c r="B8813" s="5">
        <f t="shared" ref="B8813:B8876" si="1260">B8812</f>
        <v>291.27</v>
      </c>
    </row>
    <row r="8814" spans="1:2" ht="15.75" customHeight="1" thickBot="1" x14ac:dyDescent="0.3">
      <c r="A8814" s="7">
        <f t="shared" ca="1" si="1259"/>
        <v>45702</v>
      </c>
      <c r="B8814" s="5">
        <f t="shared" si="1260"/>
        <v>291.27</v>
      </c>
    </row>
    <row r="8815" spans="1:2" ht="15.75" customHeight="1" thickBot="1" x14ac:dyDescent="0.3">
      <c r="A8815" s="7">
        <f t="shared" ca="1" si="1259"/>
        <v>45702</v>
      </c>
      <c r="B8815" s="5">
        <f t="shared" si="1260"/>
        <v>291.27</v>
      </c>
    </row>
    <row r="8816" spans="1:2" ht="15.75" customHeight="1" thickBot="1" x14ac:dyDescent="0.3">
      <c r="A8816" s="7">
        <f t="shared" ca="1" si="1259"/>
        <v>45702</v>
      </c>
      <c r="B8816" s="5">
        <f t="shared" si="1260"/>
        <v>291.27</v>
      </c>
    </row>
    <row r="8817" spans="1:2" ht="15.75" customHeight="1" thickBot="1" x14ac:dyDescent="0.3">
      <c r="A8817" s="7">
        <f t="shared" ca="1" si="1259"/>
        <v>45702</v>
      </c>
      <c r="B8817" s="5">
        <f t="shared" si="1260"/>
        <v>291.27</v>
      </c>
    </row>
    <row r="8818" spans="1:2" ht="15.75" customHeight="1" thickBot="1" x14ac:dyDescent="0.3">
      <c r="A8818" s="7">
        <f t="shared" ca="1" si="1259"/>
        <v>45702</v>
      </c>
      <c r="B8818" s="5">
        <f t="shared" si="1260"/>
        <v>291.27</v>
      </c>
    </row>
    <row r="8819" spans="1:2" ht="15.75" customHeight="1" thickBot="1" x14ac:dyDescent="0.3">
      <c r="A8819" s="7">
        <f t="shared" ca="1" si="1259"/>
        <v>45702</v>
      </c>
      <c r="B8819" s="5">
        <f t="shared" si="1260"/>
        <v>291.27</v>
      </c>
    </row>
    <row r="8820" spans="1:2" ht="15.75" customHeight="1" thickBot="1" x14ac:dyDescent="0.3">
      <c r="A8820" s="7">
        <f t="shared" ca="1" si="1259"/>
        <v>45702</v>
      </c>
      <c r="B8820" s="5">
        <f t="shared" si="1260"/>
        <v>291.27</v>
      </c>
    </row>
    <row r="8821" spans="1:2" ht="15.75" customHeight="1" thickBot="1" x14ac:dyDescent="0.3">
      <c r="A8821" s="7">
        <f t="shared" ca="1" si="1259"/>
        <v>45702</v>
      </c>
      <c r="B8821" s="5">
        <f t="shared" si="1260"/>
        <v>291.27</v>
      </c>
    </row>
    <row r="8822" spans="1:2" ht="15.75" customHeight="1" thickBot="1" x14ac:dyDescent="0.3">
      <c r="A8822" s="7">
        <f t="shared" ca="1" si="1259"/>
        <v>45702</v>
      </c>
      <c r="B8822" s="5">
        <f t="shared" si="1260"/>
        <v>291.27</v>
      </c>
    </row>
    <row r="8823" spans="1:2" ht="15.75" customHeight="1" thickBot="1" x14ac:dyDescent="0.3">
      <c r="A8823" s="7">
        <f t="shared" ca="1" si="1259"/>
        <v>45702</v>
      </c>
      <c r="B8823" s="5">
        <f t="shared" si="1260"/>
        <v>291.27</v>
      </c>
    </row>
    <row r="8824" spans="1:2" ht="15.75" customHeight="1" thickBot="1" x14ac:dyDescent="0.3">
      <c r="A8824" s="7">
        <f t="shared" ca="1" si="1259"/>
        <v>45702</v>
      </c>
      <c r="B8824" s="5">
        <f t="shared" si="1260"/>
        <v>291.27</v>
      </c>
    </row>
    <row r="8825" spans="1:2" ht="15.75" customHeight="1" thickBot="1" x14ac:dyDescent="0.3">
      <c r="A8825" s="7">
        <f t="shared" ca="1" si="1259"/>
        <v>45702</v>
      </c>
      <c r="B8825" s="5">
        <f t="shared" si="1260"/>
        <v>291.27</v>
      </c>
    </row>
    <row r="8826" spans="1:2" ht="15.75" customHeight="1" thickBot="1" x14ac:dyDescent="0.3">
      <c r="A8826" s="7">
        <f t="shared" ca="1" si="1259"/>
        <v>45702</v>
      </c>
      <c r="B8826" s="5">
        <f t="shared" si="1260"/>
        <v>291.27</v>
      </c>
    </row>
    <row r="8827" spans="1:2" ht="15.75" customHeight="1" thickBot="1" x14ac:dyDescent="0.3">
      <c r="A8827" s="7">
        <f t="shared" ca="1" si="1259"/>
        <v>45702</v>
      </c>
      <c r="B8827" s="5">
        <f t="shared" si="1260"/>
        <v>291.27</v>
      </c>
    </row>
    <row r="8828" spans="1:2" ht="15.75" customHeight="1" thickBot="1" x14ac:dyDescent="0.3">
      <c r="A8828" s="7">
        <f t="shared" ca="1" si="1259"/>
        <v>45702</v>
      </c>
      <c r="B8828" s="5">
        <f t="shared" si="1260"/>
        <v>291.27</v>
      </c>
    </row>
    <row r="8829" spans="1:2" ht="15.75" customHeight="1" thickBot="1" x14ac:dyDescent="0.3">
      <c r="A8829" s="7">
        <f t="shared" ca="1" si="1259"/>
        <v>45702</v>
      </c>
      <c r="B8829" s="5">
        <f t="shared" si="1260"/>
        <v>291.27</v>
      </c>
    </row>
    <row r="8830" spans="1:2" ht="15.75" customHeight="1" thickBot="1" x14ac:dyDescent="0.3">
      <c r="A8830" s="7">
        <f t="shared" ca="1" si="1259"/>
        <v>45702</v>
      </c>
      <c r="B8830" s="5">
        <f t="shared" si="1260"/>
        <v>291.27</v>
      </c>
    </row>
    <row r="8831" spans="1:2" ht="15.75" customHeight="1" thickBot="1" x14ac:dyDescent="0.3">
      <c r="A8831" s="7">
        <f t="shared" ca="1" si="1259"/>
        <v>45702</v>
      </c>
      <c r="B8831" s="5">
        <f t="shared" si="1260"/>
        <v>291.27</v>
      </c>
    </row>
    <row r="8832" spans="1:2" ht="15.75" customHeight="1" thickBot="1" x14ac:dyDescent="0.3">
      <c r="A8832" s="7">
        <f t="shared" ca="1" si="1259"/>
        <v>45702</v>
      </c>
      <c r="B8832" s="5">
        <f t="shared" si="1260"/>
        <v>291.27</v>
      </c>
    </row>
    <row r="8833" spans="1:2" ht="15.75" customHeight="1" thickBot="1" x14ac:dyDescent="0.3">
      <c r="A8833" s="7">
        <f t="shared" ca="1" si="1259"/>
        <v>45702</v>
      </c>
      <c r="B8833" s="5">
        <f t="shared" si="1260"/>
        <v>291.27</v>
      </c>
    </row>
    <row r="8834" spans="1:2" ht="15.75" customHeight="1" thickBot="1" x14ac:dyDescent="0.3">
      <c r="A8834" s="7">
        <f t="shared" ca="1" si="1259"/>
        <v>45702</v>
      </c>
      <c r="B8834" s="5">
        <f t="shared" si="1260"/>
        <v>291.27</v>
      </c>
    </row>
    <row r="8835" spans="1:2" ht="15.75" customHeight="1" thickBot="1" x14ac:dyDescent="0.3">
      <c r="A8835" s="7">
        <f t="shared" ca="1" si="1259"/>
        <v>45702</v>
      </c>
      <c r="B8835" s="5">
        <f t="shared" si="1260"/>
        <v>291.27</v>
      </c>
    </row>
    <row r="8836" spans="1:2" ht="15.75" customHeight="1" thickBot="1" x14ac:dyDescent="0.3">
      <c r="A8836" s="7">
        <f t="shared" ca="1" si="1259"/>
        <v>45702</v>
      </c>
      <c r="B8836" s="5">
        <f t="shared" si="1260"/>
        <v>291.27</v>
      </c>
    </row>
    <row r="8837" spans="1:2" ht="15.75" customHeight="1" thickBot="1" x14ac:dyDescent="0.3">
      <c r="A8837" s="7">
        <f t="shared" ca="1" si="1259"/>
        <v>45702</v>
      </c>
      <c r="B8837" s="5">
        <f t="shared" si="1260"/>
        <v>291.27</v>
      </c>
    </row>
    <row r="8838" spans="1:2" ht="15.75" customHeight="1" thickBot="1" x14ac:dyDescent="0.3">
      <c r="A8838" s="7">
        <f t="shared" ca="1" si="1259"/>
        <v>45702</v>
      </c>
      <c r="B8838" s="5">
        <f t="shared" si="1260"/>
        <v>291.27</v>
      </c>
    </row>
    <row r="8839" spans="1:2" ht="15.75" customHeight="1" thickBot="1" x14ac:dyDescent="0.3">
      <c r="A8839" s="7">
        <f t="shared" ca="1" si="1259"/>
        <v>45702</v>
      </c>
      <c r="B8839" s="5">
        <f t="shared" si="1260"/>
        <v>291.27</v>
      </c>
    </row>
    <row r="8840" spans="1:2" ht="15.75" customHeight="1" thickBot="1" x14ac:dyDescent="0.3">
      <c r="A8840" s="7">
        <f t="shared" ca="1" si="1259"/>
        <v>45702</v>
      </c>
      <c r="B8840" s="5">
        <f t="shared" si="1260"/>
        <v>291.27</v>
      </c>
    </row>
    <row r="8841" spans="1:2" ht="15.75" customHeight="1" thickBot="1" x14ac:dyDescent="0.3">
      <c r="A8841" s="7">
        <f t="shared" ca="1" si="1259"/>
        <v>45702</v>
      </c>
      <c r="B8841" s="5">
        <f t="shared" si="1260"/>
        <v>291.27</v>
      </c>
    </row>
    <row r="8842" spans="1:2" ht="15.75" customHeight="1" thickBot="1" x14ac:dyDescent="0.3">
      <c r="A8842" s="7">
        <f t="shared" ca="1" si="1259"/>
        <v>45702</v>
      </c>
      <c r="B8842" s="5">
        <f t="shared" si="1260"/>
        <v>291.27</v>
      </c>
    </row>
    <row r="8843" spans="1:2" ht="15.75" customHeight="1" thickBot="1" x14ac:dyDescent="0.3">
      <c r="A8843" s="7">
        <f t="shared" ca="1" si="1259"/>
        <v>45702</v>
      </c>
      <c r="B8843" s="5">
        <f t="shared" si="1260"/>
        <v>291.27</v>
      </c>
    </row>
    <row r="8844" spans="1:2" ht="15.75" customHeight="1" thickBot="1" x14ac:dyDescent="0.3">
      <c r="A8844" s="7">
        <f t="shared" ca="1" si="1259"/>
        <v>45702</v>
      </c>
      <c r="B8844" s="5">
        <f t="shared" si="1260"/>
        <v>291.27</v>
      </c>
    </row>
    <row r="8845" spans="1:2" ht="15.75" customHeight="1" thickBot="1" x14ac:dyDescent="0.3">
      <c r="A8845" s="7">
        <f t="shared" ca="1" si="1259"/>
        <v>45702</v>
      </c>
      <c r="B8845" s="5">
        <f t="shared" si="1260"/>
        <v>291.27</v>
      </c>
    </row>
    <row r="8846" spans="1:2" ht="15.75" customHeight="1" thickBot="1" x14ac:dyDescent="0.3">
      <c r="A8846" s="7">
        <f t="shared" ca="1" si="1259"/>
        <v>45702</v>
      </c>
      <c r="B8846" s="5">
        <f t="shared" si="1260"/>
        <v>291.27</v>
      </c>
    </row>
    <row r="8847" spans="1:2" ht="15.75" customHeight="1" thickBot="1" x14ac:dyDescent="0.3">
      <c r="A8847" s="7">
        <f t="shared" ca="1" si="1259"/>
        <v>45702</v>
      </c>
      <c r="B8847" s="5">
        <f t="shared" si="1260"/>
        <v>291.27</v>
      </c>
    </row>
    <row r="8848" spans="1:2" ht="15.75" customHeight="1" thickBot="1" x14ac:dyDescent="0.3">
      <c r="A8848" s="7">
        <f t="shared" ca="1" si="1259"/>
        <v>45702</v>
      </c>
      <c r="B8848" s="5">
        <f t="shared" si="1260"/>
        <v>291.27</v>
      </c>
    </row>
    <row r="8849" spans="1:2" ht="15.75" customHeight="1" thickBot="1" x14ac:dyDescent="0.3">
      <c r="A8849" s="7">
        <f t="shared" ca="1" si="1259"/>
        <v>45702</v>
      </c>
      <c r="B8849" s="5">
        <f t="shared" si="1260"/>
        <v>291.27</v>
      </c>
    </row>
    <row r="8850" spans="1:2" ht="15.75" customHeight="1" thickBot="1" x14ac:dyDescent="0.3">
      <c r="A8850" s="7">
        <f t="shared" ca="1" si="1259"/>
        <v>45702</v>
      </c>
      <c r="B8850" s="5">
        <f t="shared" si="1260"/>
        <v>291.27</v>
      </c>
    </row>
    <row r="8851" spans="1:2" ht="15.75" customHeight="1" thickBot="1" x14ac:dyDescent="0.3">
      <c r="A8851" s="7">
        <f t="shared" ca="1" si="1259"/>
        <v>45702</v>
      </c>
      <c r="B8851" s="5">
        <f t="shared" si="1260"/>
        <v>291.27</v>
      </c>
    </row>
    <row r="8852" spans="1:2" ht="15.75" customHeight="1" thickBot="1" x14ac:dyDescent="0.3">
      <c r="A8852" s="7">
        <f t="shared" ca="1" si="1259"/>
        <v>45702</v>
      </c>
      <c r="B8852" s="5">
        <f t="shared" si="1260"/>
        <v>291.27</v>
      </c>
    </row>
    <row r="8853" spans="1:2" ht="15.75" customHeight="1" thickBot="1" x14ac:dyDescent="0.3">
      <c r="A8853" s="7">
        <f t="shared" ca="1" si="1259"/>
        <v>45702</v>
      </c>
      <c r="B8853" s="5">
        <f t="shared" si="1260"/>
        <v>291.27</v>
      </c>
    </row>
    <row r="8854" spans="1:2" ht="15.75" customHeight="1" thickBot="1" x14ac:dyDescent="0.3">
      <c r="A8854" s="7">
        <f t="shared" ca="1" si="1259"/>
        <v>45702</v>
      </c>
      <c r="B8854" s="5">
        <f t="shared" si="1260"/>
        <v>291.27</v>
      </c>
    </row>
    <row r="8855" spans="1:2" ht="15.75" customHeight="1" thickBot="1" x14ac:dyDescent="0.3">
      <c r="A8855" s="7">
        <f t="shared" ca="1" si="1259"/>
        <v>45702</v>
      </c>
      <c r="B8855" s="5">
        <f t="shared" si="1260"/>
        <v>291.27</v>
      </c>
    </row>
    <row r="8856" spans="1:2" ht="15.75" customHeight="1" thickBot="1" x14ac:dyDescent="0.3">
      <c r="A8856" s="7">
        <f t="shared" ca="1" si="1259"/>
        <v>45702</v>
      </c>
      <c r="B8856" s="5">
        <f t="shared" si="1260"/>
        <v>291.27</v>
      </c>
    </row>
    <row r="8857" spans="1:2" ht="15.75" customHeight="1" thickBot="1" x14ac:dyDescent="0.3">
      <c r="A8857" s="7">
        <f t="shared" ca="1" si="1259"/>
        <v>45702</v>
      </c>
      <c r="B8857" s="5">
        <f t="shared" si="1260"/>
        <v>291.27</v>
      </c>
    </row>
    <row r="8858" spans="1:2" ht="15.75" customHeight="1" thickBot="1" x14ac:dyDescent="0.3">
      <c r="A8858" s="7">
        <f t="shared" ca="1" si="1259"/>
        <v>45702</v>
      </c>
      <c r="B8858" s="5">
        <f t="shared" si="1260"/>
        <v>291.27</v>
      </c>
    </row>
    <row r="8859" spans="1:2" ht="15.75" customHeight="1" thickBot="1" x14ac:dyDescent="0.3">
      <c r="A8859" s="7">
        <f t="shared" ca="1" si="1259"/>
        <v>45702</v>
      </c>
      <c r="B8859" s="5">
        <f t="shared" si="1260"/>
        <v>291.27</v>
      </c>
    </row>
    <row r="8860" spans="1:2" ht="15.75" customHeight="1" thickBot="1" x14ac:dyDescent="0.3">
      <c r="A8860" s="7">
        <f t="shared" ca="1" si="1259"/>
        <v>45702</v>
      </c>
      <c r="B8860" s="5">
        <f t="shared" si="1260"/>
        <v>291.27</v>
      </c>
    </row>
    <row r="8861" spans="1:2" ht="15.75" customHeight="1" thickBot="1" x14ac:dyDescent="0.3">
      <c r="A8861" s="7">
        <f t="shared" ca="1" si="1259"/>
        <v>45702</v>
      </c>
      <c r="B8861" s="5">
        <f t="shared" si="1260"/>
        <v>291.27</v>
      </c>
    </row>
    <row r="8862" spans="1:2" ht="15.75" customHeight="1" thickBot="1" x14ac:dyDescent="0.3">
      <c r="A8862" s="7">
        <f t="shared" ca="1" si="1259"/>
        <v>45702</v>
      </c>
      <c r="B8862" s="5">
        <f t="shared" si="1260"/>
        <v>291.27</v>
      </c>
    </row>
    <row r="8863" spans="1:2" ht="15.75" customHeight="1" thickBot="1" x14ac:dyDescent="0.3">
      <c r="A8863" s="7">
        <f t="shared" ca="1" si="1259"/>
        <v>45702</v>
      </c>
      <c r="B8863" s="5">
        <f t="shared" si="1260"/>
        <v>291.27</v>
      </c>
    </row>
    <row r="8864" spans="1:2" ht="15.75" customHeight="1" thickBot="1" x14ac:dyDescent="0.3">
      <c r="A8864" s="7">
        <f t="shared" ca="1" si="1259"/>
        <v>45702</v>
      </c>
      <c r="B8864" s="5">
        <f t="shared" si="1260"/>
        <v>291.27</v>
      </c>
    </row>
    <row r="8865" spans="1:2" ht="15.75" customHeight="1" thickBot="1" x14ac:dyDescent="0.3">
      <c r="A8865" s="7">
        <f t="shared" ca="1" si="1259"/>
        <v>45702</v>
      </c>
      <c r="B8865" s="5">
        <f t="shared" si="1260"/>
        <v>291.27</v>
      </c>
    </row>
    <row r="8866" spans="1:2" ht="15.75" customHeight="1" thickBot="1" x14ac:dyDescent="0.3">
      <c r="A8866" s="7">
        <f t="shared" ca="1" si="1259"/>
        <v>45702</v>
      </c>
      <c r="B8866" s="5">
        <f t="shared" si="1260"/>
        <v>291.27</v>
      </c>
    </row>
    <row r="8867" spans="1:2" ht="15.75" customHeight="1" thickBot="1" x14ac:dyDescent="0.3">
      <c r="A8867" s="7">
        <f t="shared" ca="1" si="1259"/>
        <v>45702</v>
      </c>
      <c r="B8867" s="5">
        <f t="shared" si="1260"/>
        <v>291.27</v>
      </c>
    </row>
    <row r="8868" spans="1:2" ht="15.75" customHeight="1" thickBot="1" x14ac:dyDescent="0.3">
      <c r="A8868" s="7">
        <f t="shared" ca="1" si="1259"/>
        <v>45702</v>
      </c>
      <c r="B8868" s="5">
        <f t="shared" si="1260"/>
        <v>291.27</v>
      </c>
    </row>
    <row r="8869" spans="1:2" ht="15.75" customHeight="1" thickBot="1" x14ac:dyDescent="0.3">
      <c r="A8869" s="7">
        <f t="shared" ca="1" si="1259"/>
        <v>45702</v>
      </c>
      <c r="B8869" s="5">
        <f t="shared" si="1260"/>
        <v>291.27</v>
      </c>
    </row>
    <row r="8870" spans="1:2" ht="15.75" customHeight="1" thickBot="1" x14ac:dyDescent="0.3">
      <c r="A8870" s="7">
        <f t="shared" ca="1" si="1259"/>
        <v>45702</v>
      </c>
      <c r="B8870" s="5">
        <f t="shared" si="1260"/>
        <v>291.27</v>
      </c>
    </row>
    <row r="8871" spans="1:2" ht="15.75" customHeight="1" thickBot="1" x14ac:dyDescent="0.3">
      <c r="A8871" s="7">
        <f t="shared" ca="1" si="1259"/>
        <v>45702</v>
      </c>
      <c r="B8871" s="5">
        <f t="shared" si="1260"/>
        <v>291.27</v>
      </c>
    </row>
    <row r="8872" spans="1:2" ht="15.75" customHeight="1" thickBot="1" x14ac:dyDescent="0.3">
      <c r="A8872" s="7">
        <f t="shared" ca="1" si="1259"/>
        <v>45702</v>
      </c>
      <c r="B8872" s="5">
        <f t="shared" si="1260"/>
        <v>291.27</v>
      </c>
    </row>
    <row r="8873" spans="1:2" ht="15.75" customHeight="1" thickBot="1" x14ac:dyDescent="0.3">
      <c r="A8873" s="7">
        <f t="shared" ca="1" si="1259"/>
        <v>45702</v>
      </c>
      <c r="B8873" s="5">
        <f t="shared" si="1260"/>
        <v>291.27</v>
      </c>
    </row>
    <row r="8874" spans="1:2" ht="15.75" customHeight="1" thickBot="1" x14ac:dyDescent="0.3">
      <c r="A8874" s="7">
        <f t="shared" ca="1" si="1259"/>
        <v>45702</v>
      </c>
      <c r="B8874" s="5">
        <f t="shared" si="1260"/>
        <v>291.27</v>
      </c>
    </row>
    <row r="8875" spans="1:2" ht="15.75" customHeight="1" thickBot="1" x14ac:dyDescent="0.3">
      <c r="A8875" s="7">
        <f t="shared" ca="1" si="1259"/>
        <v>45702</v>
      </c>
      <c r="B8875" s="5">
        <f t="shared" si="1260"/>
        <v>291.27</v>
      </c>
    </row>
    <row r="8876" spans="1:2" ht="15.75" customHeight="1" thickBot="1" x14ac:dyDescent="0.3">
      <c r="A8876" s="7">
        <f t="shared" ca="1" si="1259"/>
        <v>45702</v>
      </c>
      <c r="B8876" s="5">
        <f t="shared" si="1260"/>
        <v>291.27</v>
      </c>
    </row>
    <row r="8877" spans="1:2" ht="15.75" customHeight="1" thickBot="1" x14ac:dyDescent="0.3">
      <c r="A8877" s="7">
        <f t="shared" ref="A8877:A8940" ca="1" si="1261">A8876</f>
        <v>45702</v>
      </c>
      <c r="B8877" s="5">
        <f t="shared" ref="B8877:B8940" si="1262">B8876</f>
        <v>291.27</v>
      </c>
    </row>
    <row r="8878" spans="1:2" ht="15.75" customHeight="1" thickBot="1" x14ac:dyDescent="0.3">
      <c r="A8878" s="7">
        <f t="shared" ca="1" si="1261"/>
        <v>45702</v>
      </c>
      <c r="B8878" s="5">
        <f t="shared" si="1262"/>
        <v>291.27</v>
      </c>
    </row>
    <row r="8879" spans="1:2" ht="15.75" customHeight="1" thickBot="1" x14ac:dyDescent="0.3">
      <c r="A8879" s="7">
        <f t="shared" ca="1" si="1261"/>
        <v>45702</v>
      </c>
      <c r="B8879" s="5">
        <f t="shared" si="1262"/>
        <v>291.27</v>
      </c>
    </row>
    <row r="8880" spans="1:2" ht="15.75" customHeight="1" thickBot="1" x14ac:dyDescent="0.3">
      <c r="A8880" s="7">
        <f t="shared" ca="1" si="1261"/>
        <v>45702</v>
      </c>
      <c r="B8880" s="5">
        <f t="shared" si="1262"/>
        <v>291.27</v>
      </c>
    </row>
    <row r="8881" spans="1:2" ht="15.75" customHeight="1" thickBot="1" x14ac:dyDescent="0.3">
      <c r="A8881" s="7">
        <f t="shared" ca="1" si="1261"/>
        <v>45702</v>
      </c>
      <c r="B8881" s="5">
        <f t="shared" si="1262"/>
        <v>291.27</v>
      </c>
    </row>
    <row r="8882" spans="1:2" ht="15.75" customHeight="1" thickBot="1" x14ac:dyDescent="0.3">
      <c r="A8882" s="7">
        <f t="shared" ca="1" si="1261"/>
        <v>45702</v>
      </c>
      <c r="B8882" s="5">
        <f t="shared" si="1262"/>
        <v>291.27</v>
      </c>
    </row>
    <row r="8883" spans="1:2" ht="15.75" customHeight="1" thickBot="1" x14ac:dyDescent="0.3">
      <c r="A8883" s="7">
        <f t="shared" ca="1" si="1261"/>
        <v>45702</v>
      </c>
      <c r="B8883" s="5">
        <f t="shared" si="1262"/>
        <v>291.27</v>
      </c>
    </row>
    <row r="8884" spans="1:2" ht="15.75" customHeight="1" thickBot="1" x14ac:dyDescent="0.3">
      <c r="A8884" s="7">
        <f t="shared" ca="1" si="1261"/>
        <v>45702</v>
      </c>
      <c r="B8884" s="5">
        <f t="shared" si="1262"/>
        <v>291.27</v>
      </c>
    </row>
    <row r="8885" spans="1:2" ht="15.75" customHeight="1" thickBot="1" x14ac:dyDescent="0.3">
      <c r="A8885" s="7">
        <f t="shared" ca="1" si="1261"/>
        <v>45702</v>
      </c>
      <c r="B8885" s="5">
        <f t="shared" si="1262"/>
        <v>291.27</v>
      </c>
    </row>
    <row r="8886" spans="1:2" ht="15.75" customHeight="1" thickBot="1" x14ac:dyDescent="0.3">
      <c r="A8886" s="7">
        <f t="shared" ca="1" si="1261"/>
        <v>45702</v>
      </c>
      <c r="B8886" s="5">
        <f t="shared" si="1262"/>
        <v>291.27</v>
      </c>
    </row>
    <row r="8887" spans="1:2" ht="15.75" customHeight="1" thickBot="1" x14ac:dyDescent="0.3">
      <c r="A8887" s="7">
        <f t="shared" ca="1" si="1261"/>
        <v>45702</v>
      </c>
      <c r="B8887" s="5">
        <f t="shared" si="1262"/>
        <v>291.27</v>
      </c>
    </row>
    <row r="8888" spans="1:2" ht="15.75" customHeight="1" thickBot="1" x14ac:dyDescent="0.3">
      <c r="A8888" s="7">
        <f t="shared" ca="1" si="1261"/>
        <v>45702</v>
      </c>
      <c r="B8888" s="5">
        <f t="shared" si="1262"/>
        <v>291.27</v>
      </c>
    </row>
    <row r="8889" spans="1:2" ht="15.75" customHeight="1" thickBot="1" x14ac:dyDescent="0.3">
      <c r="A8889" s="7">
        <f t="shared" ca="1" si="1261"/>
        <v>45702</v>
      </c>
      <c r="B8889" s="5">
        <f t="shared" si="1262"/>
        <v>291.27</v>
      </c>
    </row>
    <row r="8890" spans="1:2" ht="15.75" customHeight="1" thickBot="1" x14ac:dyDescent="0.3">
      <c r="A8890" s="7">
        <f t="shared" ca="1" si="1261"/>
        <v>45702</v>
      </c>
      <c r="B8890" s="5">
        <f t="shared" si="1262"/>
        <v>291.27</v>
      </c>
    </row>
    <row r="8891" spans="1:2" ht="15.75" customHeight="1" thickBot="1" x14ac:dyDescent="0.3">
      <c r="A8891" s="7">
        <f t="shared" ca="1" si="1261"/>
        <v>45702</v>
      </c>
      <c r="B8891" s="5">
        <f t="shared" si="1262"/>
        <v>291.27</v>
      </c>
    </row>
    <row r="8892" spans="1:2" ht="15.75" customHeight="1" thickBot="1" x14ac:dyDescent="0.3">
      <c r="A8892" s="7">
        <f t="shared" ca="1" si="1261"/>
        <v>45702</v>
      </c>
      <c r="B8892" s="5">
        <f t="shared" si="1262"/>
        <v>291.27</v>
      </c>
    </row>
    <row r="8893" spans="1:2" ht="15.75" customHeight="1" thickBot="1" x14ac:dyDescent="0.3">
      <c r="A8893" s="7">
        <f t="shared" ca="1" si="1261"/>
        <v>45702</v>
      </c>
      <c r="B8893" s="5">
        <f t="shared" si="1262"/>
        <v>291.27</v>
      </c>
    </row>
    <row r="8894" spans="1:2" ht="15.75" customHeight="1" thickBot="1" x14ac:dyDescent="0.3">
      <c r="A8894" s="7">
        <f t="shared" ca="1" si="1261"/>
        <v>45702</v>
      </c>
      <c r="B8894" s="5">
        <f t="shared" si="1262"/>
        <v>291.27</v>
      </c>
    </row>
    <row r="8895" spans="1:2" ht="15.75" customHeight="1" thickBot="1" x14ac:dyDescent="0.3">
      <c r="A8895" s="7">
        <f t="shared" ca="1" si="1261"/>
        <v>45702</v>
      </c>
      <c r="B8895" s="5">
        <f t="shared" si="1262"/>
        <v>291.27</v>
      </c>
    </row>
    <row r="8896" spans="1:2" ht="15.75" customHeight="1" thickBot="1" x14ac:dyDescent="0.3">
      <c r="A8896" s="7">
        <f t="shared" ca="1" si="1261"/>
        <v>45702</v>
      </c>
      <c r="B8896" s="5">
        <f t="shared" si="1262"/>
        <v>291.27</v>
      </c>
    </row>
    <row r="8897" spans="1:2" ht="15.75" customHeight="1" thickBot="1" x14ac:dyDescent="0.3">
      <c r="A8897" s="7">
        <f t="shared" ca="1" si="1261"/>
        <v>45702</v>
      </c>
      <c r="B8897" s="5">
        <f t="shared" si="1262"/>
        <v>291.27</v>
      </c>
    </row>
    <row r="8898" spans="1:2" ht="15.75" customHeight="1" thickBot="1" x14ac:dyDescent="0.3">
      <c r="A8898" s="7">
        <f t="shared" ca="1" si="1261"/>
        <v>45702</v>
      </c>
      <c r="B8898" s="5">
        <f t="shared" si="1262"/>
        <v>291.27</v>
      </c>
    </row>
    <row r="8899" spans="1:2" ht="15.75" customHeight="1" thickBot="1" x14ac:dyDescent="0.3">
      <c r="A8899" s="7">
        <f t="shared" ca="1" si="1261"/>
        <v>45702</v>
      </c>
      <c r="B8899" s="5">
        <f t="shared" si="1262"/>
        <v>291.27</v>
      </c>
    </row>
    <row r="8900" spans="1:2" ht="15.75" customHeight="1" thickBot="1" x14ac:dyDescent="0.3">
      <c r="A8900" s="7">
        <f t="shared" ca="1" si="1261"/>
        <v>45702</v>
      </c>
      <c r="B8900" s="5">
        <f t="shared" si="1262"/>
        <v>291.27</v>
      </c>
    </row>
    <row r="8901" spans="1:2" ht="15.75" customHeight="1" thickBot="1" x14ac:dyDescent="0.3">
      <c r="A8901" s="7">
        <f t="shared" ca="1" si="1261"/>
        <v>45702</v>
      </c>
      <c r="B8901" s="5">
        <f t="shared" si="1262"/>
        <v>291.27</v>
      </c>
    </row>
    <row r="8902" spans="1:2" ht="15.75" customHeight="1" thickBot="1" x14ac:dyDescent="0.3">
      <c r="A8902" s="7">
        <f t="shared" ca="1" si="1261"/>
        <v>45702</v>
      </c>
      <c r="B8902" s="5">
        <f t="shared" si="1262"/>
        <v>291.27</v>
      </c>
    </row>
    <row r="8903" spans="1:2" ht="15.75" customHeight="1" thickBot="1" x14ac:dyDescent="0.3">
      <c r="A8903" s="7">
        <f t="shared" ca="1" si="1261"/>
        <v>45702</v>
      </c>
      <c r="B8903" s="5">
        <f t="shared" si="1262"/>
        <v>291.27</v>
      </c>
    </row>
    <row r="8904" spans="1:2" ht="15.75" customHeight="1" thickBot="1" x14ac:dyDescent="0.3">
      <c r="A8904" s="7">
        <f t="shared" ca="1" si="1261"/>
        <v>45702</v>
      </c>
      <c r="B8904" s="5">
        <f t="shared" si="1262"/>
        <v>291.27</v>
      </c>
    </row>
    <row r="8905" spans="1:2" ht="15.75" customHeight="1" thickBot="1" x14ac:dyDescent="0.3">
      <c r="A8905" s="7">
        <f t="shared" ca="1" si="1261"/>
        <v>45702</v>
      </c>
      <c r="B8905" s="5">
        <f t="shared" si="1262"/>
        <v>291.27</v>
      </c>
    </row>
    <row r="8906" spans="1:2" ht="15.75" customHeight="1" thickBot="1" x14ac:dyDescent="0.3">
      <c r="A8906" s="7">
        <f t="shared" ca="1" si="1261"/>
        <v>45702</v>
      </c>
      <c r="B8906" s="5">
        <f t="shared" si="1262"/>
        <v>291.27</v>
      </c>
    </row>
    <row r="8907" spans="1:2" ht="15.75" customHeight="1" thickBot="1" x14ac:dyDescent="0.3">
      <c r="A8907" s="7">
        <f t="shared" ca="1" si="1261"/>
        <v>45702</v>
      </c>
      <c r="B8907" s="5">
        <f t="shared" si="1262"/>
        <v>291.27</v>
      </c>
    </row>
    <row r="8908" spans="1:2" ht="15.75" customHeight="1" thickBot="1" x14ac:dyDescent="0.3">
      <c r="A8908" s="7">
        <f t="shared" ca="1" si="1261"/>
        <v>45702</v>
      </c>
      <c r="B8908" s="5">
        <f t="shared" si="1262"/>
        <v>291.27</v>
      </c>
    </row>
    <row r="8909" spans="1:2" ht="15.75" customHeight="1" thickBot="1" x14ac:dyDescent="0.3">
      <c r="A8909" s="7">
        <f t="shared" ca="1" si="1261"/>
        <v>45702</v>
      </c>
      <c r="B8909" s="5">
        <f t="shared" si="1262"/>
        <v>291.27</v>
      </c>
    </row>
    <row r="8910" spans="1:2" ht="15.75" customHeight="1" thickBot="1" x14ac:dyDescent="0.3">
      <c r="A8910" s="7">
        <f t="shared" ca="1" si="1261"/>
        <v>45702</v>
      </c>
      <c r="B8910" s="5">
        <f t="shared" si="1262"/>
        <v>291.27</v>
      </c>
    </row>
    <row r="8911" spans="1:2" ht="15.75" customHeight="1" thickBot="1" x14ac:dyDescent="0.3">
      <c r="A8911" s="7">
        <f t="shared" ca="1" si="1261"/>
        <v>45702</v>
      </c>
      <c r="B8911" s="5">
        <f t="shared" si="1262"/>
        <v>291.27</v>
      </c>
    </row>
    <row r="8912" spans="1:2" ht="15.75" customHeight="1" thickBot="1" x14ac:dyDescent="0.3">
      <c r="A8912" s="7">
        <f t="shared" ca="1" si="1261"/>
        <v>45702</v>
      </c>
      <c r="B8912" s="5">
        <f t="shared" si="1262"/>
        <v>291.27</v>
      </c>
    </row>
    <row r="8913" spans="1:2" ht="15.75" customHeight="1" thickBot="1" x14ac:dyDescent="0.3">
      <c r="A8913" s="7">
        <f t="shared" ca="1" si="1261"/>
        <v>45702</v>
      </c>
      <c r="B8913" s="5">
        <f t="shared" si="1262"/>
        <v>291.27</v>
      </c>
    </row>
    <row r="8914" spans="1:2" ht="15.75" customHeight="1" thickBot="1" x14ac:dyDescent="0.3">
      <c r="A8914" s="7">
        <f t="shared" ca="1" si="1261"/>
        <v>45702</v>
      </c>
      <c r="B8914" s="5">
        <f t="shared" si="1262"/>
        <v>291.27</v>
      </c>
    </row>
    <row r="8915" spans="1:2" ht="15.75" customHeight="1" thickBot="1" x14ac:dyDescent="0.3">
      <c r="A8915" s="7">
        <f t="shared" ca="1" si="1261"/>
        <v>45702</v>
      </c>
      <c r="B8915" s="5">
        <f t="shared" si="1262"/>
        <v>291.27</v>
      </c>
    </row>
    <row r="8916" spans="1:2" ht="15.75" customHeight="1" thickBot="1" x14ac:dyDescent="0.3">
      <c r="A8916" s="7">
        <f t="shared" ca="1" si="1261"/>
        <v>45702</v>
      </c>
      <c r="B8916" s="5">
        <f t="shared" si="1262"/>
        <v>291.27</v>
      </c>
    </row>
    <row r="8917" spans="1:2" ht="15.75" customHeight="1" thickBot="1" x14ac:dyDescent="0.3">
      <c r="A8917" s="7">
        <f t="shared" ca="1" si="1261"/>
        <v>45702</v>
      </c>
      <c r="B8917" s="5">
        <f t="shared" si="1262"/>
        <v>291.27</v>
      </c>
    </row>
    <row r="8918" spans="1:2" ht="15.75" customHeight="1" thickBot="1" x14ac:dyDescent="0.3">
      <c r="A8918" s="7">
        <f t="shared" ca="1" si="1261"/>
        <v>45702</v>
      </c>
      <c r="B8918" s="5">
        <f t="shared" si="1262"/>
        <v>291.27</v>
      </c>
    </row>
    <row r="8919" spans="1:2" ht="15.75" customHeight="1" thickBot="1" x14ac:dyDescent="0.3">
      <c r="A8919" s="7">
        <f t="shared" ca="1" si="1261"/>
        <v>45702</v>
      </c>
      <c r="B8919" s="5">
        <f t="shared" si="1262"/>
        <v>291.27</v>
      </c>
    </row>
    <row r="8920" spans="1:2" ht="15.75" customHeight="1" thickBot="1" x14ac:dyDescent="0.3">
      <c r="A8920" s="7">
        <f t="shared" ca="1" si="1261"/>
        <v>45702</v>
      </c>
      <c r="B8920" s="5">
        <f t="shared" si="1262"/>
        <v>291.27</v>
      </c>
    </row>
    <row r="8921" spans="1:2" ht="15.75" customHeight="1" thickBot="1" x14ac:dyDescent="0.3">
      <c r="A8921" s="7">
        <f t="shared" ca="1" si="1261"/>
        <v>45702</v>
      </c>
      <c r="B8921" s="5">
        <f t="shared" si="1262"/>
        <v>291.27</v>
      </c>
    </row>
    <row r="8922" spans="1:2" ht="15.75" customHeight="1" thickBot="1" x14ac:dyDescent="0.3">
      <c r="A8922" s="7">
        <f t="shared" ca="1" si="1261"/>
        <v>45702</v>
      </c>
      <c r="B8922" s="5">
        <f t="shared" si="1262"/>
        <v>291.27</v>
      </c>
    </row>
    <row r="8923" spans="1:2" ht="15.75" customHeight="1" thickBot="1" x14ac:dyDescent="0.3">
      <c r="A8923" s="7">
        <f t="shared" ca="1" si="1261"/>
        <v>45702</v>
      </c>
      <c r="B8923" s="5">
        <f t="shared" si="1262"/>
        <v>291.27</v>
      </c>
    </row>
    <row r="8924" spans="1:2" ht="15.75" customHeight="1" thickBot="1" x14ac:dyDescent="0.3">
      <c r="A8924" s="7">
        <f t="shared" ca="1" si="1261"/>
        <v>45702</v>
      </c>
      <c r="B8924" s="5">
        <f t="shared" si="1262"/>
        <v>291.27</v>
      </c>
    </row>
    <row r="8925" spans="1:2" ht="15.75" customHeight="1" thickBot="1" x14ac:dyDescent="0.3">
      <c r="A8925" s="7">
        <f t="shared" ca="1" si="1261"/>
        <v>45702</v>
      </c>
      <c r="B8925" s="5">
        <f t="shared" si="1262"/>
        <v>291.27</v>
      </c>
    </row>
    <row r="8926" spans="1:2" ht="15.75" customHeight="1" thickBot="1" x14ac:dyDescent="0.3">
      <c r="A8926" s="7">
        <f t="shared" ca="1" si="1261"/>
        <v>45702</v>
      </c>
      <c r="B8926" s="5">
        <f t="shared" si="1262"/>
        <v>291.27</v>
      </c>
    </row>
    <row r="8927" spans="1:2" ht="15.75" customHeight="1" thickBot="1" x14ac:dyDescent="0.3">
      <c r="A8927" s="7">
        <f t="shared" ca="1" si="1261"/>
        <v>45702</v>
      </c>
      <c r="B8927" s="5">
        <f t="shared" si="1262"/>
        <v>291.27</v>
      </c>
    </row>
    <row r="8928" spans="1:2" ht="15.75" customHeight="1" thickBot="1" x14ac:dyDescent="0.3">
      <c r="A8928" s="7">
        <f t="shared" ca="1" si="1261"/>
        <v>45702</v>
      </c>
      <c r="B8928" s="5">
        <f t="shared" si="1262"/>
        <v>291.27</v>
      </c>
    </row>
    <row r="8929" spans="1:2" ht="15.75" customHeight="1" thickBot="1" x14ac:dyDescent="0.3">
      <c r="A8929" s="7">
        <f t="shared" ca="1" si="1261"/>
        <v>45702</v>
      </c>
      <c r="B8929" s="5">
        <f t="shared" si="1262"/>
        <v>291.27</v>
      </c>
    </row>
    <row r="8930" spans="1:2" ht="15.75" customHeight="1" thickBot="1" x14ac:dyDescent="0.3">
      <c r="A8930" s="7">
        <f t="shared" ca="1" si="1261"/>
        <v>45702</v>
      </c>
      <c r="B8930" s="5">
        <f t="shared" si="1262"/>
        <v>291.27</v>
      </c>
    </row>
    <row r="8931" spans="1:2" ht="15.75" customHeight="1" thickBot="1" x14ac:dyDescent="0.3">
      <c r="A8931" s="7">
        <f t="shared" ca="1" si="1261"/>
        <v>45702</v>
      </c>
      <c r="B8931" s="5">
        <f t="shared" si="1262"/>
        <v>291.27</v>
      </c>
    </row>
    <row r="8932" spans="1:2" ht="15.75" customHeight="1" thickBot="1" x14ac:dyDescent="0.3">
      <c r="A8932" s="7">
        <f t="shared" ca="1" si="1261"/>
        <v>45702</v>
      </c>
      <c r="B8932" s="5">
        <f t="shared" si="1262"/>
        <v>291.27</v>
      </c>
    </row>
    <row r="8933" spans="1:2" ht="15.75" customHeight="1" thickBot="1" x14ac:dyDescent="0.3">
      <c r="A8933" s="7">
        <f t="shared" ca="1" si="1261"/>
        <v>45702</v>
      </c>
      <c r="B8933" s="5">
        <f t="shared" si="1262"/>
        <v>291.27</v>
      </c>
    </row>
    <row r="8934" spans="1:2" ht="15.75" customHeight="1" thickBot="1" x14ac:dyDescent="0.3">
      <c r="A8934" s="7">
        <f t="shared" ca="1" si="1261"/>
        <v>45702</v>
      </c>
      <c r="B8934" s="5">
        <f t="shared" si="1262"/>
        <v>291.27</v>
      </c>
    </row>
    <row r="8935" spans="1:2" ht="15.75" customHeight="1" thickBot="1" x14ac:dyDescent="0.3">
      <c r="A8935" s="7">
        <f t="shared" ca="1" si="1261"/>
        <v>45702</v>
      </c>
      <c r="B8935" s="5">
        <f t="shared" si="1262"/>
        <v>291.27</v>
      </c>
    </row>
    <row r="8936" spans="1:2" ht="15.75" customHeight="1" thickBot="1" x14ac:dyDescent="0.3">
      <c r="A8936" s="7">
        <f t="shared" ca="1" si="1261"/>
        <v>45702</v>
      </c>
      <c r="B8936" s="5">
        <f t="shared" si="1262"/>
        <v>291.27</v>
      </c>
    </row>
    <row r="8937" spans="1:2" ht="15.75" customHeight="1" thickBot="1" x14ac:dyDescent="0.3">
      <c r="A8937" s="7">
        <f t="shared" ca="1" si="1261"/>
        <v>45702</v>
      </c>
      <c r="B8937" s="5">
        <f t="shared" si="1262"/>
        <v>291.27</v>
      </c>
    </row>
    <row r="8938" spans="1:2" ht="15.75" customHeight="1" thickBot="1" x14ac:dyDescent="0.3">
      <c r="A8938" s="7">
        <f t="shared" ca="1" si="1261"/>
        <v>45702</v>
      </c>
      <c r="B8938" s="5">
        <f t="shared" si="1262"/>
        <v>291.27</v>
      </c>
    </row>
    <row r="8939" spans="1:2" ht="15.75" customHeight="1" thickBot="1" x14ac:dyDescent="0.3">
      <c r="A8939" s="7">
        <f t="shared" ca="1" si="1261"/>
        <v>45702</v>
      </c>
      <c r="B8939" s="5">
        <f t="shared" si="1262"/>
        <v>291.27</v>
      </c>
    </row>
    <row r="8940" spans="1:2" ht="15.75" customHeight="1" thickBot="1" x14ac:dyDescent="0.3">
      <c r="A8940" s="7">
        <f t="shared" ca="1" si="1261"/>
        <v>45702</v>
      </c>
      <c r="B8940" s="5">
        <f t="shared" si="1262"/>
        <v>291.27</v>
      </c>
    </row>
    <row r="8941" spans="1:2" ht="15.75" customHeight="1" thickBot="1" x14ac:dyDescent="0.3">
      <c r="A8941" s="7">
        <f t="shared" ref="A8941:A9004" ca="1" si="1263">A8940</f>
        <v>45702</v>
      </c>
      <c r="B8941" s="5">
        <f t="shared" ref="B8941:B9004" si="1264">B8940</f>
        <v>291.27</v>
      </c>
    </row>
    <row r="8942" spans="1:2" ht="15.75" customHeight="1" thickBot="1" x14ac:dyDescent="0.3">
      <c r="A8942" s="7">
        <f t="shared" ca="1" si="1263"/>
        <v>45702</v>
      </c>
      <c r="B8942" s="5">
        <f t="shared" si="1264"/>
        <v>291.27</v>
      </c>
    </row>
    <row r="8943" spans="1:2" ht="15.75" customHeight="1" thickBot="1" x14ac:dyDescent="0.3">
      <c r="A8943" s="7">
        <f t="shared" ca="1" si="1263"/>
        <v>45702</v>
      </c>
      <c r="B8943" s="5">
        <f t="shared" si="1264"/>
        <v>291.27</v>
      </c>
    </row>
    <row r="8944" spans="1:2" ht="15.75" customHeight="1" thickBot="1" x14ac:dyDescent="0.3">
      <c r="A8944" s="7">
        <f t="shared" ca="1" si="1263"/>
        <v>45702</v>
      </c>
      <c r="B8944" s="5">
        <f t="shared" si="1264"/>
        <v>291.27</v>
      </c>
    </row>
    <row r="8945" spans="1:2" ht="15.75" customHeight="1" thickBot="1" x14ac:dyDescent="0.3">
      <c r="A8945" s="7">
        <f t="shared" ca="1" si="1263"/>
        <v>45702</v>
      </c>
      <c r="B8945" s="5">
        <f t="shared" si="1264"/>
        <v>291.27</v>
      </c>
    </row>
    <row r="8946" spans="1:2" ht="15.75" customHeight="1" thickBot="1" x14ac:dyDescent="0.3">
      <c r="A8946" s="7">
        <f t="shared" ca="1" si="1263"/>
        <v>45702</v>
      </c>
      <c r="B8946" s="5">
        <f t="shared" si="1264"/>
        <v>291.27</v>
      </c>
    </row>
    <row r="8947" spans="1:2" ht="15.75" customHeight="1" thickBot="1" x14ac:dyDescent="0.3">
      <c r="A8947" s="7">
        <f t="shared" ca="1" si="1263"/>
        <v>45702</v>
      </c>
      <c r="B8947" s="5">
        <f t="shared" si="1264"/>
        <v>291.27</v>
      </c>
    </row>
    <row r="8948" spans="1:2" ht="15.75" customHeight="1" thickBot="1" x14ac:dyDescent="0.3">
      <c r="A8948" s="7">
        <f t="shared" ca="1" si="1263"/>
        <v>45702</v>
      </c>
      <c r="B8948" s="5">
        <f t="shared" si="1264"/>
        <v>291.27</v>
      </c>
    </row>
    <row r="8949" spans="1:2" ht="15.75" customHeight="1" thickBot="1" x14ac:dyDescent="0.3">
      <c r="A8949" s="7">
        <f t="shared" ca="1" si="1263"/>
        <v>45702</v>
      </c>
      <c r="B8949" s="5">
        <f t="shared" si="1264"/>
        <v>291.27</v>
      </c>
    </row>
    <row r="8950" spans="1:2" ht="15.75" customHeight="1" thickBot="1" x14ac:dyDescent="0.3">
      <c r="A8950" s="7">
        <f t="shared" ca="1" si="1263"/>
        <v>45702</v>
      </c>
      <c r="B8950" s="5">
        <f t="shared" si="1264"/>
        <v>291.27</v>
      </c>
    </row>
    <row r="8951" spans="1:2" ht="15.75" customHeight="1" thickBot="1" x14ac:dyDescent="0.3">
      <c r="A8951" s="7">
        <f t="shared" ca="1" si="1263"/>
        <v>45702</v>
      </c>
      <c r="B8951" s="5">
        <f t="shared" si="1264"/>
        <v>291.27</v>
      </c>
    </row>
    <row r="8952" spans="1:2" ht="15.75" customHeight="1" thickBot="1" x14ac:dyDescent="0.3">
      <c r="A8952" s="7">
        <f t="shared" ca="1" si="1263"/>
        <v>45702</v>
      </c>
      <c r="B8952" s="5">
        <f t="shared" si="1264"/>
        <v>291.27</v>
      </c>
    </row>
    <row r="8953" spans="1:2" ht="15.75" customHeight="1" thickBot="1" x14ac:dyDescent="0.3">
      <c r="A8953" s="7">
        <f t="shared" ca="1" si="1263"/>
        <v>45702</v>
      </c>
      <c r="B8953" s="5">
        <f t="shared" si="1264"/>
        <v>291.27</v>
      </c>
    </row>
    <row r="8954" spans="1:2" ht="15.75" customHeight="1" thickBot="1" x14ac:dyDescent="0.3">
      <c r="A8954" s="7">
        <f t="shared" ca="1" si="1263"/>
        <v>45702</v>
      </c>
      <c r="B8954" s="5">
        <f t="shared" si="1264"/>
        <v>291.27</v>
      </c>
    </row>
    <row r="8955" spans="1:2" ht="15.75" customHeight="1" thickBot="1" x14ac:dyDescent="0.3">
      <c r="A8955" s="7">
        <f t="shared" ca="1" si="1263"/>
        <v>45702</v>
      </c>
      <c r="B8955" s="5">
        <f t="shared" si="1264"/>
        <v>291.27</v>
      </c>
    </row>
    <row r="8956" spans="1:2" ht="15.75" customHeight="1" thickBot="1" x14ac:dyDescent="0.3">
      <c r="A8956" s="7">
        <f t="shared" ca="1" si="1263"/>
        <v>45702</v>
      </c>
      <c r="B8956" s="5">
        <f t="shared" si="1264"/>
        <v>291.27</v>
      </c>
    </row>
    <row r="8957" spans="1:2" ht="15.75" customHeight="1" thickBot="1" x14ac:dyDescent="0.3">
      <c r="A8957" s="7">
        <f t="shared" ca="1" si="1263"/>
        <v>45702</v>
      </c>
      <c r="B8957" s="5">
        <f t="shared" si="1264"/>
        <v>291.27</v>
      </c>
    </row>
    <row r="8958" spans="1:2" ht="15.75" customHeight="1" thickBot="1" x14ac:dyDescent="0.3">
      <c r="A8958" s="7">
        <f t="shared" ca="1" si="1263"/>
        <v>45702</v>
      </c>
      <c r="B8958" s="5">
        <f t="shared" si="1264"/>
        <v>291.27</v>
      </c>
    </row>
    <row r="8959" spans="1:2" ht="15.75" customHeight="1" thickBot="1" x14ac:dyDescent="0.3">
      <c r="A8959" s="7">
        <f t="shared" ca="1" si="1263"/>
        <v>45702</v>
      </c>
      <c r="B8959" s="5">
        <f t="shared" si="1264"/>
        <v>291.27</v>
      </c>
    </row>
    <row r="8960" spans="1:2" ht="15.75" customHeight="1" thickBot="1" x14ac:dyDescent="0.3">
      <c r="A8960" s="7">
        <f t="shared" ca="1" si="1263"/>
        <v>45702</v>
      </c>
      <c r="B8960" s="5">
        <f t="shared" si="1264"/>
        <v>291.27</v>
      </c>
    </row>
    <row r="8961" spans="1:2" ht="15.75" customHeight="1" thickBot="1" x14ac:dyDescent="0.3">
      <c r="A8961" s="7">
        <f t="shared" ca="1" si="1263"/>
        <v>45702</v>
      </c>
      <c r="B8961" s="5">
        <f t="shared" si="1264"/>
        <v>291.27</v>
      </c>
    </row>
    <row r="8962" spans="1:2" ht="15.75" customHeight="1" thickBot="1" x14ac:dyDescent="0.3">
      <c r="A8962" s="7">
        <f t="shared" ca="1" si="1263"/>
        <v>45702</v>
      </c>
      <c r="B8962" s="5">
        <f t="shared" si="1264"/>
        <v>291.27</v>
      </c>
    </row>
    <row r="8963" spans="1:2" ht="15.75" customHeight="1" thickBot="1" x14ac:dyDescent="0.3">
      <c r="A8963" s="7">
        <f t="shared" ca="1" si="1263"/>
        <v>45702</v>
      </c>
      <c r="B8963" s="5">
        <f t="shared" si="1264"/>
        <v>291.27</v>
      </c>
    </row>
    <row r="8964" spans="1:2" ht="15.75" customHeight="1" thickBot="1" x14ac:dyDescent="0.3">
      <c r="A8964" s="7">
        <f t="shared" ca="1" si="1263"/>
        <v>45702</v>
      </c>
      <c r="B8964" s="5">
        <f t="shared" si="1264"/>
        <v>291.27</v>
      </c>
    </row>
    <row r="8965" spans="1:2" ht="15.75" customHeight="1" thickBot="1" x14ac:dyDescent="0.3">
      <c r="A8965" s="7">
        <f t="shared" ca="1" si="1263"/>
        <v>45702</v>
      </c>
      <c r="B8965" s="5">
        <f t="shared" si="1264"/>
        <v>291.27</v>
      </c>
    </row>
    <row r="8966" spans="1:2" ht="15.75" customHeight="1" thickBot="1" x14ac:dyDescent="0.3">
      <c r="A8966" s="7">
        <f t="shared" ca="1" si="1263"/>
        <v>45702</v>
      </c>
      <c r="B8966" s="5">
        <f t="shared" si="1264"/>
        <v>291.27</v>
      </c>
    </row>
    <row r="8967" spans="1:2" ht="15.75" customHeight="1" thickBot="1" x14ac:dyDescent="0.3">
      <c r="A8967" s="7">
        <f t="shared" ca="1" si="1263"/>
        <v>45702</v>
      </c>
      <c r="B8967" s="5">
        <f t="shared" si="1264"/>
        <v>291.27</v>
      </c>
    </row>
    <row r="8968" spans="1:2" ht="15.75" customHeight="1" thickBot="1" x14ac:dyDescent="0.3">
      <c r="A8968" s="7">
        <f t="shared" ca="1" si="1263"/>
        <v>45702</v>
      </c>
      <c r="B8968" s="5">
        <f t="shared" si="1264"/>
        <v>291.27</v>
      </c>
    </row>
    <row r="8969" spans="1:2" ht="15.75" customHeight="1" thickBot="1" x14ac:dyDescent="0.3">
      <c r="A8969" s="7">
        <f t="shared" ca="1" si="1263"/>
        <v>45702</v>
      </c>
      <c r="B8969" s="5">
        <f t="shared" si="1264"/>
        <v>291.27</v>
      </c>
    </row>
    <row r="8970" spans="1:2" ht="15.75" customHeight="1" thickBot="1" x14ac:dyDescent="0.3">
      <c r="A8970" s="7">
        <f t="shared" ca="1" si="1263"/>
        <v>45702</v>
      </c>
      <c r="B8970" s="5">
        <f t="shared" si="1264"/>
        <v>291.27</v>
      </c>
    </row>
    <row r="8971" spans="1:2" ht="15.75" customHeight="1" thickBot="1" x14ac:dyDescent="0.3">
      <c r="A8971" s="7">
        <f t="shared" ca="1" si="1263"/>
        <v>45702</v>
      </c>
      <c r="B8971" s="5">
        <f t="shared" si="1264"/>
        <v>291.27</v>
      </c>
    </row>
    <row r="8972" spans="1:2" ht="15.75" customHeight="1" thickBot="1" x14ac:dyDescent="0.3">
      <c r="A8972" s="7">
        <f t="shared" ca="1" si="1263"/>
        <v>45702</v>
      </c>
      <c r="B8972" s="5">
        <f t="shared" si="1264"/>
        <v>291.27</v>
      </c>
    </row>
    <row r="8973" spans="1:2" ht="15.75" customHeight="1" thickBot="1" x14ac:dyDescent="0.3">
      <c r="A8973" s="7">
        <f t="shared" ca="1" si="1263"/>
        <v>45702</v>
      </c>
      <c r="B8973" s="5">
        <f t="shared" si="1264"/>
        <v>291.27</v>
      </c>
    </row>
    <row r="8974" spans="1:2" ht="15.75" customHeight="1" thickBot="1" x14ac:dyDescent="0.3">
      <c r="A8974" s="7">
        <f t="shared" ca="1" si="1263"/>
        <v>45702</v>
      </c>
      <c r="B8974" s="5">
        <f t="shared" si="1264"/>
        <v>291.27</v>
      </c>
    </row>
    <row r="8975" spans="1:2" ht="15.75" customHeight="1" thickBot="1" x14ac:dyDescent="0.3">
      <c r="A8975" s="7">
        <f t="shared" ca="1" si="1263"/>
        <v>45702</v>
      </c>
      <c r="B8975" s="5">
        <f t="shared" si="1264"/>
        <v>291.27</v>
      </c>
    </row>
    <row r="8976" spans="1:2" ht="15.75" customHeight="1" thickBot="1" x14ac:dyDescent="0.3">
      <c r="A8976" s="7">
        <f t="shared" ca="1" si="1263"/>
        <v>45702</v>
      </c>
      <c r="B8976" s="5">
        <f t="shared" si="1264"/>
        <v>291.27</v>
      </c>
    </row>
    <row r="8977" spans="1:2" ht="15.75" customHeight="1" thickBot="1" x14ac:dyDescent="0.3">
      <c r="A8977" s="7">
        <f t="shared" ca="1" si="1263"/>
        <v>45702</v>
      </c>
      <c r="B8977" s="5">
        <f t="shared" si="1264"/>
        <v>291.27</v>
      </c>
    </row>
    <row r="8978" spans="1:2" ht="15.75" customHeight="1" thickBot="1" x14ac:dyDescent="0.3">
      <c r="A8978" s="7">
        <f t="shared" ca="1" si="1263"/>
        <v>45702</v>
      </c>
      <c r="B8978" s="5">
        <f t="shared" si="1264"/>
        <v>291.27</v>
      </c>
    </row>
    <row r="8979" spans="1:2" ht="15.75" customHeight="1" thickBot="1" x14ac:dyDescent="0.3">
      <c r="A8979" s="7">
        <f t="shared" ca="1" si="1263"/>
        <v>45702</v>
      </c>
      <c r="B8979" s="5">
        <f t="shared" si="1264"/>
        <v>291.27</v>
      </c>
    </row>
    <row r="8980" spans="1:2" ht="15.75" customHeight="1" thickBot="1" x14ac:dyDescent="0.3">
      <c r="A8980" s="7">
        <f t="shared" ca="1" si="1263"/>
        <v>45702</v>
      </c>
      <c r="B8980" s="5">
        <f t="shared" si="1264"/>
        <v>291.27</v>
      </c>
    </row>
    <row r="8981" spans="1:2" ht="15.75" customHeight="1" thickBot="1" x14ac:dyDescent="0.3">
      <c r="A8981" s="7">
        <f t="shared" ca="1" si="1263"/>
        <v>45702</v>
      </c>
      <c r="B8981" s="5">
        <f t="shared" si="1264"/>
        <v>291.27</v>
      </c>
    </row>
    <row r="8982" spans="1:2" ht="15.75" customHeight="1" thickBot="1" x14ac:dyDescent="0.3">
      <c r="A8982" s="7">
        <f t="shared" ca="1" si="1263"/>
        <v>45702</v>
      </c>
      <c r="B8982" s="5">
        <f t="shared" si="1264"/>
        <v>291.27</v>
      </c>
    </row>
    <row r="8983" spans="1:2" ht="15.75" customHeight="1" thickBot="1" x14ac:dyDescent="0.3">
      <c r="A8983" s="7">
        <f t="shared" ca="1" si="1263"/>
        <v>45702</v>
      </c>
      <c r="B8983" s="5">
        <f t="shared" si="1264"/>
        <v>291.27</v>
      </c>
    </row>
    <row r="8984" spans="1:2" ht="15.75" customHeight="1" thickBot="1" x14ac:dyDescent="0.3">
      <c r="A8984" s="7">
        <f t="shared" ca="1" si="1263"/>
        <v>45702</v>
      </c>
      <c r="B8984" s="5">
        <f t="shared" si="1264"/>
        <v>291.27</v>
      </c>
    </row>
    <row r="8985" spans="1:2" ht="15.75" customHeight="1" thickBot="1" x14ac:dyDescent="0.3">
      <c r="A8985" s="7">
        <f t="shared" ca="1" si="1263"/>
        <v>45702</v>
      </c>
      <c r="B8985" s="5">
        <f t="shared" si="1264"/>
        <v>291.27</v>
      </c>
    </row>
    <row r="8986" spans="1:2" ht="15.75" customHeight="1" thickBot="1" x14ac:dyDescent="0.3">
      <c r="A8986" s="7">
        <f t="shared" ca="1" si="1263"/>
        <v>45702</v>
      </c>
      <c r="B8986" s="5">
        <f t="shared" si="1264"/>
        <v>291.27</v>
      </c>
    </row>
    <row r="8987" spans="1:2" ht="15.75" customHeight="1" thickBot="1" x14ac:dyDescent="0.3">
      <c r="A8987" s="7">
        <f t="shared" ca="1" si="1263"/>
        <v>45702</v>
      </c>
      <c r="B8987" s="5">
        <f t="shared" si="1264"/>
        <v>291.27</v>
      </c>
    </row>
    <row r="8988" spans="1:2" ht="15.75" customHeight="1" thickBot="1" x14ac:dyDescent="0.3">
      <c r="A8988" s="7">
        <f t="shared" ca="1" si="1263"/>
        <v>45702</v>
      </c>
      <c r="B8988" s="5">
        <f t="shared" si="1264"/>
        <v>291.27</v>
      </c>
    </row>
    <row r="8989" spans="1:2" ht="15.75" customHeight="1" thickBot="1" x14ac:dyDescent="0.3">
      <c r="A8989" s="7">
        <f t="shared" ca="1" si="1263"/>
        <v>45702</v>
      </c>
      <c r="B8989" s="5">
        <f t="shared" si="1264"/>
        <v>291.27</v>
      </c>
    </row>
    <row r="8990" spans="1:2" ht="15.75" customHeight="1" thickBot="1" x14ac:dyDescent="0.3">
      <c r="A8990" s="7">
        <f t="shared" ca="1" si="1263"/>
        <v>45702</v>
      </c>
      <c r="B8990" s="5">
        <f t="shared" si="1264"/>
        <v>291.27</v>
      </c>
    </row>
    <row r="8991" spans="1:2" ht="15.75" customHeight="1" thickBot="1" x14ac:dyDescent="0.3">
      <c r="A8991" s="7">
        <f t="shared" ca="1" si="1263"/>
        <v>45702</v>
      </c>
      <c r="B8991" s="5">
        <f t="shared" si="1264"/>
        <v>291.27</v>
      </c>
    </row>
    <row r="8992" spans="1:2" ht="15.75" customHeight="1" thickBot="1" x14ac:dyDescent="0.3">
      <c r="A8992" s="7">
        <f t="shared" ca="1" si="1263"/>
        <v>45702</v>
      </c>
      <c r="B8992" s="5">
        <f t="shared" si="1264"/>
        <v>291.27</v>
      </c>
    </row>
    <row r="8993" spans="1:2" ht="15.75" customHeight="1" thickBot="1" x14ac:dyDescent="0.3">
      <c r="A8993" s="7">
        <f t="shared" ca="1" si="1263"/>
        <v>45702</v>
      </c>
      <c r="B8993" s="5">
        <f t="shared" si="1264"/>
        <v>291.27</v>
      </c>
    </row>
    <row r="8994" spans="1:2" ht="15.75" customHeight="1" thickBot="1" x14ac:dyDescent="0.3">
      <c r="A8994" s="7">
        <f t="shared" ca="1" si="1263"/>
        <v>45702</v>
      </c>
      <c r="B8994" s="5">
        <f t="shared" si="1264"/>
        <v>291.27</v>
      </c>
    </row>
    <row r="8995" spans="1:2" ht="15.75" customHeight="1" thickBot="1" x14ac:dyDescent="0.3">
      <c r="A8995" s="7">
        <f t="shared" ca="1" si="1263"/>
        <v>45702</v>
      </c>
      <c r="B8995" s="5">
        <f t="shared" si="1264"/>
        <v>291.27</v>
      </c>
    </row>
    <row r="8996" spans="1:2" ht="15.75" customHeight="1" thickBot="1" x14ac:dyDescent="0.3">
      <c r="A8996" s="7">
        <f t="shared" ca="1" si="1263"/>
        <v>45702</v>
      </c>
      <c r="B8996" s="5">
        <f t="shared" si="1264"/>
        <v>291.27</v>
      </c>
    </row>
    <row r="8997" spans="1:2" ht="15.75" customHeight="1" thickBot="1" x14ac:dyDescent="0.3">
      <c r="A8997" s="7">
        <f t="shared" ca="1" si="1263"/>
        <v>45702</v>
      </c>
      <c r="B8997" s="5">
        <f t="shared" si="1264"/>
        <v>291.27</v>
      </c>
    </row>
    <row r="8998" spans="1:2" ht="15.75" customHeight="1" thickBot="1" x14ac:dyDescent="0.3">
      <c r="A8998" s="7">
        <f t="shared" ca="1" si="1263"/>
        <v>45702</v>
      </c>
      <c r="B8998" s="5">
        <f t="shared" si="1264"/>
        <v>291.27</v>
      </c>
    </row>
    <row r="8999" spans="1:2" ht="15.75" customHeight="1" thickBot="1" x14ac:dyDescent="0.3">
      <c r="A8999" s="7">
        <f t="shared" ca="1" si="1263"/>
        <v>45702</v>
      </c>
      <c r="B8999" s="5">
        <f t="shared" si="1264"/>
        <v>291.27</v>
      </c>
    </row>
    <row r="9000" spans="1:2" ht="15.75" customHeight="1" thickBot="1" x14ac:dyDescent="0.3">
      <c r="A9000" s="7">
        <f t="shared" ca="1" si="1263"/>
        <v>45702</v>
      </c>
      <c r="B9000" s="5">
        <f t="shared" si="1264"/>
        <v>291.27</v>
      </c>
    </row>
    <row r="9001" spans="1:2" ht="15.75" customHeight="1" thickBot="1" x14ac:dyDescent="0.3">
      <c r="A9001" s="7">
        <f t="shared" ca="1" si="1263"/>
        <v>45702</v>
      </c>
      <c r="B9001" s="5">
        <f t="shared" si="1264"/>
        <v>291.27</v>
      </c>
    </row>
    <row r="9002" spans="1:2" ht="15.75" customHeight="1" thickBot="1" x14ac:dyDescent="0.3">
      <c r="A9002" s="7">
        <f t="shared" ca="1" si="1263"/>
        <v>45702</v>
      </c>
      <c r="B9002" s="5">
        <f t="shared" si="1264"/>
        <v>291.27</v>
      </c>
    </row>
    <row r="9003" spans="1:2" ht="15.75" customHeight="1" thickBot="1" x14ac:dyDescent="0.3">
      <c r="A9003" s="7">
        <f t="shared" ca="1" si="1263"/>
        <v>45702</v>
      </c>
      <c r="B9003" s="5">
        <f t="shared" si="1264"/>
        <v>291.27</v>
      </c>
    </row>
    <row r="9004" spans="1:2" ht="15.75" customHeight="1" thickBot="1" x14ac:dyDescent="0.3">
      <c r="A9004" s="7">
        <f t="shared" ca="1" si="1263"/>
        <v>45702</v>
      </c>
      <c r="B9004" s="5">
        <f t="shared" si="1264"/>
        <v>291.27</v>
      </c>
    </row>
    <row r="9005" spans="1:2" ht="15.75" customHeight="1" thickBot="1" x14ac:dyDescent="0.3">
      <c r="A9005" s="7">
        <f t="shared" ref="A9005:A9068" ca="1" si="1265">A9004</f>
        <v>45702</v>
      </c>
      <c r="B9005" s="5">
        <f t="shared" ref="B9005:B9068" si="1266">B9004</f>
        <v>291.27</v>
      </c>
    </row>
    <row r="9006" spans="1:2" ht="15.75" customHeight="1" thickBot="1" x14ac:dyDescent="0.3">
      <c r="A9006" s="7">
        <f t="shared" ca="1" si="1265"/>
        <v>45702</v>
      </c>
      <c r="B9006" s="5">
        <f t="shared" si="1266"/>
        <v>291.27</v>
      </c>
    </row>
    <row r="9007" spans="1:2" ht="15.75" customHeight="1" thickBot="1" x14ac:dyDescent="0.3">
      <c r="A9007" s="7">
        <f t="shared" ca="1" si="1265"/>
        <v>45702</v>
      </c>
      <c r="B9007" s="5">
        <f t="shared" si="1266"/>
        <v>291.27</v>
      </c>
    </row>
    <row r="9008" spans="1:2" ht="15.75" customHeight="1" thickBot="1" x14ac:dyDescent="0.3">
      <c r="A9008" s="7">
        <f t="shared" ca="1" si="1265"/>
        <v>45702</v>
      </c>
      <c r="B9008" s="5">
        <f t="shared" si="1266"/>
        <v>291.27</v>
      </c>
    </row>
    <row r="9009" spans="1:2" ht="15.75" customHeight="1" thickBot="1" x14ac:dyDescent="0.3">
      <c r="A9009" s="7">
        <f t="shared" ca="1" si="1265"/>
        <v>45702</v>
      </c>
      <c r="B9009" s="5">
        <f t="shared" si="1266"/>
        <v>291.27</v>
      </c>
    </row>
    <row r="9010" spans="1:2" ht="15.75" customHeight="1" thickBot="1" x14ac:dyDescent="0.3">
      <c r="A9010" s="7">
        <f t="shared" ca="1" si="1265"/>
        <v>45702</v>
      </c>
      <c r="B9010" s="5">
        <f t="shared" si="1266"/>
        <v>291.27</v>
      </c>
    </row>
    <row r="9011" spans="1:2" ht="15.75" customHeight="1" thickBot="1" x14ac:dyDescent="0.3">
      <c r="A9011" s="7">
        <f t="shared" ca="1" si="1265"/>
        <v>45702</v>
      </c>
      <c r="B9011" s="5">
        <f t="shared" si="1266"/>
        <v>291.27</v>
      </c>
    </row>
    <row r="9012" spans="1:2" ht="15.75" customHeight="1" thickBot="1" x14ac:dyDescent="0.3">
      <c r="A9012" s="7">
        <f t="shared" ca="1" si="1265"/>
        <v>45702</v>
      </c>
      <c r="B9012" s="5">
        <f t="shared" si="1266"/>
        <v>291.27</v>
      </c>
    </row>
    <row r="9013" spans="1:2" ht="15.75" customHeight="1" thickBot="1" x14ac:dyDescent="0.3">
      <c r="A9013" s="7">
        <f t="shared" ca="1" si="1265"/>
        <v>45702</v>
      </c>
      <c r="B9013" s="5">
        <f t="shared" si="1266"/>
        <v>291.27</v>
      </c>
    </row>
    <row r="9014" spans="1:2" ht="15.75" customHeight="1" thickBot="1" x14ac:dyDescent="0.3">
      <c r="A9014" s="7">
        <f t="shared" ca="1" si="1265"/>
        <v>45702</v>
      </c>
      <c r="B9014" s="5">
        <f t="shared" si="1266"/>
        <v>291.27</v>
      </c>
    </row>
    <row r="9015" spans="1:2" ht="15.75" customHeight="1" thickBot="1" x14ac:dyDescent="0.3">
      <c r="A9015" s="7">
        <f t="shared" ca="1" si="1265"/>
        <v>45702</v>
      </c>
      <c r="B9015" s="5">
        <f t="shared" si="1266"/>
        <v>291.27</v>
      </c>
    </row>
    <row r="9016" spans="1:2" ht="15.75" customHeight="1" thickBot="1" x14ac:dyDescent="0.3">
      <c r="A9016" s="7">
        <f t="shared" ca="1" si="1265"/>
        <v>45702</v>
      </c>
      <c r="B9016" s="5">
        <f t="shared" si="1266"/>
        <v>291.27</v>
      </c>
    </row>
    <row r="9017" spans="1:2" ht="15.75" customHeight="1" thickBot="1" x14ac:dyDescent="0.3">
      <c r="A9017" s="7">
        <f t="shared" ca="1" si="1265"/>
        <v>45702</v>
      </c>
      <c r="B9017" s="5">
        <f t="shared" si="1266"/>
        <v>291.27</v>
      </c>
    </row>
    <row r="9018" spans="1:2" ht="15.75" customHeight="1" thickBot="1" x14ac:dyDescent="0.3">
      <c r="A9018" s="7">
        <f t="shared" ca="1" si="1265"/>
        <v>45702</v>
      </c>
      <c r="B9018" s="5">
        <f t="shared" si="1266"/>
        <v>291.27</v>
      </c>
    </row>
    <row r="9019" spans="1:2" ht="15.75" customHeight="1" thickBot="1" x14ac:dyDescent="0.3">
      <c r="A9019" s="7">
        <f t="shared" ca="1" si="1265"/>
        <v>45702</v>
      </c>
      <c r="B9019" s="5">
        <f t="shared" si="1266"/>
        <v>291.27</v>
      </c>
    </row>
    <row r="9020" spans="1:2" ht="15.75" customHeight="1" thickBot="1" x14ac:dyDescent="0.3">
      <c r="A9020" s="7">
        <f t="shared" ca="1" si="1265"/>
        <v>45702</v>
      </c>
      <c r="B9020" s="5">
        <f t="shared" si="1266"/>
        <v>291.27</v>
      </c>
    </row>
    <row r="9021" spans="1:2" ht="15.75" customHeight="1" thickBot="1" x14ac:dyDescent="0.3">
      <c r="A9021" s="7">
        <f t="shared" ca="1" si="1265"/>
        <v>45702</v>
      </c>
      <c r="B9021" s="5">
        <f t="shared" si="1266"/>
        <v>291.27</v>
      </c>
    </row>
    <row r="9022" spans="1:2" ht="15.75" customHeight="1" thickBot="1" x14ac:dyDescent="0.3">
      <c r="A9022" s="7">
        <f t="shared" ca="1" si="1265"/>
        <v>45702</v>
      </c>
      <c r="B9022" s="5">
        <f t="shared" si="1266"/>
        <v>291.27</v>
      </c>
    </row>
    <row r="9023" spans="1:2" ht="15.75" customHeight="1" thickBot="1" x14ac:dyDescent="0.3">
      <c r="A9023" s="7">
        <f t="shared" ca="1" si="1265"/>
        <v>45702</v>
      </c>
      <c r="B9023" s="5">
        <f t="shared" si="1266"/>
        <v>291.27</v>
      </c>
    </row>
    <row r="9024" spans="1:2" ht="15.75" customHeight="1" thickBot="1" x14ac:dyDescent="0.3">
      <c r="A9024" s="7">
        <f t="shared" ca="1" si="1265"/>
        <v>45702</v>
      </c>
      <c r="B9024" s="5">
        <f t="shared" si="1266"/>
        <v>291.27</v>
      </c>
    </row>
    <row r="9025" spans="1:2" ht="15.75" customHeight="1" thickBot="1" x14ac:dyDescent="0.3">
      <c r="A9025" s="7">
        <f t="shared" ca="1" si="1265"/>
        <v>45702</v>
      </c>
      <c r="B9025" s="5">
        <f t="shared" si="1266"/>
        <v>291.27</v>
      </c>
    </row>
    <row r="9026" spans="1:2" ht="15.75" customHeight="1" thickBot="1" x14ac:dyDescent="0.3">
      <c r="A9026" s="7">
        <f t="shared" ca="1" si="1265"/>
        <v>45702</v>
      </c>
      <c r="B9026" s="5">
        <f t="shared" si="1266"/>
        <v>291.27</v>
      </c>
    </row>
    <row r="9027" spans="1:2" ht="15.75" customHeight="1" thickBot="1" x14ac:dyDescent="0.3">
      <c r="A9027" s="7">
        <f t="shared" ca="1" si="1265"/>
        <v>45702</v>
      </c>
      <c r="B9027" s="5">
        <f t="shared" si="1266"/>
        <v>291.27</v>
      </c>
    </row>
    <row r="9028" spans="1:2" ht="15.75" customHeight="1" thickBot="1" x14ac:dyDescent="0.3">
      <c r="A9028" s="7">
        <f t="shared" ca="1" si="1265"/>
        <v>45702</v>
      </c>
      <c r="B9028" s="5">
        <f t="shared" si="1266"/>
        <v>291.27</v>
      </c>
    </row>
    <row r="9029" spans="1:2" ht="15.75" customHeight="1" thickBot="1" x14ac:dyDescent="0.3">
      <c r="A9029" s="7">
        <f t="shared" ca="1" si="1265"/>
        <v>45702</v>
      </c>
      <c r="B9029" s="5">
        <f t="shared" si="1266"/>
        <v>291.27</v>
      </c>
    </row>
    <row r="9030" spans="1:2" ht="15.75" customHeight="1" thickBot="1" x14ac:dyDescent="0.3">
      <c r="A9030" s="7">
        <f t="shared" ca="1" si="1265"/>
        <v>45702</v>
      </c>
      <c r="B9030" s="5">
        <f t="shared" si="1266"/>
        <v>291.27</v>
      </c>
    </row>
    <row r="9031" spans="1:2" ht="15.75" customHeight="1" thickBot="1" x14ac:dyDescent="0.3">
      <c r="A9031" s="7">
        <f t="shared" ca="1" si="1265"/>
        <v>45702</v>
      </c>
      <c r="B9031" s="5">
        <f t="shared" si="1266"/>
        <v>291.27</v>
      </c>
    </row>
    <row r="9032" spans="1:2" ht="15.75" customHeight="1" thickBot="1" x14ac:dyDescent="0.3">
      <c r="A9032" s="7">
        <f t="shared" ca="1" si="1265"/>
        <v>45702</v>
      </c>
      <c r="B9032" s="5">
        <f t="shared" si="1266"/>
        <v>291.27</v>
      </c>
    </row>
    <row r="9033" spans="1:2" ht="15.75" customHeight="1" thickBot="1" x14ac:dyDescent="0.3">
      <c r="A9033" s="7">
        <f t="shared" ca="1" si="1265"/>
        <v>45702</v>
      </c>
      <c r="B9033" s="5">
        <f t="shared" si="1266"/>
        <v>291.27</v>
      </c>
    </row>
    <row r="9034" spans="1:2" ht="15.75" customHeight="1" thickBot="1" x14ac:dyDescent="0.3">
      <c r="A9034" s="7">
        <f t="shared" ca="1" si="1265"/>
        <v>45702</v>
      </c>
      <c r="B9034" s="5">
        <f t="shared" si="1266"/>
        <v>291.27</v>
      </c>
    </row>
    <row r="9035" spans="1:2" ht="15.75" customHeight="1" thickBot="1" x14ac:dyDescent="0.3">
      <c r="A9035" s="7">
        <f t="shared" ca="1" si="1265"/>
        <v>45702</v>
      </c>
      <c r="B9035" s="5">
        <f t="shared" si="1266"/>
        <v>291.27</v>
      </c>
    </row>
    <row r="9036" spans="1:2" ht="15.75" customHeight="1" thickBot="1" x14ac:dyDescent="0.3">
      <c r="A9036" s="7">
        <f t="shared" ca="1" si="1265"/>
        <v>45702</v>
      </c>
      <c r="B9036" s="5">
        <f t="shared" si="1266"/>
        <v>291.27</v>
      </c>
    </row>
    <row r="9037" spans="1:2" ht="15.75" customHeight="1" thickBot="1" x14ac:dyDescent="0.3">
      <c r="A9037" s="7">
        <f t="shared" ca="1" si="1265"/>
        <v>45702</v>
      </c>
      <c r="B9037" s="5">
        <f t="shared" si="1266"/>
        <v>291.27</v>
      </c>
    </row>
    <row r="9038" spans="1:2" ht="15.75" customHeight="1" thickBot="1" x14ac:dyDescent="0.3">
      <c r="A9038" s="7">
        <f t="shared" ca="1" si="1265"/>
        <v>45702</v>
      </c>
      <c r="B9038" s="5">
        <f t="shared" si="1266"/>
        <v>291.27</v>
      </c>
    </row>
    <row r="9039" spans="1:2" ht="15.75" customHeight="1" thickBot="1" x14ac:dyDescent="0.3">
      <c r="A9039" s="7">
        <f t="shared" ca="1" si="1265"/>
        <v>45702</v>
      </c>
      <c r="B9039" s="5">
        <f t="shared" si="1266"/>
        <v>291.27</v>
      </c>
    </row>
    <row r="9040" spans="1:2" ht="15.75" customHeight="1" thickBot="1" x14ac:dyDescent="0.3">
      <c r="A9040" s="7">
        <f t="shared" ca="1" si="1265"/>
        <v>45702</v>
      </c>
      <c r="B9040" s="5">
        <f t="shared" si="1266"/>
        <v>291.27</v>
      </c>
    </row>
    <row r="9041" spans="1:2" ht="15.75" customHeight="1" thickBot="1" x14ac:dyDescent="0.3">
      <c r="A9041" s="7">
        <f t="shared" ca="1" si="1265"/>
        <v>45702</v>
      </c>
      <c r="B9041" s="5">
        <f t="shared" si="1266"/>
        <v>291.27</v>
      </c>
    </row>
    <row r="9042" spans="1:2" ht="15.75" customHeight="1" thickBot="1" x14ac:dyDescent="0.3">
      <c r="A9042" s="7">
        <f t="shared" ca="1" si="1265"/>
        <v>45702</v>
      </c>
      <c r="B9042" s="5">
        <f t="shared" si="1266"/>
        <v>291.27</v>
      </c>
    </row>
    <row r="9043" spans="1:2" ht="15.75" customHeight="1" thickBot="1" x14ac:dyDescent="0.3">
      <c r="A9043" s="7">
        <f t="shared" ca="1" si="1265"/>
        <v>45702</v>
      </c>
      <c r="B9043" s="5">
        <f t="shared" si="1266"/>
        <v>291.27</v>
      </c>
    </row>
    <row r="9044" spans="1:2" ht="15.75" customHeight="1" thickBot="1" x14ac:dyDescent="0.3">
      <c r="A9044" s="7">
        <f t="shared" ca="1" si="1265"/>
        <v>45702</v>
      </c>
      <c r="B9044" s="5">
        <f t="shared" si="1266"/>
        <v>291.27</v>
      </c>
    </row>
    <row r="9045" spans="1:2" ht="15.75" customHeight="1" thickBot="1" x14ac:dyDescent="0.3">
      <c r="A9045" s="7">
        <f t="shared" ca="1" si="1265"/>
        <v>45702</v>
      </c>
      <c r="B9045" s="5">
        <f t="shared" si="1266"/>
        <v>291.27</v>
      </c>
    </row>
    <row r="9046" spans="1:2" ht="15.75" customHeight="1" thickBot="1" x14ac:dyDescent="0.3">
      <c r="A9046" s="7">
        <f t="shared" ca="1" si="1265"/>
        <v>45702</v>
      </c>
      <c r="B9046" s="5">
        <f t="shared" si="1266"/>
        <v>291.27</v>
      </c>
    </row>
    <row r="9047" spans="1:2" ht="15.75" customHeight="1" thickBot="1" x14ac:dyDescent="0.3">
      <c r="A9047" s="7">
        <f t="shared" ca="1" si="1265"/>
        <v>45702</v>
      </c>
      <c r="B9047" s="5">
        <f t="shared" si="1266"/>
        <v>291.27</v>
      </c>
    </row>
    <row r="9048" spans="1:2" ht="15.75" customHeight="1" thickBot="1" x14ac:dyDescent="0.3">
      <c r="A9048" s="7">
        <f t="shared" ca="1" si="1265"/>
        <v>45702</v>
      </c>
      <c r="B9048" s="5">
        <f t="shared" si="1266"/>
        <v>291.27</v>
      </c>
    </row>
    <row r="9049" spans="1:2" ht="15.75" customHeight="1" thickBot="1" x14ac:dyDescent="0.3">
      <c r="A9049" s="7">
        <f t="shared" ca="1" si="1265"/>
        <v>45702</v>
      </c>
      <c r="B9049" s="5">
        <f t="shared" si="1266"/>
        <v>291.27</v>
      </c>
    </row>
    <row r="9050" spans="1:2" ht="15.75" customHeight="1" thickBot="1" x14ac:dyDescent="0.3">
      <c r="A9050" s="7">
        <f t="shared" ca="1" si="1265"/>
        <v>45702</v>
      </c>
      <c r="B9050" s="5">
        <f t="shared" si="1266"/>
        <v>291.27</v>
      </c>
    </row>
    <row r="9051" spans="1:2" ht="15.75" customHeight="1" thickBot="1" x14ac:dyDescent="0.3">
      <c r="A9051" s="7">
        <f t="shared" ca="1" si="1265"/>
        <v>45702</v>
      </c>
      <c r="B9051" s="5">
        <f t="shared" si="1266"/>
        <v>291.27</v>
      </c>
    </row>
    <row r="9052" spans="1:2" ht="15.75" customHeight="1" thickBot="1" x14ac:dyDescent="0.3">
      <c r="A9052" s="7">
        <f t="shared" ca="1" si="1265"/>
        <v>45702</v>
      </c>
      <c r="B9052" s="5">
        <f t="shared" si="1266"/>
        <v>291.27</v>
      </c>
    </row>
    <row r="9053" spans="1:2" ht="15.75" customHeight="1" thickBot="1" x14ac:dyDescent="0.3">
      <c r="A9053" s="7">
        <f t="shared" ca="1" si="1265"/>
        <v>45702</v>
      </c>
      <c r="B9053" s="5">
        <f t="shared" si="1266"/>
        <v>291.27</v>
      </c>
    </row>
    <row r="9054" spans="1:2" ht="15.75" customHeight="1" thickBot="1" x14ac:dyDescent="0.3">
      <c r="A9054" s="7">
        <f t="shared" ca="1" si="1265"/>
        <v>45702</v>
      </c>
      <c r="B9054" s="5">
        <f t="shared" si="1266"/>
        <v>291.27</v>
      </c>
    </row>
    <row r="9055" spans="1:2" ht="15.75" customHeight="1" thickBot="1" x14ac:dyDescent="0.3">
      <c r="A9055" s="7">
        <f t="shared" ca="1" si="1265"/>
        <v>45702</v>
      </c>
      <c r="B9055" s="5">
        <f t="shared" si="1266"/>
        <v>291.27</v>
      </c>
    </row>
    <row r="9056" spans="1:2" ht="15.75" customHeight="1" thickBot="1" x14ac:dyDescent="0.3">
      <c r="A9056" s="7">
        <f t="shared" ca="1" si="1265"/>
        <v>45702</v>
      </c>
      <c r="B9056" s="5">
        <f t="shared" si="1266"/>
        <v>291.27</v>
      </c>
    </row>
    <row r="9057" spans="1:2" ht="15.75" customHeight="1" thickBot="1" x14ac:dyDescent="0.3">
      <c r="A9057" s="7">
        <f t="shared" ca="1" si="1265"/>
        <v>45702</v>
      </c>
      <c r="B9057" s="5">
        <f t="shared" si="1266"/>
        <v>291.27</v>
      </c>
    </row>
    <row r="9058" spans="1:2" ht="15.75" customHeight="1" thickBot="1" x14ac:dyDescent="0.3">
      <c r="A9058" s="7">
        <f t="shared" ca="1" si="1265"/>
        <v>45702</v>
      </c>
      <c r="B9058" s="5">
        <f t="shared" si="1266"/>
        <v>291.27</v>
      </c>
    </row>
    <row r="9059" spans="1:2" ht="15.75" customHeight="1" thickBot="1" x14ac:dyDescent="0.3">
      <c r="A9059" s="7">
        <f t="shared" ca="1" si="1265"/>
        <v>45702</v>
      </c>
      <c r="B9059" s="5">
        <f t="shared" si="1266"/>
        <v>291.27</v>
      </c>
    </row>
    <row r="9060" spans="1:2" ht="15.75" customHeight="1" thickBot="1" x14ac:dyDescent="0.3">
      <c r="A9060" s="7">
        <f t="shared" ca="1" si="1265"/>
        <v>45702</v>
      </c>
      <c r="B9060" s="5">
        <f t="shared" si="1266"/>
        <v>291.27</v>
      </c>
    </row>
    <row r="9061" spans="1:2" ht="15.75" customHeight="1" thickBot="1" x14ac:dyDescent="0.3">
      <c r="A9061" s="7">
        <f t="shared" ca="1" si="1265"/>
        <v>45702</v>
      </c>
      <c r="B9061" s="5">
        <f t="shared" si="1266"/>
        <v>291.27</v>
      </c>
    </row>
    <row r="9062" spans="1:2" ht="15.75" customHeight="1" thickBot="1" x14ac:dyDescent="0.3">
      <c r="A9062" s="7">
        <f t="shared" ca="1" si="1265"/>
        <v>45702</v>
      </c>
      <c r="B9062" s="5">
        <f t="shared" si="1266"/>
        <v>291.27</v>
      </c>
    </row>
    <row r="9063" spans="1:2" ht="15.75" customHeight="1" thickBot="1" x14ac:dyDescent="0.3">
      <c r="A9063" s="7">
        <f t="shared" ca="1" si="1265"/>
        <v>45702</v>
      </c>
      <c r="B9063" s="5">
        <f t="shared" si="1266"/>
        <v>291.27</v>
      </c>
    </row>
    <row r="9064" spans="1:2" ht="15.75" customHeight="1" thickBot="1" x14ac:dyDescent="0.3">
      <c r="A9064" s="7">
        <f t="shared" ca="1" si="1265"/>
        <v>45702</v>
      </c>
      <c r="B9064" s="5">
        <f t="shared" si="1266"/>
        <v>291.27</v>
      </c>
    </row>
    <row r="9065" spans="1:2" ht="15.75" customHeight="1" thickBot="1" x14ac:dyDescent="0.3">
      <c r="A9065" s="7">
        <f t="shared" ca="1" si="1265"/>
        <v>45702</v>
      </c>
      <c r="B9065" s="5">
        <f t="shared" si="1266"/>
        <v>291.27</v>
      </c>
    </row>
    <row r="9066" spans="1:2" ht="15.75" customHeight="1" thickBot="1" x14ac:dyDescent="0.3">
      <c r="A9066" s="7">
        <f t="shared" ca="1" si="1265"/>
        <v>45702</v>
      </c>
      <c r="B9066" s="5">
        <f t="shared" si="1266"/>
        <v>291.27</v>
      </c>
    </row>
    <row r="9067" spans="1:2" ht="15.75" customHeight="1" thickBot="1" x14ac:dyDescent="0.3">
      <c r="A9067" s="7">
        <f t="shared" ca="1" si="1265"/>
        <v>45702</v>
      </c>
      <c r="B9067" s="5">
        <f t="shared" si="1266"/>
        <v>291.27</v>
      </c>
    </row>
    <row r="9068" spans="1:2" ht="15.75" customHeight="1" thickBot="1" x14ac:dyDescent="0.3">
      <c r="A9068" s="7">
        <f t="shared" ca="1" si="1265"/>
        <v>45702</v>
      </c>
      <c r="B9068" s="5">
        <f t="shared" si="1266"/>
        <v>291.27</v>
      </c>
    </row>
    <row r="9069" spans="1:2" ht="15.75" customHeight="1" thickBot="1" x14ac:dyDescent="0.3">
      <c r="A9069" s="7">
        <f t="shared" ref="A9069:A9132" ca="1" si="1267">A9068</f>
        <v>45702</v>
      </c>
      <c r="B9069" s="5">
        <f t="shared" ref="B9069:B9132" si="1268">B9068</f>
        <v>291.27</v>
      </c>
    </row>
    <row r="9070" spans="1:2" ht="15.75" customHeight="1" thickBot="1" x14ac:dyDescent="0.3">
      <c r="A9070" s="7">
        <f t="shared" ca="1" si="1267"/>
        <v>45702</v>
      </c>
      <c r="B9070" s="5">
        <f t="shared" si="1268"/>
        <v>291.27</v>
      </c>
    </row>
    <row r="9071" spans="1:2" ht="15.75" customHeight="1" thickBot="1" x14ac:dyDescent="0.3">
      <c r="A9071" s="7">
        <f t="shared" ca="1" si="1267"/>
        <v>45702</v>
      </c>
      <c r="B9071" s="5">
        <f t="shared" si="1268"/>
        <v>291.27</v>
      </c>
    </row>
    <row r="9072" spans="1:2" ht="15.75" customHeight="1" thickBot="1" x14ac:dyDescent="0.3">
      <c r="A9072" s="7">
        <f t="shared" ca="1" si="1267"/>
        <v>45702</v>
      </c>
      <c r="B9072" s="5">
        <f t="shared" si="1268"/>
        <v>291.27</v>
      </c>
    </row>
    <row r="9073" spans="1:2" ht="15.75" customHeight="1" thickBot="1" x14ac:dyDescent="0.3">
      <c r="A9073" s="7">
        <f t="shared" ca="1" si="1267"/>
        <v>45702</v>
      </c>
      <c r="B9073" s="5">
        <f t="shared" si="1268"/>
        <v>291.27</v>
      </c>
    </row>
    <row r="9074" spans="1:2" ht="15.75" customHeight="1" thickBot="1" x14ac:dyDescent="0.3">
      <c r="A9074" s="7">
        <f t="shared" ca="1" si="1267"/>
        <v>45702</v>
      </c>
      <c r="B9074" s="5">
        <f t="shared" si="1268"/>
        <v>291.27</v>
      </c>
    </row>
    <row r="9075" spans="1:2" ht="15.75" customHeight="1" thickBot="1" x14ac:dyDescent="0.3">
      <c r="A9075" s="7">
        <f t="shared" ca="1" si="1267"/>
        <v>45702</v>
      </c>
      <c r="B9075" s="5">
        <f t="shared" si="1268"/>
        <v>291.27</v>
      </c>
    </row>
    <row r="9076" spans="1:2" ht="15.75" customHeight="1" thickBot="1" x14ac:dyDescent="0.3">
      <c r="A9076" s="7">
        <f t="shared" ca="1" si="1267"/>
        <v>45702</v>
      </c>
      <c r="B9076" s="5">
        <f t="shared" si="1268"/>
        <v>291.27</v>
      </c>
    </row>
    <row r="9077" spans="1:2" ht="15.75" customHeight="1" thickBot="1" x14ac:dyDescent="0.3">
      <c r="A9077" s="7">
        <f t="shared" ca="1" si="1267"/>
        <v>45702</v>
      </c>
      <c r="B9077" s="5">
        <f t="shared" si="1268"/>
        <v>291.27</v>
      </c>
    </row>
    <row r="9078" spans="1:2" ht="15.75" customHeight="1" thickBot="1" x14ac:dyDescent="0.3">
      <c r="A9078" s="7">
        <f t="shared" ca="1" si="1267"/>
        <v>45702</v>
      </c>
      <c r="B9078" s="5">
        <f t="shared" si="1268"/>
        <v>291.27</v>
      </c>
    </row>
    <row r="9079" spans="1:2" ht="15.75" customHeight="1" thickBot="1" x14ac:dyDescent="0.3">
      <c r="A9079" s="7">
        <f t="shared" ca="1" si="1267"/>
        <v>45702</v>
      </c>
      <c r="B9079" s="5">
        <f t="shared" si="1268"/>
        <v>291.27</v>
      </c>
    </row>
    <row r="9080" spans="1:2" ht="15.75" customHeight="1" thickBot="1" x14ac:dyDescent="0.3">
      <c r="A9080" s="7">
        <f t="shared" ca="1" si="1267"/>
        <v>45702</v>
      </c>
      <c r="B9080" s="5">
        <f t="shared" si="1268"/>
        <v>291.27</v>
      </c>
    </row>
    <row r="9081" spans="1:2" ht="15.75" customHeight="1" thickBot="1" x14ac:dyDescent="0.3">
      <c r="A9081" s="7">
        <f t="shared" ca="1" si="1267"/>
        <v>45702</v>
      </c>
      <c r="B9081" s="5">
        <f t="shared" si="1268"/>
        <v>291.27</v>
      </c>
    </row>
    <row r="9082" spans="1:2" ht="15.75" customHeight="1" thickBot="1" x14ac:dyDescent="0.3">
      <c r="A9082" s="7">
        <f t="shared" ca="1" si="1267"/>
        <v>45702</v>
      </c>
      <c r="B9082" s="5">
        <f t="shared" si="1268"/>
        <v>291.27</v>
      </c>
    </row>
    <row r="9083" spans="1:2" ht="15.75" customHeight="1" thickBot="1" x14ac:dyDescent="0.3">
      <c r="A9083" s="7">
        <f t="shared" ca="1" si="1267"/>
        <v>45702</v>
      </c>
      <c r="B9083" s="5">
        <f t="shared" si="1268"/>
        <v>291.27</v>
      </c>
    </row>
    <row r="9084" spans="1:2" ht="15.75" customHeight="1" thickBot="1" x14ac:dyDescent="0.3">
      <c r="A9084" s="7">
        <f t="shared" ca="1" si="1267"/>
        <v>45702</v>
      </c>
      <c r="B9084" s="5">
        <f t="shared" si="1268"/>
        <v>291.27</v>
      </c>
    </row>
    <row r="9085" spans="1:2" ht="15.75" customHeight="1" thickBot="1" x14ac:dyDescent="0.3">
      <c r="A9085" s="7">
        <f t="shared" ca="1" si="1267"/>
        <v>45702</v>
      </c>
      <c r="B9085" s="5">
        <f t="shared" si="1268"/>
        <v>291.27</v>
      </c>
    </row>
    <row r="9086" spans="1:2" ht="15.75" customHeight="1" thickBot="1" x14ac:dyDescent="0.3">
      <c r="A9086" s="7">
        <f t="shared" ca="1" si="1267"/>
        <v>45702</v>
      </c>
      <c r="B9086" s="5">
        <f t="shared" si="1268"/>
        <v>291.27</v>
      </c>
    </row>
    <row r="9087" spans="1:2" ht="15.75" customHeight="1" thickBot="1" x14ac:dyDescent="0.3">
      <c r="A9087" s="7">
        <f t="shared" ca="1" si="1267"/>
        <v>45702</v>
      </c>
      <c r="B9087" s="5">
        <f t="shared" si="1268"/>
        <v>291.27</v>
      </c>
    </row>
    <row r="9088" spans="1:2" ht="15.75" customHeight="1" thickBot="1" x14ac:dyDescent="0.3">
      <c r="A9088" s="7">
        <f t="shared" ca="1" si="1267"/>
        <v>45702</v>
      </c>
      <c r="B9088" s="5">
        <f t="shared" si="1268"/>
        <v>291.27</v>
      </c>
    </row>
    <row r="9089" spans="1:2" ht="15.75" customHeight="1" thickBot="1" x14ac:dyDescent="0.3">
      <c r="A9089" s="7">
        <f t="shared" ca="1" si="1267"/>
        <v>45702</v>
      </c>
      <c r="B9089" s="5">
        <f t="shared" si="1268"/>
        <v>291.27</v>
      </c>
    </row>
    <row r="9090" spans="1:2" ht="15.75" customHeight="1" thickBot="1" x14ac:dyDescent="0.3">
      <c r="A9090" s="7">
        <f t="shared" ca="1" si="1267"/>
        <v>45702</v>
      </c>
      <c r="B9090" s="5">
        <f t="shared" si="1268"/>
        <v>291.27</v>
      </c>
    </row>
    <row r="9091" spans="1:2" ht="15.75" customHeight="1" thickBot="1" x14ac:dyDescent="0.3">
      <c r="A9091" s="7">
        <f t="shared" ca="1" si="1267"/>
        <v>45702</v>
      </c>
      <c r="B9091" s="5">
        <f t="shared" si="1268"/>
        <v>291.27</v>
      </c>
    </row>
    <row r="9092" spans="1:2" ht="15.75" customHeight="1" thickBot="1" x14ac:dyDescent="0.3">
      <c r="A9092" s="7">
        <f t="shared" ca="1" si="1267"/>
        <v>45702</v>
      </c>
      <c r="B9092" s="5">
        <f t="shared" si="1268"/>
        <v>291.27</v>
      </c>
    </row>
    <row r="9093" spans="1:2" ht="15.75" customHeight="1" thickBot="1" x14ac:dyDescent="0.3">
      <c r="A9093" s="7">
        <f t="shared" ca="1" si="1267"/>
        <v>45702</v>
      </c>
      <c r="B9093" s="5">
        <f t="shared" si="1268"/>
        <v>291.27</v>
      </c>
    </row>
    <row r="9094" spans="1:2" ht="15.75" customHeight="1" thickBot="1" x14ac:dyDescent="0.3">
      <c r="A9094" s="7">
        <f t="shared" ca="1" si="1267"/>
        <v>45702</v>
      </c>
      <c r="B9094" s="5">
        <f t="shared" si="1268"/>
        <v>291.27</v>
      </c>
    </row>
    <row r="9095" spans="1:2" ht="15.75" customHeight="1" thickBot="1" x14ac:dyDescent="0.3">
      <c r="A9095" s="7">
        <f t="shared" ca="1" si="1267"/>
        <v>45702</v>
      </c>
      <c r="B9095" s="5">
        <f t="shared" si="1268"/>
        <v>291.27</v>
      </c>
    </row>
    <row r="9096" spans="1:2" ht="15.75" customHeight="1" thickBot="1" x14ac:dyDescent="0.3">
      <c r="A9096" s="7">
        <f t="shared" ca="1" si="1267"/>
        <v>45702</v>
      </c>
      <c r="B9096" s="5">
        <f t="shared" si="1268"/>
        <v>291.27</v>
      </c>
    </row>
    <row r="9097" spans="1:2" ht="15.75" customHeight="1" thickBot="1" x14ac:dyDescent="0.3">
      <c r="A9097" s="7">
        <f t="shared" ca="1" si="1267"/>
        <v>45702</v>
      </c>
      <c r="B9097" s="5">
        <f t="shared" si="1268"/>
        <v>291.27</v>
      </c>
    </row>
    <row r="9098" spans="1:2" ht="15.75" customHeight="1" thickBot="1" x14ac:dyDescent="0.3">
      <c r="A9098" s="7">
        <f t="shared" ca="1" si="1267"/>
        <v>45702</v>
      </c>
      <c r="B9098" s="5">
        <f t="shared" si="1268"/>
        <v>291.27</v>
      </c>
    </row>
    <row r="9099" spans="1:2" ht="15.75" customHeight="1" thickBot="1" x14ac:dyDescent="0.3">
      <c r="A9099" s="7">
        <f t="shared" ca="1" si="1267"/>
        <v>45702</v>
      </c>
      <c r="B9099" s="5">
        <f t="shared" si="1268"/>
        <v>291.27</v>
      </c>
    </row>
    <row r="9100" spans="1:2" ht="15.75" customHeight="1" thickBot="1" x14ac:dyDescent="0.3">
      <c r="A9100" s="7">
        <f t="shared" ca="1" si="1267"/>
        <v>45702</v>
      </c>
      <c r="B9100" s="5">
        <f t="shared" si="1268"/>
        <v>291.27</v>
      </c>
    </row>
    <row r="9101" spans="1:2" ht="15.75" customHeight="1" thickBot="1" x14ac:dyDescent="0.3">
      <c r="A9101" s="7">
        <f t="shared" ca="1" si="1267"/>
        <v>45702</v>
      </c>
      <c r="B9101" s="5">
        <f t="shared" si="1268"/>
        <v>291.27</v>
      </c>
    </row>
    <row r="9102" spans="1:2" ht="15.75" customHeight="1" thickBot="1" x14ac:dyDescent="0.3">
      <c r="A9102" s="7">
        <f t="shared" ca="1" si="1267"/>
        <v>45702</v>
      </c>
      <c r="B9102" s="5">
        <f t="shared" si="1268"/>
        <v>291.27</v>
      </c>
    </row>
    <row r="9103" spans="1:2" ht="15.75" customHeight="1" thickBot="1" x14ac:dyDescent="0.3">
      <c r="A9103" s="7">
        <f t="shared" ca="1" si="1267"/>
        <v>45702</v>
      </c>
      <c r="B9103" s="5">
        <f t="shared" si="1268"/>
        <v>291.27</v>
      </c>
    </row>
    <row r="9104" spans="1:2" ht="15.75" customHeight="1" thickBot="1" x14ac:dyDescent="0.3">
      <c r="A9104" s="7">
        <f t="shared" ca="1" si="1267"/>
        <v>45702</v>
      </c>
      <c r="B9104" s="5">
        <f t="shared" si="1268"/>
        <v>291.27</v>
      </c>
    </row>
    <row r="9105" spans="1:2" ht="15.75" customHeight="1" thickBot="1" x14ac:dyDescent="0.3">
      <c r="A9105" s="7">
        <f t="shared" ca="1" si="1267"/>
        <v>45702</v>
      </c>
      <c r="B9105" s="5">
        <f t="shared" si="1268"/>
        <v>291.27</v>
      </c>
    </row>
    <row r="9106" spans="1:2" ht="15.75" customHeight="1" thickBot="1" x14ac:dyDescent="0.3">
      <c r="A9106" s="7">
        <f t="shared" ca="1" si="1267"/>
        <v>45702</v>
      </c>
      <c r="B9106" s="5">
        <f t="shared" si="1268"/>
        <v>291.27</v>
      </c>
    </row>
    <row r="9107" spans="1:2" ht="15.75" customHeight="1" thickBot="1" x14ac:dyDescent="0.3">
      <c r="A9107" s="7">
        <f t="shared" ca="1" si="1267"/>
        <v>45702</v>
      </c>
      <c r="B9107" s="5">
        <f t="shared" si="1268"/>
        <v>291.27</v>
      </c>
    </row>
    <row r="9108" spans="1:2" ht="15.75" customHeight="1" thickBot="1" x14ac:dyDescent="0.3">
      <c r="A9108" s="7">
        <f t="shared" ca="1" si="1267"/>
        <v>45702</v>
      </c>
      <c r="B9108" s="5">
        <f t="shared" si="1268"/>
        <v>291.27</v>
      </c>
    </row>
    <row r="9109" spans="1:2" ht="15.75" customHeight="1" thickBot="1" x14ac:dyDescent="0.3">
      <c r="A9109" s="7">
        <f t="shared" ca="1" si="1267"/>
        <v>45702</v>
      </c>
      <c r="B9109" s="5">
        <f t="shared" si="1268"/>
        <v>291.27</v>
      </c>
    </row>
    <row r="9110" spans="1:2" ht="15.75" customHeight="1" thickBot="1" x14ac:dyDescent="0.3">
      <c r="A9110" s="7">
        <f t="shared" ca="1" si="1267"/>
        <v>45702</v>
      </c>
      <c r="B9110" s="5">
        <f t="shared" si="1268"/>
        <v>291.27</v>
      </c>
    </row>
    <row r="9111" spans="1:2" ht="15.75" customHeight="1" thickBot="1" x14ac:dyDescent="0.3">
      <c r="A9111" s="7">
        <f t="shared" ca="1" si="1267"/>
        <v>45702</v>
      </c>
      <c r="B9111" s="5">
        <f t="shared" si="1268"/>
        <v>291.27</v>
      </c>
    </row>
    <row r="9112" spans="1:2" ht="15.75" customHeight="1" thickBot="1" x14ac:dyDescent="0.3">
      <c r="A9112" s="7">
        <f t="shared" ca="1" si="1267"/>
        <v>45702</v>
      </c>
      <c r="B9112" s="5">
        <f t="shared" si="1268"/>
        <v>291.27</v>
      </c>
    </row>
    <row r="9113" spans="1:2" ht="15.75" customHeight="1" thickBot="1" x14ac:dyDescent="0.3">
      <c r="A9113" s="7">
        <f t="shared" ca="1" si="1267"/>
        <v>45702</v>
      </c>
      <c r="B9113" s="5">
        <f t="shared" si="1268"/>
        <v>291.27</v>
      </c>
    </row>
    <row r="9114" spans="1:2" ht="15.75" customHeight="1" thickBot="1" x14ac:dyDescent="0.3">
      <c r="A9114" s="7">
        <f t="shared" ca="1" si="1267"/>
        <v>45702</v>
      </c>
      <c r="B9114" s="5">
        <f t="shared" si="1268"/>
        <v>291.27</v>
      </c>
    </row>
    <row r="9115" spans="1:2" ht="15.75" customHeight="1" thickBot="1" x14ac:dyDescent="0.3">
      <c r="A9115" s="7">
        <f t="shared" ca="1" si="1267"/>
        <v>45702</v>
      </c>
      <c r="B9115" s="5">
        <f t="shared" si="1268"/>
        <v>291.27</v>
      </c>
    </row>
    <row r="9116" spans="1:2" ht="15.75" customHeight="1" thickBot="1" x14ac:dyDescent="0.3">
      <c r="A9116" s="7">
        <f t="shared" ca="1" si="1267"/>
        <v>45702</v>
      </c>
      <c r="B9116" s="5">
        <f t="shared" si="1268"/>
        <v>291.27</v>
      </c>
    </row>
    <row r="9117" spans="1:2" ht="15.75" customHeight="1" thickBot="1" x14ac:dyDescent="0.3">
      <c r="A9117" s="7">
        <f t="shared" ca="1" si="1267"/>
        <v>45702</v>
      </c>
      <c r="B9117" s="5">
        <f t="shared" si="1268"/>
        <v>291.27</v>
      </c>
    </row>
    <row r="9118" spans="1:2" ht="15.75" customHeight="1" thickBot="1" x14ac:dyDescent="0.3">
      <c r="A9118" s="7">
        <f t="shared" ca="1" si="1267"/>
        <v>45702</v>
      </c>
      <c r="B9118" s="5">
        <f t="shared" si="1268"/>
        <v>291.27</v>
      </c>
    </row>
    <row r="9119" spans="1:2" ht="15.75" customHeight="1" thickBot="1" x14ac:dyDescent="0.3">
      <c r="A9119" s="7">
        <f t="shared" ca="1" si="1267"/>
        <v>45702</v>
      </c>
      <c r="B9119" s="5">
        <f t="shared" si="1268"/>
        <v>291.27</v>
      </c>
    </row>
    <row r="9120" spans="1:2" ht="15.75" customHeight="1" thickBot="1" x14ac:dyDescent="0.3">
      <c r="A9120" s="7">
        <f t="shared" ca="1" si="1267"/>
        <v>45702</v>
      </c>
      <c r="B9120" s="5">
        <f t="shared" si="1268"/>
        <v>291.27</v>
      </c>
    </row>
    <row r="9121" spans="1:2" ht="15.75" customHeight="1" thickBot="1" x14ac:dyDescent="0.3">
      <c r="A9121" s="7">
        <f t="shared" ca="1" si="1267"/>
        <v>45702</v>
      </c>
      <c r="B9121" s="5">
        <f t="shared" si="1268"/>
        <v>291.27</v>
      </c>
    </row>
    <row r="9122" spans="1:2" ht="15.75" customHeight="1" thickBot="1" x14ac:dyDescent="0.3">
      <c r="A9122" s="7">
        <f t="shared" ca="1" si="1267"/>
        <v>45702</v>
      </c>
      <c r="B9122" s="5">
        <f t="shared" si="1268"/>
        <v>291.27</v>
      </c>
    </row>
    <row r="9123" spans="1:2" ht="15.75" customHeight="1" thickBot="1" x14ac:dyDescent="0.3">
      <c r="A9123" s="7">
        <f t="shared" ca="1" si="1267"/>
        <v>45702</v>
      </c>
      <c r="B9123" s="5">
        <f t="shared" si="1268"/>
        <v>291.27</v>
      </c>
    </row>
    <row r="9124" spans="1:2" ht="15.75" customHeight="1" thickBot="1" x14ac:dyDescent="0.3">
      <c r="A9124" s="7">
        <f t="shared" ca="1" si="1267"/>
        <v>45702</v>
      </c>
      <c r="B9124" s="5">
        <f t="shared" si="1268"/>
        <v>291.27</v>
      </c>
    </row>
    <row r="9125" spans="1:2" ht="15.75" customHeight="1" thickBot="1" x14ac:dyDescent="0.3">
      <c r="A9125" s="7">
        <f t="shared" ca="1" si="1267"/>
        <v>45702</v>
      </c>
      <c r="B9125" s="5">
        <f t="shared" si="1268"/>
        <v>291.27</v>
      </c>
    </row>
    <row r="9126" spans="1:2" ht="15.75" customHeight="1" thickBot="1" x14ac:dyDescent="0.3">
      <c r="A9126" s="7">
        <f t="shared" ca="1" si="1267"/>
        <v>45702</v>
      </c>
      <c r="B9126" s="5">
        <f t="shared" si="1268"/>
        <v>291.27</v>
      </c>
    </row>
    <row r="9127" spans="1:2" ht="15.75" customHeight="1" thickBot="1" x14ac:dyDescent="0.3">
      <c r="A9127" s="7">
        <f t="shared" ca="1" si="1267"/>
        <v>45702</v>
      </c>
      <c r="B9127" s="5">
        <f t="shared" si="1268"/>
        <v>291.27</v>
      </c>
    </row>
    <row r="9128" spans="1:2" ht="15.75" customHeight="1" thickBot="1" x14ac:dyDescent="0.3">
      <c r="A9128" s="7">
        <f t="shared" ca="1" si="1267"/>
        <v>45702</v>
      </c>
      <c r="B9128" s="5">
        <f t="shared" si="1268"/>
        <v>291.27</v>
      </c>
    </row>
    <row r="9129" spans="1:2" ht="15.75" customHeight="1" thickBot="1" x14ac:dyDescent="0.3">
      <c r="A9129" s="7">
        <f t="shared" ca="1" si="1267"/>
        <v>45702</v>
      </c>
      <c r="B9129" s="5">
        <f t="shared" si="1268"/>
        <v>291.27</v>
      </c>
    </row>
    <row r="9130" spans="1:2" ht="15.75" customHeight="1" thickBot="1" x14ac:dyDescent="0.3">
      <c r="A9130" s="7">
        <f t="shared" ca="1" si="1267"/>
        <v>45702</v>
      </c>
      <c r="B9130" s="5">
        <f t="shared" si="1268"/>
        <v>291.27</v>
      </c>
    </row>
    <row r="9131" spans="1:2" ht="15.75" customHeight="1" thickBot="1" x14ac:dyDescent="0.3">
      <c r="A9131" s="7">
        <f t="shared" ca="1" si="1267"/>
        <v>45702</v>
      </c>
      <c r="B9131" s="5">
        <f t="shared" si="1268"/>
        <v>291.27</v>
      </c>
    </row>
    <row r="9132" spans="1:2" ht="15.75" customHeight="1" thickBot="1" x14ac:dyDescent="0.3">
      <c r="A9132" s="7">
        <f t="shared" ca="1" si="1267"/>
        <v>45702</v>
      </c>
      <c r="B9132" s="5">
        <f t="shared" si="1268"/>
        <v>291.27</v>
      </c>
    </row>
    <row r="9133" spans="1:2" ht="15.75" customHeight="1" thickBot="1" x14ac:dyDescent="0.3">
      <c r="A9133" s="7">
        <f t="shared" ref="A9133:A9196" ca="1" si="1269">A9132</f>
        <v>45702</v>
      </c>
      <c r="B9133" s="5">
        <f t="shared" ref="B9133:B9196" si="1270">B9132</f>
        <v>291.27</v>
      </c>
    </row>
    <row r="9134" spans="1:2" ht="15.75" customHeight="1" thickBot="1" x14ac:dyDescent="0.3">
      <c r="A9134" s="7">
        <f t="shared" ca="1" si="1269"/>
        <v>45702</v>
      </c>
      <c r="B9134" s="5">
        <f t="shared" si="1270"/>
        <v>291.27</v>
      </c>
    </row>
    <row r="9135" spans="1:2" ht="15.75" customHeight="1" thickBot="1" x14ac:dyDescent="0.3">
      <c r="A9135" s="7">
        <f t="shared" ca="1" si="1269"/>
        <v>45702</v>
      </c>
      <c r="B9135" s="5">
        <f t="shared" si="1270"/>
        <v>291.27</v>
      </c>
    </row>
    <row r="9136" spans="1:2" ht="15.75" customHeight="1" thickBot="1" x14ac:dyDescent="0.3">
      <c r="A9136" s="7">
        <f t="shared" ca="1" si="1269"/>
        <v>45702</v>
      </c>
      <c r="B9136" s="5">
        <f t="shared" si="1270"/>
        <v>291.27</v>
      </c>
    </row>
    <row r="9137" spans="1:2" ht="15.75" customHeight="1" thickBot="1" x14ac:dyDescent="0.3">
      <c r="A9137" s="7">
        <f t="shared" ca="1" si="1269"/>
        <v>45702</v>
      </c>
      <c r="B9137" s="5">
        <f t="shared" si="1270"/>
        <v>291.27</v>
      </c>
    </row>
    <row r="9138" spans="1:2" ht="15.75" customHeight="1" thickBot="1" x14ac:dyDescent="0.3">
      <c r="A9138" s="7">
        <f t="shared" ca="1" si="1269"/>
        <v>45702</v>
      </c>
      <c r="B9138" s="5">
        <f t="shared" si="1270"/>
        <v>291.27</v>
      </c>
    </row>
    <row r="9139" spans="1:2" ht="15.75" customHeight="1" thickBot="1" x14ac:dyDescent="0.3">
      <c r="A9139" s="7">
        <f t="shared" ca="1" si="1269"/>
        <v>45702</v>
      </c>
      <c r="B9139" s="5">
        <f t="shared" si="1270"/>
        <v>291.27</v>
      </c>
    </row>
    <row r="9140" spans="1:2" ht="15.75" customHeight="1" thickBot="1" x14ac:dyDescent="0.3">
      <c r="A9140" s="7">
        <f t="shared" ca="1" si="1269"/>
        <v>45702</v>
      </c>
      <c r="B9140" s="5">
        <f t="shared" si="1270"/>
        <v>291.27</v>
      </c>
    </row>
    <row r="9141" spans="1:2" ht="15.75" customHeight="1" thickBot="1" x14ac:dyDescent="0.3">
      <c r="A9141" s="7">
        <f t="shared" ca="1" si="1269"/>
        <v>45702</v>
      </c>
      <c r="B9141" s="5">
        <f t="shared" si="1270"/>
        <v>291.27</v>
      </c>
    </row>
    <row r="9142" spans="1:2" ht="15.75" customHeight="1" thickBot="1" x14ac:dyDescent="0.3">
      <c r="A9142" s="7">
        <f t="shared" ca="1" si="1269"/>
        <v>45702</v>
      </c>
      <c r="B9142" s="5">
        <f t="shared" si="1270"/>
        <v>291.27</v>
      </c>
    </row>
    <row r="9143" spans="1:2" ht="15.75" customHeight="1" thickBot="1" x14ac:dyDescent="0.3">
      <c r="A9143" s="7">
        <f t="shared" ca="1" si="1269"/>
        <v>45702</v>
      </c>
      <c r="B9143" s="5">
        <f t="shared" si="1270"/>
        <v>291.27</v>
      </c>
    </row>
    <row r="9144" spans="1:2" ht="15.75" customHeight="1" thickBot="1" x14ac:dyDescent="0.3">
      <c r="A9144" s="7">
        <f t="shared" ca="1" si="1269"/>
        <v>45702</v>
      </c>
      <c r="B9144" s="5">
        <f t="shared" si="1270"/>
        <v>291.27</v>
      </c>
    </row>
    <row r="9145" spans="1:2" ht="15.75" customHeight="1" thickBot="1" x14ac:dyDescent="0.3">
      <c r="A9145" s="7">
        <f t="shared" ca="1" si="1269"/>
        <v>45702</v>
      </c>
      <c r="B9145" s="5">
        <f t="shared" si="1270"/>
        <v>291.27</v>
      </c>
    </row>
    <row r="9146" spans="1:2" ht="15.75" customHeight="1" thickBot="1" x14ac:dyDescent="0.3">
      <c r="A9146" s="7">
        <f t="shared" ca="1" si="1269"/>
        <v>45702</v>
      </c>
      <c r="B9146" s="5">
        <f t="shared" si="1270"/>
        <v>291.27</v>
      </c>
    </row>
    <row r="9147" spans="1:2" ht="15.75" customHeight="1" thickBot="1" x14ac:dyDescent="0.3">
      <c r="A9147" s="7">
        <f t="shared" ca="1" si="1269"/>
        <v>45702</v>
      </c>
      <c r="B9147" s="5">
        <f t="shared" si="1270"/>
        <v>291.27</v>
      </c>
    </row>
    <row r="9148" spans="1:2" ht="15.75" customHeight="1" thickBot="1" x14ac:dyDescent="0.3">
      <c r="A9148" s="7">
        <f t="shared" ca="1" si="1269"/>
        <v>45702</v>
      </c>
      <c r="B9148" s="5">
        <f t="shared" si="1270"/>
        <v>291.27</v>
      </c>
    </row>
    <row r="9149" spans="1:2" ht="15.75" customHeight="1" thickBot="1" x14ac:dyDescent="0.3">
      <c r="A9149" s="7">
        <f t="shared" ca="1" si="1269"/>
        <v>45702</v>
      </c>
      <c r="B9149" s="5">
        <f t="shared" si="1270"/>
        <v>291.27</v>
      </c>
    </row>
    <row r="9150" spans="1:2" ht="15.75" customHeight="1" thickBot="1" x14ac:dyDescent="0.3">
      <c r="A9150" s="7">
        <f t="shared" ca="1" si="1269"/>
        <v>45702</v>
      </c>
      <c r="B9150" s="5">
        <f t="shared" si="1270"/>
        <v>291.27</v>
      </c>
    </row>
    <row r="9151" spans="1:2" ht="15.75" customHeight="1" thickBot="1" x14ac:dyDescent="0.3">
      <c r="A9151" s="7">
        <f t="shared" ca="1" si="1269"/>
        <v>45702</v>
      </c>
      <c r="B9151" s="5">
        <f t="shared" si="1270"/>
        <v>291.27</v>
      </c>
    </row>
    <row r="9152" spans="1:2" ht="15.75" customHeight="1" thickBot="1" x14ac:dyDescent="0.3">
      <c r="A9152" s="7">
        <f t="shared" ca="1" si="1269"/>
        <v>45702</v>
      </c>
      <c r="B9152" s="5">
        <f t="shared" si="1270"/>
        <v>291.27</v>
      </c>
    </row>
    <row r="9153" spans="1:2" ht="15.75" customHeight="1" thickBot="1" x14ac:dyDescent="0.3">
      <c r="A9153" s="7">
        <f t="shared" ca="1" si="1269"/>
        <v>45702</v>
      </c>
      <c r="B9153" s="5">
        <f t="shared" si="1270"/>
        <v>291.27</v>
      </c>
    </row>
    <row r="9154" spans="1:2" ht="15.75" customHeight="1" thickBot="1" x14ac:dyDescent="0.3">
      <c r="A9154" s="7">
        <f t="shared" ca="1" si="1269"/>
        <v>45702</v>
      </c>
      <c r="B9154" s="5">
        <f t="shared" si="1270"/>
        <v>291.27</v>
      </c>
    </row>
    <row r="9155" spans="1:2" ht="15.75" customHeight="1" thickBot="1" x14ac:dyDescent="0.3">
      <c r="A9155" s="7">
        <f t="shared" ca="1" si="1269"/>
        <v>45702</v>
      </c>
      <c r="B9155" s="5">
        <f t="shared" si="1270"/>
        <v>291.27</v>
      </c>
    </row>
    <row r="9156" spans="1:2" ht="15.75" customHeight="1" thickBot="1" x14ac:dyDescent="0.3">
      <c r="A9156" s="7">
        <f t="shared" ca="1" si="1269"/>
        <v>45702</v>
      </c>
      <c r="B9156" s="5">
        <f t="shared" si="1270"/>
        <v>291.27</v>
      </c>
    </row>
    <row r="9157" spans="1:2" ht="15.75" customHeight="1" thickBot="1" x14ac:dyDescent="0.3">
      <c r="A9157" s="7">
        <f t="shared" ca="1" si="1269"/>
        <v>45702</v>
      </c>
      <c r="B9157" s="5">
        <f t="shared" si="1270"/>
        <v>291.27</v>
      </c>
    </row>
    <row r="9158" spans="1:2" ht="15.75" customHeight="1" thickBot="1" x14ac:dyDescent="0.3">
      <c r="A9158" s="7">
        <f t="shared" ca="1" si="1269"/>
        <v>45702</v>
      </c>
      <c r="B9158" s="5">
        <f t="shared" si="1270"/>
        <v>291.27</v>
      </c>
    </row>
    <row r="9159" spans="1:2" ht="15.75" customHeight="1" thickBot="1" x14ac:dyDescent="0.3">
      <c r="A9159" s="7">
        <f t="shared" ca="1" si="1269"/>
        <v>45702</v>
      </c>
      <c r="B9159" s="5">
        <f t="shared" si="1270"/>
        <v>291.27</v>
      </c>
    </row>
    <row r="9160" spans="1:2" ht="15.75" customHeight="1" thickBot="1" x14ac:dyDescent="0.3">
      <c r="A9160" s="7">
        <f t="shared" ca="1" si="1269"/>
        <v>45702</v>
      </c>
      <c r="B9160" s="5">
        <f t="shared" si="1270"/>
        <v>291.27</v>
      </c>
    </row>
    <row r="9161" spans="1:2" ht="15.75" customHeight="1" thickBot="1" x14ac:dyDescent="0.3">
      <c r="A9161" s="7">
        <f t="shared" ca="1" si="1269"/>
        <v>45702</v>
      </c>
      <c r="B9161" s="5">
        <f t="shared" si="1270"/>
        <v>291.27</v>
      </c>
    </row>
    <row r="9162" spans="1:2" ht="15.75" customHeight="1" thickBot="1" x14ac:dyDescent="0.3">
      <c r="A9162" s="7">
        <f t="shared" ca="1" si="1269"/>
        <v>45702</v>
      </c>
      <c r="B9162" s="5">
        <f t="shared" si="1270"/>
        <v>291.27</v>
      </c>
    </row>
    <row r="9163" spans="1:2" ht="15.75" customHeight="1" thickBot="1" x14ac:dyDescent="0.3">
      <c r="A9163" s="7">
        <f t="shared" ca="1" si="1269"/>
        <v>45702</v>
      </c>
      <c r="B9163" s="5">
        <f t="shared" si="1270"/>
        <v>291.27</v>
      </c>
    </row>
    <row r="9164" spans="1:2" ht="15.75" customHeight="1" thickBot="1" x14ac:dyDescent="0.3">
      <c r="A9164" s="7">
        <f t="shared" ca="1" si="1269"/>
        <v>45702</v>
      </c>
      <c r="B9164" s="5">
        <f t="shared" si="1270"/>
        <v>291.27</v>
      </c>
    </row>
    <row r="9165" spans="1:2" ht="15.75" customHeight="1" thickBot="1" x14ac:dyDescent="0.3">
      <c r="A9165" s="7">
        <f t="shared" ca="1" si="1269"/>
        <v>45702</v>
      </c>
      <c r="B9165" s="5">
        <f t="shared" si="1270"/>
        <v>291.27</v>
      </c>
    </row>
    <row r="9166" spans="1:2" ht="15.75" customHeight="1" thickBot="1" x14ac:dyDescent="0.3">
      <c r="A9166" s="7">
        <f t="shared" ca="1" si="1269"/>
        <v>45702</v>
      </c>
      <c r="B9166" s="5">
        <f t="shared" si="1270"/>
        <v>291.27</v>
      </c>
    </row>
    <row r="9167" spans="1:2" ht="15.75" customHeight="1" thickBot="1" x14ac:dyDescent="0.3">
      <c r="A9167" s="7">
        <f t="shared" ca="1" si="1269"/>
        <v>45702</v>
      </c>
      <c r="B9167" s="5">
        <f t="shared" si="1270"/>
        <v>291.27</v>
      </c>
    </row>
    <row r="9168" spans="1:2" ht="15.75" customHeight="1" thickBot="1" x14ac:dyDescent="0.3">
      <c r="A9168" s="7">
        <f t="shared" ca="1" si="1269"/>
        <v>45702</v>
      </c>
      <c r="B9168" s="5">
        <f t="shared" si="1270"/>
        <v>291.27</v>
      </c>
    </row>
    <row r="9169" spans="1:2" ht="15.75" customHeight="1" thickBot="1" x14ac:dyDescent="0.3">
      <c r="A9169" s="7">
        <f t="shared" ca="1" si="1269"/>
        <v>45702</v>
      </c>
      <c r="B9169" s="5">
        <f t="shared" si="1270"/>
        <v>291.27</v>
      </c>
    </row>
    <row r="9170" spans="1:2" ht="15.75" customHeight="1" thickBot="1" x14ac:dyDescent="0.3">
      <c r="A9170" s="7">
        <f t="shared" ca="1" si="1269"/>
        <v>45702</v>
      </c>
      <c r="B9170" s="5">
        <f t="shared" si="1270"/>
        <v>291.27</v>
      </c>
    </row>
    <row r="9171" spans="1:2" ht="15.75" customHeight="1" thickBot="1" x14ac:dyDescent="0.3">
      <c r="A9171" s="7">
        <f t="shared" ca="1" si="1269"/>
        <v>45702</v>
      </c>
      <c r="B9171" s="5">
        <f t="shared" si="1270"/>
        <v>291.27</v>
      </c>
    </row>
    <row r="9172" spans="1:2" ht="15.75" customHeight="1" thickBot="1" x14ac:dyDescent="0.3">
      <c r="A9172" s="7">
        <f t="shared" ca="1" si="1269"/>
        <v>45702</v>
      </c>
      <c r="B9172" s="5">
        <f t="shared" si="1270"/>
        <v>291.27</v>
      </c>
    </row>
    <row r="9173" spans="1:2" ht="15.75" customHeight="1" thickBot="1" x14ac:dyDescent="0.3">
      <c r="A9173" s="7">
        <f t="shared" ca="1" si="1269"/>
        <v>45702</v>
      </c>
      <c r="B9173" s="5">
        <f t="shared" si="1270"/>
        <v>291.27</v>
      </c>
    </row>
    <row r="9174" spans="1:2" ht="15.75" customHeight="1" thickBot="1" x14ac:dyDescent="0.3">
      <c r="A9174" s="7">
        <f t="shared" ca="1" si="1269"/>
        <v>45702</v>
      </c>
      <c r="B9174" s="5">
        <f t="shared" si="1270"/>
        <v>291.27</v>
      </c>
    </row>
    <row r="9175" spans="1:2" ht="15.75" customHeight="1" thickBot="1" x14ac:dyDescent="0.3">
      <c r="A9175" s="7">
        <f t="shared" ca="1" si="1269"/>
        <v>45702</v>
      </c>
      <c r="B9175" s="5">
        <f t="shared" si="1270"/>
        <v>291.27</v>
      </c>
    </row>
    <row r="9176" spans="1:2" ht="15.75" customHeight="1" thickBot="1" x14ac:dyDescent="0.3">
      <c r="A9176" s="7">
        <f t="shared" ca="1" si="1269"/>
        <v>45702</v>
      </c>
      <c r="B9176" s="5">
        <f t="shared" si="1270"/>
        <v>291.27</v>
      </c>
    </row>
    <row r="9177" spans="1:2" ht="15.75" customHeight="1" thickBot="1" x14ac:dyDescent="0.3">
      <c r="A9177" s="7">
        <f t="shared" ca="1" si="1269"/>
        <v>45702</v>
      </c>
      <c r="B9177" s="5">
        <f t="shared" si="1270"/>
        <v>291.27</v>
      </c>
    </row>
    <row r="9178" spans="1:2" ht="15.75" customHeight="1" thickBot="1" x14ac:dyDescent="0.3">
      <c r="A9178" s="7">
        <f t="shared" ca="1" si="1269"/>
        <v>45702</v>
      </c>
      <c r="B9178" s="5">
        <f t="shared" si="1270"/>
        <v>291.27</v>
      </c>
    </row>
    <row r="9179" spans="1:2" ht="15.75" customHeight="1" thickBot="1" x14ac:dyDescent="0.3">
      <c r="A9179" s="7">
        <f t="shared" ca="1" si="1269"/>
        <v>45702</v>
      </c>
      <c r="B9179" s="5">
        <f t="shared" si="1270"/>
        <v>291.27</v>
      </c>
    </row>
    <row r="9180" spans="1:2" ht="15.75" customHeight="1" thickBot="1" x14ac:dyDescent="0.3">
      <c r="A9180" s="7">
        <f t="shared" ca="1" si="1269"/>
        <v>45702</v>
      </c>
      <c r="B9180" s="5">
        <f t="shared" si="1270"/>
        <v>291.27</v>
      </c>
    </row>
    <row r="9181" spans="1:2" ht="15.75" customHeight="1" thickBot="1" x14ac:dyDescent="0.3">
      <c r="A9181" s="7">
        <f t="shared" ca="1" si="1269"/>
        <v>45702</v>
      </c>
      <c r="B9181" s="5">
        <f t="shared" si="1270"/>
        <v>291.27</v>
      </c>
    </row>
    <row r="9182" spans="1:2" ht="15.75" customHeight="1" thickBot="1" x14ac:dyDescent="0.3">
      <c r="A9182" s="7">
        <f t="shared" ca="1" si="1269"/>
        <v>45702</v>
      </c>
      <c r="B9182" s="5">
        <f t="shared" si="1270"/>
        <v>291.27</v>
      </c>
    </row>
    <row r="9183" spans="1:2" ht="15.75" customHeight="1" thickBot="1" x14ac:dyDescent="0.3">
      <c r="A9183" s="7">
        <f t="shared" ca="1" si="1269"/>
        <v>45702</v>
      </c>
      <c r="B9183" s="5">
        <f t="shared" si="1270"/>
        <v>291.27</v>
      </c>
    </row>
    <row r="9184" spans="1:2" ht="15.75" customHeight="1" thickBot="1" x14ac:dyDescent="0.3">
      <c r="A9184" s="7">
        <f t="shared" ca="1" si="1269"/>
        <v>45702</v>
      </c>
      <c r="B9184" s="5">
        <f t="shared" si="1270"/>
        <v>291.27</v>
      </c>
    </row>
    <row r="9185" spans="1:2" ht="15.75" customHeight="1" thickBot="1" x14ac:dyDescent="0.3">
      <c r="A9185" s="7">
        <f t="shared" ca="1" si="1269"/>
        <v>45702</v>
      </c>
      <c r="B9185" s="5">
        <f t="shared" si="1270"/>
        <v>291.27</v>
      </c>
    </row>
    <row r="9186" spans="1:2" ht="15.75" customHeight="1" thickBot="1" x14ac:dyDescent="0.3">
      <c r="A9186" s="7">
        <f t="shared" ca="1" si="1269"/>
        <v>45702</v>
      </c>
      <c r="B9186" s="5">
        <f t="shared" si="1270"/>
        <v>291.27</v>
      </c>
    </row>
    <row r="9187" spans="1:2" ht="15.75" customHeight="1" thickBot="1" x14ac:dyDescent="0.3">
      <c r="A9187" s="7">
        <f t="shared" ca="1" si="1269"/>
        <v>45702</v>
      </c>
      <c r="B9187" s="5">
        <f t="shared" si="1270"/>
        <v>291.27</v>
      </c>
    </row>
    <row r="9188" spans="1:2" ht="15.75" customHeight="1" thickBot="1" x14ac:dyDescent="0.3">
      <c r="A9188" s="7">
        <f t="shared" ca="1" si="1269"/>
        <v>45702</v>
      </c>
      <c r="B9188" s="5">
        <f t="shared" si="1270"/>
        <v>291.27</v>
      </c>
    </row>
    <row r="9189" spans="1:2" ht="15.75" customHeight="1" thickBot="1" x14ac:dyDescent="0.3">
      <c r="A9189" s="7">
        <f t="shared" ca="1" si="1269"/>
        <v>45702</v>
      </c>
      <c r="B9189" s="5">
        <f t="shared" si="1270"/>
        <v>291.27</v>
      </c>
    </row>
    <row r="9190" spans="1:2" ht="15.75" customHeight="1" thickBot="1" x14ac:dyDescent="0.3">
      <c r="A9190" s="7">
        <f t="shared" ca="1" si="1269"/>
        <v>45702</v>
      </c>
      <c r="B9190" s="5">
        <f t="shared" si="1270"/>
        <v>291.27</v>
      </c>
    </row>
    <row r="9191" spans="1:2" ht="15.75" customHeight="1" thickBot="1" x14ac:dyDescent="0.3">
      <c r="A9191" s="7">
        <f t="shared" ca="1" si="1269"/>
        <v>45702</v>
      </c>
      <c r="B9191" s="5">
        <f t="shared" si="1270"/>
        <v>291.27</v>
      </c>
    </row>
    <row r="9192" spans="1:2" ht="15.75" customHeight="1" thickBot="1" x14ac:dyDescent="0.3">
      <c r="A9192" s="7">
        <f t="shared" ca="1" si="1269"/>
        <v>45702</v>
      </c>
      <c r="B9192" s="5">
        <f t="shared" si="1270"/>
        <v>291.27</v>
      </c>
    </row>
    <row r="9193" spans="1:2" ht="15.75" customHeight="1" thickBot="1" x14ac:dyDescent="0.3">
      <c r="A9193" s="7">
        <f t="shared" ca="1" si="1269"/>
        <v>45702</v>
      </c>
      <c r="B9193" s="5">
        <f t="shared" si="1270"/>
        <v>291.27</v>
      </c>
    </row>
    <row r="9194" spans="1:2" ht="15.75" customHeight="1" thickBot="1" x14ac:dyDescent="0.3">
      <c r="A9194" s="7">
        <f t="shared" ca="1" si="1269"/>
        <v>45702</v>
      </c>
      <c r="B9194" s="5">
        <f t="shared" si="1270"/>
        <v>291.27</v>
      </c>
    </row>
    <row r="9195" spans="1:2" ht="15.75" customHeight="1" thickBot="1" x14ac:dyDescent="0.3">
      <c r="A9195" s="7">
        <f t="shared" ca="1" si="1269"/>
        <v>45702</v>
      </c>
      <c r="B9195" s="5">
        <f t="shared" si="1270"/>
        <v>291.27</v>
      </c>
    </row>
    <row r="9196" spans="1:2" ht="15.75" customHeight="1" thickBot="1" x14ac:dyDescent="0.3">
      <c r="A9196" s="7">
        <f t="shared" ca="1" si="1269"/>
        <v>45702</v>
      </c>
      <c r="B9196" s="5">
        <f t="shared" si="1270"/>
        <v>291.27</v>
      </c>
    </row>
    <row r="9197" spans="1:2" ht="15.75" customHeight="1" thickBot="1" x14ac:dyDescent="0.3">
      <c r="A9197" s="7">
        <f t="shared" ref="A9197:A9260" ca="1" si="1271">A9196</f>
        <v>45702</v>
      </c>
      <c r="B9197" s="5">
        <f t="shared" ref="B9197:B9260" si="1272">B9196</f>
        <v>291.27</v>
      </c>
    </row>
    <row r="9198" spans="1:2" ht="15.75" customHeight="1" thickBot="1" x14ac:dyDescent="0.3">
      <c r="A9198" s="7">
        <f t="shared" ca="1" si="1271"/>
        <v>45702</v>
      </c>
      <c r="B9198" s="5">
        <f t="shared" si="1272"/>
        <v>291.27</v>
      </c>
    </row>
    <row r="9199" spans="1:2" ht="15.75" customHeight="1" thickBot="1" x14ac:dyDescent="0.3">
      <c r="A9199" s="7">
        <f t="shared" ca="1" si="1271"/>
        <v>45702</v>
      </c>
      <c r="B9199" s="5">
        <f t="shared" si="1272"/>
        <v>291.27</v>
      </c>
    </row>
    <row r="9200" spans="1:2" ht="15.75" customHeight="1" thickBot="1" x14ac:dyDescent="0.3">
      <c r="A9200" s="7">
        <f t="shared" ca="1" si="1271"/>
        <v>45702</v>
      </c>
      <c r="B9200" s="5">
        <f t="shared" si="1272"/>
        <v>291.27</v>
      </c>
    </row>
    <row r="9201" spans="1:2" ht="15.75" customHeight="1" thickBot="1" x14ac:dyDescent="0.3">
      <c r="A9201" s="7">
        <f t="shared" ca="1" si="1271"/>
        <v>45702</v>
      </c>
      <c r="B9201" s="5">
        <f t="shared" si="1272"/>
        <v>291.27</v>
      </c>
    </row>
    <row r="9202" spans="1:2" ht="15.75" customHeight="1" thickBot="1" x14ac:dyDescent="0.3">
      <c r="A9202" s="7">
        <f t="shared" ca="1" si="1271"/>
        <v>45702</v>
      </c>
      <c r="B9202" s="5">
        <f t="shared" si="1272"/>
        <v>291.27</v>
      </c>
    </row>
    <row r="9203" spans="1:2" ht="15.75" customHeight="1" thickBot="1" x14ac:dyDescent="0.3">
      <c r="A9203" s="7">
        <f t="shared" ca="1" si="1271"/>
        <v>45702</v>
      </c>
      <c r="B9203" s="5">
        <f t="shared" si="1272"/>
        <v>291.27</v>
      </c>
    </row>
    <row r="9204" spans="1:2" ht="15.75" customHeight="1" thickBot="1" x14ac:dyDescent="0.3">
      <c r="A9204" s="7">
        <f t="shared" ca="1" si="1271"/>
        <v>45702</v>
      </c>
      <c r="B9204" s="5">
        <f t="shared" si="1272"/>
        <v>291.27</v>
      </c>
    </row>
    <row r="9205" spans="1:2" ht="15.75" customHeight="1" thickBot="1" x14ac:dyDescent="0.3">
      <c r="A9205" s="7">
        <f t="shared" ca="1" si="1271"/>
        <v>45702</v>
      </c>
      <c r="B9205" s="5">
        <f t="shared" si="1272"/>
        <v>291.27</v>
      </c>
    </row>
    <row r="9206" spans="1:2" ht="15.75" customHeight="1" thickBot="1" x14ac:dyDescent="0.3">
      <c r="A9206" s="7">
        <f t="shared" ca="1" si="1271"/>
        <v>45702</v>
      </c>
      <c r="B9206" s="5">
        <f t="shared" si="1272"/>
        <v>291.27</v>
      </c>
    </row>
    <row r="9207" spans="1:2" ht="15.75" customHeight="1" thickBot="1" x14ac:dyDescent="0.3">
      <c r="A9207" s="7">
        <f t="shared" ca="1" si="1271"/>
        <v>45702</v>
      </c>
      <c r="B9207" s="5">
        <f t="shared" si="1272"/>
        <v>291.27</v>
      </c>
    </row>
    <row r="9208" spans="1:2" ht="15.75" customHeight="1" thickBot="1" x14ac:dyDescent="0.3">
      <c r="A9208" s="7">
        <f t="shared" ca="1" si="1271"/>
        <v>45702</v>
      </c>
      <c r="B9208" s="5">
        <f t="shared" si="1272"/>
        <v>291.27</v>
      </c>
    </row>
    <row r="9209" spans="1:2" ht="15.75" customHeight="1" thickBot="1" x14ac:dyDescent="0.3">
      <c r="A9209" s="7">
        <f t="shared" ca="1" si="1271"/>
        <v>45702</v>
      </c>
      <c r="B9209" s="5">
        <f t="shared" si="1272"/>
        <v>291.27</v>
      </c>
    </row>
    <row r="9210" spans="1:2" ht="15.75" customHeight="1" thickBot="1" x14ac:dyDescent="0.3">
      <c r="A9210" s="7">
        <f t="shared" ca="1" si="1271"/>
        <v>45702</v>
      </c>
      <c r="B9210" s="5">
        <f t="shared" si="1272"/>
        <v>291.27</v>
      </c>
    </row>
    <row r="9211" spans="1:2" ht="15.75" customHeight="1" thickBot="1" x14ac:dyDescent="0.3">
      <c r="A9211" s="7">
        <f t="shared" ca="1" si="1271"/>
        <v>45702</v>
      </c>
      <c r="B9211" s="5">
        <f t="shared" si="1272"/>
        <v>291.27</v>
      </c>
    </row>
    <row r="9212" spans="1:2" ht="15.75" customHeight="1" thickBot="1" x14ac:dyDescent="0.3">
      <c r="A9212" s="7">
        <f t="shared" ca="1" si="1271"/>
        <v>45702</v>
      </c>
      <c r="B9212" s="5">
        <f t="shared" si="1272"/>
        <v>291.27</v>
      </c>
    </row>
    <row r="9213" spans="1:2" ht="15.75" customHeight="1" thickBot="1" x14ac:dyDescent="0.3">
      <c r="A9213" s="7">
        <f t="shared" ca="1" si="1271"/>
        <v>45702</v>
      </c>
      <c r="B9213" s="5">
        <f t="shared" si="1272"/>
        <v>291.27</v>
      </c>
    </row>
    <row r="9214" spans="1:2" ht="15.75" customHeight="1" thickBot="1" x14ac:dyDescent="0.3">
      <c r="A9214" s="7">
        <f t="shared" ca="1" si="1271"/>
        <v>45702</v>
      </c>
      <c r="B9214" s="5">
        <f t="shared" si="1272"/>
        <v>291.27</v>
      </c>
    </row>
    <row r="9215" spans="1:2" ht="15.75" customHeight="1" thickBot="1" x14ac:dyDescent="0.3">
      <c r="A9215" s="7">
        <f t="shared" ca="1" si="1271"/>
        <v>45702</v>
      </c>
      <c r="B9215" s="5">
        <f t="shared" si="1272"/>
        <v>291.27</v>
      </c>
    </row>
    <row r="9216" spans="1:2" ht="15.75" customHeight="1" thickBot="1" x14ac:dyDescent="0.3">
      <c r="A9216" s="7">
        <f t="shared" ca="1" si="1271"/>
        <v>45702</v>
      </c>
      <c r="B9216" s="5">
        <f t="shared" si="1272"/>
        <v>291.27</v>
      </c>
    </row>
    <row r="9217" spans="1:2" ht="15.75" customHeight="1" thickBot="1" x14ac:dyDescent="0.3">
      <c r="A9217" s="7">
        <f t="shared" ca="1" si="1271"/>
        <v>45702</v>
      </c>
      <c r="B9217" s="5">
        <f t="shared" si="1272"/>
        <v>291.27</v>
      </c>
    </row>
    <row r="9218" spans="1:2" ht="15.75" customHeight="1" thickBot="1" x14ac:dyDescent="0.3">
      <c r="A9218" s="7">
        <f t="shared" ca="1" si="1271"/>
        <v>45702</v>
      </c>
      <c r="B9218" s="5">
        <f t="shared" si="1272"/>
        <v>291.27</v>
      </c>
    </row>
    <row r="9219" spans="1:2" ht="15.75" customHeight="1" thickBot="1" x14ac:dyDescent="0.3">
      <c r="A9219" s="7">
        <f t="shared" ca="1" si="1271"/>
        <v>45702</v>
      </c>
      <c r="B9219" s="5">
        <f t="shared" si="1272"/>
        <v>291.27</v>
      </c>
    </row>
    <row r="9220" spans="1:2" ht="15.75" customHeight="1" thickBot="1" x14ac:dyDescent="0.3">
      <c r="A9220" s="7">
        <f t="shared" ca="1" si="1271"/>
        <v>45702</v>
      </c>
      <c r="B9220" s="5">
        <f t="shared" si="1272"/>
        <v>291.27</v>
      </c>
    </row>
    <row r="9221" spans="1:2" ht="15.75" customHeight="1" thickBot="1" x14ac:dyDescent="0.3">
      <c r="A9221" s="7">
        <f t="shared" ca="1" si="1271"/>
        <v>45702</v>
      </c>
      <c r="B9221" s="5">
        <f t="shared" si="1272"/>
        <v>291.27</v>
      </c>
    </row>
    <row r="9222" spans="1:2" ht="15.75" customHeight="1" thickBot="1" x14ac:dyDescent="0.3">
      <c r="A9222" s="7">
        <f t="shared" ca="1" si="1271"/>
        <v>45702</v>
      </c>
      <c r="B9222" s="5">
        <f t="shared" si="1272"/>
        <v>291.27</v>
      </c>
    </row>
    <row r="9223" spans="1:2" ht="15.75" customHeight="1" thickBot="1" x14ac:dyDescent="0.3">
      <c r="A9223" s="7">
        <f t="shared" ca="1" si="1271"/>
        <v>45702</v>
      </c>
      <c r="B9223" s="5">
        <f t="shared" si="1272"/>
        <v>291.27</v>
      </c>
    </row>
    <row r="9224" spans="1:2" ht="15.75" customHeight="1" thickBot="1" x14ac:dyDescent="0.3">
      <c r="A9224" s="7">
        <f t="shared" ca="1" si="1271"/>
        <v>45702</v>
      </c>
      <c r="B9224" s="5">
        <f t="shared" si="1272"/>
        <v>291.27</v>
      </c>
    </row>
    <row r="9225" spans="1:2" ht="15.75" customHeight="1" thickBot="1" x14ac:dyDescent="0.3">
      <c r="A9225" s="7">
        <f t="shared" ca="1" si="1271"/>
        <v>45702</v>
      </c>
      <c r="B9225" s="5">
        <f t="shared" si="1272"/>
        <v>291.27</v>
      </c>
    </row>
    <row r="9226" spans="1:2" ht="15.75" customHeight="1" thickBot="1" x14ac:dyDescent="0.3">
      <c r="A9226" s="7">
        <f t="shared" ca="1" si="1271"/>
        <v>45702</v>
      </c>
      <c r="B9226" s="5">
        <f t="shared" si="1272"/>
        <v>291.27</v>
      </c>
    </row>
    <row r="9227" spans="1:2" ht="15.75" customHeight="1" thickBot="1" x14ac:dyDescent="0.3">
      <c r="A9227" s="7">
        <f t="shared" ca="1" si="1271"/>
        <v>45702</v>
      </c>
      <c r="B9227" s="5">
        <f t="shared" si="1272"/>
        <v>291.27</v>
      </c>
    </row>
    <row r="9228" spans="1:2" ht="15.75" customHeight="1" thickBot="1" x14ac:dyDescent="0.3">
      <c r="A9228" s="7">
        <f t="shared" ca="1" si="1271"/>
        <v>45702</v>
      </c>
      <c r="B9228" s="5">
        <f t="shared" si="1272"/>
        <v>291.27</v>
      </c>
    </row>
    <row r="9229" spans="1:2" ht="15.75" customHeight="1" thickBot="1" x14ac:dyDescent="0.3">
      <c r="A9229" s="7">
        <f t="shared" ca="1" si="1271"/>
        <v>45702</v>
      </c>
      <c r="B9229" s="5">
        <f t="shared" si="1272"/>
        <v>291.27</v>
      </c>
    </row>
    <row r="9230" spans="1:2" ht="15.75" customHeight="1" thickBot="1" x14ac:dyDescent="0.3">
      <c r="A9230" s="7">
        <f t="shared" ca="1" si="1271"/>
        <v>45702</v>
      </c>
      <c r="B9230" s="5">
        <f t="shared" si="1272"/>
        <v>291.27</v>
      </c>
    </row>
    <row r="9231" spans="1:2" ht="15.75" customHeight="1" thickBot="1" x14ac:dyDescent="0.3">
      <c r="A9231" s="7">
        <f t="shared" ca="1" si="1271"/>
        <v>45702</v>
      </c>
      <c r="B9231" s="5">
        <f t="shared" si="1272"/>
        <v>291.27</v>
      </c>
    </row>
    <row r="9232" spans="1:2" ht="15.75" customHeight="1" thickBot="1" x14ac:dyDescent="0.3">
      <c r="A9232" s="7">
        <f t="shared" ca="1" si="1271"/>
        <v>45702</v>
      </c>
      <c r="B9232" s="5">
        <f t="shared" si="1272"/>
        <v>291.27</v>
      </c>
    </row>
    <row r="9233" spans="1:2" ht="15.75" customHeight="1" thickBot="1" x14ac:dyDescent="0.3">
      <c r="A9233" s="7">
        <f t="shared" ca="1" si="1271"/>
        <v>45702</v>
      </c>
      <c r="B9233" s="5">
        <f t="shared" si="1272"/>
        <v>291.27</v>
      </c>
    </row>
    <row r="9234" spans="1:2" ht="15.75" customHeight="1" thickBot="1" x14ac:dyDescent="0.3">
      <c r="A9234" s="7">
        <f t="shared" ca="1" si="1271"/>
        <v>45702</v>
      </c>
      <c r="B9234" s="5">
        <f t="shared" si="1272"/>
        <v>291.27</v>
      </c>
    </row>
    <row r="9235" spans="1:2" ht="15.75" customHeight="1" thickBot="1" x14ac:dyDescent="0.3">
      <c r="A9235" s="7">
        <f t="shared" ca="1" si="1271"/>
        <v>45702</v>
      </c>
      <c r="B9235" s="5">
        <f t="shared" si="1272"/>
        <v>291.27</v>
      </c>
    </row>
    <row r="9236" spans="1:2" ht="15.75" customHeight="1" thickBot="1" x14ac:dyDescent="0.3">
      <c r="A9236" s="7">
        <f t="shared" ca="1" si="1271"/>
        <v>45702</v>
      </c>
      <c r="B9236" s="5">
        <f t="shared" si="1272"/>
        <v>291.27</v>
      </c>
    </row>
    <row r="9237" spans="1:2" ht="15.75" customHeight="1" thickBot="1" x14ac:dyDescent="0.3">
      <c r="A9237" s="7">
        <f t="shared" ca="1" si="1271"/>
        <v>45702</v>
      </c>
      <c r="B9237" s="5">
        <f t="shared" si="1272"/>
        <v>291.27</v>
      </c>
    </row>
    <row r="9238" spans="1:2" ht="15.75" customHeight="1" thickBot="1" x14ac:dyDescent="0.3">
      <c r="A9238" s="7">
        <f t="shared" ca="1" si="1271"/>
        <v>45702</v>
      </c>
      <c r="B9238" s="5">
        <f t="shared" si="1272"/>
        <v>291.27</v>
      </c>
    </row>
    <row r="9239" spans="1:2" ht="15.75" customHeight="1" thickBot="1" x14ac:dyDescent="0.3">
      <c r="A9239" s="7">
        <f t="shared" ca="1" si="1271"/>
        <v>45702</v>
      </c>
      <c r="B9239" s="5">
        <f t="shared" si="1272"/>
        <v>291.27</v>
      </c>
    </row>
    <row r="9240" spans="1:2" ht="15.75" customHeight="1" thickBot="1" x14ac:dyDescent="0.3">
      <c r="A9240" s="7">
        <f t="shared" ca="1" si="1271"/>
        <v>45702</v>
      </c>
      <c r="B9240" s="5">
        <f t="shared" si="1272"/>
        <v>291.27</v>
      </c>
    </row>
    <row r="9241" spans="1:2" ht="15.75" customHeight="1" thickBot="1" x14ac:dyDescent="0.3">
      <c r="A9241" s="7">
        <f t="shared" ca="1" si="1271"/>
        <v>45702</v>
      </c>
      <c r="B9241" s="5">
        <f t="shared" si="1272"/>
        <v>291.27</v>
      </c>
    </row>
    <row r="9242" spans="1:2" ht="15.75" customHeight="1" thickBot="1" x14ac:dyDescent="0.3">
      <c r="A9242" s="7">
        <f t="shared" ca="1" si="1271"/>
        <v>45702</v>
      </c>
      <c r="B9242" s="5">
        <f t="shared" si="1272"/>
        <v>291.27</v>
      </c>
    </row>
    <row r="9243" spans="1:2" ht="15.75" customHeight="1" thickBot="1" x14ac:dyDescent="0.3">
      <c r="A9243" s="7">
        <f t="shared" ca="1" si="1271"/>
        <v>45702</v>
      </c>
      <c r="B9243" s="5">
        <f t="shared" si="1272"/>
        <v>291.27</v>
      </c>
    </row>
    <row r="9244" spans="1:2" ht="15.75" customHeight="1" thickBot="1" x14ac:dyDescent="0.3">
      <c r="A9244" s="7">
        <f t="shared" ca="1" si="1271"/>
        <v>45702</v>
      </c>
      <c r="B9244" s="5">
        <f t="shared" si="1272"/>
        <v>291.27</v>
      </c>
    </row>
    <row r="9245" spans="1:2" ht="15.75" customHeight="1" thickBot="1" x14ac:dyDescent="0.3">
      <c r="A9245" s="7">
        <f t="shared" ca="1" si="1271"/>
        <v>45702</v>
      </c>
      <c r="B9245" s="5">
        <f t="shared" si="1272"/>
        <v>291.27</v>
      </c>
    </row>
    <row r="9246" spans="1:2" ht="15.75" customHeight="1" thickBot="1" x14ac:dyDescent="0.3">
      <c r="A9246" s="7">
        <f t="shared" ca="1" si="1271"/>
        <v>45702</v>
      </c>
      <c r="B9246" s="5">
        <f t="shared" si="1272"/>
        <v>291.27</v>
      </c>
    </row>
    <row r="9247" spans="1:2" ht="15.75" customHeight="1" thickBot="1" x14ac:dyDescent="0.3">
      <c r="A9247" s="7">
        <f t="shared" ca="1" si="1271"/>
        <v>45702</v>
      </c>
      <c r="B9247" s="5">
        <f t="shared" si="1272"/>
        <v>291.27</v>
      </c>
    </row>
    <row r="9248" spans="1:2" ht="15.75" customHeight="1" thickBot="1" x14ac:dyDescent="0.3">
      <c r="A9248" s="7">
        <f t="shared" ca="1" si="1271"/>
        <v>45702</v>
      </c>
      <c r="B9248" s="5">
        <f t="shared" si="1272"/>
        <v>291.27</v>
      </c>
    </row>
    <row r="9249" spans="1:2" ht="15.75" customHeight="1" thickBot="1" x14ac:dyDescent="0.3">
      <c r="A9249" s="7">
        <f t="shared" ca="1" si="1271"/>
        <v>45702</v>
      </c>
      <c r="B9249" s="5">
        <f t="shared" si="1272"/>
        <v>291.27</v>
      </c>
    </row>
    <row r="9250" spans="1:2" ht="15.75" customHeight="1" thickBot="1" x14ac:dyDescent="0.3">
      <c r="A9250" s="7">
        <f t="shared" ca="1" si="1271"/>
        <v>45702</v>
      </c>
      <c r="B9250" s="5">
        <f t="shared" si="1272"/>
        <v>291.27</v>
      </c>
    </row>
    <row r="9251" spans="1:2" ht="15.75" customHeight="1" thickBot="1" x14ac:dyDescent="0.3">
      <c r="A9251" s="7">
        <f t="shared" ca="1" si="1271"/>
        <v>45702</v>
      </c>
      <c r="B9251" s="5">
        <f t="shared" si="1272"/>
        <v>291.27</v>
      </c>
    </row>
    <row r="9252" spans="1:2" ht="15.75" customHeight="1" thickBot="1" x14ac:dyDescent="0.3">
      <c r="A9252" s="7">
        <f t="shared" ca="1" si="1271"/>
        <v>45702</v>
      </c>
      <c r="B9252" s="5">
        <f t="shared" si="1272"/>
        <v>291.27</v>
      </c>
    </row>
    <row r="9253" spans="1:2" ht="15.75" customHeight="1" thickBot="1" x14ac:dyDescent="0.3">
      <c r="A9253" s="7">
        <f t="shared" ca="1" si="1271"/>
        <v>45702</v>
      </c>
      <c r="B9253" s="5">
        <f t="shared" si="1272"/>
        <v>291.27</v>
      </c>
    </row>
    <row r="9254" spans="1:2" ht="15.75" customHeight="1" thickBot="1" x14ac:dyDescent="0.3">
      <c r="A9254" s="7">
        <f t="shared" ca="1" si="1271"/>
        <v>45702</v>
      </c>
      <c r="B9254" s="5">
        <f t="shared" si="1272"/>
        <v>291.27</v>
      </c>
    </row>
    <row r="9255" spans="1:2" ht="15.75" customHeight="1" thickBot="1" x14ac:dyDescent="0.3">
      <c r="A9255" s="7">
        <f t="shared" ca="1" si="1271"/>
        <v>45702</v>
      </c>
      <c r="B9255" s="5">
        <f t="shared" si="1272"/>
        <v>291.27</v>
      </c>
    </row>
    <row r="9256" spans="1:2" ht="15.75" customHeight="1" thickBot="1" x14ac:dyDescent="0.3">
      <c r="A9256" s="7">
        <f t="shared" ca="1" si="1271"/>
        <v>45702</v>
      </c>
      <c r="B9256" s="5">
        <f t="shared" si="1272"/>
        <v>291.27</v>
      </c>
    </row>
    <row r="9257" spans="1:2" ht="15.75" customHeight="1" thickBot="1" x14ac:dyDescent="0.3">
      <c r="A9257" s="7">
        <f t="shared" ca="1" si="1271"/>
        <v>45702</v>
      </c>
      <c r="B9257" s="5">
        <f t="shared" si="1272"/>
        <v>291.27</v>
      </c>
    </row>
    <row r="9258" spans="1:2" ht="15.75" customHeight="1" thickBot="1" x14ac:dyDescent="0.3">
      <c r="A9258" s="7">
        <f t="shared" ca="1" si="1271"/>
        <v>45702</v>
      </c>
      <c r="B9258" s="5">
        <f t="shared" si="1272"/>
        <v>291.27</v>
      </c>
    </row>
    <row r="9259" spans="1:2" ht="15.75" customHeight="1" thickBot="1" x14ac:dyDescent="0.3">
      <c r="A9259" s="7">
        <f t="shared" ca="1" si="1271"/>
        <v>45702</v>
      </c>
      <c r="B9259" s="5">
        <f t="shared" si="1272"/>
        <v>291.27</v>
      </c>
    </row>
    <row r="9260" spans="1:2" ht="15.75" customHeight="1" thickBot="1" x14ac:dyDescent="0.3">
      <c r="A9260" s="7">
        <f t="shared" ca="1" si="1271"/>
        <v>45702</v>
      </c>
      <c r="B9260" s="5">
        <f t="shared" si="1272"/>
        <v>291.27</v>
      </c>
    </row>
    <row r="9261" spans="1:2" ht="15.75" customHeight="1" thickBot="1" x14ac:dyDescent="0.3">
      <c r="A9261" s="7">
        <f t="shared" ref="A9261:A9309" ca="1" si="1273">A9260</f>
        <v>45702</v>
      </c>
      <c r="B9261" s="5">
        <f t="shared" ref="B9261:B9309" si="1274">B9260</f>
        <v>291.27</v>
      </c>
    </row>
    <row r="9262" spans="1:2" ht="15.75" customHeight="1" thickBot="1" x14ac:dyDescent="0.3">
      <c r="A9262" s="7">
        <f t="shared" ca="1" si="1273"/>
        <v>45702</v>
      </c>
      <c r="B9262" s="5">
        <f t="shared" si="1274"/>
        <v>291.27</v>
      </c>
    </row>
    <row r="9263" spans="1:2" ht="15.75" customHeight="1" thickBot="1" x14ac:dyDescent="0.3">
      <c r="A9263" s="7">
        <f t="shared" ca="1" si="1273"/>
        <v>45702</v>
      </c>
      <c r="B9263" s="5">
        <f t="shared" si="1274"/>
        <v>291.27</v>
      </c>
    </row>
    <row r="9264" spans="1:2" ht="15.75" customHeight="1" thickBot="1" x14ac:dyDescent="0.3">
      <c r="A9264" s="7">
        <f t="shared" ca="1" si="1273"/>
        <v>45702</v>
      </c>
      <c r="B9264" s="5">
        <f t="shared" si="1274"/>
        <v>291.27</v>
      </c>
    </row>
    <row r="9265" spans="1:2" ht="15.75" customHeight="1" thickBot="1" x14ac:dyDescent="0.3">
      <c r="A9265" s="7">
        <f t="shared" ca="1" si="1273"/>
        <v>45702</v>
      </c>
      <c r="B9265" s="5">
        <f t="shared" si="1274"/>
        <v>291.27</v>
      </c>
    </row>
    <row r="9266" spans="1:2" ht="15.75" customHeight="1" thickBot="1" x14ac:dyDescent="0.3">
      <c r="A9266" s="7">
        <f t="shared" ca="1" si="1273"/>
        <v>45702</v>
      </c>
      <c r="B9266" s="5">
        <f t="shared" si="1274"/>
        <v>291.27</v>
      </c>
    </row>
    <row r="9267" spans="1:2" ht="15.75" customHeight="1" thickBot="1" x14ac:dyDescent="0.3">
      <c r="A9267" s="7">
        <f t="shared" ca="1" si="1273"/>
        <v>45702</v>
      </c>
      <c r="B9267" s="5">
        <f t="shared" si="1274"/>
        <v>291.27</v>
      </c>
    </row>
    <row r="9268" spans="1:2" ht="15.75" customHeight="1" thickBot="1" x14ac:dyDescent="0.3">
      <c r="A9268" s="7">
        <f t="shared" ca="1" si="1273"/>
        <v>45702</v>
      </c>
      <c r="B9268" s="5">
        <f t="shared" si="1274"/>
        <v>291.27</v>
      </c>
    </row>
    <row r="9269" spans="1:2" ht="15.75" customHeight="1" thickBot="1" x14ac:dyDescent="0.3">
      <c r="A9269" s="7">
        <f t="shared" ca="1" si="1273"/>
        <v>45702</v>
      </c>
      <c r="B9269" s="5">
        <f t="shared" si="1274"/>
        <v>291.27</v>
      </c>
    </row>
    <row r="9270" spans="1:2" ht="15.75" customHeight="1" thickBot="1" x14ac:dyDescent="0.3">
      <c r="A9270" s="7">
        <f t="shared" ca="1" si="1273"/>
        <v>45702</v>
      </c>
      <c r="B9270" s="5">
        <f t="shared" si="1274"/>
        <v>291.27</v>
      </c>
    </row>
    <row r="9271" spans="1:2" ht="15.75" customHeight="1" thickBot="1" x14ac:dyDescent="0.3">
      <c r="A9271" s="7">
        <f t="shared" ca="1" si="1273"/>
        <v>45702</v>
      </c>
      <c r="B9271" s="5">
        <f t="shared" si="1274"/>
        <v>291.27</v>
      </c>
    </row>
    <row r="9272" spans="1:2" ht="15.75" customHeight="1" thickBot="1" x14ac:dyDescent="0.3">
      <c r="A9272" s="7">
        <f t="shared" ca="1" si="1273"/>
        <v>45702</v>
      </c>
      <c r="B9272" s="5">
        <f t="shared" si="1274"/>
        <v>291.27</v>
      </c>
    </row>
    <row r="9273" spans="1:2" ht="15.75" customHeight="1" thickBot="1" x14ac:dyDescent="0.3">
      <c r="A9273" s="7">
        <f t="shared" ca="1" si="1273"/>
        <v>45702</v>
      </c>
      <c r="B9273" s="5">
        <f t="shared" si="1274"/>
        <v>291.27</v>
      </c>
    </row>
    <row r="9274" spans="1:2" ht="15.75" customHeight="1" thickBot="1" x14ac:dyDescent="0.3">
      <c r="A9274" s="7">
        <f t="shared" ca="1" si="1273"/>
        <v>45702</v>
      </c>
      <c r="B9274" s="5">
        <f t="shared" si="1274"/>
        <v>291.27</v>
      </c>
    </row>
    <row r="9275" spans="1:2" ht="15.75" customHeight="1" thickBot="1" x14ac:dyDescent="0.3">
      <c r="A9275" s="7">
        <f t="shared" ca="1" si="1273"/>
        <v>45702</v>
      </c>
      <c r="B9275" s="5">
        <f t="shared" si="1274"/>
        <v>291.27</v>
      </c>
    </row>
    <row r="9276" spans="1:2" ht="15.75" customHeight="1" thickBot="1" x14ac:dyDescent="0.3">
      <c r="A9276" s="7">
        <f t="shared" ca="1" si="1273"/>
        <v>45702</v>
      </c>
      <c r="B9276" s="5">
        <f t="shared" si="1274"/>
        <v>291.27</v>
      </c>
    </row>
    <row r="9277" spans="1:2" ht="15.75" customHeight="1" thickBot="1" x14ac:dyDescent="0.3">
      <c r="A9277" s="7">
        <f t="shared" ca="1" si="1273"/>
        <v>45702</v>
      </c>
      <c r="B9277" s="5">
        <f t="shared" si="1274"/>
        <v>291.27</v>
      </c>
    </row>
    <row r="9278" spans="1:2" ht="15.75" customHeight="1" thickBot="1" x14ac:dyDescent="0.3">
      <c r="A9278" s="7">
        <f t="shared" ca="1" si="1273"/>
        <v>45702</v>
      </c>
      <c r="B9278" s="5">
        <f t="shared" si="1274"/>
        <v>291.27</v>
      </c>
    </row>
    <row r="9279" spans="1:2" ht="15.75" customHeight="1" thickBot="1" x14ac:dyDescent="0.3">
      <c r="A9279" s="7">
        <f t="shared" ca="1" si="1273"/>
        <v>45702</v>
      </c>
      <c r="B9279" s="5">
        <f t="shared" si="1274"/>
        <v>291.27</v>
      </c>
    </row>
    <row r="9280" spans="1:2" ht="15.75" customHeight="1" thickBot="1" x14ac:dyDescent="0.3">
      <c r="A9280" s="7">
        <f t="shared" ca="1" si="1273"/>
        <v>45702</v>
      </c>
      <c r="B9280" s="5">
        <f t="shared" si="1274"/>
        <v>291.27</v>
      </c>
    </row>
    <row r="9281" spans="1:2" ht="15.75" customHeight="1" thickBot="1" x14ac:dyDescent="0.3">
      <c r="A9281" s="7">
        <f t="shared" ca="1" si="1273"/>
        <v>45702</v>
      </c>
      <c r="B9281" s="5">
        <f t="shared" si="1274"/>
        <v>291.27</v>
      </c>
    </row>
    <row r="9282" spans="1:2" ht="15.75" customHeight="1" thickBot="1" x14ac:dyDescent="0.3">
      <c r="A9282" s="7">
        <f t="shared" ca="1" si="1273"/>
        <v>45702</v>
      </c>
      <c r="B9282" s="5">
        <f t="shared" si="1274"/>
        <v>291.27</v>
      </c>
    </row>
    <row r="9283" spans="1:2" ht="15.75" customHeight="1" thickBot="1" x14ac:dyDescent="0.3">
      <c r="A9283" s="7">
        <f t="shared" ca="1" si="1273"/>
        <v>45702</v>
      </c>
      <c r="B9283" s="5">
        <f t="shared" si="1274"/>
        <v>291.27</v>
      </c>
    </row>
    <row r="9284" spans="1:2" ht="15.75" customHeight="1" thickBot="1" x14ac:dyDescent="0.3">
      <c r="A9284" s="7">
        <f t="shared" ca="1" si="1273"/>
        <v>45702</v>
      </c>
      <c r="B9284" s="5">
        <f t="shared" si="1274"/>
        <v>291.27</v>
      </c>
    </row>
    <row r="9285" spans="1:2" ht="15.75" customHeight="1" thickBot="1" x14ac:dyDescent="0.3">
      <c r="A9285" s="7">
        <f t="shared" ca="1" si="1273"/>
        <v>45702</v>
      </c>
      <c r="B9285" s="5">
        <f t="shared" si="1274"/>
        <v>291.27</v>
      </c>
    </row>
    <row r="9286" spans="1:2" ht="15.75" customHeight="1" thickBot="1" x14ac:dyDescent="0.3">
      <c r="A9286" s="7">
        <f t="shared" ca="1" si="1273"/>
        <v>45702</v>
      </c>
      <c r="B9286" s="5">
        <f t="shared" si="1274"/>
        <v>291.27</v>
      </c>
    </row>
    <row r="9287" spans="1:2" ht="15.75" customHeight="1" thickBot="1" x14ac:dyDescent="0.3">
      <c r="A9287" s="7">
        <f t="shared" ca="1" si="1273"/>
        <v>45702</v>
      </c>
      <c r="B9287" s="5">
        <f t="shared" si="1274"/>
        <v>291.27</v>
      </c>
    </row>
    <row r="9288" spans="1:2" ht="15.75" customHeight="1" thickBot="1" x14ac:dyDescent="0.3">
      <c r="A9288" s="7">
        <f t="shared" ca="1" si="1273"/>
        <v>45702</v>
      </c>
      <c r="B9288" s="5">
        <f t="shared" si="1274"/>
        <v>291.27</v>
      </c>
    </row>
    <row r="9289" spans="1:2" ht="15.75" customHeight="1" thickBot="1" x14ac:dyDescent="0.3">
      <c r="A9289" s="7">
        <f t="shared" ca="1" si="1273"/>
        <v>45702</v>
      </c>
      <c r="B9289" s="5">
        <f t="shared" si="1274"/>
        <v>291.27</v>
      </c>
    </row>
    <row r="9290" spans="1:2" ht="15.75" customHeight="1" thickBot="1" x14ac:dyDescent="0.3">
      <c r="A9290" s="7">
        <f t="shared" ca="1" si="1273"/>
        <v>45702</v>
      </c>
      <c r="B9290" s="5">
        <f t="shared" si="1274"/>
        <v>291.27</v>
      </c>
    </row>
    <row r="9291" spans="1:2" ht="15.75" customHeight="1" thickBot="1" x14ac:dyDescent="0.3">
      <c r="A9291" s="7">
        <f t="shared" ca="1" si="1273"/>
        <v>45702</v>
      </c>
      <c r="B9291" s="5">
        <f t="shared" si="1274"/>
        <v>291.27</v>
      </c>
    </row>
    <row r="9292" spans="1:2" ht="15.75" customHeight="1" thickBot="1" x14ac:dyDescent="0.3">
      <c r="A9292" s="7">
        <f t="shared" ca="1" si="1273"/>
        <v>45702</v>
      </c>
      <c r="B9292" s="5">
        <f t="shared" si="1274"/>
        <v>291.27</v>
      </c>
    </row>
    <row r="9293" spans="1:2" ht="15.75" customHeight="1" thickBot="1" x14ac:dyDescent="0.3">
      <c r="A9293" s="7">
        <f t="shared" ca="1" si="1273"/>
        <v>45702</v>
      </c>
      <c r="B9293" s="5">
        <f t="shared" si="1274"/>
        <v>291.27</v>
      </c>
    </row>
    <row r="9294" spans="1:2" ht="15.75" customHeight="1" thickBot="1" x14ac:dyDescent="0.3">
      <c r="A9294" s="7">
        <f t="shared" ca="1" si="1273"/>
        <v>45702</v>
      </c>
      <c r="B9294" s="5">
        <f t="shared" si="1274"/>
        <v>291.27</v>
      </c>
    </row>
    <row r="9295" spans="1:2" ht="15.75" customHeight="1" thickBot="1" x14ac:dyDescent="0.3">
      <c r="A9295" s="7">
        <f t="shared" ca="1" si="1273"/>
        <v>45702</v>
      </c>
      <c r="B9295" s="5">
        <f t="shared" si="1274"/>
        <v>291.27</v>
      </c>
    </row>
    <row r="9296" spans="1:2" ht="15.75" customHeight="1" thickBot="1" x14ac:dyDescent="0.3">
      <c r="A9296" s="7">
        <f t="shared" ca="1" si="1273"/>
        <v>45702</v>
      </c>
      <c r="B9296" s="5">
        <f t="shared" si="1274"/>
        <v>291.27</v>
      </c>
    </row>
    <row r="9297" spans="1:2" ht="15.75" customHeight="1" thickBot="1" x14ac:dyDescent="0.3">
      <c r="A9297" s="7">
        <f t="shared" ca="1" si="1273"/>
        <v>45702</v>
      </c>
      <c r="B9297" s="5">
        <f t="shared" si="1274"/>
        <v>291.27</v>
      </c>
    </row>
    <row r="9298" spans="1:2" ht="15.75" customHeight="1" thickBot="1" x14ac:dyDescent="0.3">
      <c r="A9298" s="7">
        <f t="shared" ca="1" si="1273"/>
        <v>45702</v>
      </c>
      <c r="B9298" s="5">
        <f t="shared" si="1274"/>
        <v>291.27</v>
      </c>
    </row>
    <row r="9299" spans="1:2" ht="15.75" customHeight="1" thickBot="1" x14ac:dyDescent="0.3">
      <c r="A9299" s="7">
        <f t="shared" ca="1" si="1273"/>
        <v>45702</v>
      </c>
      <c r="B9299" s="5">
        <f t="shared" si="1274"/>
        <v>291.27</v>
      </c>
    </row>
    <row r="9300" spans="1:2" ht="15.75" customHeight="1" thickBot="1" x14ac:dyDescent="0.3">
      <c r="A9300" s="7">
        <f t="shared" ca="1" si="1273"/>
        <v>45702</v>
      </c>
      <c r="B9300" s="5">
        <f t="shared" si="1274"/>
        <v>291.27</v>
      </c>
    </row>
    <row r="9301" spans="1:2" ht="15.75" customHeight="1" thickBot="1" x14ac:dyDescent="0.3">
      <c r="A9301" s="7">
        <f t="shared" ca="1" si="1273"/>
        <v>45702</v>
      </c>
      <c r="B9301" s="5">
        <f t="shared" si="1274"/>
        <v>291.27</v>
      </c>
    </row>
    <row r="9302" spans="1:2" ht="15.75" customHeight="1" thickBot="1" x14ac:dyDescent="0.3">
      <c r="A9302" s="7">
        <f t="shared" ca="1" si="1273"/>
        <v>45702</v>
      </c>
      <c r="B9302" s="5">
        <f t="shared" si="1274"/>
        <v>291.27</v>
      </c>
    </row>
    <row r="9303" spans="1:2" ht="15.75" customHeight="1" thickBot="1" x14ac:dyDescent="0.3">
      <c r="A9303" s="7">
        <f t="shared" ca="1" si="1273"/>
        <v>45702</v>
      </c>
      <c r="B9303" s="5">
        <f t="shared" si="1274"/>
        <v>291.27</v>
      </c>
    </row>
    <row r="9304" spans="1:2" ht="15.75" customHeight="1" thickBot="1" x14ac:dyDescent="0.3">
      <c r="A9304" s="7">
        <f t="shared" ca="1" si="1273"/>
        <v>45702</v>
      </c>
      <c r="B9304" s="5">
        <f t="shared" si="1274"/>
        <v>291.27</v>
      </c>
    </row>
    <row r="9305" spans="1:2" ht="15.75" customHeight="1" thickBot="1" x14ac:dyDescent="0.3">
      <c r="A9305" s="7">
        <f t="shared" ca="1" si="1273"/>
        <v>45702</v>
      </c>
      <c r="B9305" s="5">
        <f t="shared" si="1274"/>
        <v>291.27</v>
      </c>
    </row>
    <row r="9306" spans="1:2" ht="15.75" customHeight="1" thickBot="1" x14ac:dyDescent="0.3">
      <c r="A9306" s="7">
        <f t="shared" ca="1" si="1273"/>
        <v>45702</v>
      </c>
      <c r="B9306" s="5">
        <f t="shared" si="1274"/>
        <v>291.27</v>
      </c>
    </row>
    <row r="9307" spans="1:2" ht="15.75" customHeight="1" thickBot="1" x14ac:dyDescent="0.3">
      <c r="A9307" s="7">
        <f t="shared" ca="1" si="1273"/>
        <v>45702</v>
      </c>
      <c r="B9307" s="5">
        <f t="shared" si="1274"/>
        <v>291.27</v>
      </c>
    </row>
    <row r="9308" spans="1:2" ht="15.75" customHeight="1" thickBot="1" x14ac:dyDescent="0.3">
      <c r="A9308" s="7">
        <f t="shared" ca="1" si="1273"/>
        <v>45702</v>
      </c>
      <c r="B9308" s="5">
        <f t="shared" si="1274"/>
        <v>291.27</v>
      </c>
    </row>
    <row r="9309" spans="1:2" ht="15.75" customHeight="1" thickBot="1" x14ac:dyDescent="0.3">
      <c r="A9309" s="7">
        <f t="shared" ca="1" si="1273"/>
        <v>45702</v>
      </c>
      <c r="B9309" s="5">
        <f t="shared" si="1274"/>
        <v>291.27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K9303"/>
  <sheetViews>
    <sheetView workbookViewId="0">
      <selection activeCell="A2" sqref="A2"/>
    </sheetView>
  </sheetViews>
  <sheetFormatPr defaultColWidth="12.6328125" defaultRowHeight="15.75" customHeight="1" x14ac:dyDescent="0.25"/>
  <sheetData>
    <row r="1" spans="1:11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5.75" customHeight="1" x14ac:dyDescent="0.25">
      <c r="A2" s="3" t="e">
        <f t="array" aca="1" ref="A2:A8809" ca="1">DATE(2001,1,1)+_xludf.SEQUENCE(TODAY()-DATE(2001,1,1)+1,1,0,1)</f>
        <v>#NAME?</v>
      </c>
      <c r="B2" s="2" t="s">
        <v>12</v>
      </c>
      <c r="C2" s="2" t="s">
        <v>12</v>
      </c>
      <c r="D2" s="2" t="s">
        <v>12</v>
      </c>
      <c r="E2" s="2" t="s">
        <v>12</v>
      </c>
      <c r="F2" s="2" t="s">
        <v>12</v>
      </c>
      <c r="G2" s="2" t="s">
        <v>12</v>
      </c>
      <c r="H2" s="2" t="s">
        <v>12</v>
      </c>
      <c r="I2" s="2" t="s">
        <v>12</v>
      </c>
      <c r="J2" s="2" t="s">
        <v>12</v>
      </c>
      <c r="K2" s="2" t="s">
        <v>12</v>
      </c>
    </row>
    <row r="3" spans="1:11" ht="15.75" customHeight="1" x14ac:dyDescent="0.25">
      <c r="A3" s="3" t="e">
        <f ca="1"/>
        <v>#NAME?</v>
      </c>
      <c r="B3" s="2" t="s">
        <v>12</v>
      </c>
      <c r="C3" s="2" t="s">
        <v>12</v>
      </c>
      <c r="D3" s="2" t="s">
        <v>12</v>
      </c>
      <c r="E3" s="2" t="s">
        <v>12</v>
      </c>
      <c r="F3" s="2" t="s">
        <v>12</v>
      </c>
      <c r="G3" s="2" t="s">
        <v>12</v>
      </c>
      <c r="H3" s="2" t="s">
        <v>12</v>
      </c>
      <c r="I3" s="2" t="s">
        <v>12</v>
      </c>
      <c r="J3" s="2" t="s">
        <v>12</v>
      </c>
      <c r="K3" s="2" t="s">
        <v>12</v>
      </c>
    </row>
    <row r="4" spans="1:11" ht="15.75" customHeight="1" x14ac:dyDescent="0.25">
      <c r="A4" s="3" t="e">
        <f ca="1"/>
        <v>#NAME?</v>
      </c>
      <c r="B4" s="2" t="s">
        <v>12</v>
      </c>
      <c r="C4" s="2" t="s">
        <v>12</v>
      </c>
      <c r="D4" s="2" t="s">
        <v>12</v>
      </c>
      <c r="E4" s="2" t="s">
        <v>12</v>
      </c>
      <c r="F4" s="2" t="s">
        <v>12</v>
      </c>
      <c r="G4" s="2" t="s">
        <v>12</v>
      </c>
      <c r="H4" s="2" t="s">
        <v>12</v>
      </c>
      <c r="I4" s="2" t="s">
        <v>12</v>
      </c>
      <c r="J4" s="2" t="s">
        <v>12</v>
      </c>
      <c r="K4" s="2" t="s">
        <v>12</v>
      </c>
    </row>
    <row r="5" spans="1:11" ht="15.75" customHeight="1" x14ac:dyDescent="0.25">
      <c r="A5" s="3" t="e">
        <f ca="1"/>
        <v>#NAME?</v>
      </c>
      <c r="B5" s="2" t="s">
        <v>12</v>
      </c>
      <c r="C5" s="2" t="s">
        <v>12</v>
      </c>
      <c r="D5" s="2" t="s">
        <v>12</v>
      </c>
      <c r="E5" s="2" t="s">
        <v>12</v>
      </c>
      <c r="F5" s="2" t="s">
        <v>12</v>
      </c>
      <c r="G5" s="2" t="s">
        <v>12</v>
      </c>
      <c r="H5" s="2" t="s">
        <v>12</v>
      </c>
      <c r="I5" s="2" t="s">
        <v>12</v>
      </c>
      <c r="J5" s="2" t="s">
        <v>12</v>
      </c>
      <c r="K5" s="2" t="s">
        <v>12</v>
      </c>
    </row>
    <row r="6" spans="1:11" ht="15.75" customHeight="1" x14ac:dyDescent="0.25">
      <c r="A6" s="3" t="e">
        <f ca="1"/>
        <v>#NAME?</v>
      </c>
      <c r="B6" s="2" t="s">
        <v>12</v>
      </c>
      <c r="C6" s="2" t="s">
        <v>12</v>
      </c>
      <c r="D6" s="2" t="s">
        <v>12</v>
      </c>
      <c r="E6" s="2" t="s">
        <v>12</v>
      </c>
      <c r="F6" s="2" t="s">
        <v>12</v>
      </c>
      <c r="G6" s="2" t="s">
        <v>12</v>
      </c>
      <c r="H6" s="2" t="s">
        <v>12</v>
      </c>
      <c r="I6" s="2" t="s">
        <v>12</v>
      </c>
      <c r="J6" s="2" t="s">
        <v>12</v>
      </c>
      <c r="K6" s="2" t="s">
        <v>12</v>
      </c>
    </row>
    <row r="7" spans="1:11" ht="15.75" customHeight="1" x14ac:dyDescent="0.25">
      <c r="A7" s="3" t="e">
        <f ca="1"/>
        <v>#NAME?</v>
      </c>
      <c r="B7" s="2" t="s">
        <v>12</v>
      </c>
      <c r="C7" s="2" t="s">
        <v>12</v>
      </c>
      <c r="D7" s="2" t="s">
        <v>12</v>
      </c>
      <c r="E7" s="2" t="s">
        <v>12</v>
      </c>
      <c r="F7" s="2" t="s">
        <v>12</v>
      </c>
      <c r="G7" s="2" t="s">
        <v>12</v>
      </c>
      <c r="H7" s="2" t="s">
        <v>12</v>
      </c>
      <c r="I7" s="2" t="s">
        <v>12</v>
      </c>
      <c r="J7" s="2" t="s">
        <v>12</v>
      </c>
      <c r="K7" s="2" t="s">
        <v>12</v>
      </c>
    </row>
    <row r="8" spans="1:11" ht="15.75" customHeight="1" x14ac:dyDescent="0.25">
      <c r="A8" s="3" t="e">
        <f ca="1"/>
        <v>#NAME?</v>
      </c>
      <c r="B8" s="2" t="s">
        <v>12</v>
      </c>
      <c r="C8" s="2" t="s">
        <v>12</v>
      </c>
      <c r="D8" s="2" t="s">
        <v>12</v>
      </c>
      <c r="E8" s="2" t="s">
        <v>12</v>
      </c>
      <c r="F8" s="2" t="s">
        <v>12</v>
      </c>
      <c r="G8" s="2" t="s">
        <v>12</v>
      </c>
      <c r="H8" s="2" t="s">
        <v>12</v>
      </c>
      <c r="I8" s="2" t="s">
        <v>12</v>
      </c>
      <c r="J8" s="2" t="s">
        <v>12</v>
      </c>
      <c r="K8" s="2" t="s">
        <v>12</v>
      </c>
    </row>
    <row r="9" spans="1:11" ht="15.75" customHeight="1" x14ac:dyDescent="0.25">
      <c r="A9" s="3" t="e">
        <f ca="1"/>
        <v>#NAME?</v>
      </c>
      <c r="B9" s="2" t="s">
        <v>12</v>
      </c>
      <c r="C9" s="2" t="s">
        <v>12</v>
      </c>
      <c r="D9" s="2" t="s">
        <v>12</v>
      </c>
      <c r="E9" s="2" t="s">
        <v>12</v>
      </c>
      <c r="F9" s="2" t="s">
        <v>12</v>
      </c>
      <c r="G9" s="2" t="s">
        <v>12</v>
      </c>
      <c r="H9" s="2" t="s">
        <v>12</v>
      </c>
      <c r="I9" s="2" t="s">
        <v>12</v>
      </c>
      <c r="J9" s="2" t="s">
        <v>12</v>
      </c>
      <c r="K9" s="2" t="s">
        <v>12</v>
      </c>
    </row>
    <row r="10" spans="1:11" ht="15.75" customHeight="1" x14ac:dyDescent="0.25">
      <c r="A10" s="3" t="e">
        <f ca="1"/>
        <v>#NAME?</v>
      </c>
      <c r="B10" s="2" t="s">
        <v>12</v>
      </c>
      <c r="C10" s="2" t="s">
        <v>12</v>
      </c>
      <c r="D10" s="2" t="s">
        <v>12</v>
      </c>
      <c r="E10" s="2" t="s">
        <v>12</v>
      </c>
      <c r="F10" s="2" t="s">
        <v>12</v>
      </c>
      <c r="G10" s="2" t="s">
        <v>12</v>
      </c>
      <c r="H10" s="2" t="s">
        <v>12</v>
      </c>
      <c r="I10" s="2" t="s">
        <v>12</v>
      </c>
      <c r="J10" s="2" t="s">
        <v>12</v>
      </c>
      <c r="K10" s="2" t="s">
        <v>12</v>
      </c>
    </row>
    <row r="11" spans="1:11" ht="15.75" customHeight="1" x14ac:dyDescent="0.25">
      <c r="A11" s="3" t="e">
        <f ca="1"/>
        <v>#NAME?</v>
      </c>
      <c r="B11" s="2" t="s">
        <v>12</v>
      </c>
      <c r="C11" s="2" t="s">
        <v>12</v>
      </c>
      <c r="D11" s="2" t="s">
        <v>12</v>
      </c>
      <c r="E11" s="2" t="s">
        <v>12</v>
      </c>
      <c r="F11" s="2" t="s">
        <v>12</v>
      </c>
      <c r="G11" s="2" t="s">
        <v>12</v>
      </c>
      <c r="H11" s="2" t="s">
        <v>12</v>
      </c>
      <c r="I11" s="2" t="s">
        <v>12</v>
      </c>
      <c r="J11" s="2" t="s">
        <v>12</v>
      </c>
      <c r="K11" s="2" t="s">
        <v>12</v>
      </c>
    </row>
    <row r="12" spans="1:11" ht="15.75" customHeight="1" x14ac:dyDescent="0.25">
      <c r="A12" s="3" t="e">
        <f ca="1"/>
        <v>#NAME?</v>
      </c>
      <c r="B12" s="2" t="s">
        <v>12</v>
      </c>
      <c r="C12" s="2" t="s">
        <v>12</v>
      </c>
      <c r="D12" s="2" t="s">
        <v>12</v>
      </c>
      <c r="E12" s="2" t="s">
        <v>12</v>
      </c>
      <c r="F12" s="2" t="s">
        <v>12</v>
      </c>
      <c r="G12" s="2" t="s">
        <v>12</v>
      </c>
      <c r="H12" s="2" t="s">
        <v>12</v>
      </c>
      <c r="I12" s="2" t="s">
        <v>12</v>
      </c>
      <c r="J12" s="2" t="s">
        <v>12</v>
      </c>
      <c r="K12" s="2" t="s">
        <v>12</v>
      </c>
    </row>
    <row r="13" spans="1:11" ht="15.75" customHeight="1" x14ac:dyDescent="0.25">
      <c r="A13" s="3" t="e">
        <f ca="1"/>
        <v>#NAME?</v>
      </c>
      <c r="B13" s="2" t="s">
        <v>12</v>
      </c>
      <c r="C13" s="2" t="s">
        <v>12</v>
      </c>
      <c r="D13" s="2" t="s">
        <v>12</v>
      </c>
      <c r="E13" s="2" t="s">
        <v>12</v>
      </c>
      <c r="F13" s="2" t="s">
        <v>12</v>
      </c>
      <c r="G13" s="2" t="s">
        <v>12</v>
      </c>
      <c r="H13" s="2" t="s">
        <v>12</v>
      </c>
      <c r="I13" s="2" t="s">
        <v>12</v>
      </c>
      <c r="J13" s="2" t="s">
        <v>12</v>
      </c>
      <c r="K13" s="2" t="s">
        <v>12</v>
      </c>
    </row>
    <row r="14" spans="1:11" ht="15.75" customHeight="1" x14ac:dyDescent="0.25">
      <c r="A14" s="3" t="e">
        <f ca="1"/>
        <v>#NAME?</v>
      </c>
      <c r="B14" s="2" t="s">
        <v>12</v>
      </c>
      <c r="C14" s="2" t="s">
        <v>12</v>
      </c>
      <c r="D14" s="2" t="s">
        <v>12</v>
      </c>
      <c r="E14" s="2" t="s">
        <v>12</v>
      </c>
      <c r="F14" s="2" t="s">
        <v>12</v>
      </c>
      <c r="G14" s="2" t="s">
        <v>12</v>
      </c>
      <c r="H14" s="2" t="s">
        <v>12</v>
      </c>
      <c r="I14" s="2" t="s">
        <v>12</v>
      </c>
      <c r="J14" s="2" t="s">
        <v>12</v>
      </c>
      <c r="K14" s="2" t="s">
        <v>12</v>
      </c>
    </row>
    <row r="15" spans="1:11" ht="15.75" customHeight="1" x14ac:dyDescent="0.25">
      <c r="A15" s="3" t="e">
        <f ca="1"/>
        <v>#NAME?</v>
      </c>
      <c r="B15" s="2" t="s">
        <v>12</v>
      </c>
      <c r="C15" s="2" t="s">
        <v>12</v>
      </c>
      <c r="D15" s="2" t="s">
        <v>12</v>
      </c>
      <c r="E15" s="2" t="s">
        <v>12</v>
      </c>
      <c r="F15" s="2" t="s">
        <v>12</v>
      </c>
      <c r="G15" s="2" t="s">
        <v>12</v>
      </c>
      <c r="H15" s="2" t="s">
        <v>12</v>
      </c>
      <c r="I15" s="2" t="s">
        <v>12</v>
      </c>
      <c r="J15" s="2" t="s">
        <v>12</v>
      </c>
      <c r="K15" s="2" t="s">
        <v>12</v>
      </c>
    </row>
    <row r="16" spans="1:11" ht="15.75" customHeight="1" x14ac:dyDescent="0.25">
      <c r="A16" s="3" t="e">
        <f ca="1"/>
        <v>#NAME?</v>
      </c>
      <c r="B16" s="2" t="s">
        <v>12</v>
      </c>
      <c r="C16" s="2" t="s">
        <v>12</v>
      </c>
      <c r="D16" s="2" t="s">
        <v>12</v>
      </c>
      <c r="E16" s="2" t="s">
        <v>12</v>
      </c>
      <c r="F16" s="2" t="s">
        <v>12</v>
      </c>
      <c r="G16" s="2" t="s">
        <v>12</v>
      </c>
      <c r="H16" s="2" t="s">
        <v>12</v>
      </c>
      <c r="I16" s="2" t="s">
        <v>12</v>
      </c>
      <c r="J16" s="2" t="s">
        <v>12</v>
      </c>
      <c r="K16" s="2" t="s">
        <v>12</v>
      </c>
    </row>
    <row r="17" spans="1:11" ht="15.75" customHeight="1" x14ac:dyDescent="0.25">
      <c r="A17" s="3" t="e">
        <f ca="1"/>
        <v>#NAME?</v>
      </c>
      <c r="B17" s="2" t="s">
        <v>12</v>
      </c>
      <c r="C17" s="2" t="s">
        <v>12</v>
      </c>
      <c r="D17" s="2" t="s">
        <v>12</v>
      </c>
      <c r="E17" s="2" t="s">
        <v>12</v>
      </c>
      <c r="F17" s="2" t="s">
        <v>12</v>
      </c>
      <c r="G17" s="2" t="s">
        <v>12</v>
      </c>
      <c r="H17" s="2" t="s">
        <v>12</v>
      </c>
      <c r="I17" s="2" t="s">
        <v>12</v>
      </c>
      <c r="J17" s="2" t="s">
        <v>12</v>
      </c>
      <c r="K17" s="2" t="s">
        <v>12</v>
      </c>
    </row>
    <row r="18" spans="1:11" ht="15.75" customHeight="1" x14ac:dyDescent="0.25">
      <c r="A18" s="3" t="e">
        <f ca="1"/>
        <v>#NAME?</v>
      </c>
      <c r="B18" s="2" t="s">
        <v>12</v>
      </c>
      <c r="C18" s="2" t="s">
        <v>12</v>
      </c>
      <c r="D18" s="2" t="s">
        <v>12</v>
      </c>
      <c r="E18" s="2" t="s">
        <v>12</v>
      </c>
      <c r="F18" s="2" t="s">
        <v>12</v>
      </c>
      <c r="G18" s="2" t="s">
        <v>12</v>
      </c>
      <c r="H18" s="2" t="s">
        <v>12</v>
      </c>
      <c r="I18" s="2" t="s">
        <v>12</v>
      </c>
      <c r="J18" s="2" t="s">
        <v>12</v>
      </c>
      <c r="K18" s="2" t="s">
        <v>12</v>
      </c>
    </row>
    <row r="19" spans="1:11" ht="15.75" customHeight="1" x14ac:dyDescent="0.25">
      <c r="A19" s="3" t="e">
        <f ca="1"/>
        <v>#NAME?</v>
      </c>
      <c r="B19" s="2" t="s">
        <v>12</v>
      </c>
      <c r="C19" s="2" t="s">
        <v>12</v>
      </c>
      <c r="D19" s="2" t="s">
        <v>12</v>
      </c>
      <c r="E19" s="2" t="s">
        <v>12</v>
      </c>
      <c r="F19" s="2" t="s">
        <v>12</v>
      </c>
      <c r="G19" s="2" t="s">
        <v>12</v>
      </c>
      <c r="H19" s="2" t="s">
        <v>12</v>
      </c>
      <c r="I19" s="2" t="s">
        <v>12</v>
      </c>
      <c r="J19" s="2" t="s">
        <v>12</v>
      </c>
      <c r="K19" s="2" t="s">
        <v>12</v>
      </c>
    </row>
    <row r="20" spans="1:11" ht="15.75" customHeight="1" x14ac:dyDescent="0.25">
      <c r="A20" s="3" t="e">
        <f ca="1"/>
        <v>#NAME?</v>
      </c>
      <c r="B20" s="2" t="s">
        <v>12</v>
      </c>
      <c r="C20" s="2" t="s">
        <v>12</v>
      </c>
      <c r="D20" s="2" t="s">
        <v>12</v>
      </c>
      <c r="E20" s="2" t="s">
        <v>12</v>
      </c>
      <c r="F20" s="2" t="s">
        <v>12</v>
      </c>
      <c r="G20" s="2" t="s">
        <v>12</v>
      </c>
      <c r="H20" s="2" t="s">
        <v>12</v>
      </c>
      <c r="I20" s="2" t="s">
        <v>12</v>
      </c>
      <c r="J20" s="2" t="s">
        <v>12</v>
      </c>
      <c r="K20" s="2" t="s">
        <v>12</v>
      </c>
    </row>
    <row r="21" spans="1:11" ht="12.5" x14ac:dyDescent="0.25">
      <c r="A21" s="3" t="e">
        <f ca="1"/>
        <v>#NAME?</v>
      </c>
      <c r="B21" s="2" t="s">
        <v>12</v>
      </c>
      <c r="C21" s="2" t="s">
        <v>12</v>
      </c>
      <c r="D21" s="2" t="s">
        <v>12</v>
      </c>
      <c r="E21" s="2" t="s">
        <v>12</v>
      </c>
      <c r="F21" s="2" t="s">
        <v>12</v>
      </c>
      <c r="G21" s="2" t="s">
        <v>12</v>
      </c>
      <c r="H21" s="2" t="s">
        <v>12</v>
      </c>
      <c r="I21" s="2" t="s">
        <v>12</v>
      </c>
      <c r="J21" s="2" t="s">
        <v>12</v>
      </c>
      <c r="K21" s="2" t="s">
        <v>12</v>
      </c>
    </row>
    <row r="22" spans="1:11" ht="12.5" x14ac:dyDescent="0.25">
      <c r="A22" s="3" t="e">
        <f ca="1"/>
        <v>#NAME?</v>
      </c>
      <c r="B22" s="2" t="s">
        <v>12</v>
      </c>
      <c r="C22" s="2" t="s">
        <v>12</v>
      </c>
      <c r="D22" s="2" t="s">
        <v>12</v>
      </c>
      <c r="E22" s="2" t="s">
        <v>12</v>
      </c>
      <c r="F22" s="2" t="s">
        <v>12</v>
      </c>
      <c r="G22" s="2" t="s">
        <v>12</v>
      </c>
      <c r="H22" s="2" t="s">
        <v>12</v>
      </c>
      <c r="I22" s="2" t="s">
        <v>12</v>
      </c>
      <c r="J22" s="2" t="s">
        <v>12</v>
      </c>
      <c r="K22" s="2" t="s">
        <v>12</v>
      </c>
    </row>
    <row r="23" spans="1:11" ht="12.5" x14ac:dyDescent="0.25">
      <c r="A23" s="3" t="e">
        <f ca="1"/>
        <v>#NAME?</v>
      </c>
      <c r="B23" s="2" t="s">
        <v>12</v>
      </c>
      <c r="C23" s="2" t="s">
        <v>12</v>
      </c>
      <c r="D23" s="2" t="s">
        <v>12</v>
      </c>
      <c r="E23" s="2" t="s">
        <v>12</v>
      </c>
      <c r="F23" s="2" t="s">
        <v>12</v>
      </c>
      <c r="G23" s="2" t="s">
        <v>12</v>
      </c>
      <c r="H23" s="2" t="s">
        <v>12</v>
      </c>
      <c r="I23" s="2" t="s">
        <v>12</v>
      </c>
      <c r="J23" s="2" t="s">
        <v>12</v>
      </c>
      <c r="K23" s="2" t="s">
        <v>12</v>
      </c>
    </row>
    <row r="24" spans="1:11" ht="12.5" x14ac:dyDescent="0.25">
      <c r="A24" s="3" t="e">
        <f ca="1"/>
        <v>#NAME?</v>
      </c>
      <c r="B24" s="2" t="s">
        <v>12</v>
      </c>
      <c r="C24" s="2" t="s">
        <v>12</v>
      </c>
      <c r="D24" s="2" t="s">
        <v>12</v>
      </c>
      <c r="E24" s="2" t="s">
        <v>12</v>
      </c>
      <c r="F24" s="2" t="s">
        <v>12</v>
      </c>
      <c r="G24" s="2" t="s">
        <v>12</v>
      </c>
      <c r="H24" s="2" t="s">
        <v>12</v>
      </c>
      <c r="I24" s="2" t="s">
        <v>12</v>
      </c>
      <c r="J24" s="2" t="s">
        <v>12</v>
      </c>
      <c r="K24" s="2" t="s">
        <v>12</v>
      </c>
    </row>
    <row r="25" spans="1:11" ht="12.5" x14ac:dyDescent="0.25">
      <c r="A25" s="3" t="e">
        <f ca="1"/>
        <v>#NAME?</v>
      </c>
      <c r="B25" s="2" t="s">
        <v>12</v>
      </c>
      <c r="C25" s="2" t="s">
        <v>12</v>
      </c>
      <c r="D25" s="2" t="s">
        <v>12</v>
      </c>
      <c r="E25" s="2" t="s">
        <v>12</v>
      </c>
      <c r="F25" s="2" t="s">
        <v>12</v>
      </c>
      <c r="G25" s="2" t="s">
        <v>12</v>
      </c>
      <c r="H25" s="2" t="s">
        <v>12</v>
      </c>
      <c r="I25" s="2" t="s">
        <v>12</v>
      </c>
      <c r="J25" s="2" t="s">
        <v>12</v>
      </c>
      <c r="K25" s="2" t="s">
        <v>12</v>
      </c>
    </row>
    <row r="26" spans="1:11" ht="12.5" x14ac:dyDescent="0.25">
      <c r="A26" s="3" t="e">
        <f ca="1"/>
        <v>#NAME?</v>
      </c>
      <c r="B26" s="2" t="s">
        <v>12</v>
      </c>
      <c r="C26" s="2" t="s">
        <v>12</v>
      </c>
      <c r="D26" s="2" t="s">
        <v>12</v>
      </c>
      <c r="E26" s="2" t="s">
        <v>12</v>
      </c>
      <c r="F26" s="2" t="s">
        <v>12</v>
      </c>
      <c r="G26" s="2" t="s">
        <v>12</v>
      </c>
      <c r="H26" s="2" t="s">
        <v>12</v>
      </c>
      <c r="I26" s="2" t="s">
        <v>12</v>
      </c>
      <c r="J26" s="2" t="s">
        <v>12</v>
      </c>
      <c r="K26" s="2" t="s">
        <v>12</v>
      </c>
    </row>
    <row r="27" spans="1:11" ht="12.5" x14ac:dyDescent="0.25">
      <c r="A27" s="3" t="e">
        <f ca="1"/>
        <v>#NAME?</v>
      </c>
      <c r="B27" s="2" t="s">
        <v>12</v>
      </c>
      <c r="C27" s="2" t="s">
        <v>12</v>
      </c>
      <c r="D27" s="2" t="s">
        <v>12</v>
      </c>
      <c r="E27" s="2" t="s">
        <v>12</v>
      </c>
      <c r="F27" s="2" t="s">
        <v>12</v>
      </c>
      <c r="G27" s="2" t="s">
        <v>12</v>
      </c>
      <c r="H27" s="2" t="s">
        <v>12</v>
      </c>
      <c r="I27" s="2" t="s">
        <v>12</v>
      </c>
      <c r="J27" s="2" t="s">
        <v>12</v>
      </c>
      <c r="K27" s="2" t="s">
        <v>12</v>
      </c>
    </row>
    <row r="28" spans="1:11" ht="12.5" x14ac:dyDescent="0.25">
      <c r="A28" s="3" t="e">
        <f ca="1"/>
        <v>#NAME?</v>
      </c>
      <c r="B28" s="2" t="s">
        <v>12</v>
      </c>
      <c r="C28" s="2" t="s">
        <v>12</v>
      </c>
      <c r="D28" s="2" t="s">
        <v>12</v>
      </c>
      <c r="E28" s="2" t="s">
        <v>12</v>
      </c>
      <c r="F28" s="2" t="s">
        <v>12</v>
      </c>
      <c r="G28" s="2" t="s">
        <v>12</v>
      </c>
      <c r="H28" s="2" t="s">
        <v>12</v>
      </c>
      <c r="I28" s="2" t="s">
        <v>12</v>
      </c>
      <c r="J28" s="2" t="s">
        <v>12</v>
      </c>
      <c r="K28" s="2" t="s">
        <v>12</v>
      </c>
    </row>
    <row r="29" spans="1:11" ht="12.5" x14ac:dyDescent="0.25">
      <c r="A29" s="3" t="e">
        <f ca="1"/>
        <v>#NAME?</v>
      </c>
      <c r="B29" s="2" t="s">
        <v>12</v>
      </c>
      <c r="C29" s="2" t="s">
        <v>12</v>
      </c>
      <c r="D29" s="2" t="s">
        <v>12</v>
      </c>
      <c r="E29" s="2" t="s">
        <v>12</v>
      </c>
      <c r="F29" s="2" t="s">
        <v>12</v>
      </c>
      <c r="G29" s="2" t="s">
        <v>12</v>
      </c>
      <c r="H29" s="2" t="s">
        <v>12</v>
      </c>
      <c r="I29" s="2" t="s">
        <v>12</v>
      </c>
      <c r="J29" s="2" t="s">
        <v>12</v>
      </c>
      <c r="K29" s="2" t="s">
        <v>12</v>
      </c>
    </row>
    <row r="30" spans="1:11" ht="12.5" x14ac:dyDescent="0.25">
      <c r="A30" s="3" t="e">
        <f ca="1"/>
        <v>#NAME?</v>
      </c>
      <c r="B30" s="2" t="s">
        <v>12</v>
      </c>
      <c r="C30" s="2" t="s">
        <v>12</v>
      </c>
      <c r="D30" s="2" t="s">
        <v>12</v>
      </c>
      <c r="E30" s="2" t="s">
        <v>12</v>
      </c>
      <c r="F30" s="2" t="s">
        <v>12</v>
      </c>
      <c r="G30" s="2" t="s">
        <v>12</v>
      </c>
      <c r="H30" s="2" t="s">
        <v>12</v>
      </c>
      <c r="I30" s="2" t="s">
        <v>12</v>
      </c>
      <c r="J30" s="2" t="s">
        <v>12</v>
      </c>
      <c r="K30" s="2" t="s">
        <v>12</v>
      </c>
    </row>
    <row r="31" spans="1:11" ht="12.5" x14ac:dyDescent="0.25">
      <c r="A31" s="3" t="e">
        <f ca="1"/>
        <v>#NAME?</v>
      </c>
      <c r="B31" s="2" t="s">
        <v>12</v>
      </c>
      <c r="C31" s="2" t="s">
        <v>12</v>
      </c>
      <c r="D31" s="2" t="s">
        <v>12</v>
      </c>
      <c r="E31" s="2" t="s">
        <v>12</v>
      </c>
      <c r="F31" s="2" t="s">
        <v>12</v>
      </c>
      <c r="G31" s="2" t="s">
        <v>12</v>
      </c>
      <c r="H31" s="2" t="s">
        <v>12</v>
      </c>
      <c r="I31" s="2" t="s">
        <v>12</v>
      </c>
      <c r="J31" s="2" t="s">
        <v>12</v>
      </c>
      <c r="K31" s="2" t="s">
        <v>12</v>
      </c>
    </row>
    <row r="32" spans="1:11" ht="12.5" x14ac:dyDescent="0.25">
      <c r="A32" s="3" t="e">
        <f ca="1"/>
        <v>#NAME?</v>
      </c>
      <c r="B32" s="2" t="s">
        <v>12</v>
      </c>
      <c r="C32" s="2" t="s">
        <v>12</v>
      </c>
      <c r="D32" s="2" t="s">
        <v>12</v>
      </c>
      <c r="E32" s="2" t="s">
        <v>12</v>
      </c>
      <c r="F32" s="2" t="s">
        <v>12</v>
      </c>
      <c r="G32" s="2" t="s">
        <v>12</v>
      </c>
      <c r="H32" s="2" t="s">
        <v>12</v>
      </c>
      <c r="I32" s="2" t="s">
        <v>12</v>
      </c>
      <c r="J32" s="2" t="s">
        <v>12</v>
      </c>
      <c r="K32" s="2" t="s">
        <v>12</v>
      </c>
    </row>
    <row r="33" spans="1:11" ht="12.5" x14ac:dyDescent="0.25">
      <c r="A33" s="3" t="e">
        <f ca="1"/>
        <v>#NAME?</v>
      </c>
      <c r="B33" s="2" t="s">
        <v>12</v>
      </c>
      <c r="C33" s="2" t="s">
        <v>12</v>
      </c>
      <c r="D33" s="2" t="s">
        <v>12</v>
      </c>
      <c r="E33" s="2" t="s">
        <v>12</v>
      </c>
      <c r="F33" s="2" t="s">
        <v>12</v>
      </c>
      <c r="G33" s="2" t="s">
        <v>12</v>
      </c>
      <c r="H33" s="2" t="s">
        <v>12</v>
      </c>
      <c r="I33" s="2" t="s">
        <v>12</v>
      </c>
      <c r="J33" s="2" t="s">
        <v>12</v>
      </c>
      <c r="K33" s="2" t="s">
        <v>12</v>
      </c>
    </row>
    <row r="34" spans="1:11" ht="12.5" x14ac:dyDescent="0.25">
      <c r="A34" s="3" t="e">
        <f ca="1"/>
        <v>#NAME?</v>
      </c>
      <c r="B34" s="2" t="s">
        <v>12</v>
      </c>
      <c r="C34" s="2" t="s">
        <v>12</v>
      </c>
      <c r="D34" s="2" t="s">
        <v>12</v>
      </c>
      <c r="E34" s="2" t="s">
        <v>12</v>
      </c>
      <c r="F34" s="2" t="s">
        <v>12</v>
      </c>
      <c r="G34" s="2" t="s">
        <v>12</v>
      </c>
      <c r="H34" s="2" t="s">
        <v>12</v>
      </c>
      <c r="I34" s="2" t="s">
        <v>12</v>
      </c>
      <c r="J34" s="2" t="s">
        <v>12</v>
      </c>
      <c r="K34" s="2" t="s">
        <v>12</v>
      </c>
    </row>
    <row r="35" spans="1:11" ht="12.5" x14ac:dyDescent="0.25">
      <c r="A35" s="3" t="e">
        <f ca="1"/>
        <v>#NAME?</v>
      </c>
      <c r="B35" s="2" t="s">
        <v>12</v>
      </c>
      <c r="C35" s="2" t="s">
        <v>12</v>
      </c>
      <c r="D35" s="2" t="s">
        <v>12</v>
      </c>
      <c r="E35" s="2" t="s">
        <v>12</v>
      </c>
      <c r="F35" s="2" t="s">
        <v>12</v>
      </c>
      <c r="G35" s="2" t="s">
        <v>12</v>
      </c>
      <c r="H35" s="2" t="s">
        <v>12</v>
      </c>
      <c r="I35" s="2" t="s">
        <v>12</v>
      </c>
      <c r="J35" s="2" t="s">
        <v>12</v>
      </c>
      <c r="K35" s="2" t="s">
        <v>12</v>
      </c>
    </row>
    <row r="36" spans="1:11" ht="12.5" x14ac:dyDescent="0.25">
      <c r="A36" s="3" t="e">
        <f ca="1"/>
        <v>#NAME?</v>
      </c>
      <c r="B36" s="2" t="s">
        <v>12</v>
      </c>
      <c r="C36" s="2" t="s">
        <v>12</v>
      </c>
      <c r="D36" s="2" t="s">
        <v>12</v>
      </c>
      <c r="E36" s="2" t="s">
        <v>12</v>
      </c>
      <c r="F36" s="2" t="s">
        <v>12</v>
      </c>
      <c r="G36" s="2" t="s">
        <v>12</v>
      </c>
      <c r="H36" s="2" t="s">
        <v>12</v>
      </c>
      <c r="I36" s="2" t="s">
        <v>12</v>
      </c>
      <c r="J36" s="2" t="s">
        <v>12</v>
      </c>
      <c r="K36" s="2" t="s">
        <v>12</v>
      </c>
    </row>
    <row r="37" spans="1:11" ht="12.5" x14ac:dyDescent="0.25">
      <c r="A37" s="3" t="e">
        <f ca="1"/>
        <v>#NAME?</v>
      </c>
      <c r="B37" s="2" t="s">
        <v>12</v>
      </c>
      <c r="C37" s="2" t="s">
        <v>12</v>
      </c>
      <c r="D37" s="2" t="s">
        <v>12</v>
      </c>
      <c r="E37" s="2" t="s">
        <v>12</v>
      </c>
      <c r="F37" s="2" t="s">
        <v>12</v>
      </c>
      <c r="G37" s="2" t="s">
        <v>12</v>
      </c>
      <c r="H37" s="2" t="s">
        <v>12</v>
      </c>
      <c r="I37" s="2" t="s">
        <v>12</v>
      </c>
      <c r="J37" s="2" t="s">
        <v>12</v>
      </c>
      <c r="K37" s="2" t="s">
        <v>12</v>
      </c>
    </row>
    <row r="38" spans="1:11" ht="12.5" x14ac:dyDescent="0.25">
      <c r="A38" s="3" t="e">
        <f ca="1"/>
        <v>#NAME?</v>
      </c>
      <c r="B38" s="2" t="s">
        <v>12</v>
      </c>
      <c r="C38" s="2" t="s">
        <v>12</v>
      </c>
      <c r="D38" s="2" t="s">
        <v>12</v>
      </c>
      <c r="E38" s="2" t="s">
        <v>12</v>
      </c>
      <c r="F38" s="2" t="s">
        <v>12</v>
      </c>
      <c r="G38" s="2" t="s">
        <v>12</v>
      </c>
      <c r="H38" s="2" t="s">
        <v>12</v>
      </c>
      <c r="I38" s="2" t="s">
        <v>12</v>
      </c>
      <c r="J38" s="2" t="s">
        <v>12</v>
      </c>
      <c r="K38" s="2" t="s">
        <v>12</v>
      </c>
    </row>
    <row r="39" spans="1:11" ht="12.5" x14ac:dyDescent="0.25">
      <c r="A39" s="3" t="e">
        <f ca="1"/>
        <v>#NAME?</v>
      </c>
      <c r="B39" s="2" t="s">
        <v>12</v>
      </c>
      <c r="C39" s="2" t="s">
        <v>12</v>
      </c>
      <c r="D39" s="2" t="s">
        <v>12</v>
      </c>
      <c r="E39" s="2" t="s">
        <v>12</v>
      </c>
      <c r="F39" s="2" t="s">
        <v>12</v>
      </c>
      <c r="G39" s="2" t="s">
        <v>12</v>
      </c>
      <c r="H39" s="2" t="s">
        <v>12</v>
      </c>
      <c r="I39" s="2" t="s">
        <v>12</v>
      </c>
      <c r="J39" s="2" t="s">
        <v>12</v>
      </c>
      <c r="K39" s="2" t="s">
        <v>12</v>
      </c>
    </row>
    <row r="40" spans="1:11" ht="12.5" x14ac:dyDescent="0.25">
      <c r="A40" s="3" t="e">
        <f ca="1"/>
        <v>#NAME?</v>
      </c>
      <c r="B40" s="2" t="s">
        <v>12</v>
      </c>
      <c r="C40" s="2" t="s">
        <v>12</v>
      </c>
      <c r="D40" s="2" t="s">
        <v>12</v>
      </c>
      <c r="E40" s="2" t="s">
        <v>12</v>
      </c>
      <c r="F40" s="2" t="s">
        <v>12</v>
      </c>
      <c r="G40" s="2" t="s">
        <v>12</v>
      </c>
      <c r="H40" s="2" t="s">
        <v>12</v>
      </c>
      <c r="I40" s="2" t="s">
        <v>12</v>
      </c>
      <c r="J40" s="2" t="s">
        <v>12</v>
      </c>
      <c r="K40" s="2" t="s">
        <v>12</v>
      </c>
    </row>
    <row r="41" spans="1:11" ht="12.5" x14ac:dyDescent="0.25">
      <c r="A41" s="3" t="e">
        <f ca="1"/>
        <v>#NAME?</v>
      </c>
      <c r="B41" s="2" t="s">
        <v>12</v>
      </c>
      <c r="C41" s="2" t="s">
        <v>12</v>
      </c>
      <c r="D41" s="2" t="s">
        <v>12</v>
      </c>
      <c r="E41" s="2" t="s">
        <v>12</v>
      </c>
      <c r="F41" s="2" t="s">
        <v>12</v>
      </c>
      <c r="G41" s="2" t="s">
        <v>12</v>
      </c>
      <c r="H41" s="2" t="s">
        <v>12</v>
      </c>
      <c r="I41" s="2" t="s">
        <v>12</v>
      </c>
      <c r="J41" s="2" t="s">
        <v>12</v>
      </c>
      <c r="K41" s="2" t="s">
        <v>12</v>
      </c>
    </row>
    <row r="42" spans="1:11" ht="12.5" x14ac:dyDescent="0.25">
      <c r="A42" s="3" t="e">
        <f ca="1"/>
        <v>#NAME?</v>
      </c>
      <c r="B42" s="2" t="s">
        <v>12</v>
      </c>
      <c r="C42" s="2" t="s">
        <v>12</v>
      </c>
      <c r="D42" s="2" t="s">
        <v>12</v>
      </c>
      <c r="E42" s="2" t="s">
        <v>12</v>
      </c>
      <c r="F42" s="2" t="s">
        <v>12</v>
      </c>
      <c r="G42" s="2" t="s">
        <v>12</v>
      </c>
      <c r="H42" s="2" t="s">
        <v>12</v>
      </c>
      <c r="I42" s="2" t="s">
        <v>12</v>
      </c>
      <c r="J42" s="2" t="s">
        <v>12</v>
      </c>
      <c r="K42" s="2" t="s">
        <v>12</v>
      </c>
    </row>
    <row r="43" spans="1:11" ht="12.5" x14ac:dyDescent="0.25">
      <c r="A43" s="3" t="e">
        <f ca="1"/>
        <v>#NAME?</v>
      </c>
      <c r="B43" s="2" t="s">
        <v>12</v>
      </c>
      <c r="C43" s="2" t="s">
        <v>12</v>
      </c>
      <c r="D43" s="2" t="s">
        <v>12</v>
      </c>
      <c r="E43" s="2" t="s">
        <v>12</v>
      </c>
      <c r="F43" s="2" t="s">
        <v>12</v>
      </c>
      <c r="G43" s="2" t="s">
        <v>12</v>
      </c>
      <c r="H43" s="2" t="s">
        <v>12</v>
      </c>
      <c r="I43" s="2" t="s">
        <v>12</v>
      </c>
      <c r="J43" s="2" t="s">
        <v>12</v>
      </c>
      <c r="K43" s="2" t="s">
        <v>12</v>
      </c>
    </row>
    <row r="44" spans="1:11" ht="12.5" x14ac:dyDescent="0.25">
      <c r="A44" s="3" t="e">
        <f ca="1"/>
        <v>#NAME?</v>
      </c>
      <c r="B44" s="2" t="s">
        <v>12</v>
      </c>
      <c r="C44" s="2" t="s">
        <v>12</v>
      </c>
      <c r="D44" s="2" t="s">
        <v>12</v>
      </c>
      <c r="E44" s="2" t="s">
        <v>12</v>
      </c>
      <c r="F44" s="2" t="s">
        <v>12</v>
      </c>
      <c r="G44" s="2" t="s">
        <v>12</v>
      </c>
      <c r="H44" s="2" t="s">
        <v>12</v>
      </c>
      <c r="I44" s="2" t="s">
        <v>12</v>
      </c>
      <c r="J44" s="2" t="s">
        <v>12</v>
      </c>
      <c r="K44" s="2" t="s">
        <v>12</v>
      </c>
    </row>
    <row r="45" spans="1:11" ht="12.5" x14ac:dyDescent="0.25">
      <c r="A45" s="3" t="e">
        <f ca="1"/>
        <v>#NAME?</v>
      </c>
      <c r="B45" s="2" t="s">
        <v>12</v>
      </c>
      <c r="C45" s="2" t="s">
        <v>12</v>
      </c>
      <c r="D45" s="2" t="s">
        <v>12</v>
      </c>
      <c r="E45" s="2" t="s">
        <v>12</v>
      </c>
      <c r="F45" s="2" t="s">
        <v>12</v>
      </c>
      <c r="G45" s="2" t="s">
        <v>12</v>
      </c>
      <c r="H45" s="2" t="s">
        <v>12</v>
      </c>
      <c r="I45" s="2" t="s">
        <v>12</v>
      </c>
      <c r="J45" s="2" t="s">
        <v>12</v>
      </c>
      <c r="K45" s="2" t="s">
        <v>12</v>
      </c>
    </row>
    <row r="46" spans="1:11" ht="12.5" x14ac:dyDescent="0.25">
      <c r="A46" s="3" t="e">
        <f ca="1"/>
        <v>#NAME?</v>
      </c>
      <c r="B46" s="2" t="s">
        <v>12</v>
      </c>
      <c r="C46" s="2" t="s">
        <v>12</v>
      </c>
      <c r="D46" s="2" t="s">
        <v>12</v>
      </c>
      <c r="E46" s="2" t="s">
        <v>12</v>
      </c>
      <c r="F46" s="2" t="s">
        <v>12</v>
      </c>
      <c r="G46" s="2" t="s">
        <v>12</v>
      </c>
      <c r="H46" s="2" t="s">
        <v>12</v>
      </c>
      <c r="I46" s="2" t="s">
        <v>12</v>
      </c>
      <c r="J46" s="2" t="s">
        <v>12</v>
      </c>
      <c r="K46" s="2" t="s">
        <v>12</v>
      </c>
    </row>
    <row r="47" spans="1:11" ht="12.5" x14ac:dyDescent="0.25">
      <c r="A47" s="3" t="e">
        <f ca="1"/>
        <v>#NAME?</v>
      </c>
      <c r="B47" s="2" t="s">
        <v>12</v>
      </c>
      <c r="C47" s="2" t="s">
        <v>12</v>
      </c>
      <c r="D47" s="2" t="s">
        <v>12</v>
      </c>
      <c r="E47" s="2" t="s">
        <v>12</v>
      </c>
      <c r="F47" s="2" t="s">
        <v>12</v>
      </c>
      <c r="G47" s="2" t="s">
        <v>12</v>
      </c>
      <c r="H47" s="2" t="s">
        <v>12</v>
      </c>
      <c r="I47" s="2" t="s">
        <v>12</v>
      </c>
      <c r="J47" s="2" t="s">
        <v>12</v>
      </c>
      <c r="K47" s="2" t="s">
        <v>12</v>
      </c>
    </row>
    <row r="48" spans="1:11" ht="12.5" x14ac:dyDescent="0.25">
      <c r="A48" s="3" t="e">
        <f ca="1"/>
        <v>#NAME?</v>
      </c>
      <c r="B48" s="2" t="s">
        <v>12</v>
      </c>
      <c r="C48" s="2" t="s">
        <v>12</v>
      </c>
      <c r="D48" s="2" t="s">
        <v>12</v>
      </c>
      <c r="E48" s="2" t="s">
        <v>12</v>
      </c>
      <c r="F48" s="2" t="s">
        <v>12</v>
      </c>
      <c r="G48" s="2" t="s">
        <v>12</v>
      </c>
      <c r="H48" s="2" t="s">
        <v>12</v>
      </c>
      <c r="I48" s="2" t="s">
        <v>12</v>
      </c>
      <c r="J48" s="2" t="s">
        <v>12</v>
      </c>
      <c r="K48" s="2" t="s">
        <v>12</v>
      </c>
    </row>
    <row r="49" spans="1:11" ht="12.5" x14ac:dyDescent="0.25">
      <c r="A49" s="3" t="e">
        <f ca="1"/>
        <v>#NAME?</v>
      </c>
      <c r="B49" s="2" t="s">
        <v>12</v>
      </c>
      <c r="C49" s="2" t="s">
        <v>12</v>
      </c>
      <c r="D49" s="2" t="s">
        <v>12</v>
      </c>
      <c r="E49" s="2" t="s">
        <v>12</v>
      </c>
      <c r="F49" s="2" t="s">
        <v>12</v>
      </c>
      <c r="G49" s="2" t="s">
        <v>12</v>
      </c>
      <c r="H49" s="2" t="s">
        <v>12</v>
      </c>
      <c r="I49" s="2" t="s">
        <v>12</v>
      </c>
      <c r="J49" s="2" t="s">
        <v>12</v>
      </c>
      <c r="K49" s="2" t="s">
        <v>12</v>
      </c>
    </row>
    <row r="50" spans="1:11" ht="12.5" x14ac:dyDescent="0.25">
      <c r="A50" s="3" t="e">
        <f ca="1"/>
        <v>#NAME?</v>
      </c>
      <c r="B50" s="2" t="s">
        <v>12</v>
      </c>
      <c r="C50" s="2" t="s">
        <v>12</v>
      </c>
      <c r="D50" s="2" t="s">
        <v>12</v>
      </c>
      <c r="E50" s="2" t="s">
        <v>12</v>
      </c>
      <c r="F50" s="2" t="s">
        <v>12</v>
      </c>
      <c r="G50" s="2" t="s">
        <v>12</v>
      </c>
      <c r="H50" s="2" t="s">
        <v>12</v>
      </c>
      <c r="I50" s="2" t="s">
        <v>12</v>
      </c>
      <c r="J50" s="2" t="s">
        <v>12</v>
      </c>
      <c r="K50" s="2" t="s">
        <v>12</v>
      </c>
    </row>
    <row r="51" spans="1:11" ht="12.5" x14ac:dyDescent="0.25">
      <c r="A51" s="3" t="e">
        <f ca="1"/>
        <v>#NAME?</v>
      </c>
      <c r="B51" s="2" t="s">
        <v>12</v>
      </c>
      <c r="C51" s="2" t="s">
        <v>12</v>
      </c>
      <c r="D51" s="2" t="s">
        <v>12</v>
      </c>
      <c r="E51" s="2" t="s">
        <v>12</v>
      </c>
      <c r="F51" s="2" t="s">
        <v>12</v>
      </c>
      <c r="G51" s="2" t="s">
        <v>12</v>
      </c>
      <c r="H51" s="2" t="s">
        <v>12</v>
      </c>
      <c r="I51" s="2" t="s">
        <v>12</v>
      </c>
      <c r="J51" s="2" t="s">
        <v>12</v>
      </c>
      <c r="K51" s="2" t="s">
        <v>12</v>
      </c>
    </row>
    <row r="52" spans="1:11" ht="12.5" x14ac:dyDescent="0.25">
      <c r="A52" s="3" t="e">
        <f ca="1"/>
        <v>#NAME?</v>
      </c>
      <c r="B52" s="2" t="s">
        <v>12</v>
      </c>
      <c r="C52" s="2" t="s">
        <v>12</v>
      </c>
      <c r="D52" s="2" t="s">
        <v>12</v>
      </c>
      <c r="E52" s="2" t="s">
        <v>12</v>
      </c>
      <c r="F52" s="2" t="s">
        <v>12</v>
      </c>
      <c r="G52" s="2" t="s">
        <v>12</v>
      </c>
      <c r="H52" s="2" t="s">
        <v>12</v>
      </c>
      <c r="I52" s="2" t="s">
        <v>12</v>
      </c>
      <c r="J52" s="2" t="s">
        <v>12</v>
      </c>
      <c r="K52" s="2" t="s">
        <v>12</v>
      </c>
    </row>
    <row r="53" spans="1:11" ht="12.5" x14ac:dyDescent="0.25">
      <c r="A53" s="3" t="e">
        <f ca="1"/>
        <v>#NAME?</v>
      </c>
      <c r="B53" s="2" t="s">
        <v>12</v>
      </c>
      <c r="C53" s="2" t="s">
        <v>12</v>
      </c>
      <c r="D53" s="2" t="s">
        <v>12</v>
      </c>
      <c r="E53" s="2" t="s">
        <v>12</v>
      </c>
      <c r="F53" s="2" t="s">
        <v>12</v>
      </c>
      <c r="G53" s="2" t="s">
        <v>12</v>
      </c>
      <c r="H53" s="2" t="s">
        <v>12</v>
      </c>
      <c r="I53" s="2" t="s">
        <v>12</v>
      </c>
      <c r="J53" s="2" t="s">
        <v>12</v>
      </c>
      <c r="K53" s="2" t="s">
        <v>12</v>
      </c>
    </row>
    <row r="54" spans="1:11" ht="12.5" x14ac:dyDescent="0.25">
      <c r="A54" s="3" t="e">
        <f ca="1"/>
        <v>#NAME?</v>
      </c>
      <c r="B54" s="2" t="s">
        <v>12</v>
      </c>
      <c r="C54" s="2" t="s">
        <v>12</v>
      </c>
      <c r="D54" s="2" t="s">
        <v>12</v>
      </c>
      <c r="E54" s="2" t="s">
        <v>12</v>
      </c>
      <c r="F54" s="2" t="s">
        <v>12</v>
      </c>
      <c r="G54" s="2" t="s">
        <v>12</v>
      </c>
      <c r="H54" s="2" t="s">
        <v>12</v>
      </c>
      <c r="I54" s="2" t="s">
        <v>12</v>
      </c>
      <c r="J54" s="2" t="s">
        <v>12</v>
      </c>
      <c r="K54" s="2" t="s">
        <v>12</v>
      </c>
    </row>
    <row r="55" spans="1:11" ht="12.5" x14ac:dyDescent="0.25">
      <c r="A55" s="3" t="e">
        <f ca="1"/>
        <v>#NAME?</v>
      </c>
      <c r="B55" s="2" t="s">
        <v>12</v>
      </c>
      <c r="C55" s="2" t="s">
        <v>12</v>
      </c>
      <c r="D55" s="2" t="s">
        <v>12</v>
      </c>
      <c r="E55" s="2" t="s">
        <v>12</v>
      </c>
      <c r="F55" s="2" t="s">
        <v>12</v>
      </c>
      <c r="G55" s="2" t="s">
        <v>12</v>
      </c>
      <c r="H55" s="2" t="s">
        <v>12</v>
      </c>
      <c r="I55" s="2" t="s">
        <v>12</v>
      </c>
      <c r="J55" s="2" t="s">
        <v>12</v>
      </c>
      <c r="K55" s="2" t="s">
        <v>12</v>
      </c>
    </row>
    <row r="56" spans="1:11" ht="12.5" x14ac:dyDescent="0.25">
      <c r="A56" s="3" t="e">
        <f ca="1"/>
        <v>#NAME?</v>
      </c>
      <c r="B56" s="2" t="s">
        <v>12</v>
      </c>
      <c r="C56" s="2" t="s">
        <v>12</v>
      </c>
      <c r="D56" s="2" t="s">
        <v>12</v>
      </c>
      <c r="E56" s="2" t="s">
        <v>12</v>
      </c>
      <c r="F56" s="2" t="s">
        <v>12</v>
      </c>
      <c r="G56" s="2" t="s">
        <v>12</v>
      </c>
      <c r="H56" s="2" t="s">
        <v>12</v>
      </c>
      <c r="I56" s="2" t="s">
        <v>12</v>
      </c>
      <c r="J56" s="2" t="s">
        <v>12</v>
      </c>
      <c r="K56" s="2" t="s">
        <v>12</v>
      </c>
    </row>
    <row r="57" spans="1:11" ht="12.5" x14ac:dyDescent="0.25">
      <c r="A57" s="3" t="e">
        <f ca="1"/>
        <v>#NAME?</v>
      </c>
      <c r="B57" s="2" t="s">
        <v>12</v>
      </c>
      <c r="C57" s="2" t="s">
        <v>12</v>
      </c>
      <c r="D57" s="2" t="s">
        <v>12</v>
      </c>
      <c r="E57" s="2" t="s">
        <v>12</v>
      </c>
      <c r="F57" s="2" t="s">
        <v>12</v>
      </c>
      <c r="G57" s="2" t="s">
        <v>12</v>
      </c>
      <c r="H57" s="2" t="s">
        <v>12</v>
      </c>
      <c r="I57" s="2" t="s">
        <v>12</v>
      </c>
      <c r="J57" s="2" t="s">
        <v>12</v>
      </c>
      <c r="K57" s="2" t="s">
        <v>12</v>
      </c>
    </row>
    <row r="58" spans="1:11" ht="12.5" x14ac:dyDescent="0.25">
      <c r="A58" s="3" t="e">
        <f ca="1"/>
        <v>#NAME?</v>
      </c>
      <c r="B58" s="2" t="s">
        <v>12</v>
      </c>
      <c r="C58" s="2" t="s">
        <v>12</v>
      </c>
      <c r="D58" s="2" t="s">
        <v>12</v>
      </c>
      <c r="E58" s="2" t="s">
        <v>12</v>
      </c>
      <c r="F58" s="2" t="s">
        <v>12</v>
      </c>
      <c r="G58" s="2" t="s">
        <v>12</v>
      </c>
      <c r="H58" s="2" t="s">
        <v>12</v>
      </c>
      <c r="I58" s="2" t="s">
        <v>12</v>
      </c>
      <c r="J58" s="2" t="s">
        <v>12</v>
      </c>
      <c r="K58" s="2" t="s">
        <v>12</v>
      </c>
    </row>
    <row r="59" spans="1:11" ht="12.5" x14ac:dyDescent="0.25">
      <c r="A59" s="3" t="e">
        <f ca="1"/>
        <v>#NAME?</v>
      </c>
      <c r="B59" s="2" t="s">
        <v>12</v>
      </c>
      <c r="C59" s="2" t="s">
        <v>12</v>
      </c>
      <c r="D59" s="2" t="s">
        <v>12</v>
      </c>
      <c r="E59" s="2" t="s">
        <v>12</v>
      </c>
      <c r="F59" s="2" t="s">
        <v>12</v>
      </c>
      <c r="G59" s="2" t="s">
        <v>12</v>
      </c>
      <c r="H59" s="2" t="s">
        <v>12</v>
      </c>
      <c r="I59" s="2" t="s">
        <v>12</v>
      </c>
      <c r="J59" s="2" t="s">
        <v>12</v>
      </c>
      <c r="K59" s="2" t="s">
        <v>12</v>
      </c>
    </row>
    <row r="60" spans="1:11" ht="12.5" x14ac:dyDescent="0.25">
      <c r="A60" s="3" t="e">
        <f ca="1"/>
        <v>#NAME?</v>
      </c>
      <c r="B60" s="2" t="s">
        <v>12</v>
      </c>
      <c r="C60" s="2" t="s">
        <v>12</v>
      </c>
      <c r="D60" s="2" t="s">
        <v>12</v>
      </c>
      <c r="E60" s="2" t="s">
        <v>12</v>
      </c>
      <c r="F60" s="2" t="s">
        <v>12</v>
      </c>
      <c r="G60" s="2" t="s">
        <v>12</v>
      </c>
      <c r="H60" s="2" t="s">
        <v>12</v>
      </c>
      <c r="I60" s="2" t="s">
        <v>12</v>
      </c>
      <c r="J60" s="2" t="s">
        <v>12</v>
      </c>
      <c r="K60" s="2" t="s">
        <v>12</v>
      </c>
    </row>
    <row r="61" spans="1:11" ht="12.5" x14ac:dyDescent="0.25">
      <c r="A61" s="3" t="e">
        <f ca="1"/>
        <v>#NAME?</v>
      </c>
      <c r="B61" s="2" t="s">
        <v>12</v>
      </c>
      <c r="C61" s="2" t="s">
        <v>12</v>
      </c>
      <c r="D61" s="2" t="s">
        <v>12</v>
      </c>
      <c r="E61" s="2" t="s">
        <v>12</v>
      </c>
      <c r="F61" s="2" t="s">
        <v>12</v>
      </c>
      <c r="G61" s="2" t="s">
        <v>12</v>
      </c>
      <c r="H61" s="2" t="s">
        <v>12</v>
      </c>
      <c r="I61" s="2" t="s">
        <v>12</v>
      </c>
      <c r="J61" s="2" t="s">
        <v>12</v>
      </c>
      <c r="K61" s="2" t="s">
        <v>12</v>
      </c>
    </row>
    <row r="62" spans="1:11" ht="12.5" x14ac:dyDescent="0.25">
      <c r="A62" s="3" t="e">
        <f ca="1"/>
        <v>#NAME?</v>
      </c>
      <c r="B62" s="2" t="s">
        <v>12</v>
      </c>
      <c r="C62" s="2" t="s">
        <v>12</v>
      </c>
      <c r="D62" s="2" t="s">
        <v>12</v>
      </c>
      <c r="E62" s="2" t="s">
        <v>12</v>
      </c>
      <c r="F62" s="2" t="s">
        <v>12</v>
      </c>
      <c r="G62" s="2" t="s">
        <v>12</v>
      </c>
      <c r="H62" s="2" t="s">
        <v>12</v>
      </c>
      <c r="I62" s="2" t="s">
        <v>12</v>
      </c>
      <c r="J62" s="2" t="s">
        <v>12</v>
      </c>
      <c r="K62" s="2" t="s">
        <v>12</v>
      </c>
    </row>
    <row r="63" spans="1:11" ht="12.5" x14ac:dyDescent="0.25">
      <c r="A63" s="3" t="e">
        <f ca="1"/>
        <v>#NAME?</v>
      </c>
      <c r="B63" s="2" t="s">
        <v>12</v>
      </c>
      <c r="C63" s="2" t="s">
        <v>12</v>
      </c>
      <c r="D63" s="2" t="s">
        <v>12</v>
      </c>
      <c r="E63" s="2" t="s">
        <v>12</v>
      </c>
      <c r="F63" s="2" t="s">
        <v>12</v>
      </c>
      <c r="G63" s="2" t="s">
        <v>12</v>
      </c>
      <c r="H63" s="2" t="s">
        <v>12</v>
      </c>
      <c r="I63" s="2" t="s">
        <v>12</v>
      </c>
      <c r="J63" s="2" t="s">
        <v>12</v>
      </c>
      <c r="K63" s="2" t="s">
        <v>12</v>
      </c>
    </row>
    <row r="64" spans="1:11" ht="12.5" x14ac:dyDescent="0.25">
      <c r="A64" s="3" t="e">
        <f ca="1"/>
        <v>#NAME?</v>
      </c>
      <c r="B64" s="2" t="s">
        <v>12</v>
      </c>
      <c r="C64" s="2" t="s">
        <v>12</v>
      </c>
      <c r="D64" s="2" t="s">
        <v>12</v>
      </c>
      <c r="E64" s="2" t="s">
        <v>12</v>
      </c>
      <c r="F64" s="2" t="s">
        <v>12</v>
      </c>
      <c r="G64" s="2" t="s">
        <v>12</v>
      </c>
      <c r="H64" s="2" t="s">
        <v>12</v>
      </c>
      <c r="I64" s="2" t="s">
        <v>12</v>
      </c>
      <c r="J64" s="2" t="s">
        <v>12</v>
      </c>
      <c r="K64" s="2" t="s">
        <v>12</v>
      </c>
    </row>
    <row r="65" spans="1:11" ht="12.5" x14ac:dyDescent="0.25">
      <c r="A65" s="3" t="e">
        <f ca="1"/>
        <v>#NAME?</v>
      </c>
      <c r="B65" s="2" t="s">
        <v>12</v>
      </c>
      <c r="C65" s="2" t="s">
        <v>12</v>
      </c>
      <c r="D65" s="2" t="s">
        <v>12</v>
      </c>
      <c r="E65" s="2" t="s">
        <v>12</v>
      </c>
      <c r="F65" s="2" t="s">
        <v>12</v>
      </c>
      <c r="G65" s="2" t="s">
        <v>12</v>
      </c>
      <c r="H65" s="2" t="s">
        <v>12</v>
      </c>
      <c r="I65" s="2" t="s">
        <v>12</v>
      </c>
      <c r="J65" s="2" t="s">
        <v>12</v>
      </c>
      <c r="K65" s="2" t="s">
        <v>12</v>
      </c>
    </row>
    <row r="66" spans="1:11" ht="12.5" x14ac:dyDescent="0.25">
      <c r="A66" s="3" t="e">
        <f ca="1"/>
        <v>#NAME?</v>
      </c>
      <c r="B66" s="2" t="s">
        <v>12</v>
      </c>
      <c r="C66" s="2" t="s">
        <v>12</v>
      </c>
      <c r="D66" s="2" t="s">
        <v>12</v>
      </c>
      <c r="E66" s="2" t="s">
        <v>12</v>
      </c>
      <c r="F66" s="2" t="s">
        <v>12</v>
      </c>
      <c r="G66" s="2" t="s">
        <v>12</v>
      </c>
      <c r="H66" s="2" t="s">
        <v>12</v>
      </c>
      <c r="I66" s="2" t="s">
        <v>12</v>
      </c>
      <c r="J66" s="2" t="s">
        <v>12</v>
      </c>
      <c r="K66" s="2" t="s">
        <v>12</v>
      </c>
    </row>
    <row r="67" spans="1:11" ht="12.5" x14ac:dyDescent="0.25">
      <c r="A67" s="3" t="e">
        <f ca="1"/>
        <v>#NAME?</v>
      </c>
      <c r="B67" s="2" t="s">
        <v>12</v>
      </c>
      <c r="C67" s="2" t="s">
        <v>12</v>
      </c>
      <c r="D67" s="2" t="s">
        <v>12</v>
      </c>
      <c r="E67" s="2" t="s">
        <v>12</v>
      </c>
      <c r="F67" s="2" t="s">
        <v>12</v>
      </c>
      <c r="G67" s="2" t="s">
        <v>12</v>
      </c>
      <c r="H67" s="2" t="s">
        <v>12</v>
      </c>
      <c r="I67" s="2" t="s">
        <v>12</v>
      </c>
      <c r="J67" s="2" t="s">
        <v>12</v>
      </c>
      <c r="K67" s="2" t="s">
        <v>12</v>
      </c>
    </row>
    <row r="68" spans="1:11" ht="12.5" x14ac:dyDescent="0.25">
      <c r="A68" s="3" t="e">
        <f ca="1"/>
        <v>#NAME?</v>
      </c>
      <c r="B68" s="2" t="s">
        <v>12</v>
      </c>
      <c r="C68" s="2" t="s">
        <v>12</v>
      </c>
      <c r="D68" s="2" t="s">
        <v>12</v>
      </c>
      <c r="E68" s="2" t="s">
        <v>12</v>
      </c>
      <c r="F68" s="2" t="s">
        <v>12</v>
      </c>
      <c r="G68" s="2" t="s">
        <v>12</v>
      </c>
      <c r="H68" s="2" t="s">
        <v>12</v>
      </c>
      <c r="I68" s="2" t="s">
        <v>12</v>
      </c>
      <c r="J68" s="2" t="s">
        <v>12</v>
      </c>
      <c r="K68" s="2" t="s">
        <v>12</v>
      </c>
    </row>
    <row r="69" spans="1:11" ht="12.5" x14ac:dyDescent="0.25">
      <c r="A69" s="3" t="e">
        <f ca="1"/>
        <v>#NAME?</v>
      </c>
      <c r="B69" s="2" t="s">
        <v>12</v>
      </c>
      <c r="C69" s="2" t="s">
        <v>12</v>
      </c>
      <c r="D69" s="2" t="s">
        <v>12</v>
      </c>
      <c r="E69" s="2" t="s">
        <v>12</v>
      </c>
      <c r="F69" s="2" t="s">
        <v>12</v>
      </c>
      <c r="G69" s="2" t="s">
        <v>12</v>
      </c>
      <c r="H69" s="2" t="s">
        <v>12</v>
      </c>
      <c r="I69" s="2" t="s">
        <v>12</v>
      </c>
      <c r="J69" s="2" t="s">
        <v>12</v>
      </c>
      <c r="K69" s="2" t="s">
        <v>12</v>
      </c>
    </row>
    <row r="70" spans="1:11" ht="12.5" x14ac:dyDescent="0.25">
      <c r="A70" s="3" t="e">
        <f ca="1"/>
        <v>#NAME?</v>
      </c>
      <c r="B70" s="2" t="s">
        <v>12</v>
      </c>
      <c r="C70" s="2" t="s">
        <v>12</v>
      </c>
      <c r="D70" s="2" t="s">
        <v>12</v>
      </c>
      <c r="E70" s="2" t="s">
        <v>12</v>
      </c>
      <c r="F70" s="2" t="s">
        <v>12</v>
      </c>
      <c r="G70" s="2" t="s">
        <v>12</v>
      </c>
      <c r="H70" s="2" t="s">
        <v>12</v>
      </c>
      <c r="I70" s="2" t="s">
        <v>12</v>
      </c>
      <c r="J70" s="2" t="s">
        <v>12</v>
      </c>
      <c r="K70" s="2" t="s">
        <v>12</v>
      </c>
    </row>
    <row r="71" spans="1:11" ht="12.5" x14ac:dyDescent="0.25">
      <c r="A71" s="3" t="e">
        <f ca="1"/>
        <v>#NAME?</v>
      </c>
      <c r="B71" s="2" t="s">
        <v>12</v>
      </c>
      <c r="C71" s="2" t="s">
        <v>12</v>
      </c>
      <c r="D71" s="2" t="s">
        <v>12</v>
      </c>
      <c r="E71" s="2" t="s">
        <v>12</v>
      </c>
      <c r="F71" s="2" t="s">
        <v>12</v>
      </c>
      <c r="G71" s="2" t="s">
        <v>12</v>
      </c>
      <c r="H71" s="2" t="s">
        <v>12</v>
      </c>
      <c r="I71" s="2" t="s">
        <v>12</v>
      </c>
      <c r="J71" s="2" t="s">
        <v>12</v>
      </c>
      <c r="K71" s="2" t="s">
        <v>12</v>
      </c>
    </row>
    <row r="72" spans="1:11" ht="12.5" x14ac:dyDescent="0.25">
      <c r="A72" s="3" t="e">
        <f ca="1"/>
        <v>#NAME?</v>
      </c>
      <c r="B72" s="2" t="s">
        <v>12</v>
      </c>
      <c r="C72" s="2" t="s">
        <v>12</v>
      </c>
      <c r="D72" s="2" t="s">
        <v>12</v>
      </c>
      <c r="E72" s="2" t="s">
        <v>12</v>
      </c>
      <c r="F72" s="2" t="s">
        <v>12</v>
      </c>
      <c r="G72" s="2" t="s">
        <v>12</v>
      </c>
      <c r="H72" s="2" t="s">
        <v>12</v>
      </c>
      <c r="I72" s="2" t="s">
        <v>12</v>
      </c>
      <c r="J72" s="2" t="s">
        <v>12</v>
      </c>
      <c r="K72" s="2" t="s">
        <v>12</v>
      </c>
    </row>
    <row r="73" spans="1:11" ht="12.5" x14ac:dyDescent="0.25">
      <c r="A73" s="3" t="e">
        <f ca="1"/>
        <v>#NAME?</v>
      </c>
      <c r="B73" s="2" t="s">
        <v>12</v>
      </c>
      <c r="C73" s="2" t="s">
        <v>12</v>
      </c>
      <c r="D73" s="2" t="s">
        <v>12</v>
      </c>
      <c r="E73" s="2" t="s">
        <v>12</v>
      </c>
      <c r="F73" s="2" t="s">
        <v>12</v>
      </c>
      <c r="G73" s="2" t="s">
        <v>12</v>
      </c>
      <c r="H73" s="2" t="s">
        <v>12</v>
      </c>
      <c r="I73" s="2" t="s">
        <v>12</v>
      </c>
      <c r="J73" s="2" t="s">
        <v>12</v>
      </c>
      <c r="K73" s="2" t="s">
        <v>12</v>
      </c>
    </row>
    <row r="74" spans="1:11" ht="12.5" x14ac:dyDescent="0.25">
      <c r="A74" s="3" t="e">
        <f ca="1"/>
        <v>#NAME?</v>
      </c>
      <c r="B74" s="2" t="s">
        <v>12</v>
      </c>
      <c r="C74" s="2" t="s">
        <v>12</v>
      </c>
      <c r="D74" s="2" t="s">
        <v>12</v>
      </c>
      <c r="E74" s="2" t="s">
        <v>12</v>
      </c>
      <c r="F74" s="2" t="s">
        <v>12</v>
      </c>
      <c r="G74" s="2" t="s">
        <v>12</v>
      </c>
      <c r="H74" s="2" t="s">
        <v>12</v>
      </c>
      <c r="I74" s="2" t="s">
        <v>12</v>
      </c>
      <c r="J74" s="2" t="s">
        <v>12</v>
      </c>
      <c r="K74" s="2" t="s">
        <v>12</v>
      </c>
    </row>
    <row r="75" spans="1:11" ht="12.5" x14ac:dyDescent="0.25">
      <c r="A75" s="3" t="e">
        <f ca="1"/>
        <v>#NAME?</v>
      </c>
      <c r="B75" s="2" t="s">
        <v>12</v>
      </c>
      <c r="C75" s="2" t="s">
        <v>12</v>
      </c>
      <c r="D75" s="2" t="s">
        <v>12</v>
      </c>
      <c r="E75" s="2" t="s">
        <v>12</v>
      </c>
      <c r="F75" s="2" t="s">
        <v>12</v>
      </c>
      <c r="G75" s="2" t="s">
        <v>12</v>
      </c>
      <c r="H75" s="2" t="s">
        <v>12</v>
      </c>
      <c r="I75" s="2" t="s">
        <v>12</v>
      </c>
      <c r="J75" s="2" t="s">
        <v>12</v>
      </c>
      <c r="K75" s="2" t="s">
        <v>12</v>
      </c>
    </row>
    <row r="76" spans="1:11" ht="12.5" x14ac:dyDescent="0.25">
      <c r="A76" s="3" t="e">
        <f ca="1"/>
        <v>#NAME?</v>
      </c>
      <c r="B76" s="2" t="s">
        <v>12</v>
      </c>
      <c r="C76" s="2" t="s">
        <v>12</v>
      </c>
      <c r="D76" s="2" t="s">
        <v>12</v>
      </c>
      <c r="E76" s="2" t="s">
        <v>12</v>
      </c>
      <c r="F76" s="2" t="s">
        <v>12</v>
      </c>
      <c r="G76" s="2" t="s">
        <v>12</v>
      </c>
      <c r="H76" s="2" t="s">
        <v>12</v>
      </c>
      <c r="I76" s="2" t="s">
        <v>12</v>
      </c>
      <c r="J76" s="2" t="s">
        <v>12</v>
      </c>
      <c r="K76" s="2" t="s">
        <v>12</v>
      </c>
    </row>
    <row r="77" spans="1:11" ht="12.5" x14ac:dyDescent="0.25">
      <c r="A77" s="3" t="e">
        <f ca="1"/>
        <v>#NAME?</v>
      </c>
      <c r="B77" s="2" t="s">
        <v>12</v>
      </c>
      <c r="C77" s="2" t="s">
        <v>12</v>
      </c>
      <c r="D77" s="2" t="s">
        <v>12</v>
      </c>
      <c r="E77" s="2" t="s">
        <v>12</v>
      </c>
      <c r="F77" s="2" t="s">
        <v>12</v>
      </c>
      <c r="G77" s="2" t="s">
        <v>12</v>
      </c>
      <c r="H77" s="2" t="s">
        <v>12</v>
      </c>
      <c r="I77" s="2" t="s">
        <v>12</v>
      </c>
      <c r="J77" s="2" t="s">
        <v>12</v>
      </c>
      <c r="K77" s="2" t="s">
        <v>12</v>
      </c>
    </row>
    <row r="78" spans="1:11" ht="12.5" x14ac:dyDescent="0.25">
      <c r="A78" s="3" t="e">
        <f ca="1"/>
        <v>#NAME?</v>
      </c>
      <c r="B78" s="2" t="s">
        <v>12</v>
      </c>
      <c r="C78" s="2" t="s">
        <v>12</v>
      </c>
      <c r="D78" s="2" t="s">
        <v>12</v>
      </c>
      <c r="E78" s="2" t="s">
        <v>12</v>
      </c>
      <c r="F78" s="2" t="s">
        <v>12</v>
      </c>
      <c r="G78" s="2" t="s">
        <v>12</v>
      </c>
      <c r="H78" s="2" t="s">
        <v>12</v>
      </c>
      <c r="I78" s="2" t="s">
        <v>12</v>
      </c>
      <c r="J78" s="2" t="s">
        <v>12</v>
      </c>
      <c r="K78" s="2" t="s">
        <v>12</v>
      </c>
    </row>
    <row r="79" spans="1:11" ht="12.5" x14ac:dyDescent="0.25">
      <c r="A79" s="3" t="e">
        <f ca="1"/>
        <v>#NAME?</v>
      </c>
      <c r="B79" s="2" t="s">
        <v>12</v>
      </c>
      <c r="C79" s="2" t="s">
        <v>12</v>
      </c>
      <c r="D79" s="2" t="s">
        <v>12</v>
      </c>
      <c r="E79" s="2" t="s">
        <v>12</v>
      </c>
      <c r="F79" s="2" t="s">
        <v>12</v>
      </c>
      <c r="G79" s="2" t="s">
        <v>12</v>
      </c>
      <c r="H79" s="2" t="s">
        <v>12</v>
      </c>
      <c r="I79" s="2" t="s">
        <v>12</v>
      </c>
      <c r="J79" s="2" t="s">
        <v>12</v>
      </c>
      <c r="K79" s="2" t="s">
        <v>12</v>
      </c>
    </row>
    <row r="80" spans="1:11" ht="12.5" x14ac:dyDescent="0.25">
      <c r="A80" s="3" t="e">
        <f ca="1"/>
        <v>#NAME?</v>
      </c>
      <c r="B80" s="2" t="s">
        <v>12</v>
      </c>
      <c r="C80" s="2" t="s">
        <v>12</v>
      </c>
      <c r="D80" s="2" t="s">
        <v>12</v>
      </c>
      <c r="E80" s="2" t="s">
        <v>12</v>
      </c>
      <c r="F80" s="2" t="s">
        <v>12</v>
      </c>
      <c r="G80" s="2" t="s">
        <v>12</v>
      </c>
      <c r="H80" s="2" t="s">
        <v>12</v>
      </c>
      <c r="I80" s="2" t="s">
        <v>12</v>
      </c>
      <c r="J80" s="2" t="s">
        <v>12</v>
      </c>
      <c r="K80" s="2" t="s">
        <v>12</v>
      </c>
    </row>
    <row r="81" spans="1:11" ht="12.5" x14ac:dyDescent="0.25">
      <c r="A81" s="3" t="e">
        <f ca="1"/>
        <v>#NAME?</v>
      </c>
      <c r="B81" s="2" t="s">
        <v>12</v>
      </c>
      <c r="C81" s="2" t="s">
        <v>12</v>
      </c>
      <c r="D81" s="2" t="s">
        <v>12</v>
      </c>
      <c r="E81" s="2" t="s">
        <v>12</v>
      </c>
      <c r="F81" s="2" t="s">
        <v>12</v>
      </c>
      <c r="G81" s="2" t="s">
        <v>12</v>
      </c>
      <c r="H81" s="2" t="s">
        <v>12</v>
      </c>
      <c r="I81" s="2" t="s">
        <v>12</v>
      </c>
      <c r="J81" s="2" t="s">
        <v>12</v>
      </c>
      <c r="K81" s="2" t="s">
        <v>12</v>
      </c>
    </row>
    <row r="82" spans="1:11" ht="12.5" x14ac:dyDescent="0.25">
      <c r="A82" s="3" t="e">
        <f ca="1"/>
        <v>#NAME?</v>
      </c>
      <c r="B82" s="2" t="s">
        <v>12</v>
      </c>
      <c r="C82" s="2" t="s">
        <v>12</v>
      </c>
      <c r="D82" s="2" t="s">
        <v>12</v>
      </c>
      <c r="E82" s="2" t="s">
        <v>12</v>
      </c>
      <c r="F82" s="2" t="s">
        <v>12</v>
      </c>
      <c r="G82" s="2" t="s">
        <v>12</v>
      </c>
      <c r="H82" s="2" t="s">
        <v>12</v>
      </c>
      <c r="I82" s="2" t="s">
        <v>12</v>
      </c>
      <c r="J82" s="2" t="s">
        <v>12</v>
      </c>
      <c r="K82" s="2" t="s">
        <v>12</v>
      </c>
    </row>
    <row r="83" spans="1:11" ht="12.5" x14ac:dyDescent="0.25">
      <c r="A83" s="3" t="e">
        <f ca="1"/>
        <v>#NAME?</v>
      </c>
      <c r="B83" s="2" t="s">
        <v>12</v>
      </c>
      <c r="C83" s="2" t="s">
        <v>12</v>
      </c>
      <c r="D83" s="2" t="s">
        <v>12</v>
      </c>
      <c r="E83" s="2" t="s">
        <v>12</v>
      </c>
      <c r="F83" s="2" t="s">
        <v>12</v>
      </c>
      <c r="G83" s="2" t="s">
        <v>12</v>
      </c>
      <c r="H83" s="2" t="s">
        <v>12</v>
      </c>
      <c r="I83" s="2" t="s">
        <v>12</v>
      </c>
      <c r="J83" s="2" t="s">
        <v>12</v>
      </c>
      <c r="K83" s="2" t="s">
        <v>12</v>
      </c>
    </row>
    <row r="84" spans="1:11" ht="12.5" x14ac:dyDescent="0.25">
      <c r="A84" s="3" t="e">
        <f ca="1"/>
        <v>#NAME?</v>
      </c>
      <c r="B84" s="2" t="s">
        <v>12</v>
      </c>
      <c r="C84" s="2" t="s">
        <v>12</v>
      </c>
      <c r="D84" s="2" t="s">
        <v>12</v>
      </c>
      <c r="E84" s="2" t="s">
        <v>12</v>
      </c>
      <c r="F84" s="2" t="s">
        <v>12</v>
      </c>
      <c r="G84" s="2" t="s">
        <v>12</v>
      </c>
      <c r="H84" s="2" t="s">
        <v>12</v>
      </c>
      <c r="I84" s="2" t="s">
        <v>12</v>
      </c>
      <c r="J84" s="2" t="s">
        <v>12</v>
      </c>
      <c r="K84" s="2" t="s">
        <v>12</v>
      </c>
    </row>
    <row r="85" spans="1:11" ht="12.5" x14ac:dyDescent="0.25">
      <c r="A85" s="3" t="e">
        <f ca="1"/>
        <v>#NAME?</v>
      </c>
      <c r="B85" s="2" t="s">
        <v>12</v>
      </c>
      <c r="C85" s="2" t="s">
        <v>12</v>
      </c>
      <c r="D85" s="2" t="s">
        <v>12</v>
      </c>
      <c r="E85" s="2" t="s">
        <v>12</v>
      </c>
      <c r="F85" s="2" t="s">
        <v>12</v>
      </c>
      <c r="G85" s="2" t="s">
        <v>12</v>
      </c>
      <c r="H85" s="2" t="s">
        <v>12</v>
      </c>
      <c r="I85" s="2" t="s">
        <v>12</v>
      </c>
      <c r="J85" s="2" t="s">
        <v>12</v>
      </c>
      <c r="K85" s="2" t="s">
        <v>12</v>
      </c>
    </row>
    <row r="86" spans="1:11" ht="12.5" x14ac:dyDescent="0.25">
      <c r="A86" s="3" t="e">
        <f ca="1"/>
        <v>#NAME?</v>
      </c>
      <c r="B86" s="2" t="s">
        <v>12</v>
      </c>
      <c r="C86" s="2" t="s">
        <v>12</v>
      </c>
      <c r="D86" s="2" t="s">
        <v>12</v>
      </c>
      <c r="E86" s="2" t="s">
        <v>12</v>
      </c>
      <c r="F86" s="2" t="s">
        <v>12</v>
      </c>
      <c r="G86" s="2" t="s">
        <v>12</v>
      </c>
      <c r="H86" s="2" t="s">
        <v>12</v>
      </c>
      <c r="I86" s="2" t="s">
        <v>12</v>
      </c>
      <c r="J86" s="2" t="s">
        <v>12</v>
      </c>
      <c r="K86" s="2" t="s">
        <v>12</v>
      </c>
    </row>
    <row r="87" spans="1:11" ht="12.5" x14ac:dyDescent="0.25">
      <c r="A87" s="3" t="e">
        <f ca="1"/>
        <v>#NAME?</v>
      </c>
      <c r="B87" s="2" t="s">
        <v>12</v>
      </c>
      <c r="C87" s="2" t="s">
        <v>12</v>
      </c>
      <c r="D87" s="2" t="s">
        <v>12</v>
      </c>
      <c r="E87" s="2" t="s">
        <v>12</v>
      </c>
      <c r="F87" s="2" t="s">
        <v>12</v>
      </c>
      <c r="G87" s="2" t="s">
        <v>12</v>
      </c>
      <c r="H87" s="2" t="s">
        <v>12</v>
      </c>
      <c r="I87" s="2" t="s">
        <v>12</v>
      </c>
      <c r="J87" s="2" t="s">
        <v>12</v>
      </c>
      <c r="K87" s="2" t="s">
        <v>12</v>
      </c>
    </row>
    <row r="88" spans="1:11" ht="12.5" x14ac:dyDescent="0.25">
      <c r="A88" s="3" t="e">
        <f ca="1"/>
        <v>#NAME?</v>
      </c>
      <c r="B88" s="2" t="s">
        <v>12</v>
      </c>
      <c r="C88" s="2" t="s">
        <v>12</v>
      </c>
      <c r="D88" s="2" t="s">
        <v>12</v>
      </c>
      <c r="E88" s="2" t="s">
        <v>12</v>
      </c>
      <c r="F88" s="2" t="s">
        <v>12</v>
      </c>
      <c r="G88" s="2" t="s">
        <v>12</v>
      </c>
      <c r="H88" s="2" t="s">
        <v>12</v>
      </c>
      <c r="I88" s="2" t="s">
        <v>12</v>
      </c>
      <c r="J88" s="2" t="s">
        <v>12</v>
      </c>
      <c r="K88" s="2" t="s">
        <v>12</v>
      </c>
    </row>
    <row r="89" spans="1:11" ht="12.5" x14ac:dyDescent="0.25">
      <c r="A89" s="3" t="e">
        <f ca="1"/>
        <v>#NAME?</v>
      </c>
      <c r="B89" s="2" t="s">
        <v>12</v>
      </c>
      <c r="C89" s="2" t="s">
        <v>12</v>
      </c>
      <c r="D89" s="2" t="s">
        <v>12</v>
      </c>
      <c r="E89" s="2" t="s">
        <v>12</v>
      </c>
      <c r="F89" s="2" t="s">
        <v>12</v>
      </c>
      <c r="G89" s="2" t="s">
        <v>12</v>
      </c>
      <c r="H89" s="2" t="s">
        <v>12</v>
      </c>
      <c r="I89" s="2" t="s">
        <v>12</v>
      </c>
      <c r="J89" s="2" t="s">
        <v>12</v>
      </c>
      <c r="K89" s="2" t="s">
        <v>12</v>
      </c>
    </row>
    <row r="90" spans="1:11" ht="12.5" x14ac:dyDescent="0.25">
      <c r="A90" s="3" t="e">
        <f ca="1"/>
        <v>#NAME?</v>
      </c>
      <c r="B90" s="2" t="s">
        <v>12</v>
      </c>
      <c r="C90" s="2" t="s">
        <v>12</v>
      </c>
      <c r="D90" s="2" t="s">
        <v>12</v>
      </c>
      <c r="E90" s="2" t="s">
        <v>12</v>
      </c>
      <c r="F90" s="2" t="s">
        <v>12</v>
      </c>
      <c r="G90" s="2" t="s">
        <v>12</v>
      </c>
      <c r="H90" s="2" t="s">
        <v>12</v>
      </c>
      <c r="I90" s="2" t="s">
        <v>12</v>
      </c>
      <c r="J90" s="2" t="s">
        <v>12</v>
      </c>
      <c r="K90" s="2" t="s">
        <v>12</v>
      </c>
    </row>
    <row r="91" spans="1:11" ht="12.5" x14ac:dyDescent="0.25">
      <c r="A91" s="3" t="e">
        <f ca="1"/>
        <v>#NAME?</v>
      </c>
      <c r="B91" s="2" t="s">
        <v>12</v>
      </c>
      <c r="C91" s="2" t="s">
        <v>12</v>
      </c>
      <c r="D91" s="2" t="s">
        <v>12</v>
      </c>
      <c r="E91" s="2" t="s">
        <v>12</v>
      </c>
      <c r="F91" s="2" t="s">
        <v>12</v>
      </c>
      <c r="G91" s="2" t="s">
        <v>12</v>
      </c>
      <c r="H91" s="2" t="s">
        <v>12</v>
      </c>
      <c r="I91" s="2" t="s">
        <v>12</v>
      </c>
      <c r="J91" s="2" t="s">
        <v>12</v>
      </c>
      <c r="K91" s="2" t="s">
        <v>12</v>
      </c>
    </row>
    <row r="92" spans="1:11" ht="12.5" x14ac:dyDescent="0.25">
      <c r="A92" s="3" t="e">
        <f ca="1"/>
        <v>#NAME?</v>
      </c>
      <c r="B92" s="2" t="s">
        <v>12</v>
      </c>
      <c r="C92" s="2" t="s">
        <v>12</v>
      </c>
      <c r="D92" s="2" t="s">
        <v>12</v>
      </c>
      <c r="E92" s="2" t="s">
        <v>12</v>
      </c>
      <c r="F92" s="2" t="s">
        <v>12</v>
      </c>
      <c r="G92" s="2" t="s">
        <v>12</v>
      </c>
      <c r="H92" s="2" t="s">
        <v>12</v>
      </c>
      <c r="I92" s="2" t="s">
        <v>12</v>
      </c>
      <c r="J92" s="2" t="s">
        <v>12</v>
      </c>
      <c r="K92" s="2" t="s">
        <v>12</v>
      </c>
    </row>
    <row r="93" spans="1:11" ht="12.5" x14ac:dyDescent="0.25">
      <c r="A93" s="3" t="e">
        <f ca="1"/>
        <v>#NAME?</v>
      </c>
      <c r="B93" s="2" t="s">
        <v>12</v>
      </c>
      <c r="C93" s="2" t="s">
        <v>12</v>
      </c>
      <c r="D93" s="2" t="s">
        <v>12</v>
      </c>
      <c r="E93" s="2" t="s">
        <v>12</v>
      </c>
      <c r="F93" s="2" t="s">
        <v>12</v>
      </c>
      <c r="G93" s="2" t="s">
        <v>12</v>
      </c>
      <c r="H93" s="2" t="s">
        <v>12</v>
      </c>
      <c r="I93" s="2" t="s">
        <v>12</v>
      </c>
      <c r="J93" s="2" t="s">
        <v>12</v>
      </c>
      <c r="K93" s="2" t="s">
        <v>12</v>
      </c>
    </row>
    <row r="94" spans="1:11" ht="12.5" x14ac:dyDescent="0.25">
      <c r="A94" s="3" t="e">
        <f ca="1"/>
        <v>#NAME?</v>
      </c>
      <c r="B94" s="2" t="s">
        <v>12</v>
      </c>
      <c r="C94" s="2" t="s">
        <v>12</v>
      </c>
      <c r="D94" s="2" t="s">
        <v>12</v>
      </c>
      <c r="E94" s="2" t="s">
        <v>12</v>
      </c>
      <c r="F94" s="2" t="s">
        <v>12</v>
      </c>
      <c r="G94" s="2" t="s">
        <v>12</v>
      </c>
      <c r="H94" s="2" t="s">
        <v>12</v>
      </c>
      <c r="I94" s="2" t="s">
        <v>12</v>
      </c>
      <c r="J94" s="2" t="s">
        <v>12</v>
      </c>
      <c r="K94" s="2" t="s">
        <v>12</v>
      </c>
    </row>
    <row r="95" spans="1:11" ht="12.5" x14ac:dyDescent="0.25">
      <c r="A95" s="3" t="e">
        <f ca="1"/>
        <v>#NAME?</v>
      </c>
      <c r="B95" s="2" t="s">
        <v>12</v>
      </c>
      <c r="C95" s="2" t="s">
        <v>12</v>
      </c>
      <c r="D95" s="2" t="s">
        <v>12</v>
      </c>
      <c r="E95" s="2" t="s">
        <v>12</v>
      </c>
      <c r="F95" s="2" t="s">
        <v>12</v>
      </c>
      <c r="G95" s="2" t="s">
        <v>12</v>
      </c>
      <c r="H95" s="2" t="s">
        <v>12</v>
      </c>
      <c r="I95" s="2" t="s">
        <v>12</v>
      </c>
      <c r="J95" s="2" t="s">
        <v>12</v>
      </c>
      <c r="K95" s="2" t="s">
        <v>12</v>
      </c>
    </row>
    <row r="96" spans="1:11" ht="12.5" x14ac:dyDescent="0.25">
      <c r="A96" s="3" t="e">
        <f ca="1"/>
        <v>#NAME?</v>
      </c>
      <c r="B96" s="2" t="s">
        <v>12</v>
      </c>
      <c r="C96" s="2" t="s">
        <v>12</v>
      </c>
      <c r="D96" s="2" t="s">
        <v>12</v>
      </c>
      <c r="E96" s="2" t="s">
        <v>12</v>
      </c>
      <c r="F96" s="2" t="s">
        <v>12</v>
      </c>
      <c r="G96" s="2" t="s">
        <v>12</v>
      </c>
      <c r="H96" s="2" t="s">
        <v>12</v>
      </c>
      <c r="I96" s="2" t="s">
        <v>12</v>
      </c>
      <c r="J96" s="2" t="s">
        <v>12</v>
      </c>
      <c r="K96" s="2" t="s">
        <v>12</v>
      </c>
    </row>
    <row r="97" spans="1:11" ht="12.5" x14ac:dyDescent="0.25">
      <c r="A97" s="3" t="e">
        <f ca="1"/>
        <v>#NAME?</v>
      </c>
      <c r="B97" s="2" t="s">
        <v>12</v>
      </c>
      <c r="C97" s="2" t="s">
        <v>12</v>
      </c>
      <c r="D97" s="2" t="s">
        <v>12</v>
      </c>
      <c r="E97" s="2" t="s">
        <v>12</v>
      </c>
      <c r="F97" s="2" t="s">
        <v>12</v>
      </c>
      <c r="G97" s="2" t="s">
        <v>12</v>
      </c>
      <c r="H97" s="2" t="s">
        <v>12</v>
      </c>
      <c r="I97" s="2" t="s">
        <v>12</v>
      </c>
      <c r="J97" s="2" t="s">
        <v>12</v>
      </c>
      <c r="K97" s="2" t="s">
        <v>12</v>
      </c>
    </row>
    <row r="98" spans="1:11" ht="12.5" x14ac:dyDescent="0.25">
      <c r="A98" s="3" t="e">
        <f ca="1"/>
        <v>#NAME?</v>
      </c>
      <c r="B98" s="2" t="s">
        <v>12</v>
      </c>
      <c r="C98" s="2" t="s">
        <v>12</v>
      </c>
      <c r="D98" s="2" t="s">
        <v>12</v>
      </c>
      <c r="E98" s="2" t="s">
        <v>12</v>
      </c>
      <c r="F98" s="2" t="s">
        <v>12</v>
      </c>
      <c r="G98" s="2" t="s">
        <v>12</v>
      </c>
      <c r="H98" s="2" t="s">
        <v>12</v>
      </c>
      <c r="I98" s="2" t="s">
        <v>12</v>
      </c>
      <c r="J98" s="2" t="s">
        <v>12</v>
      </c>
      <c r="K98" s="2" t="s">
        <v>12</v>
      </c>
    </row>
    <row r="99" spans="1:11" ht="12.5" x14ac:dyDescent="0.25">
      <c r="A99" s="3" t="e">
        <f ca="1"/>
        <v>#NAME?</v>
      </c>
      <c r="B99" s="2" t="s">
        <v>12</v>
      </c>
      <c r="C99" s="2" t="s">
        <v>12</v>
      </c>
      <c r="D99" s="2" t="s">
        <v>12</v>
      </c>
      <c r="E99" s="2" t="s">
        <v>12</v>
      </c>
      <c r="F99" s="2" t="s">
        <v>12</v>
      </c>
      <c r="G99" s="2" t="s">
        <v>12</v>
      </c>
      <c r="H99" s="2" t="s">
        <v>12</v>
      </c>
      <c r="I99" s="2" t="s">
        <v>12</v>
      </c>
      <c r="J99" s="2" t="s">
        <v>12</v>
      </c>
      <c r="K99" s="2" t="s">
        <v>12</v>
      </c>
    </row>
    <row r="100" spans="1:11" ht="12.5" x14ac:dyDescent="0.25">
      <c r="A100" s="3" t="e">
        <f ca="1"/>
        <v>#NAME?</v>
      </c>
      <c r="B100" s="2" t="s">
        <v>12</v>
      </c>
      <c r="C100" s="2" t="s">
        <v>12</v>
      </c>
      <c r="D100" s="2" t="s">
        <v>12</v>
      </c>
      <c r="E100" s="2" t="s">
        <v>12</v>
      </c>
      <c r="F100" s="2" t="s">
        <v>12</v>
      </c>
      <c r="G100" s="2" t="s">
        <v>12</v>
      </c>
      <c r="H100" s="2" t="s">
        <v>12</v>
      </c>
      <c r="I100" s="2" t="s">
        <v>12</v>
      </c>
      <c r="J100" s="2" t="s">
        <v>12</v>
      </c>
      <c r="K100" s="2" t="s">
        <v>12</v>
      </c>
    </row>
    <row r="101" spans="1:11" ht="12.5" x14ac:dyDescent="0.25">
      <c r="A101" s="3" t="e">
        <f ca="1"/>
        <v>#NAME?</v>
      </c>
      <c r="B101" s="2" t="s">
        <v>12</v>
      </c>
      <c r="C101" s="2" t="s">
        <v>12</v>
      </c>
      <c r="D101" s="2" t="s">
        <v>12</v>
      </c>
      <c r="E101" s="2" t="s">
        <v>12</v>
      </c>
      <c r="F101" s="2" t="s">
        <v>12</v>
      </c>
      <c r="G101" s="2" t="s">
        <v>12</v>
      </c>
      <c r="H101" s="2" t="s">
        <v>12</v>
      </c>
      <c r="I101" s="2" t="s">
        <v>12</v>
      </c>
      <c r="J101" s="2" t="s">
        <v>12</v>
      </c>
      <c r="K101" s="2" t="s">
        <v>12</v>
      </c>
    </row>
    <row r="102" spans="1:11" ht="12.5" x14ac:dyDescent="0.25">
      <c r="A102" s="3" t="e">
        <f ca="1"/>
        <v>#NAME?</v>
      </c>
      <c r="B102" s="2" t="s">
        <v>12</v>
      </c>
      <c r="C102" s="2" t="s">
        <v>12</v>
      </c>
      <c r="D102" s="2" t="s">
        <v>12</v>
      </c>
      <c r="E102" s="2" t="s">
        <v>12</v>
      </c>
      <c r="F102" s="2" t="s">
        <v>12</v>
      </c>
      <c r="G102" s="2" t="s">
        <v>12</v>
      </c>
      <c r="H102" s="2" t="s">
        <v>12</v>
      </c>
      <c r="I102" s="2" t="s">
        <v>12</v>
      </c>
      <c r="J102" s="2" t="s">
        <v>12</v>
      </c>
      <c r="K102" s="2" t="s">
        <v>12</v>
      </c>
    </row>
    <row r="103" spans="1:11" ht="12.5" x14ac:dyDescent="0.25">
      <c r="A103" s="3" t="e">
        <f ca="1"/>
        <v>#NAME?</v>
      </c>
      <c r="B103" s="2" t="s">
        <v>12</v>
      </c>
      <c r="C103" s="2" t="s">
        <v>12</v>
      </c>
      <c r="D103" s="2" t="s">
        <v>12</v>
      </c>
      <c r="E103" s="2" t="s">
        <v>12</v>
      </c>
      <c r="F103" s="2" t="s">
        <v>12</v>
      </c>
      <c r="G103" s="2" t="s">
        <v>12</v>
      </c>
      <c r="H103" s="2" t="s">
        <v>12</v>
      </c>
      <c r="I103" s="2" t="s">
        <v>12</v>
      </c>
      <c r="J103" s="2" t="s">
        <v>12</v>
      </c>
      <c r="K103" s="2" t="s">
        <v>12</v>
      </c>
    </row>
    <row r="104" spans="1:11" ht="12.5" x14ac:dyDescent="0.25">
      <c r="A104" s="3" t="e">
        <f ca="1"/>
        <v>#NAME?</v>
      </c>
      <c r="B104" s="2" t="s">
        <v>12</v>
      </c>
      <c r="C104" s="2" t="s">
        <v>12</v>
      </c>
      <c r="D104" s="2" t="s">
        <v>12</v>
      </c>
      <c r="E104" s="2" t="s">
        <v>12</v>
      </c>
      <c r="F104" s="2" t="s">
        <v>12</v>
      </c>
      <c r="G104" s="2" t="s">
        <v>12</v>
      </c>
      <c r="H104" s="2" t="s">
        <v>12</v>
      </c>
      <c r="I104" s="2" t="s">
        <v>12</v>
      </c>
      <c r="J104" s="2" t="s">
        <v>12</v>
      </c>
      <c r="K104" s="2" t="s">
        <v>12</v>
      </c>
    </row>
    <row r="105" spans="1:11" ht="12.5" x14ac:dyDescent="0.25">
      <c r="A105" s="3" t="e">
        <f ca="1"/>
        <v>#NAME?</v>
      </c>
      <c r="B105" s="2" t="s">
        <v>12</v>
      </c>
      <c r="C105" s="2" t="s">
        <v>12</v>
      </c>
      <c r="D105" s="2" t="s">
        <v>12</v>
      </c>
      <c r="E105" s="2" t="s">
        <v>12</v>
      </c>
      <c r="F105" s="2" t="s">
        <v>12</v>
      </c>
      <c r="G105" s="2" t="s">
        <v>12</v>
      </c>
      <c r="H105" s="2" t="s">
        <v>12</v>
      </c>
      <c r="I105" s="2" t="s">
        <v>12</v>
      </c>
      <c r="J105" s="2" t="s">
        <v>12</v>
      </c>
      <c r="K105" s="2" t="s">
        <v>12</v>
      </c>
    </row>
    <row r="106" spans="1:11" ht="12.5" x14ac:dyDescent="0.25">
      <c r="A106" s="3" t="e">
        <f ca="1"/>
        <v>#NAME?</v>
      </c>
      <c r="B106" s="2" t="s">
        <v>12</v>
      </c>
      <c r="C106" s="2" t="s">
        <v>12</v>
      </c>
      <c r="D106" s="2" t="s">
        <v>12</v>
      </c>
      <c r="E106" s="2" t="s">
        <v>12</v>
      </c>
      <c r="F106" s="2" t="s">
        <v>12</v>
      </c>
      <c r="G106" s="2" t="s">
        <v>12</v>
      </c>
      <c r="H106" s="2" t="s">
        <v>12</v>
      </c>
      <c r="I106" s="2" t="s">
        <v>12</v>
      </c>
      <c r="J106" s="2" t="s">
        <v>12</v>
      </c>
      <c r="K106" s="2" t="s">
        <v>12</v>
      </c>
    </row>
    <row r="107" spans="1:11" ht="12.5" x14ac:dyDescent="0.25">
      <c r="A107" s="3" t="e">
        <f ca="1"/>
        <v>#NAME?</v>
      </c>
      <c r="B107" s="2" t="s">
        <v>12</v>
      </c>
      <c r="C107" s="2" t="s">
        <v>12</v>
      </c>
      <c r="D107" s="2" t="s">
        <v>12</v>
      </c>
      <c r="E107" s="2" t="s">
        <v>12</v>
      </c>
      <c r="F107" s="2" t="s">
        <v>12</v>
      </c>
      <c r="G107" s="2" t="s">
        <v>12</v>
      </c>
      <c r="H107" s="2" t="s">
        <v>12</v>
      </c>
      <c r="I107" s="2" t="s">
        <v>12</v>
      </c>
      <c r="J107" s="2" t="s">
        <v>12</v>
      </c>
      <c r="K107" s="2" t="s">
        <v>12</v>
      </c>
    </row>
    <row r="108" spans="1:11" ht="12.5" x14ac:dyDescent="0.25">
      <c r="A108" s="3" t="e">
        <f ca="1"/>
        <v>#NAME?</v>
      </c>
      <c r="B108" s="2" t="s">
        <v>12</v>
      </c>
      <c r="C108" s="2" t="s">
        <v>12</v>
      </c>
      <c r="D108" s="2" t="s">
        <v>12</v>
      </c>
      <c r="E108" s="2" t="s">
        <v>12</v>
      </c>
      <c r="F108" s="2" t="s">
        <v>12</v>
      </c>
      <c r="G108" s="2" t="s">
        <v>12</v>
      </c>
      <c r="H108" s="2" t="s">
        <v>12</v>
      </c>
      <c r="I108" s="2" t="s">
        <v>12</v>
      </c>
      <c r="J108" s="2" t="s">
        <v>12</v>
      </c>
      <c r="K108" s="2" t="s">
        <v>12</v>
      </c>
    </row>
    <row r="109" spans="1:11" ht="12.5" x14ac:dyDescent="0.25">
      <c r="A109" s="3" t="e">
        <f ca="1"/>
        <v>#NAME?</v>
      </c>
      <c r="B109" s="2" t="s">
        <v>12</v>
      </c>
      <c r="C109" s="2" t="s">
        <v>12</v>
      </c>
      <c r="D109" s="2" t="s">
        <v>12</v>
      </c>
      <c r="E109" s="2" t="s">
        <v>12</v>
      </c>
      <c r="F109" s="2" t="s">
        <v>12</v>
      </c>
      <c r="G109" s="2" t="s">
        <v>12</v>
      </c>
      <c r="H109" s="2" t="s">
        <v>12</v>
      </c>
      <c r="I109" s="2" t="s">
        <v>12</v>
      </c>
      <c r="J109" s="2" t="s">
        <v>12</v>
      </c>
      <c r="K109" s="2" t="s">
        <v>12</v>
      </c>
    </row>
    <row r="110" spans="1:11" ht="12.5" x14ac:dyDescent="0.25">
      <c r="A110" s="3" t="e">
        <f ca="1"/>
        <v>#NAME?</v>
      </c>
      <c r="B110" s="2" t="s">
        <v>12</v>
      </c>
      <c r="C110" s="2" t="s">
        <v>12</v>
      </c>
      <c r="D110" s="2" t="s">
        <v>12</v>
      </c>
      <c r="E110" s="2" t="s">
        <v>12</v>
      </c>
      <c r="F110" s="2" t="s">
        <v>12</v>
      </c>
      <c r="G110" s="2" t="s">
        <v>12</v>
      </c>
      <c r="H110" s="2" t="s">
        <v>12</v>
      </c>
      <c r="I110" s="2" t="s">
        <v>12</v>
      </c>
      <c r="J110" s="2" t="s">
        <v>12</v>
      </c>
      <c r="K110" s="2" t="s">
        <v>12</v>
      </c>
    </row>
    <row r="111" spans="1:11" ht="12.5" x14ac:dyDescent="0.25">
      <c r="A111" s="3" t="e">
        <f ca="1"/>
        <v>#NAME?</v>
      </c>
      <c r="B111" s="2" t="s">
        <v>12</v>
      </c>
      <c r="C111" s="2" t="s">
        <v>12</v>
      </c>
      <c r="D111" s="2" t="s">
        <v>12</v>
      </c>
      <c r="E111" s="2" t="s">
        <v>12</v>
      </c>
      <c r="F111" s="2" t="s">
        <v>12</v>
      </c>
      <c r="G111" s="2" t="s">
        <v>12</v>
      </c>
      <c r="H111" s="2" t="s">
        <v>12</v>
      </c>
      <c r="I111" s="2" t="s">
        <v>12</v>
      </c>
      <c r="J111" s="2" t="s">
        <v>12</v>
      </c>
      <c r="K111" s="2" t="s">
        <v>12</v>
      </c>
    </row>
    <row r="112" spans="1:11" ht="12.5" x14ac:dyDescent="0.25">
      <c r="A112" s="3" t="e">
        <f ca="1"/>
        <v>#NAME?</v>
      </c>
      <c r="B112" s="2" t="s">
        <v>12</v>
      </c>
      <c r="C112" s="2" t="s">
        <v>12</v>
      </c>
      <c r="D112" s="2" t="s">
        <v>12</v>
      </c>
      <c r="E112" s="2" t="s">
        <v>12</v>
      </c>
      <c r="F112" s="2" t="s">
        <v>12</v>
      </c>
      <c r="G112" s="2" t="s">
        <v>12</v>
      </c>
      <c r="H112" s="2" t="s">
        <v>12</v>
      </c>
      <c r="I112" s="2" t="s">
        <v>12</v>
      </c>
      <c r="J112" s="2" t="s">
        <v>12</v>
      </c>
      <c r="K112" s="2" t="s">
        <v>12</v>
      </c>
    </row>
    <row r="113" spans="1:11" ht="12.5" x14ac:dyDescent="0.25">
      <c r="A113" s="3" t="e">
        <f ca="1"/>
        <v>#NAME?</v>
      </c>
      <c r="B113" s="2" t="s">
        <v>12</v>
      </c>
      <c r="C113" s="2" t="s">
        <v>12</v>
      </c>
      <c r="D113" s="2" t="s">
        <v>12</v>
      </c>
      <c r="E113" s="2" t="s">
        <v>12</v>
      </c>
      <c r="F113" s="2" t="s">
        <v>12</v>
      </c>
      <c r="G113" s="2" t="s">
        <v>12</v>
      </c>
      <c r="H113" s="2" t="s">
        <v>12</v>
      </c>
      <c r="I113" s="2" t="s">
        <v>12</v>
      </c>
      <c r="J113" s="2" t="s">
        <v>12</v>
      </c>
      <c r="K113" s="2" t="s">
        <v>12</v>
      </c>
    </row>
    <row r="114" spans="1:11" ht="12.5" x14ac:dyDescent="0.25">
      <c r="A114" s="3" t="e">
        <f ca="1"/>
        <v>#NAME?</v>
      </c>
      <c r="B114" s="2" t="s">
        <v>12</v>
      </c>
      <c r="C114" s="2" t="s">
        <v>12</v>
      </c>
      <c r="D114" s="2" t="s">
        <v>12</v>
      </c>
      <c r="E114" s="2" t="s">
        <v>12</v>
      </c>
      <c r="F114" s="2" t="s">
        <v>12</v>
      </c>
      <c r="G114" s="2" t="s">
        <v>12</v>
      </c>
      <c r="H114" s="2" t="s">
        <v>12</v>
      </c>
      <c r="I114" s="2" t="s">
        <v>12</v>
      </c>
      <c r="J114" s="2" t="s">
        <v>12</v>
      </c>
      <c r="K114" s="2" t="s">
        <v>12</v>
      </c>
    </row>
    <row r="115" spans="1:11" ht="12.5" x14ac:dyDescent="0.25">
      <c r="A115" s="3" t="e">
        <f ca="1"/>
        <v>#NAME?</v>
      </c>
      <c r="B115" s="2" t="s">
        <v>12</v>
      </c>
      <c r="C115" s="2" t="s">
        <v>12</v>
      </c>
      <c r="D115" s="2" t="s">
        <v>12</v>
      </c>
      <c r="E115" s="2" t="s">
        <v>12</v>
      </c>
      <c r="F115" s="2" t="s">
        <v>12</v>
      </c>
      <c r="G115" s="2" t="s">
        <v>12</v>
      </c>
      <c r="H115" s="2" t="s">
        <v>12</v>
      </c>
      <c r="I115" s="2" t="s">
        <v>12</v>
      </c>
      <c r="J115" s="2" t="s">
        <v>12</v>
      </c>
      <c r="K115" s="2" t="s">
        <v>12</v>
      </c>
    </row>
    <row r="116" spans="1:11" ht="12.5" x14ac:dyDescent="0.25">
      <c r="A116" s="3" t="e">
        <f ca="1"/>
        <v>#NAME?</v>
      </c>
      <c r="B116" s="2" t="s">
        <v>12</v>
      </c>
      <c r="C116" s="2" t="s">
        <v>12</v>
      </c>
      <c r="D116" s="2" t="s">
        <v>12</v>
      </c>
      <c r="E116" s="2" t="s">
        <v>12</v>
      </c>
      <c r="F116" s="2" t="s">
        <v>12</v>
      </c>
      <c r="G116" s="2" t="s">
        <v>12</v>
      </c>
      <c r="H116" s="2" t="s">
        <v>12</v>
      </c>
      <c r="I116" s="2" t="s">
        <v>12</v>
      </c>
      <c r="J116" s="2" t="s">
        <v>12</v>
      </c>
      <c r="K116" s="2" t="s">
        <v>12</v>
      </c>
    </row>
    <row r="117" spans="1:11" ht="12.5" x14ac:dyDescent="0.25">
      <c r="A117" s="3" t="e">
        <f ca="1"/>
        <v>#NAME?</v>
      </c>
      <c r="B117" s="2" t="s">
        <v>12</v>
      </c>
      <c r="C117" s="2" t="s">
        <v>12</v>
      </c>
      <c r="D117" s="2" t="s">
        <v>12</v>
      </c>
      <c r="E117" s="2" t="s">
        <v>12</v>
      </c>
      <c r="F117" s="2" t="s">
        <v>12</v>
      </c>
      <c r="G117" s="2" t="s">
        <v>12</v>
      </c>
      <c r="H117" s="2" t="s">
        <v>12</v>
      </c>
      <c r="I117" s="2" t="s">
        <v>12</v>
      </c>
      <c r="J117" s="2" t="s">
        <v>12</v>
      </c>
      <c r="K117" s="2" t="s">
        <v>12</v>
      </c>
    </row>
    <row r="118" spans="1:11" ht="12.5" x14ac:dyDescent="0.25">
      <c r="A118" s="3" t="e">
        <f ca="1"/>
        <v>#NAME?</v>
      </c>
      <c r="B118" s="2" t="s">
        <v>12</v>
      </c>
      <c r="C118" s="2" t="s">
        <v>12</v>
      </c>
      <c r="D118" s="2" t="s">
        <v>12</v>
      </c>
      <c r="E118" s="2" t="s">
        <v>12</v>
      </c>
      <c r="F118" s="2" t="s">
        <v>12</v>
      </c>
      <c r="G118" s="2" t="s">
        <v>12</v>
      </c>
      <c r="H118" s="2" t="s">
        <v>12</v>
      </c>
      <c r="I118" s="2" t="s">
        <v>12</v>
      </c>
      <c r="J118" s="2" t="s">
        <v>12</v>
      </c>
      <c r="K118" s="2" t="s">
        <v>12</v>
      </c>
    </row>
    <row r="119" spans="1:11" ht="12.5" x14ac:dyDescent="0.25">
      <c r="A119" s="3" t="e">
        <f ca="1"/>
        <v>#NAME?</v>
      </c>
      <c r="B119" s="2" t="s">
        <v>12</v>
      </c>
      <c r="C119" s="2" t="s">
        <v>12</v>
      </c>
      <c r="D119" s="2" t="s">
        <v>12</v>
      </c>
      <c r="E119" s="2" t="s">
        <v>12</v>
      </c>
      <c r="F119" s="2" t="s">
        <v>12</v>
      </c>
      <c r="G119" s="2" t="s">
        <v>12</v>
      </c>
      <c r="H119" s="2" t="s">
        <v>12</v>
      </c>
      <c r="I119" s="2" t="s">
        <v>12</v>
      </c>
      <c r="J119" s="2" t="s">
        <v>12</v>
      </c>
      <c r="K119" s="2" t="s">
        <v>12</v>
      </c>
    </row>
    <row r="120" spans="1:11" ht="12.5" x14ac:dyDescent="0.25">
      <c r="A120" s="3" t="e">
        <f ca="1"/>
        <v>#NAME?</v>
      </c>
      <c r="B120" s="2" t="s">
        <v>12</v>
      </c>
      <c r="C120" s="2" t="s">
        <v>12</v>
      </c>
      <c r="D120" s="2" t="s">
        <v>12</v>
      </c>
      <c r="E120" s="2" t="s">
        <v>12</v>
      </c>
      <c r="F120" s="2" t="s">
        <v>12</v>
      </c>
      <c r="G120" s="2" t="s">
        <v>12</v>
      </c>
      <c r="H120" s="2" t="s">
        <v>12</v>
      </c>
      <c r="I120" s="2" t="s">
        <v>12</v>
      </c>
      <c r="J120" s="2" t="s">
        <v>12</v>
      </c>
      <c r="K120" s="2" t="s">
        <v>12</v>
      </c>
    </row>
    <row r="121" spans="1:11" ht="12.5" x14ac:dyDescent="0.25">
      <c r="A121" s="3" t="e">
        <f ca="1"/>
        <v>#NAME?</v>
      </c>
      <c r="B121" s="2" t="s">
        <v>12</v>
      </c>
      <c r="C121" s="2" t="s">
        <v>12</v>
      </c>
      <c r="D121" s="2" t="s">
        <v>12</v>
      </c>
      <c r="E121" s="2" t="s">
        <v>12</v>
      </c>
      <c r="F121" s="2" t="s">
        <v>12</v>
      </c>
      <c r="G121" s="2" t="s">
        <v>12</v>
      </c>
      <c r="H121" s="2" t="s">
        <v>12</v>
      </c>
      <c r="I121" s="2" t="s">
        <v>12</v>
      </c>
      <c r="J121" s="2" t="s">
        <v>12</v>
      </c>
      <c r="K121" s="2" t="s">
        <v>12</v>
      </c>
    </row>
    <row r="122" spans="1:11" ht="12.5" x14ac:dyDescent="0.25">
      <c r="A122" s="3" t="e">
        <f ca="1"/>
        <v>#NAME?</v>
      </c>
      <c r="B122" s="2" t="s">
        <v>12</v>
      </c>
      <c r="C122" s="2" t="s">
        <v>12</v>
      </c>
      <c r="D122" s="2" t="s">
        <v>12</v>
      </c>
      <c r="E122" s="2" t="s">
        <v>12</v>
      </c>
      <c r="F122" s="2" t="s">
        <v>12</v>
      </c>
      <c r="G122" s="2" t="s">
        <v>12</v>
      </c>
      <c r="H122" s="2" t="s">
        <v>12</v>
      </c>
      <c r="I122" s="2" t="s">
        <v>12</v>
      </c>
      <c r="J122" s="2" t="s">
        <v>12</v>
      </c>
      <c r="K122" s="2" t="s">
        <v>12</v>
      </c>
    </row>
    <row r="123" spans="1:11" ht="12.5" x14ac:dyDescent="0.25">
      <c r="A123" s="3" t="e">
        <f ca="1"/>
        <v>#NAME?</v>
      </c>
      <c r="B123" s="2" t="s">
        <v>12</v>
      </c>
      <c r="C123" s="2" t="s">
        <v>12</v>
      </c>
      <c r="D123" s="2" t="s">
        <v>12</v>
      </c>
      <c r="E123" s="2" t="s">
        <v>12</v>
      </c>
      <c r="F123" s="2" t="s">
        <v>12</v>
      </c>
      <c r="G123" s="2" t="s">
        <v>12</v>
      </c>
      <c r="H123" s="2" t="s">
        <v>12</v>
      </c>
      <c r="I123" s="2" t="s">
        <v>12</v>
      </c>
      <c r="J123" s="2" t="s">
        <v>12</v>
      </c>
      <c r="K123" s="2" t="s">
        <v>12</v>
      </c>
    </row>
    <row r="124" spans="1:11" ht="12.5" x14ac:dyDescent="0.25">
      <c r="A124" s="3" t="e">
        <f ca="1"/>
        <v>#NAME?</v>
      </c>
      <c r="B124" s="2" t="s">
        <v>12</v>
      </c>
      <c r="C124" s="2" t="s">
        <v>12</v>
      </c>
      <c r="D124" s="2" t="s">
        <v>12</v>
      </c>
      <c r="E124" s="2" t="s">
        <v>12</v>
      </c>
      <c r="F124" s="2" t="s">
        <v>12</v>
      </c>
      <c r="G124" s="2" t="s">
        <v>12</v>
      </c>
      <c r="H124" s="2" t="s">
        <v>12</v>
      </c>
      <c r="I124" s="2" t="s">
        <v>12</v>
      </c>
      <c r="J124" s="2" t="s">
        <v>12</v>
      </c>
      <c r="K124" s="2" t="s">
        <v>12</v>
      </c>
    </row>
    <row r="125" spans="1:11" ht="12.5" x14ac:dyDescent="0.25">
      <c r="A125" s="3" t="e">
        <f ca="1"/>
        <v>#NAME?</v>
      </c>
      <c r="B125" s="2" t="s">
        <v>12</v>
      </c>
      <c r="C125" s="2" t="s">
        <v>12</v>
      </c>
      <c r="D125" s="2" t="s">
        <v>12</v>
      </c>
      <c r="E125" s="2" t="s">
        <v>12</v>
      </c>
      <c r="F125" s="2" t="s">
        <v>12</v>
      </c>
      <c r="G125" s="2" t="s">
        <v>12</v>
      </c>
      <c r="H125" s="2" t="s">
        <v>12</v>
      </c>
      <c r="I125" s="2" t="s">
        <v>12</v>
      </c>
      <c r="J125" s="2" t="s">
        <v>12</v>
      </c>
      <c r="K125" s="2" t="s">
        <v>12</v>
      </c>
    </row>
    <row r="126" spans="1:11" ht="12.5" x14ac:dyDescent="0.25">
      <c r="A126" s="3" t="e">
        <f ca="1"/>
        <v>#NAME?</v>
      </c>
      <c r="B126" s="2" t="s">
        <v>12</v>
      </c>
      <c r="C126" s="2" t="s">
        <v>12</v>
      </c>
      <c r="D126" s="2" t="s">
        <v>12</v>
      </c>
      <c r="E126" s="2" t="s">
        <v>12</v>
      </c>
      <c r="F126" s="2" t="s">
        <v>12</v>
      </c>
      <c r="G126" s="2" t="s">
        <v>12</v>
      </c>
      <c r="H126" s="2" t="s">
        <v>12</v>
      </c>
      <c r="I126" s="2" t="s">
        <v>12</v>
      </c>
      <c r="J126" s="2" t="s">
        <v>12</v>
      </c>
      <c r="K126" s="2" t="s">
        <v>12</v>
      </c>
    </row>
    <row r="127" spans="1:11" ht="12.5" x14ac:dyDescent="0.25">
      <c r="A127" s="3" t="e">
        <f ca="1"/>
        <v>#NAME?</v>
      </c>
      <c r="B127" s="2" t="s">
        <v>12</v>
      </c>
      <c r="C127" s="2" t="s">
        <v>12</v>
      </c>
      <c r="D127" s="2" t="s">
        <v>12</v>
      </c>
      <c r="E127" s="2" t="s">
        <v>12</v>
      </c>
      <c r="F127" s="2" t="s">
        <v>12</v>
      </c>
      <c r="G127" s="2" t="s">
        <v>12</v>
      </c>
      <c r="H127" s="2" t="s">
        <v>12</v>
      </c>
      <c r="I127" s="2" t="s">
        <v>12</v>
      </c>
      <c r="J127" s="2" t="s">
        <v>12</v>
      </c>
      <c r="K127" s="2" t="s">
        <v>12</v>
      </c>
    </row>
    <row r="128" spans="1:11" ht="12.5" x14ac:dyDescent="0.25">
      <c r="A128" s="3" t="e">
        <f ca="1"/>
        <v>#NAME?</v>
      </c>
      <c r="B128" s="2" t="s">
        <v>12</v>
      </c>
      <c r="C128" s="2" t="s">
        <v>12</v>
      </c>
      <c r="D128" s="2" t="s">
        <v>12</v>
      </c>
      <c r="E128" s="2" t="s">
        <v>12</v>
      </c>
      <c r="F128" s="2" t="s">
        <v>12</v>
      </c>
      <c r="G128" s="2" t="s">
        <v>12</v>
      </c>
      <c r="H128" s="2" t="s">
        <v>12</v>
      </c>
      <c r="I128" s="2" t="s">
        <v>12</v>
      </c>
      <c r="J128" s="2" t="s">
        <v>12</v>
      </c>
      <c r="K128" s="2" t="s">
        <v>12</v>
      </c>
    </row>
    <row r="129" spans="1:11" ht="12.5" x14ac:dyDescent="0.25">
      <c r="A129" s="3" t="e">
        <f ca="1"/>
        <v>#NAME?</v>
      </c>
      <c r="B129" s="2" t="s">
        <v>12</v>
      </c>
      <c r="C129" s="2" t="s">
        <v>12</v>
      </c>
      <c r="D129" s="2" t="s">
        <v>12</v>
      </c>
      <c r="E129" s="2" t="s">
        <v>12</v>
      </c>
      <c r="F129" s="2" t="s">
        <v>12</v>
      </c>
      <c r="G129" s="2" t="s">
        <v>12</v>
      </c>
      <c r="H129" s="2" t="s">
        <v>12</v>
      </c>
      <c r="I129" s="2" t="s">
        <v>12</v>
      </c>
      <c r="J129" s="2" t="s">
        <v>12</v>
      </c>
      <c r="K129" s="2" t="s">
        <v>12</v>
      </c>
    </row>
    <row r="130" spans="1:11" ht="12.5" x14ac:dyDescent="0.25">
      <c r="A130" s="3" t="e">
        <f ca="1"/>
        <v>#NAME?</v>
      </c>
      <c r="B130" s="2" t="s">
        <v>12</v>
      </c>
      <c r="C130" s="2" t="s">
        <v>12</v>
      </c>
      <c r="D130" s="2" t="s">
        <v>12</v>
      </c>
      <c r="E130" s="2" t="s">
        <v>12</v>
      </c>
      <c r="F130" s="2" t="s">
        <v>12</v>
      </c>
      <c r="G130" s="2" t="s">
        <v>12</v>
      </c>
      <c r="H130" s="2" t="s">
        <v>12</v>
      </c>
      <c r="I130" s="2" t="s">
        <v>12</v>
      </c>
      <c r="J130" s="2" t="s">
        <v>12</v>
      </c>
      <c r="K130" s="2" t="s">
        <v>12</v>
      </c>
    </row>
    <row r="131" spans="1:11" ht="12.5" x14ac:dyDescent="0.25">
      <c r="A131" s="3" t="e">
        <f ca="1"/>
        <v>#NAME?</v>
      </c>
      <c r="B131" s="2" t="s">
        <v>12</v>
      </c>
      <c r="C131" s="2" t="s">
        <v>12</v>
      </c>
      <c r="D131" s="2" t="s">
        <v>12</v>
      </c>
      <c r="E131" s="2" t="s">
        <v>12</v>
      </c>
      <c r="F131" s="2" t="s">
        <v>12</v>
      </c>
      <c r="G131" s="2" t="s">
        <v>12</v>
      </c>
      <c r="H131" s="2" t="s">
        <v>12</v>
      </c>
      <c r="I131" s="2" t="s">
        <v>12</v>
      </c>
      <c r="J131" s="2" t="s">
        <v>12</v>
      </c>
      <c r="K131" s="2" t="s">
        <v>12</v>
      </c>
    </row>
    <row r="132" spans="1:11" ht="12.5" x14ac:dyDescent="0.25">
      <c r="A132" s="3" t="e">
        <f ca="1"/>
        <v>#NAME?</v>
      </c>
      <c r="B132" s="2" t="s">
        <v>12</v>
      </c>
      <c r="C132" s="2" t="s">
        <v>12</v>
      </c>
      <c r="D132" s="2" t="s">
        <v>12</v>
      </c>
      <c r="E132" s="2" t="s">
        <v>12</v>
      </c>
      <c r="F132" s="2" t="s">
        <v>12</v>
      </c>
      <c r="G132" s="2" t="s">
        <v>12</v>
      </c>
      <c r="H132" s="2" t="s">
        <v>12</v>
      </c>
      <c r="I132" s="2" t="s">
        <v>12</v>
      </c>
      <c r="J132" s="2" t="s">
        <v>12</v>
      </c>
      <c r="K132" s="2" t="s">
        <v>12</v>
      </c>
    </row>
    <row r="133" spans="1:11" ht="12.5" x14ac:dyDescent="0.25">
      <c r="A133" s="3" t="e">
        <f ca="1"/>
        <v>#NAME?</v>
      </c>
      <c r="B133" s="2" t="s">
        <v>12</v>
      </c>
      <c r="C133" s="2" t="s">
        <v>12</v>
      </c>
      <c r="D133" s="2" t="s">
        <v>12</v>
      </c>
      <c r="E133" s="2" t="s">
        <v>12</v>
      </c>
      <c r="F133" s="2" t="s">
        <v>12</v>
      </c>
      <c r="G133" s="2" t="s">
        <v>12</v>
      </c>
      <c r="H133" s="2" t="s">
        <v>12</v>
      </c>
      <c r="I133" s="2" t="s">
        <v>12</v>
      </c>
      <c r="J133" s="2" t="s">
        <v>12</v>
      </c>
      <c r="K133" s="2" t="s">
        <v>12</v>
      </c>
    </row>
    <row r="134" spans="1:11" ht="12.5" x14ac:dyDescent="0.25">
      <c r="A134" s="3" t="e">
        <f ca="1"/>
        <v>#NAME?</v>
      </c>
      <c r="B134" s="2" t="s">
        <v>12</v>
      </c>
      <c r="C134" s="2" t="s">
        <v>12</v>
      </c>
      <c r="D134" s="2" t="s">
        <v>12</v>
      </c>
      <c r="E134" s="2" t="s">
        <v>12</v>
      </c>
      <c r="F134" s="2" t="s">
        <v>12</v>
      </c>
      <c r="G134" s="2" t="s">
        <v>12</v>
      </c>
      <c r="H134" s="2" t="s">
        <v>12</v>
      </c>
      <c r="I134" s="2" t="s">
        <v>12</v>
      </c>
      <c r="J134" s="2" t="s">
        <v>12</v>
      </c>
      <c r="K134" s="2" t="s">
        <v>12</v>
      </c>
    </row>
    <row r="135" spans="1:11" ht="12.5" x14ac:dyDescent="0.25">
      <c r="A135" s="3" t="e">
        <f ca="1"/>
        <v>#NAME?</v>
      </c>
      <c r="B135" s="2" t="s">
        <v>12</v>
      </c>
      <c r="C135" s="2" t="s">
        <v>12</v>
      </c>
      <c r="D135" s="2" t="s">
        <v>12</v>
      </c>
      <c r="E135" s="2" t="s">
        <v>12</v>
      </c>
      <c r="F135" s="2" t="s">
        <v>12</v>
      </c>
      <c r="G135" s="2" t="s">
        <v>12</v>
      </c>
      <c r="H135" s="2" t="s">
        <v>12</v>
      </c>
      <c r="I135" s="2" t="s">
        <v>12</v>
      </c>
      <c r="J135" s="2" t="s">
        <v>12</v>
      </c>
      <c r="K135" s="2" t="s">
        <v>12</v>
      </c>
    </row>
    <row r="136" spans="1:11" ht="12.5" x14ac:dyDescent="0.25">
      <c r="A136" s="3" t="e">
        <f ca="1"/>
        <v>#NAME?</v>
      </c>
      <c r="B136" s="2" t="s">
        <v>12</v>
      </c>
      <c r="C136" s="2" t="s">
        <v>12</v>
      </c>
      <c r="D136" s="2" t="s">
        <v>12</v>
      </c>
      <c r="E136" s="2" t="s">
        <v>12</v>
      </c>
      <c r="F136" s="2" t="s">
        <v>12</v>
      </c>
      <c r="G136" s="2" t="s">
        <v>12</v>
      </c>
      <c r="H136" s="2" t="s">
        <v>12</v>
      </c>
      <c r="I136" s="2" t="s">
        <v>12</v>
      </c>
      <c r="J136" s="2" t="s">
        <v>12</v>
      </c>
      <c r="K136" s="2" t="s">
        <v>12</v>
      </c>
    </row>
    <row r="137" spans="1:11" ht="12.5" x14ac:dyDescent="0.25">
      <c r="A137" s="3" t="e">
        <f ca="1"/>
        <v>#NAME?</v>
      </c>
      <c r="B137" s="2" t="s">
        <v>12</v>
      </c>
      <c r="C137" s="2" t="s">
        <v>12</v>
      </c>
      <c r="D137" s="2" t="s">
        <v>12</v>
      </c>
      <c r="E137" s="2" t="s">
        <v>12</v>
      </c>
      <c r="F137" s="2" t="s">
        <v>12</v>
      </c>
      <c r="G137" s="2" t="s">
        <v>12</v>
      </c>
      <c r="H137" s="2" t="s">
        <v>12</v>
      </c>
      <c r="I137" s="2" t="s">
        <v>12</v>
      </c>
      <c r="J137" s="2" t="s">
        <v>12</v>
      </c>
      <c r="K137" s="2" t="s">
        <v>12</v>
      </c>
    </row>
    <row r="138" spans="1:11" ht="12.5" x14ac:dyDescent="0.25">
      <c r="A138" s="3" t="e">
        <f ca="1"/>
        <v>#NAME?</v>
      </c>
      <c r="B138" s="2" t="s">
        <v>12</v>
      </c>
      <c r="C138" s="2" t="s">
        <v>12</v>
      </c>
      <c r="D138" s="2" t="s">
        <v>12</v>
      </c>
      <c r="E138" s="2" t="s">
        <v>12</v>
      </c>
      <c r="F138" s="2" t="s">
        <v>12</v>
      </c>
      <c r="G138" s="2" t="s">
        <v>12</v>
      </c>
      <c r="H138" s="2" t="s">
        <v>12</v>
      </c>
      <c r="I138" s="2" t="s">
        <v>12</v>
      </c>
      <c r="J138" s="2" t="s">
        <v>12</v>
      </c>
      <c r="K138" s="2" t="s">
        <v>12</v>
      </c>
    </row>
    <row r="139" spans="1:11" ht="12.5" x14ac:dyDescent="0.25">
      <c r="A139" s="3" t="e">
        <f ca="1"/>
        <v>#NAME?</v>
      </c>
      <c r="B139" s="2" t="s">
        <v>12</v>
      </c>
      <c r="C139" s="2" t="s">
        <v>12</v>
      </c>
      <c r="D139" s="2" t="s">
        <v>12</v>
      </c>
      <c r="E139" s="2" t="s">
        <v>12</v>
      </c>
      <c r="F139" s="2" t="s">
        <v>12</v>
      </c>
      <c r="G139" s="2" t="s">
        <v>12</v>
      </c>
      <c r="H139" s="2" t="s">
        <v>12</v>
      </c>
      <c r="I139" s="2" t="s">
        <v>12</v>
      </c>
      <c r="J139" s="2" t="s">
        <v>12</v>
      </c>
      <c r="K139" s="2" t="s">
        <v>12</v>
      </c>
    </row>
    <row r="140" spans="1:11" ht="12.5" x14ac:dyDescent="0.25">
      <c r="A140" s="3" t="e">
        <f ca="1"/>
        <v>#NAME?</v>
      </c>
      <c r="B140" s="2" t="s">
        <v>12</v>
      </c>
      <c r="C140" s="2" t="s">
        <v>12</v>
      </c>
      <c r="D140" s="2" t="s">
        <v>12</v>
      </c>
      <c r="E140" s="2" t="s">
        <v>12</v>
      </c>
      <c r="F140" s="2" t="s">
        <v>12</v>
      </c>
      <c r="G140" s="2" t="s">
        <v>12</v>
      </c>
      <c r="H140" s="2" t="s">
        <v>12</v>
      </c>
      <c r="I140" s="2" t="s">
        <v>12</v>
      </c>
      <c r="J140" s="2" t="s">
        <v>12</v>
      </c>
      <c r="K140" s="2" t="s">
        <v>12</v>
      </c>
    </row>
    <row r="141" spans="1:11" ht="12.5" x14ac:dyDescent="0.25">
      <c r="A141" s="3" t="e">
        <f ca="1"/>
        <v>#NAME?</v>
      </c>
      <c r="B141" s="2" t="s">
        <v>12</v>
      </c>
      <c r="C141" s="2" t="s">
        <v>12</v>
      </c>
      <c r="D141" s="2" t="s">
        <v>12</v>
      </c>
      <c r="E141" s="2" t="s">
        <v>12</v>
      </c>
      <c r="F141" s="2" t="s">
        <v>12</v>
      </c>
      <c r="G141" s="2" t="s">
        <v>12</v>
      </c>
      <c r="H141" s="2" t="s">
        <v>12</v>
      </c>
      <c r="I141" s="2" t="s">
        <v>12</v>
      </c>
      <c r="J141" s="2" t="s">
        <v>12</v>
      </c>
      <c r="K141" s="2" t="s">
        <v>12</v>
      </c>
    </row>
    <row r="142" spans="1:11" ht="12.5" x14ac:dyDescent="0.25">
      <c r="A142" s="3" t="e">
        <f ca="1"/>
        <v>#NAME?</v>
      </c>
      <c r="B142" s="2" t="s">
        <v>12</v>
      </c>
      <c r="C142" s="2" t="s">
        <v>12</v>
      </c>
      <c r="D142" s="2" t="s">
        <v>12</v>
      </c>
      <c r="E142" s="2" t="s">
        <v>12</v>
      </c>
      <c r="F142" s="2" t="s">
        <v>12</v>
      </c>
      <c r="G142" s="2" t="s">
        <v>12</v>
      </c>
      <c r="H142" s="2" t="s">
        <v>12</v>
      </c>
      <c r="I142" s="2" t="s">
        <v>12</v>
      </c>
      <c r="J142" s="2" t="s">
        <v>12</v>
      </c>
      <c r="K142" s="2" t="s">
        <v>12</v>
      </c>
    </row>
    <row r="143" spans="1:11" ht="12.5" x14ac:dyDescent="0.25">
      <c r="A143" s="3" t="e">
        <f ca="1"/>
        <v>#NAME?</v>
      </c>
      <c r="B143" s="2" t="s">
        <v>12</v>
      </c>
      <c r="C143" s="2" t="s">
        <v>12</v>
      </c>
      <c r="D143" s="2" t="s">
        <v>12</v>
      </c>
      <c r="E143" s="2" t="s">
        <v>12</v>
      </c>
      <c r="F143" s="2" t="s">
        <v>12</v>
      </c>
      <c r="G143" s="2" t="s">
        <v>12</v>
      </c>
      <c r="H143" s="2" t="s">
        <v>12</v>
      </c>
      <c r="I143" s="2" t="s">
        <v>12</v>
      </c>
      <c r="J143" s="2" t="s">
        <v>12</v>
      </c>
      <c r="K143" s="2" t="s">
        <v>12</v>
      </c>
    </row>
    <row r="144" spans="1:11" ht="12.5" x14ac:dyDescent="0.25">
      <c r="A144" s="3" t="e">
        <f ca="1"/>
        <v>#NAME?</v>
      </c>
      <c r="B144" s="2" t="s">
        <v>12</v>
      </c>
      <c r="C144" s="2" t="s">
        <v>12</v>
      </c>
      <c r="D144" s="2" t="s">
        <v>12</v>
      </c>
      <c r="E144" s="2" t="s">
        <v>12</v>
      </c>
      <c r="F144" s="2" t="s">
        <v>12</v>
      </c>
      <c r="G144" s="2" t="s">
        <v>12</v>
      </c>
      <c r="H144" s="2" t="s">
        <v>12</v>
      </c>
      <c r="I144" s="2" t="s">
        <v>12</v>
      </c>
      <c r="J144" s="2" t="s">
        <v>12</v>
      </c>
      <c r="K144" s="2" t="s">
        <v>12</v>
      </c>
    </row>
    <row r="145" spans="1:11" ht="12.5" x14ac:dyDescent="0.25">
      <c r="A145" s="3" t="e">
        <f ca="1"/>
        <v>#NAME?</v>
      </c>
      <c r="B145" s="2" t="s">
        <v>12</v>
      </c>
      <c r="C145" s="2" t="s">
        <v>12</v>
      </c>
      <c r="D145" s="2" t="s">
        <v>12</v>
      </c>
      <c r="E145" s="2" t="s">
        <v>12</v>
      </c>
      <c r="F145" s="2" t="s">
        <v>12</v>
      </c>
      <c r="G145" s="2" t="s">
        <v>12</v>
      </c>
      <c r="H145" s="2" t="s">
        <v>12</v>
      </c>
      <c r="I145" s="2" t="s">
        <v>12</v>
      </c>
      <c r="J145" s="2" t="s">
        <v>12</v>
      </c>
      <c r="K145" s="2" t="s">
        <v>12</v>
      </c>
    </row>
    <row r="146" spans="1:11" ht="12.5" x14ac:dyDescent="0.25">
      <c r="A146" s="3" t="e">
        <f ca="1"/>
        <v>#NAME?</v>
      </c>
      <c r="B146" s="2" t="s">
        <v>12</v>
      </c>
      <c r="C146" s="2" t="s">
        <v>12</v>
      </c>
      <c r="D146" s="2" t="s">
        <v>12</v>
      </c>
      <c r="E146" s="2" t="s">
        <v>12</v>
      </c>
      <c r="F146" s="2" t="s">
        <v>12</v>
      </c>
      <c r="G146" s="2" t="s">
        <v>12</v>
      </c>
      <c r="H146" s="2" t="s">
        <v>12</v>
      </c>
      <c r="I146" s="2" t="s">
        <v>12</v>
      </c>
      <c r="J146" s="2" t="s">
        <v>12</v>
      </c>
      <c r="K146" s="2" t="s">
        <v>12</v>
      </c>
    </row>
    <row r="147" spans="1:11" ht="12.5" x14ac:dyDescent="0.25">
      <c r="A147" s="3" t="e">
        <f ca="1"/>
        <v>#NAME?</v>
      </c>
      <c r="B147" s="2" t="s">
        <v>12</v>
      </c>
      <c r="C147" s="2" t="s">
        <v>12</v>
      </c>
      <c r="D147" s="2" t="s">
        <v>12</v>
      </c>
      <c r="E147" s="2" t="s">
        <v>12</v>
      </c>
      <c r="F147" s="2" t="s">
        <v>12</v>
      </c>
      <c r="G147" s="2" t="s">
        <v>12</v>
      </c>
      <c r="H147" s="2" t="s">
        <v>12</v>
      </c>
      <c r="I147" s="2" t="s">
        <v>12</v>
      </c>
      <c r="J147" s="2" t="s">
        <v>12</v>
      </c>
      <c r="K147" s="2" t="s">
        <v>12</v>
      </c>
    </row>
    <row r="148" spans="1:11" ht="12.5" x14ac:dyDescent="0.25">
      <c r="A148" s="3" t="e">
        <f ca="1"/>
        <v>#NAME?</v>
      </c>
      <c r="B148" s="2" t="s">
        <v>12</v>
      </c>
      <c r="C148" s="2" t="s">
        <v>12</v>
      </c>
      <c r="D148" s="2" t="s">
        <v>12</v>
      </c>
      <c r="E148" s="2" t="s">
        <v>12</v>
      </c>
      <c r="F148" s="2" t="s">
        <v>12</v>
      </c>
      <c r="G148" s="2" t="s">
        <v>12</v>
      </c>
      <c r="H148" s="2" t="s">
        <v>12</v>
      </c>
      <c r="I148" s="2" t="s">
        <v>12</v>
      </c>
      <c r="J148" s="2" t="s">
        <v>12</v>
      </c>
      <c r="K148" s="2" t="s">
        <v>12</v>
      </c>
    </row>
    <row r="149" spans="1:11" ht="12.5" x14ac:dyDescent="0.25">
      <c r="A149" s="3" t="e">
        <f ca="1"/>
        <v>#NAME?</v>
      </c>
      <c r="B149" s="2" t="s">
        <v>12</v>
      </c>
      <c r="C149" s="2" t="s">
        <v>12</v>
      </c>
      <c r="D149" s="2" t="s">
        <v>12</v>
      </c>
      <c r="E149" s="2" t="s">
        <v>12</v>
      </c>
      <c r="F149" s="2" t="s">
        <v>12</v>
      </c>
      <c r="G149" s="2" t="s">
        <v>12</v>
      </c>
      <c r="H149" s="2" t="s">
        <v>12</v>
      </c>
      <c r="I149" s="2" t="s">
        <v>12</v>
      </c>
      <c r="J149" s="2" t="s">
        <v>12</v>
      </c>
      <c r="K149" s="2" t="s">
        <v>12</v>
      </c>
    </row>
    <row r="150" spans="1:11" ht="12.5" x14ac:dyDescent="0.25">
      <c r="A150" s="3" t="e">
        <f ca="1"/>
        <v>#NAME?</v>
      </c>
      <c r="B150" s="2" t="s">
        <v>12</v>
      </c>
      <c r="C150" s="2" t="s">
        <v>12</v>
      </c>
      <c r="D150" s="2" t="s">
        <v>12</v>
      </c>
      <c r="E150" s="2" t="s">
        <v>12</v>
      </c>
      <c r="F150" s="2" t="s">
        <v>12</v>
      </c>
      <c r="G150" s="2" t="s">
        <v>12</v>
      </c>
      <c r="H150" s="2" t="s">
        <v>12</v>
      </c>
      <c r="I150" s="2" t="s">
        <v>12</v>
      </c>
      <c r="J150" s="2" t="s">
        <v>12</v>
      </c>
      <c r="K150" s="2" t="s">
        <v>12</v>
      </c>
    </row>
    <row r="151" spans="1:11" ht="12.5" x14ac:dyDescent="0.25">
      <c r="A151" s="3" t="e">
        <f ca="1"/>
        <v>#NAME?</v>
      </c>
      <c r="B151" s="2" t="s">
        <v>12</v>
      </c>
      <c r="C151" s="2" t="s">
        <v>12</v>
      </c>
      <c r="D151" s="2" t="s">
        <v>12</v>
      </c>
      <c r="E151" s="2" t="s">
        <v>12</v>
      </c>
      <c r="F151" s="2" t="s">
        <v>12</v>
      </c>
      <c r="G151" s="2" t="s">
        <v>12</v>
      </c>
      <c r="H151" s="2" t="s">
        <v>12</v>
      </c>
      <c r="I151" s="2" t="s">
        <v>12</v>
      </c>
      <c r="J151" s="2" t="s">
        <v>12</v>
      </c>
      <c r="K151" s="2" t="s">
        <v>12</v>
      </c>
    </row>
    <row r="152" spans="1:11" ht="12.5" x14ac:dyDescent="0.25">
      <c r="A152" s="3" t="e">
        <f ca="1"/>
        <v>#NAME?</v>
      </c>
      <c r="B152" s="2" t="s">
        <v>12</v>
      </c>
      <c r="C152" s="2" t="s">
        <v>12</v>
      </c>
      <c r="D152" s="2" t="s">
        <v>12</v>
      </c>
      <c r="E152" s="2" t="s">
        <v>12</v>
      </c>
      <c r="F152" s="2" t="s">
        <v>12</v>
      </c>
      <c r="G152" s="2" t="s">
        <v>12</v>
      </c>
      <c r="H152" s="2" t="s">
        <v>12</v>
      </c>
      <c r="I152" s="2" t="s">
        <v>12</v>
      </c>
      <c r="J152" s="2" t="s">
        <v>12</v>
      </c>
      <c r="K152" s="2" t="s">
        <v>12</v>
      </c>
    </row>
    <row r="153" spans="1:11" ht="12.5" x14ac:dyDescent="0.25">
      <c r="A153" s="3" t="e">
        <f ca="1"/>
        <v>#NAME?</v>
      </c>
      <c r="B153" s="2" t="s">
        <v>12</v>
      </c>
      <c r="C153" s="2" t="s">
        <v>12</v>
      </c>
      <c r="D153" s="2" t="s">
        <v>12</v>
      </c>
      <c r="E153" s="2" t="s">
        <v>12</v>
      </c>
      <c r="F153" s="2" t="s">
        <v>12</v>
      </c>
      <c r="G153" s="2" t="s">
        <v>12</v>
      </c>
      <c r="H153" s="2" t="s">
        <v>12</v>
      </c>
      <c r="I153" s="2" t="s">
        <v>12</v>
      </c>
      <c r="J153" s="2" t="s">
        <v>12</v>
      </c>
      <c r="K153" s="2" t="s">
        <v>12</v>
      </c>
    </row>
    <row r="154" spans="1:11" ht="12.5" x14ac:dyDescent="0.25">
      <c r="A154" s="3" t="e">
        <f ca="1"/>
        <v>#NAME?</v>
      </c>
      <c r="B154" s="2" t="s">
        <v>12</v>
      </c>
      <c r="C154" s="2" t="s">
        <v>12</v>
      </c>
      <c r="D154" s="2" t="s">
        <v>12</v>
      </c>
      <c r="E154" s="2" t="s">
        <v>12</v>
      </c>
      <c r="F154" s="2" t="s">
        <v>12</v>
      </c>
      <c r="G154" s="2" t="s">
        <v>12</v>
      </c>
      <c r="H154" s="2" t="s">
        <v>12</v>
      </c>
      <c r="I154" s="2" t="s">
        <v>12</v>
      </c>
      <c r="J154" s="2" t="s">
        <v>12</v>
      </c>
      <c r="K154" s="2" t="s">
        <v>12</v>
      </c>
    </row>
    <row r="155" spans="1:11" ht="12.5" x14ac:dyDescent="0.25">
      <c r="A155" s="3" t="e">
        <f ca="1"/>
        <v>#NAME?</v>
      </c>
      <c r="B155" s="2" t="s">
        <v>12</v>
      </c>
      <c r="C155" s="2" t="s">
        <v>12</v>
      </c>
      <c r="D155" s="2" t="s">
        <v>12</v>
      </c>
      <c r="E155" s="2" t="s">
        <v>12</v>
      </c>
      <c r="F155" s="2" t="s">
        <v>12</v>
      </c>
      <c r="G155" s="2" t="s">
        <v>12</v>
      </c>
      <c r="H155" s="2" t="s">
        <v>12</v>
      </c>
      <c r="I155" s="2" t="s">
        <v>12</v>
      </c>
      <c r="J155" s="2" t="s">
        <v>12</v>
      </c>
      <c r="K155" s="2" t="s">
        <v>12</v>
      </c>
    </row>
    <row r="156" spans="1:11" ht="12.5" x14ac:dyDescent="0.25">
      <c r="A156" s="3" t="e">
        <f ca="1"/>
        <v>#NAME?</v>
      </c>
      <c r="B156" s="2" t="s">
        <v>12</v>
      </c>
      <c r="C156" s="2" t="s">
        <v>12</v>
      </c>
      <c r="D156" s="2" t="s">
        <v>12</v>
      </c>
      <c r="E156" s="2" t="s">
        <v>12</v>
      </c>
      <c r="F156" s="2" t="s">
        <v>12</v>
      </c>
      <c r="G156" s="2" t="s">
        <v>12</v>
      </c>
      <c r="H156" s="2" t="s">
        <v>12</v>
      </c>
      <c r="I156" s="2" t="s">
        <v>12</v>
      </c>
      <c r="J156" s="2" t="s">
        <v>12</v>
      </c>
      <c r="K156" s="2" t="s">
        <v>12</v>
      </c>
    </row>
    <row r="157" spans="1:11" ht="12.5" x14ac:dyDescent="0.25">
      <c r="A157" s="3" t="e">
        <f ca="1"/>
        <v>#NAME?</v>
      </c>
      <c r="B157" s="2" t="s">
        <v>12</v>
      </c>
      <c r="C157" s="2" t="s">
        <v>12</v>
      </c>
      <c r="D157" s="2" t="s">
        <v>12</v>
      </c>
      <c r="E157" s="2" t="s">
        <v>12</v>
      </c>
      <c r="F157" s="2" t="s">
        <v>12</v>
      </c>
      <c r="G157" s="2" t="s">
        <v>12</v>
      </c>
      <c r="H157" s="2" t="s">
        <v>12</v>
      </c>
      <c r="I157" s="2" t="s">
        <v>12</v>
      </c>
      <c r="J157" s="2" t="s">
        <v>12</v>
      </c>
      <c r="K157" s="2" t="s">
        <v>12</v>
      </c>
    </row>
    <row r="158" spans="1:11" ht="12.5" x14ac:dyDescent="0.25">
      <c r="A158" s="3" t="e">
        <f ca="1"/>
        <v>#NAME?</v>
      </c>
      <c r="B158" s="2" t="s">
        <v>12</v>
      </c>
      <c r="C158" s="2" t="s">
        <v>12</v>
      </c>
      <c r="D158" s="2" t="s">
        <v>12</v>
      </c>
      <c r="E158" s="2" t="s">
        <v>12</v>
      </c>
      <c r="F158" s="2" t="s">
        <v>12</v>
      </c>
      <c r="G158" s="2" t="s">
        <v>12</v>
      </c>
      <c r="H158" s="2" t="s">
        <v>12</v>
      </c>
      <c r="I158" s="2" t="s">
        <v>12</v>
      </c>
      <c r="J158" s="2" t="s">
        <v>12</v>
      </c>
      <c r="K158" s="2" t="s">
        <v>12</v>
      </c>
    </row>
    <row r="159" spans="1:11" ht="12.5" x14ac:dyDescent="0.25">
      <c r="A159" s="3" t="e">
        <f ca="1"/>
        <v>#NAME?</v>
      </c>
      <c r="B159" s="2" t="s">
        <v>12</v>
      </c>
      <c r="C159" s="2" t="s">
        <v>12</v>
      </c>
      <c r="D159" s="2" t="s">
        <v>12</v>
      </c>
      <c r="E159" s="2" t="s">
        <v>12</v>
      </c>
      <c r="F159" s="2" t="s">
        <v>12</v>
      </c>
      <c r="G159" s="2" t="s">
        <v>12</v>
      </c>
      <c r="H159" s="2" t="s">
        <v>12</v>
      </c>
      <c r="I159" s="2" t="s">
        <v>12</v>
      </c>
      <c r="J159" s="2" t="s">
        <v>12</v>
      </c>
      <c r="K159" s="2" t="s">
        <v>12</v>
      </c>
    </row>
    <row r="160" spans="1:11" ht="12.5" x14ac:dyDescent="0.25">
      <c r="A160" s="3" t="e">
        <f ca="1"/>
        <v>#NAME?</v>
      </c>
      <c r="B160" s="2" t="s">
        <v>12</v>
      </c>
      <c r="C160" s="2" t="s">
        <v>12</v>
      </c>
      <c r="D160" s="2" t="s">
        <v>12</v>
      </c>
      <c r="E160" s="2" t="s">
        <v>12</v>
      </c>
      <c r="F160" s="2" t="s">
        <v>12</v>
      </c>
      <c r="G160" s="2" t="s">
        <v>12</v>
      </c>
      <c r="H160" s="2" t="s">
        <v>12</v>
      </c>
      <c r="I160" s="2" t="s">
        <v>12</v>
      </c>
      <c r="J160" s="2" t="s">
        <v>12</v>
      </c>
      <c r="K160" s="2" t="s">
        <v>12</v>
      </c>
    </row>
    <row r="161" spans="1:11" ht="12.5" x14ac:dyDescent="0.25">
      <c r="A161" s="3" t="e">
        <f ca="1"/>
        <v>#NAME?</v>
      </c>
      <c r="B161" s="2" t="s">
        <v>12</v>
      </c>
      <c r="C161" s="2" t="s">
        <v>12</v>
      </c>
      <c r="D161" s="2" t="s">
        <v>12</v>
      </c>
      <c r="E161" s="2" t="s">
        <v>12</v>
      </c>
      <c r="F161" s="2" t="s">
        <v>12</v>
      </c>
      <c r="G161" s="2" t="s">
        <v>12</v>
      </c>
      <c r="H161" s="2" t="s">
        <v>12</v>
      </c>
      <c r="I161" s="2" t="s">
        <v>12</v>
      </c>
      <c r="J161" s="2" t="s">
        <v>12</v>
      </c>
      <c r="K161" s="2" t="s">
        <v>12</v>
      </c>
    </row>
    <row r="162" spans="1:11" ht="12.5" x14ac:dyDescent="0.25">
      <c r="A162" s="3" t="e">
        <f ca="1"/>
        <v>#NAME?</v>
      </c>
      <c r="B162" s="2" t="s">
        <v>12</v>
      </c>
      <c r="C162" s="2" t="s">
        <v>12</v>
      </c>
      <c r="D162" s="2" t="s">
        <v>12</v>
      </c>
      <c r="E162" s="2" t="s">
        <v>12</v>
      </c>
      <c r="F162" s="2" t="s">
        <v>12</v>
      </c>
      <c r="G162" s="2" t="s">
        <v>12</v>
      </c>
      <c r="H162" s="2" t="s">
        <v>12</v>
      </c>
      <c r="I162" s="2" t="s">
        <v>12</v>
      </c>
      <c r="J162" s="2" t="s">
        <v>12</v>
      </c>
      <c r="K162" s="2" t="s">
        <v>12</v>
      </c>
    </row>
    <row r="163" spans="1:11" ht="12.5" x14ac:dyDescent="0.25">
      <c r="A163" s="3" t="e">
        <f ca="1"/>
        <v>#NAME?</v>
      </c>
      <c r="B163" s="2" t="s">
        <v>12</v>
      </c>
      <c r="C163" s="2" t="s">
        <v>12</v>
      </c>
      <c r="D163" s="2" t="s">
        <v>12</v>
      </c>
      <c r="E163" s="2" t="s">
        <v>12</v>
      </c>
      <c r="F163" s="2" t="s">
        <v>12</v>
      </c>
      <c r="G163" s="2" t="s">
        <v>12</v>
      </c>
      <c r="H163" s="2" t="s">
        <v>12</v>
      </c>
      <c r="I163" s="2" t="s">
        <v>12</v>
      </c>
      <c r="J163" s="2" t="s">
        <v>12</v>
      </c>
      <c r="K163" s="2" t="s">
        <v>12</v>
      </c>
    </row>
    <row r="164" spans="1:11" ht="12.5" x14ac:dyDescent="0.25">
      <c r="A164" s="3" t="e">
        <f ca="1"/>
        <v>#NAME?</v>
      </c>
      <c r="B164" s="2" t="s">
        <v>12</v>
      </c>
      <c r="C164" s="2" t="s">
        <v>12</v>
      </c>
      <c r="D164" s="2" t="s">
        <v>12</v>
      </c>
      <c r="E164" s="2" t="s">
        <v>12</v>
      </c>
      <c r="F164" s="2" t="s">
        <v>12</v>
      </c>
      <c r="G164" s="2" t="s">
        <v>12</v>
      </c>
      <c r="H164" s="2" t="s">
        <v>12</v>
      </c>
      <c r="I164" s="2" t="s">
        <v>12</v>
      </c>
      <c r="J164" s="2" t="s">
        <v>12</v>
      </c>
      <c r="K164" s="2" t="s">
        <v>12</v>
      </c>
    </row>
    <row r="165" spans="1:11" ht="12.5" x14ac:dyDescent="0.25">
      <c r="A165" s="3" t="e">
        <f ca="1"/>
        <v>#NAME?</v>
      </c>
      <c r="B165" s="2" t="s">
        <v>12</v>
      </c>
      <c r="C165" s="2" t="s">
        <v>12</v>
      </c>
      <c r="D165" s="2" t="s">
        <v>12</v>
      </c>
      <c r="E165" s="2" t="s">
        <v>12</v>
      </c>
      <c r="F165" s="2" t="s">
        <v>12</v>
      </c>
      <c r="G165" s="2" t="s">
        <v>12</v>
      </c>
      <c r="H165" s="2" t="s">
        <v>12</v>
      </c>
      <c r="I165" s="2" t="s">
        <v>12</v>
      </c>
      <c r="J165" s="2" t="s">
        <v>12</v>
      </c>
      <c r="K165" s="2" t="s">
        <v>12</v>
      </c>
    </row>
    <row r="166" spans="1:11" ht="12.5" x14ac:dyDescent="0.25">
      <c r="A166" s="3" t="e">
        <f ca="1"/>
        <v>#NAME?</v>
      </c>
      <c r="B166" s="2" t="s">
        <v>12</v>
      </c>
      <c r="C166" s="2" t="s">
        <v>12</v>
      </c>
      <c r="D166" s="2" t="s">
        <v>12</v>
      </c>
      <c r="E166" s="2" t="s">
        <v>12</v>
      </c>
      <c r="F166" s="2" t="s">
        <v>12</v>
      </c>
      <c r="G166" s="2" t="s">
        <v>12</v>
      </c>
      <c r="H166" s="2" t="s">
        <v>12</v>
      </c>
      <c r="I166" s="2" t="s">
        <v>12</v>
      </c>
      <c r="J166" s="2" t="s">
        <v>12</v>
      </c>
      <c r="K166" s="2" t="s">
        <v>12</v>
      </c>
    </row>
    <row r="167" spans="1:11" ht="12.5" x14ac:dyDescent="0.25">
      <c r="A167" s="3" t="e">
        <f ca="1"/>
        <v>#NAME?</v>
      </c>
      <c r="B167" s="2" t="s">
        <v>12</v>
      </c>
      <c r="C167" s="2" t="s">
        <v>12</v>
      </c>
      <c r="D167" s="2" t="s">
        <v>12</v>
      </c>
      <c r="E167" s="2" t="s">
        <v>12</v>
      </c>
      <c r="F167" s="2" t="s">
        <v>12</v>
      </c>
      <c r="G167" s="2" t="s">
        <v>12</v>
      </c>
      <c r="H167" s="2" t="s">
        <v>12</v>
      </c>
      <c r="I167" s="2" t="s">
        <v>12</v>
      </c>
      <c r="J167" s="2" t="s">
        <v>12</v>
      </c>
      <c r="K167" s="2" t="s">
        <v>12</v>
      </c>
    </row>
    <row r="168" spans="1:11" ht="12.5" x14ac:dyDescent="0.25">
      <c r="A168" s="3" t="e">
        <f ca="1"/>
        <v>#NAME?</v>
      </c>
      <c r="B168" s="2" t="s">
        <v>12</v>
      </c>
      <c r="C168" s="2" t="s">
        <v>12</v>
      </c>
      <c r="D168" s="2" t="s">
        <v>12</v>
      </c>
      <c r="E168" s="2" t="s">
        <v>12</v>
      </c>
      <c r="F168" s="2" t="s">
        <v>12</v>
      </c>
      <c r="G168" s="2" t="s">
        <v>12</v>
      </c>
      <c r="H168" s="2" t="s">
        <v>12</v>
      </c>
      <c r="I168" s="2" t="s">
        <v>12</v>
      </c>
      <c r="J168" s="2" t="s">
        <v>12</v>
      </c>
      <c r="K168" s="2" t="s">
        <v>12</v>
      </c>
    </row>
    <row r="169" spans="1:11" ht="12.5" x14ac:dyDescent="0.25">
      <c r="A169" s="3" t="e">
        <f ca="1"/>
        <v>#NAME?</v>
      </c>
      <c r="B169" s="2" t="s">
        <v>12</v>
      </c>
      <c r="C169" s="2" t="s">
        <v>12</v>
      </c>
      <c r="D169" s="2" t="s">
        <v>12</v>
      </c>
      <c r="E169" s="2" t="s">
        <v>12</v>
      </c>
      <c r="F169" s="2" t="s">
        <v>12</v>
      </c>
      <c r="G169" s="2" t="s">
        <v>12</v>
      </c>
      <c r="H169" s="2" t="s">
        <v>12</v>
      </c>
      <c r="I169" s="2" t="s">
        <v>12</v>
      </c>
      <c r="J169" s="2" t="s">
        <v>12</v>
      </c>
      <c r="K169" s="2" t="s">
        <v>12</v>
      </c>
    </row>
    <row r="170" spans="1:11" ht="12.5" x14ac:dyDescent="0.25">
      <c r="A170" s="3" t="e">
        <f ca="1"/>
        <v>#NAME?</v>
      </c>
      <c r="B170" s="2" t="s">
        <v>12</v>
      </c>
      <c r="C170" s="2" t="s">
        <v>12</v>
      </c>
      <c r="D170" s="2" t="s">
        <v>12</v>
      </c>
      <c r="E170" s="2" t="s">
        <v>12</v>
      </c>
      <c r="F170" s="2" t="s">
        <v>12</v>
      </c>
      <c r="G170" s="2" t="s">
        <v>12</v>
      </c>
      <c r="H170" s="2" t="s">
        <v>12</v>
      </c>
      <c r="I170" s="2" t="s">
        <v>12</v>
      </c>
      <c r="J170" s="2" t="s">
        <v>12</v>
      </c>
      <c r="K170" s="2" t="s">
        <v>12</v>
      </c>
    </row>
    <row r="171" spans="1:11" ht="12.5" x14ac:dyDescent="0.25">
      <c r="A171" s="3" t="e">
        <f ca="1"/>
        <v>#NAME?</v>
      </c>
      <c r="B171" s="2" t="s">
        <v>12</v>
      </c>
      <c r="C171" s="2" t="s">
        <v>12</v>
      </c>
      <c r="D171" s="2" t="s">
        <v>12</v>
      </c>
      <c r="E171" s="2" t="s">
        <v>12</v>
      </c>
      <c r="F171" s="2" t="s">
        <v>12</v>
      </c>
      <c r="G171" s="2" t="s">
        <v>12</v>
      </c>
      <c r="H171" s="2" t="s">
        <v>12</v>
      </c>
      <c r="I171" s="2" t="s">
        <v>12</v>
      </c>
      <c r="J171" s="2" t="s">
        <v>12</v>
      </c>
      <c r="K171" s="2" t="s">
        <v>12</v>
      </c>
    </row>
    <row r="172" spans="1:11" ht="12.5" x14ac:dyDescent="0.25">
      <c r="A172" s="3" t="e">
        <f ca="1"/>
        <v>#NAME?</v>
      </c>
      <c r="B172" s="2" t="s">
        <v>12</v>
      </c>
      <c r="C172" s="2" t="s">
        <v>12</v>
      </c>
      <c r="D172" s="2" t="s">
        <v>12</v>
      </c>
      <c r="E172" s="2" t="s">
        <v>12</v>
      </c>
      <c r="F172" s="2" t="s">
        <v>12</v>
      </c>
      <c r="G172" s="2" t="s">
        <v>12</v>
      </c>
      <c r="H172" s="2" t="s">
        <v>12</v>
      </c>
      <c r="I172" s="2" t="s">
        <v>12</v>
      </c>
      <c r="J172" s="2" t="s">
        <v>12</v>
      </c>
      <c r="K172" s="2" t="s">
        <v>12</v>
      </c>
    </row>
    <row r="173" spans="1:11" ht="12.5" x14ac:dyDescent="0.25">
      <c r="A173" s="3" t="e">
        <f ca="1"/>
        <v>#NAME?</v>
      </c>
      <c r="B173" s="2" t="s">
        <v>12</v>
      </c>
      <c r="C173" s="2" t="s">
        <v>12</v>
      </c>
      <c r="D173" s="2" t="s">
        <v>12</v>
      </c>
      <c r="E173" s="2" t="s">
        <v>12</v>
      </c>
      <c r="F173" s="2" t="s">
        <v>12</v>
      </c>
      <c r="G173" s="2" t="s">
        <v>12</v>
      </c>
      <c r="H173" s="2" t="s">
        <v>12</v>
      </c>
      <c r="I173" s="2" t="s">
        <v>12</v>
      </c>
      <c r="J173" s="2" t="s">
        <v>12</v>
      </c>
      <c r="K173" s="2" t="s">
        <v>12</v>
      </c>
    </row>
    <row r="174" spans="1:11" ht="12.5" x14ac:dyDescent="0.25">
      <c r="A174" s="3" t="e">
        <f ca="1"/>
        <v>#NAME?</v>
      </c>
      <c r="B174" s="2" t="s">
        <v>12</v>
      </c>
      <c r="C174" s="2" t="s">
        <v>12</v>
      </c>
      <c r="D174" s="2" t="s">
        <v>12</v>
      </c>
      <c r="E174" s="2" t="s">
        <v>12</v>
      </c>
      <c r="F174" s="2" t="s">
        <v>12</v>
      </c>
      <c r="G174" s="2" t="s">
        <v>12</v>
      </c>
      <c r="H174" s="2" t="s">
        <v>12</v>
      </c>
      <c r="I174" s="2" t="s">
        <v>12</v>
      </c>
      <c r="J174" s="2" t="s">
        <v>12</v>
      </c>
      <c r="K174" s="2" t="s">
        <v>12</v>
      </c>
    </row>
    <row r="175" spans="1:11" ht="12.5" x14ac:dyDescent="0.25">
      <c r="A175" s="3" t="e">
        <f ca="1"/>
        <v>#NAME?</v>
      </c>
      <c r="B175" s="2" t="s">
        <v>12</v>
      </c>
      <c r="C175" s="2" t="s">
        <v>12</v>
      </c>
      <c r="D175" s="2" t="s">
        <v>12</v>
      </c>
      <c r="E175" s="2" t="s">
        <v>12</v>
      </c>
      <c r="F175" s="2" t="s">
        <v>12</v>
      </c>
      <c r="G175" s="2" t="s">
        <v>12</v>
      </c>
      <c r="H175" s="2" t="s">
        <v>12</v>
      </c>
      <c r="I175" s="2" t="s">
        <v>12</v>
      </c>
      <c r="J175" s="2" t="s">
        <v>12</v>
      </c>
      <c r="K175" s="2" t="s">
        <v>12</v>
      </c>
    </row>
    <row r="176" spans="1:11" ht="12.5" x14ac:dyDescent="0.25">
      <c r="A176" s="3" t="e">
        <f ca="1"/>
        <v>#NAME?</v>
      </c>
      <c r="B176" s="2" t="s">
        <v>12</v>
      </c>
      <c r="C176" s="2" t="s">
        <v>12</v>
      </c>
      <c r="D176" s="2" t="s">
        <v>12</v>
      </c>
      <c r="E176" s="2" t="s">
        <v>12</v>
      </c>
      <c r="F176" s="2" t="s">
        <v>12</v>
      </c>
      <c r="G176" s="2" t="s">
        <v>12</v>
      </c>
      <c r="H176" s="2" t="s">
        <v>12</v>
      </c>
      <c r="I176" s="2" t="s">
        <v>12</v>
      </c>
      <c r="J176" s="2" t="s">
        <v>12</v>
      </c>
      <c r="K176" s="2" t="s">
        <v>12</v>
      </c>
    </row>
    <row r="177" spans="1:11" ht="12.5" x14ac:dyDescent="0.25">
      <c r="A177" s="3" t="e">
        <f ca="1"/>
        <v>#NAME?</v>
      </c>
      <c r="B177" s="2" t="s">
        <v>12</v>
      </c>
      <c r="C177" s="2" t="s">
        <v>12</v>
      </c>
      <c r="D177" s="2" t="s">
        <v>12</v>
      </c>
      <c r="E177" s="2" t="s">
        <v>12</v>
      </c>
      <c r="F177" s="2" t="s">
        <v>12</v>
      </c>
      <c r="G177" s="2" t="s">
        <v>12</v>
      </c>
      <c r="H177" s="2" t="s">
        <v>12</v>
      </c>
      <c r="I177" s="2" t="s">
        <v>12</v>
      </c>
      <c r="J177" s="2" t="s">
        <v>12</v>
      </c>
      <c r="K177" s="2" t="s">
        <v>12</v>
      </c>
    </row>
    <row r="178" spans="1:11" ht="12.5" x14ac:dyDescent="0.25">
      <c r="A178" s="3" t="e">
        <f ca="1"/>
        <v>#NAME?</v>
      </c>
      <c r="B178" s="2" t="s">
        <v>12</v>
      </c>
      <c r="C178" s="2" t="s">
        <v>12</v>
      </c>
      <c r="D178" s="2" t="s">
        <v>12</v>
      </c>
      <c r="E178" s="2" t="s">
        <v>12</v>
      </c>
      <c r="F178" s="2" t="s">
        <v>12</v>
      </c>
      <c r="G178" s="2" t="s">
        <v>12</v>
      </c>
      <c r="H178" s="2" t="s">
        <v>12</v>
      </c>
      <c r="I178" s="2" t="s">
        <v>12</v>
      </c>
      <c r="J178" s="2" t="s">
        <v>12</v>
      </c>
      <c r="K178" s="2" t="s">
        <v>12</v>
      </c>
    </row>
    <row r="179" spans="1:11" ht="12.5" x14ac:dyDescent="0.25">
      <c r="A179" s="3" t="e">
        <f ca="1"/>
        <v>#NAME?</v>
      </c>
      <c r="B179" s="2" t="s">
        <v>12</v>
      </c>
      <c r="C179" s="2" t="s">
        <v>12</v>
      </c>
      <c r="D179" s="2" t="s">
        <v>12</v>
      </c>
      <c r="E179" s="2" t="s">
        <v>12</v>
      </c>
      <c r="F179" s="2" t="s">
        <v>12</v>
      </c>
      <c r="G179" s="2" t="s">
        <v>12</v>
      </c>
      <c r="H179" s="2" t="s">
        <v>12</v>
      </c>
      <c r="I179" s="2" t="s">
        <v>12</v>
      </c>
      <c r="J179" s="2" t="s">
        <v>12</v>
      </c>
      <c r="K179" s="2" t="s">
        <v>12</v>
      </c>
    </row>
    <row r="180" spans="1:11" ht="12.5" x14ac:dyDescent="0.25">
      <c r="A180" s="3" t="e">
        <f ca="1"/>
        <v>#NAME?</v>
      </c>
      <c r="B180" s="2" t="s">
        <v>12</v>
      </c>
      <c r="C180" s="2" t="s">
        <v>12</v>
      </c>
      <c r="D180" s="2" t="s">
        <v>12</v>
      </c>
      <c r="E180" s="2" t="s">
        <v>12</v>
      </c>
      <c r="F180" s="2" t="s">
        <v>12</v>
      </c>
      <c r="G180" s="2" t="s">
        <v>12</v>
      </c>
      <c r="H180" s="2" t="s">
        <v>12</v>
      </c>
      <c r="I180" s="2" t="s">
        <v>12</v>
      </c>
      <c r="J180" s="2" t="s">
        <v>12</v>
      </c>
      <c r="K180" s="2" t="s">
        <v>12</v>
      </c>
    </row>
    <row r="181" spans="1:11" ht="12.5" x14ac:dyDescent="0.25">
      <c r="A181" s="3" t="e">
        <f ca="1"/>
        <v>#NAME?</v>
      </c>
      <c r="B181" s="2" t="s">
        <v>12</v>
      </c>
      <c r="C181" s="2" t="s">
        <v>12</v>
      </c>
      <c r="D181" s="2" t="s">
        <v>12</v>
      </c>
      <c r="E181" s="2" t="s">
        <v>12</v>
      </c>
      <c r="F181" s="2" t="s">
        <v>12</v>
      </c>
      <c r="G181" s="2" t="s">
        <v>12</v>
      </c>
      <c r="H181" s="2" t="s">
        <v>12</v>
      </c>
      <c r="I181" s="2" t="s">
        <v>12</v>
      </c>
      <c r="J181" s="2" t="s">
        <v>12</v>
      </c>
      <c r="K181" s="2" t="s">
        <v>12</v>
      </c>
    </row>
    <row r="182" spans="1:11" ht="12.5" x14ac:dyDescent="0.25">
      <c r="A182" s="3" t="e">
        <f ca="1"/>
        <v>#NAME?</v>
      </c>
      <c r="B182" s="2" t="s">
        <v>12</v>
      </c>
      <c r="C182" s="2" t="s">
        <v>12</v>
      </c>
      <c r="D182" s="2" t="s">
        <v>12</v>
      </c>
      <c r="E182" s="2" t="s">
        <v>12</v>
      </c>
      <c r="F182" s="2" t="s">
        <v>12</v>
      </c>
      <c r="G182" s="2" t="s">
        <v>12</v>
      </c>
      <c r="H182" s="2" t="s">
        <v>12</v>
      </c>
      <c r="I182" s="2" t="s">
        <v>12</v>
      </c>
      <c r="J182" s="2" t="s">
        <v>12</v>
      </c>
      <c r="K182" s="2" t="s">
        <v>12</v>
      </c>
    </row>
    <row r="183" spans="1:11" ht="12.5" x14ac:dyDescent="0.25">
      <c r="A183" s="3" t="e">
        <f ca="1"/>
        <v>#NAME?</v>
      </c>
      <c r="B183" s="2" t="s">
        <v>12</v>
      </c>
      <c r="C183" s="2" t="s">
        <v>12</v>
      </c>
      <c r="D183" s="2" t="s">
        <v>12</v>
      </c>
      <c r="E183" s="2" t="s">
        <v>12</v>
      </c>
      <c r="F183" s="2" t="s">
        <v>12</v>
      </c>
      <c r="G183" s="2" t="s">
        <v>12</v>
      </c>
      <c r="H183" s="2" t="s">
        <v>12</v>
      </c>
      <c r="I183" s="2" t="s">
        <v>12</v>
      </c>
      <c r="J183" s="2" t="s">
        <v>12</v>
      </c>
      <c r="K183" s="2" t="s">
        <v>12</v>
      </c>
    </row>
    <row r="184" spans="1:11" ht="12.5" x14ac:dyDescent="0.25">
      <c r="A184" s="3" t="e">
        <f ca="1"/>
        <v>#NAME?</v>
      </c>
      <c r="B184" s="2" t="s">
        <v>12</v>
      </c>
      <c r="C184" s="2" t="s">
        <v>12</v>
      </c>
      <c r="D184" s="2" t="s">
        <v>12</v>
      </c>
      <c r="E184" s="2" t="s">
        <v>12</v>
      </c>
      <c r="F184" s="2" t="s">
        <v>12</v>
      </c>
      <c r="G184" s="2" t="s">
        <v>12</v>
      </c>
      <c r="H184" s="2" t="s">
        <v>12</v>
      </c>
      <c r="I184" s="2" t="s">
        <v>12</v>
      </c>
      <c r="J184" s="2" t="s">
        <v>12</v>
      </c>
      <c r="K184" s="2" t="s">
        <v>12</v>
      </c>
    </row>
    <row r="185" spans="1:11" ht="12.5" x14ac:dyDescent="0.25">
      <c r="A185" s="3" t="e">
        <f ca="1"/>
        <v>#NAME?</v>
      </c>
      <c r="B185" s="2" t="s">
        <v>12</v>
      </c>
      <c r="C185" s="2" t="s">
        <v>12</v>
      </c>
      <c r="D185" s="2" t="s">
        <v>12</v>
      </c>
      <c r="E185" s="2" t="s">
        <v>12</v>
      </c>
      <c r="F185" s="2" t="s">
        <v>12</v>
      </c>
      <c r="G185" s="2" t="s">
        <v>12</v>
      </c>
      <c r="H185" s="2" t="s">
        <v>12</v>
      </c>
      <c r="I185" s="2" t="s">
        <v>12</v>
      </c>
      <c r="J185" s="2" t="s">
        <v>12</v>
      </c>
      <c r="K185" s="2" t="s">
        <v>12</v>
      </c>
    </row>
    <row r="186" spans="1:11" ht="12.5" x14ac:dyDescent="0.25">
      <c r="A186" s="3" t="e">
        <f ca="1"/>
        <v>#NAME?</v>
      </c>
      <c r="B186" s="2" t="s">
        <v>12</v>
      </c>
      <c r="C186" s="2" t="s">
        <v>12</v>
      </c>
      <c r="D186" s="2" t="s">
        <v>12</v>
      </c>
      <c r="E186" s="2" t="s">
        <v>12</v>
      </c>
      <c r="F186" s="2" t="s">
        <v>12</v>
      </c>
      <c r="G186" s="2" t="s">
        <v>12</v>
      </c>
      <c r="H186" s="2" t="s">
        <v>12</v>
      </c>
      <c r="I186" s="2" t="s">
        <v>12</v>
      </c>
      <c r="J186" s="2" t="s">
        <v>12</v>
      </c>
      <c r="K186" s="2" t="s">
        <v>12</v>
      </c>
    </row>
    <row r="187" spans="1:11" ht="12.5" x14ac:dyDescent="0.25">
      <c r="A187" s="3" t="e">
        <f ca="1"/>
        <v>#NAME?</v>
      </c>
      <c r="B187" s="2" t="s">
        <v>12</v>
      </c>
      <c r="C187" s="2" t="s">
        <v>12</v>
      </c>
      <c r="D187" s="2" t="s">
        <v>12</v>
      </c>
      <c r="E187" s="2" t="s">
        <v>12</v>
      </c>
      <c r="F187" s="2" t="s">
        <v>12</v>
      </c>
      <c r="G187" s="2" t="s">
        <v>12</v>
      </c>
      <c r="H187" s="2" t="s">
        <v>12</v>
      </c>
      <c r="I187" s="2" t="s">
        <v>12</v>
      </c>
      <c r="J187" s="2" t="s">
        <v>12</v>
      </c>
      <c r="K187" s="2" t="s">
        <v>12</v>
      </c>
    </row>
    <row r="188" spans="1:11" ht="12.5" x14ac:dyDescent="0.25">
      <c r="A188" s="3" t="e">
        <f ca="1"/>
        <v>#NAME?</v>
      </c>
      <c r="B188" s="2" t="s">
        <v>12</v>
      </c>
      <c r="C188" s="2" t="s">
        <v>12</v>
      </c>
      <c r="D188" s="2" t="s">
        <v>12</v>
      </c>
      <c r="E188" s="2" t="s">
        <v>12</v>
      </c>
      <c r="F188" s="2" t="s">
        <v>12</v>
      </c>
      <c r="G188" s="2" t="s">
        <v>12</v>
      </c>
      <c r="H188" s="2" t="s">
        <v>12</v>
      </c>
      <c r="I188" s="2" t="s">
        <v>12</v>
      </c>
      <c r="J188" s="2" t="s">
        <v>12</v>
      </c>
      <c r="K188" s="2" t="s">
        <v>12</v>
      </c>
    </row>
    <row r="189" spans="1:11" ht="12.5" x14ac:dyDescent="0.25">
      <c r="A189" s="3" t="e">
        <f ca="1"/>
        <v>#NAME?</v>
      </c>
      <c r="B189" s="2" t="s">
        <v>12</v>
      </c>
      <c r="C189" s="2" t="s">
        <v>12</v>
      </c>
      <c r="D189" s="2" t="s">
        <v>12</v>
      </c>
      <c r="E189" s="2" t="s">
        <v>12</v>
      </c>
      <c r="F189" s="2" t="s">
        <v>12</v>
      </c>
      <c r="G189" s="2" t="s">
        <v>12</v>
      </c>
      <c r="H189" s="2" t="s">
        <v>12</v>
      </c>
      <c r="I189" s="2" t="s">
        <v>12</v>
      </c>
      <c r="J189" s="2" t="s">
        <v>12</v>
      </c>
      <c r="K189" s="2" t="s">
        <v>12</v>
      </c>
    </row>
    <row r="190" spans="1:11" ht="12.5" x14ac:dyDescent="0.25">
      <c r="A190" s="3" t="e">
        <f ca="1"/>
        <v>#NAME?</v>
      </c>
      <c r="B190" s="2" t="s">
        <v>12</v>
      </c>
      <c r="C190" s="2" t="s">
        <v>12</v>
      </c>
      <c r="D190" s="2" t="s">
        <v>12</v>
      </c>
      <c r="E190" s="2" t="s">
        <v>12</v>
      </c>
      <c r="F190" s="2" t="s">
        <v>12</v>
      </c>
      <c r="G190" s="2" t="s">
        <v>12</v>
      </c>
      <c r="H190" s="2" t="s">
        <v>12</v>
      </c>
      <c r="I190" s="2" t="s">
        <v>12</v>
      </c>
      <c r="J190" s="2" t="s">
        <v>12</v>
      </c>
      <c r="K190" s="2" t="s">
        <v>12</v>
      </c>
    </row>
    <row r="191" spans="1:11" ht="12.5" x14ac:dyDescent="0.25">
      <c r="A191" s="3" t="e">
        <f ca="1"/>
        <v>#NAME?</v>
      </c>
      <c r="B191" s="2" t="s">
        <v>12</v>
      </c>
      <c r="C191" s="2" t="s">
        <v>12</v>
      </c>
      <c r="D191" s="2" t="s">
        <v>12</v>
      </c>
      <c r="E191" s="2" t="s">
        <v>12</v>
      </c>
      <c r="F191" s="2" t="s">
        <v>12</v>
      </c>
      <c r="G191" s="2" t="s">
        <v>12</v>
      </c>
      <c r="H191" s="2" t="s">
        <v>12</v>
      </c>
      <c r="I191" s="2" t="s">
        <v>12</v>
      </c>
      <c r="J191" s="2" t="s">
        <v>12</v>
      </c>
      <c r="K191" s="2" t="s">
        <v>12</v>
      </c>
    </row>
    <row r="192" spans="1:11" ht="12.5" x14ac:dyDescent="0.25">
      <c r="A192" s="3" t="e">
        <f ca="1"/>
        <v>#NAME?</v>
      </c>
      <c r="B192" s="2" t="s">
        <v>12</v>
      </c>
      <c r="C192" s="2" t="s">
        <v>12</v>
      </c>
      <c r="D192" s="2" t="s">
        <v>12</v>
      </c>
      <c r="E192" s="2" t="s">
        <v>12</v>
      </c>
      <c r="F192" s="2" t="s">
        <v>12</v>
      </c>
      <c r="G192" s="2" t="s">
        <v>12</v>
      </c>
      <c r="H192" s="2" t="s">
        <v>12</v>
      </c>
      <c r="I192" s="2" t="s">
        <v>12</v>
      </c>
      <c r="J192" s="2" t="s">
        <v>12</v>
      </c>
      <c r="K192" s="2" t="s">
        <v>12</v>
      </c>
    </row>
    <row r="193" spans="1:11" ht="12.5" x14ac:dyDescent="0.25">
      <c r="A193" s="3" t="e">
        <f ca="1"/>
        <v>#NAME?</v>
      </c>
      <c r="B193" s="2" t="s">
        <v>12</v>
      </c>
      <c r="C193" s="2" t="s">
        <v>12</v>
      </c>
      <c r="D193" s="2" t="s">
        <v>12</v>
      </c>
      <c r="E193" s="2" t="s">
        <v>12</v>
      </c>
      <c r="F193" s="2" t="s">
        <v>12</v>
      </c>
      <c r="G193" s="2" t="s">
        <v>12</v>
      </c>
      <c r="H193" s="2" t="s">
        <v>12</v>
      </c>
      <c r="I193" s="2" t="s">
        <v>12</v>
      </c>
      <c r="J193" s="2" t="s">
        <v>12</v>
      </c>
      <c r="K193" s="2" t="s">
        <v>12</v>
      </c>
    </row>
    <row r="194" spans="1:11" ht="12.5" x14ac:dyDescent="0.25">
      <c r="A194" s="3" t="e">
        <f ca="1"/>
        <v>#NAME?</v>
      </c>
      <c r="B194" s="2" t="s">
        <v>12</v>
      </c>
      <c r="C194" s="2" t="s">
        <v>12</v>
      </c>
      <c r="D194" s="2" t="s">
        <v>12</v>
      </c>
      <c r="E194" s="2" t="s">
        <v>12</v>
      </c>
      <c r="F194" s="2" t="s">
        <v>12</v>
      </c>
      <c r="G194" s="2" t="s">
        <v>12</v>
      </c>
      <c r="H194" s="2" t="s">
        <v>12</v>
      </c>
      <c r="I194" s="2" t="s">
        <v>12</v>
      </c>
      <c r="J194" s="2" t="s">
        <v>12</v>
      </c>
      <c r="K194" s="2" t="s">
        <v>12</v>
      </c>
    </row>
    <row r="195" spans="1:11" ht="12.5" x14ac:dyDescent="0.25">
      <c r="A195" s="3" t="e">
        <f ca="1"/>
        <v>#NAME?</v>
      </c>
      <c r="B195" s="2" t="s">
        <v>12</v>
      </c>
      <c r="C195" s="2" t="s">
        <v>12</v>
      </c>
      <c r="D195" s="2" t="s">
        <v>12</v>
      </c>
      <c r="E195" s="2" t="s">
        <v>12</v>
      </c>
      <c r="F195" s="2" t="s">
        <v>12</v>
      </c>
      <c r="G195" s="2" t="s">
        <v>12</v>
      </c>
      <c r="H195" s="2" t="s">
        <v>12</v>
      </c>
      <c r="I195" s="2" t="s">
        <v>12</v>
      </c>
      <c r="J195" s="2" t="s">
        <v>12</v>
      </c>
      <c r="K195" s="2" t="s">
        <v>12</v>
      </c>
    </row>
    <row r="196" spans="1:11" ht="12.5" x14ac:dyDescent="0.25">
      <c r="A196" s="3" t="e">
        <f ca="1"/>
        <v>#NAME?</v>
      </c>
      <c r="B196" s="2" t="s">
        <v>12</v>
      </c>
      <c r="C196" s="2" t="s">
        <v>12</v>
      </c>
      <c r="D196" s="2" t="s">
        <v>12</v>
      </c>
      <c r="E196" s="2" t="s">
        <v>12</v>
      </c>
      <c r="F196" s="2" t="s">
        <v>12</v>
      </c>
      <c r="G196" s="2" t="s">
        <v>12</v>
      </c>
      <c r="H196" s="2" t="s">
        <v>12</v>
      </c>
      <c r="I196" s="2" t="s">
        <v>12</v>
      </c>
      <c r="J196" s="2" t="s">
        <v>12</v>
      </c>
      <c r="K196" s="2" t="s">
        <v>12</v>
      </c>
    </row>
    <row r="197" spans="1:11" ht="12.5" x14ac:dyDescent="0.25">
      <c r="A197" s="3" t="e">
        <f ca="1"/>
        <v>#NAME?</v>
      </c>
      <c r="B197" s="2" t="s">
        <v>12</v>
      </c>
      <c r="C197" s="2" t="s">
        <v>12</v>
      </c>
      <c r="D197" s="2" t="s">
        <v>12</v>
      </c>
      <c r="E197" s="2" t="s">
        <v>12</v>
      </c>
      <c r="F197" s="2" t="s">
        <v>12</v>
      </c>
      <c r="G197" s="2" t="s">
        <v>12</v>
      </c>
      <c r="H197" s="2" t="s">
        <v>12</v>
      </c>
      <c r="I197" s="2" t="s">
        <v>12</v>
      </c>
      <c r="J197" s="2" t="s">
        <v>12</v>
      </c>
      <c r="K197" s="2" t="s">
        <v>12</v>
      </c>
    </row>
    <row r="198" spans="1:11" ht="12.5" x14ac:dyDescent="0.25">
      <c r="A198" s="3" t="e">
        <f ca="1"/>
        <v>#NAME?</v>
      </c>
      <c r="B198" s="2" t="s">
        <v>12</v>
      </c>
      <c r="C198" s="2" t="s">
        <v>12</v>
      </c>
      <c r="D198" s="2" t="s">
        <v>12</v>
      </c>
      <c r="E198" s="2" t="s">
        <v>12</v>
      </c>
      <c r="F198" s="2" t="s">
        <v>12</v>
      </c>
      <c r="G198" s="2" t="s">
        <v>12</v>
      </c>
      <c r="H198" s="2" t="s">
        <v>12</v>
      </c>
      <c r="I198" s="2" t="s">
        <v>12</v>
      </c>
      <c r="J198" s="2" t="s">
        <v>12</v>
      </c>
      <c r="K198" s="2" t="s">
        <v>12</v>
      </c>
    </row>
    <row r="199" spans="1:11" ht="12.5" x14ac:dyDescent="0.25">
      <c r="A199" s="3" t="e">
        <f ca="1"/>
        <v>#NAME?</v>
      </c>
      <c r="B199" s="2" t="s">
        <v>12</v>
      </c>
      <c r="C199" s="2" t="s">
        <v>12</v>
      </c>
      <c r="D199" s="2" t="s">
        <v>12</v>
      </c>
      <c r="E199" s="2" t="s">
        <v>12</v>
      </c>
      <c r="F199" s="2" t="s">
        <v>12</v>
      </c>
      <c r="G199" s="2" t="s">
        <v>12</v>
      </c>
      <c r="H199" s="2" t="s">
        <v>12</v>
      </c>
      <c r="I199" s="2" t="s">
        <v>12</v>
      </c>
      <c r="J199" s="2" t="s">
        <v>12</v>
      </c>
      <c r="K199" s="2" t="s">
        <v>12</v>
      </c>
    </row>
    <row r="200" spans="1:11" ht="12.5" x14ac:dyDescent="0.25">
      <c r="A200" s="3" t="e">
        <f ca="1"/>
        <v>#NAME?</v>
      </c>
      <c r="B200" s="2" t="s">
        <v>12</v>
      </c>
      <c r="C200" s="2" t="s">
        <v>12</v>
      </c>
      <c r="D200" s="2" t="s">
        <v>12</v>
      </c>
      <c r="E200" s="2" t="s">
        <v>12</v>
      </c>
      <c r="F200" s="2" t="s">
        <v>12</v>
      </c>
      <c r="G200" s="2" t="s">
        <v>12</v>
      </c>
      <c r="H200" s="2" t="s">
        <v>12</v>
      </c>
      <c r="I200" s="2" t="s">
        <v>12</v>
      </c>
      <c r="J200" s="2" t="s">
        <v>12</v>
      </c>
      <c r="K200" s="2" t="s">
        <v>12</v>
      </c>
    </row>
    <row r="201" spans="1:11" ht="12.5" x14ac:dyDescent="0.25">
      <c r="A201" s="3" t="e">
        <f ca="1"/>
        <v>#NAME?</v>
      </c>
      <c r="B201" s="2" t="s">
        <v>12</v>
      </c>
      <c r="C201" s="2" t="s">
        <v>12</v>
      </c>
      <c r="D201" s="2" t="s">
        <v>12</v>
      </c>
      <c r="E201" s="2" t="s">
        <v>12</v>
      </c>
      <c r="F201" s="2" t="s">
        <v>12</v>
      </c>
      <c r="G201" s="2" t="s">
        <v>12</v>
      </c>
      <c r="H201" s="2" t="s">
        <v>12</v>
      </c>
      <c r="I201" s="2" t="s">
        <v>12</v>
      </c>
      <c r="J201" s="2" t="s">
        <v>12</v>
      </c>
      <c r="K201" s="2" t="s">
        <v>12</v>
      </c>
    </row>
    <row r="202" spans="1:11" ht="12.5" x14ac:dyDescent="0.25">
      <c r="A202" s="3" t="e">
        <f ca="1"/>
        <v>#NAME?</v>
      </c>
      <c r="B202" s="2" t="s">
        <v>12</v>
      </c>
      <c r="C202" s="2" t="s">
        <v>12</v>
      </c>
      <c r="D202" s="2" t="s">
        <v>12</v>
      </c>
      <c r="E202" s="2" t="s">
        <v>12</v>
      </c>
      <c r="F202" s="2" t="s">
        <v>12</v>
      </c>
      <c r="G202" s="2" t="s">
        <v>12</v>
      </c>
      <c r="H202" s="2" t="s">
        <v>12</v>
      </c>
      <c r="I202" s="2" t="s">
        <v>12</v>
      </c>
      <c r="J202" s="2" t="s">
        <v>12</v>
      </c>
      <c r="K202" s="2" t="s">
        <v>12</v>
      </c>
    </row>
    <row r="203" spans="1:11" ht="12.5" x14ac:dyDescent="0.25">
      <c r="A203" s="3" t="e">
        <f ca="1"/>
        <v>#NAME?</v>
      </c>
      <c r="B203" s="2" t="s">
        <v>12</v>
      </c>
      <c r="C203" s="2" t="s">
        <v>12</v>
      </c>
      <c r="D203" s="2" t="s">
        <v>12</v>
      </c>
      <c r="E203" s="2" t="s">
        <v>12</v>
      </c>
      <c r="F203" s="2" t="s">
        <v>12</v>
      </c>
      <c r="G203" s="2" t="s">
        <v>12</v>
      </c>
      <c r="H203" s="2" t="s">
        <v>12</v>
      </c>
      <c r="I203" s="2" t="s">
        <v>12</v>
      </c>
      <c r="J203" s="2" t="s">
        <v>12</v>
      </c>
      <c r="K203" s="2" t="s">
        <v>12</v>
      </c>
    </row>
    <row r="204" spans="1:11" ht="12.5" x14ac:dyDescent="0.25">
      <c r="A204" s="3" t="e">
        <f ca="1"/>
        <v>#NAME?</v>
      </c>
      <c r="B204" s="2" t="s">
        <v>12</v>
      </c>
      <c r="C204" s="2" t="s">
        <v>12</v>
      </c>
      <c r="D204" s="2" t="s">
        <v>12</v>
      </c>
      <c r="E204" s="2" t="s">
        <v>12</v>
      </c>
      <c r="F204" s="2" t="s">
        <v>12</v>
      </c>
      <c r="G204" s="2" t="s">
        <v>12</v>
      </c>
      <c r="H204" s="2" t="s">
        <v>12</v>
      </c>
      <c r="I204" s="2" t="s">
        <v>12</v>
      </c>
      <c r="J204" s="2" t="s">
        <v>12</v>
      </c>
      <c r="K204" s="2" t="s">
        <v>12</v>
      </c>
    </row>
    <row r="205" spans="1:11" ht="12.5" x14ac:dyDescent="0.25">
      <c r="A205" s="3" t="e">
        <f ca="1"/>
        <v>#NAME?</v>
      </c>
      <c r="B205" s="2" t="s">
        <v>12</v>
      </c>
      <c r="C205" s="2" t="s">
        <v>12</v>
      </c>
      <c r="D205" s="2" t="s">
        <v>12</v>
      </c>
      <c r="E205" s="2" t="s">
        <v>12</v>
      </c>
      <c r="F205" s="2" t="s">
        <v>12</v>
      </c>
      <c r="G205" s="2" t="s">
        <v>12</v>
      </c>
      <c r="H205" s="2" t="s">
        <v>12</v>
      </c>
      <c r="I205" s="2" t="s">
        <v>12</v>
      </c>
      <c r="J205" s="2" t="s">
        <v>12</v>
      </c>
      <c r="K205" s="2" t="s">
        <v>12</v>
      </c>
    </row>
    <row r="206" spans="1:11" ht="12.5" x14ac:dyDescent="0.25">
      <c r="A206" s="3" t="e">
        <f ca="1"/>
        <v>#NAME?</v>
      </c>
      <c r="B206" s="2" t="s">
        <v>12</v>
      </c>
      <c r="C206" s="2" t="s">
        <v>12</v>
      </c>
      <c r="D206" s="2" t="s">
        <v>12</v>
      </c>
      <c r="E206" s="2" t="s">
        <v>12</v>
      </c>
      <c r="F206" s="2" t="s">
        <v>12</v>
      </c>
      <c r="G206" s="2" t="s">
        <v>12</v>
      </c>
      <c r="H206" s="2" t="s">
        <v>12</v>
      </c>
      <c r="I206" s="2" t="s">
        <v>12</v>
      </c>
      <c r="J206" s="2" t="s">
        <v>12</v>
      </c>
      <c r="K206" s="2" t="s">
        <v>12</v>
      </c>
    </row>
    <row r="207" spans="1:11" ht="12.5" x14ac:dyDescent="0.25">
      <c r="A207" s="3" t="e">
        <f ca="1"/>
        <v>#NAME?</v>
      </c>
      <c r="B207" s="2" t="s">
        <v>12</v>
      </c>
      <c r="C207" s="2" t="s">
        <v>12</v>
      </c>
      <c r="D207" s="2" t="s">
        <v>12</v>
      </c>
      <c r="E207" s="2" t="s">
        <v>12</v>
      </c>
      <c r="F207" s="2" t="s">
        <v>12</v>
      </c>
      <c r="G207" s="2" t="s">
        <v>12</v>
      </c>
      <c r="H207" s="2" t="s">
        <v>12</v>
      </c>
      <c r="I207" s="2" t="s">
        <v>12</v>
      </c>
      <c r="J207" s="2" t="s">
        <v>12</v>
      </c>
      <c r="K207" s="2" t="s">
        <v>12</v>
      </c>
    </row>
    <row r="208" spans="1:11" ht="12.5" x14ac:dyDescent="0.25">
      <c r="A208" s="3" t="e">
        <f ca="1"/>
        <v>#NAME?</v>
      </c>
      <c r="B208" s="2" t="s">
        <v>12</v>
      </c>
      <c r="C208" s="2" t="s">
        <v>12</v>
      </c>
      <c r="D208" s="2" t="s">
        <v>12</v>
      </c>
      <c r="E208" s="2" t="s">
        <v>12</v>
      </c>
      <c r="F208" s="2" t="s">
        <v>12</v>
      </c>
      <c r="G208" s="2" t="s">
        <v>12</v>
      </c>
      <c r="H208" s="2" t="s">
        <v>12</v>
      </c>
      <c r="I208" s="2" t="s">
        <v>12</v>
      </c>
      <c r="J208" s="2" t="s">
        <v>12</v>
      </c>
      <c r="K208" s="2" t="s">
        <v>12</v>
      </c>
    </row>
    <row r="209" spans="1:11" ht="12.5" x14ac:dyDescent="0.25">
      <c r="A209" s="3" t="e">
        <f ca="1"/>
        <v>#NAME?</v>
      </c>
      <c r="B209" s="2" t="s">
        <v>12</v>
      </c>
      <c r="C209" s="2" t="s">
        <v>12</v>
      </c>
      <c r="D209" s="2" t="s">
        <v>12</v>
      </c>
      <c r="E209" s="2" t="s">
        <v>12</v>
      </c>
      <c r="F209" s="2" t="s">
        <v>12</v>
      </c>
      <c r="G209" s="2" t="s">
        <v>12</v>
      </c>
      <c r="H209" s="2" t="s">
        <v>12</v>
      </c>
      <c r="I209" s="2" t="s">
        <v>12</v>
      </c>
      <c r="J209" s="2" t="s">
        <v>12</v>
      </c>
      <c r="K209" s="2" t="s">
        <v>12</v>
      </c>
    </row>
    <row r="210" spans="1:11" ht="12.5" x14ac:dyDescent="0.25">
      <c r="A210" s="3" t="e">
        <f ca="1"/>
        <v>#NAME?</v>
      </c>
      <c r="B210" s="2" t="s">
        <v>12</v>
      </c>
      <c r="C210" s="2" t="s">
        <v>12</v>
      </c>
      <c r="D210" s="2" t="s">
        <v>12</v>
      </c>
      <c r="E210" s="2" t="s">
        <v>12</v>
      </c>
      <c r="F210" s="2" t="s">
        <v>12</v>
      </c>
      <c r="G210" s="2" t="s">
        <v>12</v>
      </c>
      <c r="H210" s="2" t="s">
        <v>12</v>
      </c>
      <c r="I210" s="2" t="s">
        <v>12</v>
      </c>
      <c r="J210" s="2" t="s">
        <v>12</v>
      </c>
      <c r="K210" s="2" t="s">
        <v>12</v>
      </c>
    </row>
    <row r="211" spans="1:11" ht="12.5" x14ac:dyDescent="0.25">
      <c r="A211" s="3" t="e">
        <f ca="1"/>
        <v>#NAME?</v>
      </c>
      <c r="B211" s="2" t="s">
        <v>12</v>
      </c>
      <c r="C211" s="2" t="s">
        <v>12</v>
      </c>
      <c r="D211" s="2" t="s">
        <v>12</v>
      </c>
      <c r="E211" s="2" t="s">
        <v>12</v>
      </c>
      <c r="F211" s="2" t="s">
        <v>12</v>
      </c>
      <c r="G211" s="2" t="s">
        <v>12</v>
      </c>
      <c r="H211" s="2" t="s">
        <v>12</v>
      </c>
      <c r="I211" s="2" t="s">
        <v>12</v>
      </c>
      <c r="J211" s="2" t="s">
        <v>12</v>
      </c>
      <c r="K211" s="2" t="s">
        <v>12</v>
      </c>
    </row>
    <row r="212" spans="1:11" ht="12.5" x14ac:dyDescent="0.25">
      <c r="A212" s="3" t="e">
        <f ca="1"/>
        <v>#NAME?</v>
      </c>
      <c r="B212" s="2" t="s">
        <v>12</v>
      </c>
      <c r="C212" s="2" t="s">
        <v>12</v>
      </c>
      <c r="D212" s="2" t="s">
        <v>12</v>
      </c>
      <c r="E212" s="2" t="s">
        <v>12</v>
      </c>
      <c r="F212" s="2" t="s">
        <v>12</v>
      </c>
      <c r="G212" s="2" t="s">
        <v>12</v>
      </c>
      <c r="H212" s="2" t="s">
        <v>12</v>
      </c>
      <c r="I212" s="2" t="s">
        <v>12</v>
      </c>
      <c r="J212" s="2" t="s">
        <v>12</v>
      </c>
      <c r="K212" s="2" t="s">
        <v>12</v>
      </c>
    </row>
    <row r="213" spans="1:11" ht="12.5" x14ac:dyDescent="0.25">
      <c r="A213" s="3" t="e">
        <f ca="1"/>
        <v>#NAME?</v>
      </c>
      <c r="B213" s="2" t="s">
        <v>12</v>
      </c>
      <c r="C213" s="2" t="s">
        <v>12</v>
      </c>
      <c r="D213" s="2" t="s">
        <v>12</v>
      </c>
      <c r="E213" s="2" t="s">
        <v>12</v>
      </c>
      <c r="F213" s="2" t="s">
        <v>12</v>
      </c>
      <c r="G213" s="2" t="s">
        <v>12</v>
      </c>
      <c r="H213" s="2" t="s">
        <v>12</v>
      </c>
      <c r="I213" s="2" t="s">
        <v>12</v>
      </c>
      <c r="J213" s="2" t="s">
        <v>12</v>
      </c>
      <c r="K213" s="2" t="s">
        <v>12</v>
      </c>
    </row>
    <row r="214" spans="1:11" ht="12.5" x14ac:dyDescent="0.25">
      <c r="A214" s="3" t="e">
        <f ca="1"/>
        <v>#NAME?</v>
      </c>
      <c r="B214" s="2" t="s">
        <v>12</v>
      </c>
      <c r="C214" s="2" t="s">
        <v>12</v>
      </c>
      <c r="D214" s="2" t="s">
        <v>12</v>
      </c>
      <c r="E214" s="2" t="s">
        <v>12</v>
      </c>
      <c r="F214" s="2" t="s">
        <v>12</v>
      </c>
      <c r="G214" s="2" t="s">
        <v>12</v>
      </c>
      <c r="H214" s="2" t="s">
        <v>12</v>
      </c>
      <c r="I214" s="2" t="s">
        <v>12</v>
      </c>
      <c r="J214" s="2" t="s">
        <v>12</v>
      </c>
      <c r="K214" s="2" t="s">
        <v>12</v>
      </c>
    </row>
    <row r="215" spans="1:11" ht="12.5" x14ac:dyDescent="0.25">
      <c r="A215" s="3" t="e">
        <f ca="1"/>
        <v>#NAME?</v>
      </c>
      <c r="B215" s="2" t="s">
        <v>12</v>
      </c>
      <c r="C215" s="2" t="s">
        <v>12</v>
      </c>
      <c r="D215" s="2" t="s">
        <v>12</v>
      </c>
      <c r="E215" s="2" t="s">
        <v>12</v>
      </c>
      <c r="F215" s="2" t="s">
        <v>12</v>
      </c>
      <c r="G215" s="2" t="s">
        <v>12</v>
      </c>
      <c r="H215" s="2" t="s">
        <v>12</v>
      </c>
      <c r="I215" s="2" t="s">
        <v>12</v>
      </c>
      <c r="J215" s="2" t="s">
        <v>12</v>
      </c>
      <c r="K215" s="2" t="s">
        <v>12</v>
      </c>
    </row>
    <row r="216" spans="1:11" ht="12.5" x14ac:dyDescent="0.25">
      <c r="A216" s="3" t="e">
        <f ca="1"/>
        <v>#NAME?</v>
      </c>
      <c r="B216" s="2" t="s">
        <v>12</v>
      </c>
      <c r="C216" s="2" t="s">
        <v>12</v>
      </c>
      <c r="D216" s="2" t="s">
        <v>12</v>
      </c>
      <c r="E216" s="2" t="s">
        <v>12</v>
      </c>
      <c r="F216" s="2" t="s">
        <v>12</v>
      </c>
      <c r="G216" s="2" t="s">
        <v>12</v>
      </c>
      <c r="H216" s="2" t="s">
        <v>12</v>
      </c>
      <c r="I216" s="2" t="s">
        <v>12</v>
      </c>
      <c r="J216" s="2" t="s">
        <v>12</v>
      </c>
      <c r="K216" s="2" t="s">
        <v>12</v>
      </c>
    </row>
    <row r="217" spans="1:11" ht="12.5" x14ac:dyDescent="0.25">
      <c r="A217" s="3" t="e">
        <f ca="1"/>
        <v>#NAME?</v>
      </c>
      <c r="B217" s="2" t="s">
        <v>12</v>
      </c>
      <c r="C217" s="2" t="s">
        <v>12</v>
      </c>
      <c r="D217" s="2" t="s">
        <v>12</v>
      </c>
      <c r="E217" s="2" t="s">
        <v>12</v>
      </c>
      <c r="F217" s="2" t="s">
        <v>12</v>
      </c>
      <c r="G217" s="2" t="s">
        <v>12</v>
      </c>
      <c r="H217" s="2" t="s">
        <v>12</v>
      </c>
      <c r="I217" s="2" t="s">
        <v>12</v>
      </c>
      <c r="J217" s="2" t="s">
        <v>12</v>
      </c>
      <c r="K217" s="2" t="s">
        <v>12</v>
      </c>
    </row>
    <row r="218" spans="1:11" ht="12.5" x14ac:dyDescent="0.25">
      <c r="A218" s="3" t="e">
        <f ca="1"/>
        <v>#NAME?</v>
      </c>
      <c r="B218" s="2" t="s">
        <v>12</v>
      </c>
      <c r="C218" s="2" t="s">
        <v>12</v>
      </c>
      <c r="D218" s="2" t="s">
        <v>12</v>
      </c>
      <c r="E218" s="2" t="s">
        <v>12</v>
      </c>
      <c r="F218" s="2" t="s">
        <v>12</v>
      </c>
      <c r="G218" s="2" t="s">
        <v>12</v>
      </c>
      <c r="H218" s="2" t="s">
        <v>12</v>
      </c>
      <c r="I218" s="2" t="s">
        <v>12</v>
      </c>
      <c r="J218" s="2" t="s">
        <v>12</v>
      </c>
      <c r="K218" s="2" t="s">
        <v>12</v>
      </c>
    </row>
    <row r="219" spans="1:11" ht="12.5" x14ac:dyDescent="0.25">
      <c r="A219" s="3" t="e">
        <f ca="1"/>
        <v>#NAME?</v>
      </c>
      <c r="B219" s="2" t="s">
        <v>12</v>
      </c>
      <c r="C219" s="2" t="s">
        <v>12</v>
      </c>
      <c r="D219" s="2" t="s">
        <v>12</v>
      </c>
      <c r="E219" s="2" t="s">
        <v>12</v>
      </c>
      <c r="F219" s="2" t="s">
        <v>12</v>
      </c>
      <c r="G219" s="2" t="s">
        <v>12</v>
      </c>
      <c r="H219" s="2" t="s">
        <v>12</v>
      </c>
      <c r="I219" s="2" t="s">
        <v>12</v>
      </c>
      <c r="J219" s="2" t="s">
        <v>12</v>
      </c>
      <c r="K219" s="2" t="s">
        <v>12</v>
      </c>
    </row>
    <row r="220" spans="1:11" ht="12.5" x14ac:dyDescent="0.25">
      <c r="A220" s="3" t="e">
        <f ca="1"/>
        <v>#NAME?</v>
      </c>
      <c r="B220" s="2" t="s">
        <v>12</v>
      </c>
      <c r="C220" s="2" t="s">
        <v>12</v>
      </c>
      <c r="D220" s="2" t="s">
        <v>12</v>
      </c>
      <c r="E220" s="2" t="s">
        <v>12</v>
      </c>
      <c r="F220" s="2" t="s">
        <v>12</v>
      </c>
      <c r="G220" s="2" t="s">
        <v>12</v>
      </c>
      <c r="H220" s="2" t="s">
        <v>12</v>
      </c>
      <c r="I220" s="2" t="s">
        <v>12</v>
      </c>
      <c r="J220" s="2" t="s">
        <v>12</v>
      </c>
      <c r="K220" s="2" t="s">
        <v>12</v>
      </c>
    </row>
    <row r="221" spans="1:11" ht="12.5" x14ac:dyDescent="0.25">
      <c r="A221" s="3" t="e">
        <f ca="1"/>
        <v>#NAME?</v>
      </c>
      <c r="B221" s="2" t="s">
        <v>12</v>
      </c>
      <c r="C221" s="2" t="s">
        <v>12</v>
      </c>
      <c r="D221" s="2" t="s">
        <v>12</v>
      </c>
      <c r="E221" s="2" t="s">
        <v>12</v>
      </c>
      <c r="F221" s="2" t="s">
        <v>12</v>
      </c>
      <c r="G221" s="2" t="s">
        <v>12</v>
      </c>
      <c r="H221" s="2" t="s">
        <v>12</v>
      </c>
      <c r="I221" s="2" t="s">
        <v>12</v>
      </c>
      <c r="J221" s="2" t="s">
        <v>12</v>
      </c>
      <c r="K221" s="2" t="s">
        <v>12</v>
      </c>
    </row>
    <row r="222" spans="1:11" ht="12.5" x14ac:dyDescent="0.25">
      <c r="A222" s="3" t="e">
        <f ca="1"/>
        <v>#NAME?</v>
      </c>
      <c r="B222" s="2" t="s">
        <v>12</v>
      </c>
      <c r="C222" s="2" t="s">
        <v>12</v>
      </c>
      <c r="D222" s="2" t="s">
        <v>12</v>
      </c>
      <c r="E222" s="2" t="s">
        <v>12</v>
      </c>
      <c r="F222" s="2" t="s">
        <v>12</v>
      </c>
      <c r="G222" s="2" t="s">
        <v>12</v>
      </c>
      <c r="H222" s="2" t="s">
        <v>12</v>
      </c>
      <c r="I222" s="2" t="s">
        <v>12</v>
      </c>
      <c r="J222" s="2" t="s">
        <v>12</v>
      </c>
      <c r="K222" s="2" t="s">
        <v>12</v>
      </c>
    </row>
    <row r="223" spans="1:11" ht="12.5" x14ac:dyDescent="0.25">
      <c r="A223" s="3" t="e">
        <f ca="1"/>
        <v>#NAME?</v>
      </c>
      <c r="B223" s="2" t="s">
        <v>12</v>
      </c>
      <c r="C223" s="2" t="s">
        <v>12</v>
      </c>
      <c r="D223" s="2" t="s">
        <v>12</v>
      </c>
      <c r="E223" s="2" t="s">
        <v>12</v>
      </c>
      <c r="F223" s="2" t="s">
        <v>12</v>
      </c>
      <c r="G223" s="2" t="s">
        <v>12</v>
      </c>
      <c r="H223" s="2" t="s">
        <v>12</v>
      </c>
      <c r="I223" s="2" t="s">
        <v>12</v>
      </c>
      <c r="J223" s="2" t="s">
        <v>12</v>
      </c>
      <c r="K223" s="2" t="s">
        <v>12</v>
      </c>
    </row>
    <row r="224" spans="1:11" ht="12.5" x14ac:dyDescent="0.25">
      <c r="A224" s="3" t="e">
        <f ca="1"/>
        <v>#NAME?</v>
      </c>
      <c r="B224" s="2" t="s">
        <v>12</v>
      </c>
      <c r="C224" s="2" t="s">
        <v>12</v>
      </c>
      <c r="D224" s="2" t="s">
        <v>12</v>
      </c>
      <c r="E224" s="2" t="s">
        <v>12</v>
      </c>
      <c r="F224" s="2" t="s">
        <v>12</v>
      </c>
      <c r="G224" s="2" t="s">
        <v>12</v>
      </c>
      <c r="H224" s="2" t="s">
        <v>12</v>
      </c>
      <c r="I224" s="2" t="s">
        <v>12</v>
      </c>
      <c r="J224" s="2" t="s">
        <v>12</v>
      </c>
      <c r="K224" s="2" t="s">
        <v>12</v>
      </c>
    </row>
    <row r="225" spans="1:11" ht="12.5" x14ac:dyDescent="0.25">
      <c r="A225" s="3" t="e">
        <f ca="1"/>
        <v>#NAME?</v>
      </c>
      <c r="B225" s="2" t="s">
        <v>12</v>
      </c>
      <c r="C225" s="2" t="s">
        <v>12</v>
      </c>
      <c r="D225" s="2" t="s">
        <v>12</v>
      </c>
      <c r="E225" s="2" t="s">
        <v>12</v>
      </c>
      <c r="F225" s="2" t="s">
        <v>12</v>
      </c>
      <c r="G225" s="2" t="s">
        <v>12</v>
      </c>
      <c r="H225" s="2" t="s">
        <v>12</v>
      </c>
      <c r="I225" s="2" t="s">
        <v>12</v>
      </c>
      <c r="J225" s="2" t="s">
        <v>12</v>
      </c>
      <c r="K225" s="2" t="s">
        <v>12</v>
      </c>
    </row>
    <row r="226" spans="1:11" ht="12.5" x14ac:dyDescent="0.25">
      <c r="A226" s="3" t="e">
        <f ca="1"/>
        <v>#NAME?</v>
      </c>
      <c r="B226" s="2" t="s">
        <v>12</v>
      </c>
      <c r="C226" s="2" t="s">
        <v>12</v>
      </c>
      <c r="D226" s="2" t="s">
        <v>12</v>
      </c>
      <c r="E226" s="2" t="s">
        <v>12</v>
      </c>
      <c r="F226" s="2" t="s">
        <v>12</v>
      </c>
      <c r="G226" s="2" t="s">
        <v>12</v>
      </c>
      <c r="H226" s="2" t="s">
        <v>12</v>
      </c>
      <c r="I226" s="2" t="s">
        <v>12</v>
      </c>
      <c r="J226" s="2" t="s">
        <v>12</v>
      </c>
      <c r="K226" s="2" t="s">
        <v>12</v>
      </c>
    </row>
    <row r="227" spans="1:11" ht="12.5" x14ac:dyDescent="0.25">
      <c r="A227" s="3" t="e">
        <f ca="1"/>
        <v>#NAME?</v>
      </c>
      <c r="B227" s="2" t="s">
        <v>12</v>
      </c>
      <c r="C227" s="2" t="s">
        <v>12</v>
      </c>
      <c r="D227" s="2" t="s">
        <v>12</v>
      </c>
      <c r="E227" s="2" t="s">
        <v>12</v>
      </c>
      <c r="F227" s="2" t="s">
        <v>12</v>
      </c>
      <c r="G227" s="2" t="s">
        <v>12</v>
      </c>
      <c r="H227" s="2" t="s">
        <v>12</v>
      </c>
      <c r="I227" s="2" t="s">
        <v>12</v>
      </c>
      <c r="J227" s="2" t="s">
        <v>12</v>
      </c>
      <c r="K227" s="2" t="s">
        <v>12</v>
      </c>
    </row>
    <row r="228" spans="1:11" ht="12.5" x14ac:dyDescent="0.25">
      <c r="A228" s="3" t="e">
        <f ca="1"/>
        <v>#NAME?</v>
      </c>
      <c r="B228" s="2" t="s">
        <v>12</v>
      </c>
      <c r="C228" s="2" t="s">
        <v>12</v>
      </c>
      <c r="D228" s="2" t="s">
        <v>12</v>
      </c>
      <c r="E228" s="2" t="s">
        <v>12</v>
      </c>
      <c r="F228" s="2" t="s">
        <v>12</v>
      </c>
      <c r="G228" s="2" t="s">
        <v>12</v>
      </c>
      <c r="H228" s="2" t="s">
        <v>12</v>
      </c>
      <c r="I228" s="2" t="s">
        <v>12</v>
      </c>
      <c r="J228" s="2" t="s">
        <v>12</v>
      </c>
      <c r="K228" s="2" t="s">
        <v>12</v>
      </c>
    </row>
    <row r="229" spans="1:11" ht="12.5" x14ac:dyDescent="0.25">
      <c r="A229" s="3" t="e">
        <f ca="1"/>
        <v>#NAME?</v>
      </c>
      <c r="B229" s="2" t="s">
        <v>12</v>
      </c>
      <c r="C229" s="2" t="s">
        <v>12</v>
      </c>
      <c r="D229" s="2" t="s">
        <v>12</v>
      </c>
      <c r="E229" s="2" t="s">
        <v>12</v>
      </c>
      <c r="F229" s="2" t="s">
        <v>12</v>
      </c>
      <c r="G229" s="2" t="s">
        <v>12</v>
      </c>
      <c r="H229" s="2" t="s">
        <v>12</v>
      </c>
      <c r="I229" s="2" t="s">
        <v>12</v>
      </c>
      <c r="J229" s="2" t="s">
        <v>12</v>
      </c>
      <c r="K229" s="2" t="s">
        <v>12</v>
      </c>
    </row>
    <row r="230" spans="1:11" ht="12.5" x14ac:dyDescent="0.25">
      <c r="A230" s="3" t="e">
        <f ca="1"/>
        <v>#NAME?</v>
      </c>
      <c r="B230" s="2" t="s">
        <v>12</v>
      </c>
      <c r="C230" s="2" t="s">
        <v>12</v>
      </c>
      <c r="D230" s="2" t="s">
        <v>12</v>
      </c>
      <c r="E230" s="2" t="s">
        <v>12</v>
      </c>
      <c r="F230" s="2" t="s">
        <v>12</v>
      </c>
      <c r="G230" s="2" t="s">
        <v>12</v>
      </c>
      <c r="H230" s="2" t="s">
        <v>12</v>
      </c>
      <c r="I230" s="2" t="s">
        <v>12</v>
      </c>
      <c r="J230" s="2" t="s">
        <v>12</v>
      </c>
      <c r="K230" s="2" t="s">
        <v>12</v>
      </c>
    </row>
    <row r="231" spans="1:11" ht="12.5" x14ac:dyDescent="0.25">
      <c r="A231" s="3" t="e">
        <f ca="1"/>
        <v>#NAME?</v>
      </c>
      <c r="B231" s="2" t="s">
        <v>12</v>
      </c>
      <c r="C231" s="2" t="s">
        <v>12</v>
      </c>
      <c r="D231" s="2" t="s">
        <v>12</v>
      </c>
      <c r="E231" s="2" t="s">
        <v>12</v>
      </c>
      <c r="F231" s="2" t="s">
        <v>12</v>
      </c>
      <c r="G231" s="2" t="s">
        <v>12</v>
      </c>
      <c r="H231" s="2" t="s">
        <v>12</v>
      </c>
      <c r="I231" s="2" t="s">
        <v>12</v>
      </c>
      <c r="J231" s="2" t="s">
        <v>12</v>
      </c>
      <c r="K231" s="2" t="s">
        <v>12</v>
      </c>
    </row>
    <row r="232" spans="1:11" ht="12.5" x14ac:dyDescent="0.25">
      <c r="A232" s="3" t="e">
        <f ca="1"/>
        <v>#NAME?</v>
      </c>
      <c r="B232" s="2" t="s">
        <v>12</v>
      </c>
      <c r="C232" s="2" t="s">
        <v>12</v>
      </c>
      <c r="D232" s="2" t="s">
        <v>12</v>
      </c>
      <c r="E232" s="2" t="s">
        <v>12</v>
      </c>
      <c r="F232" s="2" t="s">
        <v>12</v>
      </c>
      <c r="G232" s="2" t="s">
        <v>12</v>
      </c>
      <c r="H232" s="2" t="s">
        <v>12</v>
      </c>
      <c r="I232" s="2" t="s">
        <v>12</v>
      </c>
      <c r="J232" s="2" t="s">
        <v>12</v>
      </c>
      <c r="K232" s="2" t="s">
        <v>12</v>
      </c>
    </row>
    <row r="233" spans="1:11" ht="12.5" x14ac:dyDescent="0.25">
      <c r="A233" s="3" t="e">
        <f ca="1"/>
        <v>#NAME?</v>
      </c>
      <c r="B233" s="2" t="s">
        <v>12</v>
      </c>
      <c r="C233" s="2" t="s">
        <v>12</v>
      </c>
      <c r="D233" s="2" t="s">
        <v>12</v>
      </c>
      <c r="E233" s="2" t="s">
        <v>12</v>
      </c>
      <c r="F233" s="2" t="s">
        <v>12</v>
      </c>
      <c r="G233" s="2" t="s">
        <v>12</v>
      </c>
      <c r="H233" s="2" t="s">
        <v>12</v>
      </c>
      <c r="I233" s="2" t="s">
        <v>12</v>
      </c>
      <c r="J233" s="2" t="s">
        <v>12</v>
      </c>
      <c r="K233" s="2" t="s">
        <v>12</v>
      </c>
    </row>
    <row r="234" spans="1:11" ht="12.5" x14ac:dyDescent="0.25">
      <c r="A234" s="3" t="e">
        <f ca="1"/>
        <v>#NAME?</v>
      </c>
      <c r="B234" s="2" t="s">
        <v>12</v>
      </c>
      <c r="C234" s="2" t="s">
        <v>12</v>
      </c>
      <c r="D234" s="2" t="s">
        <v>12</v>
      </c>
      <c r="E234" s="2" t="s">
        <v>12</v>
      </c>
      <c r="F234" s="2" t="s">
        <v>12</v>
      </c>
      <c r="G234" s="2" t="s">
        <v>12</v>
      </c>
      <c r="H234" s="2" t="s">
        <v>12</v>
      </c>
      <c r="I234" s="2" t="s">
        <v>12</v>
      </c>
      <c r="J234" s="2" t="s">
        <v>12</v>
      </c>
      <c r="K234" s="2" t="s">
        <v>12</v>
      </c>
    </row>
    <row r="235" spans="1:11" ht="12.5" x14ac:dyDescent="0.25">
      <c r="A235" s="3" t="e">
        <f ca="1"/>
        <v>#NAME?</v>
      </c>
      <c r="B235" s="2" t="s">
        <v>12</v>
      </c>
      <c r="C235" s="2" t="s">
        <v>12</v>
      </c>
      <c r="D235" s="2" t="s">
        <v>12</v>
      </c>
      <c r="E235" s="2" t="s">
        <v>12</v>
      </c>
      <c r="F235" s="2" t="s">
        <v>12</v>
      </c>
      <c r="G235" s="2" t="s">
        <v>12</v>
      </c>
      <c r="H235" s="2" t="s">
        <v>12</v>
      </c>
      <c r="I235" s="2" t="s">
        <v>12</v>
      </c>
      <c r="J235" s="2" t="s">
        <v>12</v>
      </c>
      <c r="K235" s="2" t="s">
        <v>12</v>
      </c>
    </row>
    <row r="236" spans="1:11" ht="12.5" x14ac:dyDescent="0.25">
      <c r="A236" s="3" t="e">
        <f ca="1"/>
        <v>#NAME?</v>
      </c>
      <c r="B236" s="2" t="s">
        <v>12</v>
      </c>
      <c r="C236" s="2" t="s">
        <v>12</v>
      </c>
      <c r="D236" s="2" t="s">
        <v>12</v>
      </c>
      <c r="E236" s="2" t="s">
        <v>12</v>
      </c>
      <c r="F236" s="2" t="s">
        <v>12</v>
      </c>
      <c r="G236" s="2" t="s">
        <v>12</v>
      </c>
      <c r="H236" s="2" t="s">
        <v>12</v>
      </c>
      <c r="I236" s="2" t="s">
        <v>12</v>
      </c>
      <c r="J236" s="2" t="s">
        <v>12</v>
      </c>
      <c r="K236" s="2" t="s">
        <v>12</v>
      </c>
    </row>
    <row r="237" spans="1:11" ht="12.5" x14ac:dyDescent="0.25">
      <c r="A237" s="3" t="e">
        <f ca="1"/>
        <v>#NAME?</v>
      </c>
      <c r="B237" s="2" t="s">
        <v>12</v>
      </c>
      <c r="C237" s="2" t="s">
        <v>12</v>
      </c>
      <c r="D237" s="2" t="s">
        <v>12</v>
      </c>
      <c r="E237" s="2" t="s">
        <v>12</v>
      </c>
      <c r="F237" s="2" t="s">
        <v>12</v>
      </c>
      <c r="G237" s="2" t="s">
        <v>12</v>
      </c>
      <c r="H237" s="2" t="s">
        <v>12</v>
      </c>
      <c r="I237" s="2" t="s">
        <v>12</v>
      </c>
      <c r="J237" s="2" t="s">
        <v>12</v>
      </c>
      <c r="K237" s="2" t="s">
        <v>12</v>
      </c>
    </row>
    <row r="238" spans="1:11" ht="12.5" x14ac:dyDescent="0.25">
      <c r="A238" s="3" t="e">
        <f ca="1"/>
        <v>#NAME?</v>
      </c>
      <c r="B238" s="2" t="s">
        <v>12</v>
      </c>
      <c r="C238" s="2" t="s">
        <v>12</v>
      </c>
      <c r="D238" s="2" t="s">
        <v>12</v>
      </c>
      <c r="E238" s="2" t="s">
        <v>12</v>
      </c>
      <c r="F238" s="2" t="s">
        <v>12</v>
      </c>
      <c r="G238" s="2" t="s">
        <v>12</v>
      </c>
      <c r="H238" s="2" t="s">
        <v>12</v>
      </c>
      <c r="I238" s="2" t="s">
        <v>12</v>
      </c>
      <c r="J238" s="2" t="s">
        <v>12</v>
      </c>
      <c r="K238" s="2" t="s">
        <v>12</v>
      </c>
    </row>
    <row r="239" spans="1:11" ht="12.5" x14ac:dyDescent="0.25">
      <c r="A239" s="3" t="e">
        <f ca="1"/>
        <v>#NAME?</v>
      </c>
      <c r="B239" s="2" t="s">
        <v>12</v>
      </c>
      <c r="C239" s="2" t="s">
        <v>12</v>
      </c>
      <c r="D239" s="2" t="s">
        <v>12</v>
      </c>
      <c r="E239" s="2" t="s">
        <v>12</v>
      </c>
      <c r="F239" s="2" t="s">
        <v>12</v>
      </c>
      <c r="G239" s="2" t="s">
        <v>12</v>
      </c>
      <c r="H239" s="2" t="s">
        <v>12</v>
      </c>
      <c r="I239" s="2" t="s">
        <v>12</v>
      </c>
      <c r="J239" s="2" t="s">
        <v>12</v>
      </c>
      <c r="K239" s="2" t="s">
        <v>12</v>
      </c>
    </row>
    <row r="240" spans="1:11" ht="12.5" x14ac:dyDescent="0.25">
      <c r="A240" s="3" t="e">
        <f ca="1"/>
        <v>#NAME?</v>
      </c>
      <c r="B240" s="2" t="s">
        <v>12</v>
      </c>
      <c r="C240" s="2" t="s">
        <v>12</v>
      </c>
      <c r="D240" s="2" t="s">
        <v>12</v>
      </c>
      <c r="E240" s="2" t="s">
        <v>12</v>
      </c>
      <c r="F240" s="2" t="s">
        <v>12</v>
      </c>
      <c r="G240" s="2" t="s">
        <v>12</v>
      </c>
      <c r="H240" s="2" t="s">
        <v>12</v>
      </c>
      <c r="I240" s="2" t="s">
        <v>12</v>
      </c>
      <c r="J240" s="2" t="s">
        <v>12</v>
      </c>
      <c r="K240" s="2" t="s">
        <v>12</v>
      </c>
    </row>
    <row r="241" spans="1:11" ht="12.5" x14ac:dyDescent="0.25">
      <c r="A241" s="3" t="e">
        <f ca="1"/>
        <v>#NAME?</v>
      </c>
      <c r="B241" s="2" t="s">
        <v>12</v>
      </c>
      <c r="C241" s="2" t="s">
        <v>12</v>
      </c>
      <c r="D241" s="2" t="s">
        <v>12</v>
      </c>
      <c r="E241" s="2" t="s">
        <v>12</v>
      </c>
      <c r="F241" s="2" t="s">
        <v>12</v>
      </c>
      <c r="G241" s="2" t="s">
        <v>12</v>
      </c>
      <c r="H241" s="2" t="s">
        <v>12</v>
      </c>
      <c r="I241" s="2" t="s">
        <v>12</v>
      </c>
      <c r="J241" s="2" t="s">
        <v>12</v>
      </c>
      <c r="K241" s="2" t="s">
        <v>12</v>
      </c>
    </row>
    <row r="242" spans="1:11" ht="12.5" x14ac:dyDescent="0.25">
      <c r="A242" s="3" t="e">
        <f ca="1"/>
        <v>#NAME?</v>
      </c>
      <c r="B242" s="2" t="s">
        <v>12</v>
      </c>
      <c r="C242" s="2" t="s">
        <v>12</v>
      </c>
      <c r="D242" s="2" t="s">
        <v>12</v>
      </c>
      <c r="E242" s="2" t="s">
        <v>12</v>
      </c>
      <c r="F242" s="2" t="s">
        <v>12</v>
      </c>
      <c r="G242" s="2" t="s">
        <v>12</v>
      </c>
      <c r="H242" s="2" t="s">
        <v>12</v>
      </c>
      <c r="I242" s="2" t="s">
        <v>12</v>
      </c>
      <c r="J242" s="2" t="s">
        <v>12</v>
      </c>
      <c r="K242" s="2" t="s">
        <v>12</v>
      </c>
    </row>
    <row r="243" spans="1:11" ht="12.5" x14ac:dyDescent="0.25">
      <c r="A243" s="3" t="e">
        <f ca="1"/>
        <v>#NAME?</v>
      </c>
      <c r="B243" s="2" t="s">
        <v>12</v>
      </c>
      <c r="C243" s="2" t="s">
        <v>12</v>
      </c>
      <c r="D243" s="2" t="s">
        <v>12</v>
      </c>
      <c r="E243" s="2" t="s">
        <v>12</v>
      </c>
      <c r="F243" s="2" t="s">
        <v>12</v>
      </c>
      <c r="G243" s="2" t="s">
        <v>12</v>
      </c>
      <c r="H243" s="2" t="s">
        <v>12</v>
      </c>
      <c r="I243" s="2" t="s">
        <v>12</v>
      </c>
      <c r="J243" s="2" t="s">
        <v>12</v>
      </c>
      <c r="K243" s="2" t="s">
        <v>12</v>
      </c>
    </row>
    <row r="244" spans="1:11" ht="12.5" x14ac:dyDescent="0.25">
      <c r="A244" s="3" t="e">
        <f ca="1"/>
        <v>#NAME?</v>
      </c>
      <c r="B244" s="2" t="s">
        <v>12</v>
      </c>
      <c r="C244" s="2" t="s">
        <v>12</v>
      </c>
      <c r="D244" s="2" t="s">
        <v>12</v>
      </c>
      <c r="E244" s="2" t="s">
        <v>12</v>
      </c>
      <c r="F244" s="2" t="s">
        <v>12</v>
      </c>
      <c r="G244" s="2" t="s">
        <v>12</v>
      </c>
      <c r="H244" s="2" t="s">
        <v>12</v>
      </c>
      <c r="I244" s="2" t="s">
        <v>12</v>
      </c>
      <c r="J244" s="2" t="s">
        <v>12</v>
      </c>
      <c r="K244" s="2" t="s">
        <v>12</v>
      </c>
    </row>
    <row r="245" spans="1:11" ht="12.5" x14ac:dyDescent="0.25">
      <c r="A245" s="3" t="e">
        <f ca="1"/>
        <v>#NAME?</v>
      </c>
      <c r="B245" s="2" t="s">
        <v>12</v>
      </c>
      <c r="C245" s="2" t="s">
        <v>12</v>
      </c>
      <c r="D245" s="2" t="s">
        <v>12</v>
      </c>
      <c r="E245" s="2" t="s">
        <v>12</v>
      </c>
      <c r="F245" s="2" t="s">
        <v>12</v>
      </c>
      <c r="G245" s="2" t="s">
        <v>12</v>
      </c>
      <c r="H245" s="2" t="s">
        <v>12</v>
      </c>
      <c r="I245" s="2" t="s">
        <v>12</v>
      </c>
      <c r="J245" s="2" t="s">
        <v>12</v>
      </c>
      <c r="K245" s="2" t="s">
        <v>12</v>
      </c>
    </row>
    <row r="246" spans="1:11" ht="12.5" x14ac:dyDescent="0.25">
      <c r="A246" s="3" t="e">
        <f ca="1"/>
        <v>#NAME?</v>
      </c>
      <c r="B246" s="2" t="s">
        <v>12</v>
      </c>
      <c r="C246" s="2" t="s">
        <v>12</v>
      </c>
      <c r="D246" s="2" t="s">
        <v>12</v>
      </c>
      <c r="E246" s="2" t="s">
        <v>12</v>
      </c>
      <c r="F246" s="2" t="s">
        <v>12</v>
      </c>
      <c r="G246" s="2" t="s">
        <v>12</v>
      </c>
      <c r="H246" s="2" t="s">
        <v>12</v>
      </c>
      <c r="I246" s="2" t="s">
        <v>12</v>
      </c>
      <c r="J246" s="2" t="s">
        <v>12</v>
      </c>
      <c r="K246" s="2" t="s">
        <v>12</v>
      </c>
    </row>
    <row r="247" spans="1:11" ht="12.5" x14ac:dyDescent="0.25">
      <c r="A247" s="3" t="e">
        <f ca="1"/>
        <v>#NAME?</v>
      </c>
      <c r="B247" s="2" t="s">
        <v>12</v>
      </c>
      <c r="C247" s="2" t="s">
        <v>12</v>
      </c>
      <c r="D247" s="2" t="s">
        <v>12</v>
      </c>
      <c r="E247" s="2" t="s">
        <v>12</v>
      </c>
      <c r="F247" s="2" t="s">
        <v>12</v>
      </c>
      <c r="G247" s="2" t="s">
        <v>12</v>
      </c>
      <c r="H247" s="2" t="s">
        <v>12</v>
      </c>
      <c r="I247" s="2" t="s">
        <v>12</v>
      </c>
      <c r="J247" s="2" t="s">
        <v>12</v>
      </c>
      <c r="K247" s="2" t="s">
        <v>12</v>
      </c>
    </row>
    <row r="248" spans="1:11" ht="12.5" x14ac:dyDescent="0.25">
      <c r="A248" s="3" t="e">
        <f ca="1"/>
        <v>#NAME?</v>
      </c>
      <c r="B248" s="2" t="s">
        <v>12</v>
      </c>
      <c r="C248" s="2" t="s">
        <v>12</v>
      </c>
      <c r="D248" s="2" t="s">
        <v>12</v>
      </c>
      <c r="E248" s="2" t="s">
        <v>12</v>
      </c>
      <c r="F248" s="2" t="s">
        <v>12</v>
      </c>
      <c r="G248" s="2" t="s">
        <v>12</v>
      </c>
      <c r="H248" s="2" t="s">
        <v>12</v>
      </c>
      <c r="I248" s="2" t="s">
        <v>12</v>
      </c>
      <c r="J248" s="2" t="s">
        <v>12</v>
      </c>
      <c r="K248" s="2" t="s">
        <v>12</v>
      </c>
    </row>
    <row r="249" spans="1:11" ht="12.5" x14ac:dyDescent="0.25">
      <c r="A249" s="3" t="e">
        <f ca="1"/>
        <v>#NAME?</v>
      </c>
      <c r="B249" s="2" t="s">
        <v>12</v>
      </c>
      <c r="C249" s="2" t="s">
        <v>12</v>
      </c>
      <c r="D249" s="2" t="s">
        <v>12</v>
      </c>
      <c r="E249" s="2" t="s">
        <v>12</v>
      </c>
      <c r="F249" s="2" t="s">
        <v>12</v>
      </c>
      <c r="G249" s="2" t="s">
        <v>12</v>
      </c>
      <c r="H249" s="2" t="s">
        <v>12</v>
      </c>
      <c r="I249" s="2" t="s">
        <v>12</v>
      </c>
      <c r="J249" s="2" t="s">
        <v>12</v>
      </c>
      <c r="K249" s="2" t="s">
        <v>12</v>
      </c>
    </row>
    <row r="250" spans="1:11" ht="12.5" x14ac:dyDescent="0.25">
      <c r="A250" s="3" t="e">
        <f ca="1"/>
        <v>#NAME?</v>
      </c>
      <c r="B250" s="2" t="s">
        <v>12</v>
      </c>
      <c r="C250" s="2" t="s">
        <v>12</v>
      </c>
      <c r="D250" s="2" t="s">
        <v>12</v>
      </c>
      <c r="E250" s="2" t="s">
        <v>12</v>
      </c>
      <c r="F250" s="2" t="s">
        <v>12</v>
      </c>
      <c r="G250" s="2" t="s">
        <v>12</v>
      </c>
      <c r="H250" s="2" t="s">
        <v>12</v>
      </c>
      <c r="I250" s="2" t="s">
        <v>12</v>
      </c>
      <c r="J250" s="2" t="s">
        <v>12</v>
      </c>
      <c r="K250" s="2" t="s">
        <v>12</v>
      </c>
    </row>
    <row r="251" spans="1:11" ht="12.5" x14ac:dyDescent="0.25">
      <c r="A251" s="3" t="e">
        <f ca="1"/>
        <v>#NAME?</v>
      </c>
      <c r="B251" s="2" t="s">
        <v>12</v>
      </c>
      <c r="C251" s="2" t="s">
        <v>12</v>
      </c>
      <c r="D251" s="2" t="s">
        <v>12</v>
      </c>
      <c r="E251" s="2" t="s">
        <v>12</v>
      </c>
      <c r="F251" s="2" t="s">
        <v>12</v>
      </c>
      <c r="G251" s="2" t="s">
        <v>12</v>
      </c>
      <c r="H251" s="2" t="s">
        <v>12</v>
      </c>
      <c r="I251" s="2" t="s">
        <v>12</v>
      </c>
      <c r="J251" s="2" t="s">
        <v>12</v>
      </c>
      <c r="K251" s="2" t="s">
        <v>12</v>
      </c>
    </row>
    <row r="252" spans="1:11" ht="12.5" x14ac:dyDescent="0.25">
      <c r="A252" s="3" t="e">
        <f ca="1"/>
        <v>#NAME?</v>
      </c>
      <c r="B252" s="2" t="s">
        <v>12</v>
      </c>
      <c r="C252" s="2" t="s">
        <v>12</v>
      </c>
      <c r="D252" s="2" t="s">
        <v>12</v>
      </c>
      <c r="E252" s="2" t="s">
        <v>12</v>
      </c>
      <c r="F252" s="2" t="s">
        <v>12</v>
      </c>
      <c r="G252" s="2" t="s">
        <v>12</v>
      </c>
      <c r="H252" s="2" t="s">
        <v>12</v>
      </c>
      <c r="I252" s="2" t="s">
        <v>12</v>
      </c>
      <c r="J252" s="2" t="s">
        <v>12</v>
      </c>
      <c r="K252" s="2" t="s">
        <v>12</v>
      </c>
    </row>
    <row r="253" spans="1:11" ht="12.5" x14ac:dyDescent="0.25">
      <c r="A253" s="3" t="e">
        <f ca="1"/>
        <v>#NAME?</v>
      </c>
      <c r="B253" s="2" t="s">
        <v>12</v>
      </c>
      <c r="C253" s="2" t="s">
        <v>12</v>
      </c>
      <c r="D253" s="2" t="s">
        <v>12</v>
      </c>
      <c r="E253" s="2" t="s">
        <v>12</v>
      </c>
      <c r="F253" s="2" t="s">
        <v>12</v>
      </c>
      <c r="G253" s="2" t="s">
        <v>12</v>
      </c>
      <c r="H253" s="2" t="s">
        <v>12</v>
      </c>
      <c r="I253" s="2" t="s">
        <v>12</v>
      </c>
      <c r="J253" s="2" t="s">
        <v>12</v>
      </c>
      <c r="K253" s="2" t="s">
        <v>12</v>
      </c>
    </row>
    <row r="254" spans="1:11" ht="12.5" x14ac:dyDescent="0.25">
      <c r="A254" s="3" t="e">
        <f ca="1"/>
        <v>#NAME?</v>
      </c>
      <c r="B254" s="2" t="s">
        <v>12</v>
      </c>
      <c r="C254" s="2" t="s">
        <v>12</v>
      </c>
      <c r="D254" s="2" t="s">
        <v>12</v>
      </c>
      <c r="E254" s="2" t="s">
        <v>12</v>
      </c>
      <c r="F254" s="2" t="s">
        <v>12</v>
      </c>
      <c r="G254" s="2" t="s">
        <v>12</v>
      </c>
      <c r="H254" s="2" t="s">
        <v>12</v>
      </c>
      <c r="I254" s="2" t="s">
        <v>12</v>
      </c>
      <c r="J254" s="2" t="s">
        <v>12</v>
      </c>
      <c r="K254" s="2" t="s">
        <v>12</v>
      </c>
    </row>
    <row r="255" spans="1:11" ht="12.5" x14ac:dyDescent="0.25">
      <c r="A255" s="3" t="e">
        <f ca="1"/>
        <v>#NAME?</v>
      </c>
      <c r="B255" s="2" t="s">
        <v>12</v>
      </c>
      <c r="C255" s="2" t="s">
        <v>12</v>
      </c>
      <c r="D255" s="2" t="s">
        <v>12</v>
      </c>
      <c r="E255" s="2" t="s">
        <v>12</v>
      </c>
      <c r="F255" s="2" t="s">
        <v>12</v>
      </c>
      <c r="G255" s="2" t="s">
        <v>12</v>
      </c>
      <c r="H255" s="2" t="s">
        <v>12</v>
      </c>
      <c r="I255" s="2" t="s">
        <v>12</v>
      </c>
      <c r="J255" s="2" t="s">
        <v>12</v>
      </c>
      <c r="K255" s="2" t="s">
        <v>12</v>
      </c>
    </row>
    <row r="256" spans="1:11" ht="12.5" x14ac:dyDescent="0.25">
      <c r="A256" s="3" t="e">
        <f ca="1"/>
        <v>#NAME?</v>
      </c>
      <c r="B256" s="2" t="s">
        <v>12</v>
      </c>
      <c r="C256" s="2" t="s">
        <v>12</v>
      </c>
      <c r="D256" s="2" t="s">
        <v>12</v>
      </c>
      <c r="E256" s="2" t="s">
        <v>12</v>
      </c>
      <c r="F256" s="2" t="s">
        <v>12</v>
      </c>
      <c r="G256" s="2" t="s">
        <v>12</v>
      </c>
      <c r="H256" s="2" t="s">
        <v>12</v>
      </c>
      <c r="I256" s="2" t="s">
        <v>12</v>
      </c>
      <c r="J256" s="2" t="s">
        <v>12</v>
      </c>
      <c r="K256" s="2" t="s">
        <v>12</v>
      </c>
    </row>
    <row r="257" spans="1:11" ht="12.5" x14ac:dyDescent="0.25">
      <c r="A257" s="3" t="e">
        <f ca="1"/>
        <v>#NAME?</v>
      </c>
      <c r="B257" s="2" t="s">
        <v>12</v>
      </c>
      <c r="C257" s="2" t="s">
        <v>12</v>
      </c>
      <c r="D257" s="2" t="s">
        <v>12</v>
      </c>
      <c r="E257" s="2" t="s">
        <v>12</v>
      </c>
      <c r="F257" s="2" t="s">
        <v>12</v>
      </c>
      <c r="G257" s="2" t="s">
        <v>12</v>
      </c>
      <c r="H257" s="2" t="s">
        <v>12</v>
      </c>
      <c r="I257" s="2" t="s">
        <v>12</v>
      </c>
      <c r="J257" s="2" t="s">
        <v>12</v>
      </c>
      <c r="K257" s="2" t="s">
        <v>12</v>
      </c>
    </row>
    <row r="258" spans="1:11" ht="12.5" x14ac:dyDescent="0.25">
      <c r="A258" s="3" t="e">
        <f ca="1"/>
        <v>#NAME?</v>
      </c>
      <c r="B258" s="2" t="s">
        <v>12</v>
      </c>
      <c r="C258" s="2" t="s">
        <v>12</v>
      </c>
      <c r="D258" s="2" t="s">
        <v>12</v>
      </c>
      <c r="E258" s="2" t="s">
        <v>12</v>
      </c>
      <c r="F258" s="2" t="s">
        <v>12</v>
      </c>
      <c r="G258" s="2" t="s">
        <v>12</v>
      </c>
      <c r="H258" s="2" t="s">
        <v>12</v>
      </c>
      <c r="I258" s="2" t="s">
        <v>12</v>
      </c>
      <c r="J258" s="2" t="s">
        <v>12</v>
      </c>
      <c r="K258" s="2" t="s">
        <v>12</v>
      </c>
    </row>
    <row r="259" spans="1:11" ht="12.5" x14ac:dyDescent="0.25">
      <c r="A259" s="3" t="e">
        <f ca="1"/>
        <v>#NAME?</v>
      </c>
      <c r="B259" s="2" t="s">
        <v>12</v>
      </c>
      <c r="C259" s="2" t="s">
        <v>12</v>
      </c>
      <c r="D259" s="2" t="s">
        <v>12</v>
      </c>
      <c r="E259" s="2" t="s">
        <v>12</v>
      </c>
      <c r="F259" s="2" t="s">
        <v>12</v>
      </c>
      <c r="G259" s="2" t="s">
        <v>12</v>
      </c>
      <c r="H259" s="2" t="s">
        <v>12</v>
      </c>
      <c r="I259" s="2" t="s">
        <v>12</v>
      </c>
      <c r="J259" s="2" t="s">
        <v>12</v>
      </c>
      <c r="K259" s="2" t="s">
        <v>12</v>
      </c>
    </row>
    <row r="260" spans="1:11" ht="12.5" x14ac:dyDescent="0.25">
      <c r="A260" s="3" t="e">
        <f ca="1"/>
        <v>#NAME?</v>
      </c>
      <c r="B260" s="2" t="s">
        <v>12</v>
      </c>
      <c r="C260" s="2" t="s">
        <v>12</v>
      </c>
      <c r="D260" s="2" t="s">
        <v>12</v>
      </c>
      <c r="E260" s="2" t="s">
        <v>12</v>
      </c>
      <c r="F260" s="2" t="s">
        <v>12</v>
      </c>
      <c r="G260" s="2" t="s">
        <v>12</v>
      </c>
      <c r="H260" s="2" t="s">
        <v>12</v>
      </c>
      <c r="I260" s="2" t="s">
        <v>12</v>
      </c>
      <c r="J260" s="2" t="s">
        <v>12</v>
      </c>
      <c r="K260" s="2" t="s">
        <v>12</v>
      </c>
    </row>
    <row r="261" spans="1:11" ht="12.5" x14ac:dyDescent="0.25">
      <c r="A261" s="3" t="e">
        <f ca="1"/>
        <v>#NAME?</v>
      </c>
      <c r="B261" s="2" t="s">
        <v>12</v>
      </c>
      <c r="C261" s="2" t="s">
        <v>12</v>
      </c>
      <c r="D261" s="2" t="s">
        <v>12</v>
      </c>
      <c r="E261" s="2" t="s">
        <v>12</v>
      </c>
      <c r="F261" s="2" t="s">
        <v>12</v>
      </c>
      <c r="G261" s="2" t="s">
        <v>12</v>
      </c>
      <c r="H261" s="2" t="s">
        <v>12</v>
      </c>
      <c r="I261" s="2" t="s">
        <v>12</v>
      </c>
      <c r="J261" s="2" t="s">
        <v>12</v>
      </c>
      <c r="K261" s="2" t="s">
        <v>12</v>
      </c>
    </row>
    <row r="262" spans="1:11" ht="12.5" x14ac:dyDescent="0.25">
      <c r="A262" s="3" t="e">
        <f ca="1"/>
        <v>#NAME?</v>
      </c>
      <c r="B262" s="2" t="s">
        <v>12</v>
      </c>
      <c r="C262" s="2" t="s">
        <v>12</v>
      </c>
      <c r="D262" s="2" t="s">
        <v>12</v>
      </c>
      <c r="E262" s="2" t="s">
        <v>12</v>
      </c>
      <c r="F262" s="2" t="s">
        <v>12</v>
      </c>
      <c r="G262" s="2" t="s">
        <v>12</v>
      </c>
      <c r="H262" s="2" t="s">
        <v>12</v>
      </c>
      <c r="I262" s="2" t="s">
        <v>12</v>
      </c>
      <c r="J262" s="2" t="s">
        <v>12</v>
      </c>
      <c r="K262" s="2" t="s">
        <v>12</v>
      </c>
    </row>
    <row r="263" spans="1:11" ht="12.5" x14ac:dyDescent="0.25">
      <c r="A263" s="3" t="e">
        <f ca="1"/>
        <v>#NAME?</v>
      </c>
      <c r="B263" s="2" t="s">
        <v>12</v>
      </c>
      <c r="C263" s="2" t="s">
        <v>12</v>
      </c>
      <c r="D263" s="2" t="s">
        <v>12</v>
      </c>
      <c r="E263" s="2" t="s">
        <v>12</v>
      </c>
      <c r="F263" s="2" t="s">
        <v>12</v>
      </c>
      <c r="G263" s="2" t="s">
        <v>12</v>
      </c>
      <c r="H263" s="2" t="s">
        <v>12</v>
      </c>
      <c r="I263" s="2" t="s">
        <v>12</v>
      </c>
      <c r="J263" s="2" t="s">
        <v>12</v>
      </c>
      <c r="K263" s="2" t="s">
        <v>12</v>
      </c>
    </row>
    <row r="264" spans="1:11" ht="12.5" x14ac:dyDescent="0.25">
      <c r="A264" s="3" t="e">
        <f ca="1"/>
        <v>#NAME?</v>
      </c>
      <c r="B264" s="2" t="s">
        <v>12</v>
      </c>
      <c r="C264" s="2" t="s">
        <v>12</v>
      </c>
      <c r="D264" s="2" t="s">
        <v>12</v>
      </c>
      <c r="E264" s="2" t="s">
        <v>12</v>
      </c>
      <c r="F264" s="2" t="s">
        <v>12</v>
      </c>
      <c r="G264" s="2" t="s">
        <v>12</v>
      </c>
      <c r="H264" s="2" t="s">
        <v>12</v>
      </c>
      <c r="I264" s="2" t="s">
        <v>12</v>
      </c>
      <c r="J264" s="2" t="s">
        <v>12</v>
      </c>
      <c r="K264" s="2" t="s">
        <v>12</v>
      </c>
    </row>
    <row r="265" spans="1:11" ht="12.5" x14ac:dyDescent="0.25">
      <c r="A265" s="3" t="e">
        <f ca="1"/>
        <v>#NAME?</v>
      </c>
      <c r="B265" s="2" t="s">
        <v>12</v>
      </c>
      <c r="C265" s="2" t="s">
        <v>12</v>
      </c>
      <c r="D265" s="2" t="s">
        <v>12</v>
      </c>
      <c r="E265" s="2" t="s">
        <v>12</v>
      </c>
      <c r="F265" s="2" t="s">
        <v>12</v>
      </c>
      <c r="G265" s="2" t="s">
        <v>12</v>
      </c>
      <c r="H265" s="2" t="s">
        <v>12</v>
      </c>
      <c r="I265" s="2" t="s">
        <v>12</v>
      </c>
      <c r="J265" s="2" t="s">
        <v>12</v>
      </c>
      <c r="K265" s="2" t="s">
        <v>12</v>
      </c>
    </row>
    <row r="266" spans="1:11" ht="12.5" x14ac:dyDescent="0.25">
      <c r="A266" s="3" t="e">
        <f ca="1"/>
        <v>#NAME?</v>
      </c>
      <c r="B266" s="2" t="s">
        <v>12</v>
      </c>
      <c r="C266" s="2" t="s">
        <v>12</v>
      </c>
      <c r="D266" s="2" t="s">
        <v>12</v>
      </c>
      <c r="E266" s="2" t="s">
        <v>12</v>
      </c>
      <c r="F266" s="2" t="s">
        <v>12</v>
      </c>
      <c r="G266" s="2" t="s">
        <v>12</v>
      </c>
      <c r="H266" s="2" t="s">
        <v>12</v>
      </c>
      <c r="I266" s="2" t="s">
        <v>12</v>
      </c>
      <c r="J266" s="2" t="s">
        <v>12</v>
      </c>
      <c r="K266" s="2" t="s">
        <v>12</v>
      </c>
    </row>
    <row r="267" spans="1:11" ht="12.5" x14ac:dyDescent="0.25">
      <c r="A267" s="3" t="e">
        <f ca="1"/>
        <v>#NAME?</v>
      </c>
      <c r="B267" s="2" t="s">
        <v>12</v>
      </c>
      <c r="C267" s="2" t="s">
        <v>12</v>
      </c>
      <c r="D267" s="2" t="s">
        <v>12</v>
      </c>
      <c r="E267" s="2" t="s">
        <v>12</v>
      </c>
      <c r="F267" s="2" t="s">
        <v>12</v>
      </c>
      <c r="G267" s="2" t="s">
        <v>12</v>
      </c>
      <c r="H267" s="2" t="s">
        <v>12</v>
      </c>
      <c r="I267" s="2" t="s">
        <v>12</v>
      </c>
      <c r="J267" s="2" t="s">
        <v>12</v>
      </c>
      <c r="K267" s="2" t="s">
        <v>12</v>
      </c>
    </row>
    <row r="268" spans="1:11" ht="12.5" x14ac:dyDescent="0.25">
      <c r="A268" s="3" t="e">
        <f ca="1"/>
        <v>#NAME?</v>
      </c>
      <c r="B268" s="2" t="s">
        <v>12</v>
      </c>
      <c r="C268" s="2" t="s">
        <v>12</v>
      </c>
      <c r="D268" s="2" t="s">
        <v>12</v>
      </c>
      <c r="E268" s="2" t="s">
        <v>12</v>
      </c>
      <c r="F268" s="2" t="s">
        <v>12</v>
      </c>
      <c r="G268" s="2" t="s">
        <v>12</v>
      </c>
      <c r="H268" s="2" t="s">
        <v>12</v>
      </c>
      <c r="I268" s="2" t="s">
        <v>12</v>
      </c>
      <c r="J268" s="2" t="s">
        <v>12</v>
      </c>
      <c r="K268" s="2" t="s">
        <v>12</v>
      </c>
    </row>
    <row r="269" spans="1:11" ht="12.5" x14ac:dyDescent="0.25">
      <c r="A269" s="3" t="e">
        <f ca="1"/>
        <v>#NAME?</v>
      </c>
      <c r="B269" s="2" t="s">
        <v>12</v>
      </c>
      <c r="C269" s="2" t="s">
        <v>12</v>
      </c>
      <c r="D269" s="2" t="s">
        <v>12</v>
      </c>
      <c r="E269" s="2" t="s">
        <v>12</v>
      </c>
      <c r="F269" s="2" t="s">
        <v>12</v>
      </c>
      <c r="G269" s="2" t="s">
        <v>12</v>
      </c>
      <c r="H269" s="2" t="s">
        <v>12</v>
      </c>
      <c r="I269" s="2" t="s">
        <v>12</v>
      </c>
      <c r="J269" s="2" t="s">
        <v>12</v>
      </c>
      <c r="K269" s="2" t="s">
        <v>12</v>
      </c>
    </row>
    <row r="270" spans="1:11" ht="12.5" x14ac:dyDescent="0.25">
      <c r="A270" s="3" t="e">
        <f ca="1"/>
        <v>#NAME?</v>
      </c>
      <c r="B270" s="2" t="s">
        <v>12</v>
      </c>
      <c r="C270" s="2" t="s">
        <v>12</v>
      </c>
      <c r="D270" s="2" t="s">
        <v>12</v>
      </c>
      <c r="E270" s="2" t="s">
        <v>12</v>
      </c>
      <c r="F270" s="2" t="s">
        <v>12</v>
      </c>
      <c r="G270" s="2" t="s">
        <v>12</v>
      </c>
      <c r="H270" s="2" t="s">
        <v>12</v>
      </c>
      <c r="I270" s="2" t="s">
        <v>12</v>
      </c>
      <c r="J270" s="2" t="s">
        <v>12</v>
      </c>
      <c r="K270" s="2" t="s">
        <v>12</v>
      </c>
    </row>
    <row r="271" spans="1:11" ht="12.5" x14ac:dyDescent="0.25">
      <c r="A271" s="3" t="e">
        <f ca="1"/>
        <v>#NAME?</v>
      </c>
      <c r="B271" s="2" t="s">
        <v>12</v>
      </c>
      <c r="C271" s="2" t="s">
        <v>12</v>
      </c>
      <c r="D271" s="2" t="s">
        <v>12</v>
      </c>
      <c r="E271" s="2" t="s">
        <v>12</v>
      </c>
      <c r="F271" s="2" t="s">
        <v>12</v>
      </c>
      <c r="G271" s="2" t="s">
        <v>12</v>
      </c>
      <c r="H271" s="2" t="s">
        <v>12</v>
      </c>
      <c r="I271" s="2" t="s">
        <v>12</v>
      </c>
      <c r="J271" s="2" t="s">
        <v>12</v>
      </c>
      <c r="K271" s="2" t="s">
        <v>12</v>
      </c>
    </row>
    <row r="272" spans="1:11" ht="12.5" x14ac:dyDescent="0.25">
      <c r="A272" s="3" t="e">
        <f ca="1"/>
        <v>#NAME?</v>
      </c>
      <c r="B272" s="2" t="s">
        <v>12</v>
      </c>
      <c r="C272" s="2" t="s">
        <v>12</v>
      </c>
      <c r="D272" s="2" t="s">
        <v>12</v>
      </c>
      <c r="E272" s="2" t="s">
        <v>12</v>
      </c>
      <c r="F272" s="2" t="s">
        <v>12</v>
      </c>
      <c r="G272" s="2" t="s">
        <v>12</v>
      </c>
      <c r="H272" s="2" t="s">
        <v>12</v>
      </c>
      <c r="I272" s="2" t="s">
        <v>12</v>
      </c>
      <c r="J272" s="2" t="s">
        <v>12</v>
      </c>
      <c r="K272" s="2" t="s">
        <v>12</v>
      </c>
    </row>
    <row r="273" spans="1:11" ht="12.5" x14ac:dyDescent="0.25">
      <c r="A273" s="3" t="e">
        <f ca="1"/>
        <v>#NAME?</v>
      </c>
      <c r="B273" s="2" t="s">
        <v>12</v>
      </c>
      <c r="C273" s="2" t="s">
        <v>12</v>
      </c>
      <c r="D273" s="2" t="s">
        <v>12</v>
      </c>
      <c r="E273" s="2" t="s">
        <v>12</v>
      </c>
      <c r="F273" s="2" t="s">
        <v>12</v>
      </c>
      <c r="G273" s="2" t="s">
        <v>12</v>
      </c>
      <c r="H273" s="2" t="s">
        <v>12</v>
      </c>
      <c r="I273" s="2" t="s">
        <v>12</v>
      </c>
      <c r="J273" s="2" t="s">
        <v>12</v>
      </c>
      <c r="K273" s="2" t="s">
        <v>12</v>
      </c>
    </row>
    <row r="274" spans="1:11" ht="12.5" x14ac:dyDescent="0.25">
      <c r="A274" s="3" t="e">
        <f ca="1"/>
        <v>#NAME?</v>
      </c>
      <c r="B274" s="2" t="s">
        <v>12</v>
      </c>
      <c r="C274" s="2" t="s">
        <v>12</v>
      </c>
      <c r="D274" s="2" t="s">
        <v>12</v>
      </c>
      <c r="E274" s="2" t="s">
        <v>12</v>
      </c>
      <c r="F274" s="2" t="s">
        <v>12</v>
      </c>
      <c r="G274" s="2" t="s">
        <v>12</v>
      </c>
      <c r="H274" s="2" t="s">
        <v>12</v>
      </c>
      <c r="I274" s="2" t="s">
        <v>12</v>
      </c>
      <c r="J274" s="2" t="s">
        <v>12</v>
      </c>
      <c r="K274" s="2" t="s">
        <v>12</v>
      </c>
    </row>
    <row r="275" spans="1:11" ht="12.5" x14ac:dyDescent="0.25">
      <c r="A275" s="3" t="e">
        <f ca="1"/>
        <v>#NAME?</v>
      </c>
      <c r="B275" s="2" t="s">
        <v>12</v>
      </c>
      <c r="C275" s="2" t="s">
        <v>12</v>
      </c>
      <c r="D275" s="2" t="s">
        <v>12</v>
      </c>
      <c r="E275" s="2" t="s">
        <v>12</v>
      </c>
      <c r="F275" s="2" t="s">
        <v>12</v>
      </c>
      <c r="G275" s="2" t="s">
        <v>12</v>
      </c>
      <c r="H275" s="2" t="s">
        <v>12</v>
      </c>
      <c r="I275" s="2" t="s">
        <v>12</v>
      </c>
      <c r="J275" s="2" t="s">
        <v>12</v>
      </c>
      <c r="K275" s="2" t="s">
        <v>12</v>
      </c>
    </row>
    <row r="276" spans="1:11" ht="12.5" x14ac:dyDescent="0.25">
      <c r="A276" s="3" t="e">
        <f ca="1"/>
        <v>#NAME?</v>
      </c>
      <c r="B276" s="2" t="s">
        <v>12</v>
      </c>
      <c r="C276" s="2" t="s">
        <v>12</v>
      </c>
      <c r="D276" s="2" t="s">
        <v>12</v>
      </c>
      <c r="E276" s="2" t="s">
        <v>12</v>
      </c>
      <c r="F276" s="2" t="s">
        <v>12</v>
      </c>
      <c r="G276" s="2" t="s">
        <v>12</v>
      </c>
      <c r="H276" s="2" t="s">
        <v>12</v>
      </c>
      <c r="I276" s="2" t="s">
        <v>12</v>
      </c>
      <c r="J276" s="2" t="s">
        <v>12</v>
      </c>
      <c r="K276" s="2" t="s">
        <v>12</v>
      </c>
    </row>
    <row r="277" spans="1:11" ht="12.5" x14ac:dyDescent="0.25">
      <c r="A277" s="3" t="e">
        <f ca="1"/>
        <v>#NAME?</v>
      </c>
      <c r="B277" s="2" t="s">
        <v>12</v>
      </c>
      <c r="C277" s="2" t="s">
        <v>12</v>
      </c>
      <c r="D277" s="2" t="s">
        <v>12</v>
      </c>
      <c r="E277" s="2" t="s">
        <v>12</v>
      </c>
      <c r="F277" s="2" t="s">
        <v>12</v>
      </c>
      <c r="G277" s="2" t="s">
        <v>12</v>
      </c>
      <c r="H277" s="2" t="s">
        <v>12</v>
      </c>
      <c r="I277" s="2" t="s">
        <v>12</v>
      </c>
      <c r="J277" s="2" t="s">
        <v>12</v>
      </c>
      <c r="K277" s="2" t="s">
        <v>12</v>
      </c>
    </row>
    <row r="278" spans="1:11" ht="12.5" x14ac:dyDescent="0.25">
      <c r="A278" s="3" t="e">
        <f ca="1"/>
        <v>#NAME?</v>
      </c>
      <c r="B278" s="2" t="s">
        <v>12</v>
      </c>
      <c r="C278" s="2" t="s">
        <v>12</v>
      </c>
      <c r="D278" s="2" t="s">
        <v>12</v>
      </c>
      <c r="E278" s="2" t="s">
        <v>12</v>
      </c>
      <c r="F278" s="2" t="s">
        <v>12</v>
      </c>
      <c r="G278" s="2" t="s">
        <v>12</v>
      </c>
      <c r="H278" s="2" t="s">
        <v>12</v>
      </c>
      <c r="I278" s="2" t="s">
        <v>12</v>
      </c>
      <c r="J278" s="2" t="s">
        <v>12</v>
      </c>
      <c r="K278" s="2" t="s">
        <v>12</v>
      </c>
    </row>
    <row r="279" spans="1:11" ht="12.5" x14ac:dyDescent="0.25">
      <c r="A279" s="3" t="e">
        <f ca="1"/>
        <v>#NAME?</v>
      </c>
      <c r="B279" s="2" t="s">
        <v>12</v>
      </c>
      <c r="C279" s="2" t="s">
        <v>12</v>
      </c>
      <c r="D279" s="2" t="s">
        <v>12</v>
      </c>
      <c r="E279" s="2" t="s">
        <v>12</v>
      </c>
      <c r="F279" s="2" t="s">
        <v>12</v>
      </c>
      <c r="G279" s="2" t="s">
        <v>12</v>
      </c>
      <c r="H279" s="2" t="s">
        <v>12</v>
      </c>
      <c r="I279" s="2" t="s">
        <v>12</v>
      </c>
      <c r="J279" s="2" t="s">
        <v>12</v>
      </c>
      <c r="K279" s="2" t="s">
        <v>12</v>
      </c>
    </row>
    <row r="280" spans="1:11" ht="12.5" x14ac:dyDescent="0.25">
      <c r="A280" s="3" t="e">
        <f ca="1"/>
        <v>#NAME?</v>
      </c>
      <c r="B280" s="2" t="s">
        <v>12</v>
      </c>
      <c r="C280" s="2" t="s">
        <v>12</v>
      </c>
      <c r="D280" s="2" t="s">
        <v>12</v>
      </c>
      <c r="E280" s="2" t="s">
        <v>12</v>
      </c>
      <c r="F280" s="2" t="s">
        <v>12</v>
      </c>
      <c r="G280" s="2" t="s">
        <v>12</v>
      </c>
      <c r="H280" s="2" t="s">
        <v>12</v>
      </c>
      <c r="I280" s="2" t="s">
        <v>12</v>
      </c>
      <c r="J280" s="2" t="s">
        <v>12</v>
      </c>
      <c r="K280" s="2" t="s">
        <v>12</v>
      </c>
    </row>
    <row r="281" spans="1:11" ht="12.5" x14ac:dyDescent="0.25">
      <c r="A281" s="3" t="e">
        <f ca="1"/>
        <v>#NAME?</v>
      </c>
      <c r="B281" s="2" t="s">
        <v>12</v>
      </c>
      <c r="C281" s="2" t="s">
        <v>12</v>
      </c>
      <c r="D281" s="2" t="s">
        <v>12</v>
      </c>
      <c r="E281" s="2" t="s">
        <v>12</v>
      </c>
      <c r="F281" s="2" t="s">
        <v>12</v>
      </c>
      <c r="G281" s="2" t="s">
        <v>12</v>
      </c>
      <c r="H281" s="2" t="s">
        <v>12</v>
      </c>
      <c r="I281" s="2" t="s">
        <v>12</v>
      </c>
      <c r="J281" s="2" t="s">
        <v>12</v>
      </c>
      <c r="K281" s="2" t="s">
        <v>12</v>
      </c>
    </row>
    <row r="282" spans="1:11" ht="12.5" x14ac:dyDescent="0.25">
      <c r="A282" s="3" t="e">
        <f ca="1"/>
        <v>#NAME?</v>
      </c>
      <c r="B282" s="2" t="s">
        <v>12</v>
      </c>
      <c r="C282" s="2" t="s">
        <v>12</v>
      </c>
      <c r="D282" s="2" t="s">
        <v>12</v>
      </c>
      <c r="E282" s="2" t="s">
        <v>12</v>
      </c>
      <c r="F282" s="2" t="s">
        <v>12</v>
      </c>
      <c r="G282" s="2" t="s">
        <v>12</v>
      </c>
      <c r="H282" s="2" t="s">
        <v>12</v>
      </c>
      <c r="I282" s="2" t="s">
        <v>12</v>
      </c>
      <c r="J282" s="2" t="s">
        <v>12</v>
      </c>
      <c r="K282" s="2" t="s">
        <v>12</v>
      </c>
    </row>
    <row r="283" spans="1:11" ht="12.5" x14ac:dyDescent="0.25">
      <c r="A283" s="3" t="e">
        <f ca="1"/>
        <v>#NAME?</v>
      </c>
      <c r="B283" s="2" t="s">
        <v>12</v>
      </c>
      <c r="C283" s="2" t="s">
        <v>12</v>
      </c>
      <c r="D283" s="2" t="s">
        <v>12</v>
      </c>
      <c r="E283" s="2" t="s">
        <v>12</v>
      </c>
      <c r="F283" s="2" t="s">
        <v>12</v>
      </c>
      <c r="G283" s="2" t="s">
        <v>12</v>
      </c>
      <c r="H283" s="2" t="s">
        <v>12</v>
      </c>
      <c r="I283" s="2" t="s">
        <v>12</v>
      </c>
      <c r="J283" s="2" t="s">
        <v>12</v>
      </c>
      <c r="K283" s="2" t="s">
        <v>12</v>
      </c>
    </row>
    <row r="284" spans="1:11" ht="12.5" x14ac:dyDescent="0.25">
      <c r="A284" s="3" t="e">
        <f ca="1"/>
        <v>#NAME?</v>
      </c>
      <c r="B284" s="2" t="s">
        <v>12</v>
      </c>
      <c r="C284" s="2" t="s">
        <v>12</v>
      </c>
      <c r="D284" s="2" t="s">
        <v>12</v>
      </c>
      <c r="E284" s="2" t="s">
        <v>12</v>
      </c>
      <c r="F284" s="2" t="s">
        <v>12</v>
      </c>
      <c r="G284" s="2" t="s">
        <v>12</v>
      </c>
      <c r="H284" s="2" t="s">
        <v>12</v>
      </c>
      <c r="I284" s="2" t="s">
        <v>12</v>
      </c>
      <c r="J284" s="2" t="s">
        <v>12</v>
      </c>
      <c r="K284" s="2" t="s">
        <v>12</v>
      </c>
    </row>
    <row r="285" spans="1:11" ht="12.5" x14ac:dyDescent="0.25">
      <c r="A285" s="3" t="e">
        <f ca="1"/>
        <v>#NAME?</v>
      </c>
      <c r="B285" s="2" t="s">
        <v>12</v>
      </c>
      <c r="C285" s="2" t="s">
        <v>12</v>
      </c>
      <c r="D285" s="2" t="s">
        <v>12</v>
      </c>
      <c r="E285" s="2" t="s">
        <v>12</v>
      </c>
      <c r="F285" s="2" t="s">
        <v>12</v>
      </c>
      <c r="G285" s="2" t="s">
        <v>12</v>
      </c>
      <c r="H285" s="2" t="s">
        <v>12</v>
      </c>
      <c r="I285" s="2" t="s">
        <v>12</v>
      </c>
      <c r="J285" s="2" t="s">
        <v>12</v>
      </c>
      <c r="K285" s="2" t="s">
        <v>12</v>
      </c>
    </row>
    <row r="286" spans="1:11" ht="12.5" x14ac:dyDescent="0.25">
      <c r="A286" s="3" t="e">
        <f ca="1"/>
        <v>#NAME?</v>
      </c>
      <c r="B286" s="2" t="s">
        <v>12</v>
      </c>
      <c r="C286" s="2" t="s">
        <v>12</v>
      </c>
      <c r="D286" s="2" t="s">
        <v>12</v>
      </c>
      <c r="E286" s="2" t="s">
        <v>12</v>
      </c>
      <c r="F286" s="2" t="s">
        <v>12</v>
      </c>
      <c r="G286" s="2" t="s">
        <v>12</v>
      </c>
      <c r="H286" s="2" t="s">
        <v>12</v>
      </c>
      <c r="I286" s="2" t="s">
        <v>12</v>
      </c>
      <c r="J286" s="2" t="s">
        <v>12</v>
      </c>
      <c r="K286" s="2" t="s">
        <v>12</v>
      </c>
    </row>
    <row r="287" spans="1:11" ht="12.5" x14ac:dyDescent="0.25">
      <c r="A287" s="3" t="e">
        <f ca="1"/>
        <v>#NAME?</v>
      </c>
      <c r="B287" s="2" t="s">
        <v>12</v>
      </c>
      <c r="C287" s="2" t="s">
        <v>12</v>
      </c>
      <c r="D287" s="2" t="s">
        <v>12</v>
      </c>
      <c r="E287" s="2" t="s">
        <v>12</v>
      </c>
      <c r="F287" s="2" t="s">
        <v>12</v>
      </c>
      <c r="G287" s="2" t="s">
        <v>12</v>
      </c>
      <c r="H287" s="2" t="s">
        <v>12</v>
      </c>
      <c r="I287" s="2" t="s">
        <v>12</v>
      </c>
      <c r="J287" s="2" t="s">
        <v>12</v>
      </c>
      <c r="K287" s="2" t="s">
        <v>12</v>
      </c>
    </row>
    <row r="288" spans="1:11" ht="12.5" x14ac:dyDescent="0.25">
      <c r="A288" s="3" t="e">
        <f ca="1"/>
        <v>#NAME?</v>
      </c>
      <c r="B288" s="2" t="s">
        <v>12</v>
      </c>
      <c r="C288" s="2" t="s">
        <v>12</v>
      </c>
      <c r="D288" s="2" t="s">
        <v>12</v>
      </c>
      <c r="E288" s="2" t="s">
        <v>12</v>
      </c>
      <c r="F288" s="2" t="s">
        <v>12</v>
      </c>
      <c r="G288" s="2" t="s">
        <v>12</v>
      </c>
      <c r="H288" s="2" t="s">
        <v>12</v>
      </c>
      <c r="I288" s="2" t="s">
        <v>12</v>
      </c>
      <c r="J288" s="2" t="s">
        <v>12</v>
      </c>
      <c r="K288" s="2" t="s">
        <v>12</v>
      </c>
    </row>
    <row r="289" spans="1:11" ht="12.5" x14ac:dyDescent="0.25">
      <c r="A289" s="3" t="e">
        <f ca="1"/>
        <v>#NAME?</v>
      </c>
      <c r="B289" s="2" t="s">
        <v>12</v>
      </c>
      <c r="C289" s="2" t="s">
        <v>12</v>
      </c>
      <c r="D289" s="2" t="s">
        <v>12</v>
      </c>
      <c r="E289" s="2" t="s">
        <v>12</v>
      </c>
      <c r="F289" s="2" t="s">
        <v>12</v>
      </c>
      <c r="G289" s="2" t="s">
        <v>12</v>
      </c>
      <c r="H289" s="2" t="s">
        <v>12</v>
      </c>
      <c r="I289" s="2" t="s">
        <v>12</v>
      </c>
      <c r="J289" s="2" t="s">
        <v>12</v>
      </c>
      <c r="K289" s="2" t="s">
        <v>12</v>
      </c>
    </row>
    <row r="290" spans="1:11" ht="12.5" x14ac:dyDescent="0.25">
      <c r="A290" s="3" t="e">
        <f ca="1"/>
        <v>#NAME?</v>
      </c>
      <c r="B290" s="2" t="s">
        <v>12</v>
      </c>
      <c r="C290" s="2" t="s">
        <v>12</v>
      </c>
      <c r="D290" s="2" t="s">
        <v>12</v>
      </c>
      <c r="E290" s="2" t="s">
        <v>12</v>
      </c>
      <c r="F290" s="2" t="s">
        <v>12</v>
      </c>
      <c r="G290" s="2" t="s">
        <v>12</v>
      </c>
      <c r="H290" s="2" t="s">
        <v>12</v>
      </c>
      <c r="I290" s="2" t="s">
        <v>12</v>
      </c>
      <c r="J290" s="2" t="s">
        <v>12</v>
      </c>
      <c r="K290" s="2" t="s">
        <v>12</v>
      </c>
    </row>
    <row r="291" spans="1:11" ht="12.5" x14ac:dyDescent="0.25">
      <c r="A291" s="3" t="e">
        <f ca="1"/>
        <v>#NAME?</v>
      </c>
      <c r="B291" s="2" t="s">
        <v>12</v>
      </c>
      <c r="C291" s="2" t="s">
        <v>12</v>
      </c>
      <c r="D291" s="2" t="s">
        <v>12</v>
      </c>
      <c r="E291" s="2" t="s">
        <v>12</v>
      </c>
      <c r="F291" s="2" t="s">
        <v>12</v>
      </c>
      <c r="G291" s="2" t="s">
        <v>12</v>
      </c>
      <c r="H291" s="2" t="s">
        <v>12</v>
      </c>
      <c r="I291" s="2" t="s">
        <v>12</v>
      </c>
      <c r="J291" s="2" t="s">
        <v>12</v>
      </c>
      <c r="K291" s="2" t="s">
        <v>12</v>
      </c>
    </row>
    <row r="292" spans="1:11" ht="12.5" x14ac:dyDescent="0.25">
      <c r="A292" s="3" t="e">
        <f ca="1"/>
        <v>#NAME?</v>
      </c>
      <c r="B292" s="2" t="s">
        <v>12</v>
      </c>
      <c r="C292" s="2" t="s">
        <v>12</v>
      </c>
      <c r="D292" s="2" t="s">
        <v>12</v>
      </c>
      <c r="E292" s="2" t="s">
        <v>12</v>
      </c>
      <c r="F292" s="2" t="s">
        <v>12</v>
      </c>
      <c r="G292" s="2" t="s">
        <v>12</v>
      </c>
      <c r="H292" s="2" t="s">
        <v>12</v>
      </c>
      <c r="I292" s="2" t="s">
        <v>12</v>
      </c>
      <c r="J292" s="2" t="s">
        <v>12</v>
      </c>
      <c r="K292" s="2" t="s">
        <v>12</v>
      </c>
    </row>
    <row r="293" spans="1:11" ht="12.5" x14ac:dyDescent="0.25">
      <c r="A293" s="3" t="e">
        <f ca="1"/>
        <v>#NAME?</v>
      </c>
      <c r="B293" s="2" t="s">
        <v>12</v>
      </c>
      <c r="C293" s="2" t="s">
        <v>12</v>
      </c>
      <c r="D293" s="2" t="s">
        <v>12</v>
      </c>
      <c r="E293" s="2" t="s">
        <v>12</v>
      </c>
      <c r="F293" s="2" t="s">
        <v>12</v>
      </c>
      <c r="G293" s="2" t="s">
        <v>12</v>
      </c>
      <c r="H293" s="2" t="s">
        <v>12</v>
      </c>
      <c r="I293" s="2" t="s">
        <v>12</v>
      </c>
      <c r="J293" s="2" t="s">
        <v>12</v>
      </c>
      <c r="K293" s="2" t="s">
        <v>12</v>
      </c>
    </row>
    <row r="294" spans="1:11" ht="12.5" x14ac:dyDescent="0.25">
      <c r="A294" s="3" t="e">
        <f ca="1"/>
        <v>#NAME?</v>
      </c>
      <c r="B294" s="2" t="s">
        <v>12</v>
      </c>
      <c r="C294" s="2" t="s">
        <v>12</v>
      </c>
      <c r="D294" s="2" t="s">
        <v>12</v>
      </c>
      <c r="E294" s="2" t="s">
        <v>12</v>
      </c>
      <c r="F294" s="2" t="s">
        <v>12</v>
      </c>
      <c r="G294" s="2" t="s">
        <v>12</v>
      </c>
      <c r="H294" s="2" t="s">
        <v>12</v>
      </c>
      <c r="I294" s="2" t="s">
        <v>12</v>
      </c>
      <c r="J294" s="2" t="s">
        <v>12</v>
      </c>
      <c r="K294" s="2" t="s">
        <v>12</v>
      </c>
    </row>
    <row r="295" spans="1:11" ht="12.5" x14ac:dyDescent="0.25">
      <c r="A295" s="3" t="e">
        <f ca="1"/>
        <v>#NAME?</v>
      </c>
      <c r="B295" s="2" t="s">
        <v>12</v>
      </c>
      <c r="C295" s="2" t="s">
        <v>12</v>
      </c>
      <c r="D295" s="2" t="s">
        <v>12</v>
      </c>
      <c r="E295" s="2" t="s">
        <v>12</v>
      </c>
      <c r="F295" s="2" t="s">
        <v>12</v>
      </c>
      <c r="G295" s="2" t="s">
        <v>12</v>
      </c>
      <c r="H295" s="2" t="s">
        <v>12</v>
      </c>
      <c r="I295" s="2" t="s">
        <v>12</v>
      </c>
      <c r="J295" s="2" t="s">
        <v>12</v>
      </c>
      <c r="K295" s="2" t="s">
        <v>12</v>
      </c>
    </row>
    <row r="296" spans="1:11" ht="12.5" x14ac:dyDescent="0.25">
      <c r="A296" s="3" t="e">
        <f ca="1"/>
        <v>#NAME?</v>
      </c>
      <c r="B296" s="2" t="s">
        <v>12</v>
      </c>
      <c r="C296" s="2" t="s">
        <v>12</v>
      </c>
      <c r="D296" s="2" t="s">
        <v>12</v>
      </c>
      <c r="E296" s="2" t="s">
        <v>12</v>
      </c>
      <c r="F296" s="2" t="s">
        <v>12</v>
      </c>
      <c r="G296" s="2" t="s">
        <v>12</v>
      </c>
      <c r="H296" s="2" t="s">
        <v>12</v>
      </c>
      <c r="I296" s="2" t="s">
        <v>12</v>
      </c>
      <c r="J296" s="2" t="s">
        <v>12</v>
      </c>
      <c r="K296" s="2" t="s">
        <v>12</v>
      </c>
    </row>
    <row r="297" spans="1:11" ht="12.5" x14ac:dyDescent="0.25">
      <c r="A297" s="3" t="e">
        <f ca="1"/>
        <v>#NAME?</v>
      </c>
      <c r="B297" s="2" t="s">
        <v>12</v>
      </c>
      <c r="C297" s="2" t="s">
        <v>12</v>
      </c>
      <c r="D297" s="2" t="s">
        <v>12</v>
      </c>
      <c r="E297" s="2" t="s">
        <v>12</v>
      </c>
      <c r="F297" s="2" t="s">
        <v>12</v>
      </c>
      <c r="G297" s="2" t="s">
        <v>12</v>
      </c>
      <c r="H297" s="2" t="s">
        <v>12</v>
      </c>
      <c r="I297" s="2" t="s">
        <v>12</v>
      </c>
      <c r="J297" s="2" t="s">
        <v>12</v>
      </c>
      <c r="K297" s="2" t="s">
        <v>12</v>
      </c>
    </row>
    <row r="298" spans="1:11" ht="12.5" x14ac:dyDescent="0.25">
      <c r="A298" s="3" t="e">
        <f ca="1"/>
        <v>#NAME?</v>
      </c>
      <c r="B298" s="2" t="s">
        <v>12</v>
      </c>
      <c r="C298" s="2" t="s">
        <v>12</v>
      </c>
      <c r="D298" s="2" t="s">
        <v>12</v>
      </c>
      <c r="E298" s="2" t="s">
        <v>12</v>
      </c>
      <c r="F298" s="2" t="s">
        <v>12</v>
      </c>
      <c r="G298" s="2" t="s">
        <v>12</v>
      </c>
      <c r="H298" s="2" t="s">
        <v>12</v>
      </c>
      <c r="I298" s="2" t="s">
        <v>12</v>
      </c>
      <c r="J298" s="2" t="s">
        <v>12</v>
      </c>
      <c r="K298" s="2" t="s">
        <v>12</v>
      </c>
    </row>
    <row r="299" spans="1:11" ht="12.5" x14ac:dyDescent="0.25">
      <c r="A299" s="3" t="e">
        <f ca="1"/>
        <v>#NAME?</v>
      </c>
      <c r="B299" s="2" t="s">
        <v>12</v>
      </c>
      <c r="C299" s="2" t="s">
        <v>12</v>
      </c>
      <c r="D299" s="2" t="s">
        <v>12</v>
      </c>
      <c r="E299" s="2" t="s">
        <v>12</v>
      </c>
      <c r="F299" s="2" t="s">
        <v>12</v>
      </c>
      <c r="G299" s="2" t="s">
        <v>12</v>
      </c>
      <c r="H299" s="2" t="s">
        <v>12</v>
      </c>
      <c r="I299" s="2" t="s">
        <v>12</v>
      </c>
      <c r="J299" s="2" t="s">
        <v>12</v>
      </c>
      <c r="K299" s="2" t="s">
        <v>12</v>
      </c>
    </row>
    <row r="300" spans="1:11" ht="12.5" x14ac:dyDescent="0.25">
      <c r="A300" s="3" t="e">
        <f ca="1"/>
        <v>#NAME?</v>
      </c>
      <c r="B300" s="2" t="s">
        <v>12</v>
      </c>
      <c r="C300" s="2" t="s">
        <v>12</v>
      </c>
      <c r="D300" s="2" t="s">
        <v>12</v>
      </c>
      <c r="E300" s="2" t="s">
        <v>12</v>
      </c>
      <c r="F300" s="2" t="s">
        <v>12</v>
      </c>
      <c r="G300" s="2" t="s">
        <v>12</v>
      </c>
      <c r="H300" s="2" t="s">
        <v>12</v>
      </c>
      <c r="I300" s="2" t="s">
        <v>12</v>
      </c>
      <c r="J300" s="2" t="s">
        <v>12</v>
      </c>
      <c r="K300" s="2" t="s">
        <v>12</v>
      </c>
    </row>
    <row r="301" spans="1:11" ht="12.5" x14ac:dyDescent="0.25">
      <c r="A301" s="3" t="e">
        <f ca="1"/>
        <v>#NAME?</v>
      </c>
      <c r="B301" s="2" t="s">
        <v>12</v>
      </c>
      <c r="C301" s="2" t="s">
        <v>12</v>
      </c>
      <c r="D301" s="2" t="s">
        <v>12</v>
      </c>
      <c r="E301" s="2" t="s">
        <v>12</v>
      </c>
      <c r="F301" s="2" t="s">
        <v>12</v>
      </c>
      <c r="G301" s="2" t="s">
        <v>12</v>
      </c>
      <c r="H301" s="2" t="s">
        <v>12</v>
      </c>
      <c r="I301" s="2" t="s">
        <v>12</v>
      </c>
      <c r="J301" s="2" t="s">
        <v>12</v>
      </c>
      <c r="K301" s="2" t="s">
        <v>12</v>
      </c>
    </row>
    <row r="302" spans="1:11" ht="12.5" x14ac:dyDescent="0.25">
      <c r="A302" s="3" t="e">
        <f ca="1"/>
        <v>#NAME?</v>
      </c>
      <c r="B302" s="2" t="s">
        <v>12</v>
      </c>
      <c r="C302" s="2" t="s">
        <v>12</v>
      </c>
      <c r="D302" s="2" t="s">
        <v>12</v>
      </c>
      <c r="E302" s="2" t="s">
        <v>12</v>
      </c>
      <c r="F302" s="2" t="s">
        <v>12</v>
      </c>
      <c r="G302" s="2" t="s">
        <v>12</v>
      </c>
      <c r="H302" s="2" t="s">
        <v>12</v>
      </c>
      <c r="I302" s="2" t="s">
        <v>12</v>
      </c>
      <c r="J302" s="2" t="s">
        <v>12</v>
      </c>
      <c r="K302" s="2" t="s">
        <v>12</v>
      </c>
    </row>
    <row r="303" spans="1:11" ht="12.5" x14ac:dyDescent="0.25">
      <c r="A303" s="3" t="e">
        <f ca="1"/>
        <v>#NAME?</v>
      </c>
      <c r="B303" s="2" t="s">
        <v>12</v>
      </c>
      <c r="C303" s="2" t="s">
        <v>12</v>
      </c>
      <c r="D303" s="2" t="s">
        <v>12</v>
      </c>
      <c r="E303" s="2" t="s">
        <v>12</v>
      </c>
      <c r="F303" s="2" t="s">
        <v>12</v>
      </c>
      <c r="G303" s="2" t="s">
        <v>12</v>
      </c>
      <c r="H303" s="2" t="s">
        <v>12</v>
      </c>
      <c r="I303" s="2" t="s">
        <v>12</v>
      </c>
      <c r="J303" s="2" t="s">
        <v>12</v>
      </c>
      <c r="K303" s="2" t="s">
        <v>12</v>
      </c>
    </row>
    <row r="304" spans="1:11" ht="12.5" x14ac:dyDescent="0.25">
      <c r="A304" s="3" t="e">
        <f ca="1"/>
        <v>#NAME?</v>
      </c>
      <c r="B304" s="2" t="s">
        <v>12</v>
      </c>
      <c r="C304" s="2" t="s">
        <v>12</v>
      </c>
      <c r="D304" s="2" t="s">
        <v>12</v>
      </c>
      <c r="E304" s="2" t="s">
        <v>12</v>
      </c>
      <c r="F304" s="2" t="s">
        <v>12</v>
      </c>
      <c r="G304" s="2" t="s">
        <v>12</v>
      </c>
      <c r="H304" s="2" t="s">
        <v>12</v>
      </c>
      <c r="I304" s="2" t="s">
        <v>12</v>
      </c>
      <c r="J304" s="2" t="s">
        <v>12</v>
      </c>
      <c r="K304" s="2" t="s">
        <v>12</v>
      </c>
    </row>
    <row r="305" spans="1:11" ht="12.5" x14ac:dyDescent="0.25">
      <c r="A305" s="3" t="e">
        <f ca="1"/>
        <v>#NAME?</v>
      </c>
      <c r="B305" s="2" t="s">
        <v>12</v>
      </c>
      <c r="C305" s="2" t="s">
        <v>12</v>
      </c>
      <c r="D305" s="2" t="s">
        <v>12</v>
      </c>
      <c r="E305" s="2" t="s">
        <v>12</v>
      </c>
      <c r="F305" s="2" t="s">
        <v>12</v>
      </c>
      <c r="G305" s="2" t="s">
        <v>12</v>
      </c>
      <c r="H305" s="2" t="s">
        <v>12</v>
      </c>
      <c r="I305" s="2" t="s">
        <v>12</v>
      </c>
      <c r="J305" s="2" t="s">
        <v>12</v>
      </c>
      <c r="K305" s="2" t="s">
        <v>12</v>
      </c>
    </row>
    <row r="306" spans="1:11" ht="12.5" x14ac:dyDescent="0.25">
      <c r="A306" s="3" t="e">
        <f ca="1"/>
        <v>#NAME?</v>
      </c>
      <c r="B306" s="2" t="s">
        <v>12</v>
      </c>
      <c r="C306" s="2" t="s">
        <v>12</v>
      </c>
      <c r="D306" s="2" t="s">
        <v>12</v>
      </c>
      <c r="E306" s="2" t="s">
        <v>12</v>
      </c>
      <c r="F306" s="2" t="s">
        <v>12</v>
      </c>
      <c r="G306" s="2" t="s">
        <v>12</v>
      </c>
      <c r="H306" s="2" t="s">
        <v>12</v>
      </c>
      <c r="I306" s="2" t="s">
        <v>12</v>
      </c>
      <c r="J306" s="2" t="s">
        <v>12</v>
      </c>
      <c r="K306" s="2" t="s">
        <v>12</v>
      </c>
    </row>
    <row r="307" spans="1:11" ht="12.5" x14ac:dyDescent="0.25">
      <c r="A307" s="3" t="e">
        <f ca="1"/>
        <v>#NAME?</v>
      </c>
      <c r="B307" s="2" t="s">
        <v>12</v>
      </c>
      <c r="C307" s="2" t="s">
        <v>12</v>
      </c>
      <c r="D307" s="2" t="s">
        <v>12</v>
      </c>
      <c r="E307" s="2" t="s">
        <v>12</v>
      </c>
      <c r="F307" s="2" t="s">
        <v>12</v>
      </c>
      <c r="G307" s="2" t="s">
        <v>12</v>
      </c>
      <c r="H307" s="2" t="s">
        <v>12</v>
      </c>
      <c r="I307" s="2" t="s">
        <v>12</v>
      </c>
      <c r="J307" s="2" t="s">
        <v>12</v>
      </c>
      <c r="K307" s="2" t="s">
        <v>12</v>
      </c>
    </row>
    <row r="308" spans="1:11" ht="12.5" x14ac:dyDescent="0.25">
      <c r="A308" s="3" t="e">
        <f ca="1"/>
        <v>#NAME?</v>
      </c>
      <c r="B308" s="2" t="s">
        <v>12</v>
      </c>
      <c r="C308" s="2" t="s">
        <v>12</v>
      </c>
      <c r="D308" s="2" t="s">
        <v>12</v>
      </c>
      <c r="E308" s="2" t="s">
        <v>12</v>
      </c>
      <c r="F308" s="2" t="s">
        <v>12</v>
      </c>
      <c r="G308" s="2" t="s">
        <v>12</v>
      </c>
      <c r="H308" s="2" t="s">
        <v>12</v>
      </c>
      <c r="I308" s="2" t="s">
        <v>12</v>
      </c>
      <c r="J308" s="2" t="s">
        <v>12</v>
      </c>
      <c r="K308" s="2" t="s">
        <v>12</v>
      </c>
    </row>
    <row r="309" spans="1:11" ht="12.5" x14ac:dyDescent="0.25">
      <c r="A309" s="3" t="e">
        <f ca="1"/>
        <v>#NAME?</v>
      </c>
      <c r="B309" s="2" t="s">
        <v>12</v>
      </c>
      <c r="C309" s="2" t="s">
        <v>12</v>
      </c>
      <c r="D309" s="2" t="s">
        <v>12</v>
      </c>
      <c r="E309" s="2" t="s">
        <v>12</v>
      </c>
      <c r="F309" s="2" t="s">
        <v>12</v>
      </c>
      <c r="G309" s="2" t="s">
        <v>12</v>
      </c>
      <c r="H309" s="2" t="s">
        <v>12</v>
      </c>
      <c r="I309" s="2" t="s">
        <v>12</v>
      </c>
      <c r="J309" s="2" t="s">
        <v>12</v>
      </c>
      <c r="K309" s="2" t="s">
        <v>12</v>
      </c>
    </row>
    <row r="310" spans="1:11" ht="12.5" x14ac:dyDescent="0.25">
      <c r="A310" s="3" t="e">
        <f ca="1"/>
        <v>#NAME?</v>
      </c>
      <c r="B310" s="2" t="s">
        <v>12</v>
      </c>
      <c r="C310" s="2" t="s">
        <v>12</v>
      </c>
      <c r="D310" s="2" t="s">
        <v>12</v>
      </c>
      <c r="E310" s="2" t="s">
        <v>12</v>
      </c>
      <c r="F310" s="2" t="s">
        <v>12</v>
      </c>
      <c r="G310" s="2" t="s">
        <v>12</v>
      </c>
      <c r="H310" s="2" t="s">
        <v>12</v>
      </c>
      <c r="I310" s="2" t="s">
        <v>12</v>
      </c>
      <c r="J310" s="2" t="s">
        <v>12</v>
      </c>
      <c r="K310" s="2" t="s">
        <v>12</v>
      </c>
    </row>
    <row r="311" spans="1:11" ht="12.5" x14ac:dyDescent="0.25">
      <c r="A311" s="3" t="e">
        <f ca="1"/>
        <v>#NAME?</v>
      </c>
      <c r="B311" s="2" t="s">
        <v>12</v>
      </c>
      <c r="C311" s="2" t="s">
        <v>12</v>
      </c>
      <c r="D311" s="2" t="s">
        <v>12</v>
      </c>
      <c r="E311" s="2" t="s">
        <v>12</v>
      </c>
      <c r="F311" s="2" t="s">
        <v>12</v>
      </c>
      <c r="G311" s="2" t="s">
        <v>12</v>
      </c>
      <c r="H311" s="2" t="s">
        <v>12</v>
      </c>
      <c r="I311" s="2" t="s">
        <v>12</v>
      </c>
      <c r="J311" s="2" t="s">
        <v>12</v>
      </c>
      <c r="K311" s="2" t="s">
        <v>12</v>
      </c>
    </row>
    <row r="312" spans="1:11" ht="12.5" x14ac:dyDescent="0.25">
      <c r="A312" s="3" t="e">
        <f ca="1"/>
        <v>#NAME?</v>
      </c>
      <c r="B312" s="2" t="s">
        <v>12</v>
      </c>
      <c r="C312" s="2" t="s">
        <v>12</v>
      </c>
      <c r="D312" s="2" t="s">
        <v>12</v>
      </c>
      <c r="E312" s="2" t="s">
        <v>12</v>
      </c>
      <c r="F312" s="2" t="s">
        <v>12</v>
      </c>
      <c r="G312" s="2" t="s">
        <v>12</v>
      </c>
      <c r="H312" s="2" t="s">
        <v>12</v>
      </c>
      <c r="I312" s="2" t="s">
        <v>12</v>
      </c>
      <c r="J312" s="2" t="s">
        <v>12</v>
      </c>
      <c r="K312" s="2" t="s">
        <v>12</v>
      </c>
    </row>
    <row r="313" spans="1:11" ht="12.5" x14ac:dyDescent="0.25">
      <c r="A313" s="3" t="e">
        <f ca="1"/>
        <v>#NAME?</v>
      </c>
      <c r="B313" s="2" t="s">
        <v>12</v>
      </c>
      <c r="C313" s="2" t="s">
        <v>12</v>
      </c>
      <c r="D313" s="2" t="s">
        <v>12</v>
      </c>
      <c r="E313" s="2" t="s">
        <v>12</v>
      </c>
      <c r="F313" s="2" t="s">
        <v>12</v>
      </c>
      <c r="G313" s="2" t="s">
        <v>12</v>
      </c>
      <c r="H313" s="2" t="s">
        <v>12</v>
      </c>
      <c r="I313" s="2" t="s">
        <v>12</v>
      </c>
      <c r="J313" s="2" t="s">
        <v>12</v>
      </c>
      <c r="K313" s="2" t="s">
        <v>12</v>
      </c>
    </row>
    <row r="314" spans="1:11" ht="12.5" x14ac:dyDescent="0.25">
      <c r="A314" s="3" t="e">
        <f ca="1"/>
        <v>#NAME?</v>
      </c>
      <c r="B314" s="2" t="s">
        <v>12</v>
      </c>
      <c r="C314" s="2" t="s">
        <v>12</v>
      </c>
      <c r="D314" s="2" t="s">
        <v>12</v>
      </c>
      <c r="E314" s="2" t="s">
        <v>12</v>
      </c>
      <c r="F314" s="2" t="s">
        <v>12</v>
      </c>
      <c r="G314" s="2" t="s">
        <v>12</v>
      </c>
      <c r="H314" s="2" t="s">
        <v>12</v>
      </c>
      <c r="I314" s="2" t="s">
        <v>12</v>
      </c>
      <c r="J314" s="2" t="s">
        <v>12</v>
      </c>
      <c r="K314" s="2" t="s">
        <v>12</v>
      </c>
    </row>
    <row r="315" spans="1:11" ht="12.5" x14ac:dyDescent="0.25">
      <c r="A315" s="3" t="e">
        <f ca="1"/>
        <v>#NAME?</v>
      </c>
      <c r="B315" s="2" t="s">
        <v>12</v>
      </c>
      <c r="C315" s="2" t="s">
        <v>12</v>
      </c>
      <c r="D315" s="2" t="s">
        <v>12</v>
      </c>
      <c r="E315" s="2" t="s">
        <v>12</v>
      </c>
      <c r="F315" s="2" t="s">
        <v>12</v>
      </c>
      <c r="G315" s="2" t="s">
        <v>12</v>
      </c>
      <c r="H315" s="2" t="s">
        <v>12</v>
      </c>
      <c r="I315" s="2" t="s">
        <v>12</v>
      </c>
      <c r="J315" s="2" t="s">
        <v>12</v>
      </c>
      <c r="K315" s="2" t="s">
        <v>12</v>
      </c>
    </row>
    <row r="316" spans="1:11" ht="12.5" x14ac:dyDescent="0.25">
      <c r="A316" s="3" t="e">
        <f ca="1"/>
        <v>#NAME?</v>
      </c>
      <c r="B316" s="2" t="s">
        <v>12</v>
      </c>
      <c r="C316" s="2" t="s">
        <v>12</v>
      </c>
      <c r="D316" s="2" t="s">
        <v>12</v>
      </c>
      <c r="E316" s="2" t="s">
        <v>12</v>
      </c>
      <c r="F316" s="2" t="s">
        <v>12</v>
      </c>
      <c r="G316" s="2" t="s">
        <v>12</v>
      </c>
      <c r="H316" s="2" t="s">
        <v>12</v>
      </c>
      <c r="I316" s="2" t="s">
        <v>12</v>
      </c>
      <c r="J316" s="2" t="s">
        <v>12</v>
      </c>
      <c r="K316" s="2" t="s">
        <v>12</v>
      </c>
    </row>
    <row r="317" spans="1:11" ht="12.5" x14ac:dyDescent="0.25">
      <c r="A317" s="3" t="e">
        <f ca="1"/>
        <v>#NAME?</v>
      </c>
      <c r="B317" s="2" t="s">
        <v>12</v>
      </c>
      <c r="C317" s="2" t="s">
        <v>12</v>
      </c>
      <c r="D317" s="2" t="s">
        <v>12</v>
      </c>
      <c r="E317" s="2" t="s">
        <v>12</v>
      </c>
      <c r="F317" s="2" t="s">
        <v>12</v>
      </c>
      <c r="G317" s="2" t="s">
        <v>12</v>
      </c>
      <c r="H317" s="2" t="s">
        <v>12</v>
      </c>
      <c r="I317" s="2" t="s">
        <v>12</v>
      </c>
      <c r="J317" s="2" t="s">
        <v>12</v>
      </c>
      <c r="K317" s="2" t="s">
        <v>12</v>
      </c>
    </row>
    <row r="318" spans="1:11" ht="12.5" x14ac:dyDescent="0.25">
      <c r="A318" s="3" t="e">
        <f ca="1"/>
        <v>#NAME?</v>
      </c>
      <c r="B318" s="2" t="s">
        <v>12</v>
      </c>
      <c r="C318" s="2" t="s">
        <v>12</v>
      </c>
      <c r="D318" s="2" t="s">
        <v>12</v>
      </c>
      <c r="E318" s="2" t="s">
        <v>12</v>
      </c>
      <c r="F318" s="2" t="s">
        <v>12</v>
      </c>
      <c r="G318" s="2" t="s">
        <v>12</v>
      </c>
      <c r="H318" s="2" t="s">
        <v>12</v>
      </c>
      <c r="I318" s="2" t="s">
        <v>12</v>
      </c>
      <c r="J318" s="2" t="s">
        <v>12</v>
      </c>
      <c r="K318" s="2" t="s">
        <v>12</v>
      </c>
    </row>
    <row r="319" spans="1:11" ht="12.5" x14ac:dyDescent="0.25">
      <c r="A319" s="3" t="e">
        <f ca="1"/>
        <v>#NAME?</v>
      </c>
      <c r="B319" s="2" t="s">
        <v>12</v>
      </c>
      <c r="C319" s="2" t="s">
        <v>12</v>
      </c>
      <c r="D319" s="2" t="s">
        <v>12</v>
      </c>
      <c r="E319" s="2" t="s">
        <v>12</v>
      </c>
      <c r="F319" s="2" t="s">
        <v>12</v>
      </c>
      <c r="G319" s="2" t="s">
        <v>12</v>
      </c>
      <c r="H319" s="2" t="s">
        <v>12</v>
      </c>
      <c r="I319" s="2" t="s">
        <v>12</v>
      </c>
      <c r="J319" s="2" t="s">
        <v>12</v>
      </c>
      <c r="K319" s="2" t="s">
        <v>12</v>
      </c>
    </row>
    <row r="320" spans="1:11" ht="12.5" x14ac:dyDescent="0.25">
      <c r="A320" s="3" t="e">
        <f ca="1"/>
        <v>#NAME?</v>
      </c>
      <c r="B320" s="2" t="s">
        <v>12</v>
      </c>
      <c r="C320" s="2" t="s">
        <v>12</v>
      </c>
      <c r="D320" s="2" t="s">
        <v>12</v>
      </c>
      <c r="E320" s="2" t="s">
        <v>12</v>
      </c>
      <c r="F320" s="2" t="s">
        <v>12</v>
      </c>
      <c r="G320" s="2" t="s">
        <v>12</v>
      </c>
      <c r="H320" s="2" t="s">
        <v>12</v>
      </c>
      <c r="I320" s="2" t="s">
        <v>12</v>
      </c>
      <c r="J320" s="2" t="s">
        <v>12</v>
      </c>
      <c r="K320" s="2" t="s">
        <v>12</v>
      </c>
    </row>
    <row r="321" spans="1:11" ht="12.5" x14ac:dyDescent="0.25">
      <c r="A321" s="3" t="e">
        <f ca="1"/>
        <v>#NAME?</v>
      </c>
      <c r="B321" s="2" t="s">
        <v>12</v>
      </c>
      <c r="C321" s="2" t="s">
        <v>12</v>
      </c>
      <c r="D321" s="2" t="s">
        <v>12</v>
      </c>
      <c r="E321" s="2" t="s">
        <v>12</v>
      </c>
      <c r="F321" s="2" t="s">
        <v>12</v>
      </c>
      <c r="G321" s="2" t="s">
        <v>12</v>
      </c>
      <c r="H321" s="2" t="s">
        <v>12</v>
      </c>
      <c r="I321" s="2" t="s">
        <v>12</v>
      </c>
      <c r="J321" s="2" t="s">
        <v>12</v>
      </c>
      <c r="K321" s="2" t="s">
        <v>12</v>
      </c>
    </row>
    <row r="322" spans="1:11" ht="12.5" x14ac:dyDescent="0.25">
      <c r="A322" s="3" t="e">
        <f ca="1"/>
        <v>#NAME?</v>
      </c>
      <c r="B322" s="2" t="s">
        <v>12</v>
      </c>
      <c r="C322" s="2" t="s">
        <v>12</v>
      </c>
      <c r="D322" s="2" t="s">
        <v>12</v>
      </c>
      <c r="E322" s="2" t="s">
        <v>12</v>
      </c>
      <c r="F322" s="2" t="s">
        <v>12</v>
      </c>
      <c r="G322" s="2" t="s">
        <v>12</v>
      </c>
      <c r="H322" s="2" t="s">
        <v>12</v>
      </c>
      <c r="I322" s="2" t="s">
        <v>12</v>
      </c>
      <c r="J322" s="2" t="s">
        <v>12</v>
      </c>
      <c r="K322" s="2" t="s">
        <v>12</v>
      </c>
    </row>
    <row r="323" spans="1:11" ht="12.5" x14ac:dyDescent="0.25">
      <c r="A323" s="3" t="e">
        <f ca="1"/>
        <v>#NAME?</v>
      </c>
      <c r="B323" s="2" t="s">
        <v>12</v>
      </c>
      <c r="C323" s="2" t="s">
        <v>12</v>
      </c>
      <c r="D323" s="2" t="s">
        <v>12</v>
      </c>
      <c r="E323" s="2" t="s">
        <v>12</v>
      </c>
      <c r="F323" s="2" t="s">
        <v>12</v>
      </c>
      <c r="G323" s="2" t="s">
        <v>12</v>
      </c>
      <c r="H323" s="2" t="s">
        <v>12</v>
      </c>
      <c r="I323" s="2" t="s">
        <v>12</v>
      </c>
      <c r="J323" s="2" t="s">
        <v>12</v>
      </c>
      <c r="K323" s="2" t="s">
        <v>12</v>
      </c>
    </row>
    <row r="324" spans="1:11" ht="12.5" x14ac:dyDescent="0.25">
      <c r="A324" s="3" t="e">
        <f ca="1"/>
        <v>#NAME?</v>
      </c>
      <c r="B324" s="2" t="s">
        <v>12</v>
      </c>
      <c r="C324" s="2" t="s">
        <v>12</v>
      </c>
      <c r="D324" s="2" t="s">
        <v>12</v>
      </c>
      <c r="E324" s="2" t="s">
        <v>12</v>
      </c>
      <c r="F324" s="2" t="s">
        <v>12</v>
      </c>
      <c r="G324" s="2" t="s">
        <v>12</v>
      </c>
      <c r="H324" s="2" t="s">
        <v>12</v>
      </c>
      <c r="I324" s="2" t="s">
        <v>12</v>
      </c>
      <c r="J324" s="2" t="s">
        <v>12</v>
      </c>
      <c r="K324" s="2" t="s">
        <v>12</v>
      </c>
    </row>
    <row r="325" spans="1:11" ht="12.5" x14ac:dyDescent="0.25">
      <c r="A325" s="3" t="e">
        <f ca="1"/>
        <v>#NAME?</v>
      </c>
      <c r="B325" s="2" t="s">
        <v>12</v>
      </c>
      <c r="C325" s="2" t="s">
        <v>12</v>
      </c>
      <c r="D325" s="2" t="s">
        <v>12</v>
      </c>
      <c r="E325" s="2" t="s">
        <v>12</v>
      </c>
      <c r="F325" s="2" t="s">
        <v>12</v>
      </c>
      <c r="G325" s="2" t="s">
        <v>12</v>
      </c>
      <c r="H325" s="2" t="s">
        <v>12</v>
      </c>
      <c r="I325" s="2" t="s">
        <v>12</v>
      </c>
      <c r="J325" s="2" t="s">
        <v>12</v>
      </c>
      <c r="K325" s="2" t="s">
        <v>12</v>
      </c>
    </row>
    <row r="326" spans="1:11" ht="12.5" x14ac:dyDescent="0.25">
      <c r="A326" s="3" t="e">
        <f ca="1"/>
        <v>#NAME?</v>
      </c>
      <c r="B326" s="2" t="s">
        <v>12</v>
      </c>
      <c r="C326" s="2" t="s">
        <v>12</v>
      </c>
      <c r="D326" s="2" t="s">
        <v>12</v>
      </c>
      <c r="E326" s="2" t="s">
        <v>12</v>
      </c>
      <c r="F326" s="2" t="s">
        <v>12</v>
      </c>
      <c r="G326" s="2" t="s">
        <v>12</v>
      </c>
      <c r="H326" s="2" t="s">
        <v>12</v>
      </c>
      <c r="I326" s="2" t="s">
        <v>12</v>
      </c>
      <c r="J326" s="2" t="s">
        <v>12</v>
      </c>
      <c r="K326" s="2" t="s">
        <v>12</v>
      </c>
    </row>
    <row r="327" spans="1:11" ht="12.5" x14ac:dyDescent="0.25">
      <c r="A327" s="3" t="e">
        <f ca="1"/>
        <v>#NAME?</v>
      </c>
      <c r="B327" s="2" t="s">
        <v>12</v>
      </c>
      <c r="C327" s="2" t="s">
        <v>12</v>
      </c>
      <c r="D327" s="2" t="s">
        <v>12</v>
      </c>
      <c r="E327" s="2" t="s">
        <v>12</v>
      </c>
      <c r="F327" s="2" t="s">
        <v>12</v>
      </c>
      <c r="G327" s="2" t="s">
        <v>12</v>
      </c>
      <c r="H327" s="2" t="s">
        <v>12</v>
      </c>
      <c r="I327" s="2" t="s">
        <v>12</v>
      </c>
      <c r="J327" s="2" t="s">
        <v>12</v>
      </c>
      <c r="K327" s="2" t="s">
        <v>12</v>
      </c>
    </row>
    <row r="328" spans="1:11" ht="12.5" x14ac:dyDescent="0.25">
      <c r="A328" s="3" t="e">
        <f ca="1"/>
        <v>#NAME?</v>
      </c>
      <c r="B328" s="2" t="s">
        <v>12</v>
      </c>
      <c r="C328" s="2" t="s">
        <v>12</v>
      </c>
      <c r="D328" s="2" t="s">
        <v>12</v>
      </c>
      <c r="E328" s="2" t="s">
        <v>12</v>
      </c>
      <c r="F328" s="2" t="s">
        <v>12</v>
      </c>
      <c r="G328" s="2" t="s">
        <v>12</v>
      </c>
      <c r="H328" s="2" t="s">
        <v>12</v>
      </c>
      <c r="I328" s="2" t="s">
        <v>12</v>
      </c>
      <c r="J328" s="2" t="s">
        <v>12</v>
      </c>
      <c r="K328" s="2" t="s">
        <v>12</v>
      </c>
    </row>
    <row r="329" spans="1:11" ht="12.5" x14ac:dyDescent="0.25">
      <c r="A329" s="3" t="e">
        <f ca="1"/>
        <v>#NAME?</v>
      </c>
      <c r="B329" s="2" t="s">
        <v>12</v>
      </c>
      <c r="C329" s="2" t="s">
        <v>12</v>
      </c>
      <c r="D329" s="2" t="s">
        <v>12</v>
      </c>
      <c r="E329" s="2" t="s">
        <v>12</v>
      </c>
      <c r="F329" s="2" t="s">
        <v>12</v>
      </c>
      <c r="G329" s="2" t="s">
        <v>12</v>
      </c>
      <c r="H329" s="2" t="s">
        <v>12</v>
      </c>
      <c r="I329" s="2" t="s">
        <v>12</v>
      </c>
      <c r="J329" s="2" t="s">
        <v>12</v>
      </c>
      <c r="K329" s="2" t="s">
        <v>12</v>
      </c>
    </row>
    <row r="330" spans="1:11" ht="12.5" x14ac:dyDescent="0.25">
      <c r="A330" s="3" t="e">
        <f ca="1"/>
        <v>#NAME?</v>
      </c>
      <c r="B330" s="2" t="s">
        <v>12</v>
      </c>
      <c r="C330" s="2" t="s">
        <v>12</v>
      </c>
      <c r="D330" s="2" t="s">
        <v>12</v>
      </c>
      <c r="E330" s="2" t="s">
        <v>12</v>
      </c>
      <c r="F330" s="2" t="s">
        <v>12</v>
      </c>
      <c r="G330" s="2" t="s">
        <v>12</v>
      </c>
      <c r="H330" s="2" t="s">
        <v>12</v>
      </c>
      <c r="I330" s="2" t="s">
        <v>12</v>
      </c>
      <c r="J330" s="2" t="s">
        <v>12</v>
      </c>
      <c r="K330" s="2" t="s">
        <v>12</v>
      </c>
    </row>
    <row r="331" spans="1:11" ht="12.5" x14ac:dyDescent="0.25">
      <c r="A331" s="3" t="e">
        <f ca="1"/>
        <v>#NAME?</v>
      </c>
      <c r="B331" s="2" t="s">
        <v>12</v>
      </c>
      <c r="C331" s="2" t="s">
        <v>12</v>
      </c>
      <c r="D331" s="2" t="s">
        <v>12</v>
      </c>
      <c r="E331" s="2" t="s">
        <v>12</v>
      </c>
      <c r="F331" s="2" t="s">
        <v>12</v>
      </c>
      <c r="G331" s="2" t="s">
        <v>12</v>
      </c>
      <c r="H331" s="2" t="s">
        <v>12</v>
      </c>
      <c r="I331" s="2" t="s">
        <v>12</v>
      </c>
      <c r="J331" s="2" t="s">
        <v>12</v>
      </c>
      <c r="K331" s="2" t="s">
        <v>12</v>
      </c>
    </row>
    <row r="332" spans="1:11" ht="12.5" x14ac:dyDescent="0.25">
      <c r="A332" s="3" t="e">
        <f ca="1"/>
        <v>#NAME?</v>
      </c>
      <c r="B332" s="2" t="s">
        <v>12</v>
      </c>
      <c r="C332" s="2" t="s">
        <v>12</v>
      </c>
      <c r="D332" s="2" t="s">
        <v>12</v>
      </c>
      <c r="E332" s="2" t="s">
        <v>12</v>
      </c>
      <c r="F332" s="2" t="s">
        <v>12</v>
      </c>
      <c r="G332" s="2" t="s">
        <v>12</v>
      </c>
      <c r="H332" s="2" t="s">
        <v>12</v>
      </c>
      <c r="I332" s="2" t="s">
        <v>12</v>
      </c>
      <c r="J332" s="2" t="s">
        <v>12</v>
      </c>
      <c r="K332" s="2" t="s">
        <v>12</v>
      </c>
    </row>
    <row r="333" spans="1:11" ht="12.5" x14ac:dyDescent="0.25">
      <c r="A333" s="3" t="e">
        <f ca="1"/>
        <v>#NAME?</v>
      </c>
      <c r="B333" s="2" t="s">
        <v>12</v>
      </c>
      <c r="C333" s="2" t="s">
        <v>12</v>
      </c>
      <c r="D333" s="2" t="s">
        <v>12</v>
      </c>
      <c r="E333" s="2" t="s">
        <v>12</v>
      </c>
      <c r="F333" s="2" t="s">
        <v>12</v>
      </c>
      <c r="G333" s="2" t="s">
        <v>12</v>
      </c>
      <c r="H333" s="2" t="s">
        <v>12</v>
      </c>
      <c r="I333" s="2" t="s">
        <v>12</v>
      </c>
      <c r="J333" s="2" t="s">
        <v>12</v>
      </c>
      <c r="K333" s="2" t="s">
        <v>12</v>
      </c>
    </row>
    <row r="334" spans="1:11" ht="12.5" x14ac:dyDescent="0.25">
      <c r="A334" s="3" t="e">
        <f ca="1"/>
        <v>#NAME?</v>
      </c>
      <c r="B334" s="2" t="s">
        <v>12</v>
      </c>
      <c r="C334" s="2" t="s">
        <v>12</v>
      </c>
      <c r="D334" s="2" t="s">
        <v>12</v>
      </c>
      <c r="E334" s="2" t="s">
        <v>12</v>
      </c>
      <c r="F334" s="2" t="s">
        <v>12</v>
      </c>
      <c r="G334" s="2" t="s">
        <v>12</v>
      </c>
      <c r="H334" s="2" t="s">
        <v>12</v>
      </c>
      <c r="I334" s="2" t="s">
        <v>12</v>
      </c>
      <c r="J334" s="2" t="s">
        <v>12</v>
      </c>
      <c r="K334" s="2" t="s">
        <v>12</v>
      </c>
    </row>
    <row r="335" spans="1:11" ht="12.5" x14ac:dyDescent="0.25">
      <c r="A335" s="3" t="e">
        <f ca="1"/>
        <v>#NAME?</v>
      </c>
      <c r="B335" s="2" t="s">
        <v>12</v>
      </c>
      <c r="C335" s="2" t="s">
        <v>12</v>
      </c>
      <c r="D335" s="2" t="s">
        <v>12</v>
      </c>
      <c r="E335" s="2" t="s">
        <v>12</v>
      </c>
      <c r="F335" s="2" t="s">
        <v>12</v>
      </c>
      <c r="G335" s="2" t="s">
        <v>12</v>
      </c>
      <c r="H335" s="2" t="s">
        <v>12</v>
      </c>
      <c r="I335" s="2" t="s">
        <v>12</v>
      </c>
      <c r="J335" s="2" t="s">
        <v>12</v>
      </c>
      <c r="K335" s="2" t="s">
        <v>12</v>
      </c>
    </row>
    <row r="336" spans="1:11" ht="12.5" x14ac:dyDescent="0.25">
      <c r="A336" s="3" t="e">
        <f ca="1"/>
        <v>#NAME?</v>
      </c>
      <c r="B336" s="2" t="s">
        <v>12</v>
      </c>
      <c r="C336" s="2" t="s">
        <v>12</v>
      </c>
      <c r="D336" s="2" t="s">
        <v>12</v>
      </c>
      <c r="E336" s="2" t="s">
        <v>12</v>
      </c>
      <c r="F336" s="2" t="s">
        <v>12</v>
      </c>
      <c r="G336" s="2" t="s">
        <v>12</v>
      </c>
      <c r="H336" s="2" t="s">
        <v>12</v>
      </c>
      <c r="I336" s="2" t="s">
        <v>12</v>
      </c>
      <c r="J336" s="2" t="s">
        <v>12</v>
      </c>
      <c r="K336" s="2" t="s">
        <v>12</v>
      </c>
    </row>
    <row r="337" spans="1:11" ht="12.5" x14ac:dyDescent="0.25">
      <c r="A337" s="3" t="e">
        <f ca="1"/>
        <v>#NAME?</v>
      </c>
      <c r="B337" s="2" t="s">
        <v>12</v>
      </c>
      <c r="C337" s="2" t="s">
        <v>12</v>
      </c>
      <c r="D337" s="2" t="s">
        <v>12</v>
      </c>
      <c r="E337" s="2" t="s">
        <v>12</v>
      </c>
      <c r="F337" s="2" t="s">
        <v>12</v>
      </c>
      <c r="G337" s="2" t="s">
        <v>12</v>
      </c>
      <c r="H337" s="2" t="s">
        <v>12</v>
      </c>
      <c r="I337" s="2" t="s">
        <v>12</v>
      </c>
      <c r="J337" s="2" t="s">
        <v>12</v>
      </c>
      <c r="K337" s="2" t="s">
        <v>12</v>
      </c>
    </row>
    <row r="338" spans="1:11" ht="12.5" x14ac:dyDescent="0.25">
      <c r="A338" s="3" t="e">
        <f ca="1"/>
        <v>#NAME?</v>
      </c>
      <c r="B338" s="2" t="s">
        <v>12</v>
      </c>
      <c r="C338" s="2" t="s">
        <v>12</v>
      </c>
      <c r="D338" s="2" t="s">
        <v>12</v>
      </c>
      <c r="E338" s="2" t="s">
        <v>12</v>
      </c>
      <c r="F338" s="2" t="s">
        <v>12</v>
      </c>
      <c r="G338" s="2" t="s">
        <v>12</v>
      </c>
      <c r="H338" s="2" t="s">
        <v>12</v>
      </c>
      <c r="I338" s="2" t="s">
        <v>12</v>
      </c>
      <c r="J338" s="2" t="s">
        <v>12</v>
      </c>
      <c r="K338" s="2" t="s">
        <v>12</v>
      </c>
    </row>
    <row r="339" spans="1:11" ht="12.5" x14ac:dyDescent="0.25">
      <c r="A339" s="3" t="e">
        <f ca="1"/>
        <v>#NAME?</v>
      </c>
      <c r="B339" s="2" t="s">
        <v>12</v>
      </c>
      <c r="C339" s="2" t="s">
        <v>12</v>
      </c>
      <c r="D339" s="2" t="s">
        <v>12</v>
      </c>
      <c r="E339" s="2" t="s">
        <v>12</v>
      </c>
      <c r="F339" s="2" t="s">
        <v>12</v>
      </c>
      <c r="G339" s="2" t="s">
        <v>12</v>
      </c>
      <c r="H339" s="2" t="s">
        <v>12</v>
      </c>
      <c r="I339" s="2" t="s">
        <v>12</v>
      </c>
      <c r="J339" s="2" t="s">
        <v>12</v>
      </c>
      <c r="K339" s="2" t="s">
        <v>12</v>
      </c>
    </row>
    <row r="340" spans="1:11" ht="12.5" x14ac:dyDescent="0.25">
      <c r="A340" s="3" t="e">
        <f ca="1"/>
        <v>#NAME?</v>
      </c>
      <c r="B340" s="2" t="s">
        <v>12</v>
      </c>
      <c r="C340" s="2" t="s">
        <v>12</v>
      </c>
      <c r="D340" s="2" t="s">
        <v>12</v>
      </c>
      <c r="E340" s="2" t="s">
        <v>12</v>
      </c>
      <c r="F340" s="2" t="s">
        <v>12</v>
      </c>
      <c r="G340" s="2" t="s">
        <v>12</v>
      </c>
      <c r="H340" s="2" t="s">
        <v>12</v>
      </c>
      <c r="I340" s="2" t="s">
        <v>12</v>
      </c>
      <c r="J340" s="2" t="s">
        <v>12</v>
      </c>
      <c r="K340" s="2" t="s">
        <v>12</v>
      </c>
    </row>
    <row r="341" spans="1:11" ht="12.5" x14ac:dyDescent="0.25">
      <c r="A341" s="3" t="e">
        <f ca="1"/>
        <v>#NAME?</v>
      </c>
      <c r="B341" s="2" t="s">
        <v>12</v>
      </c>
      <c r="C341" s="2" t="s">
        <v>12</v>
      </c>
      <c r="D341" s="2" t="s">
        <v>12</v>
      </c>
      <c r="E341" s="2" t="s">
        <v>12</v>
      </c>
      <c r="F341" s="2" t="s">
        <v>12</v>
      </c>
      <c r="G341" s="2" t="s">
        <v>12</v>
      </c>
      <c r="H341" s="2" t="s">
        <v>12</v>
      </c>
      <c r="I341" s="2" t="s">
        <v>12</v>
      </c>
      <c r="J341" s="2" t="s">
        <v>12</v>
      </c>
      <c r="K341" s="2" t="s">
        <v>12</v>
      </c>
    </row>
    <row r="342" spans="1:11" ht="12.5" x14ac:dyDescent="0.25">
      <c r="A342" s="3" t="e">
        <f ca="1"/>
        <v>#NAME?</v>
      </c>
      <c r="B342" s="2" t="s">
        <v>12</v>
      </c>
      <c r="C342" s="2" t="s">
        <v>12</v>
      </c>
      <c r="D342" s="2" t="s">
        <v>12</v>
      </c>
      <c r="E342" s="2" t="s">
        <v>12</v>
      </c>
      <c r="F342" s="2" t="s">
        <v>12</v>
      </c>
      <c r="G342" s="2" t="s">
        <v>12</v>
      </c>
      <c r="H342" s="2" t="s">
        <v>12</v>
      </c>
      <c r="I342" s="2" t="s">
        <v>12</v>
      </c>
      <c r="J342" s="2" t="s">
        <v>12</v>
      </c>
      <c r="K342" s="2" t="s">
        <v>12</v>
      </c>
    </row>
    <row r="343" spans="1:11" ht="12.5" x14ac:dyDescent="0.25">
      <c r="A343" s="3" t="e">
        <f ca="1"/>
        <v>#NAME?</v>
      </c>
      <c r="B343" s="2" t="s">
        <v>12</v>
      </c>
      <c r="C343" s="2" t="s">
        <v>12</v>
      </c>
      <c r="D343" s="2" t="s">
        <v>12</v>
      </c>
      <c r="E343" s="2" t="s">
        <v>12</v>
      </c>
      <c r="F343" s="2" t="s">
        <v>12</v>
      </c>
      <c r="G343" s="2" t="s">
        <v>12</v>
      </c>
      <c r="H343" s="2" t="s">
        <v>12</v>
      </c>
      <c r="I343" s="2" t="s">
        <v>12</v>
      </c>
      <c r="J343" s="2" t="s">
        <v>12</v>
      </c>
      <c r="K343" s="2" t="s">
        <v>12</v>
      </c>
    </row>
    <row r="344" spans="1:11" ht="12.5" x14ac:dyDescent="0.25">
      <c r="A344" s="3" t="e">
        <f ca="1"/>
        <v>#NAME?</v>
      </c>
      <c r="B344" s="2" t="s">
        <v>12</v>
      </c>
      <c r="C344" s="2" t="s">
        <v>12</v>
      </c>
      <c r="D344" s="2" t="s">
        <v>12</v>
      </c>
      <c r="E344" s="2" t="s">
        <v>12</v>
      </c>
      <c r="F344" s="2" t="s">
        <v>12</v>
      </c>
      <c r="G344" s="2" t="s">
        <v>12</v>
      </c>
      <c r="H344" s="2" t="s">
        <v>12</v>
      </c>
      <c r="I344" s="2" t="s">
        <v>12</v>
      </c>
      <c r="J344" s="2" t="s">
        <v>12</v>
      </c>
      <c r="K344" s="2" t="s">
        <v>12</v>
      </c>
    </row>
    <row r="345" spans="1:11" ht="12.5" x14ac:dyDescent="0.25">
      <c r="A345" s="3" t="e">
        <f ca="1"/>
        <v>#NAME?</v>
      </c>
      <c r="B345" s="2" t="s">
        <v>12</v>
      </c>
      <c r="C345" s="2" t="s">
        <v>12</v>
      </c>
      <c r="D345" s="2" t="s">
        <v>12</v>
      </c>
      <c r="E345" s="2" t="s">
        <v>12</v>
      </c>
      <c r="F345" s="2" t="s">
        <v>12</v>
      </c>
      <c r="G345" s="2" t="s">
        <v>12</v>
      </c>
      <c r="H345" s="2" t="s">
        <v>12</v>
      </c>
      <c r="I345" s="2" t="s">
        <v>12</v>
      </c>
      <c r="J345" s="2" t="s">
        <v>12</v>
      </c>
      <c r="K345" s="2" t="s">
        <v>12</v>
      </c>
    </row>
    <row r="346" spans="1:11" ht="12.5" x14ac:dyDescent="0.25">
      <c r="A346" s="3" t="e">
        <f ca="1"/>
        <v>#NAME?</v>
      </c>
      <c r="B346" s="2" t="s">
        <v>12</v>
      </c>
      <c r="C346" s="2" t="s">
        <v>12</v>
      </c>
      <c r="D346" s="2" t="s">
        <v>12</v>
      </c>
      <c r="E346" s="2" t="s">
        <v>12</v>
      </c>
      <c r="F346" s="2" t="s">
        <v>12</v>
      </c>
      <c r="G346" s="2" t="s">
        <v>12</v>
      </c>
      <c r="H346" s="2" t="s">
        <v>12</v>
      </c>
      <c r="I346" s="2" t="s">
        <v>12</v>
      </c>
      <c r="J346" s="2" t="s">
        <v>12</v>
      </c>
      <c r="K346" s="2" t="s">
        <v>12</v>
      </c>
    </row>
    <row r="347" spans="1:11" ht="12.5" x14ac:dyDescent="0.25">
      <c r="A347" s="3" t="e">
        <f ca="1"/>
        <v>#NAME?</v>
      </c>
      <c r="B347" s="2" t="s">
        <v>12</v>
      </c>
      <c r="C347" s="2" t="s">
        <v>12</v>
      </c>
      <c r="D347" s="2" t="s">
        <v>12</v>
      </c>
      <c r="E347" s="2" t="s">
        <v>12</v>
      </c>
      <c r="F347" s="2" t="s">
        <v>12</v>
      </c>
      <c r="G347" s="2" t="s">
        <v>12</v>
      </c>
      <c r="H347" s="2" t="s">
        <v>12</v>
      </c>
      <c r="I347" s="2" t="s">
        <v>12</v>
      </c>
      <c r="J347" s="2" t="s">
        <v>12</v>
      </c>
      <c r="K347" s="2" t="s">
        <v>12</v>
      </c>
    </row>
    <row r="348" spans="1:11" ht="12.5" x14ac:dyDescent="0.25">
      <c r="A348" s="3" t="e">
        <f ca="1"/>
        <v>#NAME?</v>
      </c>
      <c r="B348" s="2" t="s">
        <v>12</v>
      </c>
      <c r="C348" s="2" t="s">
        <v>12</v>
      </c>
      <c r="D348" s="2" t="s">
        <v>12</v>
      </c>
      <c r="E348" s="2" t="s">
        <v>12</v>
      </c>
      <c r="F348" s="2" t="s">
        <v>12</v>
      </c>
      <c r="G348" s="2" t="s">
        <v>12</v>
      </c>
      <c r="H348" s="2" t="s">
        <v>12</v>
      </c>
      <c r="I348" s="2" t="s">
        <v>12</v>
      </c>
      <c r="J348" s="2" t="s">
        <v>12</v>
      </c>
      <c r="K348" s="2" t="s">
        <v>12</v>
      </c>
    </row>
    <row r="349" spans="1:11" ht="12.5" x14ac:dyDescent="0.25">
      <c r="A349" s="3" t="e">
        <f ca="1"/>
        <v>#NAME?</v>
      </c>
      <c r="B349" s="2" t="s">
        <v>12</v>
      </c>
      <c r="C349" s="2" t="s">
        <v>12</v>
      </c>
      <c r="D349" s="2" t="s">
        <v>12</v>
      </c>
      <c r="E349" s="2" t="s">
        <v>12</v>
      </c>
      <c r="F349" s="2" t="s">
        <v>12</v>
      </c>
      <c r="G349" s="2" t="s">
        <v>12</v>
      </c>
      <c r="H349" s="2" t="s">
        <v>12</v>
      </c>
      <c r="I349" s="2" t="s">
        <v>12</v>
      </c>
      <c r="J349" s="2" t="s">
        <v>12</v>
      </c>
      <c r="K349" s="2" t="s">
        <v>12</v>
      </c>
    </row>
    <row r="350" spans="1:11" ht="12.5" x14ac:dyDescent="0.25">
      <c r="A350" s="3" t="e">
        <f ca="1"/>
        <v>#NAME?</v>
      </c>
      <c r="B350" s="2" t="s">
        <v>12</v>
      </c>
      <c r="C350" s="2" t="s">
        <v>12</v>
      </c>
      <c r="D350" s="2" t="s">
        <v>12</v>
      </c>
      <c r="E350" s="2" t="s">
        <v>12</v>
      </c>
      <c r="F350" s="2" t="s">
        <v>12</v>
      </c>
      <c r="G350" s="2" t="s">
        <v>12</v>
      </c>
      <c r="H350" s="2" t="s">
        <v>12</v>
      </c>
      <c r="I350" s="2" t="s">
        <v>12</v>
      </c>
      <c r="J350" s="2" t="s">
        <v>12</v>
      </c>
      <c r="K350" s="2" t="s">
        <v>12</v>
      </c>
    </row>
    <row r="351" spans="1:11" ht="12.5" x14ac:dyDescent="0.25">
      <c r="A351" s="3" t="e">
        <f ca="1"/>
        <v>#NAME?</v>
      </c>
      <c r="B351" s="2" t="s">
        <v>12</v>
      </c>
      <c r="C351" s="2" t="s">
        <v>12</v>
      </c>
      <c r="D351" s="2" t="s">
        <v>12</v>
      </c>
      <c r="E351" s="2" t="s">
        <v>12</v>
      </c>
      <c r="F351" s="2" t="s">
        <v>12</v>
      </c>
      <c r="G351" s="2" t="s">
        <v>12</v>
      </c>
      <c r="H351" s="2" t="s">
        <v>12</v>
      </c>
      <c r="I351" s="2" t="s">
        <v>12</v>
      </c>
      <c r="J351" s="2" t="s">
        <v>12</v>
      </c>
      <c r="K351" s="2" t="s">
        <v>12</v>
      </c>
    </row>
    <row r="352" spans="1:11" ht="12.5" x14ac:dyDescent="0.25">
      <c r="A352" s="3" t="e">
        <f ca="1"/>
        <v>#NAME?</v>
      </c>
      <c r="B352" s="2" t="s">
        <v>12</v>
      </c>
      <c r="C352" s="2" t="s">
        <v>12</v>
      </c>
      <c r="D352" s="2" t="s">
        <v>12</v>
      </c>
      <c r="E352" s="2" t="s">
        <v>12</v>
      </c>
      <c r="F352" s="2" t="s">
        <v>12</v>
      </c>
      <c r="G352" s="2" t="s">
        <v>12</v>
      </c>
      <c r="H352" s="2" t="s">
        <v>12</v>
      </c>
      <c r="I352" s="2" t="s">
        <v>12</v>
      </c>
      <c r="J352" s="2" t="s">
        <v>12</v>
      </c>
      <c r="K352" s="2" t="s">
        <v>12</v>
      </c>
    </row>
    <row r="353" spans="1:11" ht="12.5" x14ac:dyDescent="0.25">
      <c r="A353" s="3" t="e">
        <f ca="1"/>
        <v>#NAME?</v>
      </c>
      <c r="B353" s="2" t="s">
        <v>12</v>
      </c>
      <c r="C353" s="2" t="s">
        <v>12</v>
      </c>
      <c r="D353" s="2" t="s">
        <v>12</v>
      </c>
      <c r="E353" s="2" t="s">
        <v>12</v>
      </c>
      <c r="F353" s="2" t="s">
        <v>12</v>
      </c>
      <c r="G353" s="2" t="s">
        <v>12</v>
      </c>
      <c r="H353" s="2" t="s">
        <v>12</v>
      </c>
      <c r="I353" s="2" t="s">
        <v>12</v>
      </c>
      <c r="J353" s="2" t="s">
        <v>12</v>
      </c>
      <c r="K353" s="2" t="s">
        <v>12</v>
      </c>
    </row>
    <row r="354" spans="1:11" ht="12.5" x14ac:dyDescent="0.25">
      <c r="A354" s="3" t="e">
        <f ca="1"/>
        <v>#NAME?</v>
      </c>
      <c r="B354" s="2" t="s">
        <v>12</v>
      </c>
      <c r="C354" s="2" t="s">
        <v>12</v>
      </c>
      <c r="D354" s="2" t="s">
        <v>12</v>
      </c>
      <c r="E354" s="2" t="s">
        <v>12</v>
      </c>
      <c r="F354" s="2" t="s">
        <v>12</v>
      </c>
      <c r="G354" s="2" t="s">
        <v>12</v>
      </c>
      <c r="H354" s="2" t="s">
        <v>12</v>
      </c>
      <c r="I354" s="2" t="s">
        <v>12</v>
      </c>
      <c r="J354" s="2" t="s">
        <v>12</v>
      </c>
      <c r="K354" s="2" t="s">
        <v>12</v>
      </c>
    </row>
    <row r="355" spans="1:11" ht="12.5" x14ac:dyDescent="0.25">
      <c r="A355" s="3" t="e">
        <f ca="1"/>
        <v>#NAME?</v>
      </c>
      <c r="B355" s="2" t="s">
        <v>12</v>
      </c>
      <c r="C355" s="2" t="s">
        <v>12</v>
      </c>
      <c r="D355" s="2" t="s">
        <v>12</v>
      </c>
      <c r="E355" s="2" t="s">
        <v>12</v>
      </c>
      <c r="F355" s="2" t="s">
        <v>12</v>
      </c>
      <c r="G355" s="2" t="s">
        <v>12</v>
      </c>
      <c r="H355" s="2" t="s">
        <v>12</v>
      </c>
      <c r="I355" s="2" t="s">
        <v>12</v>
      </c>
      <c r="J355" s="2" t="s">
        <v>12</v>
      </c>
      <c r="K355" s="2" t="s">
        <v>12</v>
      </c>
    </row>
    <row r="356" spans="1:11" ht="12.5" x14ac:dyDescent="0.25">
      <c r="A356" s="3" t="e">
        <f ca="1"/>
        <v>#NAME?</v>
      </c>
      <c r="B356" s="2" t="s">
        <v>12</v>
      </c>
      <c r="C356" s="2" t="s">
        <v>12</v>
      </c>
      <c r="D356" s="2" t="s">
        <v>12</v>
      </c>
      <c r="E356" s="2" t="s">
        <v>12</v>
      </c>
      <c r="F356" s="2" t="s">
        <v>12</v>
      </c>
      <c r="G356" s="2" t="s">
        <v>12</v>
      </c>
      <c r="H356" s="2" t="s">
        <v>12</v>
      </c>
      <c r="I356" s="2" t="s">
        <v>12</v>
      </c>
      <c r="J356" s="2" t="s">
        <v>12</v>
      </c>
      <c r="K356" s="2" t="s">
        <v>12</v>
      </c>
    </row>
    <row r="357" spans="1:11" ht="12.5" x14ac:dyDescent="0.25">
      <c r="A357" s="3" t="e">
        <f ca="1"/>
        <v>#NAME?</v>
      </c>
      <c r="B357" s="2" t="s">
        <v>12</v>
      </c>
      <c r="C357" s="2" t="s">
        <v>12</v>
      </c>
      <c r="D357" s="2" t="s">
        <v>12</v>
      </c>
      <c r="E357" s="2" t="s">
        <v>12</v>
      </c>
      <c r="F357" s="2" t="s">
        <v>12</v>
      </c>
      <c r="G357" s="2" t="s">
        <v>12</v>
      </c>
      <c r="H357" s="2" t="s">
        <v>12</v>
      </c>
      <c r="I357" s="2" t="s">
        <v>12</v>
      </c>
      <c r="J357" s="2" t="s">
        <v>12</v>
      </c>
      <c r="K357" s="2" t="s">
        <v>12</v>
      </c>
    </row>
    <row r="358" spans="1:11" ht="12.5" x14ac:dyDescent="0.25">
      <c r="A358" s="3" t="e">
        <f ca="1"/>
        <v>#NAME?</v>
      </c>
      <c r="B358" s="2" t="s">
        <v>12</v>
      </c>
      <c r="C358" s="2" t="s">
        <v>12</v>
      </c>
      <c r="D358" s="2" t="s">
        <v>12</v>
      </c>
      <c r="E358" s="2" t="s">
        <v>12</v>
      </c>
      <c r="F358" s="2" t="s">
        <v>12</v>
      </c>
      <c r="G358" s="2" t="s">
        <v>12</v>
      </c>
      <c r="H358" s="2" t="s">
        <v>12</v>
      </c>
      <c r="I358" s="2" t="s">
        <v>12</v>
      </c>
      <c r="J358" s="2" t="s">
        <v>12</v>
      </c>
      <c r="K358" s="2" t="s">
        <v>12</v>
      </c>
    </row>
    <row r="359" spans="1:11" ht="12.5" x14ac:dyDescent="0.25">
      <c r="A359" s="3" t="e">
        <f ca="1"/>
        <v>#NAME?</v>
      </c>
      <c r="B359" s="2" t="s">
        <v>12</v>
      </c>
      <c r="C359" s="2" t="s">
        <v>12</v>
      </c>
      <c r="D359" s="2" t="s">
        <v>12</v>
      </c>
      <c r="E359" s="2" t="s">
        <v>12</v>
      </c>
      <c r="F359" s="2" t="s">
        <v>12</v>
      </c>
      <c r="G359" s="2" t="s">
        <v>12</v>
      </c>
      <c r="H359" s="2" t="s">
        <v>12</v>
      </c>
      <c r="I359" s="2" t="s">
        <v>12</v>
      </c>
      <c r="J359" s="2" t="s">
        <v>12</v>
      </c>
      <c r="K359" s="2" t="s">
        <v>12</v>
      </c>
    </row>
    <row r="360" spans="1:11" ht="12.5" x14ac:dyDescent="0.25">
      <c r="A360" s="3" t="e">
        <f ca="1"/>
        <v>#NAME?</v>
      </c>
      <c r="B360" s="2" t="s">
        <v>12</v>
      </c>
      <c r="C360" s="2" t="s">
        <v>12</v>
      </c>
      <c r="D360" s="2" t="s">
        <v>12</v>
      </c>
      <c r="E360" s="2" t="s">
        <v>12</v>
      </c>
      <c r="F360" s="2" t="s">
        <v>12</v>
      </c>
      <c r="G360" s="2" t="s">
        <v>12</v>
      </c>
      <c r="H360" s="2" t="s">
        <v>12</v>
      </c>
      <c r="I360" s="2" t="s">
        <v>12</v>
      </c>
      <c r="J360" s="2" t="s">
        <v>12</v>
      </c>
      <c r="K360" s="2" t="s">
        <v>12</v>
      </c>
    </row>
    <row r="361" spans="1:11" ht="12.5" x14ac:dyDescent="0.25">
      <c r="A361" s="3" t="e">
        <f ca="1"/>
        <v>#NAME?</v>
      </c>
      <c r="B361" s="2" t="s">
        <v>12</v>
      </c>
      <c r="C361" s="2" t="s">
        <v>12</v>
      </c>
      <c r="D361" s="2" t="s">
        <v>12</v>
      </c>
      <c r="E361" s="2" t="s">
        <v>12</v>
      </c>
      <c r="F361" s="2" t="s">
        <v>12</v>
      </c>
      <c r="G361" s="2" t="s">
        <v>12</v>
      </c>
      <c r="H361" s="2" t="s">
        <v>12</v>
      </c>
      <c r="I361" s="2" t="s">
        <v>12</v>
      </c>
      <c r="J361" s="2" t="s">
        <v>12</v>
      </c>
      <c r="K361" s="2" t="s">
        <v>12</v>
      </c>
    </row>
    <row r="362" spans="1:11" ht="12.5" x14ac:dyDescent="0.25">
      <c r="A362" s="3" t="e">
        <f ca="1"/>
        <v>#NAME?</v>
      </c>
      <c r="B362" s="2" t="s">
        <v>12</v>
      </c>
      <c r="C362" s="2" t="s">
        <v>12</v>
      </c>
      <c r="D362" s="2" t="s">
        <v>12</v>
      </c>
      <c r="E362" s="2" t="s">
        <v>12</v>
      </c>
      <c r="F362" s="2" t="s">
        <v>12</v>
      </c>
      <c r="G362" s="2" t="s">
        <v>12</v>
      </c>
      <c r="H362" s="2" t="s">
        <v>12</v>
      </c>
      <c r="I362" s="2" t="s">
        <v>12</v>
      </c>
      <c r="J362" s="2" t="s">
        <v>12</v>
      </c>
      <c r="K362" s="2" t="s">
        <v>12</v>
      </c>
    </row>
    <row r="363" spans="1:11" ht="12.5" x14ac:dyDescent="0.25">
      <c r="A363" s="3" t="e">
        <f ca="1"/>
        <v>#NAME?</v>
      </c>
      <c r="B363" s="2" t="s">
        <v>12</v>
      </c>
      <c r="C363" s="2" t="s">
        <v>12</v>
      </c>
      <c r="D363" s="2" t="s">
        <v>12</v>
      </c>
      <c r="E363" s="2" t="s">
        <v>12</v>
      </c>
      <c r="F363" s="2" t="s">
        <v>12</v>
      </c>
      <c r="G363" s="2" t="s">
        <v>12</v>
      </c>
      <c r="H363" s="2" t="s">
        <v>12</v>
      </c>
      <c r="I363" s="2" t="s">
        <v>12</v>
      </c>
      <c r="J363" s="2" t="s">
        <v>12</v>
      </c>
      <c r="K363" s="2" t="s">
        <v>12</v>
      </c>
    </row>
    <row r="364" spans="1:11" ht="12.5" x14ac:dyDescent="0.25">
      <c r="A364" s="3" t="e">
        <f ca="1"/>
        <v>#NAME?</v>
      </c>
      <c r="B364" s="2" t="s">
        <v>12</v>
      </c>
      <c r="C364" s="2" t="s">
        <v>12</v>
      </c>
      <c r="D364" s="2" t="s">
        <v>12</v>
      </c>
      <c r="E364" s="2" t="s">
        <v>12</v>
      </c>
      <c r="F364" s="2" t="s">
        <v>12</v>
      </c>
      <c r="G364" s="2" t="s">
        <v>12</v>
      </c>
      <c r="H364" s="2" t="s">
        <v>12</v>
      </c>
      <c r="I364" s="2" t="s">
        <v>12</v>
      </c>
      <c r="J364" s="2" t="s">
        <v>12</v>
      </c>
      <c r="K364" s="2" t="s">
        <v>12</v>
      </c>
    </row>
    <row r="365" spans="1:11" ht="12.5" x14ac:dyDescent="0.25">
      <c r="A365" s="3" t="e">
        <f ca="1"/>
        <v>#NAME?</v>
      </c>
      <c r="B365" s="2" t="s">
        <v>12</v>
      </c>
      <c r="C365" s="2" t="s">
        <v>12</v>
      </c>
      <c r="D365" s="2" t="s">
        <v>12</v>
      </c>
      <c r="E365" s="2" t="s">
        <v>12</v>
      </c>
      <c r="F365" s="2" t="s">
        <v>12</v>
      </c>
      <c r="G365" s="2" t="s">
        <v>12</v>
      </c>
      <c r="H365" s="2" t="s">
        <v>12</v>
      </c>
      <c r="I365" s="2" t="s">
        <v>12</v>
      </c>
      <c r="J365" s="2" t="s">
        <v>12</v>
      </c>
      <c r="K365" s="2" t="s">
        <v>12</v>
      </c>
    </row>
    <row r="366" spans="1:11" ht="12.5" x14ac:dyDescent="0.25">
      <c r="A366" s="3" t="e">
        <f ca="1"/>
        <v>#NAME?</v>
      </c>
      <c r="B366" s="2" t="s">
        <v>12</v>
      </c>
      <c r="C366" s="2" t="s">
        <v>12</v>
      </c>
      <c r="D366" s="2" t="s">
        <v>12</v>
      </c>
      <c r="E366" s="2" t="s">
        <v>12</v>
      </c>
      <c r="F366" s="2" t="s">
        <v>12</v>
      </c>
      <c r="G366" s="2" t="s">
        <v>12</v>
      </c>
      <c r="H366" s="2" t="s">
        <v>12</v>
      </c>
      <c r="I366" s="2" t="s">
        <v>12</v>
      </c>
      <c r="J366" s="2" t="s">
        <v>12</v>
      </c>
      <c r="K366" s="2" t="s">
        <v>12</v>
      </c>
    </row>
    <row r="367" spans="1:11" ht="12.5" x14ac:dyDescent="0.25">
      <c r="A367" s="3" t="e">
        <f ca="1"/>
        <v>#NAME?</v>
      </c>
      <c r="B367" s="2" t="s">
        <v>12</v>
      </c>
      <c r="C367" s="2" t="s">
        <v>12</v>
      </c>
      <c r="D367" s="2" t="s">
        <v>12</v>
      </c>
      <c r="E367" s="2" t="s">
        <v>12</v>
      </c>
      <c r="F367" s="2" t="s">
        <v>12</v>
      </c>
      <c r="G367" s="2" t="s">
        <v>12</v>
      </c>
      <c r="H367" s="2" t="s">
        <v>12</v>
      </c>
      <c r="I367" s="2" t="s">
        <v>12</v>
      </c>
      <c r="J367" s="2" t="s">
        <v>12</v>
      </c>
      <c r="K367" s="2" t="s">
        <v>12</v>
      </c>
    </row>
    <row r="368" spans="1:11" ht="12.5" x14ac:dyDescent="0.25">
      <c r="A368" s="3" t="e">
        <f ca="1"/>
        <v>#NAME?</v>
      </c>
      <c r="B368" s="2" t="s">
        <v>12</v>
      </c>
      <c r="C368" s="2" t="s">
        <v>12</v>
      </c>
      <c r="D368" s="2" t="s">
        <v>12</v>
      </c>
      <c r="E368" s="2" t="s">
        <v>12</v>
      </c>
      <c r="F368" s="2" t="s">
        <v>12</v>
      </c>
      <c r="G368" s="2" t="s">
        <v>12</v>
      </c>
      <c r="H368" s="2" t="s">
        <v>12</v>
      </c>
      <c r="I368" s="2" t="s">
        <v>12</v>
      </c>
      <c r="J368" s="2" t="s">
        <v>12</v>
      </c>
      <c r="K368" s="2" t="s">
        <v>12</v>
      </c>
    </row>
    <row r="369" spans="1:11" ht="12.5" x14ac:dyDescent="0.25">
      <c r="A369" s="3" t="e">
        <f ca="1"/>
        <v>#NAME?</v>
      </c>
      <c r="B369" s="2" t="s">
        <v>12</v>
      </c>
      <c r="C369" s="2" t="s">
        <v>12</v>
      </c>
      <c r="D369" s="2" t="s">
        <v>12</v>
      </c>
      <c r="E369" s="2" t="s">
        <v>12</v>
      </c>
      <c r="F369" s="2" t="s">
        <v>12</v>
      </c>
      <c r="G369" s="2" t="s">
        <v>12</v>
      </c>
      <c r="H369" s="2" t="s">
        <v>12</v>
      </c>
      <c r="I369" s="2" t="s">
        <v>12</v>
      </c>
      <c r="J369" s="2" t="s">
        <v>12</v>
      </c>
      <c r="K369" s="2" t="s">
        <v>12</v>
      </c>
    </row>
    <row r="370" spans="1:11" ht="12.5" x14ac:dyDescent="0.25">
      <c r="A370" s="3" t="e">
        <f ca="1"/>
        <v>#NAME?</v>
      </c>
      <c r="B370" s="2" t="s">
        <v>12</v>
      </c>
      <c r="C370" s="2" t="s">
        <v>12</v>
      </c>
      <c r="D370" s="2" t="s">
        <v>12</v>
      </c>
      <c r="E370" s="2" t="s">
        <v>12</v>
      </c>
      <c r="F370" s="2" t="s">
        <v>12</v>
      </c>
      <c r="G370" s="2" t="s">
        <v>12</v>
      </c>
      <c r="H370" s="2" t="s">
        <v>12</v>
      </c>
      <c r="I370" s="2" t="s">
        <v>12</v>
      </c>
      <c r="J370" s="2" t="s">
        <v>12</v>
      </c>
      <c r="K370" s="2" t="s">
        <v>12</v>
      </c>
    </row>
    <row r="371" spans="1:11" ht="12.5" x14ac:dyDescent="0.25">
      <c r="A371" s="3" t="e">
        <f ca="1"/>
        <v>#NAME?</v>
      </c>
      <c r="B371" s="2" t="s">
        <v>12</v>
      </c>
      <c r="C371" s="2" t="s">
        <v>12</v>
      </c>
      <c r="D371" s="2" t="s">
        <v>12</v>
      </c>
      <c r="E371" s="2" t="s">
        <v>12</v>
      </c>
      <c r="F371" s="2" t="s">
        <v>12</v>
      </c>
      <c r="G371" s="2" t="s">
        <v>12</v>
      </c>
      <c r="H371" s="2" t="s">
        <v>12</v>
      </c>
      <c r="I371" s="2" t="s">
        <v>12</v>
      </c>
      <c r="J371" s="2" t="s">
        <v>12</v>
      </c>
      <c r="K371" s="2" t="s">
        <v>12</v>
      </c>
    </row>
    <row r="372" spans="1:11" ht="12.5" x14ac:dyDescent="0.25">
      <c r="A372" s="3" t="e">
        <f ca="1"/>
        <v>#NAME?</v>
      </c>
      <c r="B372" s="2" t="s">
        <v>12</v>
      </c>
      <c r="C372" s="2" t="s">
        <v>12</v>
      </c>
      <c r="D372" s="2" t="s">
        <v>12</v>
      </c>
      <c r="E372" s="2" t="s">
        <v>12</v>
      </c>
      <c r="F372" s="2" t="s">
        <v>12</v>
      </c>
      <c r="G372" s="2" t="s">
        <v>12</v>
      </c>
      <c r="H372" s="2" t="s">
        <v>12</v>
      </c>
      <c r="I372" s="2" t="s">
        <v>12</v>
      </c>
      <c r="J372" s="2" t="s">
        <v>12</v>
      </c>
      <c r="K372" s="2" t="s">
        <v>12</v>
      </c>
    </row>
    <row r="373" spans="1:11" ht="12.5" x14ac:dyDescent="0.25">
      <c r="A373" s="3" t="e">
        <f ca="1"/>
        <v>#NAME?</v>
      </c>
      <c r="B373" s="2" t="s">
        <v>12</v>
      </c>
      <c r="C373" s="2" t="s">
        <v>12</v>
      </c>
      <c r="D373" s="2" t="s">
        <v>12</v>
      </c>
      <c r="E373" s="2" t="s">
        <v>12</v>
      </c>
      <c r="F373" s="2" t="s">
        <v>12</v>
      </c>
      <c r="G373" s="2" t="s">
        <v>12</v>
      </c>
      <c r="H373" s="2" t="s">
        <v>12</v>
      </c>
      <c r="I373" s="2" t="s">
        <v>12</v>
      </c>
      <c r="J373" s="2" t="s">
        <v>12</v>
      </c>
      <c r="K373" s="2" t="s">
        <v>12</v>
      </c>
    </row>
    <row r="374" spans="1:11" ht="12.5" x14ac:dyDescent="0.25">
      <c r="A374" s="3" t="e">
        <f ca="1"/>
        <v>#NAME?</v>
      </c>
      <c r="B374" s="2" t="s">
        <v>12</v>
      </c>
      <c r="C374" s="2" t="s">
        <v>12</v>
      </c>
      <c r="D374" s="2" t="s">
        <v>12</v>
      </c>
      <c r="E374" s="2" t="s">
        <v>12</v>
      </c>
      <c r="F374" s="2" t="s">
        <v>12</v>
      </c>
      <c r="G374" s="2" t="s">
        <v>12</v>
      </c>
      <c r="H374" s="2" t="s">
        <v>12</v>
      </c>
      <c r="I374" s="2" t="s">
        <v>12</v>
      </c>
      <c r="J374" s="2" t="s">
        <v>12</v>
      </c>
      <c r="K374" s="2" t="s">
        <v>12</v>
      </c>
    </row>
    <row r="375" spans="1:11" ht="12.5" x14ac:dyDescent="0.25">
      <c r="A375" s="3" t="e">
        <f ca="1"/>
        <v>#NAME?</v>
      </c>
      <c r="B375" s="2" t="s">
        <v>12</v>
      </c>
      <c r="C375" s="2" t="s">
        <v>12</v>
      </c>
      <c r="D375" s="2" t="s">
        <v>12</v>
      </c>
      <c r="E375" s="2" t="s">
        <v>12</v>
      </c>
      <c r="F375" s="2" t="s">
        <v>12</v>
      </c>
      <c r="G375" s="2" t="s">
        <v>12</v>
      </c>
      <c r="H375" s="2" t="s">
        <v>12</v>
      </c>
      <c r="I375" s="2" t="s">
        <v>12</v>
      </c>
      <c r="J375" s="2" t="s">
        <v>12</v>
      </c>
      <c r="K375" s="2" t="s">
        <v>12</v>
      </c>
    </row>
    <row r="376" spans="1:11" ht="12.5" x14ac:dyDescent="0.25">
      <c r="A376" s="3" t="e">
        <f ca="1"/>
        <v>#NAME?</v>
      </c>
      <c r="B376" s="2" t="s">
        <v>12</v>
      </c>
      <c r="C376" s="2" t="s">
        <v>12</v>
      </c>
      <c r="D376" s="2" t="s">
        <v>12</v>
      </c>
      <c r="E376" s="2" t="s">
        <v>12</v>
      </c>
      <c r="F376" s="2" t="s">
        <v>12</v>
      </c>
      <c r="G376" s="2" t="s">
        <v>12</v>
      </c>
      <c r="H376" s="2" t="s">
        <v>12</v>
      </c>
      <c r="I376" s="2" t="s">
        <v>12</v>
      </c>
      <c r="J376" s="2" t="s">
        <v>12</v>
      </c>
      <c r="K376" s="2" t="s">
        <v>12</v>
      </c>
    </row>
    <row r="377" spans="1:11" ht="12.5" x14ac:dyDescent="0.25">
      <c r="A377" s="3" t="e">
        <f ca="1"/>
        <v>#NAME?</v>
      </c>
      <c r="B377" s="2" t="s">
        <v>12</v>
      </c>
      <c r="C377" s="2" t="s">
        <v>12</v>
      </c>
      <c r="D377" s="2" t="s">
        <v>12</v>
      </c>
      <c r="E377" s="2" t="s">
        <v>12</v>
      </c>
      <c r="F377" s="2" t="s">
        <v>12</v>
      </c>
      <c r="G377" s="2" t="s">
        <v>12</v>
      </c>
      <c r="H377" s="2" t="s">
        <v>12</v>
      </c>
      <c r="I377" s="2" t="s">
        <v>12</v>
      </c>
      <c r="J377" s="2" t="s">
        <v>12</v>
      </c>
      <c r="K377" s="2" t="s">
        <v>12</v>
      </c>
    </row>
    <row r="378" spans="1:11" ht="12.5" x14ac:dyDescent="0.25">
      <c r="A378" s="3" t="e">
        <f ca="1"/>
        <v>#NAME?</v>
      </c>
      <c r="B378" s="2" t="s">
        <v>12</v>
      </c>
      <c r="C378" s="2" t="s">
        <v>12</v>
      </c>
      <c r="D378" s="2" t="s">
        <v>12</v>
      </c>
      <c r="E378" s="2" t="s">
        <v>12</v>
      </c>
      <c r="F378" s="2" t="s">
        <v>12</v>
      </c>
      <c r="G378" s="2" t="s">
        <v>12</v>
      </c>
      <c r="H378" s="2" t="s">
        <v>12</v>
      </c>
      <c r="I378" s="2" t="s">
        <v>12</v>
      </c>
      <c r="J378" s="2" t="s">
        <v>12</v>
      </c>
      <c r="K378" s="2" t="s">
        <v>12</v>
      </c>
    </row>
    <row r="379" spans="1:11" ht="12.5" x14ac:dyDescent="0.25">
      <c r="A379" s="3" t="e">
        <f ca="1"/>
        <v>#NAME?</v>
      </c>
      <c r="B379" s="2" t="s">
        <v>12</v>
      </c>
      <c r="C379" s="2" t="s">
        <v>12</v>
      </c>
      <c r="D379" s="2" t="s">
        <v>12</v>
      </c>
      <c r="E379" s="2" t="s">
        <v>12</v>
      </c>
      <c r="F379" s="2" t="s">
        <v>12</v>
      </c>
      <c r="G379" s="2" t="s">
        <v>12</v>
      </c>
      <c r="H379" s="2" t="s">
        <v>12</v>
      </c>
      <c r="I379" s="2" t="s">
        <v>12</v>
      </c>
      <c r="J379" s="2" t="s">
        <v>12</v>
      </c>
      <c r="K379" s="2" t="s">
        <v>12</v>
      </c>
    </row>
    <row r="380" spans="1:11" ht="12.5" x14ac:dyDescent="0.25">
      <c r="A380" s="3" t="e">
        <f ca="1"/>
        <v>#NAME?</v>
      </c>
      <c r="B380" s="2" t="s">
        <v>12</v>
      </c>
      <c r="C380" s="2" t="s">
        <v>12</v>
      </c>
      <c r="D380" s="2" t="s">
        <v>12</v>
      </c>
      <c r="E380" s="2" t="s">
        <v>12</v>
      </c>
      <c r="F380" s="2" t="s">
        <v>12</v>
      </c>
      <c r="G380" s="2" t="s">
        <v>12</v>
      </c>
      <c r="H380" s="2" t="s">
        <v>12</v>
      </c>
      <c r="I380" s="2" t="s">
        <v>12</v>
      </c>
      <c r="J380" s="2" t="s">
        <v>12</v>
      </c>
      <c r="K380" s="2" t="s">
        <v>12</v>
      </c>
    </row>
    <row r="381" spans="1:11" ht="12.5" x14ac:dyDescent="0.25">
      <c r="A381" s="3" t="e">
        <f ca="1"/>
        <v>#NAME?</v>
      </c>
      <c r="B381" s="2" t="s">
        <v>12</v>
      </c>
      <c r="C381" s="2" t="s">
        <v>12</v>
      </c>
      <c r="D381" s="2" t="s">
        <v>12</v>
      </c>
      <c r="E381" s="2" t="s">
        <v>12</v>
      </c>
      <c r="F381" s="2" t="s">
        <v>12</v>
      </c>
      <c r="G381" s="2" t="s">
        <v>12</v>
      </c>
      <c r="H381" s="2" t="s">
        <v>12</v>
      </c>
      <c r="I381" s="2" t="s">
        <v>12</v>
      </c>
      <c r="J381" s="2" t="s">
        <v>12</v>
      </c>
      <c r="K381" s="2" t="s">
        <v>12</v>
      </c>
    </row>
    <row r="382" spans="1:11" ht="12.5" x14ac:dyDescent="0.25">
      <c r="A382" s="3" t="e">
        <f ca="1"/>
        <v>#NAME?</v>
      </c>
      <c r="B382" s="2" t="s">
        <v>12</v>
      </c>
      <c r="C382" s="2" t="s">
        <v>12</v>
      </c>
      <c r="D382" s="2" t="s">
        <v>12</v>
      </c>
      <c r="E382" s="2" t="s">
        <v>12</v>
      </c>
      <c r="F382" s="2" t="s">
        <v>12</v>
      </c>
      <c r="G382" s="2" t="s">
        <v>12</v>
      </c>
      <c r="H382" s="2" t="s">
        <v>12</v>
      </c>
      <c r="I382" s="2" t="s">
        <v>12</v>
      </c>
      <c r="J382" s="2" t="s">
        <v>12</v>
      </c>
      <c r="K382" s="2" t="s">
        <v>12</v>
      </c>
    </row>
    <row r="383" spans="1:11" ht="12.5" x14ac:dyDescent="0.25">
      <c r="A383" s="3" t="e">
        <f ca="1"/>
        <v>#NAME?</v>
      </c>
      <c r="B383" s="2" t="s">
        <v>12</v>
      </c>
      <c r="C383" s="2" t="s">
        <v>12</v>
      </c>
      <c r="D383" s="2" t="s">
        <v>12</v>
      </c>
      <c r="E383" s="2" t="s">
        <v>12</v>
      </c>
      <c r="F383" s="2" t="s">
        <v>12</v>
      </c>
      <c r="G383" s="2" t="s">
        <v>12</v>
      </c>
      <c r="H383" s="2" t="s">
        <v>12</v>
      </c>
      <c r="I383" s="2" t="s">
        <v>12</v>
      </c>
      <c r="J383" s="2" t="s">
        <v>12</v>
      </c>
      <c r="K383" s="2" t="s">
        <v>12</v>
      </c>
    </row>
    <row r="384" spans="1:11" ht="12.5" x14ac:dyDescent="0.25">
      <c r="A384" s="3" t="e">
        <f ca="1"/>
        <v>#NAME?</v>
      </c>
      <c r="B384" s="2" t="s">
        <v>12</v>
      </c>
      <c r="C384" s="2" t="s">
        <v>12</v>
      </c>
      <c r="D384" s="2" t="s">
        <v>12</v>
      </c>
      <c r="E384" s="2" t="s">
        <v>12</v>
      </c>
      <c r="F384" s="2" t="s">
        <v>12</v>
      </c>
      <c r="G384" s="2" t="s">
        <v>12</v>
      </c>
      <c r="H384" s="2" t="s">
        <v>12</v>
      </c>
      <c r="I384" s="2" t="s">
        <v>12</v>
      </c>
      <c r="J384" s="2" t="s">
        <v>12</v>
      </c>
      <c r="K384" s="2" t="s">
        <v>12</v>
      </c>
    </row>
    <row r="385" spans="1:11" ht="12.5" x14ac:dyDescent="0.25">
      <c r="A385" s="3" t="e">
        <f ca="1"/>
        <v>#NAME?</v>
      </c>
      <c r="B385" s="2" t="s">
        <v>12</v>
      </c>
      <c r="C385" s="2" t="s">
        <v>12</v>
      </c>
      <c r="D385" s="2" t="s">
        <v>12</v>
      </c>
      <c r="E385" s="2" t="s">
        <v>12</v>
      </c>
      <c r="F385" s="2" t="s">
        <v>12</v>
      </c>
      <c r="G385" s="2" t="s">
        <v>12</v>
      </c>
      <c r="H385" s="2" t="s">
        <v>12</v>
      </c>
      <c r="I385" s="2" t="s">
        <v>12</v>
      </c>
      <c r="J385" s="2" t="s">
        <v>12</v>
      </c>
      <c r="K385" s="2" t="s">
        <v>12</v>
      </c>
    </row>
    <row r="386" spans="1:11" ht="12.5" x14ac:dyDescent="0.25">
      <c r="A386" s="3" t="e">
        <f ca="1"/>
        <v>#NAME?</v>
      </c>
      <c r="B386" s="2" t="s">
        <v>12</v>
      </c>
      <c r="C386" s="2" t="s">
        <v>12</v>
      </c>
      <c r="D386" s="2" t="s">
        <v>12</v>
      </c>
      <c r="E386" s="2" t="s">
        <v>12</v>
      </c>
      <c r="F386" s="2" t="s">
        <v>12</v>
      </c>
      <c r="G386" s="2" t="s">
        <v>12</v>
      </c>
      <c r="H386" s="2" t="s">
        <v>12</v>
      </c>
      <c r="I386" s="2" t="s">
        <v>12</v>
      </c>
      <c r="J386" s="2" t="s">
        <v>12</v>
      </c>
      <c r="K386" s="2" t="s">
        <v>12</v>
      </c>
    </row>
    <row r="387" spans="1:11" ht="12.5" x14ac:dyDescent="0.25">
      <c r="A387" s="3" t="e">
        <f ca="1"/>
        <v>#NAME?</v>
      </c>
      <c r="B387" s="2" t="s">
        <v>12</v>
      </c>
      <c r="C387" s="2" t="s">
        <v>12</v>
      </c>
      <c r="D387" s="2" t="s">
        <v>12</v>
      </c>
      <c r="E387" s="2" t="s">
        <v>12</v>
      </c>
      <c r="F387" s="2" t="s">
        <v>12</v>
      </c>
      <c r="G387" s="2" t="s">
        <v>12</v>
      </c>
      <c r="H387" s="2" t="s">
        <v>12</v>
      </c>
      <c r="I387" s="2" t="s">
        <v>12</v>
      </c>
      <c r="J387" s="2" t="s">
        <v>12</v>
      </c>
      <c r="K387" s="2" t="s">
        <v>12</v>
      </c>
    </row>
    <row r="388" spans="1:11" ht="12.5" x14ac:dyDescent="0.25">
      <c r="A388" s="3" t="e">
        <f ca="1"/>
        <v>#NAME?</v>
      </c>
      <c r="B388" s="2" t="s">
        <v>12</v>
      </c>
      <c r="C388" s="2" t="s">
        <v>12</v>
      </c>
      <c r="D388" s="2" t="s">
        <v>12</v>
      </c>
      <c r="E388" s="2" t="s">
        <v>12</v>
      </c>
      <c r="F388" s="2" t="s">
        <v>12</v>
      </c>
      <c r="G388" s="2" t="s">
        <v>12</v>
      </c>
      <c r="H388" s="2" t="s">
        <v>12</v>
      </c>
      <c r="I388" s="2" t="s">
        <v>12</v>
      </c>
      <c r="J388" s="2" t="s">
        <v>12</v>
      </c>
      <c r="K388" s="2" t="s">
        <v>12</v>
      </c>
    </row>
    <row r="389" spans="1:11" ht="12.5" x14ac:dyDescent="0.25">
      <c r="A389" s="3" t="e">
        <f ca="1"/>
        <v>#NAME?</v>
      </c>
      <c r="B389" s="2" t="s">
        <v>12</v>
      </c>
      <c r="C389" s="2" t="s">
        <v>12</v>
      </c>
      <c r="D389" s="2" t="s">
        <v>12</v>
      </c>
      <c r="E389" s="2" t="s">
        <v>12</v>
      </c>
      <c r="F389" s="2" t="s">
        <v>12</v>
      </c>
      <c r="G389" s="2" t="s">
        <v>12</v>
      </c>
      <c r="H389" s="2" t="s">
        <v>12</v>
      </c>
      <c r="I389" s="2" t="s">
        <v>12</v>
      </c>
      <c r="J389" s="2" t="s">
        <v>12</v>
      </c>
      <c r="K389" s="2" t="s">
        <v>12</v>
      </c>
    </row>
    <row r="390" spans="1:11" ht="12.5" x14ac:dyDescent="0.25">
      <c r="A390" s="3" t="e">
        <f ca="1"/>
        <v>#NAME?</v>
      </c>
      <c r="B390" s="2" t="s">
        <v>12</v>
      </c>
      <c r="C390" s="2" t="s">
        <v>12</v>
      </c>
      <c r="D390" s="2" t="s">
        <v>12</v>
      </c>
      <c r="E390" s="2" t="s">
        <v>12</v>
      </c>
      <c r="F390" s="2" t="s">
        <v>12</v>
      </c>
      <c r="G390" s="2" t="s">
        <v>12</v>
      </c>
      <c r="H390" s="2" t="s">
        <v>12</v>
      </c>
      <c r="I390" s="2" t="s">
        <v>12</v>
      </c>
      <c r="J390" s="2" t="s">
        <v>12</v>
      </c>
      <c r="K390" s="2" t="s">
        <v>12</v>
      </c>
    </row>
    <row r="391" spans="1:11" ht="12.5" x14ac:dyDescent="0.25">
      <c r="A391" s="3" t="e">
        <f ca="1"/>
        <v>#NAME?</v>
      </c>
      <c r="B391" s="2" t="s">
        <v>12</v>
      </c>
      <c r="C391" s="2" t="s">
        <v>12</v>
      </c>
      <c r="D391" s="2" t="s">
        <v>12</v>
      </c>
      <c r="E391" s="2" t="s">
        <v>12</v>
      </c>
      <c r="F391" s="2" t="s">
        <v>12</v>
      </c>
      <c r="G391" s="2" t="s">
        <v>12</v>
      </c>
      <c r="H391" s="2" t="s">
        <v>12</v>
      </c>
      <c r="I391" s="2" t="s">
        <v>12</v>
      </c>
      <c r="J391" s="2" t="s">
        <v>12</v>
      </c>
      <c r="K391" s="2" t="s">
        <v>12</v>
      </c>
    </row>
    <row r="392" spans="1:11" ht="12.5" x14ac:dyDescent="0.25">
      <c r="A392" s="3" t="e">
        <f ca="1"/>
        <v>#NAME?</v>
      </c>
      <c r="B392" s="2" t="s">
        <v>12</v>
      </c>
      <c r="C392" s="2" t="s">
        <v>12</v>
      </c>
      <c r="D392" s="2" t="s">
        <v>12</v>
      </c>
      <c r="E392" s="2" t="s">
        <v>12</v>
      </c>
      <c r="F392" s="2" t="s">
        <v>12</v>
      </c>
      <c r="G392" s="2" t="s">
        <v>12</v>
      </c>
      <c r="H392" s="2" t="s">
        <v>12</v>
      </c>
      <c r="I392" s="2" t="s">
        <v>12</v>
      </c>
      <c r="J392" s="2" t="s">
        <v>12</v>
      </c>
      <c r="K392" s="2" t="s">
        <v>12</v>
      </c>
    </row>
    <row r="393" spans="1:11" ht="12.5" x14ac:dyDescent="0.25">
      <c r="A393" s="3" t="e">
        <f ca="1"/>
        <v>#NAME?</v>
      </c>
      <c r="B393" s="2" t="s">
        <v>12</v>
      </c>
      <c r="C393" s="2" t="s">
        <v>12</v>
      </c>
      <c r="D393" s="2" t="s">
        <v>12</v>
      </c>
      <c r="E393" s="2" t="s">
        <v>12</v>
      </c>
      <c r="F393" s="2" t="s">
        <v>12</v>
      </c>
      <c r="G393" s="2" t="s">
        <v>12</v>
      </c>
      <c r="H393" s="2" t="s">
        <v>12</v>
      </c>
      <c r="I393" s="2" t="s">
        <v>12</v>
      </c>
      <c r="J393" s="2" t="s">
        <v>12</v>
      </c>
      <c r="K393" s="2" t="s">
        <v>12</v>
      </c>
    </row>
    <row r="394" spans="1:11" ht="12.5" x14ac:dyDescent="0.25">
      <c r="A394" s="3" t="e">
        <f ca="1"/>
        <v>#NAME?</v>
      </c>
      <c r="B394" s="2" t="s">
        <v>12</v>
      </c>
      <c r="C394" s="2" t="s">
        <v>12</v>
      </c>
      <c r="D394" s="2" t="s">
        <v>12</v>
      </c>
      <c r="E394" s="2" t="s">
        <v>12</v>
      </c>
      <c r="F394" s="2" t="s">
        <v>12</v>
      </c>
      <c r="G394" s="2" t="s">
        <v>12</v>
      </c>
      <c r="H394" s="2" t="s">
        <v>12</v>
      </c>
      <c r="I394" s="2" t="s">
        <v>12</v>
      </c>
      <c r="J394" s="2" t="s">
        <v>12</v>
      </c>
      <c r="K394" s="2" t="s">
        <v>12</v>
      </c>
    </row>
    <row r="395" spans="1:11" ht="12.5" x14ac:dyDescent="0.25">
      <c r="A395" s="3" t="e">
        <f ca="1"/>
        <v>#NAME?</v>
      </c>
      <c r="B395" s="2" t="s">
        <v>12</v>
      </c>
      <c r="C395" s="2" t="s">
        <v>12</v>
      </c>
      <c r="D395" s="2" t="s">
        <v>12</v>
      </c>
      <c r="E395" s="2" t="s">
        <v>12</v>
      </c>
      <c r="F395" s="2" t="s">
        <v>12</v>
      </c>
      <c r="G395" s="2" t="s">
        <v>12</v>
      </c>
      <c r="H395" s="2" t="s">
        <v>12</v>
      </c>
      <c r="I395" s="2" t="s">
        <v>12</v>
      </c>
      <c r="J395" s="2" t="s">
        <v>12</v>
      </c>
      <c r="K395" s="2" t="s">
        <v>12</v>
      </c>
    </row>
    <row r="396" spans="1:11" ht="12.5" x14ac:dyDescent="0.25">
      <c r="A396" s="3" t="e">
        <f ca="1"/>
        <v>#NAME?</v>
      </c>
      <c r="B396" s="2" t="s">
        <v>12</v>
      </c>
      <c r="C396" s="2" t="s">
        <v>12</v>
      </c>
      <c r="D396" s="2" t="s">
        <v>12</v>
      </c>
      <c r="E396" s="2" t="s">
        <v>12</v>
      </c>
      <c r="F396" s="2" t="s">
        <v>12</v>
      </c>
      <c r="G396" s="2" t="s">
        <v>12</v>
      </c>
      <c r="H396" s="2" t="s">
        <v>12</v>
      </c>
      <c r="I396" s="2" t="s">
        <v>12</v>
      </c>
      <c r="J396" s="2" t="s">
        <v>12</v>
      </c>
      <c r="K396" s="2" t="s">
        <v>12</v>
      </c>
    </row>
    <row r="397" spans="1:11" ht="12.5" x14ac:dyDescent="0.25">
      <c r="A397" s="3" t="e">
        <f ca="1"/>
        <v>#NAME?</v>
      </c>
      <c r="B397" s="2" t="s">
        <v>12</v>
      </c>
      <c r="C397" s="2" t="s">
        <v>12</v>
      </c>
      <c r="D397" s="2" t="s">
        <v>12</v>
      </c>
      <c r="E397" s="2" t="s">
        <v>12</v>
      </c>
      <c r="F397" s="2" t="s">
        <v>12</v>
      </c>
      <c r="G397" s="2" t="s">
        <v>12</v>
      </c>
      <c r="H397" s="2" t="s">
        <v>12</v>
      </c>
      <c r="I397" s="2" t="s">
        <v>12</v>
      </c>
      <c r="J397" s="2" t="s">
        <v>12</v>
      </c>
      <c r="K397" s="2" t="s">
        <v>12</v>
      </c>
    </row>
    <row r="398" spans="1:11" ht="12.5" x14ac:dyDescent="0.25">
      <c r="A398" s="3" t="e">
        <f ca="1"/>
        <v>#NAME?</v>
      </c>
      <c r="B398" s="2" t="s">
        <v>12</v>
      </c>
      <c r="C398" s="2" t="s">
        <v>12</v>
      </c>
      <c r="D398" s="2" t="s">
        <v>12</v>
      </c>
      <c r="E398" s="2" t="s">
        <v>12</v>
      </c>
      <c r="F398" s="2" t="s">
        <v>12</v>
      </c>
      <c r="G398" s="2" t="s">
        <v>12</v>
      </c>
      <c r="H398" s="2" t="s">
        <v>12</v>
      </c>
      <c r="I398" s="2" t="s">
        <v>12</v>
      </c>
      <c r="J398" s="2" t="s">
        <v>12</v>
      </c>
      <c r="K398" s="2" t="s">
        <v>12</v>
      </c>
    </row>
    <row r="399" spans="1:11" ht="12.5" x14ac:dyDescent="0.25">
      <c r="A399" s="3" t="e">
        <f ca="1"/>
        <v>#NAME?</v>
      </c>
      <c r="B399" s="2" t="s">
        <v>12</v>
      </c>
      <c r="C399" s="2" t="s">
        <v>12</v>
      </c>
      <c r="D399" s="2" t="s">
        <v>12</v>
      </c>
      <c r="E399" s="2" t="s">
        <v>12</v>
      </c>
      <c r="F399" s="2" t="s">
        <v>12</v>
      </c>
      <c r="G399" s="2" t="s">
        <v>12</v>
      </c>
      <c r="H399" s="2" t="s">
        <v>12</v>
      </c>
      <c r="I399" s="2" t="s">
        <v>12</v>
      </c>
      <c r="J399" s="2" t="s">
        <v>12</v>
      </c>
      <c r="K399" s="2" t="s">
        <v>12</v>
      </c>
    </row>
    <row r="400" spans="1:11" ht="12.5" x14ac:dyDescent="0.25">
      <c r="A400" s="3" t="e">
        <f ca="1"/>
        <v>#NAME?</v>
      </c>
      <c r="B400" s="2" t="s">
        <v>12</v>
      </c>
      <c r="C400" s="2" t="s">
        <v>12</v>
      </c>
      <c r="D400" s="2" t="s">
        <v>12</v>
      </c>
      <c r="E400" s="2" t="s">
        <v>12</v>
      </c>
      <c r="F400" s="2" t="s">
        <v>12</v>
      </c>
      <c r="G400" s="2" t="s">
        <v>12</v>
      </c>
      <c r="H400" s="2" t="s">
        <v>12</v>
      </c>
      <c r="I400" s="2" t="s">
        <v>12</v>
      </c>
      <c r="J400" s="2" t="s">
        <v>12</v>
      </c>
      <c r="K400" s="2" t="s">
        <v>12</v>
      </c>
    </row>
    <row r="401" spans="1:11" ht="12.5" x14ac:dyDescent="0.25">
      <c r="A401" s="3" t="e">
        <f ca="1"/>
        <v>#NAME?</v>
      </c>
      <c r="B401" s="2" t="s">
        <v>12</v>
      </c>
      <c r="C401" s="2" t="s">
        <v>12</v>
      </c>
      <c r="D401" s="2" t="s">
        <v>12</v>
      </c>
      <c r="E401" s="2" t="s">
        <v>12</v>
      </c>
      <c r="F401" s="2" t="s">
        <v>12</v>
      </c>
      <c r="G401" s="2" t="s">
        <v>12</v>
      </c>
      <c r="H401" s="2" t="s">
        <v>12</v>
      </c>
      <c r="I401" s="2" t="s">
        <v>12</v>
      </c>
      <c r="J401" s="2" t="s">
        <v>12</v>
      </c>
      <c r="K401" s="2" t="s">
        <v>12</v>
      </c>
    </row>
    <row r="402" spans="1:11" ht="12.5" x14ac:dyDescent="0.25">
      <c r="A402" s="3" t="e">
        <f ca="1"/>
        <v>#NAME?</v>
      </c>
      <c r="B402" s="2" t="s">
        <v>12</v>
      </c>
      <c r="C402" s="2" t="s">
        <v>12</v>
      </c>
      <c r="D402" s="2" t="s">
        <v>12</v>
      </c>
      <c r="E402" s="2" t="s">
        <v>12</v>
      </c>
      <c r="F402" s="2" t="s">
        <v>12</v>
      </c>
      <c r="G402" s="2" t="s">
        <v>12</v>
      </c>
      <c r="H402" s="2" t="s">
        <v>12</v>
      </c>
      <c r="I402" s="2" t="s">
        <v>12</v>
      </c>
      <c r="J402" s="2" t="s">
        <v>12</v>
      </c>
      <c r="K402" s="2" t="s">
        <v>12</v>
      </c>
    </row>
    <row r="403" spans="1:11" ht="12.5" x14ac:dyDescent="0.25">
      <c r="A403" s="3" t="e">
        <f ca="1"/>
        <v>#NAME?</v>
      </c>
      <c r="B403" s="2" t="s">
        <v>12</v>
      </c>
      <c r="C403" s="2" t="s">
        <v>12</v>
      </c>
      <c r="D403" s="2" t="s">
        <v>12</v>
      </c>
      <c r="E403" s="2" t="s">
        <v>12</v>
      </c>
      <c r="F403" s="2" t="s">
        <v>12</v>
      </c>
      <c r="G403" s="2" t="s">
        <v>12</v>
      </c>
      <c r="H403" s="2" t="s">
        <v>12</v>
      </c>
      <c r="I403" s="2" t="s">
        <v>12</v>
      </c>
      <c r="J403" s="2" t="s">
        <v>12</v>
      </c>
      <c r="K403" s="2" t="s">
        <v>12</v>
      </c>
    </row>
    <row r="404" spans="1:11" ht="12.5" x14ac:dyDescent="0.25">
      <c r="A404" s="3" t="e">
        <f ca="1"/>
        <v>#NAME?</v>
      </c>
      <c r="B404" s="2" t="s">
        <v>12</v>
      </c>
      <c r="C404" s="2" t="s">
        <v>12</v>
      </c>
      <c r="D404" s="2" t="s">
        <v>12</v>
      </c>
      <c r="E404" s="2" t="s">
        <v>12</v>
      </c>
      <c r="F404" s="2" t="s">
        <v>12</v>
      </c>
      <c r="G404" s="2" t="s">
        <v>12</v>
      </c>
      <c r="H404" s="2" t="s">
        <v>12</v>
      </c>
      <c r="I404" s="2" t="s">
        <v>12</v>
      </c>
      <c r="J404" s="2" t="s">
        <v>12</v>
      </c>
      <c r="K404" s="2" t="s">
        <v>12</v>
      </c>
    </row>
    <row r="405" spans="1:11" ht="12.5" x14ac:dyDescent="0.25">
      <c r="A405" s="3" t="e">
        <f ca="1"/>
        <v>#NAME?</v>
      </c>
      <c r="B405" s="2" t="s">
        <v>12</v>
      </c>
      <c r="C405" s="2" t="s">
        <v>12</v>
      </c>
      <c r="D405" s="2" t="s">
        <v>12</v>
      </c>
      <c r="E405" s="2" t="s">
        <v>12</v>
      </c>
      <c r="F405" s="2" t="s">
        <v>12</v>
      </c>
      <c r="G405" s="2" t="s">
        <v>12</v>
      </c>
      <c r="H405" s="2" t="s">
        <v>12</v>
      </c>
      <c r="I405" s="2" t="s">
        <v>12</v>
      </c>
      <c r="J405" s="2" t="s">
        <v>12</v>
      </c>
      <c r="K405" s="2" t="s">
        <v>12</v>
      </c>
    </row>
    <row r="406" spans="1:11" ht="12.5" x14ac:dyDescent="0.25">
      <c r="A406" s="3" t="e">
        <f ca="1"/>
        <v>#NAME?</v>
      </c>
      <c r="B406" s="2" t="s">
        <v>12</v>
      </c>
      <c r="C406" s="2" t="s">
        <v>12</v>
      </c>
      <c r="D406" s="2" t="s">
        <v>12</v>
      </c>
      <c r="E406" s="2" t="s">
        <v>12</v>
      </c>
      <c r="F406" s="2" t="s">
        <v>12</v>
      </c>
      <c r="G406" s="2" t="s">
        <v>12</v>
      </c>
      <c r="H406" s="2" t="s">
        <v>12</v>
      </c>
      <c r="I406" s="2" t="s">
        <v>12</v>
      </c>
      <c r="J406" s="2" t="s">
        <v>12</v>
      </c>
      <c r="K406" s="2" t="s">
        <v>12</v>
      </c>
    </row>
    <row r="407" spans="1:11" ht="12.5" x14ac:dyDescent="0.25">
      <c r="A407" s="3" t="e">
        <f ca="1"/>
        <v>#NAME?</v>
      </c>
      <c r="B407" s="2" t="s">
        <v>12</v>
      </c>
      <c r="C407" s="2" t="s">
        <v>12</v>
      </c>
      <c r="D407" s="2" t="s">
        <v>12</v>
      </c>
      <c r="E407" s="2" t="s">
        <v>12</v>
      </c>
      <c r="F407" s="2" t="s">
        <v>12</v>
      </c>
      <c r="G407" s="2" t="s">
        <v>12</v>
      </c>
      <c r="H407" s="2" t="s">
        <v>12</v>
      </c>
      <c r="I407" s="2" t="s">
        <v>12</v>
      </c>
      <c r="J407" s="2" t="s">
        <v>12</v>
      </c>
      <c r="K407" s="2" t="s">
        <v>12</v>
      </c>
    </row>
    <row r="408" spans="1:11" ht="12.5" x14ac:dyDescent="0.25">
      <c r="A408" s="3" t="e">
        <f ca="1"/>
        <v>#NAME?</v>
      </c>
      <c r="B408" s="2" t="s">
        <v>12</v>
      </c>
      <c r="C408" s="2" t="s">
        <v>12</v>
      </c>
      <c r="D408" s="2" t="s">
        <v>12</v>
      </c>
      <c r="E408" s="2" t="s">
        <v>12</v>
      </c>
      <c r="F408" s="2" t="s">
        <v>12</v>
      </c>
      <c r="G408" s="2" t="s">
        <v>12</v>
      </c>
      <c r="H408" s="2" t="s">
        <v>12</v>
      </c>
      <c r="I408" s="2" t="s">
        <v>12</v>
      </c>
      <c r="J408" s="2" t="s">
        <v>12</v>
      </c>
      <c r="K408" s="2" t="s">
        <v>12</v>
      </c>
    </row>
    <row r="409" spans="1:11" ht="12.5" x14ac:dyDescent="0.25">
      <c r="A409" s="3" t="e">
        <f ca="1"/>
        <v>#NAME?</v>
      </c>
      <c r="B409" s="2" t="s">
        <v>12</v>
      </c>
      <c r="C409" s="2" t="s">
        <v>12</v>
      </c>
      <c r="D409" s="2" t="s">
        <v>12</v>
      </c>
      <c r="E409" s="2" t="s">
        <v>12</v>
      </c>
      <c r="F409" s="2" t="s">
        <v>12</v>
      </c>
      <c r="G409" s="2" t="s">
        <v>12</v>
      </c>
      <c r="H409" s="2" t="s">
        <v>12</v>
      </c>
      <c r="I409" s="2" t="s">
        <v>12</v>
      </c>
      <c r="J409" s="2" t="s">
        <v>12</v>
      </c>
      <c r="K409" s="2" t="s">
        <v>12</v>
      </c>
    </row>
    <row r="410" spans="1:11" ht="12.5" x14ac:dyDescent="0.25">
      <c r="A410" s="3" t="e">
        <f ca="1"/>
        <v>#NAME?</v>
      </c>
      <c r="B410" s="2" t="s">
        <v>12</v>
      </c>
      <c r="C410" s="2" t="s">
        <v>12</v>
      </c>
      <c r="D410" s="2" t="s">
        <v>12</v>
      </c>
      <c r="E410" s="2" t="s">
        <v>12</v>
      </c>
      <c r="F410" s="2" t="s">
        <v>12</v>
      </c>
      <c r="G410" s="2" t="s">
        <v>12</v>
      </c>
      <c r="H410" s="2" t="s">
        <v>12</v>
      </c>
      <c r="I410" s="2" t="s">
        <v>12</v>
      </c>
      <c r="J410" s="2" t="s">
        <v>12</v>
      </c>
      <c r="K410" s="2" t="s">
        <v>12</v>
      </c>
    </row>
    <row r="411" spans="1:11" ht="12.5" x14ac:dyDescent="0.25">
      <c r="A411" s="3" t="e">
        <f ca="1"/>
        <v>#NAME?</v>
      </c>
      <c r="B411" s="2" t="s">
        <v>12</v>
      </c>
      <c r="C411" s="2" t="s">
        <v>12</v>
      </c>
      <c r="D411" s="2" t="s">
        <v>12</v>
      </c>
      <c r="E411" s="2" t="s">
        <v>12</v>
      </c>
      <c r="F411" s="2" t="s">
        <v>12</v>
      </c>
      <c r="G411" s="2" t="s">
        <v>12</v>
      </c>
      <c r="H411" s="2" t="s">
        <v>12</v>
      </c>
      <c r="I411" s="2" t="s">
        <v>12</v>
      </c>
      <c r="J411" s="2" t="s">
        <v>12</v>
      </c>
      <c r="K411" s="2" t="s">
        <v>12</v>
      </c>
    </row>
    <row r="412" spans="1:11" ht="12.5" x14ac:dyDescent="0.25">
      <c r="A412" s="3" t="e">
        <f ca="1"/>
        <v>#NAME?</v>
      </c>
      <c r="B412" s="2" t="s">
        <v>12</v>
      </c>
      <c r="C412" s="2" t="s">
        <v>12</v>
      </c>
      <c r="D412" s="2" t="s">
        <v>12</v>
      </c>
      <c r="E412" s="2" t="s">
        <v>12</v>
      </c>
      <c r="F412" s="2" t="s">
        <v>12</v>
      </c>
      <c r="G412" s="2" t="s">
        <v>12</v>
      </c>
      <c r="H412" s="2" t="s">
        <v>12</v>
      </c>
      <c r="I412" s="2" t="s">
        <v>12</v>
      </c>
      <c r="J412" s="2" t="s">
        <v>12</v>
      </c>
      <c r="K412" s="2" t="s">
        <v>12</v>
      </c>
    </row>
    <row r="413" spans="1:11" ht="12.5" x14ac:dyDescent="0.25">
      <c r="A413" s="3" t="e">
        <f ca="1"/>
        <v>#NAME?</v>
      </c>
      <c r="B413" s="2" t="s">
        <v>12</v>
      </c>
      <c r="C413" s="2" t="s">
        <v>12</v>
      </c>
      <c r="D413" s="2" t="s">
        <v>12</v>
      </c>
      <c r="E413" s="2" t="s">
        <v>12</v>
      </c>
      <c r="F413" s="2" t="s">
        <v>12</v>
      </c>
      <c r="G413" s="2" t="s">
        <v>12</v>
      </c>
      <c r="H413" s="2" t="s">
        <v>12</v>
      </c>
      <c r="I413" s="2" t="s">
        <v>12</v>
      </c>
      <c r="J413" s="2" t="s">
        <v>12</v>
      </c>
      <c r="K413" s="2" t="s">
        <v>12</v>
      </c>
    </row>
    <row r="414" spans="1:11" ht="12.5" x14ac:dyDescent="0.25">
      <c r="A414" s="3" t="e">
        <f ca="1"/>
        <v>#NAME?</v>
      </c>
      <c r="B414" s="2" t="s">
        <v>12</v>
      </c>
      <c r="C414" s="2" t="s">
        <v>12</v>
      </c>
      <c r="D414" s="2" t="s">
        <v>12</v>
      </c>
      <c r="E414" s="2" t="s">
        <v>12</v>
      </c>
      <c r="F414" s="2" t="s">
        <v>12</v>
      </c>
      <c r="G414" s="2" t="s">
        <v>12</v>
      </c>
      <c r="H414" s="2" t="s">
        <v>12</v>
      </c>
      <c r="I414" s="2" t="s">
        <v>12</v>
      </c>
      <c r="J414" s="2" t="s">
        <v>12</v>
      </c>
      <c r="K414" s="2" t="s">
        <v>12</v>
      </c>
    </row>
    <row r="415" spans="1:11" ht="12.5" x14ac:dyDescent="0.25">
      <c r="A415" s="3" t="e">
        <f ca="1"/>
        <v>#NAME?</v>
      </c>
      <c r="B415" s="2" t="s">
        <v>12</v>
      </c>
      <c r="C415" s="2" t="s">
        <v>12</v>
      </c>
      <c r="D415" s="2" t="s">
        <v>12</v>
      </c>
      <c r="E415" s="2" t="s">
        <v>12</v>
      </c>
      <c r="F415" s="2" t="s">
        <v>12</v>
      </c>
      <c r="G415" s="2" t="s">
        <v>12</v>
      </c>
      <c r="H415" s="2" t="s">
        <v>12</v>
      </c>
      <c r="I415" s="2" t="s">
        <v>12</v>
      </c>
      <c r="J415" s="2" t="s">
        <v>12</v>
      </c>
      <c r="K415" s="2" t="s">
        <v>12</v>
      </c>
    </row>
    <row r="416" spans="1:11" ht="12.5" x14ac:dyDescent="0.25">
      <c r="A416" s="3" t="e">
        <f ca="1"/>
        <v>#NAME?</v>
      </c>
      <c r="B416" s="2" t="s">
        <v>12</v>
      </c>
      <c r="C416" s="2" t="s">
        <v>12</v>
      </c>
      <c r="D416" s="2" t="s">
        <v>12</v>
      </c>
      <c r="E416" s="2" t="s">
        <v>12</v>
      </c>
      <c r="F416" s="2" t="s">
        <v>12</v>
      </c>
      <c r="G416" s="2" t="s">
        <v>12</v>
      </c>
      <c r="H416" s="2" t="s">
        <v>12</v>
      </c>
      <c r="I416" s="2" t="s">
        <v>12</v>
      </c>
      <c r="J416" s="2" t="s">
        <v>12</v>
      </c>
      <c r="K416" s="2" t="s">
        <v>12</v>
      </c>
    </row>
    <row r="417" spans="1:11" ht="12.5" x14ac:dyDescent="0.25">
      <c r="A417" s="3" t="e">
        <f ca="1"/>
        <v>#NAME?</v>
      </c>
      <c r="B417" s="2" t="s">
        <v>12</v>
      </c>
      <c r="C417" s="2" t="s">
        <v>12</v>
      </c>
      <c r="D417" s="2" t="s">
        <v>12</v>
      </c>
      <c r="E417" s="2" t="s">
        <v>12</v>
      </c>
      <c r="F417" s="2" t="s">
        <v>12</v>
      </c>
      <c r="G417" s="2" t="s">
        <v>12</v>
      </c>
      <c r="H417" s="2" t="s">
        <v>12</v>
      </c>
      <c r="I417" s="2" t="s">
        <v>12</v>
      </c>
      <c r="J417" s="2" t="s">
        <v>12</v>
      </c>
      <c r="K417" s="2" t="s">
        <v>12</v>
      </c>
    </row>
    <row r="418" spans="1:11" ht="12.5" x14ac:dyDescent="0.25">
      <c r="A418" s="3" t="e">
        <f ca="1"/>
        <v>#NAME?</v>
      </c>
      <c r="B418" s="2" t="s">
        <v>12</v>
      </c>
      <c r="C418" s="2" t="s">
        <v>12</v>
      </c>
      <c r="D418" s="2" t="s">
        <v>12</v>
      </c>
      <c r="E418" s="2" t="s">
        <v>12</v>
      </c>
      <c r="F418" s="2" t="s">
        <v>12</v>
      </c>
      <c r="G418" s="2" t="s">
        <v>12</v>
      </c>
      <c r="H418" s="2" t="s">
        <v>12</v>
      </c>
      <c r="I418" s="2" t="s">
        <v>12</v>
      </c>
      <c r="J418" s="2" t="s">
        <v>12</v>
      </c>
      <c r="K418" s="2" t="s">
        <v>12</v>
      </c>
    </row>
    <row r="419" spans="1:11" ht="12.5" x14ac:dyDescent="0.25">
      <c r="A419" s="3" t="e">
        <f ca="1"/>
        <v>#NAME?</v>
      </c>
      <c r="B419" s="2" t="s">
        <v>12</v>
      </c>
      <c r="C419" s="2" t="s">
        <v>12</v>
      </c>
      <c r="D419" s="2" t="s">
        <v>12</v>
      </c>
      <c r="E419" s="2" t="s">
        <v>12</v>
      </c>
      <c r="F419" s="2" t="s">
        <v>12</v>
      </c>
      <c r="G419" s="2" t="s">
        <v>12</v>
      </c>
      <c r="H419" s="2" t="s">
        <v>12</v>
      </c>
      <c r="I419" s="2" t="s">
        <v>12</v>
      </c>
      <c r="J419" s="2" t="s">
        <v>12</v>
      </c>
      <c r="K419" s="2" t="s">
        <v>12</v>
      </c>
    </row>
    <row r="420" spans="1:11" ht="12.5" x14ac:dyDescent="0.25">
      <c r="A420" s="3" t="e">
        <f ca="1"/>
        <v>#NAME?</v>
      </c>
      <c r="B420" s="2" t="s">
        <v>12</v>
      </c>
      <c r="C420" s="2" t="s">
        <v>12</v>
      </c>
      <c r="D420" s="2" t="s">
        <v>12</v>
      </c>
      <c r="E420" s="2" t="s">
        <v>12</v>
      </c>
      <c r="F420" s="2" t="s">
        <v>12</v>
      </c>
      <c r="G420" s="2" t="s">
        <v>12</v>
      </c>
      <c r="H420" s="2" t="s">
        <v>12</v>
      </c>
      <c r="I420" s="2" t="s">
        <v>12</v>
      </c>
      <c r="J420" s="2" t="s">
        <v>12</v>
      </c>
      <c r="K420" s="2" t="s">
        <v>12</v>
      </c>
    </row>
    <row r="421" spans="1:11" ht="12.5" x14ac:dyDescent="0.25">
      <c r="A421" s="3" t="e">
        <f ca="1"/>
        <v>#NAME?</v>
      </c>
      <c r="B421" s="2" t="s">
        <v>12</v>
      </c>
      <c r="C421" s="2" t="s">
        <v>12</v>
      </c>
      <c r="D421" s="2" t="s">
        <v>12</v>
      </c>
      <c r="E421" s="2" t="s">
        <v>12</v>
      </c>
      <c r="F421" s="2" t="s">
        <v>12</v>
      </c>
      <c r="G421" s="2" t="s">
        <v>12</v>
      </c>
      <c r="H421" s="2" t="s">
        <v>12</v>
      </c>
      <c r="I421" s="2" t="s">
        <v>12</v>
      </c>
      <c r="J421" s="2" t="s">
        <v>12</v>
      </c>
      <c r="K421" s="2" t="s">
        <v>12</v>
      </c>
    </row>
    <row r="422" spans="1:11" ht="12.5" x14ac:dyDescent="0.25">
      <c r="A422" s="3" t="e">
        <f ca="1"/>
        <v>#NAME?</v>
      </c>
      <c r="B422" s="2" t="s">
        <v>12</v>
      </c>
      <c r="C422" s="2" t="s">
        <v>12</v>
      </c>
      <c r="D422" s="2" t="s">
        <v>12</v>
      </c>
      <c r="E422" s="2" t="s">
        <v>12</v>
      </c>
      <c r="F422" s="2" t="s">
        <v>12</v>
      </c>
      <c r="G422" s="2" t="s">
        <v>12</v>
      </c>
      <c r="H422" s="2" t="s">
        <v>12</v>
      </c>
      <c r="I422" s="2" t="s">
        <v>12</v>
      </c>
      <c r="J422" s="2" t="s">
        <v>12</v>
      </c>
      <c r="K422" s="2" t="s">
        <v>12</v>
      </c>
    </row>
    <row r="423" spans="1:11" ht="12.5" x14ac:dyDescent="0.25">
      <c r="A423" s="3" t="e">
        <f ca="1"/>
        <v>#NAME?</v>
      </c>
      <c r="B423" s="2" t="s">
        <v>12</v>
      </c>
      <c r="C423" s="2" t="s">
        <v>12</v>
      </c>
      <c r="D423" s="2" t="s">
        <v>12</v>
      </c>
      <c r="E423" s="2" t="s">
        <v>12</v>
      </c>
      <c r="F423" s="2" t="s">
        <v>12</v>
      </c>
      <c r="G423" s="2" t="s">
        <v>12</v>
      </c>
      <c r="H423" s="2" t="s">
        <v>12</v>
      </c>
      <c r="I423" s="2" t="s">
        <v>12</v>
      </c>
      <c r="J423" s="2" t="s">
        <v>12</v>
      </c>
      <c r="K423" s="2" t="s">
        <v>12</v>
      </c>
    </row>
    <row r="424" spans="1:11" ht="12.5" x14ac:dyDescent="0.25">
      <c r="A424" s="3" t="e">
        <f ca="1"/>
        <v>#NAME?</v>
      </c>
      <c r="B424" s="2" t="s">
        <v>12</v>
      </c>
      <c r="C424" s="2" t="s">
        <v>12</v>
      </c>
      <c r="D424" s="2" t="s">
        <v>12</v>
      </c>
      <c r="E424" s="2" t="s">
        <v>12</v>
      </c>
      <c r="F424" s="2" t="s">
        <v>12</v>
      </c>
      <c r="G424" s="2" t="s">
        <v>12</v>
      </c>
      <c r="H424" s="2" t="s">
        <v>12</v>
      </c>
      <c r="I424" s="2" t="s">
        <v>12</v>
      </c>
      <c r="J424" s="2" t="s">
        <v>12</v>
      </c>
      <c r="K424" s="2" t="s">
        <v>12</v>
      </c>
    </row>
    <row r="425" spans="1:11" ht="12.5" x14ac:dyDescent="0.25">
      <c r="A425" s="3" t="e">
        <f ca="1"/>
        <v>#NAME?</v>
      </c>
      <c r="B425" s="2" t="s">
        <v>12</v>
      </c>
      <c r="C425" s="2" t="s">
        <v>12</v>
      </c>
      <c r="D425" s="2" t="s">
        <v>12</v>
      </c>
      <c r="E425" s="2" t="s">
        <v>12</v>
      </c>
      <c r="F425" s="2" t="s">
        <v>12</v>
      </c>
      <c r="G425" s="2" t="s">
        <v>12</v>
      </c>
      <c r="H425" s="2" t="s">
        <v>12</v>
      </c>
      <c r="I425" s="2" t="s">
        <v>12</v>
      </c>
      <c r="J425" s="2" t="s">
        <v>12</v>
      </c>
      <c r="K425" s="2" t="s">
        <v>12</v>
      </c>
    </row>
    <row r="426" spans="1:11" ht="12.5" x14ac:dyDescent="0.25">
      <c r="A426" s="3" t="e">
        <f ca="1"/>
        <v>#NAME?</v>
      </c>
      <c r="B426" s="2" t="s">
        <v>12</v>
      </c>
      <c r="C426" s="2" t="s">
        <v>12</v>
      </c>
      <c r="D426" s="2" t="s">
        <v>12</v>
      </c>
      <c r="E426" s="2" t="s">
        <v>12</v>
      </c>
      <c r="F426" s="2" t="s">
        <v>12</v>
      </c>
      <c r="G426" s="2" t="s">
        <v>12</v>
      </c>
      <c r="H426" s="2" t="s">
        <v>12</v>
      </c>
      <c r="I426" s="2" t="s">
        <v>12</v>
      </c>
      <c r="J426" s="2" t="s">
        <v>12</v>
      </c>
      <c r="K426" s="2" t="s">
        <v>12</v>
      </c>
    </row>
    <row r="427" spans="1:11" ht="12.5" x14ac:dyDescent="0.25">
      <c r="A427" s="3" t="e">
        <f ca="1"/>
        <v>#NAME?</v>
      </c>
      <c r="B427" s="2" t="s">
        <v>12</v>
      </c>
      <c r="C427" s="2" t="s">
        <v>12</v>
      </c>
      <c r="D427" s="2" t="s">
        <v>12</v>
      </c>
      <c r="E427" s="2" t="s">
        <v>12</v>
      </c>
      <c r="F427" s="2" t="s">
        <v>12</v>
      </c>
      <c r="G427" s="2" t="s">
        <v>12</v>
      </c>
      <c r="H427" s="2" t="s">
        <v>12</v>
      </c>
      <c r="I427" s="2" t="s">
        <v>12</v>
      </c>
      <c r="J427" s="2" t="s">
        <v>12</v>
      </c>
      <c r="K427" s="2" t="s">
        <v>12</v>
      </c>
    </row>
    <row r="428" spans="1:11" ht="12.5" x14ac:dyDescent="0.25">
      <c r="A428" s="3" t="e">
        <f ca="1"/>
        <v>#NAME?</v>
      </c>
      <c r="B428" s="2" t="s">
        <v>12</v>
      </c>
      <c r="C428" s="2" t="s">
        <v>12</v>
      </c>
      <c r="D428" s="2" t="s">
        <v>12</v>
      </c>
      <c r="E428" s="2" t="s">
        <v>12</v>
      </c>
      <c r="F428" s="2" t="s">
        <v>12</v>
      </c>
      <c r="G428" s="2" t="s">
        <v>12</v>
      </c>
      <c r="H428" s="2" t="s">
        <v>12</v>
      </c>
      <c r="I428" s="2" t="s">
        <v>12</v>
      </c>
      <c r="J428" s="2" t="s">
        <v>12</v>
      </c>
      <c r="K428" s="2" t="s">
        <v>12</v>
      </c>
    </row>
    <row r="429" spans="1:11" ht="12.5" x14ac:dyDescent="0.25">
      <c r="A429" s="3" t="e">
        <f ca="1"/>
        <v>#NAME?</v>
      </c>
      <c r="B429" s="2" t="s">
        <v>12</v>
      </c>
      <c r="C429" s="2" t="s">
        <v>12</v>
      </c>
      <c r="D429" s="2" t="s">
        <v>12</v>
      </c>
      <c r="E429" s="2" t="s">
        <v>12</v>
      </c>
      <c r="F429" s="2" t="s">
        <v>12</v>
      </c>
      <c r="G429" s="2" t="s">
        <v>12</v>
      </c>
      <c r="H429" s="2" t="s">
        <v>12</v>
      </c>
      <c r="I429" s="2" t="s">
        <v>12</v>
      </c>
      <c r="J429" s="2" t="s">
        <v>12</v>
      </c>
      <c r="K429" s="2" t="s">
        <v>12</v>
      </c>
    </row>
    <row r="430" spans="1:11" ht="12.5" x14ac:dyDescent="0.25">
      <c r="A430" s="3" t="e">
        <f ca="1"/>
        <v>#NAME?</v>
      </c>
      <c r="B430" s="2" t="s">
        <v>12</v>
      </c>
      <c r="C430" s="2" t="s">
        <v>12</v>
      </c>
      <c r="D430" s="2" t="s">
        <v>12</v>
      </c>
      <c r="E430" s="2" t="s">
        <v>12</v>
      </c>
      <c r="F430" s="2" t="s">
        <v>12</v>
      </c>
      <c r="G430" s="2" t="s">
        <v>12</v>
      </c>
      <c r="H430" s="2" t="s">
        <v>12</v>
      </c>
      <c r="I430" s="2" t="s">
        <v>12</v>
      </c>
      <c r="J430" s="2" t="s">
        <v>12</v>
      </c>
      <c r="K430" s="2" t="s">
        <v>12</v>
      </c>
    </row>
    <row r="431" spans="1:11" ht="12.5" x14ac:dyDescent="0.25">
      <c r="A431" s="3" t="e">
        <f ca="1"/>
        <v>#NAME?</v>
      </c>
      <c r="B431" s="2" t="s">
        <v>12</v>
      </c>
      <c r="C431" s="2" t="s">
        <v>12</v>
      </c>
      <c r="D431" s="2" t="s">
        <v>12</v>
      </c>
      <c r="E431" s="2" t="s">
        <v>12</v>
      </c>
      <c r="F431" s="2" t="s">
        <v>12</v>
      </c>
      <c r="G431" s="2" t="s">
        <v>12</v>
      </c>
      <c r="H431" s="2" t="s">
        <v>12</v>
      </c>
      <c r="I431" s="2" t="s">
        <v>12</v>
      </c>
      <c r="J431" s="2" t="s">
        <v>12</v>
      </c>
      <c r="K431" s="2" t="s">
        <v>12</v>
      </c>
    </row>
    <row r="432" spans="1:11" ht="12.5" x14ac:dyDescent="0.25">
      <c r="A432" s="3" t="e">
        <f ca="1"/>
        <v>#NAME?</v>
      </c>
      <c r="B432" s="2" t="s">
        <v>12</v>
      </c>
      <c r="C432" s="2" t="s">
        <v>12</v>
      </c>
      <c r="D432" s="2" t="s">
        <v>12</v>
      </c>
      <c r="E432" s="2" t="s">
        <v>12</v>
      </c>
      <c r="F432" s="2" t="s">
        <v>12</v>
      </c>
      <c r="G432" s="2" t="s">
        <v>12</v>
      </c>
      <c r="H432" s="2" t="s">
        <v>12</v>
      </c>
      <c r="I432" s="2" t="s">
        <v>12</v>
      </c>
      <c r="J432" s="2" t="s">
        <v>12</v>
      </c>
      <c r="K432" s="2" t="s">
        <v>12</v>
      </c>
    </row>
    <row r="433" spans="1:11" ht="12.5" x14ac:dyDescent="0.25">
      <c r="A433" s="3" t="e">
        <f ca="1"/>
        <v>#NAME?</v>
      </c>
      <c r="B433" s="2" t="s">
        <v>12</v>
      </c>
      <c r="C433" s="2" t="s">
        <v>12</v>
      </c>
      <c r="D433" s="2" t="s">
        <v>12</v>
      </c>
      <c r="E433" s="2" t="s">
        <v>12</v>
      </c>
      <c r="F433" s="2" t="s">
        <v>12</v>
      </c>
      <c r="G433" s="2" t="s">
        <v>12</v>
      </c>
      <c r="H433" s="2" t="s">
        <v>12</v>
      </c>
      <c r="I433" s="2" t="s">
        <v>12</v>
      </c>
      <c r="J433" s="2" t="s">
        <v>12</v>
      </c>
      <c r="K433" s="2" t="s">
        <v>12</v>
      </c>
    </row>
    <row r="434" spans="1:11" ht="12.5" x14ac:dyDescent="0.25">
      <c r="A434" s="3" t="e">
        <f ca="1"/>
        <v>#NAME?</v>
      </c>
      <c r="B434" s="2" t="s">
        <v>12</v>
      </c>
      <c r="C434" s="2" t="s">
        <v>12</v>
      </c>
      <c r="D434" s="2" t="s">
        <v>12</v>
      </c>
      <c r="E434" s="2" t="s">
        <v>12</v>
      </c>
      <c r="F434" s="2" t="s">
        <v>12</v>
      </c>
      <c r="G434" s="2" t="s">
        <v>12</v>
      </c>
      <c r="H434" s="2" t="s">
        <v>12</v>
      </c>
      <c r="I434" s="2" t="s">
        <v>12</v>
      </c>
      <c r="J434" s="2" t="s">
        <v>12</v>
      </c>
      <c r="K434" s="2" t="s">
        <v>12</v>
      </c>
    </row>
    <row r="435" spans="1:11" ht="12.5" x14ac:dyDescent="0.25">
      <c r="A435" s="3" t="e">
        <f ca="1"/>
        <v>#NAME?</v>
      </c>
      <c r="B435" s="2" t="s">
        <v>12</v>
      </c>
      <c r="C435" s="2" t="s">
        <v>12</v>
      </c>
      <c r="D435" s="2" t="s">
        <v>12</v>
      </c>
      <c r="E435" s="2" t="s">
        <v>12</v>
      </c>
      <c r="F435" s="2" t="s">
        <v>12</v>
      </c>
      <c r="G435" s="2" t="s">
        <v>12</v>
      </c>
      <c r="H435" s="2" t="s">
        <v>12</v>
      </c>
      <c r="I435" s="2" t="s">
        <v>12</v>
      </c>
      <c r="J435" s="2" t="s">
        <v>12</v>
      </c>
      <c r="K435" s="2" t="s">
        <v>12</v>
      </c>
    </row>
    <row r="436" spans="1:11" ht="12.5" x14ac:dyDescent="0.25">
      <c r="A436" s="3" t="e">
        <f ca="1"/>
        <v>#NAME?</v>
      </c>
      <c r="B436" s="2" t="s">
        <v>12</v>
      </c>
      <c r="C436" s="2" t="s">
        <v>12</v>
      </c>
      <c r="D436" s="2" t="s">
        <v>12</v>
      </c>
      <c r="E436" s="2" t="s">
        <v>12</v>
      </c>
      <c r="F436" s="2" t="s">
        <v>12</v>
      </c>
      <c r="G436" s="2" t="s">
        <v>12</v>
      </c>
      <c r="H436" s="2" t="s">
        <v>12</v>
      </c>
      <c r="I436" s="2" t="s">
        <v>12</v>
      </c>
      <c r="J436" s="2" t="s">
        <v>12</v>
      </c>
      <c r="K436" s="2" t="s">
        <v>12</v>
      </c>
    </row>
    <row r="437" spans="1:11" ht="12.5" x14ac:dyDescent="0.25">
      <c r="A437" s="3" t="e">
        <f ca="1"/>
        <v>#NAME?</v>
      </c>
      <c r="B437" s="2" t="s">
        <v>12</v>
      </c>
      <c r="C437" s="2" t="s">
        <v>12</v>
      </c>
      <c r="D437" s="2" t="s">
        <v>12</v>
      </c>
      <c r="E437" s="2" t="s">
        <v>12</v>
      </c>
      <c r="F437" s="2" t="s">
        <v>12</v>
      </c>
      <c r="G437" s="2" t="s">
        <v>12</v>
      </c>
      <c r="H437" s="2" t="s">
        <v>12</v>
      </c>
      <c r="I437" s="2" t="s">
        <v>12</v>
      </c>
      <c r="J437" s="2" t="s">
        <v>12</v>
      </c>
      <c r="K437" s="2" t="s">
        <v>12</v>
      </c>
    </row>
    <row r="438" spans="1:11" ht="12.5" x14ac:dyDescent="0.25">
      <c r="A438" s="3" t="e">
        <f ca="1"/>
        <v>#NAME?</v>
      </c>
      <c r="B438" s="2" t="s">
        <v>12</v>
      </c>
      <c r="C438" s="2" t="s">
        <v>12</v>
      </c>
      <c r="D438" s="2" t="s">
        <v>12</v>
      </c>
      <c r="E438" s="2" t="s">
        <v>12</v>
      </c>
      <c r="F438" s="2" t="s">
        <v>12</v>
      </c>
      <c r="G438" s="2" t="s">
        <v>12</v>
      </c>
      <c r="H438" s="2" t="s">
        <v>12</v>
      </c>
      <c r="I438" s="2" t="s">
        <v>12</v>
      </c>
      <c r="J438" s="2" t="s">
        <v>12</v>
      </c>
      <c r="K438" s="2" t="s">
        <v>12</v>
      </c>
    </row>
    <row r="439" spans="1:11" ht="12.5" x14ac:dyDescent="0.25">
      <c r="A439" s="3" t="e">
        <f ca="1"/>
        <v>#NAME?</v>
      </c>
      <c r="B439" s="2" t="s">
        <v>12</v>
      </c>
      <c r="C439" s="2" t="s">
        <v>12</v>
      </c>
      <c r="D439" s="2" t="s">
        <v>12</v>
      </c>
      <c r="E439" s="2" t="s">
        <v>12</v>
      </c>
      <c r="F439" s="2" t="s">
        <v>12</v>
      </c>
      <c r="G439" s="2" t="s">
        <v>12</v>
      </c>
      <c r="H439" s="2" t="s">
        <v>12</v>
      </c>
      <c r="I439" s="2" t="s">
        <v>12</v>
      </c>
      <c r="J439" s="2" t="s">
        <v>12</v>
      </c>
      <c r="K439" s="2" t="s">
        <v>12</v>
      </c>
    </row>
    <row r="440" spans="1:11" ht="12.5" x14ac:dyDescent="0.25">
      <c r="A440" s="3" t="e">
        <f ca="1"/>
        <v>#NAME?</v>
      </c>
      <c r="B440" s="2" t="s">
        <v>12</v>
      </c>
      <c r="C440" s="2" t="s">
        <v>12</v>
      </c>
      <c r="D440" s="2" t="s">
        <v>12</v>
      </c>
      <c r="E440" s="2" t="s">
        <v>12</v>
      </c>
      <c r="F440" s="2" t="s">
        <v>12</v>
      </c>
      <c r="G440" s="2" t="s">
        <v>12</v>
      </c>
      <c r="H440" s="2" t="s">
        <v>12</v>
      </c>
      <c r="I440" s="2" t="s">
        <v>12</v>
      </c>
      <c r="J440" s="2" t="s">
        <v>12</v>
      </c>
      <c r="K440" s="2" t="s">
        <v>12</v>
      </c>
    </row>
    <row r="441" spans="1:11" ht="12.5" x14ac:dyDescent="0.25">
      <c r="A441" s="3" t="e">
        <f ca="1"/>
        <v>#NAME?</v>
      </c>
      <c r="B441" s="2" t="s">
        <v>12</v>
      </c>
      <c r="C441" s="2" t="s">
        <v>12</v>
      </c>
      <c r="D441" s="2" t="s">
        <v>12</v>
      </c>
      <c r="E441" s="2" t="s">
        <v>12</v>
      </c>
      <c r="F441" s="2" t="s">
        <v>12</v>
      </c>
      <c r="G441" s="2" t="s">
        <v>12</v>
      </c>
      <c r="H441" s="2" t="s">
        <v>12</v>
      </c>
      <c r="I441" s="2" t="s">
        <v>12</v>
      </c>
      <c r="J441" s="2" t="s">
        <v>12</v>
      </c>
      <c r="K441" s="2" t="s">
        <v>12</v>
      </c>
    </row>
    <row r="442" spans="1:11" ht="12.5" x14ac:dyDescent="0.25">
      <c r="A442" s="3" t="e">
        <f ca="1"/>
        <v>#NAME?</v>
      </c>
      <c r="B442" s="2" t="s">
        <v>12</v>
      </c>
      <c r="C442" s="2" t="s">
        <v>12</v>
      </c>
      <c r="D442" s="2" t="s">
        <v>12</v>
      </c>
      <c r="E442" s="2" t="s">
        <v>12</v>
      </c>
      <c r="F442" s="2" t="s">
        <v>12</v>
      </c>
      <c r="G442" s="2" t="s">
        <v>12</v>
      </c>
      <c r="H442" s="2" t="s">
        <v>12</v>
      </c>
      <c r="I442" s="2" t="s">
        <v>12</v>
      </c>
      <c r="J442" s="2" t="s">
        <v>12</v>
      </c>
      <c r="K442" s="2" t="s">
        <v>12</v>
      </c>
    </row>
    <row r="443" spans="1:11" ht="12.5" x14ac:dyDescent="0.25">
      <c r="A443" s="3" t="e">
        <f ca="1"/>
        <v>#NAME?</v>
      </c>
      <c r="B443" s="2" t="s">
        <v>12</v>
      </c>
      <c r="C443" s="2" t="s">
        <v>12</v>
      </c>
      <c r="D443" s="2" t="s">
        <v>12</v>
      </c>
      <c r="E443" s="2" t="s">
        <v>12</v>
      </c>
      <c r="F443" s="2" t="s">
        <v>12</v>
      </c>
      <c r="G443" s="2" t="s">
        <v>12</v>
      </c>
      <c r="H443" s="2" t="s">
        <v>12</v>
      </c>
      <c r="I443" s="2" t="s">
        <v>12</v>
      </c>
      <c r="J443" s="2" t="s">
        <v>12</v>
      </c>
      <c r="K443" s="2" t="s">
        <v>12</v>
      </c>
    </row>
    <row r="444" spans="1:11" ht="12.5" x14ac:dyDescent="0.25">
      <c r="A444" s="3" t="e">
        <f ca="1"/>
        <v>#NAME?</v>
      </c>
      <c r="B444" s="2" t="s">
        <v>12</v>
      </c>
      <c r="C444" s="2" t="s">
        <v>12</v>
      </c>
      <c r="D444" s="2" t="s">
        <v>12</v>
      </c>
      <c r="E444" s="2" t="s">
        <v>12</v>
      </c>
      <c r="F444" s="2" t="s">
        <v>12</v>
      </c>
      <c r="G444" s="2" t="s">
        <v>12</v>
      </c>
      <c r="H444" s="2" t="s">
        <v>12</v>
      </c>
      <c r="I444" s="2" t="s">
        <v>12</v>
      </c>
      <c r="J444" s="2" t="s">
        <v>12</v>
      </c>
      <c r="K444" s="2" t="s">
        <v>12</v>
      </c>
    </row>
    <row r="445" spans="1:11" ht="12.5" x14ac:dyDescent="0.25">
      <c r="A445" s="3" t="e">
        <f ca="1"/>
        <v>#NAME?</v>
      </c>
      <c r="B445" s="2" t="s">
        <v>12</v>
      </c>
      <c r="C445" s="2" t="s">
        <v>12</v>
      </c>
      <c r="D445" s="2" t="s">
        <v>12</v>
      </c>
      <c r="E445" s="2" t="s">
        <v>12</v>
      </c>
      <c r="F445" s="2" t="s">
        <v>12</v>
      </c>
      <c r="G445" s="2" t="s">
        <v>12</v>
      </c>
      <c r="H445" s="2" t="s">
        <v>12</v>
      </c>
      <c r="I445" s="2" t="s">
        <v>12</v>
      </c>
      <c r="J445" s="2" t="s">
        <v>12</v>
      </c>
      <c r="K445" s="2" t="s">
        <v>12</v>
      </c>
    </row>
    <row r="446" spans="1:11" ht="12.5" x14ac:dyDescent="0.25">
      <c r="A446" s="3" t="e">
        <f ca="1"/>
        <v>#NAME?</v>
      </c>
      <c r="B446" s="2" t="s">
        <v>12</v>
      </c>
      <c r="C446" s="2" t="s">
        <v>12</v>
      </c>
      <c r="D446" s="2" t="s">
        <v>12</v>
      </c>
      <c r="E446" s="2" t="s">
        <v>12</v>
      </c>
      <c r="F446" s="2" t="s">
        <v>12</v>
      </c>
      <c r="G446" s="2" t="s">
        <v>12</v>
      </c>
      <c r="H446" s="2" t="s">
        <v>12</v>
      </c>
      <c r="I446" s="2" t="s">
        <v>12</v>
      </c>
      <c r="J446" s="2" t="s">
        <v>12</v>
      </c>
      <c r="K446" s="2" t="s">
        <v>12</v>
      </c>
    </row>
    <row r="447" spans="1:11" ht="12.5" x14ac:dyDescent="0.25">
      <c r="A447" s="3" t="e">
        <f ca="1"/>
        <v>#NAME?</v>
      </c>
      <c r="B447" s="2" t="s">
        <v>12</v>
      </c>
      <c r="C447" s="2" t="s">
        <v>12</v>
      </c>
      <c r="D447" s="2" t="s">
        <v>12</v>
      </c>
      <c r="E447" s="2" t="s">
        <v>12</v>
      </c>
      <c r="F447" s="2" t="s">
        <v>12</v>
      </c>
      <c r="G447" s="2" t="s">
        <v>12</v>
      </c>
      <c r="H447" s="2" t="s">
        <v>12</v>
      </c>
      <c r="I447" s="2" t="s">
        <v>12</v>
      </c>
      <c r="J447" s="2" t="s">
        <v>12</v>
      </c>
      <c r="K447" s="2" t="s">
        <v>12</v>
      </c>
    </row>
    <row r="448" spans="1:11" ht="12.5" x14ac:dyDescent="0.25">
      <c r="A448" s="3" t="e">
        <f ca="1"/>
        <v>#NAME?</v>
      </c>
      <c r="B448" s="2" t="s">
        <v>12</v>
      </c>
      <c r="C448" s="2" t="s">
        <v>12</v>
      </c>
      <c r="D448" s="2" t="s">
        <v>12</v>
      </c>
      <c r="E448" s="2" t="s">
        <v>12</v>
      </c>
      <c r="F448" s="2" t="s">
        <v>12</v>
      </c>
      <c r="G448" s="2" t="s">
        <v>12</v>
      </c>
      <c r="H448" s="2" t="s">
        <v>12</v>
      </c>
      <c r="I448" s="2" t="s">
        <v>12</v>
      </c>
      <c r="J448" s="2" t="s">
        <v>12</v>
      </c>
      <c r="K448" s="2" t="s">
        <v>12</v>
      </c>
    </row>
    <row r="449" spans="1:11" ht="12.5" x14ac:dyDescent="0.25">
      <c r="A449" s="3" t="e">
        <f ca="1"/>
        <v>#NAME?</v>
      </c>
      <c r="B449" s="2" t="s">
        <v>12</v>
      </c>
      <c r="C449" s="2" t="s">
        <v>12</v>
      </c>
      <c r="D449" s="2" t="s">
        <v>12</v>
      </c>
      <c r="E449" s="2" t="s">
        <v>12</v>
      </c>
      <c r="F449" s="2" t="s">
        <v>12</v>
      </c>
      <c r="G449" s="2" t="s">
        <v>12</v>
      </c>
      <c r="H449" s="2" t="s">
        <v>12</v>
      </c>
      <c r="I449" s="2" t="s">
        <v>12</v>
      </c>
      <c r="J449" s="2" t="s">
        <v>12</v>
      </c>
      <c r="K449" s="2" t="s">
        <v>12</v>
      </c>
    </row>
    <row r="450" spans="1:11" ht="12.5" x14ac:dyDescent="0.25">
      <c r="A450" s="3" t="e">
        <f ca="1"/>
        <v>#NAME?</v>
      </c>
      <c r="B450" s="2" t="s">
        <v>12</v>
      </c>
      <c r="C450" s="2" t="s">
        <v>12</v>
      </c>
      <c r="D450" s="2" t="s">
        <v>12</v>
      </c>
      <c r="E450" s="2" t="s">
        <v>12</v>
      </c>
      <c r="F450" s="2" t="s">
        <v>12</v>
      </c>
      <c r="G450" s="2" t="s">
        <v>12</v>
      </c>
      <c r="H450" s="2" t="s">
        <v>12</v>
      </c>
      <c r="I450" s="2" t="s">
        <v>12</v>
      </c>
      <c r="J450" s="2" t="s">
        <v>12</v>
      </c>
      <c r="K450" s="2" t="s">
        <v>12</v>
      </c>
    </row>
    <row r="451" spans="1:11" ht="12.5" x14ac:dyDescent="0.25">
      <c r="A451" s="3" t="e">
        <f ca="1"/>
        <v>#NAME?</v>
      </c>
      <c r="B451" s="2" t="s">
        <v>12</v>
      </c>
      <c r="C451" s="2" t="s">
        <v>12</v>
      </c>
      <c r="D451" s="2" t="s">
        <v>12</v>
      </c>
      <c r="E451" s="2" t="s">
        <v>12</v>
      </c>
      <c r="F451" s="2" t="s">
        <v>12</v>
      </c>
      <c r="G451" s="2" t="s">
        <v>12</v>
      </c>
      <c r="H451" s="2" t="s">
        <v>12</v>
      </c>
      <c r="I451" s="2" t="s">
        <v>12</v>
      </c>
      <c r="J451" s="2" t="s">
        <v>12</v>
      </c>
      <c r="K451" s="2" t="s">
        <v>12</v>
      </c>
    </row>
    <row r="452" spans="1:11" ht="12.5" x14ac:dyDescent="0.25">
      <c r="A452" s="3" t="e">
        <f ca="1"/>
        <v>#NAME?</v>
      </c>
      <c r="B452" s="2" t="s">
        <v>12</v>
      </c>
      <c r="C452" s="2" t="s">
        <v>12</v>
      </c>
      <c r="D452" s="2" t="s">
        <v>12</v>
      </c>
      <c r="E452" s="2" t="s">
        <v>12</v>
      </c>
      <c r="F452" s="2" t="s">
        <v>12</v>
      </c>
      <c r="G452" s="2" t="s">
        <v>12</v>
      </c>
      <c r="H452" s="2" t="s">
        <v>12</v>
      </c>
      <c r="I452" s="2" t="s">
        <v>12</v>
      </c>
      <c r="J452" s="2" t="s">
        <v>12</v>
      </c>
      <c r="K452" s="2" t="s">
        <v>12</v>
      </c>
    </row>
    <row r="453" spans="1:11" ht="12.5" x14ac:dyDescent="0.25">
      <c r="A453" s="3" t="e">
        <f ca="1"/>
        <v>#NAME?</v>
      </c>
      <c r="B453" s="2" t="s">
        <v>12</v>
      </c>
      <c r="C453" s="2" t="s">
        <v>12</v>
      </c>
      <c r="D453" s="2" t="s">
        <v>12</v>
      </c>
      <c r="E453" s="2" t="s">
        <v>12</v>
      </c>
      <c r="F453" s="2" t="s">
        <v>12</v>
      </c>
      <c r="G453" s="2" t="s">
        <v>12</v>
      </c>
      <c r="H453" s="2" t="s">
        <v>12</v>
      </c>
      <c r="I453" s="2" t="s">
        <v>12</v>
      </c>
      <c r="J453" s="2" t="s">
        <v>12</v>
      </c>
      <c r="K453" s="2" t="s">
        <v>12</v>
      </c>
    </row>
    <row r="454" spans="1:11" ht="12.5" x14ac:dyDescent="0.25">
      <c r="A454" s="3" t="e">
        <f ca="1"/>
        <v>#NAME?</v>
      </c>
      <c r="B454" s="2" t="s">
        <v>12</v>
      </c>
      <c r="C454" s="2" t="s">
        <v>12</v>
      </c>
      <c r="D454" s="2" t="s">
        <v>12</v>
      </c>
      <c r="E454" s="2" t="s">
        <v>12</v>
      </c>
      <c r="F454" s="2" t="s">
        <v>12</v>
      </c>
      <c r="G454" s="2" t="s">
        <v>12</v>
      </c>
      <c r="H454" s="2" t="s">
        <v>12</v>
      </c>
      <c r="I454" s="2" t="s">
        <v>12</v>
      </c>
      <c r="J454" s="2" t="s">
        <v>12</v>
      </c>
      <c r="K454" s="2" t="s">
        <v>12</v>
      </c>
    </row>
    <row r="455" spans="1:11" ht="12.5" x14ac:dyDescent="0.25">
      <c r="A455" s="3" t="e">
        <f ca="1"/>
        <v>#NAME?</v>
      </c>
      <c r="B455" s="2" t="s">
        <v>12</v>
      </c>
      <c r="C455" s="2" t="s">
        <v>12</v>
      </c>
      <c r="D455" s="2" t="s">
        <v>12</v>
      </c>
      <c r="E455" s="2" t="s">
        <v>12</v>
      </c>
      <c r="F455" s="2" t="s">
        <v>12</v>
      </c>
      <c r="G455" s="2" t="s">
        <v>12</v>
      </c>
      <c r="H455" s="2" t="s">
        <v>12</v>
      </c>
      <c r="I455" s="2" t="s">
        <v>12</v>
      </c>
      <c r="J455" s="2" t="s">
        <v>12</v>
      </c>
      <c r="K455" s="2" t="s">
        <v>12</v>
      </c>
    </row>
    <row r="456" spans="1:11" ht="12.5" x14ac:dyDescent="0.25">
      <c r="A456" s="3" t="e">
        <f ca="1"/>
        <v>#NAME?</v>
      </c>
      <c r="B456" s="2" t="s">
        <v>12</v>
      </c>
      <c r="C456" s="2" t="s">
        <v>12</v>
      </c>
      <c r="D456" s="2" t="s">
        <v>12</v>
      </c>
      <c r="E456" s="2" t="s">
        <v>12</v>
      </c>
      <c r="F456" s="2" t="s">
        <v>12</v>
      </c>
      <c r="G456" s="2" t="s">
        <v>12</v>
      </c>
      <c r="H456" s="2" t="s">
        <v>12</v>
      </c>
      <c r="I456" s="2" t="s">
        <v>12</v>
      </c>
      <c r="J456" s="2" t="s">
        <v>12</v>
      </c>
      <c r="K456" s="2" t="s">
        <v>12</v>
      </c>
    </row>
    <row r="457" spans="1:11" ht="12.5" x14ac:dyDescent="0.25">
      <c r="A457" s="3" t="e">
        <f ca="1"/>
        <v>#NAME?</v>
      </c>
      <c r="B457" s="2" t="s">
        <v>12</v>
      </c>
      <c r="C457" s="2" t="s">
        <v>12</v>
      </c>
      <c r="D457" s="2" t="s">
        <v>12</v>
      </c>
      <c r="E457" s="2" t="s">
        <v>12</v>
      </c>
      <c r="F457" s="2" t="s">
        <v>12</v>
      </c>
      <c r="G457" s="2" t="s">
        <v>12</v>
      </c>
      <c r="H457" s="2" t="s">
        <v>12</v>
      </c>
      <c r="I457" s="2" t="s">
        <v>12</v>
      </c>
      <c r="J457" s="2" t="s">
        <v>12</v>
      </c>
      <c r="K457" s="2" t="s">
        <v>12</v>
      </c>
    </row>
    <row r="458" spans="1:11" ht="12.5" x14ac:dyDescent="0.25">
      <c r="A458" s="3" t="e">
        <f ca="1"/>
        <v>#NAME?</v>
      </c>
      <c r="B458" s="2" t="s">
        <v>12</v>
      </c>
      <c r="C458" s="2" t="s">
        <v>12</v>
      </c>
      <c r="D458" s="2" t="s">
        <v>12</v>
      </c>
      <c r="E458" s="2" t="s">
        <v>12</v>
      </c>
      <c r="F458" s="2" t="s">
        <v>12</v>
      </c>
      <c r="G458" s="2" t="s">
        <v>12</v>
      </c>
      <c r="H458" s="2" t="s">
        <v>12</v>
      </c>
      <c r="I458" s="2" t="s">
        <v>12</v>
      </c>
      <c r="J458" s="2" t="s">
        <v>12</v>
      </c>
      <c r="K458" s="2" t="s">
        <v>12</v>
      </c>
    </row>
    <row r="459" spans="1:11" ht="12.5" x14ac:dyDescent="0.25">
      <c r="A459" s="3" t="e">
        <f ca="1"/>
        <v>#NAME?</v>
      </c>
      <c r="B459" s="2" t="s">
        <v>12</v>
      </c>
      <c r="C459" s="2" t="s">
        <v>12</v>
      </c>
      <c r="D459" s="2" t="s">
        <v>12</v>
      </c>
      <c r="E459" s="2" t="s">
        <v>12</v>
      </c>
      <c r="F459" s="2" t="s">
        <v>12</v>
      </c>
      <c r="G459" s="2" t="s">
        <v>12</v>
      </c>
      <c r="H459" s="2" t="s">
        <v>12</v>
      </c>
      <c r="I459" s="2" t="s">
        <v>12</v>
      </c>
      <c r="J459" s="2" t="s">
        <v>12</v>
      </c>
      <c r="K459" s="2" t="s">
        <v>12</v>
      </c>
    </row>
    <row r="460" spans="1:11" ht="12.5" x14ac:dyDescent="0.25">
      <c r="A460" s="3" t="e">
        <f ca="1"/>
        <v>#NAME?</v>
      </c>
      <c r="B460" s="2" t="s">
        <v>12</v>
      </c>
      <c r="C460" s="2" t="s">
        <v>12</v>
      </c>
      <c r="D460" s="2" t="s">
        <v>12</v>
      </c>
      <c r="E460" s="2" t="s">
        <v>12</v>
      </c>
      <c r="F460" s="2" t="s">
        <v>12</v>
      </c>
      <c r="G460" s="2" t="s">
        <v>12</v>
      </c>
      <c r="H460" s="2" t="s">
        <v>12</v>
      </c>
      <c r="I460" s="2" t="s">
        <v>12</v>
      </c>
      <c r="J460" s="2" t="s">
        <v>12</v>
      </c>
      <c r="K460" s="2" t="s">
        <v>12</v>
      </c>
    </row>
    <row r="461" spans="1:11" ht="12.5" x14ac:dyDescent="0.25">
      <c r="A461" s="3" t="e">
        <f ca="1"/>
        <v>#NAME?</v>
      </c>
      <c r="B461" s="2" t="s">
        <v>12</v>
      </c>
      <c r="C461" s="2" t="s">
        <v>12</v>
      </c>
      <c r="D461" s="2" t="s">
        <v>12</v>
      </c>
      <c r="E461" s="2" t="s">
        <v>12</v>
      </c>
      <c r="F461" s="2" t="s">
        <v>12</v>
      </c>
      <c r="G461" s="2" t="s">
        <v>12</v>
      </c>
      <c r="H461" s="2" t="s">
        <v>12</v>
      </c>
      <c r="I461" s="2" t="s">
        <v>12</v>
      </c>
      <c r="J461" s="2" t="s">
        <v>12</v>
      </c>
      <c r="K461" s="2" t="s">
        <v>12</v>
      </c>
    </row>
    <row r="462" spans="1:11" ht="12.5" x14ac:dyDescent="0.25">
      <c r="A462" s="3" t="e">
        <f ca="1"/>
        <v>#NAME?</v>
      </c>
      <c r="B462" s="2" t="s">
        <v>12</v>
      </c>
      <c r="C462" s="2" t="s">
        <v>12</v>
      </c>
      <c r="D462" s="2" t="s">
        <v>12</v>
      </c>
      <c r="E462" s="2" t="s">
        <v>12</v>
      </c>
      <c r="F462" s="2" t="s">
        <v>12</v>
      </c>
      <c r="G462" s="2" t="s">
        <v>12</v>
      </c>
      <c r="H462" s="2" t="s">
        <v>12</v>
      </c>
      <c r="I462" s="2" t="s">
        <v>12</v>
      </c>
      <c r="J462" s="2" t="s">
        <v>12</v>
      </c>
      <c r="K462" s="2" t="s">
        <v>12</v>
      </c>
    </row>
    <row r="463" spans="1:11" ht="12.5" x14ac:dyDescent="0.25">
      <c r="A463" s="3" t="e">
        <f ca="1"/>
        <v>#NAME?</v>
      </c>
      <c r="B463" s="2" t="s">
        <v>12</v>
      </c>
      <c r="C463" s="2" t="s">
        <v>12</v>
      </c>
      <c r="D463" s="2" t="s">
        <v>12</v>
      </c>
      <c r="E463" s="2" t="s">
        <v>12</v>
      </c>
      <c r="F463" s="2" t="s">
        <v>12</v>
      </c>
      <c r="G463" s="2" t="s">
        <v>12</v>
      </c>
      <c r="H463" s="2" t="s">
        <v>12</v>
      </c>
      <c r="I463" s="2" t="s">
        <v>12</v>
      </c>
      <c r="J463" s="2" t="s">
        <v>12</v>
      </c>
      <c r="K463" s="2" t="s">
        <v>12</v>
      </c>
    </row>
    <row r="464" spans="1:11" ht="12.5" x14ac:dyDescent="0.25">
      <c r="A464" s="3" t="e">
        <f ca="1"/>
        <v>#NAME?</v>
      </c>
      <c r="B464" s="2" t="s">
        <v>12</v>
      </c>
      <c r="C464" s="2" t="s">
        <v>12</v>
      </c>
      <c r="D464" s="2" t="s">
        <v>12</v>
      </c>
      <c r="E464" s="2" t="s">
        <v>12</v>
      </c>
      <c r="F464" s="2" t="s">
        <v>12</v>
      </c>
      <c r="G464" s="2" t="s">
        <v>12</v>
      </c>
      <c r="H464" s="2" t="s">
        <v>12</v>
      </c>
      <c r="I464" s="2" t="s">
        <v>12</v>
      </c>
      <c r="J464" s="2" t="s">
        <v>12</v>
      </c>
      <c r="K464" s="2" t="s">
        <v>12</v>
      </c>
    </row>
    <row r="465" spans="1:11" ht="12.5" x14ac:dyDescent="0.25">
      <c r="A465" s="3" t="e">
        <f ca="1"/>
        <v>#NAME?</v>
      </c>
      <c r="B465" s="2" t="s">
        <v>12</v>
      </c>
      <c r="C465" s="2" t="s">
        <v>12</v>
      </c>
      <c r="D465" s="2" t="s">
        <v>12</v>
      </c>
      <c r="E465" s="2" t="s">
        <v>12</v>
      </c>
      <c r="F465" s="2" t="s">
        <v>12</v>
      </c>
      <c r="G465" s="2" t="s">
        <v>12</v>
      </c>
      <c r="H465" s="2" t="s">
        <v>12</v>
      </c>
      <c r="I465" s="2" t="s">
        <v>12</v>
      </c>
      <c r="J465" s="2" t="s">
        <v>12</v>
      </c>
      <c r="K465" s="2" t="s">
        <v>12</v>
      </c>
    </row>
    <row r="466" spans="1:11" ht="12.5" x14ac:dyDescent="0.25">
      <c r="A466" s="3" t="e">
        <f ca="1"/>
        <v>#NAME?</v>
      </c>
      <c r="B466" s="2" t="s">
        <v>12</v>
      </c>
      <c r="C466" s="2" t="s">
        <v>12</v>
      </c>
      <c r="D466" s="2" t="s">
        <v>12</v>
      </c>
      <c r="E466" s="2" t="s">
        <v>12</v>
      </c>
      <c r="F466" s="2" t="s">
        <v>12</v>
      </c>
      <c r="G466" s="2" t="s">
        <v>12</v>
      </c>
      <c r="H466" s="2" t="s">
        <v>12</v>
      </c>
      <c r="I466" s="2" t="s">
        <v>12</v>
      </c>
      <c r="J466" s="2" t="s">
        <v>12</v>
      </c>
      <c r="K466" s="2" t="s">
        <v>12</v>
      </c>
    </row>
    <row r="467" spans="1:11" ht="12.5" x14ac:dyDescent="0.25">
      <c r="A467" s="3" t="e">
        <f ca="1"/>
        <v>#NAME?</v>
      </c>
      <c r="B467" s="2" t="s">
        <v>12</v>
      </c>
      <c r="C467" s="2" t="s">
        <v>12</v>
      </c>
      <c r="D467" s="2" t="s">
        <v>12</v>
      </c>
      <c r="E467" s="2" t="s">
        <v>12</v>
      </c>
      <c r="F467" s="2" t="s">
        <v>12</v>
      </c>
      <c r="G467" s="2" t="s">
        <v>12</v>
      </c>
      <c r="H467" s="2" t="s">
        <v>12</v>
      </c>
      <c r="I467" s="2" t="s">
        <v>12</v>
      </c>
      <c r="J467" s="2" t="s">
        <v>12</v>
      </c>
      <c r="K467" s="2" t="s">
        <v>12</v>
      </c>
    </row>
    <row r="468" spans="1:11" ht="12.5" x14ac:dyDescent="0.25">
      <c r="A468" s="3" t="e">
        <f ca="1"/>
        <v>#NAME?</v>
      </c>
      <c r="B468" s="2" t="s">
        <v>12</v>
      </c>
      <c r="C468" s="2" t="s">
        <v>12</v>
      </c>
      <c r="D468" s="2" t="s">
        <v>12</v>
      </c>
      <c r="E468" s="2" t="s">
        <v>12</v>
      </c>
      <c r="F468" s="2" t="s">
        <v>12</v>
      </c>
      <c r="G468" s="2" t="s">
        <v>12</v>
      </c>
      <c r="H468" s="2" t="s">
        <v>12</v>
      </c>
      <c r="I468" s="2" t="s">
        <v>12</v>
      </c>
      <c r="J468" s="2" t="s">
        <v>12</v>
      </c>
      <c r="K468" s="2" t="s">
        <v>12</v>
      </c>
    </row>
    <row r="469" spans="1:11" ht="12.5" x14ac:dyDescent="0.25">
      <c r="A469" s="3" t="e">
        <f ca="1"/>
        <v>#NAME?</v>
      </c>
      <c r="B469" s="2" t="s">
        <v>12</v>
      </c>
      <c r="C469" s="2" t="s">
        <v>12</v>
      </c>
      <c r="D469" s="2" t="s">
        <v>12</v>
      </c>
      <c r="E469" s="2" t="s">
        <v>12</v>
      </c>
      <c r="F469" s="2" t="s">
        <v>12</v>
      </c>
      <c r="G469" s="2" t="s">
        <v>12</v>
      </c>
      <c r="H469" s="2" t="s">
        <v>12</v>
      </c>
      <c r="I469" s="2" t="s">
        <v>12</v>
      </c>
      <c r="J469" s="2" t="s">
        <v>12</v>
      </c>
      <c r="K469" s="2" t="s">
        <v>12</v>
      </c>
    </row>
    <row r="470" spans="1:11" ht="12.5" x14ac:dyDescent="0.25">
      <c r="A470" s="3" t="e">
        <f ca="1"/>
        <v>#NAME?</v>
      </c>
      <c r="B470" s="2" t="s">
        <v>12</v>
      </c>
      <c r="C470" s="2" t="s">
        <v>12</v>
      </c>
      <c r="D470" s="2" t="s">
        <v>12</v>
      </c>
      <c r="E470" s="2" t="s">
        <v>12</v>
      </c>
      <c r="F470" s="2" t="s">
        <v>12</v>
      </c>
      <c r="G470" s="2" t="s">
        <v>12</v>
      </c>
      <c r="H470" s="2" t="s">
        <v>12</v>
      </c>
      <c r="I470" s="2" t="s">
        <v>12</v>
      </c>
      <c r="J470" s="2" t="s">
        <v>12</v>
      </c>
      <c r="K470" s="2" t="s">
        <v>12</v>
      </c>
    </row>
    <row r="471" spans="1:11" ht="12.5" x14ac:dyDescent="0.25">
      <c r="A471" s="3" t="e">
        <f ca="1"/>
        <v>#NAME?</v>
      </c>
      <c r="B471" s="2" t="s">
        <v>12</v>
      </c>
      <c r="C471" s="2" t="s">
        <v>12</v>
      </c>
      <c r="D471" s="2" t="s">
        <v>12</v>
      </c>
      <c r="E471" s="2" t="s">
        <v>12</v>
      </c>
      <c r="F471" s="2" t="s">
        <v>12</v>
      </c>
      <c r="G471" s="2" t="s">
        <v>12</v>
      </c>
      <c r="H471" s="2" t="s">
        <v>12</v>
      </c>
      <c r="I471" s="2" t="s">
        <v>12</v>
      </c>
      <c r="J471" s="2" t="s">
        <v>12</v>
      </c>
      <c r="K471" s="2" t="s">
        <v>12</v>
      </c>
    </row>
    <row r="472" spans="1:11" ht="12.5" x14ac:dyDescent="0.25">
      <c r="A472" s="3" t="e">
        <f ca="1"/>
        <v>#NAME?</v>
      </c>
      <c r="B472" s="2" t="s">
        <v>12</v>
      </c>
      <c r="C472" s="2" t="s">
        <v>12</v>
      </c>
      <c r="D472" s="2" t="s">
        <v>12</v>
      </c>
      <c r="E472" s="2" t="s">
        <v>12</v>
      </c>
      <c r="F472" s="2" t="s">
        <v>12</v>
      </c>
      <c r="G472" s="2" t="s">
        <v>12</v>
      </c>
      <c r="H472" s="2" t="s">
        <v>12</v>
      </c>
      <c r="I472" s="2" t="s">
        <v>12</v>
      </c>
      <c r="J472" s="2" t="s">
        <v>12</v>
      </c>
      <c r="K472" s="2" t="s">
        <v>12</v>
      </c>
    </row>
    <row r="473" spans="1:11" ht="12.5" x14ac:dyDescent="0.25">
      <c r="A473" s="3" t="e">
        <f ca="1"/>
        <v>#NAME?</v>
      </c>
      <c r="B473" s="2" t="s">
        <v>12</v>
      </c>
      <c r="C473" s="2" t="s">
        <v>12</v>
      </c>
      <c r="D473" s="2" t="s">
        <v>12</v>
      </c>
      <c r="E473" s="2" t="s">
        <v>12</v>
      </c>
      <c r="F473" s="2" t="s">
        <v>12</v>
      </c>
      <c r="G473" s="2" t="s">
        <v>12</v>
      </c>
      <c r="H473" s="2" t="s">
        <v>12</v>
      </c>
      <c r="I473" s="2" t="s">
        <v>12</v>
      </c>
      <c r="J473" s="2" t="s">
        <v>12</v>
      </c>
      <c r="K473" s="2" t="s">
        <v>12</v>
      </c>
    </row>
    <row r="474" spans="1:11" ht="12.5" x14ac:dyDescent="0.25">
      <c r="A474" s="3" t="e">
        <f ca="1"/>
        <v>#NAME?</v>
      </c>
      <c r="B474" s="2" t="s">
        <v>12</v>
      </c>
      <c r="C474" s="2" t="s">
        <v>12</v>
      </c>
      <c r="D474" s="2" t="s">
        <v>12</v>
      </c>
      <c r="E474" s="2" t="s">
        <v>12</v>
      </c>
      <c r="F474" s="2" t="s">
        <v>12</v>
      </c>
      <c r="G474" s="2" t="s">
        <v>12</v>
      </c>
      <c r="H474" s="2" t="s">
        <v>12</v>
      </c>
      <c r="I474" s="2" t="s">
        <v>12</v>
      </c>
      <c r="J474" s="2" t="s">
        <v>12</v>
      </c>
      <c r="K474" s="2" t="s">
        <v>12</v>
      </c>
    </row>
    <row r="475" spans="1:11" ht="12.5" x14ac:dyDescent="0.25">
      <c r="A475" s="3" t="e">
        <f ca="1"/>
        <v>#NAME?</v>
      </c>
      <c r="B475" s="2" t="s">
        <v>12</v>
      </c>
      <c r="C475" s="2" t="s">
        <v>12</v>
      </c>
      <c r="D475" s="2" t="s">
        <v>12</v>
      </c>
      <c r="E475" s="2" t="s">
        <v>12</v>
      </c>
      <c r="F475" s="2" t="s">
        <v>12</v>
      </c>
      <c r="G475" s="2" t="s">
        <v>12</v>
      </c>
      <c r="H475" s="2" t="s">
        <v>12</v>
      </c>
      <c r="I475" s="2" t="s">
        <v>12</v>
      </c>
      <c r="J475" s="2" t="s">
        <v>12</v>
      </c>
      <c r="K475" s="2" t="s">
        <v>12</v>
      </c>
    </row>
    <row r="476" spans="1:11" ht="12.5" x14ac:dyDescent="0.25">
      <c r="A476" s="3" t="e">
        <f ca="1"/>
        <v>#NAME?</v>
      </c>
      <c r="B476" s="2" t="s">
        <v>12</v>
      </c>
      <c r="C476" s="2" t="s">
        <v>12</v>
      </c>
      <c r="D476" s="2" t="s">
        <v>12</v>
      </c>
      <c r="E476" s="2" t="s">
        <v>12</v>
      </c>
      <c r="F476" s="2" t="s">
        <v>12</v>
      </c>
      <c r="G476" s="2" t="s">
        <v>12</v>
      </c>
      <c r="H476" s="2" t="s">
        <v>12</v>
      </c>
      <c r="I476" s="2" t="s">
        <v>12</v>
      </c>
      <c r="J476" s="2" t="s">
        <v>12</v>
      </c>
      <c r="K476" s="2" t="s">
        <v>12</v>
      </c>
    </row>
    <row r="477" spans="1:11" ht="12.5" x14ac:dyDescent="0.25">
      <c r="A477" s="3" t="e">
        <f ca="1"/>
        <v>#NAME?</v>
      </c>
      <c r="B477" s="2" t="s">
        <v>12</v>
      </c>
      <c r="C477" s="2" t="s">
        <v>12</v>
      </c>
      <c r="D477" s="2" t="s">
        <v>12</v>
      </c>
      <c r="E477" s="2" t="s">
        <v>12</v>
      </c>
      <c r="F477" s="2" t="s">
        <v>12</v>
      </c>
      <c r="G477" s="2" t="s">
        <v>12</v>
      </c>
      <c r="H477" s="2" t="s">
        <v>12</v>
      </c>
      <c r="I477" s="2" t="s">
        <v>12</v>
      </c>
      <c r="J477" s="2" t="s">
        <v>12</v>
      </c>
      <c r="K477" s="2" t="s">
        <v>12</v>
      </c>
    </row>
    <row r="478" spans="1:11" ht="12.5" x14ac:dyDescent="0.25">
      <c r="A478" s="3" t="e">
        <f ca="1"/>
        <v>#NAME?</v>
      </c>
      <c r="B478" s="2" t="s">
        <v>12</v>
      </c>
      <c r="C478" s="2" t="s">
        <v>12</v>
      </c>
      <c r="D478" s="2" t="s">
        <v>12</v>
      </c>
      <c r="E478" s="2" t="s">
        <v>12</v>
      </c>
      <c r="F478" s="2" t="s">
        <v>12</v>
      </c>
      <c r="G478" s="2" t="s">
        <v>12</v>
      </c>
      <c r="H478" s="2" t="s">
        <v>12</v>
      </c>
      <c r="I478" s="2" t="s">
        <v>12</v>
      </c>
      <c r="J478" s="2" t="s">
        <v>12</v>
      </c>
      <c r="K478" s="2" t="s">
        <v>12</v>
      </c>
    </row>
    <row r="479" spans="1:11" ht="12.5" x14ac:dyDescent="0.25">
      <c r="A479" s="3" t="e">
        <f ca="1"/>
        <v>#NAME?</v>
      </c>
      <c r="B479" s="2" t="s">
        <v>12</v>
      </c>
      <c r="C479" s="2" t="s">
        <v>12</v>
      </c>
      <c r="D479" s="2" t="s">
        <v>12</v>
      </c>
      <c r="E479" s="2" t="s">
        <v>12</v>
      </c>
      <c r="F479" s="2" t="s">
        <v>12</v>
      </c>
      <c r="G479" s="2" t="s">
        <v>12</v>
      </c>
      <c r="H479" s="2" t="s">
        <v>12</v>
      </c>
      <c r="I479" s="2" t="s">
        <v>12</v>
      </c>
      <c r="J479" s="2" t="s">
        <v>12</v>
      </c>
      <c r="K479" s="2" t="s">
        <v>12</v>
      </c>
    </row>
    <row r="480" spans="1:11" ht="12.5" x14ac:dyDescent="0.25">
      <c r="A480" s="3" t="e">
        <f ca="1"/>
        <v>#NAME?</v>
      </c>
      <c r="B480" s="2" t="s">
        <v>12</v>
      </c>
      <c r="C480" s="2" t="s">
        <v>12</v>
      </c>
      <c r="D480" s="2" t="s">
        <v>12</v>
      </c>
      <c r="E480" s="2" t="s">
        <v>12</v>
      </c>
      <c r="F480" s="2" t="s">
        <v>12</v>
      </c>
      <c r="G480" s="2" t="s">
        <v>12</v>
      </c>
      <c r="H480" s="2" t="s">
        <v>12</v>
      </c>
      <c r="I480" s="2" t="s">
        <v>12</v>
      </c>
      <c r="J480" s="2" t="s">
        <v>12</v>
      </c>
      <c r="K480" s="2" t="s">
        <v>12</v>
      </c>
    </row>
    <row r="481" spans="1:11" ht="12.5" x14ac:dyDescent="0.25">
      <c r="A481" s="3" t="e">
        <f ca="1"/>
        <v>#NAME?</v>
      </c>
      <c r="B481" s="2" t="s">
        <v>12</v>
      </c>
      <c r="C481" s="2" t="s">
        <v>12</v>
      </c>
      <c r="D481" s="2" t="s">
        <v>12</v>
      </c>
      <c r="E481" s="2" t="s">
        <v>12</v>
      </c>
      <c r="F481" s="2" t="s">
        <v>12</v>
      </c>
      <c r="G481" s="2" t="s">
        <v>12</v>
      </c>
      <c r="H481" s="2" t="s">
        <v>12</v>
      </c>
      <c r="I481" s="2" t="s">
        <v>12</v>
      </c>
      <c r="J481" s="2" t="s">
        <v>12</v>
      </c>
      <c r="K481" s="2" t="s">
        <v>12</v>
      </c>
    </row>
    <row r="482" spans="1:11" ht="12.5" x14ac:dyDescent="0.25">
      <c r="A482" s="3" t="e">
        <f ca="1"/>
        <v>#NAME?</v>
      </c>
      <c r="B482" s="2" t="s">
        <v>12</v>
      </c>
      <c r="C482" s="2" t="s">
        <v>12</v>
      </c>
      <c r="D482" s="2" t="s">
        <v>12</v>
      </c>
      <c r="E482" s="2" t="s">
        <v>12</v>
      </c>
      <c r="F482" s="2" t="s">
        <v>12</v>
      </c>
      <c r="G482" s="2" t="s">
        <v>12</v>
      </c>
      <c r="H482" s="2" t="s">
        <v>12</v>
      </c>
      <c r="I482" s="2" t="s">
        <v>12</v>
      </c>
      <c r="J482" s="2" t="s">
        <v>12</v>
      </c>
      <c r="K482" s="2" t="s">
        <v>12</v>
      </c>
    </row>
    <row r="483" spans="1:11" ht="12.5" x14ac:dyDescent="0.25">
      <c r="A483" s="3" t="e">
        <f ca="1"/>
        <v>#NAME?</v>
      </c>
      <c r="B483" s="2" t="s">
        <v>12</v>
      </c>
      <c r="C483" s="2" t="s">
        <v>12</v>
      </c>
      <c r="D483" s="2" t="s">
        <v>12</v>
      </c>
      <c r="E483" s="2" t="s">
        <v>12</v>
      </c>
      <c r="F483" s="2" t="s">
        <v>12</v>
      </c>
      <c r="G483" s="2" t="s">
        <v>12</v>
      </c>
      <c r="H483" s="2" t="s">
        <v>12</v>
      </c>
      <c r="I483" s="2" t="s">
        <v>12</v>
      </c>
      <c r="J483" s="2" t="s">
        <v>12</v>
      </c>
      <c r="K483" s="2" t="s">
        <v>12</v>
      </c>
    </row>
    <row r="484" spans="1:11" ht="12.5" x14ac:dyDescent="0.25">
      <c r="A484" s="3" t="e">
        <f ca="1"/>
        <v>#NAME?</v>
      </c>
      <c r="B484" s="2" t="s">
        <v>12</v>
      </c>
      <c r="C484" s="2" t="s">
        <v>12</v>
      </c>
      <c r="D484" s="2" t="s">
        <v>12</v>
      </c>
      <c r="E484" s="2" t="s">
        <v>12</v>
      </c>
      <c r="F484" s="2" t="s">
        <v>12</v>
      </c>
      <c r="G484" s="2" t="s">
        <v>12</v>
      </c>
      <c r="H484" s="2" t="s">
        <v>12</v>
      </c>
      <c r="I484" s="2" t="s">
        <v>12</v>
      </c>
      <c r="J484" s="2" t="s">
        <v>12</v>
      </c>
      <c r="K484" s="2" t="s">
        <v>12</v>
      </c>
    </row>
    <row r="485" spans="1:11" ht="12.5" x14ac:dyDescent="0.25">
      <c r="A485" s="3" t="e">
        <f ca="1"/>
        <v>#NAME?</v>
      </c>
      <c r="B485" s="2" t="s">
        <v>12</v>
      </c>
      <c r="C485" s="2" t="s">
        <v>12</v>
      </c>
      <c r="D485" s="2" t="s">
        <v>12</v>
      </c>
      <c r="E485" s="2" t="s">
        <v>12</v>
      </c>
      <c r="F485" s="2" t="s">
        <v>12</v>
      </c>
      <c r="G485" s="2" t="s">
        <v>12</v>
      </c>
      <c r="H485" s="2" t="s">
        <v>12</v>
      </c>
      <c r="I485" s="2" t="s">
        <v>12</v>
      </c>
      <c r="J485" s="2" t="s">
        <v>12</v>
      </c>
      <c r="K485" s="2" t="s">
        <v>12</v>
      </c>
    </row>
    <row r="486" spans="1:11" ht="12.5" x14ac:dyDescent="0.25">
      <c r="A486" s="3" t="e">
        <f ca="1"/>
        <v>#NAME?</v>
      </c>
      <c r="B486" s="2" t="s">
        <v>12</v>
      </c>
      <c r="C486" s="2" t="s">
        <v>12</v>
      </c>
      <c r="D486" s="2" t="s">
        <v>12</v>
      </c>
      <c r="E486" s="2" t="s">
        <v>12</v>
      </c>
      <c r="F486" s="2" t="s">
        <v>12</v>
      </c>
      <c r="G486" s="2" t="s">
        <v>12</v>
      </c>
      <c r="H486" s="2" t="s">
        <v>12</v>
      </c>
      <c r="I486" s="2" t="s">
        <v>12</v>
      </c>
      <c r="J486" s="2" t="s">
        <v>12</v>
      </c>
      <c r="K486" s="2" t="s">
        <v>12</v>
      </c>
    </row>
    <row r="487" spans="1:11" ht="12.5" x14ac:dyDescent="0.25">
      <c r="A487" s="3" t="e">
        <f ca="1"/>
        <v>#NAME?</v>
      </c>
      <c r="B487" s="2" t="s">
        <v>12</v>
      </c>
      <c r="C487" s="2" t="s">
        <v>12</v>
      </c>
      <c r="D487" s="2" t="s">
        <v>12</v>
      </c>
      <c r="E487" s="2" t="s">
        <v>12</v>
      </c>
      <c r="F487" s="2" t="s">
        <v>12</v>
      </c>
      <c r="G487" s="2" t="s">
        <v>12</v>
      </c>
      <c r="H487" s="2" t="s">
        <v>12</v>
      </c>
      <c r="I487" s="2" t="s">
        <v>12</v>
      </c>
      <c r="J487" s="2" t="s">
        <v>12</v>
      </c>
      <c r="K487" s="2" t="s">
        <v>12</v>
      </c>
    </row>
    <row r="488" spans="1:11" ht="12.5" x14ac:dyDescent="0.25">
      <c r="A488" s="3" t="e">
        <f ca="1"/>
        <v>#NAME?</v>
      </c>
      <c r="B488" s="2" t="s">
        <v>12</v>
      </c>
      <c r="C488" s="2" t="s">
        <v>12</v>
      </c>
      <c r="D488" s="2" t="s">
        <v>12</v>
      </c>
      <c r="E488" s="2" t="s">
        <v>12</v>
      </c>
      <c r="F488" s="2" t="s">
        <v>12</v>
      </c>
      <c r="G488" s="2" t="s">
        <v>12</v>
      </c>
      <c r="H488" s="2" t="s">
        <v>12</v>
      </c>
      <c r="I488" s="2" t="s">
        <v>12</v>
      </c>
      <c r="J488" s="2" t="s">
        <v>12</v>
      </c>
      <c r="K488" s="2" t="s">
        <v>12</v>
      </c>
    </row>
    <row r="489" spans="1:11" ht="12.5" x14ac:dyDescent="0.25">
      <c r="A489" s="3" t="e">
        <f ca="1"/>
        <v>#NAME?</v>
      </c>
      <c r="B489" s="2" t="s">
        <v>12</v>
      </c>
      <c r="C489" s="2" t="s">
        <v>12</v>
      </c>
      <c r="D489" s="2" t="s">
        <v>12</v>
      </c>
      <c r="E489" s="2" t="s">
        <v>12</v>
      </c>
      <c r="F489" s="2" t="s">
        <v>12</v>
      </c>
      <c r="G489" s="2" t="s">
        <v>12</v>
      </c>
      <c r="H489" s="2" t="s">
        <v>12</v>
      </c>
      <c r="I489" s="2" t="s">
        <v>12</v>
      </c>
      <c r="J489" s="2" t="s">
        <v>12</v>
      </c>
      <c r="K489" s="2" t="s">
        <v>12</v>
      </c>
    </row>
    <row r="490" spans="1:11" ht="12.5" x14ac:dyDescent="0.25">
      <c r="A490" s="3" t="e">
        <f ca="1"/>
        <v>#NAME?</v>
      </c>
      <c r="B490" s="2" t="s">
        <v>12</v>
      </c>
      <c r="C490" s="2" t="s">
        <v>12</v>
      </c>
      <c r="D490" s="2" t="s">
        <v>12</v>
      </c>
      <c r="E490" s="2" t="s">
        <v>12</v>
      </c>
      <c r="F490" s="2" t="s">
        <v>12</v>
      </c>
      <c r="G490" s="2" t="s">
        <v>12</v>
      </c>
      <c r="H490" s="2" t="s">
        <v>12</v>
      </c>
      <c r="I490" s="2" t="s">
        <v>12</v>
      </c>
      <c r="J490" s="2" t="s">
        <v>12</v>
      </c>
      <c r="K490" s="2" t="s">
        <v>12</v>
      </c>
    </row>
    <row r="491" spans="1:11" ht="12.5" x14ac:dyDescent="0.25">
      <c r="A491" s="3" t="e">
        <f ca="1"/>
        <v>#NAME?</v>
      </c>
      <c r="B491" s="2" t="s">
        <v>12</v>
      </c>
      <c r="C491" s="2" t="s">
        <v>12</v>
      </c>
      <c r="D491" s="2" t="s">
        <v>12</v>
      </c>
      <c r="E491" s="2" t="s">
        <v>12</v>
      </c>
      <c r="F491" s="2" t="s">
        <v>12</v>
      </c>
      <c r="G491" s="2" t="s">
        <v>12</v>
      </c>
      <c r="H491" s="2" t="s">
        <v>12</v>
      </c>
      <c r="I491" s="2" t="s">
        <v>12</v>
      </c>
      <c r="J491" s="2" t="s">
        <v>12</v>
      </c>
      <c r="K491" s="2" t="s">
        <v>12</v>
      </c>
    </row>
    <row r="492" spans="1:11" ht="12.5" x14ac:dyDescent="0.25">
      <c r="A492" s="3" t="e">
        <f ca="1"/>
        <v>#NAME?</v>
      </c>
      <c r="B492" s="2" t="s">
        <v>12</v>
      </c>
      <c r="C492" s="2" t="s">
        <v>12</v>
      </c>
      <c r="D492" s="2" t="s">
        <v>12</v>
      </c>
      <c r="E492" s="2" t="s">
        <v>12</v>
      </c>
      <c r="F492" s="2" t="s">
        <v>12</v>
      </c>
      <c r="G492" s="2" t="s">
        <v>12</v>
      </c>
      <c r="H492" s="2" t="s">
        <v>12</v>
      </c>
      <c r="I492" s="2" t="s">
        <v>12</v>
      </c>
      <c r="J492" s="2" t="s">
        <v>12</v>
      </c>
      <c r="K492" s="2" t="s">
        <v>12</v>
      </c>
    </row>
    <row r="493" spans="1:11" ht="12.5" x14ac:dyDescent="0.25">
      <c r="A493" s="3" t="e">
        <f ca="1"/>
        <v>#NAME?</v>
      </c>
      <c r="B493" s="2" t="s">
        <v>12</v>
      </c>
      <c r="C493" s="2" t="s">
        <v>12</v>
      </c>
      <c r="D493" s="2" t="s">
        <v>12</v>
      </c>
      <c r="E493" s="2" t="s">
        <v>12</v>
      </c>
      <c r="F493" s="2" t="s">
        <v>12</v>
      </c>
      <c r="G493" s="2" t="s">
        <v>12</v>
      </c>
      <c r="H493" s="2" t="s">
        <v>12</v>
      </c>
      <c r="I493" s="2" t="s">
        <v>12</v>
      </c>
      <c r="J493" s="2" t="s">
        <v>12</v>
      </c>
      <c r="K493" s="2" t="s">
        <v>12</v>
      </c>
    </row>
    <row r="494" spans="1:11" ht="12.5" x14ac:dyDescent="0.25">
      <c r="A494" s="3" t="e">
        <f ca="1"/>
        <v>#NAME?</v>
      </c>
      <c r="B494" s="2" t="s">
        <v>12</v>
      </c>
      <c r="C494" s="2" t="s">
        <v>12</v>
      </c>
      <c r="D494" s="2" t="s">
        <v>12</v>
      </c>
      <c r="E494" s="2" t="s">
        <v>12</v>
      </c>
      <c r="F494" s="2" t="s">
        <v>12</v>
      </c>
      <c r="G494" s="2" t="s">
        <v>12</v>
      </c>
      <c r="H494" s="2" t="s">
        <v>12</v>
      </c>
      <c r="I494" s="2" t="s">
        <v>12</v>
      </c>
      <c r="J494" s="2" t="s">
        <v>12</v>
      </c>
      <c r="K494" s="2" t="s">
        <v>12</v>
      </c>
    </row>
    <row r="495" spans="1:11" ht="12.5" x14ac:dyDescent="0.25">
      <c r="A495" s="3" t="e">
        <f ca="1"/>
        <v>#NAME?</v>
      </c>
      <c r="B495" s="2" t="s">
        <v>12</v>
      </c>
      <c r="C495" s="2" t="s">
        <v>12</v>
      </c>
      <c r="D495" s="2" t="s">
        <v>12</v>
      </c>
      <c r="E495" s="2" t="s">
        <v>12</v>
      </c>
      <c r="F495" s="2" t="s">
        <v>12</v>
      </c>
      <c r="G495" s="2" t="s">
        <v>12</v>
      </c>
      <c r="H495" s="2" t="s">
        <v>12</v>
      </c>
      <c r="I495" s="2" t="s">
        <v>12</v>
      </c>
      <c r="J495" s="2" t="s">
        <v>12</v>
      </c>
      <c r="K495" s="2" t="s">
        <v>12</v>
      </c>
    </row>
    <row r="496" spans="1:11" ht="12.5" x14ac:dyDescent="0.25">
      <c r="A496" s="3" t="e">
        <f ca="1"/>
        <v>#NAME?</v>
      </c>
      <c r="B496" s="2" t="s">
        <v>12</v>
      </c>
      <c r="C496" s="2" t="s">
        <v>12</v>
      </c>
      <c r="D496" s="2" t="s">
        <v>12</v>
      </c>
      <c r="E496" s="2" t="s">
        <v>12</v>
      </c>
      <c r="F496" s="2" t="s">
        <v>12</v>
      </c>
      <c r="G496" s="2" t="s">
        <v>12</v>
      </c>
      <c r="H496" s="2" t="s">
        <v>12</v>
      </c>
      <c r="I496" s="2" t="s">
        <v>12</v>
      </c>
      <c r="J496" s="2" t="s">
        <v>12</v>
      </c>
      <c r="K496" s="2" t="s">
        <v>12</v>
      </c>
    </row>
    <row r="497" spans="1:11" ht="12.5" x14ac:dyDescent="0.25">
      <c r="A497" s="3" t="e">
        <f ca="1"/>
        <v>#NAME?</v>
      </c>
      <c r="B497" s="2" t="s">
        <v>12</v>
      </c>
      <c r="C497" s="2" t="s">
        <v>12</v>
      </c>
      <c r="D497" s="2" t="s">
        <v>12</v>
      </c>
      <c r="E497" s="2" t="s">
        <v>12</v>
      </c>
      <c r="F497" s="2" t="s">
        <v>12</v>
      </c>
      <c r="G497" s="2" t="s">
        <v>12</v>
      </c>
      <c r="H497" s="2" t="s">
        <v>12</v>
      </c>
      <c r="I497" s="2" t="s">
        <v>12</v>
      </c>
      <c r="J497" s="2" t="s">
        <v>12</v>
      </c>
      <c r="K497" s="2" t="s">
        <v>12</v>
      </c>
    </row>
    <row r="498" spans="1:11" ht="12.5" x14ac:dyDescent="0.25">
      <c r="A498" s="3" t="e">
        <f ca="1"/>
        <v>#NAME?</v>
      </c>
      <c r="B498" s="2" t="s">
        <v>12</v>
      </c>
      <c r="C498" s="2" t="s">
        <v>12</v>
      </c>
      <c r="D498" s="2" t="s">
        <v>12</v>
      </c>
      <c r="E498" s="2" t="s">
        <v>12</v>
      </c>
      <c r="F498" s="2" t="s">
        <v>12</v>
      </c>
      <c r="G498" s="2" t="s">
        <v>12</v>
      </c>
      <c r="H498" s="2" t="s">
        <v>12</v>
      </c>
      <c r="I498" s="2" t="s">
        <v>12</v>
      </c>
      <c r="J498" s="2" t="s">
        <v>12</v>
      </c>
      <c r="K498" s="2" t="s">
        <v>12</v>
      </c>
    </row>
    <row r="499" spans="1:11" ht="12.5" x14ac:dyDescent="0.25">
      <c r="A499" s="3" t="e">
        <f ca="1"/>
        <v>#NAME?</v>
      </c>
      <c r="B499" s="2" t="s">
        <v>12</v>
      </c>
      <c r="C499" s="2" t="s">
        <v>12</v>
      </c>
      <c r="D499" s="2" t="s">
        <v>12</v>
      </c>
      <c r="E499" s="2" t="s">
        <v>12</v>
      </c>
      <c r="F499" s="2" t="s">
        <v>12</v>
      </c>
      <c r="G499" s="2" t="s">
        <v>12</v>
      </c>
      <c r="H499" s="2" t="s">
        <v>12</v>
      </c>
      <c r="I499" s="2" t="s">
        <v>12</v>
      </c>
      <c r="J499" s="2" t="s">
        <v>12</v>
      </c>
      <c r="K499" s="2" t="s">
        <v>12</v>
      </c>
    </row>
    <row r="500" spans="1:11" ht="12.5" x14ac:dyDescent="0.25">
      <c r="A500" s="3" t="e">
        <f ca="1"/>
        <v>#NAME?</v>
      </c>
      <c r="B500" s="2" t="s">
        <v>12</v>
      </c>
      <c r="C500" s="2" t="s">
        <v>12</v>
      </c>
      <c r="D500" s="2" t="s">
        <v>12</v>
      </c>
      <c r="E500" s="2" t="s">
        <v>12</v>
      </c>
      <c r="F500" s="2" t="s">
        <v>12</v>
      </c>
      <c r="G500" s="2" t="s">
        <v>12</v>
      </c>
      <c r="H500" s="2" t="s">
        <v>12</v>
      </c>
      <c r="I500" s="2" t="s">
        <v>12</v>
      </c>
      <c r="J500" s="2" t="s">
        <v>12</v>
      </c>
      <c r="K500" s="2" t="s">
        <v>12</v>
      </c>
    </row>
    <row r="501" spans="1:11" ht="12.5" x14ac:dyDescent="0.25">
      <c r="A501" s="3" t="e">
        <f ca="1"/>
        <v>#NAME?</v>
      </c>
      <c r="B501" s="2" t="s">
        <v>12</v>
      </c>
      <c r="C501" s="2" t="s">
        <v>12</v>
      </c>
      <c r="D501" s="2" t="s">
        <v>12</v>
      </c>
      <c r="E501" s="2" t="s">
        <v>12</v>
      </c>
      <c r="F501" s="2" t="s">
        <v>12</v>
      </c>
      <c r="G501" s="2" t="s">
        <v>12</v>
      </c>
      <c r="H501" s="2" t="s">
        <v>12</v>
      </c>
      <c r="I501" s="2" t="s">
        <v>12</v>
      </c>
      <c r="J501" s="2" t="s">
        <v>12</v>
      </c>
      <c r="K501" s="2" t="s">
        <v>12</v>
      </c>
    </row>
    <row r="502" spans="1:11" ht="12.5" x14ac:dyDescent="0.25">
      <c r="A502" s="3" t="e">
        <f ca="1"/>
        <v>#NAME?</v>
      </c>
      <c r="B502" s="2" t="s">
        <v>12</v>
      </c>
      <c r="C502" s="2" t="s">
        <v>12</v>
      </c>
      <c r="D502" s="2" t="s">
        <v>12</v>
      </c>
      <c r="E502" s="2" t="s">
        <v>12</v>
      </c>
      <c r="F502" s="2" t="s">
        <v>12</v>
      </c>
      <c r="G502" s="2" t="s">
        <v>12</v>
      </c>
      <c r="H502" s="2" t="s">
        <v>12</v>
      </c>
      <c r="I502" s="2" t="s">
        <v>12</v>
      </c>
      <c r="J502" s="2" t="s">
        <v>12</v>
      </c>
      <c r="K502" s="2" t="s">
        <v>12</v>
      </c>
    </row>
    <row r="503" spans="1:11" ht="12.5" x14ac:dyDescent="0.25">
      <c r="A503" s="3" t="e">
        <f ca="1"/>
        <v>#NAME?</v>
      </c>
      <c r="B503" s="2" t="s">
        <v>12</v>
      </c>
      <c r="C503" s="2" t="s">
        <v>12</v>
      </c>
      <c r="D503" s="2" t="s">
        <v>12</v>
      </c>
      <c r="E503" s="2" t="s">
        <v>12</v>
      </c>
      <c r="F503" s="2" t="s">
        <v>12</v>
      </c>
      <c r="G503" s="2" t="s">
        <v>12</v>
      </c>
      <c r="H503" s="2" t="s">
        <v>12</v>
      </c>
      <c r="I503" s="2" t="s">
        <v>12</v>
      </c>
      <c r="J503" s="2" t="s">
        <v>12</v>
      </c>
      <c r="K503" s="2" t="s">
        <v>12</v>
      </c>
    </row>
    <row r="504" spans="1:11" ht="12.5" x14ac:dyDescent="0.25">
      <c r="A504" s="3" t="e">
        <f ca="1"/>
        <v>#NAME?</v>
      </c>
      <c r="B504" s="2" t="s">
        <v>12</v>
      </c>
      <c r="C504" s="2" t="s">
        <v>12</v>
      </c>
      <c r="D504" s="2" t="s">
        <v>12</v>
      </c>
      <c r="E504" s="2" t="s">
        <v>12</v>
      </c>
      <c r="F504" s="2" t="s">
        <v>12</v>
      </c>
      <c r="G504" s="2" t="s">
        <v>12</v>
      </c>
      <c r="H504" s="2" t="s">
        <v>12</v>
      </c>
      <c r="I504" s="2" t="s">
        <v>12</v>
      </c>
      <c r="J504" s="2" t="s">
        <v>12</v>
      </c>
      <c r="K504" s="2" t="s">
        <v>12</v>
      </c>
    </row>
    <row r="505" spans="1:11" ht="12.5" x14ac:dyDescent="0.25">
      <c r="A505" s="3" t="e">
        <f ca="1"/>
        <v>#NAME?</v>
      </c>
      <c r="B505" s="2" t="s">
        <v>12</v>
      </c>
      <c r="C505" s="2" t="s">
        <v>12</v>
      </c>
      <c r="D505" s="2" t="s">
        <v>12</v>
      </c>
      <c r="E505" s="2" t="s">
        <v>12</v>
      </c>
      <c r="F505" s="2" t="s">
        <v>12</v>
      </c>
      <c r="G505" s="2" t="s">
        <v>12</v>
      </c>
      <c r="H505" s="2" t="s">
        <v>12</v>
      </c>
      <c r="I505" s="2" t="s">
        <v>12</v>
      </c>
      <c r="J505" s="2" t="s">
        <v>12</v>
      </c>
      <c r="K505" s="2" t="s">
        <v>12</v>
      </c>
    </row>
    <row r="506" spans="1:11" ht="12.5" x14ac:dyDescent="0.25">
      <c r="A506" s="3" t="e">
        <f ca="1"/>
        <v>#NAME?</v>
      </c>
      <c r="B506" s="2" t="s">
        <v>12</v>
      </c>
      <c r="C506" s="2" t="s">
        <v>12</v>
      </c>
      <c r="D506" s="2" t="s">
        <v>12</v>
      </c>
      <c r="E506" s="2" t="s">
        <v>12</v>
      </c>
      <c r="F506" s="2" t="s">
        <v>12</v>
      </c>
      <c r="G506" s="2" t="s">
        <v>12</v>
      </c>
      <c r="H506" s="2" t="s">
        <v>12</v>
      </c>
      <c r="I506" s="2" t="s">
        <v>12</v>
      </c>
      <c r="J506" s="2" t="s">
        <v>12</v>
      </c>
      <c r="K506" s="2" t="s">
        <v>12</v>
      </c>
    </row>
    <row r="507" spans="1:11" ht="12.5" x14ac:dyDescent="0.25">
      <c r="A507" s="3" t="e">
        <f ca="1"/>
        <v>#NAME?</v>
      </c>
      <c r="B507" s="2" t="s">
        <v>12</v>
      </c>
      <c r="C507" s="2" t="s">
        <v>12</v>
      </c>
      <c r="D507" s="2" t="s">
        <v>12</v>
      </c>
      <c r="E507" s="2" t="s">
        <v>12</v>
      </c>
      <c r="F507" s="2" t="s">
        <v>12</v>
      </c>
      <c r="G507" s="2" t="s">
        <v>12</v>
      </c>
      <c r="H507" s="2" t="s">
        <v>12</v>
      </c>
      <c r="I507" s="2" t="s">
        <v>12</v>
      </c>
      <c r="J507" s="2" t="s">
        <v>12</v>
      </c>
      <c r="K507" s="2" t="s">
        <v>12</v>
      </c>
    </row>
    <row r="508" spans="1:11" ht="12.5" x14ac:dyDescent="0.25">
      <c r="A508" s="3" t="e">
        <f ca="1"/>
        <v>#NAME?</v>
      </c>
      <c r="B508" s="2" t="s">
        <v>12</v>
      </c>
      <c r="C508" s="2" t="s">
        <v>12</v>
      </c>
      <c r="D508" s="2" t="s">
        <v>12</v>
      </c>
      <c r="E508" s="2" t="s">
        <v>12</v>
      </c>
      <c r="F508" s="2" t="s">
        <v>12</v>
      </c>
      <c r="G508" s="2" t="s">
        <v>12</v>
      </c>
      <c r="H508" s="2" t="s">
        <v>12</v>
      </c>
      <c r="I508" s="2" t="s">
        <v>12</v>
      </c>
      <c r="J508" s="2" t="s">
        <v>12</v>
      </c>
      <c r="K508" s="2" t="s">
        <v>12</v>
      </c>
    </row>
    <row r="509" spans="1:11" ht="12.5" x14ac:dyDescent="0.25">
      <c r="A509" s="3" t="e">
        <f ca="1"/>
        <v>#NAME?</v>
      </c>
      <c r="B509" s="2" t="s">
        <v>12</v>
      </c>
      <c r="C509" s="2" t="s">
        <v>12</v>
      </c>
      <c r="D509" s="2" t="s">
        <v>12</v>
      </c>
      <c r="E509" s="2" t="s">
        <v>12</v>
      </c>
      <c r="F509" s="2" t="s">
        <v>12</v>
      </c>
      <c r="G509" s="2" t="s">
        <v>12</v>
      </c>
      <c r="H509" s="2" t="s">
        <v>12</v>
      </c>
      <c r="I509" s="2" t="s">
        <v>12</v>
      </c>
      <c r="J509" s="2" t="s">
        <v>12</v>
      </c>
      <c r="K509" s="2" t="s">
        <v>12</v>
      </c>
    </row>
    <row r="510" spans="1:11" ht="12.5" x14ac:dyDescent="0.25">
      <c r="A510" s="3" t="e">
        <f ca="1"/>
        <v>#NAME?</v>
      </c>
      <c r="B510" s="2" t="s">
        <v>12</v>
      </c>
      <c r="C510" s="2" t="s">
        <v>12</v>
      </c>
      <c r="D510" s="2" t="s">
        <v>12</v>
      </c>
      <c r="E510" s="2" t="s">
        <v>12</v>
      </c>
      <c r="F510" s="2" t="s">
        <v>12</v>
      </c>
      <c r="G510" s="2" t="s">
        <v>12</v>
      </c>
      <c r="H510" s="2" t="s">
        <v>12</v>
      </c>
      <c r="I510" s="2" t="s">
        <v>12</v>
      </c>
      <c r="J510" s="2" t="s">
        <v>12</v>
      </c>
      <c r="K510" s="2" t="s">
        <v>12</v>
      </c>
    </row>
    <row r="511" spans="1:11" ht="12.5" x14ac:dyDescent="0.25">
      <c r="A511" s="3" t="e">
        <f ca="1"/>
        <v>#NAME?</v>
      </c>
      <c r="B511" s="2" t="s">
        <v>12</v>
      </c>
      <c r="C511" s="2" t="s">
        <v>12</v>
      </c>
      <c r="D511" s="2" t="s">
        <v>12</v>
      </c>
      <c r="E511" s="2" t="s">
        <v>12</v>
      </c>
      <c r="F511" s="2" t="s">
        <v>12</v>
      </c>
      <c r="G511" s="2" t="s">
        <v>12</v>
      </c>
      <c r="H511" s="2" t="s">
        <v>12</v>
      </c>
      <c r="I511" s="2" t="s">
        <v>12</v>
      </c>
      <c r="J511" s="2" t="s">
        <v>12</v>
      </c>
      <c r="K511" s="2" t="s">
        <v>12</v>
      </c>
    </row>
    <row r="512" spans="1:11" ht="12.5" x14ac:dyDescent="0.25">
      <c r="A512" s="3" t="e">
        <f ca="1"/>
        <v>#NAME?</v>
      </c>
      <c r="B512" s="2" t="s">
        <v>12</v>
      </c>
      <c r="C512" s="2" t="s">
        <v>12</v>
      </c>
      <c r="D512" s="2" t="s">
        <v>12</v>
      </c>
      <c r="E512" s="2" t="s">
        <v>12</v>
      </c>
      <c r="F512" s="2" t="s">
        <v>12</v>
      </c>
      <c r="G512" s="2" t="s">
        <v>12</v>
      </c>
      <c r="H512" s="2" t="s">
        <v>12</v>
      </c>
      <c r="I512" s="2" t="s">
        <v>12</v>
      </c>
      <c r="J512" s="2" t="s">
        <v>12</v>
      </c>
      <c r="K512" s="2" t="s">
        <v>12</v>
      </c>
    </row>
    <row r="513" spans="1:11" ht="12.5" x14ac:dyDescent="0.25">
      <c r="A513" s="3" t="e">
        <f ca="1"/>
        <v>#NAME?</v>
      </c>
      <c r="B513" s="2" t="s">
        <v>12</v>
      </c>
      <c r="C513" s="2" t="s">
        <v>12</v>
      </c>
      <c r="D513" s="2" t="s">
        <v>12</v>
      </c>
      <c r="E513" s="2" t="s">
        <v>12</v>
      </c>
      <c r="F513" s="2" t="s">
        <v>12</v>
      </c>
      <c r="G513" s="2" t="s">
        <v>12</v>
      </c>
      <c r="H513" s="2" t="s">
        <v>12</v>
      </c>
      <c r="I513" s="2" t="s">
        <v>12</v>
      </c>
      <c r="J513" s="2" t="s">
        <v>12</v>
      </c>
      <c r="K513" s="2" t="s">
        <v>12</v>
      </c>
    </row>
    <row r="514" spans="1:11" ht="12.5" x14ac:dyDescent="0.25">
      <c r="A514" s="3" t="e">
        <f ca="1"/>
        <v>#NAME?</v>
      </c>
      <c r="B514" s="2" t="s">
        <v>12</v>
      </c>
      <c r="C514" s="2" t="s">
        <v>12</v>
      </c>
      <c r="D514" s="2" t="s">
        <v>12</v>
      </c>
      <c r="E514" s="2" t="s">
        <v>12</v>
      </c>
      <c r="F514" s="2" t="s">
        <v>12</v>
      </c>
      <c r="G514" s="2" t="s">
        <v>12</v>
      </c>
      <c r="H514" s="2" t="s">
        <v>12</v>
      </c>
      <c r="I514" s="2" t="s">
        <v>12</v>
      </c>
      <c r="J514" s="2" t="s">
        <v>12</v>
      </c>
      <c r="K514" s="2" t="s">
        <v>12</v>
      </c>
    </row>
    <row r="515" spans="1:11" ht="12.5" x14ac:dyDescent="0.25">
      <c r="A515" s="3" t="e">
        <f ca="1"/>
        <v>#NAME?</v>
      </c>
      <c r="B515" s="2" t="s">
        <v>12</v>
      </c>
      <c r="C515" s="2" t="s">
        <v>12</v>
      </c>
      <c r="D515" s="2" t="s">
        <v>12</v>
      </c>
      <c r="E515" s="2" t="s">
        <v>12</v>
      </c>
      <c r="F515" s="2" t="s">
        <v>12</v>
      </c>
      <c r="G515" s="2" t="s">
        <v>12</v>
      </c>
      <c r="H515" s="2" t="s">
        <v>12</v>
      </c>
      <c r="I515" s="2" t="s">
        <v>12</v>
      </c>
      <c r="J515" s="2" t="s">
        <v>12</v>
      </c>
      <c r="K515" s="2" t="s">
        <v>12</v>
      </c>
    </row>
    <row r="516" spans="1:11" ht="12.5" x14ac:dyDescent="0.25">
      <c r="A516" s="3" t="e">
        <f ca="1"/>
        <v>#NAME?</v>
      </c>
      <c r="B516" s="2" t="s">
        <v>12</v>
      </c>
      <c r="C516" s="2" t="s">
        <v>12</v>
      </c>
      <c r="D516" s="2" t="s">
        <v>12</v>
      </c>
      <c r="E516" s="2" t="s">
        <v>12</v>
      </c>
      <c r="F516" s="2" t="s">
        <v>12</v>
      </c>
      <c r="G516" s="2" t="s">
        <v>12</v>
      </c>
      <c r="H516" s="2" t="s">
        <v>12</v>
      </c>
      <c r="I516" s="2" t="s">
        <v>12</v>
      </c>
      <c r="J516" s="2" t="s">
        <v>12</v>
      </c>
      <c r="K516" s="2" t="s">
        <v>12</v>
      </c>
    </row>
    <row r="517" spans="1:11" ht="12.5" x14ac:dyDescent="0.25">
      <c r="A517" s="3" t="e">
        <f ca="1"/>
        <v>#NAME?</v>
      </c>
      <c r="B517" s="2" t="s">
        <v>12</v>
      </c>
      <c r="C517" s="2" t="s">
        <v>12</v>
      </c>
      <c r="D517" s="2" t="s">
        <v>12</v>
      </c>
      <c r="E517" s="2" t="s">
        <v>12</v>
      </c>
      <c r="F517" s="2" t="s">
        <v>12</v>
      </c>
      <c r="G517" s="2" t="s">
        <v>12</v>
      </c>
      <c r="H517" s="2" t="s">
        <v>12</v>
      </c>
      <c r="I517" s="2" t="s">
        <v>12</v>
      </c>
      <c r="J517" s="2" t="s">
        <v>12</v>
      </c>
      <c r="K517" s="2" t="s">
        <v>12</v>
      </c>
    </row>
    <row r="518" spans="1:11" ht="12.5" x14ac:dyDescent="0.25">
      <c r="A518" s="3" t="e">
        <f ca="1"/>
        <v>#NAME?</v>
      </c>
      <c r="B518" s="2" t="s">
        <v>12</v>
      </c>
      <c r="C518" s="2" t="s">
        <v>12</v>
      </c>
      <c r="D518" s="2" t="s">
        <v>12</v>
      </c>
      <c r="E518" s="2" t="s">
        <v>12</v>
      </c>
      <c r="F518" s="2" t="s">
        <v>12</v>
      </c>
      <c r="G518" s="2" t="s">
        <v>12</v>
      </c>
      <c r="H518" s="2" t="s">
        <v>12</v>
      </c>
      <c r="I518" s="2" t="s">
        <v>12</v>
      </c>
      <c r="J518" s="2" t="s">
        <v>12</v>
      </c>
      <c r="K518" s="2" t="s">
        <v>12</v>
      </c>
    </row>
    <row r="519" spans="1:11" ht="12.5" x14ac:dyDescent="0.25">
      <c r="A519" s="3" t="e">
        <f ca="1"/>
        <v>#NAME?</v>
      </c>
      <c r="B519" s="2" t="s">
        <v>12</v>
      </c>
      <c r="C519" s="2" t="s">
        <v>12</v>
      </c>
      <c r="D519" s="2" t="s">
        <v>12</v>
      </c>
      <c r="E519" s="2" t="s">
        <v>12</v>
      </c>
      <c r="F519" s="2" t="s">
        <v>12</v>
      </c>
      <c r="G519" s="2" t="s">
        <v>12</v>
      </c>
      <c r="H519" s="2" t="s">
        <v>12</v>
      </c>
      <c r="I519" s="2" t="s">
        <v>12</v>
      </c>
      <c r="J519" s="2" t="s">
        <v>12</v>
      </c>
      <c r="K519" s="2" t="s">
        <v>12</v>
      </c>
    </row>
    <row r="520" spans="1:11" ht="12.5" x14ac:dyDescent="0.25">
      <c r="A520" s="3" t="e">
        <f ca="1"/>
        <v>#NAME?</v>
      </c>
      <c r="B520" s="2" t="s">
        <v>12</v>
      </c>
      <c r="C520" s="2" t="s">
        <v>12</v>
      </c>
      <c r="D520" s="2" t="s">
        <v>12</v>
      </c>
      <c r="E520" s="2" t="s">
        <v>12</v>
      </c>
      <c r="F520" s="2" t="s">
        <v>12</v>
      </c>
      <c r="G520" s="2" t="s">
        <v>12</v>
      </c>
      <c r="H520" s="2" t="s">
        <v>12</v>
      </c>
      <c r="I520" s="2" t="s">
        <v>12</v>
      </c>
      <c r="J520" s="2" t="s">
        <v>12</v>
      </c>
      <c r="K520" s="2" t="s">
        <v>12</v>
      </c>
    </row>
    <row r="521" spans="1:11" ht="12.5" x14ac:dyDescent="0.25">
      <c r="A521" s="3" t="e">
        <f ca="1"/>
        <v>#NAME?</v>
      </c>
      <c r="B521" s="2" t="s">
        <v>12</v>
      </c>
      <c r="C521" s="2" t="s">
        <v>12</v>
      </c>
      <c r="D521" s="2" t="s">
        <v>12</v>
      </c>
      <c r="E521" s="2" t="s">
        <v>12</v>
      </c>
      <c r="F521" s="2" t="s">
        <v>12</v>
      </c>
      <c r="G521" s="2" t="s">
        <v>12</v>
      </c>
      <c r="H521" s="2" t="s">
        <v>12</v>
      </c>
      <c r="I521" s="2" t="s">
        <v>12</v>
      </c>
      <c r="J521" s="2" t="s">
        <v>12</v>
      </c>
      <c r="K521" s="2" t="s">
        <v>12</v>
      </c>
    </row>
    <row r="522" spans="1:11" ht="12.5" x14ac:dyDescent="0.25">
      <c r="A522" s="3" t="e">
        <f ca="1"/>
        <v>#NAME?</v>
      </c>
      <c r="B522" s="2" t="s">
        <v>12</v>
      </c>
      <c r="C522" s="2" t="s">
        <v>12</v>
      </c>
      <c r="D522" s="2" t="s">
        <v>12</v>
      </c>
      <c r="E522" s="2" t="s">
        <v>12</v>
      </c>
      <c r="F522" s="2" t="s">
        <v>12</v>
      </c>
      <c r="G522" s="2" t="s">
        <v>12</v>
      </c>
      <c r="H522" s="2" t="s">
        <v>12</v>
      </c>
      <c r="I522" s="2" t="s">
        <v>12</v>
      </c>
      <c r="J522" s="2" t="s">
        <v>12</v>
      </c>
      <c r="K522" s="2" t="s">
        <v>12</v>
      </c>
    </row>
    <row r="523" spans="1:11" ht="12.5" x14ac:dyDescent="0.25">
      <c r="A523" s="3" t="e">
        <f ca="1"/>
        <v>#NAME?</v>
      </c>
      <c r="B523" s="2" t="s">
        <v>12</v>
      </c>
      <c r="C523" s="2" t="s">
        <v>12</v>
      </c>
      <c r="D523" s="2" t="s">
        <v>12</v>
      </c>
      <c r="E523" s="2" t="s">
        <v>12</v>
      </c>
      <c r="F523" s="2" t="s">
        <v>12</v>
      </c>
      <c r="G523" s="2" t="s">
        <v>12</v>
      </c>
      <c r="H523" s="2" t="s">
        <v>12</v>
      </c>
      <c r="I523" s="2" t="s">
        <v>12</v>
      </c>
      <c r="J523" s="2" t="s">
        <v>12</v>
      </c>
      <c r="K523" s="2" t="s">
        <v>12</v>
      </c>
    </row>
    <row r="524" spans="1:11" ht="12.5" x14ac:dyDescent="0.25">
      <c r="A524" s="3" t="e">
        <f ca="1"/>
        <v>#NAME?</v>
      </c>
      <c r="B524" s="2" t="s">
        <v>12</v>
      </c>
      <c r="C524" s="2" t="s">
        <v>12</v>
      </c>
      <c r="D524" s="2" t="s">
        <v>12</v>
      </c>
      <c r="E524" s="2" t="s">
        <v>12</v>
      </c>
      <c r="F524" s="2" t="s">
        <v>12</v>
      </c>
      <c r="G524" s="2" t="s">
        <v>12</v>
      </c>
      <c r="H524" s="2" t="s">
        <v>12</v>
      </c>
      <c r="I524" s="2" t="s">
        <v>12</v>
      </c>
      <c r="J524" s="2" t="s">
        <v>12</v>
      </c>
      <c r="K524" s="2" t="s">
        <v>12</v>
      </c>
    </row>
    <row r="525" spans="1:11" ht="12.5" x14ac:dyDescent="0.25">
      <c r="A525" s="3" t="e">
        <f ca="1"/>
        <v>#NAME?</v>
      </c>
      <c r="B525" s="2" t="s">
        <v>12</v>
      </c>
      <c r="C525" s="2" t="s">
        <v>12</v>
      </c>
      <c r="D525" s="2" t="s">
        <v>12</v>
      </c>
      <c r="E525" s="2" t="s">
        <v>12</v>
      </c>
      <c r="F525" s="2" t="s">
        <v>12</v>
      </c>
      <c r="G525" s="2" t="s">
        <v>12</v>
      </c>
      <c r="H525" s="2" t="s">
        <v>12</v>
      </c>
      <c r="I525" s="2" t="s">
        <v>12</v>
      </c>
      <c r="J525" s="2" t="s">
        <v>12</v>
      </c>
      <c r="K525" s="2" t="s">
        <v>12</v>
      </c>
    </row>
    <row r="526" spans="1:11" ht="12.5" x14ac:dyDescent="0.25">
      <c r="A526" s="3" t="e">
        <f ca="1"/>
        <v>#NAME?</v>
      </c>
      <c r="B526" s="2" t="s">
        <v>12</v>
      </c>
      <c r="C526" s="2" t="s">
        <v>12</v>
      </c>
      <c r="D526" s="2" t="s">
        <v>12</v>
      </c>
      <c r="E526" s="2" t="s">
        <v>12</v>
      </c>
      <c r="F526" s="2" t="s">
        <v>12</v>
      </c>
      <c r="G526" s="2" t="s">
        <v>12</v>
      </c>
      <c r="H526" s="2" t="s">
        <v>12</v>
      </c>
      <c r="I526" s="2" t="s">
        <v>12</v>
      </c>
      <c r="J526" s="2" t="s">
        <v>12</v>
      </c>
      <c r="K526" s="2" t="s">
        <v>12</v>
      </c>
    </row>
    <row r="527" spans="1:11" ht="12.5" x14ac:dyDescent="0.25">
      <c r="A527" s="3" t="e">
        <f ca="1"/>
        <v>#NAME?</v>
      </c>
      <c r="B527" s="2" t="s">
        <v>12</v>
      </c>
      <c r="C527" s="2" t="s">
        <v>12</v>
      </c>
      <c r="D527" s="2" t="s">
        <v>12</v>
      </c>
      <c r="E527" s="2" t="s">
        <v>12</v>
      </c>
      <c r="F527" s="2" t="s">
        <v>12</v>
      </c>
      <c r="G527" s="2" t="s">
        <v>12</v>
      </c>
      <c r="H527" s="2" t="s">
        <v>12</v>
      </c>
      <c r="I527" s="2" t="s">
        <v>12</v>
      </c>
      <c r="J527" s="2" t="s">
        <v>12</v>
      </c>
      <c r="K527" s="2" t="s">
        <v>12</v>
      </c>
    </row>
    <row r="528" spans="1:11" ht="12.5" x14ac:dyDescent="0.25">
      <c r="A528" s="3" t="e">
        <f ca="1"/>
        <v>#NAME?</v>
      </c>
      <c r="B528" s="2" t="s">
        <v>12</v>
      </c>
      <c r="C528" s="2" t="s">
        <v>12</v>
      </c>
      <c r="D528" s="2" t="s">
        <v>12</v>
      </c>
      <c r="E528" s="2" t="s">
        <v>12</v>
      </c>
      <c r="F528" s="2" t="s">
        <v>12</v>
      </c>
      <c r="G528" s="2" t="s">
        <v>12</v>
      </c>
      <c r="H528" s="2" t="s">
        <v>12</v>
      </c>
      <c r="I528" s="2" t="s">
        <v>12</v>
      </c>
      <c r="J528" s="2" t="s">
        <v>12</v>
      </c>
      <c r="K528" s="2" t="s">
        <v>12</v>
      </c>
    </row>
    <row r="529" spans="1:11" ht="12.5" x14ac:dyDescent="0.25">
      <c r="A529" s="3" t="e">
        <f ca="1"/>
        <v>#NAME?</v>
      </c>
      <c r="B529" s="2" t="s">
        <v>12</v>
      </c>
      <c r="C529" s="2" t="s">
        <v>12</v>
      </c>
      <c r="D529" s="2" t="s">
        <v>12</v>
      </c>
      <c r="E529" s="2" t="s">
        <v>12</v>
      </c>
      <c r="F529" s="2" t="s">
        <v>12</v>
      </c>
      <c r="G529" s="2" t="s">
        <v>12</v>
      </c>
      <c r="H529" s="2" t="s">
        <v>12</v>
      </c>
      <c r="I529" s="2" t="s">
        <v>12</v>
      </c>
      <c r="J529" s="2" t="s">
        <v>12</v>
      </c>
      <c r="K529" s="2" t="s">
        <v>12</v>
      </c>
    </row>
    <row r="530" spans="1:11" ht="12.5" x14ac:dyDescent="0.25">
      <c r="A530" s="3" t="e">
        <f ca="1"/>
        <v>#NAME?</v>
      </c>
      <c r="B530" s="2" t="s">
        <v>12</v>
      </c>
      <c r="C530" s="2" t="s">
        <v>12</v>
      </c>
      <c r="D530" s="2" t="s">
        <v>12</v>
      </c>
      <c r="E530" s="2" t="s">
        <v>12</v>
      </c>
      <c r="F530" s="2" t="s">
        <v>12</v>
      </c>
      <c r="G530" s="2" t="s">
        <v>12</v>
      </c>
      <c r="H530" s="2" t="s">
        <v>12</v>
      </c>
      <c r="I530" s="2" t="s">
        <v>12</v>
      </c>
      <c r="J530" s="2" t="s">
        <v>12</v>
      </c>
      <c r="K530" s="2" t="s">
        <v>12</v>
      </c>
    </row>
    <row r="531" spans="1:11" ht="12.5" x14ac:dyDescent="0.25">
      <c r="A531" s="3" t="e">
        <f ca="1"/>
        <v>#NAME?</v>
      </c>
      <c r="B531" s="2" t="s">
        <v>12</v>
      </c>
      <c r="C531" s="2" t="s">
        <v>12</v>
      </c>
      <c r="D531" s="2" t="s">
        <v>12</v>
      </c>
      <c r="E531" s="2" t="s">
        <v>12</v>
      </c>
      <c r="F531" s="2" t="s">
        <v>12</v>
      </c>
      <c r="G531" s="2" t="s">
        <v>12</v>
      </c>
      <c r="H531" s="2" t="s">
        <v>12</v>
      </c>
      <c r="I531" s="2" t="s">
        <v>12</v>
      </c>
      <c r="J531" s="2" t="s">
        <v>12</v>
      </c>
      <c r="K531" s="2" t="s">
        <v>12</v>
      </c>
    </row>
    <row r="532" spans="1:11" ht="12.5" x14ac:dyDescent="0.25">
      <c r="A532" s="3" t="e">
        <f ca="1"/>
        <v>#NAME?</v>
      </c>
      <c r="B532" s="2" t="s">
        <v>12</v>
      </c>
      <c r="C532" s="2" t="s">
        <v>12</v>
      </c>
      <c r="D532" s="2" t="s">
        <v>12</v>
      </c>
      <c r="E532" s="2" t="s">
        <v>12</v>
      </c>
      <c r="F532" s="2" t="s">
        <v>12</v>
      </c>
      <c r="G532" s="2" t="s">
        <v>12</v>
      </c>
      <c r="H532" s="2" t="s">
        <v>12</v>
      </c>
      <c r="I532" s="2" t="s">
        <v>12</v>
      </c>
      <c r="J532" s="2" t="s">
        <v>12</v>
      </c>
      <c r="K532" s="2" t="s">
        <v>12</v>
      </c>
    </row>
    <row r="533" spans="1:11" ht="12.5" x14ac:dyDescent="0.25">
      <c r="A533" s="3" t="e">
        <f ca="1"/>
        <v>#NAME?</v>
      </c>
      <c r="B533" s="2" t="s">
        <v>12</v>
      </c>
      <c r="C533" s="2" t="s">
        <v>12</v>
      </c>
      <c r="D533" s="2" t="s">
        <v>12</v>
      </c>
      <c r="E533" s="2" t="s">
        <v>12</v>
      </c>
      <c r="F533" s="2" t="s">
        <v>12</v>
      </c>
      <c r="G533" s="2" t="s">
        <v>12</v>
      </c>
      <c r="H533" s="2" t="s">
        <v>12</v>
      </c>
      <c r="I533" s="2" t="s">
        <v>12</v>
      </c>
      <c r="J533" s="2" t="s">
        <v>12</v>
      </c>
      <c r="K533" s="2" t="s">
        <v>12</v>
      </c>
    </row>
    <row r="534" spans="1:11" ht="12.5" x14ac:dyDescent="0.25">
      <c r="A534" s="3" t="e">
        <f ca="1"/>
        <v>#NAME?</v>
      </c>
      <c r="B534" s="2" t="s">
        <v>12</v>
      </c>
      <c r="C534" s="2" t="s">
        <v>12</v>
      </c>
      <c r="D534" s="2" t="s">
        <v>12</v>
      </c>
      <c r="E534" s="2" t="s">
        <v>12</v>
      </c>
      <c r="F534" s="2" t="s">
        <v>12</v>
      </c>
      <c r="G534" s="2" t="s">
        <v>12</v>
      </c>
      <c r="H534" s="2" t="s">
        <v>12</v>
      </c>
      <c r="I534" s="2" t="s">
        <v>12</v>
      </c>
      <c r="J534" s="2" t="s">
        <v>12</v>
      </c>
      <c r="K534" s="2" t="s">
        <v>12</v>
      </c>
    </row>
    <row r="535" spans="1:11" ht="12.5" x14ac:dyDescent="0.25">
      <c r="A535" s="3" t="e">
        <f ca="1"/>
        <v>#NAME?</v>
      </c>
      <c r="B535" s="2" t="s">
        <v>12</v>
      </c>
      <c r="C535" s="2" t="s">
        <v>12</v>
      </c>
      <c r="D535" s="2" t="s">
        <v>12</v>
      </c>
      <c r="E535" s="2" t="s">
        <v>12</v>
      </c>
      <c r="F535" s="2" t="s">
        <v>12</v>
      </c>
      <c r="G535" s="2" t="s">
        <v>12</v>
      </c>
      <c r="H535" s="2" t="s">
        <v>12</v>
      </c>
      <c r="I535" s="2" t="s">
        <v>12</v>
      </c>
      <c r="J535" s="2" t="s">
        <v>12</v>
      </c>
      <c r="K535" s="2" t="s">
        <v>12</v>
      </c>
    </row>
    <row r="536" spans="1:11" ht="12.5" x14ac:dyDescent="0.25">
      <c r="A536" s="3" t="e">
        <f ca="1"/>
        <v>#NAME?</v>
      </c>
      <c r="B536" s="2" t="s">
        <v>12</v>
      </c>
      <c r="C536" s="2" t="s">
        <v>12</v>
      </c>
      <c r="D536" s="2" t="s">
        <v>12</v>
      </c>
      <c r="E536" s="2" t="s">
        <v>12</v>
      </c>
      <c r="F536" s="2" t="s">
        <v>12</v>
      </c>
      <c r="G536" s="2" t="s">
        <v>12</v>
      </c>
      <c r="H536" s="2" t="s">
        <v>12</v>
      </c>
      <c r="I536" s="2" t="s">
        <v>12</v>
      </c>
      <c r="J536" s="2" t="s">
        <v>12</v>
      </c>
      <c r="K536" s="2" t="s">
        <v>12</v>
      </c>
    </row>
    <row r="537" spans="1:11" ht="12.5" x14ac:dyDescent="0.25">
      <c r="A537" s="3" t="e">
        <f ca="1"/>
        <v>#NAME?</v>
      </c>
      <c r="B537" s="2" t="s">
        <v>12</v>
      </c>
      <c r="C537" s="2" t="s">
        <v>12</v>
      </c>
      <c r="D537" s="2" t="s">
        <v>12</v>
      </c>
      <c r="E537" s="2" t="s">
        <v>12</v>
      </c>
      <c r="F537" s="2" t="s">
        <v>12</v>
      </c>
      <c r="G537" s="2" t="s">
        <v>12</v>
      </c>
      <c r="H537" s="2" t="s">
        <v>12</v>
      </c>
      <c r="I537" s="2" t="s">
        <v>12</v>
      </c>
      <c r="J537" s="2" t="s">
        <v>12</v>
      </c>
      <c r="K537" s="2" t="s">
        <v>12</v>
      </c>
    </row>
    <row r="538" spans="1:11" ht="12.5" x14ac:dyDescent="0.25">
      <c r="A538" s="3" t="e">
        <f ca="1"/>
        <v>#NAME?</v>
      </c>
      <c r="B538" s="2" t="s">
        <v>12</v>
      </c>
      <c r="C538" s="2" t="s">
        <v>12</v>
      </c>
      <c r="D538" s="2" t="s">
        <v>12</v>
      </c>
      <c r="E538" s="2" t="s">
        <v>12</v>
      </c>
      <c r="F538" s="2" t="s">
        <v>12</v>
      </c>
      <c r="G538" s="2" t="s">
        <v>12</v>
      </c>
      <c r="H538" s="2" t="s">
        <v>12</v>
      </c>
      <c r="I538" s="2" t="s">
        <v>12</v>
      </c>
      <c r="J538" s="2" t="s">
        <v>12</v>
      </c>
      <c r="K538" s="2" t="s">
        <v>12</v>
      </c>
    </row>
    <row r="539" spans="1:11" ht="12.5" x14ac:dyDescent="0.25">
      <c r="A539" s="3" t="e">
        <f ca="1"/>
        <v>#NAME?</v>
      </c>
      <c r="B539" s="2" t="s">
        <v>12</v>
      </c>
      <c r="C539" s="2" t="s">
        <v>12</v>
      </c>
      <c r="D539" s="2" t="s">
        <v>12</v>
      </c>
      <c r="E539" s="2" t="s">
        <v>12</v>
      </c>
      <c r="F539" s="2" t="s">
        <v>12</v>
      </c>
      <c r="G539" s="2" t="s">
        <v>12</v>
      </c>
      <c r="H539" s="2" t="s">
        <v>12</v>
      </c>
      <c r="I539" s="2" t="s">
        <v>12</v>
      </c>
      <c r="J539" s="2" t="s">
        <v>12</v>
      </c>
      <c r="K539" s="2" t="s">
        <v>12</v>
      </c>
    </row>
    <row r="540" spans="1:11" ht="12.5" x14ac:dyDescent="0.25">
      <c r="A540" s="3" t="e">
        <f ca="1"/>
        <v>#NAME?</v>
      </c>
      <c r="B540" s="2" t="s">
        <v>12</v>
      </c>
      <c r="C540" s="2" t="s">
        <v>12</v>
      </c>
      <c r="D540" s="2" t="s">
        <v>12</v>
      </c>
      <c r="E540" s="2" t="s">
        <v>12</v>
      </c>
      <c r="F540" s="2" t="s">
        <v>12</v>
      </c>
      <c r="G540" s="2" t="s">
        <v>12</v>
      </c>
      <c r="H540" s="2" t="s">
        <v>12</v>
      </c>
      <c r="I540" s="2" t="s">
        <v>12</v>
      </c>
      <c r="J540" s="2" t="s">
        <v>12</v>
      </c>
      <c r="K540" s="2" t="s">
        <v>12</v>
      </c>
    </row>
    <row r="541" spans="1:11" ht="12.5" x14ac:dyDescent="0.25">
      <c r="A541" s="3" t="e">
        <f ca="1"/>
        <v>#NAME?</v>
      </c>
      <c r="B541" s="2" t="s">
        <v>12</v>
      </c>
      <c r="C541" s="2" t="s">
        <v>12</v>
      </c>
      <c r="D541" s="2" t="s">
        <v>12</v>
      </c>
      <c r="E541" s="2" t="s">
        <v>12</v>
      </c>
      <c r="F541" s="2" t="s">
        <v>12</v>
      </c>
      <c r="G541" s="2" t="s">
        <v>12</v>
      </c>
      <c r="H541" s="2" t="s">
        <v>12</v>
      </c>
      <c r="I541" s="2" t="s">
        <v>12</v>
      </c>
      <c r="J541" s="2" t="s">
        <v>12</v>
      </c>
      <c r="K541" s="2" t="s">
        <v>12</v>
      </c>
    </row>
    <row r="542" spans="1:11" ht="12.5" x14ac:dyDescent="0.25">
      <c r="A542" s="3" t="e">
        <f ca="1"/>
        <v>#NAME?</v>
      </c>
      <c r="B542" s="2" t="s">
        <v>12</v>
      </c>
      <c r="C542" s="2" t="s">
        <v>12</v>
      </c>
      <c r="D542" s="2" t="s">
        <v>12</v>
      </c>
      <c r="E542" s="2" t="s">
        <v>12</v>
      </c>
      <c r="F542" s="2" t="s">
        <v>12</v>
      </c>
      <c r="G542" s="2" t="s">
        <v>12</v>
      </c>
      <c r="H542" s="2" t="s">
        <v>12</v>
      </c>
      <c r="I542" s="2" t="s">
        <v>12</v>
      </c>
      <c r="J542" s="2" t="s">
        <v>12</v>
      </c>
      <c r="K542" s="2" t="s">
        <v>12</v>
      </c>
    </row>
    <row r="543" spans="1:11" ht="12.5" x14ac:dyDescent="0.25">
      <c r="A543" s="3" t="e">
        <f ca="1"/>
        <v>#NAME?</v>
      </c>
      <c r="B543" s="2" t="s">
        <v>12</v>
      </c>
      <c r="C543" s="2" t="s">
        <v>12</v>
      </c>
      <c r="D543" s="2" t="s">
        <v>12</v>
      </c>
      <c r="E543" s="2" t="s">
        <v>12</v>
      </c>
      <c r="F543" s="2" t="s">
        <v>12</v>
      </c>
      <c r="G543" s="2" t="s">
        <v>12</v>
      </c>
      <c r="H543" s="2" t="s">
        <v>12</v>
      </c>
      <c r="I543" s="2" t="s">
        <v>12</v>
      </c>
      <c r="J543" s="2" t="s">
        <v>12</v>
      </c>
      <c r="K543" s="2" t="s">
        <v>12</v>
      </c>
    </row>
    <row r="544" spans="1:11" ht="12.5" x14ac:dyDescent="0.25">
      <c r="A544" s="3" t="e">
        <f ca="1"/>
        <v>#NAME?</v>
      </c>
      <c r="B544" s="2" t="s">
        <v>12</v>
      </c>
      <c r="C544" s="2" t="s">
        <v>12</v>
      </c>
      <c r="D544" s="2" t="s">
        <v>12</v>
      </c>
      <c r="E544" s="2" t="s">
        <v>12</v>
      </c>
      <c r="F544" s="2" t="s">
        <v>12</v>
      </c>
      <c r="G544" s="2" t="s">
        <v>12</v>
      </c>
      <c r="H544" s="2" t="s">
        <v>12</v>
      </c>
      <c r="I544" s="2" t="s">
        <v>12</v>
      </c>
      <c r="J544" s="2" t="s">
        <v>12</v>
      </c>
      <c r="K544" s="2" t="s">
        <v>12</v>
      </c>
    </row>
    <row r="545" spans="1:11" ht="12.5" x14ac:dyDescent="0.25">
      <c r="A545" s="3" t="e">
        <f ca="1"/>
        <v>#NAME?</v>
      </c>
      <c r="B545" s="2" t="s">
        <v>12</v>
      </c>
      <c r="C545" s="2" t="s">
        <v>12</v>
      </c>
      <c r="D545" s="2" t="s">
        <v>12</v>
      </c>
      <c r="E545" s="2" t="s">
        <v>12</v>
      </c>
      <c r="F545" s="2" t="s">
        <v>12</v>
      </c>
      <c r="G545" s="2" t="s">
        <v>12</v>
      </c>
      <c r="H545" s="2" t="s">
        <v>12</v>
      </c>
      <c r="I545" s="2" t="s">
        <v>12</v>
      </c>
      <c r="J545" s="2" t="s">
        <v>12</v>
      </c>
      <c r="K545" s="2" t="s">
        <v>12</v>
      </c>
    </row>
    <row r="546" spans="1:11" ht="12.5" x14ac:dyDescent="0.25">
      <c r="A546" s="3" t="e">
        <f ca="1"/>
        <v>#NAME?</v>
      </c>
      <c r="B546" s="2" t="s">
        <v>12</v>
      </c>
      <c r="C546" s="2" t="s">
        <v>12</v>
      </c>
      <c r="D546" s="2" t="s">
        <v>12</v>
      </c>
      <c r="E546" s="2" t="s">
        <v>12</v>
      </c>
      <c r="F546" s="2" t="s">
        <v>12</v>
      </c>
      <c r="G546" s="2" t="s">
        <v>12</v>
      </c>
      <c r="H546" s="2" t="s">
        <v>12</v>
      </c>
      <c r="I546" s="2" t="s">
        <v>12</v>
      </c>
      <c r="J546" s="2" t="s">
        <v>12</v>
      </c>
      <c r="K546" s="2" t="s">
        <v>12</v>
      </c>
    </row>
    <row r="547" spans="1:11" ht="12.5" x14ac:dyDescent="0.25">
      <c r="A547" s="3" t="e">
        <f ca="1"/>
        <v>#NAME?</v>
      </c>
      <c r="B547" s="2" t="s">
        <v>12</v>
      </c>
      <c r="C547" s="2" t="s">
        <v>12</v>
      </c>
      <c r="D547" s="2" t="s">
        <v>12</v>
      </c>
      <c r="E547" s="2" t="s">
        <v>12</v>
      </c>
      <c r="F547" s="2" t="s">
        <v>12</v>
      </c>
      <c r="G547" s="2" t="s">
        <v>12</v>
      </c>
      <c r="H547" s="2" t="s">
        <v>12</v>
      </c>
      <c r="I547" s="2" t="s">
        <v>12</v>
      </c>
      <c r="J547" s="2" t="s">
        <v>12</v>
      </c>
      <c r="K547" s="2" t="s">
        <v>12</v>
      </c>
    </row>
    <row r="548" spans="1:11" ht="12.5" x14ac:dyDescent="0.25">
      <c r="A548" s="3" t="e">
        <f ca="1"/>
        <v>#NAME?</v>
      </c>
      <c r="B548" s="2" t="s">
        <v>12</v>
      </c>
      <c r="C548" s="2" t="s">
        <v>12</v>
      </c>
      <c r="D548" s="2" t="s">
        <v>12</v>
      </c>
      <c r="E548" s="2" t="s">
        <v>12</v>
      </c>
      <c r="F548" s="2" t="s">
        <v>12</v>
      </c>
      <c r="G548" s="2" t="s">
        <v>12</v>
      </c>
      <c r="H548" s="2" t="s">
        <v>12</v>
      </c>
      <c r="I548" s="2" t="s">
        <v>12</v>
      </c>
      <c r="J548" s="2" t="s">
        <v>12</v>
      </c>
      <c r="K548" s="2" t="s">
        <v>12</v>
      </c>
    </row>
    <row r="549" spans="1:11" ht="12.5" x14ac:dyDescent="0.25">
      <c r="A549" s="3" t="e">
        <f ca="1"/>
        <v>#NAME?</v>
      </c>
      <c r="B549" s="2" t="s">
        <v>12</v>
      </c>
      <c r="C549" s="2" t="s">
        <v>12</v>
      </c>
      <c r="D549" s="2" t="s">
        <v>12</v>
      </c>
      <c r="E549" s="2" t="s">
        <v>12</v>
      </c>
      <c r="F549" s="2" t="s">
        <v>12</v>
      </c>
      <c r="G549" s="2" t="s">
        <v>12</v>
      </c>
      <c r="H549" s="2" t="s">
        <v>12</v>
      </c>
      <c r="I549" s="2" t="s">
        <v>12</v>
      </c>
      <c r="J549" s="2" t="s">
        <v>12</v>
      </c>
      <c r="K549" s="2" t="s">
        <v>12</v>
      </c>
    </row>
    <row r="550" spans="1:11" ht="12.5" x14ac:dyDescent="0.25">
      <c r="A550" s="3" t="e">
        <f ca="1"/>
        <v>#NAME?</v>
      </c>
      <c r="B550" s="2" t="s">
        <v>12</v>
      </c>
      <c r="C550" s="2" t="s">
        <v>12</v>
      </c>
      <c r="D550" s="2" t="s">
        <v>12</v>
      </c>
      <c r="E550" s="2" t="s">
        <v>12</v>
      </c>
      <c r="F550" s="2" t="s">
        <v>12</v>
      </c>
      <c r="G550" s="2" t="s">
        <v>12</v>
      </c>
      <c r="H550" s="2" t="s">
        <v>12</v>
      </c>
      <c r="I550" s="2" t="s">
        <v>12</v>
      </c>
      <c r="J550" s="2" t="s">
        <v>12</v>
      </c>
      <c r="K550" s="2" t="s">
        <v>12</v>
      </c>
    </row>
    <row r="551" spans="1:11" ht="12.5" x14ac:dyDescent="0.25">
      <c r="A551" s="3" t="e">
        <f ca="1"/>
        <v>#NAME?</v>
      </c>
      <c r="B551" s="2" t="s">
        <v>12</v>
      </c>
      <c r="C551" s="2" t="s">
        <v>12</v>
      </c>
      <c r="D551" s="2" t="s">
        <v>12</v>
      </c>
      <c r="E551" s="2" t="s">
        <v>12</v>
      </c>
      <c r="F551" s="2" t="s">
        <v>12</v>
      </c>
      <c r="G551" s="2" t="s">
        <v>12</v>
      </c>
      <c r="H551" s="2" t="s">
        <v>12</v>
      </c>
      <c r="I551" s="2" t="s">
        <v>12</v>
      </c>
      <c r="J551" s="2" t="s">
        <v>12</v>
      </c>
      <c r="K551" s="2" t="s">
        <v>12</v>
      </c>
    </row>
    <row r="552" spans="1:11" ht="12.5" x14ac:dyDescent="0.25">
      <c r="A552" s="3" t="e">
        <f ca="1"/>
        <v>#NAME?</v>
      </c>
      <c r="B552" s="2" t="s">
        <v>12</v>
      </c>
      <c r="C552" s="2" t="s">
        <v>12</v>
      </c>
      <c r="D552" s="2" t="s">
        <v>12</v>
      </c>
      <c r="E552" s="2" t="s">
        <v>12</v>
      </c>
      <c r="F552" s="2" t="s">
        <v>12</v>
      </c>
      <c r="G552" s="2" t="s">
        <v>12</v>
      </c>
      <c r="H552" s="2" t="s">
        <v>12</v>
      </c>
      <c r="I552" s="2" t="s">
        <v>12</v>
      </c>
      <c r="J552" s="2" t="s">
        <v>12</v>
      </c>
      <c r="K552" s="2" t="s">
        <v>12</v>
      </c>
    </row>
    <row r="553" spans="1:11" ht="12.5" x14ac:dyDescent="0.25">
      <c r="A553" s="3" t="e">
        <f ca="1"/>
        <v>#NAME?</v>
      </c>
      <c r="B553" s="2" t="s">
        <v>12</v>
      </c>
      <c r="C553" s="2" t="s">
        <v>12</v>
      </c>
      <c r="D553" s="2" t="s">
        <v>12</v>
      </c>
      <c r="E553" s="2" t="s">
        <v>12</v>
      </c>
      <c r="F553" s="2" t="s">
        <v>12</v>
      </c>
      <c r="G553" s="2" t="s">
        <v>12</v>
      </c>
      <c r="H553" s="2" t="s">
        <v>12</v>
      </c>
      <c r="I553" s="2" t="s">
        <v>12</v>
      </c>
      <c r="J553" s="2" t="s">
        <v>12</v>
      </c>
      <c r="K553" s="2" t="s">
        <v>12</v>
      </c>
    </row>
    <row r="554" spans="1:11" ht="12.5" x14ac:dyDescent="0.25">
      <c r="A554" s="3" t="e">
        <f ca="1"/>
        <v>#NAME?</v>
      </c>
      <c r="B554" s="2" t="s">
        <v>12</v>
      </c>
      <c r="C554" s="2" t="s">
        <v>12</v>
      </c>
      <c r="D554" s="2" t="s">
        <v>12</v>
      </c>
      <c r="E554" s="2" t="s">
        <v>12</v>
      </c>
      <c r="F554" s="2" t="s">
        <v>12</v>
      </c>
      <c r="G554" s="2" t="s">
        <v>12</v>
      </c>
      <c r="H554" s="2" t="s">
        <v>12</v>
      </c>
      <c r="I554" s="2" t="s">
        <v>12</v>
      </c>
      <c r="J554" s="2" t="s">
        <v>12</v>
      </c>
      <c r="K554" s="2" t="s">
        <v>12</v>
      </c>
    </row>
    <row r="555" spans="1:11" ht="12.5" x14ac:dyDescent="0.25">
      <c r="A555" s="3" t="e">
        <f ca="1"/>
        <v>#NAME?</v>
      </c>
      <c r="B555" s="2" t="s">
        <v>12</v>
      </c>
      <c r="C555" s="2" t="s">
        <v>12</v>
      </c>
      <c r="D555" s="2" t="s">
        <v>12</v>
      </c>
      <c r="E555" s="2" t="s">
        <v>12</v>
      </c>
      <c r="F555" s="2" t="s">
        <v>12</v>
      </c>
      <c r="G555" s="2" t="s">
        <v>12</v>
      </c>
      <c r="H555" s="2" t="s">
        <v>12</v>
      </c>
      <c r="I555" s="2" t="s">
        <v>12</v>
      </c>
      <c r="J555" s="2" t="s">
        <v>12</v>
      </c>
      <c r="K555" s="2" t="s">
        <v>12</v>
      </c>
    </row>
    <row r="556" spans="1:11" ht="12.5" x14ac:dyDescent="0.25">
      <c r="A556" s="3" t="e">
        <f ca="1"/>
        <v>#NAME?</v>
      </c>
      <c r="B556" s="2" t="s">
        <v>12</v>
      </c>
      <c r="C556" s="2" t="s">
        <v>12</v>
      </c>
      <c r="D556" s="2" t="s">
        <v>12</v>
      </c>
      <c r="E556" s="2" t="s">
        <v>12</v>
      </c>
      <c r="F556" s="2" t="s">
        <v>12</v>
      </c>
      <c r="G556" s="2" t="s">
        <v>12</v>
      </c>
      <c r="H556" s="2" t="s">
        <v>12</v>
      </c>
      <c r="I556" s="2" t="s">
        <v>12</v>
      </c>
      <c r="J556" s="2" t="s">
        <v>12</v>
      </c>
      <c r="K556" s="2" t="s">
        <v>12</v>
      </c>
    </row>
    <row r="557" spans="1:11" ht="12.5" x14ac:dyDescent="0.25">
      <c r="A557" s="3" t="e">
        <f ca="1"/>
        <v>#NAME?</v>
      </c>
      <c r="B557" s="2" t="s">
        <v>12</v>
      </c>
      <c r="C557" s="2" t="s">
        <v>12</v>
      </c>
      <c r="D557" s="2" t="s">
        <v>12</v>
      </c>
      <c r="E557" s="2" t="s">
        <v>12</v>
      </c>
      <c r="F557" s="2" t="s">
        <v>12</v>
      </c>
      <c r="G557" s="2" t="s">
        <v>12</v>
      </c>
      <c r="H557" s="2" t="s">
        <v>12</v>
      </c>
      <c r="I557" s="2" t="s">
        <v>12</v>
      </c>
      <c r="J557" s="2" t="s">
        <v>12</v>
      </c>
      <c r="K557" s="2" t="s">
        <v>12</v>
      </c>
    </row>
    <row r="558" spans="1:11" ht="12.5" x14ac:dyDescent="0.25">
      <c r="A558" s="3" t="e">
        <f ca="1"/>
        <v>#NAME?</v>
      </c>
      <c r="B558" s="2" t="s">
        <v>12</v>
      </c>
      <c r="C558" s="2" t="s">
        <v>12</v>
      </c>
      <c r="D558" s="2" t="s">
        <v>12</v>
      </c>
      <c r="E558" s="2" t="s">
        <v>12</v>
      </c>
      <c r="F558" s="2" t="s">
        <v>12</v>
      </c>
      <c r="G558" s="2" t="s">
        <v>12</v>
      </c>
      <c r="H558" s="2" t="s">
        <v>12</v>
      </c>
      <c r="I558" s="2" t="s">
        <v>12</v>
      </c>
      <c r="J558" s="2" t="s">
        <v>12</v>
      </c>
      <c r="K558" s="2" t="s">
        <v>12</v>
      </c>
    </row>
    <row r="559" spans="1:11" ht="12.5" x14ac:dyDescent="0.25">
      <c r="A559" s="3" t="e">
        <f ca="1"/>
        <v>#NAME?</v>
      </c>
      <c r="B559" s="2" t="s">
        <v>12</v>
      </c>
      <c r="C559" s="2" t="s">
        <v>12</v>
      </c>
      <c r="D559" s="2" t="s">
        <v>12</v>
      </c>
      <c r="E559" s="2" t="s">
        <v>12</v>
      </c>
      <c r="F559" s="2" t="s">
        <v>12</v>
      </c>
      <c r="G559" s="2" t="s">
        <v>12</v>
      </c>
      <c r="H559" s="2" t="s">
        <v>12</v>
      </c>
      <c r="I559" s="2" t="s">
        <v>12</v>
      </c>
      <c r="J559" s="2" t="s">
        <v>12</v>
      </c>
      <c r="K559" s="2" t="s">
        <v>12</v>
      </c>
    </row>
    <row r="560" spans="1:11" ht="12.5" x14ac:dyDescent="0.25">
      <c r="A560" s="3" t="e">
        <f ca="1"/>
        <v>#NAME?</v>
      </c>
      <c r="B560" s="2" t="s">
        <v>12</v>
      </c>
      <c r="C560" s="2" t="s">
        <v>12</v>
      </c>
      <c r="D560" s="2" t="s">
        <v>12</v>
      </c>
      <c r="E560" s="2" t="s">
        <v>12</v>
      </c>
      <c r="F560" s="2" t="s">
        <v>12</v>
      </c>
      <c r="G560" s="2" t="s">
        <v>12</v>
      </c>
      <c r="H560" s="2" t="s">
        <v>12</v>
      </c>
      <c r="I560" s="2" t="s">
        <v>12</v>
      </c>
      <c r="J560" s="2" t="s">
        <v>12</v>
      </c>
      <c r="K560" s="2" t="s">
        <v>12</v>
      </c>
    </row>
    <row r="561" spans="1:11" ht="12.5" x14ac:dyDescent="0.25">
      <c r="A561" s="3" t="e">
        <f ca="1"/>
        <v>#NAME?</v>
      </c>
      <c r="B561" s="2" t="s">
        <v>12</v>
      </c>
      <c r="C561" s="2" t="s">
        <v>12</v>
      </c>
      <c r="D561" s="2" t="s">
        <v>12</v>
      </c>
      <c r="E561" s="2" t="s">
        <v>12</v>
      </c>
      <c r="F561" s="2" t="s">
        <v>12</v>
      </c>
      <c r="G561" s="2" t="s">
        <v>12</v>
      </c>
      <c r="H561" s="2" t="s">
        <v>12</v>
      </c>
      <c r="I561" s="2" t="s">
        <v>12</v>
      </c>
      <c r="J561" s="2" t="s">
        <v>12</v>
      </c>
      <c r="K561" s="2" t="s">
        <v>12</v>
      </c>
    </row>
    <row r="562" spans="1:11" ht="12.5" x14ac:dyDescent="0.25">
      <c r="A562" s="3" t="e">
        <f ca="1"/>
        <v>#NAME?</v>
      </c>
      <c r="B562" s="2" t="s">
        <v>12</v>
      </c>
      <c r="C562" s="2" t="s">
        <v>12</v>
      </c>
      <c r="D562" s="2" t="s">
        <v>12</v>
      </c>
      <c r="E562" s="2" t="s">
        <v>12</v>
      </c>
      <c r="F562" s="2" t="s">
        <v>12</v>
      </c>
      <c r="G562" s="2" t="s">
        <v>12</v>
      </c>
      <c r="H562" s="2" t="s">
        <v>12</v>
      </c>
      <c r="I562" s="2" t="s">
        <v>12</v>
      </c>
      <c r="J562" s="2" t="s">
        <v>12</v>
      </c>
      <c r="K562" s="2" t="s">
        <v>12</v>
      </c>
    </row>
    <row r="563" spans="1:11" ht="12.5" x14ac:dyDescent="0.25">
      <c r="A563" s="3" t="e">
        <f ca="1"/>
        <v>#NAME?</v>
      </c>
      <c r="B563" s="2" t="s">
        <v>12</v>
      </c>
      <c r="C563" s="2" t="s">
        <v>12</v>
      </c>
      <c r="D563" s="2" t="s">
        <v>12</v>
      </c>
      <c r="E563" s="2" t="s">
        <v>12</v>
      </c>
      <c r="F563" s="2" t="s">
        <v>12</v>
      </c>
      <c r="G563" s="2" t="s">
        <v>12</v>
      </c>
      <c r="H563" s="2" t="s">
        <v>12</v>
      </c>
      <c r="I563" s="2" t="s">
        <v>12</v>
      </c>
      <c r="J563" s="2" t="s">
        <v>12</v>
      </c>
      <c r="K563" s="2" t="s">
        <v>12</v>
      </c>
    </row>
    <row r="564" spans="1:11" ht="12.5" x14ac:dyDescent="0.25">
      <c r="A564" s="3" t="e">
        <f ca="1"/>
        <v>#NAME?</v>
      </c>
      <c r="B564" s="2" t="s">
        <v>12</v>
      </c>
      <c r="C564" s="2" t="s">
        <v>12</v>
      </c>
      <c r="D564" s="2" t="s">
        <v>12</v>
      </c>
      <c r="E564" s="2" t="s">
        <v>12</v>
      </c>
      <c r="F564" s="2" t="s">
        <v>12</v>
      </c>
      <c r="G564" s="2" t="s">
        <v>12</v>
      </c>
      <c r="H564" s="2" t="s">
        <v>12</v>
      </c>
      <c r="I564" s="2" t="s">
        <v>12</v>
      </c>
      <c r="J564" s="2" t="s">
        <v>12</v>
      </c>
      <c r="K564" s="2" t="s">
        <v>12</v>
      </c>
    </row>
    <row r="565" spans="1:11" ht="12.5" x14ac:dyDescent="0.25">
      <c r="A565" s="3" t="e">
        <f ca="1"/>
        <v>#NAME?</v>
      </c>
      <c r="B565" s="2" t="s">
        <v>12</v>
      </c>
      <c r="C565" s="2" t="s">
        <v>12</v>
      </c>
      <c r="D565" s="2" t="s">
        <v>12</v>
      </c>
      <c r="E565" s="2" t="s">
        <v>12</v>
      </c>
      <c r="F565" s="2" t="s">
        <v>12</v>
      </c>
      <c r="G565" s="2" t="s">
        <v>12</v>
      </c>
      <c r="H565" s="2" t="s">
        <v>12</v>
      </c>
      <c r="I565" s="2" t="s">
        <v>12</v>
      </c>
      <c r="J565" s="2" t="s">
        <v>12</v>
      </c>
      <c r="K565" s="2" t="s">
        <v>12</v>
      </c>
    </row>
    <row r="566" spans="1:11" ht="12.5" x14ac:dyDescent="0.25">
      <c r="A566" s="3" t="e">
        <f ca="1"/>
        <v>#NAME?</v>
      </c>
      <c r="B566" s="2" t="s">
        <v>12</v>
      </c>
      <c r="C566" s="2" t="s">
        <v>12</v>
      </c>
      <c r="D566" s="2" t="s">
        <v>12</v>
      </c>
      <c r="E566" s="2" t="s">
        <v>12</v>
      </c>
      <c r="F566" s="2" t="s">
        <v>12</v>
      </c>
      <c r="G566" s="2" t="s">
        <v>12</v>
      </c>
      <c r="H566" s="2" t="s">
        <v>12</v>
      </c>
      <c r="I566" s="2" t="s">
        <v>12</v>
      </c>
      <c r="J566" s="2" t="s">
        <v>12</v>
      </c>
      <c r="K566" s="2" t="s">
        <v>12</v>
      </c>
    </row>
    <row r="567" spans="1:11" ht="12.5" x14ac:dyDescent="0.25">
      <c r="A567" s="3" t="e">
        <f ca="1"/>
        <v>#NAME?</v>
      </c>
      <c r="B567" s="2" t="s">
        <v>12</v>
      </c>
      <c r="C567" s="2" t="s">
        <v>12</v>
      </c>
      <c r="D567" s="2" t="s">
        <v>12</v>
      </c>
      <c r="E567" s="2" t="s">
        <v>12</v>
      </c>
      <c r="F567" s="2" t="s">
        <v>12</v>
      </c>
      <c r="G567" s="2" t="s">
        <v>12</v>
      </c>
      <c r="H567" s="2" t="s">
        <v>12</v>
      </c>
      <c r="I567" s="2" t="s">
        <v>12</v>
      </c>
      <c r="J567" s="2" t="s">
        <v>12</v>
      </c>
      <c r="K567" s="2" t="s">
        <v>12</v>
      </c>
    </row>
    <row r="568" spans="1:11" ht="12.5" x14ac:dyDescent="0.25">
      <c r="A568" s="3" t="e">
        <f ca="1"/>
        <v>#NAME?</v>
      </c>
      <c r="B568" s="2" t="s">
        <v>12</v>
      </c>
      <c r="C568" s="2" t="s">
        <v>12</v>
      </c>
      <c r="D568" s="2" t="s">
        <v>12</v>
      </c>
      <c r="E568" s="2" t="s">
        <v>12</v>
      </c>
      <c r="F568" s="2" t="s">
        <v>12</v>
      </c>
      <c r="G568" s="2" t="s">
        <v>12</v>
      </c>
      <c r="H568" s="2" t="s">
        <v>12</v>
      </c>
      <c r="I568" s="2" t="s">
        <v>12</v>
      </c>
      <c r="J568" s="2" t="s">
        <v>12</v>
      </c>
      <c r="K568" s="2" t="s">
        <v>12</v>
      </c>
    </row>
    <row r="569" spans="1:11" ht="12.5" x14ac:dyDescent="0.25">
      <c r="A569" s="3" t="e">
        <f ca="1"/>
        <v>#NAME?</v>
      </c>
      <c r="B569" s="2" t="s">
        <v>12</v>
      </c>
      <c r="C569" s="2" t="s">
        <v>12</v>
      </c>
      <c r="D569" s="2" t="s">
        <v>12</v>
      </c>
      <c r="E569" s="2" t="s">
        <v>12</v>
      </c>
      <c r="F569" s="2" t="s">
        <v>12</v>
      </c>
      <c r="G569" s="2" t="s">
        <v>12</v>
      </c>
      <c r="H569" s="2" t="s">
        <v>12</v>
      </c>
      <c r="I569" s="2" t="s">
        <v>12</v>
      </c>
      <c r="J569" s="2" t="s">
        <v>12</v>
      </c>
      <c r="K569" s="2" t="s">
        <v>12</v>
      </c>
    </row>
    <row r="570" spans="1:11" ht="12.5" x14ac:dyDescent="0.25">
      <c r="A570" s="3" t="e">
        <f ca="1"/>
        <v>#NAME?</v>
      </c>
      <c r="B570" s="2" t="s">
        <v>12</v>
      </c>
      <c r="C570" s="2" t="s">
        <v>12</v>
      </c>
      <c r="D570" s="2" t="s">
        <v>12</v>
      </c>
      <c r="E570" s="2" t="s">
        <v>12</v>
      </c>
      <c r="F570" s="2" t="s">
        <v>12</v>
      </c>
      <c r="G570" s="2" t="s">
        <v>12</v>
      </c>
      <c r="H570" s="2" t="s">
        <v>12</v>
      </c>
      <c r="I570" s="2" t="s">
        <v>12</v>
      </c>
      <c r="J570" s="2" t="s">
        <v>12</v>
      </c>
      <c r="K570" s="2" t="s">
        <v>12</v>
      </c>
    </row>
    <row r="571" spans="1:11" ht="12.5" x14ac:dyDescent="0.25">
      <c r="A571" s="3" t="e">
        <f ca="1"/>
        <v>#NAME?</v>
      </c>
      <c r="B571" s="2" t="s">
        <v>12</v>
      </c>
      <c r="C571" s="2" t="s">
        <v>12</v>
      </c>
      <c r="D571" s="2" t="s">
        <v>12</v>
      </c>
      <c r="E571" s="2" t="s">
        <v>12</v>
      </c>
      <c r="F571" s="2" t="s">
        <v>12</v>
      </c>
      <c r="G571" s="2" t="s">
        <v>12</v>
      </c>
      <c r="H571" s="2" t="s">
        <v>12</v>
      </c>
      <c r="I571" s="2" t="s">
        <v>12</v>
      </c>
      <c r="J571" s="2" t="s">
        <v>12</v>
      </c>
      <c r="K571" s="2" t="s">
        <v>12</v>
      </c>
    </row>
    <row r="572" spans="1:11" ht="12.5" x14ac:dyDescent="0.25">
      <c r="A572" s="3" t="e">
        <f ca="1"/>
        <v>#NAME?</v>
      </c>
      <c r="B572" s="2" t="s">
        <v>12</v>
      </c>
      <c r="C572" s="2" t="s">
        <v>12</v>
      </c>
      <c r="D572" s="2" t="s">
        <v>12</v>
      </c>
      <c r="E572" s="2" t="s">
        <v>12</v>
      </c>
      <c r="F572" s="2" t="s">
        <v>12</v>
      </c>
      <c r="G572" s="2" t="s">
        <v>12</v>
      </c>
      <c r="H572" s="2" t="s">
        <v>12</v>
      </c>
      <c r="I572" s="2" t="s">
        <v>12</v>
      </c>
      <c r="J572" s="2" t="s">
        <v>12</v>
      </c>
      <c r="K572" s="2" t="s">
        <v>12</v>
      </c>
    </row>
    <row r="573" spans="1:11" ht="12.5" x14ac:dyDescent="0.25">
      <c r="A573" s="3" t="e">
        <f ca="1"/>
        <v>#NAME?</v>
      </c>
      <c r="B573" s="2" t="s">
        <v>12</v>
      </c>
      <c r="C573" s="2" t="s">
        <v>12</v>
      </c>
      <c r="D573" s="2" t="s">
        <v>12</v>
      </c>
      <c r="E573" s="2" t="s">
        <v>12</v>
      </c>
      <c r="F573" s="2" t="s">
        <v>12</v>
      </c>
      <c r="G573" s="2" t="s">
        <v>12</v>
      </c>
      <c r="H573" s="2" t="s">
        <v>12</v>
      </c>
      <c r="I573" s="2" t="s">
        <v>12</v>
      </c>
      <c r="J573" s="2" t="s">
        <v>12</v>
      </c>
      <c r="K573" s="2" t="s">
        <v>12</v>
      </c>
    </row>
    <row r="574" spans="1:11" ht="12.5" x14ac:dyDescent="0.25">
      <c r="A574" s="3" t="e">
        <f ca="1"/>
        <v>#NAME?</v>
      </c>
      <c r="B574" s="2" t="s">
        <v>12</v>
      </c>
      <c r="C574" s="2" t="s">
        <v>12</v>
      </c>
      <c r="D574" s="2" t="s">
        <v>12</v>
      </c>
      <c r="E574" s="2" t="s">
        <v>12</v>
      </c>
      <c r="F574" s="2" t="s">
        <v>12</v>
      </c>
      <c r="G574" s="2" t="s">
        <v>12</v>
      </c>
      <c r="H574" s="2" t="s">
        <v>12</v>
      </c>
      <c r="I574" s="2" t="s">
        <v>12</v>
      </c>
      <c r="J574" s="2" t="s">
        <v>12</v>
      </c>
      <c r="K574" s="2" t="s">
        <v>12</v>
      </c>
    </row>
    <row r="575" spans="1:11" ht="12.5" x14ac:dyDescent="0.25">
      <c r="A575" s="3" t="e">
        <f ca="1"/>
        <v>#NAME?</v>
      </c>
      <c r="B575" s="2" t="s">
        <v>12</v>
      </c>
      <c r="C575" s="2" t="s">
        <v>12</v>
      </c>
      <c r="D575" s="2" t="s">
        <v>12</v>
      </c>
      <c r="E575" s="2" t="s">
        <v>12</v>
      </c>
      <c r="F575" s="2" t="s">
        <v>12</v>
      </c>
      <c r="G575" s="2" t="s">
        <v>12</v>
      </c>
      <c r="H575" s="2" t="s">
        <v>12</v>
      </c>
      <c r="I575" s="2" t="s">
        <v>12</v>
      </c>
      <c r="J575" s="2" t="s">
        <v>12</v>
      </c>
      <c r="K575" s="2" t="s">
        <v>12</v>
      </c>
    </row>
    <row r="576" spans="1:11" ht="12.5" x14ac:dyDescent="0.25">
      <c r="A576" s="3" t="e">
        <f ca="1"/>
        <v>#NAME?</v>
      </c>
      <c r="B576" s="2" t="s">
        <v>12</v>
      </c>
      <c r="C576" s="2" t="s">
        <v>12</v>
      </c>
      <c r="D576" s="2" t="s">
        <v>12</v>
      </c>
      <c r="E576" s="2" t="s">
        <v>12</v>
      </c>
      <c r="F576" s="2" t="s">
        <v>12</v>
      </c>
      <c r="G576" s="2" t="s">
        <v>12</v>
      </c>
      <c r="H576" s="2" t="s">
        <v>12</v>
      </c>
      <c r="I576" s="2" t="s">
        <v>12</v>
      </c>
      <c r="J576" s="2" t="s">
        <v>12</v>
      </c>
      <c r="K576" s="2" t="s">
        <v>12</v>
      </c>
    </row>
    <row r="577" spans="1:11" ht="12.5" x14ac:dyDescent="0.25">
      <c r="A577" s="3" t="e">
        <f ca="1"/>
        <v>#NAME?</v>
      </c>
      <c r="B577" s="2" t="s">
        <v>12</v>
      </c>
      <c r="C577" s="2" t="s">
        <v>12</v>
      </c>
      <c r="D577" s="2" t="s">
        <v>12</v>
      </c>
      <c r="E577" s="2" t="s">
        <v>12</v>
      </c>
      <c r="F577" s="2" t="s">
        <v>12</v>
      </c>
      <c r="G577" s="2" t="s">
        <v>12</v>
      </c>
      <c r="H577" s="2" t="s">
        <v>12</v>
      </c>
      <c r="I577" s="2" t="s">
        <v>12</v>
      </c>
      <c r="J577" s="2" t="s">
        <v>12</v>
      </c>
      <c r="K577" s="2" t="s">
        <v>12</v>
      </c>
    </row>
    <row r="578" spans="1:11" ht="12.5" x14ac:dyDescent="0.25">
      <c r="A578" s="3" t="e">
        <f ca="1"/>
        <v>#NAME?</v>
      </c>
      <c r="B578" s="2" t="s">
        <v>12</v>
      </c>
      <c r="C578" s="2" t="s">
        <v>12</v>
      </c>
      <c r="D578" s="2" t="s">
        <v>12</v>
      </c>
      <c r="E578" s="2" t="s">
        <v>12</v>
      </c>
      <c r="F578" s="2" t="s">
        <v>12</v>
      </c>
      <c r="G578" s="2" t="s">
        <v>12</v>
      </c>
      <c r="H578" s="2" t="s">
        <v>12</v>
      </c>
      <c r="I578" s="2" t="s">
        <v>12</v>
      </c>
      <c r="J578" s="2" t="s">
        <v>12</v>
      </c>
      <c r="K578" s="2" t="s">
        <v>12</v>
      </c>
    </row>
    <row r="579" spans="1:11" ht="12.5" x14ac:dyDescent="0.25">
      <c r="A579" s="3" t="e">
        <f ca="1"/>
        <v>#NAME?</v>
      </c>
      <c r="B579" s="2" t="s">
        <v>12</v>
      </c>
      <c r="C579" s="2" t="s">
        <v>12</v>
      </c>
      <c r="D579" s="2" t="s">
        <v>12</v>
      </c>
      <c r="E579" s="2" t="s">
        <v>12</v>
      </c>
      <c r="F579" s="2" t="s">
        <v>12</v>
      </c>
      <c r="G579" s="2" t="s">
        <v>12</v>
      </c>
      <c r="H579" s="2" t="s">
        <v>12</v>
      </c>
      <c r="I579" s="2" t="s">
        <v>12</v>
      </c>
      <c r="J579" s="2" t="s">
        <v>12</v>
      </c>
      <c r="K579" s="2" t="s">
        <v>12</v>
      </c>
    </row>
    <row r="580" spans="1:11" ht="12.5" x14ac:dyDescent="0.25">
      <c r="A580" s="3" t="e">
        <f ca="1"/>
        <v>#NAME?</v>
      </c>
      <c r="B580" s="2" t="s">
        <v>12</v>
      </c>
      <c r="C580" s="2" t="s">
        <v>12</v>
      </c>
      <c r="D580" s="2" t="s">
        <v>12</v>
      </c>
      <c r="E580" s="2" t="s">
        <v>12</v>
      </c>
      <c r="F580" s="2" t="s">
        <v>12</v>
      </c>
      <c r="G580" s="2" t="s">
        <v>12</v>
      </c>
      <c r="H580" s="2" t="s">
        <v>12</v>
      </c>
      <c r="I580" s="2" t="s">
        <v>12</v>
      </c>
      <c r="J580" s="2" t="s">
        <v>12</v>
      </c>
      <c r="K580" s="2" t="s">
        <v>12</v>
      </c>
    </row>
    <row r="581" spans="1:11" ht="12.5" x14ac:dyDescent="0.25">
      <c r="A581" s="3" t="e">
        <f ca="1"/>
        <v>#NAME?</v>
      </c>
      <c r="B581" s="2" t="s">
        <v>12</v>
      </c>
      <c r="C581" s="2" t="s">
        <v>12</v>
      </c>
      <c r="D581" s="2" t="s">
        <v>12</v>
      </c>
      <c r="E581" s="2" t="s">
        <v>12</v>
      </c>
      <c r="F581" s="2" t="s">
        <v>12</v>
      </c>
      <c r="G581" s="2" t="s">
        <v>12</v>
      </c>
      <c r="H581" s="2" t="s">
        <v>12</v>
      </c>
      <c r="I581" s="2" t="s">
        <v>12</v>
      </c>
      <c r="J581" s="2" t="s">
        <v>12</v>
      </c>
      <c r="K581" s="2" t="s">
        <v>12</v>
      </c>
    </row>
    <row r="582" spans="1:11" ht="12.5" x14ac:dyDescent="0.25">
      <c r="A582" s="3" t="e">
        <f ca="1"/>
        <v>#NAME?</v>
      </c>
      <c r="B582" s="2" t="s">
        <v>12</v>
      </c>
      <c r="C582" s="2" t="s">
        <v>12</v>
      </c>
      <c r="D582" s="2" t="s">
        <v>12</v>
      </c>
      <c r="E582" s="2" t="s">
        <v>12</v>
      </c>
      <c r="F582" s="2" t="s">
        <v>12</v>
      </c>
      <c r="G582" s="2" t="s">
        <v>12</v>
      </c>
      <c r="H582" s="2" t="s">
        <v>12</v>
      </c>
      <c r="I582" s="2" t="s">
        <v>12</v>
      </c>
      <c r="J582" s="2" t="s">
        <v>12</v>
      </c>
      <c r="K582" s="2" t="s">
        <v>12</v>
      </c>
    </row>
    <row r="583" spans="1:11" ht="12.5" x14ac:dyDescent="0.25">
      <c r="A583" s="3" t="e">
        <f ca="1"/>
        <v>#NAME?</v>
      </c>
      <c r="B583" s="2" t="s">
        <v>12</v>
      </c>
      <c r="C583" s="2" t="s">
        <v>12</v>
      </c>
      <c r="D583" s="2" t="s">
        <v>12</v>
      </c>
      <c r="E583" s="2" t="s">
        <v>12</v>
      </c>
      <c r="F583" s="2" t="s">
        <v>12</v>
      </c>
      <c r="G583" s="2" t="s">
        <v>12</v>
      </c>
      <c r="H583" s="2" t="s">
        <v>12</v>
      </c>
      <c r="I583" s="2" t="s">
        <v>12</v>
      </c>
      <c r="J583" s="2" t="s">
        <v>12</v>
      </c>
      <c r="K583" s="2" t="s">
        <v>12</v>
      </c>
    </row>
    <row r="584" spans="1:11" ht="12.5" x14ac:dyDescent="0.25">
      <c r="A584" s="3" t="e">
        <f ca="1"/>
        <v>#NAME?</v>
      </c>
      <c r="B584" s="2" t="s">
        <v>12</v>
      </c>
      <c r="C584" s="2" t="s">
        <v>12</v>
      </c>
      <c r="D584" s="2" t="s">
        <v>12</v>
      </c>
      <c r="E584" s="2" t="s">
        <v>12</v>
      </c>
      <c r="F584" s="2" t="s">
        <v>12</v>
      </c>
      <c r="G584" s="2" t="s">
        <v>12</v>
      </c>
      <c r="H584" s="2" t="s">
        <v>12</v>
      </c>
      <c r="I584" s="2" t="s">
        <v>12</v>
      </c>
      <c r="J584" s="2" t="s">
        <v>12</v>
      </c>
      <c r="K584" s="2" t="s">
        <v>12</v>
      </c>
    </row>
    <row r="585" spans="1:11" ht="12.5" x14ac:dyDescent="0.25">
      <c r="A585" s="3" t="e">
        <f ca="1"/>
        <v>#NAME?</v>
      </c>
      <c r="B585" s="2" t="s">
        <v>12</v>
      </c>
      <c r="C585" s="2" t="s">
        <v>12</v>
      </c>
      <c r="D585" s="2" t="s">
        <v>12</v>
      </c>
      <c r="E585" s="2" t="s">
        <v>12</v>
      </c>
      <c r="F585" s="2" t="s">
        <v>12</v>
      </c>
      <c r="G585" s="2" t="s">
        <v>12</v>
      </c>
      <c r="H585" s="2" t="s">
        <v>12</v>
      </c>
      <c r="I585" s="2" t="s">
        <v>12</v>
      </c>
      <c r="J585" s="2" t="s">
        <v>12</v>
      </c>
      <c r="K585" s="2" t="s">
        <v>12</v>
      </c>
    </row>
    <row r="586" spans="1:11" ht="12.5" x14ac:dyDescent="0.25">
      <c r="A586" s="3" t="e">
        <f ca="1"/>
        <v>#NAME?</v>
      </c>
      <c r="B586" s="2" t="s">
        <v>12</v>
      </c>
      <c r="C586" s="2" t="s">
        <v>12</v>
      </c>
      <c r="D586" s="2" t="s">
        <v>12</v>
      </c>
      <c r="E586" s="2" t="s">
        <v>12</v>
      </c>
      <c r="F586" s="2" t="s">
        <v>12</v>
      </c>
      <c r="G586" s="2" t="s">
        <v>12</v>
      </c>
      <c r="H586" s="2" t="s">
        <v>12</v>
      </c>
      <c r="I586" s="2" t="s">
        <v>12</v>
      </c>
      <c r="J586" s="2" t="s">
        <v>12</v>
      </c>
      <c r="K586" s="2" t="s">
        <v>12</v>
      </c>
    </row>
    <row r="587" spans="1:11" ht="12.5" x14ac:dyDescent="0.25">
      <c r="A587" s="3" t="e">
        <f ca="1"/>
        <v>#NAME?</v>
      </c>
      <c r="B587" s="2" t="s">
        <v>12</v>
      </c>
      <c r="C587" s="2" t="s">
        <v>12</v>
      </c>
      <c r="D587" s="2" t="s">
        <v>12</v>
      </c>
      <c r="E587" s="2" t="s">
        <v>12</v>
      </c>
      <c r="F587" s="2" t="s">
        <v>12</v>
      </c>
      <c r="G587" s="2" t="s">
        <v>12</v>
      </c>
      <c r="H587" s="2" t="s">
        <v>12</v>
      </c>
      <c r="I587" s="2" t="s">
        <v>12</v>
      </c>
      <c r="J587" s="2" t="s">
        <v>12</v>
      </c>
      <c r="K587" s="2" t="s">
        <v>12</v>
      </c>
    </row>
    <row r="588" spans="1:11" ht="12.5" x14ac:dyDescent="0.25">
      <c r="A588" s="3" t="e">
        <f ca="1"/>
        <v>#NAME?</v>
      </c>
      <c r="B588" s="2" t="s">
        <v>12</v>
      </c>
      <c r="C588" s="2" t="s">
        <v>12</v>
      </c>
      <c r="D588" s="2" t="s">
        <v>12</v>
      </c>
      <c r="E588" s="2" t="s">
        <v>12</v>
      </c>
      <c r="F588" s="2" t="s">
        <v>12</v>
      </c>
      <c r="G588" s="2" t="s">
        <v>12</v>
      </c>
      <c r="H588" s="2" t="s">
        <v>12</v>
      </c>
      <c r="I588" s="2" t="s">
        <v>12</v>
      </c>
      <c r="J588" s="2" t="s">
        <v>12</v>
      </c>
      <c r="K588" s="2" t="s">
        <v>12</v>
      </c>
    </row>
    <row r="589" spans="1:11" ht="12.5" x14ac:dyDescent="0.25">
      <c r="A589" s="3" t="e">
        <f ca="1"/>
        <v>#NAME?</v>
      </c>
      <c r="B589" s="2" t="s">
        <v>12</v>
      </c>
      <c r="C589" s="2" t="s">
        <v>12</v>
      </c>
      <c r="D589" s="2" t="s">
        <v>12</v>
      </c>
      <c r="E589" s="2" t="s">
        <v>12</v>
      </c>
      <c r="F589" s="2" t="s">
        <v>12</v>
      </c>
      <c r="G589" s="2" t="s">
        <v>12</v>
      </c>
      <c r="H589" s="2" t="s">
        <v>12</v>
      </c>
      <c r="I589" s="2" t="s">
        <v>12</v>
      </c>
      <c r="J589" s="2" t="s">
        <v>12</v>
      </c>
      <c r="K589" s="2" t="s">
        <v>12</v>
      </c>
    </row>
    <row r="590" spans="1:11" ht="12.5" x14ac:dyDescent="0.25">
      <c r="A590" s="3" t="e">
        <f ca="1"/>
        <v>#NAME?</v>
      </c>
      <c r="B590" s="2" t="s">
        <v>12</v>
      </c>
      <c r="C590" s="2" t="s">
        <v>12</v>
      </c>
      <c r="D590" s="2" t="s">
        <v>12</v>
      </c>
      <c r="E590" s="2" t="s">
        <v>12</v>
      </c>
      <c r="F590" s="2" t="s">
        <v>12</v>
      </c>
      <c r="G590" s="2" t="s">
        <v>12</v>
      </c>
      <c r="H590" s="2" t="s">
        <v>12</v>
      </c>
      <c r="I590" s="2" t="s">
        <v>12</v>
      </c>
      <c r="J590" s="2" t="s">
        <v>12</v>
      </c>
      <c r="K590" s="2" t="s">
        <v>12</v>
      </c>
    </row>
    <row r="591" spans="1:11" ht="12.5" x14ac:dyDescent="0.25">
      <c r="A591" s="3" t="e">
        <f ca="1"/>
        <v>#NAME?</v>
      </c>
      <c r="B591" s="2" t="s">
        <v>12</v>
      </c>
      <c r="C591" s="2" t="s">
        <v>12</v>
      </c>
      <c r="D591" s="2" t="s">
        <v>12</v>
      </c>
      <c r="E591" s="2" t="s">
        <v>12</v>
      </c>
      <c r="F591" s="2" t="s">
        <v>12</v>
      </c>
      <c r="G591" s="2" t="s">
        <v>12</v>
      </c>
      <c r="H591" s="2" t="s">
        <v>12</v>
      </c>
      <c r="I591" s="2" t="s">
        <v>12</v>
      </c>
      <c r="J591" s="2" t="s">
        <v>12</v>
      </c>
      <c r="K591" s="2" t="s">
        <v>12</v>
      </c>
    </row>
    <row r="592" spans="1:11" ht="12.5" x14ac:dyDescent="0.25">
      <c r="A592" s="3" t="e">
        <f ca="1"/>
        <v>#NAME?</v>
      </c>
      <c r="B592" s="2" t="s">
        <v>12</v>
      </c>
      <c r="C592" s="2" t="s">
        <v>12</v>
      </c>
      <c r="D592" s="2" t="s">
        <v>12</v>
      </c>
      <c r="E592" s="2" t="s">
        <v>12</v>
      </c>
      <c r="F592" s="2" t="s">
        <v>12</v>
      </c>
      <c r="G592" s="2" t="s">
        <v>12</v>
      </c>
      <c r="H592" s="2" t="s">
        <v>12</v>
      </c>
      <c r="I592" s="2" t="s">
        <v>12</v>
      </c>
      <c r="J592" s="2" t="s">
        <v>12</v>
      </c>
      <c r="K592" s="2" t="s">
        <v>12</v>
      </c>
    </row>
    <row r="593" spans="1:11" ht="12.5" x14ac:dyDescent="0.25">
      <c r="A593" s="3" t="e">
        <f ca="1"/>
        <v>#NAME?</v>
      </c>
      <c r="B593" s="2" t="s">
        <v>12</v>
      </c>
      <c r="C593" s="2" t="s">
        <v>12</v>
      </c>
      <c r="D593" s="2" t="s">
        <v>12</v>
      </c>
      <c r="E593" s="2" t="s">
        <v>12</v>
      </c>
      <c r="F593" s="2" t="s">
        <v>12</v>
      </c>
      <c r="G593" s="2" t="s">
        <v>12</v>
      </c>
      <c r="H593" s="2" t="s">
        <v>12</v>
      </c>
      <c r="I593" s="2" t="s">
        <v>12</v>
      </c>
      <c r="J593" s="2" t="s">
        <v>12</v>
      </c>
      <c r="K593" s="2" t="s">
        <v>12</v>
      </c>
    </row>
    <row r="594" spans="1:11" ht="12.5" x14ac:dyDescent="0.25">
      <c r="A594" s="3" t="e">
        <f ca="1"/>
        <v>#NAME?</v>
      </c>
      <c r="B594" s="2" t="s">
        <v>12</v>
      </c>
      <c r="C594" s="2" t="s">
        <v>12</v>
      </c>
      <c r="D594" s="2" t="s">
        <v>12</v>
      </c>
      <c r="E594" s="2" t="s">
        <v>12</v>
      </c>
      <c r="F594" s="2" t="s">
        <v>12</v>
      </c>
      <c r="G594" s="2" t="s">
        <v>12</v>
      </c>
      <c r="H594" s="2" t="s">
        <v>12</v>
      </c>
      <c r="I594" s="2" t="s">
        <v>12</v>
      </c>
      <c r="J594" s="2" t="s">
        <v>12</v>
      </c>
      <c r="K594" s="2" t="s">
        <v>12</v>
      </c>
    </row>
    <row r="595" spans="1:11" ht="12.5" x14ac:dyDescent="0.25">
      <c r="A595" s="3" t="e">
        <f ca="1"/>
        <v>#NAME?</v>
      </c>
      <c r="B595" s="2" t="s">
        <v>12</v>
      </c>
      <c r="C595" s="2" t="s">
        <v>12</v>
      </c>
      <c r="D595" s="2" t="s">
        <v>12</v>
      </c>
      <c r="E595" s="2" t="s">
        <v>12</v>
      </c>
      <c r="F595" s="2" t="s">
        <v>12</v>
      </c>
      <c r="G595" s="2" t="s">
        <v>12</v>
      </c>
      <c r="H595" s="2" t="s">
        <v>12</v>
      </c>
      <c r="I595" s="2" t="s">
        <v>12</v>
      </c>
      <c r="J595" s="2" t="s">
        <v>12</v>
      </c>
      <c r="K595" s="2" t="s">
        <v>12</v>
      </c>
    </row>
    <row r="596" spans="1:11" ht="12.5" x14ac:dyDescent="0.25">
      <c r="A596" s="3" t="e">
        <f ca="1"/>
        <v>#NAME?</v>
      </c>
      <c r="B596" s="2" t="s">
        <v>12</v>
      </c>
      <c r="C596" s="2" t="s">
        <v>12</v>
      </c>
      <c r="D596" s="2" t="s">
        <v>12</v>
      </c>
      <c r="E596" s="2" t="s">
        <v>12</v>
      </c>
      <c r="F596" s="2" t="s">
        <v>12</v>
      </c>
      <c r="G596" s="2" t="s">
        <v>12</v>
      </c>
      <c r="H596" s="2" t="s">
        <v>12</v>
      </c>
      <c r="I596" s="2" t="s">
        <v>12</v>
      </c>
      <c r="J596" s="2" t="s">
        <v>12</v>
      </c>
      <c r="K596" s="2" t="s">
        <v>12</v>
      </c>
    </row>
    <row r="597" spans="1:11" ht="12.5" x14ac:dyDescent="0.25">
      <c r="A597" s="3" t="e">
        <f ca="1"/>
        <v>#NAME?</v>
      </c>
      <c r="B597" s="2" t="s">
        <v>12</v>
      </c>
      <c r="C597" s="2" t="s">
        <v>12</v>
      </c>
      <c r="D597" s="2" t="s">
        <v>12</v>
      </c>
      <c r="E597" s="2" t="s">
        <v>12</v>
      </c>
      <c r="F597" s="2" t="s">
        <v>12</v>
      </c>
      <c r="G597" s="2" t="s">
        <v>12</v>
      </c>
      <c r="H597" s="2" t="s">
        <v>12</v>
      </c>
      <c r="I597" s="2" t="s">
        <v>12</v>
      </c>
      <c r="J597" s="2" t="s">
        <v>12</v>
      </c>
      <c r="K597" s="2" t="s">
        <v>12</v>
      </c>
    </row>
    <row r="598" spans="1:11" ht="12.5" x14ac:dyDescent="0.25">
      <c r="A598" s="3" t="e">
        <f ca="1"/>
        <v>#NAME?</v>
      </c>
      <c r="B598" s="2" t="s">
        <v>12</v>
      </c>
      <c r="C598" s="2" t="s">
        <v>12</v>
      </c>
      <c r="D598" s="2" t="s">
        <v>12</v>
      </c>
      <c r="E598" s="2" t="s">
        <v>12</v>
      </c>
      <c r="F598" s="2" t="s">
        <v>12</v>
      </c>
      <c r="G598" s="2" t="s">
        <v>12</v>
      </c>
      <c r="H598" s="2" t="s">
        <v>12</v>
      </c>
      <c r="I598" s="2" t="s">
        <v>12</v>
      </c>
      <c r="J598" s="2" t="s">
        <v>12</v>
      </c>
      <c r="K598" s="2" t="s">
        <v>12</v>
      </c>
    </row>
    <row r="599" spans="1:11" ht="12.5" x14ac:dyDescent="0.25">
      <c r="A599" s="3" t="e">
        <f ca="1"/>
        <v>#NAME?</v>
      </c>
      <c r="B599" s="2" t="s">
        <v>12</v>
      </c>
      <c r="C599" s="2" t="s">
        <v>12</v>
      </c>
      <c r="D599" s="2" t="s">
        <v>12</v>
      </c>
      <c r="E599" s="2" t="s">
        <v>12</v>
      </c>
      <c r="F599" s="2" t="s">
        <v>12</v>
      </c>
      <c r="G599" s="2" t="s">
        <v>12</v>
      </c>
      <c r="H599" s="2" t="s">
        <v>12</v>
      </c>
      <c r="I599" s="2" t="s">
        <v>12</v>
      </c>
      <c r="J599" s="2" t="s">
        <v>12</v>
      </c>
      <c r="K599" s="2" t="s">
        <v>12</v>
      </c>
    </row>
    <row r="600" spans="1:11" ht="12.5" x14ac:dyDescent="0.25">
      <c r="A600" s="3" t="e">
        <f ca="1"/>
        <v>#NAME?</v>
      </c>
      <c r="B600" s="2" t="s">
        <v>12</v>
      </c>
      <c r="C600" s="2" t="s">
        <v>12</v>
      </c>
      <c r="D600" s="2" t="s">
        <v>12</v>
      </c>
      <c r="E600" s="2" t="s">
        <v>12</v>
      </c>
      <c r="F600" s="2" t="s">
        <v>12</v>
      </c>
      <c r="G600" s="2" t="s">
        <v>12</v>
      </c>
      <c r="H600" s="2" t="s">
        <v>12</v>
      </c>
      <c r="I600" s="2" t="s">
        <v>12</v>
      </c>
      <c r="J600" s="2" t="s">
        <v>12</v>
      </c>
      <c r="K600" s="2" t="s">
        <v>12</v>
      </c>
    </row>
    <row r="601" spans="1:11" ht="12.5" x14ac:dyDescent="0.25">
      <c r="A601" s="3" t="e">
        <f ca="1"/>
        <v>#NAME?</v>
      </c>
      <c r="B601" s="2" t="s">
        <v>12</v>
      </c>
      <c r="C601" s="2" t="s">
        <v>12</v>
      </c>
      <c r="D601" s="2" t="s">
        <v>12</v>
      </c>
      <c r="E601" s="2" t="s">
        <v>12</v>
      </c>
      <c r="F601" s="2" t="s">
        <v>12</v>
      </c>
      <c r="G601" s="2" t="s">
        <v>12</v>
      </c>
      <c r="H601" s="2" t="s">
        <v>12</v>
      </c>
      <c r="I601" s="2" t="s">
        <v>12</v>
      </c>
      <c r="J601" s="2" t="s">
        <v>12</v>
      </c>
      <c r="K601" s="2" t="s">
        <v>12</v>
      </c>
    </row>
    <row r="602" spans="1:11" ht="12.5" x14ac:dyDescent="0.25">
      <c r="A602" s="3" t="e">
        <f ca="1"/>
        <v>#NAME?</v>
      </c>
      <c r="B602" s="2" t="s">
        <v>12</v>
      </c>
      <c r="C602" s="2" t="s">
        <v>12</v>
      </c>
      <c r="D602" s="2" t="s">
        <v>12</v>
      </c>
      <c r="E602" s="2" t="s">
        <v>12</v>
      </c>
      <c r="F602" s="2" t="s">
        <v>12</v>
      </c>
      <c r="G602" s="2" t="s">
        <v>12</v>
      </c>
      <c r="H602" s="2" t="s">
        <v>12</v>
      </c>
      <c r="I602" s="2" t="s">
        <v>12</v>
      </c>
      <c r="J602" s="2" t="s">
        <v>12</v>
      </c>
      <c r="K602" s="2" t="s">
        <v>12</v>
      </c>
    </row>
    <row r="603" spans="1:11" ht="12.5" x14ac:dyDescent="0.25">
      <c r="A603" s="3" t="e">
        <f ca="1"/>
        <v>#NAME?</v>
      </c>
      <c r="B603" s="2" t="s">
        <v>12</v>
      </c>
      <c r="C603" s="2" t="s">
        <v>12</v>
      </c>
      <c r="D603" s="2" t="s">
        <v>12</v>
      </c>
      <c r="E603" s="2" t="s">
        <v>12</v>
      </c>
      <c r="F603" s="2" t="s">
        <v>12</v>
      </c>
      <c r="G603" s="2" t="s">
        <v>12</v>
      </c>
      <c r="H603" s="2" t="s">
        <v>12</v>
      </c>
      <c r="I603" s="2" t="s">
        <v>12</v>
      </c>
      <c r="J603" s="2" t="s">
        <v>12</v>
      </c>
      <c r="K603" s="2" t="s">
        <v>12</v>
      </c>
    </row>
    <row r="604" spans="1:11" ht="12.5" x14ac:dyDescent="0.25">
      <c r="A604" s="3" t="e">
        <f ca="1"/>
        <v>#NAME?</v>
      </c>
      <c r="B604" s="2" t="s">
        <v>12</v>
      </c>
      <c r="C604" s="2" t="s">
        <v>12</v>
      </c>
      <c r="D604" s="2" t="s">
        <v>12</v>
      </c>
      <c r="E604" s="2" t="s">
        <v>12</v>
      </c>
      <c r="F604" s="2" t="s">
        <v>12</v>
      </c>
      <c r="G604" s="2" t="s">
        <v>12</v>
      </c>
      <c r="H604" s="2" t="s">
        <v>12</v>
      </c>
      <c r="I604" s="2" t="s">
        <v>12</v>
      </c>
      <c r="J604" s="2" t="s">
        <v>12</v>
      </c>
      <c r="K604" s="2" t="s">
        <v>12</v>
      </c>
    </row>
    <row r="605" spans="1:11" ht="12.5" x14ac:dyDescent="0.25">
      <c r="A605" s="3" t="e">
        <f ca="1"/>
        <v>#NAME?</v>
      </c>
      <c r="B605" s="2" t="s">
        <v>12</v>
      </c>
      <c r="C605" s="2" t="s">
        <v>12</v>
      </c>
      <c r="D605" s="2" t="s">
        <v>12</v>
      </c>
      <c r="E605" s="2" t="s">
        <v>12</v>
      </c>
      <c r="F605" s="2" t="s">
        <v>12</v>
      </c>
      <c r="G605" s="2" t="s">
        <v>12</v>
      </c>
      <c r="H605" s="2" t="s">
        <v>12</v>
      </c>
      <c r="I605" s="2" t="s">
        <v>12</v>
      </c>
      <c r="J605" s="2" t="s">
        <v>12</v>
      </c>
      <c r="K605" s="2" t="s">
        <v>12</v>
      </c>
    </row>
    <row r="606" spans="1:11" ht="12.5" x14ac:dyDescent="0.25">
      <c r="A606" s="3" t="e">
        <f ca="1"/>
        <v>#NAME?</v>
      </c>
      <c r="B606" s="2" t="s">
        <v>12</v>
      </c>
      <c r="C606" s="2" t="s">
        <v>12</v>
      </c>
      <c r="D606" s="2" t="s">
        <v>12</v>
      </c>
      <c r="E606" s="2" t="s">
        <v>12</v>
      </c>
      <c r="F606" s="2" t="s">
        <v>12</v>
      </c>
      <c r="G606" s="2" t="s">
        <v>12</v>
      </c>
      <c r="H606" s="2" t="s">
        <v>12</v>
      </c>
      <c r="I606" s="2" t="s">
        <v>12</v>
      </c>
      <c r="J606" s="2" t="s">
        <v>12</v>
      </c>
      <c r="K606" s="2" t="s">
        <v>12</v>
      </c>
    </row>
    <row r="607" spans="1:11" ht="12.5" x14ac:dyDescent="0.25">
      <c r="A607" s="3" t="e">
        <f ca="1"/>
        <v>#NAME?</v>
      </c>
      <c r="B607" s="2" t="s">
        <v>12</v>
      </c>
      <c r="C607" s="2" t="s">
        <v>12</v>
      </c>
      <c r="D607" s="2" t="s">
        <v>12</v>
      </c>
      <c r="E607" s="2" t="s">
        <v>12</v>
      </c>
      <c r="F607" s="2" t="s">
        <v>12</v>
      </c>
      <c r="G607" s="2" t="s">
        <v>12</v>
      </c>
      <c r="H607" s="2" t="s">
        <v>12</v>
      </c>
      <c r="I607" s="2" t="s">
        <v>12</v>
      </c>
      <c r="J607" s="2" t="s">
        <v>12</v>
      </c>
      <c r="K607" s="2" t="s">
        <v>12</v>
      </c>
    </row>
    <row r="608" spans="1:11" ht="12.5" x14ac:dyDescent="0.25">
      <c r="A608" s="3" t="e">
        <f ca="1"/>
        <v>#NAME?</v>
      </c>
      <c r="B608" s="2" t="s">
        <v>12</v>
      </c>
      <c r="C608" s="2" t="s">
        <v>12</v>
      </c>
      <c r="D608" s="2" t="s">
        <v>12</v>
      </c>
      <c r="E608" s="2" t="s">
        <v>12</v>
      </c>
      <c r="F608" s="2" t="s">
        <v>12</v>
      </c>
      <c r="G608" s="2" t="s">
        <v>12</v>
      </c>
      <c r="H608" s="2" t="s">
        <v>12</v>
      </c>
      <c r="I608" s="2" t="s">
        <v>12</v>
      </c>
      <c r="J608" s="2" t="s">
        <v>12</v>
      </c>
      <c r="K608" s="2" t="s">
        <v>12</v>
      </c>
    </row>
    <row r="609" spans="1:11" ht="12.5" x14ac:dyDescent="0.25">
      <c r="A609" s="3" t="e">
        <f ca="1"/>
        <v>#NAME?</v>
      </c>
      <c r="B609" s="2" t="s">
        <v>12</v>
      </c>
      <c r="C609" s="2" t="s">
        <v>12</v>
      </c>
      <c r="D609" s="2" t="s">
        <v>12</v>
      </c>
      <c r="E609" s="2" t="s">
        <v>12</v>
      </c>
      <c r="F609" s="2" t="s">
        <v>12</v>
      </c>
      <c r="G609" s="2" t="s">
        <v>12</v>
      </c>
      <c r="H609" s="2" t="s">
        <v>12</v>
      </c>
      <c r="I609" s="2" t="s">
        <v>12</v>
      </c>
      <c r="J609" s="2" t="s">
        <v>12</v>
      </c>
      <c r="K609" s="2" t="s">
        <v>12</v>
      </c>
    </row>
    <row r="610" spans="1:11" ht="12.5" x14ac:dyDescent="0.25">
      <c r="A610" s="3" t="e">
        <f ca="1"/>
        <v>#NAME?</v>
      </c>
      <c r="B610" s="2" t="s">
        <v>12</v>
      </c>
      <c r="C610" s="2" t="s">
        <v>12</v>
      </c>
      <c r="D610" s="2" t="s">
        <v>12</v>
      </c>
      <c r="E610" s="2" t="s">
        <v>12</v>
      </c>
      <c r="F610" s="2" t="s">
        <v>12</v>
      </c>
      <c r="G610" s="2" t="s">
        <v>12</v>
      </c>
      <c r="H610" s="2" t="s">
        <v>12</v>
      </c>
      <c r="I610" s="2" t="s">
        <v>12</v>
      </c>
      <c r="J610" s="2" t="s">
        <v>12</v>
      </c>
      <c r="K610" s="2" t="s">
        <v>12</v>
      </c>
    </row>
    <row r="611" spans="1:11" ht="12.5" x14ac:dyDescent="0.25">
      <c r="A611" s="3" t="e">
        <f ca="1"/>
        <v>#NAME?</v>
      </c>
      <c r="B611" s="2" t="s">
        <v>12</v>
      </c>
      <c r="C611" s="2" t="s">
        <v>12</v>
      </c>
      <c r="D611" s="2" t="s">
        <v>12</v>
      </c>
      <c r="E611" s="2" t="s">
        <v>12</v>
      </c>
      <c r="F611" s="2" t="s">
        <v>12</v>
      </c>
      <c r="G611" s="2" t="s">
        <v>12</v>
      </c>
      <c r="H611" s="2" t="s">
        <v>12</v>
      </c>
      <c r="I611" s="2" t="s">
        <v>12</v>
      </c>
      <c r="J611" s="2" t="s">
        <v>12</v>
      </c>
      <c r="K611" s="2" t="s">
        <v>12</v>
      </c>
    </row>
    <row r="612" spans="1:11" ht="12.5" x14ac:dyDescent="0.25">
      <c r="A612" s="3" t="e">
        <f ca="1"/>
        <v>#NAME?</v>
      </c>
      <c r="B612" s="2" t="s">
        <v>12</v>
      </c>
      <c r="C612" s="2" t="s">
        <v>12</v>
      </c>
      <c r="D612" s="2" t="s">
        <v>12</v>
      </c>
      <c r="E612" s="2" t="s">
        <v>12</v>
      </c>
      <c r="F612" s="2" t="s">
        <v>12</v>
      </c>
      <c r="G612" s="2" t="s">
        <v>12</v>
      </c>
      <c r="H612" s="2" t="s">
        <v>12</v>
      </c>
      <c r="I612" s="2" t="s">
        <v>12</v>
      </c>
      <c r="J612" s="2" t="s">
        <v>12</v>
      </c>
      <c r="K612" s="2" t="s">
        <v>12</v>
      </c>
    </row>
    <row r="613" spans="1:11" ht="12.5" x14ac:dyDescent="0.25">
      <c r="A613" s="3" t="e">
        <f ca="1"/>
        <v>#NAME?</v>
      </c>
      <c r="B613" s="2" t="s">
        <v>12</v>
      </c>
      <c r="C613" s="2" t="s">
        <v>12</v>
      </c>
      <c r="D613" s="2" t="s">
        <v>12</v>
      </c>
      <c r="E613" s="2" t="s">
        <v>12</v>
      </c>
      <c r="F613" s="2" t="s">
        <v>12</v>
      </c>
      <c r="G613" s="2" t="s">
        <v>12</v>
      </c>
      <c r="H613" s="2" t="s">
        <v>12</v>
      </c>
      <c r="I613" s="2" t="s">
        <v>12</v>
      </c>
      <c r="J613" s="2" t="s">
        <v>12</v>
      </c>
      <c r="K613" s="2" t="s">
        <v>12</v>
      </c>
    </row>
    <row r="614" spans="1:11" ht="12.5" x14ac:dyDescent="0.25">
      <c r="A614" s="3" t="e">
        <f ca="1"/>
        <v>#NAME?</v>
      </c>
      <c r="B614" s="2" t="s">
        <v>12</v>
      </c>
      <c r="C614" s="2" t="s">
        <v>12</v>
      </c>
      <c r="D614" s="2" t="s">
        <v>12</v>
      </c>
      <c r="E614" s="2" t="s">
        <v>12</v>
      </c>
      <c r="F614" s="2" t="s">
        <v>12</v>
      </c>
      <c r="G614" s="2" t="s">
        <v>12</v>
      </c>
      <c r="H614" s="2" t="s">
        <v>12</v>
      </c>
      <c r="I614" s="2" t="s">
        <v>12</v>
      </c>
      <c r="J614" s="2" t="s">
        <v>12</v>
      </c>
      <c r="K614" s="2" t="s">
        <v>12</v>
      </c>
    </row>
    <row r="615" spans="1:11" ht="12.5" x14ac:dyDescent="0.25">
      <c r="A615" s="3" t="e">
        <f ca="1"/>
        <v>#NAME?</v>
      </c>
      <c r="B615" s="2" t="s">
        <v>12</v>
      </c>
      <c r="C615" s="2" t="s">
        <v>12</v>
      </c>
      <c r="D615" s="2" t="s">
        <v>12</v>
      </c>
      <c r="E615" s="2" t="s">
        <v>12</v>
      </c>
      <c r="F615" s="2" t="s">
        <v>12</v>
      </c>
      <c r="G615" s="2" t="s">
        <v>12</v>
      </c>
      <c r="H615" s="2" t="s">
        <v>12</v>
      </c>
      <c r="I615" s="2" t="s">
        <v>12</v>
      </c>
      <c r="J615" s="2" t="s">
        <v>12</v>
      </c>
      <c r="K615" s="2" t="s">
        <v>12</v>
      </c>
    </row>
    <row r="616" spans="1:11" ht="12.5" x14ac:dyDescent="0.25">
      <c r="A616" s="3" t="e">
        <f ca="1"/>
        <v>#NAME?</v>
      </c>
      <c r="B616" s="2" t="s">
        <v>12</v>
      </c>
      <c r="C616" s="2" t="s">
        <v>12</v>
      </c>
      <c r="D616" s="2" t="s">
        <v>12</v>
      </c>
      <c r="E616" s="2" t="s">
        <v>12</v>
      </c>
      <c r="F616" s="2" t="s">
        <v>12</v>
      </c>
      <c r="G616" s="2" t="s">
        <v>12</v>
      </c>
      <c r="H616" s="2" t="s">
        <v>12</v>
      </c>
      <c r="I616" s="2" t="s">
        <v>12</v>
      </c>
      <c r="J616" s="2" t="s">
        <v>12</v>
      </c>
      <c r="K616" s="2" t="s">
        <v>12</v>
      </c>
    </row>
    <row r="617" spans="1:11" ht="12.5" x14ac:dyDescent="0.25">
      <c r="A617" s="3" t="e">
        <f ca="1"/>
        <v>#NAME?</v>
      </c>
      <c r="B617" s="2" t="s">
        <v>12</v>
      </c>
      <c r="C617" s="2" t="s">
        <v>12</v>
      </c>
      <c r="D617" s="2" t="s">
        <v>12</v>
      </c>
      <c r="E617" s="2" t="s">
        <v>12</v>
      </c>
      <c r="F617" s="2" t="s">
        <v>12</v>
      </c>
      <c r="G617" s="2" t="s">
        <v>12</v>
      </c>
      <c r="H617" s="2" t="s">
        <v>12</v>
      </c>
      <c r="I617" s="2" t="s">
        <v>12</v>
      </c>
      <c r="J617" s="2" t="s">
        <v>12</v>
      </c>
      <c r="K617" s="2" t="s">
        <v>12</v>
      </c>
    </row>
    <row r="618" spans="1:11" ht="12.5" x14ac:dyDescent="0.25">
      <c r="A618" s="3" t="e">
        <f ca="1"/>
        <v>#NAME?</v>
      </c>
      <c r="B618" s="2" t="s">
        <v>12</v>
      </c>
      <c r="C618" s="2" t="s">
        <v>12</v>
      </c>
      <c r="D618" s="2" t="s">
        <v>12</v>
      </c>
      <c r="E618" s="2" t="s">
        <v>12</v>
      </c>
      <c r="F618" s="2" t="s">
        <v>12</v>
      </c>
      <c r="G618" s="2" t="s">
        <v>12</v>
      </c>
      <c r="H618" s="2" t="s">
        <v>12</v>
      </c>
      <c r="I618" s="2" t="s">
        <v>12</v>
      </c>
      <c r="J618" s="2" t="s">
        <v>12</v>
      </c>
      <c r="K618" s="2" t="s">
        <v>12</v>
      </c>
    </row>
    <row r="619" spans="1:11" ht="12.5" x14ac:dyDescent="0.25">
      <c r="A619" s="3" t="e">
        <f ca="1"/>
        <v>#NAME?</v>
      </c>
      <c r="B619" s="2" t="s">
        <v>12</v>
      </c>
      <c r="C619" s="2" t="s">
        <v>12</v>
      </c>
      <c r="D619" s="2" t="s">
        <v>12</v>
      </c>
      <c r="E619" s="2" t="s">
        <v>12</v>
      </c>
      <c r="F619" s="2" t="s">
        <v>12</v>
      </c>
      <c r="G619" s="2" t="s">
        <v>12</v>
      </c>
      <c r="H619" s="2" t="s">
        <v>12</v>
      </c>
      <c r="I619" s="2" t="s">
        <v>12</v>
      </c>
      <c r="J619" s="2" t="s">
        <v>12</v>
      </c>
      <c r="K619" s="2" t="s">
        <v>12</v>
      </c>
    </row>
    <row r="620" spans="1:11" ht="12.5" x14ac:dyDescent="0.25">
      <c r="A620" s="3" t="e">
        <f ca="1"/>
        <v>#NAME?</v>
      </c>
      <c r="B620" s="2" t="s">
        <v>12</v>
      </c>
      <c r="C620" s="2" t="s">
        <v>12</v>
      </c>
      <c r="D620" s="2" t="s">
        <v>12</v>
      </c>
      <c r="E620" s="2" t="s">
        <v>12</v>
      </c>
      <c r="F620" s="2" t="s">
        <v>12</v>
      </c>
      <c r="G620" s="2" t="s">
        <v>12</v>
      </c>
      <c r="H620" s="2" t="s">
        <v>12</v>
      </c>
      <c r="I620" s="2" t="s">
        <v>12</v>
      </c>
      <c r="J620" s="2" t="s">
        <v>12</v>
      </c>
      <c r="K620" s="2" t="s">
        <v>12</v>
      </c>
    </row>
    <row r="621" spans="1:11" ht="12.5" x14ac:dyDescent="0.25">
      <c r="A621" s="3" t="e">
        <f ca="1"/>
        <v>#NAME?</v>
      </c>
      <c r="B621" s="2" t="s">
        <v>12</v>
      </c>
      <c r="C621" s="2" t="s">
        <v>12</v>
      </c>
      <c r="D621" s="2" t="s">
        <v>12</v>
      </c>
      <c r="E621" s="2" t="s">
        <v>12</v>
      </c>
      <c r="F621" s="2" t="s">
        <v>12</v>
      </c>
      <c r="G621" s="2" t="s">
        <v>12</v>
      </c>
      <c r="H621" s="2" t="s">
        <v>12</v>
      </c>
      <c r="I621" s="2" t="s">
        <v>12</v>
      </c>
      <c r="J621" s="2" t="s">
        <v>12</v>
      </c>
      <c r="K621" s="2" t="s">
        <v>12</v>
      </c>
    </row>
    <row r="622" spans="1:11" ht="12.5" x14ac:dyDescent="0.25">
      <c r="A622" s="3" t="e">
        <f ca="1"/>
        <v>#NAME?</v>
      </c>
      <c r="B622" s="2" t="s">
        <v>12</v>
      </c>
      <c r="C622" s="2" t="s">
        <v>12</v>
      </c>
      <c r="D622" s="2" t="s">
        <v>12</v>
      </c>
      <c r="E622" s="2" t="s">
        <v>12</v>
      </c>
      <c r="F622" s="2" t="s">
        <v>12</v>
      </c>
      <c r="G622" s="2" t="s">
        <v>12</v>
      </c>
      <c r="H622" s="2" t="s">
        <v>12</v>
      </c>
      <c r="I622" s="2" t="s">
        <v>12</v>
      </c>
      <c r="J622" s="2" t="s">
        <v>12</v>
      </c>
      <c r="K622" s="2" t="s">
        <v>12</v>
      </c>
    </row>
    <row r="623" spans="1:11" ht="12.5" x14ac:dyDescent="0.25">
      <c r="A623" s="3" t="e">
        <f ca="1"/>
        <v>#NAME?</v>
      </c>
      <c r="B623" s="2" t="s">
        <v>12</v>
      </c>
      <c r="C623" s="2" t="s">
        <v>12</v>
      </c>
      <c r="D623" s="2" t="s">
        <v>12</v>
      </c>
      <c r="E623" s="2" t="s">
        <v>12</v>
      </c>
      <c r="F623" s="2" t="s">
        <v>12</v>
      </c>
      <c r="G623" s="2" t="s">
        <v>12</v>
      </c>
      <c r="H623" s="2" t="s">
        <v>12</v>
      </c>
      <c r="I623" s="2" t="s">
        <v>12</v>
      </c>
      <c r="J623" s="2" t="s">
        <v>12</v>
      </c>
      <c r="K623" s="2" t="s">
        <v>12</v>
      </c>
    </row>
    <row r="624" spans="1:11" ht="12.5" x14ac:dyDescent="0.25">
      <c r="A624" s="3" t="e">
        <f ca="1"/>
        <v>#NAME?</v>
      </c>
      <c r="B624" s="2" t="s">
        <v>12</v>
      </c>
      <c r="C624" s="2" t="s">
        <v>12</v>
      </c>
      <c r="D624" s="2" t="s">
        <v>12</v>
      </c>
      <c r="E624" s="2" t="s">
        <v>12</v>
      </c>
      <c r="F624" s="2" t="s">
        <v>12</v>
      </c>
      <c r="G624" s="2" t="s">
        <v>12</v>
      </c>
      <c r="H624" s="2" t="s">
        <v>12</v>
      </c>
      <c r="I624" s="2" t="s">
        <v>12</v>
      </c>
      <c r="J624" s="2" t="s">
        <v>12</v>
      </c>
      <c r="K624" s="2" t="s">
        <v>12</v>
      </c>
    </row>
    <row r="625" spans="1:11" ht="12.5" x14ac:dyDescent="0.25">
      <c r="A625" s="3" t="e">
        <f ca="1"/>
        <v>#NAME?</v>
      </c>
      <c r="B625" s="2" t="s">
        <v>12</v>
      </c>
      <c r="C625" s="2" t="s">
        <v>12</v>
      </c>
      <c r="D625" s="2" t="s">
        <v>12</v>
      </c>
      <c r="E625" s="2" t="s">
        <v>12</v>
      </c>
      <c r="F625" s="2" t="s">
        <v>12</v>
      </c>
      <c r="G625" s="2" t="s">
        <v>12</v>
      </c>
      <c r="H625" s="2" t="s">
        <v>12</v>
      </c>
      <c r="I625" s="2" t="s">
        <v>12</v>
      </c>
      <c r="J625" s="2" t="s">
        <v>12</v>
      </c>
      <c r="K625" s="2" t="s">
        <v>12</v>
      </c>
    </row>
    <row r="626" spans="1:11" ht="12.5" x14ac:dyDescent="0.25">
      <c r="A626" s="3" t="e">
        <f ca="1"/>
        <v>#NAME?</v>
      </c>
      <c r="B626" s="2" t="s">
        <v>12</v>
      </c>
      <c r="C626" s="2" t="s">
        <v>12</v>
      </c>
      <c r="D626" s="2" t="s">
        <v>12</v>
      </c>
      <c r="E626" s="2" t="s">
        <v>12</v>
      </c>
      <c r="F626" s="2" t="s">
        <v>12</v>
      </c>
      <c r="G626" s="2" t="s">
        <v>12</v>
      </c>
      <c r="H626" s="2" t="s">
        <v>12</v>
      </c>
      <c r="I626" s="2" t="s">
        <v>12</v>
      </c>
      <c r="J626" s="2" t="s">
        <v>12</v>
      </c>
      <c r="K626" s="2" t="s">
        <v>12</v>
      </c>
    </row>
    <row r="627" spans="1:11" ht="12.5" x14ac:dyDescent="0.25">
      <c r="A627" s="3" t="e">
        <f ca="1"/>
        <v>#NAME?</v>
      </c>
      <c r="B627" s="2" t="s">
        <v>12</v>
      </c>
      <c r="C627" s="2" t="s">
        <v>12</v>
      </c>
      <c r="D627" s="2" t="s">
        <v>12</v>
      </c>
      <c r="E627" s="2" t="s">
        <v>12</v>
      </c>
      <c r="F627" s="2" t="s">
        <v>12</v>
      </c>
      <c r="G627" s="2" t="s">
        <v>12</v>
      </c>
      <c r="H627" s="2" t="s">
        <v>12</v>
      </c>
      <c r="I627" s="2" t="s">
        <v>12</v>
      </c>
      <c r="J627" s="2" t="s">
        <v>12</v>
      </c>
      <c r="K627" s="2" t="s">
        <v>12</v>
      </c>
    </row>
    <row r="628" spans="1:11" ht="12.5" x14ac:dyDescent="0.25">
      <c r="A628" s="3" t="e">
        <f ca="1"/>
        <v>#NAME?</v>
      </c>
      <c r="B628" s="2" t="s">
        <v>12</v>
      </c>
      <c r="C628" s="2" t="s">
        <v>12</v>
      </c>
      <c r="D628" s="2" t="s">
        <v>12</v>
      </c>
      <c r="E628" s="2" t="s">
        <v>12</v>
      </c>
      <c r="F628" s="2" t="s">
        <v>12</v>
      </c>
      <c r="G628" s="2" t="s">
        <v>12</v>
      </c>
      <c r="H628" s="2" t="s">
        <v>12</v>
      </c>
      <c r="I628" s="2" t="s">
        <v>12</v>
      </c>
      <c r="J628" s="2" t="s">
        <v>12</v>
      </c>
      <c r="K628" s="2" t="s">
        <v>12</v>
      </c>
    </row>
    <row r="629" spans="1:11" ht="12.5" x14ac:dyDescent="0.25">
      <c r="A629" s="3" t="e">
        <f ca="1"/>
        <v>#NAME?</v>
      </c>
      <c r="B629" s="2" t="s">
        <v>12</v>
      </c>
      <c r="C629" s="2" t="s">
        <v>12</v>
      </c>
      <c r="D629" s="2" t="s">
        <v>12</v>
      </c>
      <c r="E629" s="2" t="s">
        <v>12</v>
      </c>
      <c r="F629" s="2" t="s">
        <v>12</v>
      </c>
      <c r="G629" s="2" t="s">
        <v>12</v>
      </c>
      <c r="H629" s="2" t="s">
        <v>12</v>
      </c>
      <c r="I629" s="2" t="s">
        <v>12</v>
      </c>
      <c r="J629" s="2" t="s">
        <v>12</v>
      </c>
      <c r="K629" s="2" t="s">
        <v>12</v>
      </c>
    </row>
    <row r="630" spans="1:11" ht="12.5" x14ac:dyDescent="0.25">
      <c r="A630" s="3" t="e">
        <f ca="1"/>
        <v>#NAME?</v>
      </c>
      <c r="B630" s="2" t="s">
        <v>12</v>
      </c>
      <c r="C630" s="2" t="s">
        <v>12</v>
      </c>
      <c r="D630" s="2" t="s">
        <v>12</v>
      </c>
      <c r="E630" s="2" t="s">
        <v>12</v>
      </c>
      <c r="F630" s="2" t="s">
        <v>12</v>
      </c>
      <c r="G630" s="2" t="s">
        <v>12</v>
      </c>
      <c r="H630" s="2" t="s">
        <v>12</v>
      </c>
      <c r="I630" s="2" t="s">
        <v>12</v>
      </c>
      <c r="J630" s="2" t="s">
        <v>12</v>
      </c>
      <c r="K630" s="2" t="s">
        <v>12</v>
      </c>
    </row>
    <row r="631" spans="1:11" ht="12.5" x14ac:dyDescent="0.25">
      <c r="A631" s="3" t="e">
        <f ca="1"/>
        <v>#NAME?</v>
      </c>
      <c r="B631" s="2" t="s">
        <v>12</v>
      </c>
      <c r="C631" s="2" t="s">
        <v>12</v>
      </c>
      <c r="D631" s="2" t="s">
        <v>12</v>
      </c>
      <c r="E631" s="2" t="s">
        <v>12</v>
      </c>
      <c r="F631" s="2" t="s">
        <v>12</v>
      </c>
      <c r="G631" s="2" t="s">
        <v>12</v>
      </c>
      <c r="H631" s="2" t="s">
        <v>12</v>
      </c>
      <c r="I631" s="2" t="s">
        <v>12</v>
      </c>
      <c r="J631" s="2" t="s">
        <v>12</v>
      </c>
      <c r="K631" s="2" t="s">
        <v>12</v>
      </c>
    </row>
    <row r="632" spans="1:11" ht="12.5" x14ac:dyDescent="0.25">
      <c r="A632" s="3" t="e">
        <f ca="1"/>
        <v>#NAME?</v>
      </c>
      <c r="B632" s="2" t="s">
        <v>12</v>
      </c>
      <c r="C632" s="2" t="s">
        <v>12</v>
      </c>
      <c r="D632" s="2" t="s">
        <v>12</v>
      </c>
      <c r="E632" s="2" t="s">
        <v>12</v>
      </c>
      <c r="F632" s="2" t="s">
        <v>12</v>
      </c>
      <c r="G632" s="2" t="s">
        <v>12</v>
      </c>
      <c r="H632" s="2" t="s">
        <v>12</v>
      </c>
      <c r="I632" s="2" t="s">
        <v>12</v>
      </c>
      <c r="J632" s="2" t="s">
        <v>12</v>
      </c>
      <c r="K632" s="2" t="s">
        <v>12</v>
      </c>
    </row>
    <row r="633" spans="1:11" ht="12.5" x14ac:dyDescent="0.25">
      <c r="A633" s="3" t="e">
        <f ca="1"/>
        <v>#NAME?</v>
      </c>
      <c r="B633" s="2" t="s">
        <v>12</v>
      </c>
      <c r="C633" s="2" t="s">
        <v>12</v>
      </c>
      <c r="D633" s="2" t="s">
        <v>12</v>
      </c>
      <c r="E633" s="2" t="s">
        <v>12</v>
      </c>
      <c r="F633" s="2" t="s">
        <v>12</v>
      </c>
      <c r="G633" s="2" t="s">
        <v>12</v>
      </c>
      <c r="H633" s="2" t="s">
        <v>12</v>
      </c>
      <c r="I633" s="2" t="s">
        <v>12</v>
      </c>
      <c r="J633" s="2" t="s">
        <v>12</v>
      </c>
      <c r="K633" s="2" t="s">
        <v>12</v>
      </c>
    </row>
    <row r="634" spans="1:11" ht="12.5" x14ac:dyDescent="0.25">
      <c r="A634" s="3" t="e">
        <f ca="1"/>
        <v>#NAME?</v>
      </c>
      <c r="B634" s="2" t="s">
        <v>12</v>
      </c>
      <c r="C634" s="2" t="s">
        <v>12</v>
      </c>
      <c r="D634" s="2" t="s">
        <v>12</v>
      </c>
      <c r="E634" s="2" t="s">
        <v>12</v>
      </c>
      <c r="F634" s="2" t="s">
        <v>12</v>
      </c>
      <c r="G634" s="2" t="s">
        <v>12</v>
      </c>
      <c r="H634" s="2" t="s">
        <v>12</v>
      </c>
      <c r="I634" s="2" t="s">
        <v>12</v>
      </c>
      <c r="J634" s="2" t="s">
        <v>12</v>
      </c>
      <c r="K634" s="2" t="s">
        <v>12</v>
      </c>
    </row>
    <row r="635" spans="1:11" ht="12.5" x14ac:dyDescent="0.25">
      <c r="A635" s="3" t="e">
        <f ca="1"/>
        <v>#NAME?</v>
      </c>
      <c r="B635" s="2" t="s">
        <v>12</v>
      </c>
      <c r="C635" s="2" t="s">
        <v>12</v>
      </c>
      <c r="D635" s="2" t="s">
        <v>12</v>
      </c>
      <c r="E635" s="2" t="s">
        <v>12</v>
      </c>
      <c r="F635" s="2" t="s">
        <v>12</v>
      </c>
      <c r="G635" s="2" t="s">
        <v>12</v>
      </c>
      <c r="H635" s="2" t="s">
        <v>12</v>
      </c>
      <c r="I635" s="2" t="s">
        <v>12</v>
      </c>
      <c r="J635" s="2" t="s">
        <v>12</v>
      </c>
      <c r="K635" s="2" t="s">
        <v>12</v>
      </c>
    </row>
    <row r="636" spans="1:11" ht="12.5" x14ac:dyDescent="0.25">
      <c r="A636" s="3" t="e">
        <f ca="1"/>
        <v>#NAME?</v>
      </c>
      <c r="B636" s="2" t="s">
        <v>12</v>
      </c>
      <c r="C636" s="2" t="s">
        <v>12</v>
      </c>
      <c r="D636" s="2" t="s">
        <v>12</v>
      </c>
      <c r="E636" s="2" t="s">
        <v>12</v>
      </c>
      <c r="F636" s="2" t="s">
        <v>12</v>
      </c>
      <c r="G636" s="2" t="s">
        <v>12</v>
      </c>
      <c r="H636" s="2" t="s">
        <v>12</v>
      </c>
      <c r="I636" s="2" t="s">
        <v>12</v>
      </c>
      <c r="J636" s="2" t="s">
        <v>12</v>
      </c>
      <c r="K636" s="2" t="s">
        <v>12</v>
      </c>
    </row>
    <row r="637" spans="1:11" ht="12.5" x14ac:dyDescent="0.25">
      <c r="A637" s="3" t="e">
        <f ca="1"/>
        <v>#NAME?</v>
      </c>
      <c r="B637" s="2" t="s">
        <v>12</v>
      </c>
      <c r="C637" s="2" t="s">
        <v>12</v>
      </c>
      <c r="D637" s="2" t="s">
        <v>12</v>
      </c>
      <c r="E637" s="2" t="s">
        <v>12</v>
      </c>
      <c r="F637" s="2" t="s">
        <v>12</v>
      </c>
      <c r="G637" s="2" t="s">
        <v>12</v>
      </c>
      <c r="H637" s="2" t="s">
        <v>12</v>
      </c>
      <c r="I637" s="2" t="s">
        <v>12</v>
      </c>
      <c r="J637" s="2" t="s">
        <v>12</v>
      </c>
      <c r="K637" s="2" t="s">
        <v>12</v>
      </c>
    </row>
    <row r="638" spans="1:11" ht="12.5" x14ac:dyDescent="0.25">
      <c r="A638" s="3" t="e">
        <f ca="1"/>
        <v>#NAME?</v>
      </c>
      <c r="B638" s="2" t="s">
        <v>12</v>
      </c>
      <c r="C638" s="2" t="s">
        <v>12</v>
      </c>
      <c r="D638" s="2" t="s">
        <v>12</v>
      </c>
      <c r="E638" s="2" t="s">
        <v>12</v>
      </c>
      <c r="F638" s="2" t="s">
        <v>12</v>
      </c>
      <c r="G638" s="2" t="s">
        <v>12</v>
      </c>
      <c r="H638" s="2" t="s">
        <v>12</v>
      </c>
      <c r="I638" s="2" t="s">
        <v>12</v>
      </c>
      <c r="J638" s="2" t="s">
        <v>12</v>
      </c>
      <c r="K638" s="2" t="s">
        <v>12</v>
      </c>
    </row>
    <row r="639" spans="1:11" ht="12.5" x14ac:dyDescent="0.25">
      <c r="A639" s="3" t="e">
        <f ca="1"/>
        <v>#NAME?</v>
      </c>
      <c r="B639" s="2" t="s">
        <v>12</v>
      </c>
      <c r="C639" s="2" t="s">
        <v>12</v>
      </c>
      <c r="D639" s="2" t="s">
        <v>12</v>
      </c>
      <c r="E639" s="2" t="s">
        <v>12</v>
      </c>
      <c r="F639" s="2" t="s">
        <v>12</v>
      </c>
      <c r="G639" s="2" t="s">
        <v>12</v>
      </c>
      <c r="H639" s="2" t="s">
        <v>12</v>
      </c>
      <c r="I639" s="2" t="s">
        <v>12</v>
      </c>
      <c r="J639" s="2" t="s">
        <v>12</v>
      </c>
      <c r="K639" s="2" t="s">
        <v>12</v>
      </c>
    </row>
    <row r="640" spans="1:11" ht="12.5" x14ac:dyDescent="0.25">
      <c r="A640" s="3" t="e">
        <f ca="1"/>
        <v>#NAME?</v>
      </c>
      <c r="B640" s="2" t="s">
        <v>12</v>
      </c>
      <c r="C640" s="2" t="s">
        <v>12</v>
      </c>
      <c r="D640" s="2" t="s">
        <v>12</v>
      </c>
      <c r="E640" s="2" t="s">
        <v>12</v>
      </c>
      <c r="F640" s="2" t="s">
        <v>12</v>
      </c>
      <c r="G640" s="2" t="s">
        <v>12</v>
      </c>
      <c r="H640" s="2" t="s">
        <v>12</v>
      </c>
      <c r="I640" s="2" t="s">
        <v>12</v>
      </c>
      <c r="J640" s="2" t="s">
        <v>12</v>
      </c>
      <c r="K640" s="2" t="s">
        <v>12</v>
      </c>
    </row>
    <row r="641" spans="1:11" ht="12.5" x14ac:dyDescent="0.25">
      <c r="A641" s="3" t="e">
        <f ca="1"/>
        <v>#NAME?</v>
      </c>
      <c r="B641" s="2" t="s">
        <v>12</v>
      </c>
      <c r="C641" s="2" t="s">
        <v>12</v>
      </c>
      <c r="D641" s="2" t="s">
        <v>12</v>
      </c>
      <c r="E641" s="2" t="s">
        <v>12</v>
      </c>
      <c r="F641" s="2" t="s">
        <v>12</v>
      </c>
      <c r="G641" s="2" t="s">
        <v>12</v>
      </c>
      <c r="H641" s="2" t="s">
        <v>12</v>
      </c>
      <c r="I641" s="2" t="s">
        <v>12</v>
      </c>
      <c r="J641" s="2" t="s">
        <v>12</v>
      </c>
      <c r="K641" s="2" t="s">
        <v>12</v>
      </c>
    </row>
    <row r="642" spans="1:11" ht="12.5" x14ac:dyDescent="0.25">
      <c r="A642" s="3" t="e">
        <f ca="1"/>
        <v>#NAME?</v>
      </c>
      <c r="B642" s="2" t="s">
        <v>12</v>
      </c>
      <c r="C642" s="2" t="s">
        <v>12</v>
      </c>
      <c r="D642" s="2" t="s">
        <v>12</v>
      </c>
      <c r="E642" s="2" t="s">
        <v>12</v>
      </c>
      <c r="F642" s="2" t="s">
        <v>12</v>
      </c>
      <c r="G642" s="2" t="s">
        <v>12</v>
      </c>
      <c r="H642" s="2" t="s">
        <v>12</v>
      </c>
      <c r="I642" s="2" t="s">
        <v>12</v>
      </c>
      <c r="J642" s="2" t="s">
        <v>12</v>
      </c>
      <c r="K642" s="2" t="s">
        <v>12</v>
      </c>
    </row>
    <row r="643" spans="1:11" ht="12.5" x14ac:dyDescent="0.25">
      <c r="A643" s="3" t="e">
        <f ca="1"/>
        <v>#NAME?</v>
      </c>
      <c r="B643" s="2" t="s">
        <v>12</v>
      </c>
      <c r="C643" s="2" t="s">
        <v>12</v>
      </c>
      <c r="D643" s="2" t="s">
        <v>12</v>
      </c>
      <c r="E643" s="2" t="s">
        <v>12</v>
      </c>
      <c r="F643" s="2" t="s">
        <v>12</v>
      </c>
      <c r="G643" s="2" t="s">
        <v>12</v>
      </c>
      <c r="H643" s="2" t="s">
        <v>12</v>
      </c>
      <c r="I643" s="2" t="s">
        <v>12</v>
      </c>
      <c r="J643" s="2" t="s">
        <v>12</v>
      </c>
      <c r="K643" s="2" t="s">
        <v>12</v>
      </c>
    </row>
    <row r="644" spans="1:11" ht="12.5" x14ac:dyDescent="0.25">
      <c r="A644" s="3" t="e">
        <f ca="1"/>
        <v>#NAME?</v>
      </c>
      <c r="B644" s="2" t="s">
        <v>12</v>
      </c>
      <c r="C644" s="2" t="s">
        <v>12</v>
      </c>
      <c r="D644" s="2" t="s">
        <v>12</v>
      </c>
      <c r="E644" s="2" t="s">
        <v>12</v>
      </c>
      <c r="F644" s="2" t="s">
        <v>12</v>
      </c>
      <c r="G644" s="2" t="s">
        <v>12</v>
      </c>
      <c r="H644" s="2" t="s">
        <v>12</v>
      </c>
      <c r="I644" s="2" t="s">
        <v>12</v>
      </c>
      <c r="J644" s="2" t="s">
        <v>12</v>
      </c>
      <c r="K644" s="2" t="s">
        <v>12</v>
      </c>
    </row>
    <row r="645" spans="1:11" ht="12.5" x14ac:dyDescent="0.25">
      <c r="A645" s="3" t="e">
        <f ca="1"/>
        <v>#NAME?</v>
      </c>
      <c r="B645" s="2" t="s">
        <v>12</v>
      </c>
      <c r="C645" s="2" t="s">
        <v>12</v>
      </c>
      <c r="D645" s="2" t="s">
        <v>12</v>
      </c>
      <c r="E645" s="2" t="s">
        <v>12</v>
      </c>
      <c r="F645" s="2" t="s">
        <v>12</v>
      </c>
      <c r="G645" s="2" t="s">
        <v>12</v>
      </c>
      <c r="H645" s="2" t="s">
        <v>12</v>
      </c>
      <c r="I645" s="2" t="s">
        <v>12</v>
      </c>
      <c r="J645" s="2" t="s">
        <v>12</v>
      </c>
      <c r="K645" s="2" t="s">
        <v>12</v>
      </c>
    </row>
    <row r="646" spans="1:11" ht="12.5" x14ac:dyDescent="0.25">
      <c r="A646" s="3" t="e">
        <f ca="1"/>
        <v>#NAME?</v>
      </c>
      <c r="B646" s="2" t="s">
        <v>12</v>
      </c>
      <c r="C646" s="2" t="s">
        <v>12</v>
      </c>
      <c r="D646" s="2" t="s">
        <v>12</v>
      </c>
      <c r="E646" s="2" t="s">
        <v>12</v>
      </c>
      <c r="F646" s="2" t="s">
        <v>12</v>
      </c>
      <c r="G646" s="2" t="s">
        <v>12</v>
      </c>
      <c r="H646" s="2" t="s">
        <v>12</v>
      </c>
      <c r="I646" s="2" t="s">
        <v>12</v>
      </c>
      <c r="J646" s="2" t="s">
        <v>12</v>
      </c>
      <c r="K646" s="2" t="s">
        <v>12</v>
      </c>
    </row>
    <row r="647" spans="1:11" ht="12.5" x14ac:dyDescent="0.25">
      <c r="A647" s="3" t="e">
        <f ca="1"/>
        <v>#NAME?</v>
      </c>
      <c r="B647" s="2" t="s">
        <v>12</v>
      </c>
      <c r="C647" s="2" t="s">
        <v>12</v>
      </c>
      <c r="D647" s="2" t="s">
        <v>12</v>
      </c>
      <c r="E647" s="2" t="s">
        <v>12</v>
      </c>
      <c r="F647" s="2" t="s">
        <v>12</v>
      </c>
      <c r="G647" s="2" t="s">
        <v>12</v>
      </c>
      <c r="H647" s="2" t="s">
        <v>12</v>
      </c>
      <c r="I647" s="2" t="s">
        <v>12</v>
      </c>
      <c r="J647" s="2" t="s">
        <v>12</v>
      </c>
      <c r="K647" s="2" t="s">
        <v>12</v>
      </c>
    </row>
    <row r="648" spans="1:11" ht="12.5" x14ac:dyDescent="0.25">
      <c r="A648" s="3" t="e">
        <f ca="1"/>
        <v>#NAME?</v>
      </c>
      <c r="B648" s="2" t="s">
        <v>12</v>
      </c>
      <c r="C648" s="2" t="s">
        <v>12</v>
      </c>
      <c r="D648" s="2" t="s">
        <v>12</v>
      </c>
      <c r="E648" s="2" t="s">
        <v>12</v>
      </c>
      <c r="F648" s="2" t="s">
        <v>12</v>
      </c>
      <c r="G648" s="2" t="s">
        <v>12</v>
      </c>
      <c r="H648" s="2" t="s">
        <v>12</v>
      </c>
      <c r="I648" s="2" t="s">
        <v>12</v>
      </c>
      <c r="J648" s="2" t="s">
        <v>12</v>
      </c>
      <c r="K648" s="2" t="s">
        <v>12</v>
      </c>
    </row>
    <row r="649" spans="1:11" ht="12.5" x14ac:dyDescent="0.25">
      <c r="A649" s="3" t="e">
        <f ca="1"/>
        <v>#NAME?</v>
      </c>
      <c r="B649" s="2" t="s">
        <v>12</v>
      </c>
      <c r="C649" s="2" t="s">
        <v>12</v>
      </c>
      <c r="D649" s="2" t="s">
        <v>12</v>
      </c>
      <c r="E649" s="2" t="s">
        <v>12</v>
      </c>
      <c r="F649" s="2" t="s">
        <v>12</v>
      </c>
      <c r="G649" s="2" t="s">
        <v>12</v>
      </c>
      <c r="H649" s="2" t="s">
        <v>12</v>
      </c>
      <c r="I649" s="2" t="s">
        <v>12</v>
      </c>
      <c r="J649" s="2" t="s">
        <v>12</v>
      </c>
      <c r="K649" s="2" t="s">
        <v>12</v>
      </c>
    </row>
    <row r="650" spans="1:11" ht="12.5" x14ac:dyDescent="0.25">
      <c r="A650" s="3" t="e">
        <f ca="1"/>
        <v>#NAME?</v>
      </c>
      <c r="B650" s="2" t="s">
        <v>12</v>
      </c>
      <c r="C650" s="2" t="s">
        <v>12</v>
      </c>
      <c r="D650" s="2" t="s">
        <v>12</v>
      </c>
      <c r="E650" s="2" t="s">
        <v>12</v>
      </c>
      <c r="F650" s="2" t="s">
        <v>12</v>
      </c>
      <c r="G650" s="2" t="s">
        <v>12</v>
      </c>
      <c r="H650" s="2" t="s">
        <v>12</v>
      </c>
      <c r="I650" s="2" t="s">
        <v>12</v>
      </c>
      <c r="J650" s="2" t="s">
        <v>12</v>
      </c>
      <c r="K650" s="2" t="s">
        <v>12</v>
      </c>
    </row>
    <row r="651" spans="1:11" ht="12.5" x14ac:dyDescent="0.25">
      <c r="A651" s="3" t="e">
        <f ca="1"/>
        <v>#NAME?</v>
      </c>
      <c r="B651" s="2" t="s">
        <v>12</v>
      </c>
      <c r="C651" s="2" t="s">
        <v>12</v>
      </c>
      <c r="D651" s="2" t="s">
        <v>12</v>
      </c>
      <c r="E651" s="2" t="s">
        <v>12</v>
      </c>
      <c r="F651" s="2" t="s">
        <v>12</v>
      </c>
      <c r="G651" s="2" t="s">
        <v>12</v>
      </c>
      <c r="H651" s="2" t="s">
        <v>12</v>
      </c>
      <c r="I651" s="2" t="s">
        <v>12</v>
      </c>
      <c r="J651" s="2" t="s">
        <v>12</v>
      </c>
      <c r="K651" s="2" t="s">
        <v>12</v>
      </c>
    </row>
    <row r="652" spans="1:11" ht="12.5" x14ac:dyDescent="0.25">
      <c r="A652" s="3" t="e">
        <f ca="1"/>
        <v>#NAME?</v>
      </c>
      <c r="B652" s="2" t="s">
        <v>12</v>
      </c>
      <c r="C652" s="2" t="s">
        <v>12</v>
      </c>
      <c r="D652" s="2" t="s">
        <v>12</v>
      </c>
      <c r="E652" s="2" t="s">
        <v>12</v>
      </c>
      <c r="F652" s="2" t="s">
        <v>12</v>
      </c>
      <c r="G652" s="2" t="s">
        <v>12</v>
      </c>
      <c r="H652" s="2" t="s">
        <v>12</v>
      </c>
      <c r="I652" s="2" t="s">
        <v>12</v>
      </c>
      <c r="J652" s="2" t="s">
        <v>12</v>
      </c>
      <c r="K652" s="2" t="s">
        <v>12</v>
      </c>
    </row>
    <row r="653" spans="1:11" ht="12.5" x14ac:dyDescent="0.25">
      <c r="A653" s="3" t="e">
        <f ca="1"/>
        <v>#NAME?</v>
      </c>
      <c r="B653" s="2" t="s">
        <v>12</v>
      </c>
      <c r="C653" s="2" t="s">
        <v>12</v>
      </c>
      <c r="D653" s="2" t="s">
        <v>12</v>
      </c>
      <c r="E653" s="2" t="s">
        <v>12</v>
      </c>
      <c r="F653" s="2" t="s">
        <v>12</v>
      </c>
      <c r="G653" s="2" t="s">
        <v>12</v>
      </c>
      <c r="H653" s="2" t="s">
        <v>12</v>
      </c>
      <c r="I653" s="2" t="s">
        <v>12</v>
      </c>
      <c r="J653" s="2" t="s">
        <v>12</v>
      </c>
      <c r="K653" s="2" t="s">
        <v>12</v>
      </c>
    </row>
    <row r="654" spans="1:11" ht="12.5" x14ac:dyDescent="0.25">
      <c r="A654" s="3" t="e">
        <f ca="1"/>
        <v>#NAME?</v>
      </c>
      <c r="B654" s="2" t="s">
        <v>12</v>
      </c>
      <c r="C654" s="2" t="s">
        <v>12</v>
      </c>
      <c r="D654" s="2" t="s">
        <v>12</v>
      </c>
      <c r="E654" s="2" t="s">
        <v>12</v>
      </c>
      <c r="F654" s="2" t="s">
        <v>12</v>
      </c>
      <c r="G654" s="2" t="s">
        <v>12</v>
      </c>
      <c r="H654" s="2" t="s">
        <v>12</v>
      </c>
      <c r="I654" s="2" t="s">
        <v>12</v>
      </c>
      <c r="J654" s="2" t="s">
        <v>12</v>
      </c>
      <c r="K654" s="2" t="s">
        <v>12</v>
      </c>
    </row>
    <row r="655" spans="1:11" ht="12.5" x14ac:dyDescent="0.25">
      <c r="A655" s="3" t="e">
        <f ca="1"/>
        <v>#NAME?</v>
      </c>
      <c r="B655" s="2" t="s">
        <v>12</v>
      </c>
      <c r="C655" s="2" t="s">
        <v>12</v>
      </c>
      <c r="D655" s="2" t="s">
        <v>12</v>
      </c>
      <c r="E655" s="2" t="s">
        <v>12</v>
      </c>
      <c r="F655" s="2" t="s">
        <v>12</v>
      </c>
      <c r="G655" s="2" t="s">
        <v>12</v>
      </c>
      <c r="H655" s="2" t="s">
        <v>12</v>
      </c>
      <c r="I655" s="2" t="s">
        <v>12</v>
      </c>
      <c r="J655" s="2" t="s">
        <v>12</v>
      </c>
      <c r="K655" s="2" t="s">
        <v>12</v>
      </c>
    </row>
    <row r="656" spans="1:11" ht="12.5" x14ac:dyDescent="0.25">
      <c r="A656" s="3" t="e">
        <f ca="1"/>
        <v>#NAME?</v>
      </c>
      <c r="B656" s="2" t="s">
        <v>12</v>
      </c>
      <c r="C656" s="2" t="s">
        <v>12</v>
      </c>
      <c r="D656" s="2" t="s">
        <v>12</v>
      </c>
      <c r="E656" s="2" t="s">
        <v>12</v>
      </c>
      <c r="F656" s="2" t="s">
        <v>12</v>
      </c>
      <c r="G656" s="2" t="s">
        <v>12</v>
      </c>
      <c r="H656" s="2" t="s">
        <v>12</v>
      </c>
      <c r="I656" s="2" t="s">
        <v>12</v>
      </c>
      <c r="J656" s="2" t="s">
        <v>12</v>
      </c>
      <c r="K656" s="2" t="s">
        <v>12</v>
      </c>
    </row>
    <row r="657" spans="1:11" ht="12.5" x14ac:dyDescent="0.25">
      <c r="A657" s="3" t="e">
        <f ca="1"/>
        <v>#NAME?</v>
      </c>
      <c r="B657" s="2" t="s">
        <v>12</v>
      </c>
      <c r="C657" s="2" t="s">
        <v>12</v>
      </c>
      <c r="D657" s="2" t="s">
        <v>12</v>
      </c>
      <c r="E657" s="2" t="s">
        <v>12</v>
      </c>
      <c r="F657" s="2" t="s">
        <v>12</v>
      </c>
      <c r="G657" s="2" t="s">
        <v>12</v>
      </c>
      <c r="H657" s="2" t="s">
        <v>12</v>
      </c>
      <c r="I657" s="2" t="s">
        <v>12</v>
      </c>
      <c r="J657" s="2" t="s">
        <v>12</v>
      </c>
      <c r="K657" s="2" t="s">
        <v>12</v>
      </c>
    </row>
    <row r="658" spans="1:11" ht="12.5" x14ac:dyDescent="0.25">
      <c r="A658" s="3" t="e">
        <f ca="1"/>
        <v>#NAME?</v>
      </c>
      <c r="B658" s="2" t="s">
        <v>12</v>
      </c>
      <c r="C658" s="2" t="s">
        <v>12</v>
      </c>
      <c r="D658" s="2" t="s">
        <v>12</v>
      </c>
      <c r="E658" s="2" t="s">
        <v>12</v>
      </c>
      <c r="F658" s="2" t="s">
        <v>12</v>
      </c>
      <c r="G658" s="2" t="s">
        <v>12</v>
      </c>
      <c r="H658" s="2" t="s">
        <v>12</v>
      </c>
      <c r="I658" s="2" t="s">
        <v>12</v>
      </c>
      <c r="J658" s="2" t="s">
        <v>12</v>
      </c>
      <c r="K658" s="2" t="s">
        <v>12</v>
      </c>
    </row>
    <row r="659" spans="1:11" ht="12.5" x14ac:dyDescent="0.25">
      <c r="A659" s="3" t="e">
        <f ca="1"/>
        <v>#NAME?</v>
      </c>
      <c r="B659" s="2" t="s">
        <v>12</v>
      </c>
      <c r="C659" s="2" t="s">
        <v>12</v>
      </c>
      <c r="D659" s="2" t="s">
        <v>12</v>
      </c>
      <c r="E659" s="2" t="s">
        <v>12</v>
      </c>
      <c r="F659" s="2" t="s">
        <v>12</v>
      </c>
      <c r="G659" s="2" t="s">
        <v>12</v>
      </c>
      <c r="H659" s="2" t="s">
        <v>12</v>
      </c>
      <c r="I659" s="2" t="s">
        <v>12</v>
      </c>
      <c r="J659" s="2" t="s">
        <v>12</v>
      </c>
      <c r="K659" s="2" t="s">
        <v>12</v>
      </c>
    </row>
    <row r="660" spans="1:11" ht="12.5" x14ac:dyDescent="0.25">
      <c r="A660" s="3" t="e">
        <f ca="1"/>
        <v>#NAME?</v>
      </c>
      <c r="B660" s="2" t="s">
        <v>12</v>
      </c>
      <c r="C660" s="2" t="s">
        <v>12</v>
      </c>
      <c r="D660" s="2" t="s">
        <v>12</v>
      </c>
      <c r="E660" s="2" t="s">
        <v>12</v>
      </c>
      <c r="F660" s="2" t="s">
        <v>12</v>
      </c>
      <c r="G660" s="2" t="s">
        <v>12</v>
      </c>
      <c r="H660" s="2" t="s">
        <v>12</v>
      </c>
      <c r="I660" s="2" t="s">
        <v>12</v>
      </c>
      <c r="J660" s="2" t="s">
        <v>12</v>
      </c>
      <c r="K660" s="2" t="s">
        <v>12</v>
      </c>
    </row>
    <row r="661" spans="1:11" ht="12.5" x14ac:dyDescent="0.25">
      <c r="A661" s="3" t="e">
        <f ca="1"/>
        <v>#NAME?</v>
      </c>
      <c r="B661" s="2" t="s">
        <v>12</v>
      </c>
      <c r="C661" s="2" t="s">
        <v>12</v>
      </c>
      <c r="D661" s="2" t="s">
        <v>12</v>
      </c>
      <c r="E661" s="2" t="s">
        <v>12</v>
      </c>
      <c r="F661" s="2" t="s">
        <v>12</v>
      </c>
      <c r="G661" s="2" t="s">
        <v>12</v>
      </c>
      <c r="H661" s="2" t="s">
        <v>12</v>
      </c>
      <c r="I661" s="2" t="s">
        <v>12</v>
      </c>
      <c r="J661" s="2" t="s">
        <v>12</v>
      </c>
      <c r="K661" s="2" t="s">
        <v>12</v>
      </c>
    </row>
    <row r="662" spans="1:11" ht="12.5" x14ac:dyDescent="0.25">
      <c r="A662" s="3" t="e">
        <f ca="1"/>
        <v>#NAME?</v>
      </c>
      <c r="B662" s="2" t="s">
        <v>12</v>
      </c>
      <c r="C662" s="2" t="s">
        <v>12</v>
      </c>
      <c r="D662" s="2" t="s">
        <v>12</v>
      </c>
      <c r="E662" s="2" t="s">
        <v>12</v>
      </c>
      <c r="F662" s="2" t="s">
        <v>12</v>
      </c>
      <c r="G662" s="2" t="s">
        <v>12</v>
      </c>
      <c r="H662" s="2" t="s">
        <v>12</v>
      </c>
      <c r="I662" s="2" t="s">
        <v>12</v>
      </c>
      <c r="J662" s="2" t="s">
        <v>12</v>
      </c>
      <c r="K662" s="2" t="s">
        <v>12</v>
      </c>
    </row>
    <row r="663" spans="1:11" ht="12.5" x14ac:dyDescent="0.25">
      <c r="A663" s="3" t="e">
        <f ca="1"/>
        <v>#NAME?</v>
      </c>
      <c r="B663" s="2" t="s">
        <v>12</v>
      </c>
      <c r="C663" s="2" t="s">
        <v>12</v>
      </c>
      <c r="D663" s="2" t="s">
        <v>12</v>
      </c>
      <c r="E663" s="2" t="s">
        <v>12</v>
      </c>
      <c r="F663" s="2" t="s">
        <v>12</v>
      </c>
      <c r="G663" s="2" t="s">
        <v>12</v>
      </c>
      <c r="H663" s="2" t="s">
        <v>12</v>
      </c>
      <c r="I663" s="2" t="s">
        <v>12</v>
      </c>
      <c r="J663" s="2" t="s">
        <v>12</v>
      </c>
      <c r="K663" s="2" t="s">
        <v>12</v>
      </c>
    </row>
    <row r="664" spans="1:11" ht="12.5" x14ac:dyDescent="0.25">
      <c r="A664" s="3" t="e">
        <f ca="1"/>
        <v>#NAME?</v>
      </c>
      <c r="B664" s="2" t="s">
        <v>12</v>
      </c>
      <c r="C664" s="2" t="s">
        <v>12</v>
      </c>
      <c r="D664" s="2" t="s">
        <v>12</v>
      </c>
      <c r="E664" s="2" t="s">
        <v>12</v>
      </c>
      <c r="F664" s="2" t="s">
        <v>12</v>
      </c>
      <c r="G664" s="2" t="s">
        <v>12</v>
      </c>
      <c r="H664" s="2" t="s">
        <v>12</v>
      </c>
      <c r="I664" s="2" t="s">
        <v>12</v>
      </c>
      <c r="J664" s="2" t="s">
        <v>12</v>
      </c>
      <c r="K664" s="2" t="s">
        <v>12</v>
      </c>
    </row>
    <row r="665" spans="1:11" ht="12.5" x14ac:dyDescent="0.25">
      <c r="A665" s="3" t="e">
        <f ca="1"/>
        <v>#NAME?</v>
      </c>
      <c r="B665" s="2" t="s">
        <v>12</v>
      </c>
      <c r="C665" s="2" t="s">
        <v>12</v>
      </c>
      <c r="D665" s="2" t="s">
        <v>12</v>
      </c>
      <c r="E665" s="2" t="s">
        <v>12</v>
      </c>
      <c r="F665" s="2" t="s">
        <v>12</v>
      </c>
      <c r="G665" s="2" t="s">
        <v>12</v>
      </c>
      <c r="H665" s="2" t="s">
        <v>12</v>
      </c>
      <c r="I665" s="2" t="s">
        <v>12</v>
      </c>
      <c r="J665" s="2" t="s">
        <v>12</v>
      </c>
      <c r="K665" s="2" t="s">
        <v>12</v>
      </c>
    </row>
    <row r="666" spans="1:11" ht="12.5" x14ac:dyDescent="0.25">
      <c r="A666" s="3" t="e">
        <f ca="1"/>
        <v>#NAME?</v>
      </c>
      <c r="B666" s="2" t="s">
        <v>12</v>
      </c>
      <c r="C666" s="2" t="s">
        <v>12</v>
      </c>
      <c r="D666" s="2" t="s">
        <v>12</v>
      </c>
      <c r="E666" s="2" t="s">
        <v>12</v>
      </c>
      <c r="F666" s="2" t="s">
        <v>12</v>
      </c>
      <c r="G666" s="2" t="s">
        <v>12</v>
      </c>
      <c r="H666" s="2" t="s">
        <v>12</v>
      </c>
      <c r="I666" s="2" t="s">
        <v>12</v>
      </c>
      <c r="J666" s="2" t="s">
        <v>12</v>
      </c>
      <c r="K666" s="2" t="s">
        <v>12</v>
      </c>
    </row>
    <row r="667" spans="1:11" ht="12.5" x14ac:dyDescent="0.25">
      <c r="A667" s="3" t="e">
        <f ca="1"/>
        <v>#NAME?</v>
      </c>
      <c r="B667" s="2" t="s">
        <v>12</v>
      </c>
      <c r="C667" s="2" t="s">
        <v>12</v>
      </c>
      <c r="D667" s="2" t="s">
        <v>12</v>
      </c>
      <c r="E667" s="2" t="s">
        <v>12</v>
      </c>
      <c r="F667" s="2" t="s">
        <v>12</v>
      </c>
      <c r="G667" s="2" t="s">
        <v>12</v>
      </c>
      <c r="H667" s="2" t="s">
        <v>12</v>
      </c>
      <c r="I667" s="2" t="s">
        <v>12</v>
      </c>
      <c r="J667" s="2" t="s">
        <v>12</v>
      </c>
      <c r="K667" s="2" t="s">
        <v>12</v>
      </c>
    </row>
    <row r="668" spans="1:11" ht="12.5" x14ac:dyDescent="0.25">
      <c r="A668" s="3" t="e">
        <f ca="1"/>
        <v>#NAME?</v>
      </c>
      <c r="B668" s="2" t="s">
        <v>12</v>
      </c>
      <c r="C668" s="2" t="s">
        <v>12</v>
      </c>
      <c r="D668" s="2" t="s">
        <v>12</v>
      </c>
      <c r="E668" s="2" t="s">
        <v>12</v>
      </c>
      <c r="F668" s="2" t="s">
        <v>12</v>
      </c>
      <c r="G668" s="2" t="s">
        <v>12</v>
      </c>
      <c r="H668" s="2" t="s">
        <v>12</v>
      </c>
      <c r="I668" s="2" t="s">
        <v>12</v>
      </c>
      <c r="J668" s="2" t="s">
        <v>12</v>
      </c>
      <c r="K668" s="2" t="s">
        <v>12</v>
      </c>
    </row>
    <row r="669" spans="1:11" ht="12.5" x14ac:dyDescent="0.25">
      <c r="A669" s="3" t="e">
        <f ca="1"/>
        <v>#NAME?</v>
      </c>
      <c r="B669" s="2" t="s">
        <v>12</v>
      </c>
      <c r="C669" s="2" t="s">
        <v>12</v>
      </c>
      <c r="D669" s="2" t="s">
        <v>12</v>
      </c>
      <c r="E669" s="2" t="s">
        <v>12</v>
      </c>
      <c r="F669" s="2" t="s">
        <v>12</v>
      </c>
      <c r="G669" s="2" t="s">
        <v>12</v>
      </c>
      <c r="H669" s="2" t="s">
        <v>12</v>
      </c>
      <c r="I669" s="2" t="s">
        <v>12</v>
      </c>
      <c r="J669" s="2" t="s">
        <v>12</v>
      </c>
      <c r="K669" s="2" t="s">
        <v>12</v>
      </c>
    </row>
    <row r="670" spans="1:11" ht="12.5" x14ac:dyDescent="0.25">
      <c r="A670" s="3" t="e">
        <f ca="1"/>
        <v>#NAME?</v>
      </c>
      <c r="B670" s="2" t="s">
        <v>12</v>
      </c>
      <c r="C670" s="2" t="s">
        <v>12</v>
      </c>
      <c r="D670" s="2" t="s">
        <v>12</v>
      </c>
      <c r="E670" s="2" t="s">
        <v>12</v>
      </c>
      <c r="F670" s="2" t="s">
        <v>12</v>
      </c>
      <c r="G670" s="2" t="s">
        <v>12</v>
      </c>
      <c r="H670" s="2" t="s">
        <v>12</v>
      </c>
      <c r="I670" s="2" t="s">
        <v>12</v>
      </c>
      <c r="J670" s="2" t="s">
        <v>12</v>
      </c>
      <c r="K670" s="2" t="s">
        <v>12</v>
      </c>
    </row>
    <row r="671" spans="1:11" ht="12.5" x14ac:dyDescent="0.25">
      <c r="A671" s="3" t="e">
        <f ca="1"/>
        <v>#NAME?</v>
      </c>
      <c r="B671" s="2" t="s">
        <v>12</v>
      </c>
      <c r="C671" s="2" t="s">
        <v>12</v>
      </c>
      <c r="D671" s="2" t="s">
        <v>12</v>
      </c>
      <c r="E671" s="2" t="s">
        <v>12</v>
      </c>
      <c r="F671" s="2" t="s">
        <v>12</v>
      </c>
      <c r="G671" s="2" t="s">
        <v>12</v>
      </c>
      <c r="H671" s="2" t="s">
        <v>12</v>
      </c>
      <c r="I671" s="2" t="s">
        <v>12</v>
      </c>
      <c r="J671" s="2" t="s">
        <v>12</v>
      </c>
      <c r="K671" s="2" t="s">
        <v>12</v>
      </c>
    </row>
    <row r="672" spans="1:11" ht="12.5" x14ac:dyDescent="0.25">
      <c r="A672" s="3" t="e">
        <f ca="1"/>
        <v>#NAME?</v>
      </c>
      <c r="B672" s="2" t="s">
        <v>12</v>
      </c>
      <c r="C672" s="2" t="s">
        <v>12</v>
      </c>
      <c r="D672" s="2" t="s">
        <v>12</v>
      </c>
      <c r="E672" s="2" t="s">
        <v>12</v>
      </c>
      <c r="F672" s="2" t="s">
        <v>12</v>
      </c>
      <c r="G672" s="2" t="s">
        <v>12</v>
      </c>
      <c r="H672" s="2" t="s">
        <v>12</v>
      </c>
      <c r="I672" s="2" t="s">
        <v>12</v>
      </c>
      <c r="J672" s="2" t="s">
        <v>12</v>
      </c>
      <c r="K672" s="2" t="s">
        <v>12</v>
      </c>
    </row>
    <row r="673" spans="1:11" ht="12.5" x14ac:dyDescent="0.25">
      <c r="A673" s="3" t="e">
        <f ca="1"/>
        <v>#NAME?</v>
      </c>
      <c r="B673" s="2" t="s">
        <v>12</v>
      </c>
      <c r="C673" s="2" t="s">
        <v>12</v>
      </c>
      <c r="D673" s="2" t="s">
        <v>12</v>
      </c>
      <c r="E673" s="2" t="s">
        <v>12</v>
      </c>
      <c r="F673" s="2" t="s">
        <v>12</v>
      </c>
      <c r="G673" s="2" t="s">
        <v>12</v>
      </c>
      <c r="H673" s="2" t="s">
        <v>12</v>
      </c>
      <c r="I673" s="2" t="s">
        <v>12</v>
      </c>
      <c r="J673" s="2" t="s">
        <v>12</v>
      </c>
      <c r="K673" s="2" t="s">
        <v>12</v>
      </c>
    </row>
    <row r="674" spans="1:11" ht="12.5" x14ac:dyDescent="0.25">
      <c r="A674" s="3" t="e">
        <f ca="1"/>
        <v>#NAME?</v>
      </c>
      <c r="B674" s="2" t="s">
        <v>12</v>
      </c>
      <c r="C674" s="2" t="s">
        <v>12</v>
      </c>
      <c r="D674" s="2" t="s">
        <v>12</v>
      </c>
      <c r="E674" s="2" t="s">
        <v>12</v>
      </c>
      <c r="F674" s="2" t="s">
        <v>12</v>
      </c>
      <c r="G674" s="2" t="s">
        <v>12</v>
      </c>
      <c r="H674" s="2" t="s">
        <v>12</v>
      </c>
      <c r="I674" s="2" t="s">
        <v>12</v>
      </c>
      <c r="J674" s="2" t="s">
        <v>12</v>
      </c>
      <c r="K674" s="2" t="s">
        <v>12</v>
      </c>
    </row>
    <row r="675" spans="1:11" ht="12.5" x14ac:dyDescent="0.25">
      <c r="A675" s="3" t="e">
        <f ca="1"/>
        <v>#NAME?</v>
      </c>
      <c r="B675" s="2" t="s">
        <v>12</v>
      </c>
      <c r="C675" s="2" t="s">
        <v>12</v>
      </c>
      <c r="D675" s="2" t="s">
        <v>12</v>
      </c>
      <c r="E675" s="2" t="s">
        <v>12</v>
      </c>
      <c r="F675" s="2" t="s">
        <v>12</v>
      </c>
      <c r="G675" s="2" t="s">
        <v>12</v>
      </c>
      <c r="H675" s="2" t="s">
        <v>12</v>
      </c>
      <c r="I675" s="2" t="s">
        <v>12</v>
      </c>
      <c r="J675" s="2" t="s">
        <v>12</v>
      </c>
      <c r="K675" s="2" t="s">
        <v>12</v>
      </c>
    </row>
    <row r="676" spans="1:11" ht="12.5" x14ac:dyDescent="0.25">
      <c r="A676" s="3" t="e">
        <f ca="1"/>
        <v>#NAME?</v>
      </c>
      <c r="B676" s="2" t="s">
        <v>12</v>
      </c>
      <c r="C676" s="2" t="s">
        <v>12</v>
      </c>
      <c r="D676" s="2" t="s">
        <v>12</v>
      </c>
      <c r="E676" s="2" t="s">
        <v>12</v>
      </c>
      <c r="F676" s="2" t="s">
        <v>12</v>
      </c>
      <c r="G676" s="2" t="s">
        <v>12</v>
      </c>
      <c r="H676" s="2" t="s">
        <v>12</v>
      </c>
      <c r="I676" s="2" t="s">
        <v>12</v>
      </c>
      <c r="J676" s="2" t="s">
        <v>12</v>
      </c>
      <c r="K676" s="2" t="s">
        <v>12</v>
      </c>
    </row>
    <row r="677" spans="1:11" ht="12.5" x14ac:dyDescent="0.25">
      <c r="A677" s="3" t="e">
        <f ca="1"/>
        <v>#NAME?</v>
      </c>
      <c r="B677" s="2" t="s">
        <v>12</v>
      </c>
      <c r="C677" s="2" t="s">
        <v>12</v>
      </c>
      <c r="D677" s="2" t="s">
        <v>12</v>
      </c>
      <c r="E677" s="2" t="s">
        <v>12</v>
      </c>
      <c r="F677" s="2" t="s">
        <v>12</v>
      </c>
      <c r="G677" s="2" t="s">
        <v>12</v>
      </c>
      <c r="H677" s="2" t="s">
        <v>12</v>
      </c>
      <c r="I677" s="2" t="s">
        <v>12</v>
      </c>
      <c r="J677" s="2" t="s">
        <v>12</v>
      </c>
      <c r="K677" s="2" t="s">
        <v>12</v>
      </c>
    </row>
    <row r="678" spans="1:11" ht="12.5" x14ac:dyDescent="0.25">
      <c r="A678" s="3" t="e">
        <f ca="1"/>
        <v>#NAME?</v>
      </c>
      <c r="B678" s="2" t="s">
        <v>12</v>
      </c>
      <c r="C678" s="2" t="s">
        <v>12</v>
      </c>
      <c r="D678" s="2" t="s">
        <v>12</v>
      </c>
      <c r="E678" s="2" t="s">
        <v>12</v>
      </c>
      <c r="F678" s="2" t="s">
        <v>12</v>
      </c>
      <c r="G678" s="2" t="s">
        <v>12</v>
      </c>
      <c r="H678" s="2" t="s">
        <v>12</v>
      </c>
      <c r="I678" s="2" t="s">
        <v>12</v>
      </c>
      <c r="J678" s="2" t="s">
        <v>12</v>
      </c>
      <c r="K678" s="2" t="s">
        <v>12</v>
      </c>
    </row>
    <row r="679" spans="1:11" ht="12.5" x14ac:dyDescent="0.25">
      <c r="A679" s="3" t="e">
        <f ca="1"/>
        <v>#NAME?</v>
      </c>
      <c r="B679" s="2" t="s">
        <v>12</v>
      </c>
      <c r="C679" s="2" t="s">
        <v>12</v>
      </c>
      <c r="D679" s="2" t="s">
        <v>12</v>
      </c>
      <c r="E679" s="2" t="s">
        <v>12</v>
      </c>
      <c r="F679" s="2" t="s">
        <v>12</v>
      </c>
      <c r="G679" s="2" t="s">
        <v>12</v>
      </c>
      <c r="H679" s="2" t="s">
        <v>12</v>
      </c>
      <c r="I679" s="2" t="s">
        <v>12</v>
      </c>
      <c r="J679" s="2" t="s">
        <v>12</v>
      </c>
      <c r="K679" s="2" t="s">
        <v>12</v>
      </c>
    </row>
    <row r="680" spans="1:11" ht="12.5" x14ac:dyDescent="0.25">
      <c r="A680" s="3" t="e">
        <f ca="1"/>
        <v>#NAME?</v>
      </c>
      <c r="B680" s="2" t="s">
        <v>12</v>
      </c>
      <c r="C680" s="2" t="s">
        <v>12</v>
      </c>
      <c r="D680" s="2" t="s">
        <v>12</v>
      </c>
      <c r="E680" s="2" t="s">
        <v>12</v>
      </c>
      <c r="F680" s="2" t="s">
        <v>12</v>
      </c>
      <c r="G680" s="2" t="s">
        <v>12</v>
      </c>
      <c r="H680" s="2" t="s">
        <v>12</v>
      </c>
      <c r="I680" s="2" t="s">
        <v>12</v>
      </c>
      <c r="J680" s="2" t="s">
        <v>12</v>
      </c>
      <c r="K680" s="2" t="s">
        <v>12</v>
      </c>
    </row>
    <row r="681" spans="1:11" ht="12.5" x14ac:dyDescent="0.25">
      <c r="A681" s="3" t="e">
        <f ca="1"/>
        <v>#NAME?</v>
      </c>
      <c r="B681" s="2" t="s">
        <v>12</v>
      </c>
      <c r="C681" s="2" t="s">
        <v>12</v>
      </c>
      <c r="D681" s="2" t="s">
        <v>12</v>
      </c>
      <c r="E681" s="2" t="s">
        <v>12</v>
      </c>
      <c r="F681" s="2" t="s">
        <v>12</v>
      </c>
      <c r="G681" s="2" t="s">
        <v>12</v>
      </c>
      <c r="H681" s="2" t="s">
        <v>12</v>
      </c>
      <c r="I681" s="2" t="s">
        <v>12</v>
      </c>
      <c r="J681" s="2" t="s">
        <v>12</v>
      </c>
      <c r="K681" s="2" t="s">
        <v>12</v>
      </c>
    </row>
    <row r="682" spans="1:11" ht="12.5" x14ac:dyDescent="0.25">
      <c r="A682" s="3" t="e">
        <f ca="1"/>
        <v>#NAME?</v>
      </c>
      <c r="B682" s="2" t="s">
        <v>12</v>
      </c>
      <c r="C682" s="2" t="s">
        <v>12</v>
      </c>
      <c r="D682" s="2" t="s">
        <v>12</v>
      </c>
      <c r="E682" s="2" t="s">
        <v>12</v>
      </c>
      <c r="F682" s="2" t="s">
        <v>12</v>
      </c>
      <c r="G682" s="2" t="s">
        <v>12</v>
      </c>
      <c r="H682" s="2" t="s">
        <v>12</v>
      </c>
      <c r="I682" s="2" t="s">
        <v>12</v>
      </c>
      <c r="J682" s="2" t="s">
        <v>12</v>
      </c>
      <c r="K682" s="2" t="s">
        <v>12</v>
      </c>
    </row>
    <row r="683" spans="1:11" ht="12.5" x14ac:dyDescent="0.25">
      <c r="A683" s="3" t="e">
        <f ca="1"/>
        <v>#NAME?</v>
      </c>
      <c r="B683" s="2" t="s">
        <v>12</v>
      </c>
      <c r="C683" s="2" t="s">
        <v>12</v>
      </c>
      <c r="D683" s="2" t="s">
        <v>12</v>
      </c>
      <c r="E683" s="2" t="s">
        <v>12</v>
      </c>
      <c r="F683" s="2" t="s">
        <v>12</v>
      </c>
      <c r="G683" s="2" t="s">
        <v>12</v>
      </c>
      <c r="H683" s="2" t="s">
        <v>12</v>
      </c>
      <c r="I683" s="2" t="s">
        <v>12</v>
      </c>
      <c r="J683" s="2" t="s">
        <v>12</v>
      </c>
      <c r="K683" s="2" t="s">
        <v>12</v>
      </c>
    </row>
    <row r="684" spans="1:11" ht="12.5" x14ac:dyDescent="0.25">
      <c r="A684" s="3" t="e">
        <f ca="1"/>
        <v>#NAME?</v>
      </c>
      <c r="B684" s="2" t="s">
        <v>12</v>
      </c>
      <c r="C684" s="2" t="s">
        <v>12</v>
      </c>
      <c r="D684" s="2" t="s">
        <v>12</v>
      </c>
      <c r="E684" s="2" t="s">
        <v>12</v>
      </c>
      <c r="F684" s="2" t="s">
        <v>12</v>
      </c>
      <c r="G684" s="2" t="s">
        <v>12</v>
      </c>
      <c r="H684" s="2" t="s">
        <v>12</v>
      </c>
      <c r="I684" s="2" t="s">
        <v>12</v>
      </c>
      <c r="J684" s="2" t="s">
        <v>12</v>
      </c>
      <c r="K684" s="2" t="s">
        <v>12</v>
      </c>
    </row>
    <row r="685" spans="1:11" ht="12.5" x14ac:dyDescent="0.25">
      <c r="A685" s="3" t="e">
        <f ca="1"/>
        <v>#NAME?</v>
      </c>
      <c r="B685" s="2" t="s">
        <v>12</v>
      </c>
      <c r="C685" s="2" t="s">
        <v>12</v>
      </c>
      <c r="D685" s="2" t="s">
        <v>12</v>
      </c>
      <c r="E685" s="2" t="s">
        <v>12</v>
      </c>
      <c r="F685" s="2" t="s">
        <v>12</v>
      </c>
      <c r="G685" s="2" t="s">
        <v>12</v>
      </c>
      <c r="H685" s="2" t="s">
        <v>12</v>
      </c>
      <c r="I685" s="2" t="s">
        <v>12</v>
      </c>
      <c r="J685" s="2" t="s">
        <v>12</v>
      </c>
      <c r="K685" s="2" t="s">
        <v>12</v>
      </c>
    </row>
    <row r="686" spans="1:11" ht="12.5" x14ac:dyDescent="0.25">
      <c r="A686" s="3" t="e">
        <f ca="1"/>
        <v>#NAME?</v>
      </c>
      <c r="B686" s="2" t="s">
        <v>12</v>
      </c>
      <c r="C686" s="2" t="s">
        <v>12</v>
      </c>
      <c r="D686" s="2" t="s">
        <v>12</v>
      </c>
      <c r="E686" s="2" t="s">
        <v>12</v>
      </c>
      <c r="F686" s="2" t="s">
        <v>12</v>
      </c>
      <c r="G686" s="2" t="s">
        <v>12</v>
      </c>
      <c r="H686" s="2" t="s">
        <v>12</v>
      </c>
      <c r="I686" s="2" t="s">
        <v>12</v>
      </c>
      <c r="J686" s="2" t="s">
        <v>12</v>
      </c>
      <c r="K686" s="2" t="s">
        <v>12</v>
      </c>
    </row>
    <row r="687" spans="1:11" ht="12.5" x14ac:dyDescent="0.25">
      <c r="A687" s="3" t="e">
        <f ca="1"/>
        <v>#NAME?</v>
      </c>
      <c r="B687" s="2" t="s">
        <v>12</v>
      </c>
      <c r="C687" s="2" t="s">
        <v>12</v>
      </c>
      <c r="D687" s="2" t="s">
        <v>12</v>
      </c>
      <c r="E687" s="2" t="s">
        <v>12</v>
      </c>
      <c r="F687" s="2" t="s">
        <v>12</v>
      </c>
      <c r="G687" s="2" t="s">
        <v>12</v>
      </c>
      <c r="H687" s="2" t="s">
        <v>12</v>
      </c>
      <c r="I687" s="2" t="s">
        <v>12</v>
      </c>
      <c r="J687" s="2" t="s">
        <v>12</v>
      </c>
      <c r="K687" s="2" t="s">
        <v>12</v>
      </c>
    </row>
    <row r="688" spans="1:11" ht="12.5" x14ac:dyDescent="0.25">
      <c r="A688" s="3" t="e">
        <f ca="1"/>
        <v>#NAME?</v>
      </c>
      <c r="B688" s="2" t="s">
        <v>12</v>
      </c>
      <c r="C688" s="2" t="s">
        <v>12</v>
      </c>
      <c r="D688" s="2" t="s">
        <v>12</v>
      </c>
      <c r="E688" s="2" t="s">
        <v>12</v>
      </c>
      <c r="F688" s="2" t="s">
        <v>12</v>
      </c>
      <c r="G688" s="2" t="s">
        <v>12</v>
      </c>
      <c r="H688" s="2" t="s">
        <v>12</v>
      </c>
      <c r="I688" s="2" t="s">
        <v>12</v>
      </c>
      <c r="J688" s="2" t="s">
        <v>12</v>
      </c>
      <c r="K688" s="2" t="s">
        <v>12</v>
      </c>
    </row>
    <row r="689" spans="1:11" ht="12.5" x14ac:dyDescent="0.25">
      <c r="A689" s="3" t="e">
        <f ca="1"/>
        <v>#NAME?</v>
      </c>
      <c r="B689" s="2" t="s">
        <v>12</v>
      </c>
      <c r="C689" s="2" t="s">
        <v>12</v>
      </c>
      <c r="D689" s="2" t="s">
        <v>12</v>
      </c>
      <c r="E689" s="2" t="s">
        <v>12</v>
      </c>
      <c r="F689" s="2" t="s">
        <v>12</v>
      </c>
      <c r="G689" s="2" t="s">
        <v>12</v>
      </c>
      <c r="H689" s="2" t="s">
        <v>12</v>
      </c>
      <c r="I689" s="2" t="s">
        <v>12</v>
      </c>
      <c r="J689" s="2" t="s">
        <v>12</v>
      </c>
      <c r="K689" s="2" t="s">
        <v>12</v>
      </c>
    </row>
    <row r="690" spans="1:11" ht="12.5" x14ac:dyDescent="0.25">
      <c r="A690" s="3" t="e">
        <f ca="1"/>
        <v>#NAME?</v>
      </c>
      <c r="B690" s="2" t="s">
        <v>12</v>
      </c>
      <c r="C690" s="2" t="s">
        <v>12</v>
      </c>
      <c r="D690" s="2" t="s">
        <v>12</v>
      </c>
      <c r="E690" s="2" t="s">
        <v>12</v>
      </c>
      <c r="F690" s="2" t="s">
        <v>12</v>
      </c>
      <c r="G690" s="2" t="s">
        <v>12</v>
      </c>
      <c r="H690" s="2" t="s">
        <v>12</v>
      </c>
      <c r="I690" s="2" t="s">
        <v>12</v>
      </c>
      <c r="J690" s="2" t="s">
        <v>12</v>
      </c>
      <c r="K690" s="2" t="s">
        <v>12</v>
      </c>
    </row>
    <row r="691" spans="1:11" ht="12.5" x14ac:dyDescent="0.25">
      <c r="A691" s="3" t="e">
        <f ca="1"/>
        <v>#NAME?</v>
      </c>
      <c r="B691" s="2" t="s">
        <v>12</v>
      </c>
      <c r="C691" s="2" t="s">
        <v>12</v>
      </c>
      <c r="D691" s="2" t="s">
        <v>12</v>
      </c>
      <c r="E691" s="2" t="s">
        <v>12</v>
      </c>
      <c r="F691" s="2" t="s">
        <v>12</v>
      </c>
      <c r="G691" s="2" t="s">
        <v>12</v>
      </c>
      <c r="H691" s="2" t="s">
        <v>12</v>
      </c>
      <c r="I691" s="2" t="s">
        <v>12</v>
      </c>
      <c r="J691" s="2" t="s">
        <v>12</v>
      </c>
      <c r="K691" s="2" t="s">
        <v>12</v>
      </c>
    </row>
    <row r="692" spans="1:11" ht="12.5" x14ac:dyDescent="0.25">
      <c r="A692" s="3" t="e">
        <f ca="1"/>
        <v>#NAME?</v>
      </c>
      <c r="B692" s="2" t="s">
        <v>12</v>
      </c>
      <c r="C692" s="2" t="s">
        <v>12</v>
      </c>
      <c r="D692" s="2" t="s">
        <v>12</v>
      </c>
      <c r="E692" s="2" t="s">
        <v>12</v>
      </c>
      <c r="F692" s="2" t="s">
        <v>12</v>
      </c>
      <c r="G692" s="2" t="s">
        <v>12</v>
      </c>
      <c r="H692" s="2" t="s">
        <v>12</v>
      </c>
      <c r="I692" s="2" t="s">
        <v>12</v>
      </c>
      <c r="J692" s="2" t="s">
        <v>12</v>
      </c>
      <c r="K692" s="2" t="s">
        <v>12</v>
      </c>
    </row>
    <row r="693" spans="1:11" ht="12.5" x14ac:dyDescent="0.25">
      <c r="A693" s="3" t="e">
        <f ca="1"/>
        <v>#NAME?</v>
      </c>
      <c r="B693" s="2" t="s">
        <v>12</v>
      </c>
      <c r="C693" s="2" t="s">
        <v>12</v>
      </c>
      <c r="D693" s="2" t="s">
        <v>12</v>
      </c>
      <c r="E693" s="2" t="s">
        <v>12</v>
      </c>
      <c r="F693" s="2" t="s">
        <v>12</v>
      </c>
      <c r="G693" s="2" t="s">
        <v>12</v>
      </c>
      <c r="H693" s="2" t="s">
        <v>12</v>
      </c>
      <c r="I693" s="2" t="s">
        <v>12</v>
      </c>
      <c r="J693" s="2" t="s">
        <v>12</v>
      </c>
      <c r="K693" s="2" t="s">
        <v>12</v>
      </c>
    </row>
    <row r="694" spans="1:11" ht="12.5" x14ac:dyDescent="0.25">
      <c r="A694" s="3" t="e">
        <f ca="1"/>
        <v>#NAME?</v>
      </c>
      <c r="B694" s="2" t="s">
        <v>12</v>
      </c>
      <c r="C694" s="2" t="s">
        <v>12</v>
      </c>
      <c r="D694" s="2" t="s">
        <v>12</v>
      </c>
      <c r="E694" s="2" t="s">
        <v>12</v>
      </c>
      <c r="F694" s="2" t="s">
        <v>12</v>
      </c>
      <c r="G694" s="2" t="s">
        <v>12</v>
      </c>
      <c r="H694" s="2" t="s">
        <v>12</v>
      </c>
      <c r="I694" s="2" t="s">
        <v>12</v>
      </c>
      <c r="J694" s="2" t="s">
        <v>12</v>
      </c>
      <c r="K694" s="2" t="s">
        <v>12</v>
      </c>
    </row>
    <row r="695" spans="1:11" ht="12.5" x14ac:dyDescent="0.25">
      <c r="A695" s="3" t="e">
        <f ca="1"/>
        <v>#NAME?</v>
      </c>
      <c r="B695" s="2" t="s">
        <v>12</v>
      </c>
      <c r="C695" s="2" t="s">
        <v>12</v>
      </c>
      <c r="D695" s="2" t="s">
        <v>12</v>
      </c>
      <c r="E695" s="2" t="s">
        <v>12</v>
      </c>
      <c r="F695" s="2" t="s">
        <v>12</v>
      </c>
      <c r="G695" s="2" t="s">
        <v>12</v>
      </c>
      <c r="H695" s="2" t="s">
        <v>12</v>
      </c>
      <c r="I695" s="2" t="s">
        <v>12</v>
      </c>
      <c r="J695" s="2" t="s">
        <v>12</v>
      </c>
      <c r="K695" s="2" t="s">
        <v>12</v>
      </c>
    </row>
    <row r="696" spans="1:11" ht="12.5" x14ac:dyDescent="0.25">
      <c r="A696" s="3" t="e">
        <f ca="1"/>
        <v>#NAME?</v>
      </c>
      <c r="B696" s="2" t="s">
        <v>12</v>
      </c>
      <c r="C696" s="2" t="s">
        <v>12</v>
      </c>
      <c r="D696" s="2" t="s">
        <v>12</v>
      </c>
      <c r="E696" s="2" t="s">
        <v>12</v>
      </c>
      <c r="F696" s="2" t="s">
        <v>12</v>
      </c>
      <c r="G696" s="2" t="s">
        <v>12</v>
      </c>
      <c r="H696" s="2" t="s">
        <v>12</v>
      </c>
      <c r="I696" s="2" t="s">
        <v>12</v>
      </c>
      <c r="J696" s="2" t="s">
        <v>12</v>
      </c>
      <c r="K696" s="2" t="s">
        <v>12</v>
      </c>
    </row>
    <row r="697" spans="1:11" ht="12.5" x14ac:dyDescent="0.25">
      <c r="A697" s="3" t="e">
        <f ca="1"/>
        <v>#NAME?</v>
      </c>
      <c r="B697" s="2" t="s">
        <v>12</v>
      </c>
      <c r="C697" s="2" t="s">
        <v>12</v>
      </c>
      <c r="D697" s="2" t="s">
        <v>12</v>
      </c>
      <c r="E697" s="2" t="s">
        <v>12</v>
      </c>
      <c r="F697" s="2" t="s">
        <v>12</v>
      </c>
      <c r="G697" s="2" t="s">
        <v>12</v>
      </c>
      <c r="H697" s="2" t="s">
        <v>12</v>
      </c>
      <c r="I697" s="2" t="s">
        <v>12</v>
      </c>
      <c r="J697" s="2" t="s">
        <v>12</v>
      </c>
      <c r="K697" s="2" t="s">
        <v>12</v>
      </c>
    </row>
    <row r="698" spans="1:11" ht="12.5" x14ac:dyDescent="0.25">
      <c r="A698" s="3" t="e">
        <f ca="1"/>
        <v>#NAME?</v>
      </c>
      <c r="B698" s="2" t="s">
        <v>12</v>
      </c>
      <c r="C698" s="2" t="s">
        <v>12</v>
      </c>
      <c r="D698" s="2" t="s">
        <v>12</v>
      </c>
      <c r="E698" s="2" t="s">
        <v>12</v>
      </c>
      <c r="F698" s="2" t="s">
        <v>12</v>
      </c>
      <c r="G698" s="2" t="s">
        <v>12</v>
      </c>
      <c r="H698" s="2" t="s">
        <v>12</v>
      </c>
      <c r="I698" s="2" t="s">
        <v>12</v>
      </c>
      <c r="J698" s="2" t="s">
        <v>12</v>
      </c>
      <c r="K698" s="2" t="s">
        <v>12</v>
      </c>
    </row>
    <row r="699" spans="1:11" ht="12.5" x14ac:dyDescent="0.25">
      <c r="A699" s="3" t="e">
        <f ca="1"/>
        <v>#NAME?</v>
      </c>
      <c r="B699" s="2" t="s">
        <v>12</v>
      </c>
      <c r="C699" s="2" t="s">
        <v>12</v>
      </c>
      <c r="D699" s="2" t="s">
        <v>12</v>
      </c>
      <c r="E699" s="2" t="s">
        <v>12</v>
      </c>
      <c r="F699" s="2" t="s">
        <v>12</v>
      </c>
      <c r="G699" s="2" t="s">
        <v>12</v>
      </c>
      <c r="H699" s="2" t="s">
        <v>12</v>
      </c>
      <c r="I699" s="2" t="s">
        <v>12</v>
      </c>
      <c r="J699" s="2" t="s">
        <v>12</v>
      </c>
      <c r="K699" s="2" t="s">
        <v>12</v>
      </c>
    </row>
    <row r="700" spans="1:11" ht="12.5" x14ac:dyDescent="0.25">
      <c r="A700" s="3" t="e">
        <f ca="1"/>
        <v>#NAME?</v>
      </c>
      <c r="B700" s="2" t="s">
        <v>12</v>
      </c>
      <c r="C700" s="2" t="s">
        <v>12</v>
      </c>
      <c r="D700" s="2" t="s">
        <v>12</v>
      </c>
      <c r="E700" s="2" t="s">
        <v>12</v>
      </c>
      <c r="F700" s="2" t="s">
        <v>12</v>
      </c>
      <c r="G700" s="2" t="s">
        <v>12</v>
      </c>
      <c r="H700" s="2" t="s">
        <v>12</v>
      </c>
      <c r="I700" s="2" t="s">
        <v>12</v>
      </c>
      <c r="J700" s="2" t="s">
        <v>12</v>
      </c>
      <c r="K700" s="2" t="s">
        <v>12</v>
      </c>
    </row>
    <row r="701" spans="1:11" ht="12.5" x14ac:dyDescent="0.25">
      <c r="A701" s="3" t="e">
        <f ca="1"/>
        <v>#NAME?</v>
      </c>
      <c r="B701" s="2" t="s">
        <v>12</v>
      </c>
      <c r="C701" s="2" t="s">
        <v>12</v>
      </c>
      <c r="D701" s="2" t="s">
        <v>12</v>
      </c>
      <c r="E701" s="2" t="s">
        <v>12</v>
      </c>
      <c r="F701" s="2" t="s">
        <v>12</v>
      </c>
      <c r="G701" s="2" t="s">
        <v>12</v>
      </c>
      <c r="H701" s="2" t="s">
        <v>12</v>
      </c>
      <c r="I701" s="2" t="s">
        <v>12</v>
      </c>
      <c r="J701" s="2" t="s">
        <v>12</v>
      </c>
      <c r="K701" s="2" t="s">
        <v>12</v>
      </c>
    </row>
    <row r="702" spans="1:11" ht="12.5" x14ac:dyDescent="0.25">
      <c r="A702" s="3" t="e">
        <f ca="1"/>
        <v>#NAME?</v>
      </c>
      <c r="B702" s="2" t="s">
        <v>12</v>
      </c>
      <c r="C702" s="2" t="s">
        <v>12</v>
      </c>
      <c r="D702" s="2" t="s">
        <v>12</v>
      </c>
      <c r="E702" s="2" t="s">
        <v>12</v>
      </c>
      <c r="F702" s="2" t="s">
        <v>12</v>
      </c>
      <c r="G702" s="2" t="s">
        <v>12</v>
      </c>
      <c r="H702" s="2" t="s">
        <v>12</v>
      </c>
      <c r="I702" s="2" t="s">
        <v>12</v>
      </c>
      <c r="J702" s="2" t="s">
        <v>12</v>
      </c>
      <c r="K702" s="2" t="s">
        <v>12</v>
      </c>
    </row>
    <row r="703" spans="1:11" ht="12.5" x14ac:dyDescent="0.25">
      <c r="A703" s="3" t="e">
        <f ca="1"/>
        <v>#NAME?</v>
      </c>
      <c r="B703" s="2" t="s">
        <v>12</v>
      </c>
      <c r="C703" s="2" t="s">
        <v>12</v>
      </c>
      <c r="D703" s="2" t="s">
        <v>12</v>
      </c>
      <c r="E703" s="2" t="s">
        <v>12</v>
      </c>
      <c r="F703" s="2" t="s">
        <v>12</v>
      </c>
      <c r="G703" s="2" t="s">
        <v>12</v>
      </c>
      <c r="H703" s="2" t="s">
        <v>12</v>
      </c>
      <c r="I703" s="2" t="s">
        <v>12</v>
      </c>
      <c r="J703" s="2" t="s">
        <v>12</v>
      </c>
      <c r="K703" s="2" t="s">
        <v>12</v>
      </c>
    </row>
    <row r="704" spans="1:11" ht="12.5" x14ac:dyDescent="0.25">
      <c r="A704" s="3" t="e">
        <f ca="1"/>
        <v>#NAME?</v>
      </c>
      <c r="B704" s="2" t="s">
        <v>12</v>
      </c>
      <c r="C704" s="2" t="s">
        <v>12</v>
      </c>
      <c r="D704" s="2" t="s">
        <v>12</v>
      </c>
      <c r="E704" s="2" t="s">
        <v>12</v>
      </c>
      <c r="F704" s="2" t="s">
        <v>12</v>
      </c>
      <c r="G704" s="2" t="s">
        <v>12</v>
      </c>
      <c r="H704" s="2" t="s">
        <v>12</v>
      </c>
      <c r="I704" s="2" t="s">
        <v>12</v>
      </c>
      <c r="J704" s="2" t="s">
        <v>12</v>
      </c>
      <c r="K704" s="2" t="s">
        <v>12</v>
      </c>
    </row>
    <row r="705" spans="1:11" ht="12.5" x14ac:dyDescent="0.25">
      <c r="A705" s="3" t="e">
        <f ca="1"/>
        <v>#NAME?</v>
      </c>
      <c r="B705" s="2" t="s">
        <v>12</v>
      </c>
      <c r="C705" s="2" t="s">
        <v>12</v>
      </c>
      <c r="D705" s="2" t="s">
        <v>12</v>
      </c>
      <c r="E705" s="2" t="s">
        <v>12</v>
      </c>
      <c r="F705" s="2" t="s">
        <v>12</v>
      </c>
      <c r="G705" s="2" t="s">
        <v>12</v>
      </c>
      <c r="H705" s="2" t="s">
        <v>12</v>
      </c>
      <c r="I705" s="2" t="s">
        <v>12</v>
      </c>
      <c r="J705" s="2" t="s">
        <v>12</v>
      </c>
      <c r="K705" s="2" t="s">
        <v>12</v>
      </c>
    </row>
    <row r="706" spans="1:11" ht="12.5" x14ac:dyDescent="0.25">
      <c r="A706" s="3" t="e">
        <f ca="1"/>
        <v>#NAME?</v>
      </c>
      <c r="B706" s="2" t="s">
        <v>12</v>
      </c>
      <c r="C706" s="2" t="s">
        <v>12</v>
      </c>
      <c r="D706" s="2" t="s">
        <v>12</v>
      </c>
      <c r="E706" s="2" t="s">
        <v>12</v>
      </c>
      <c r="F706" s="2" t="s">
        <v>12</v>
      </c>
      <c r="G706" s="2" t="s">
        <v>12</v>
      </c>
      <c r="H706" s="2" t="s">
        <v>12</v>
      </c>
      <c r="I706" s="2" t="s">
        <v>12</v>
      </c>
      <c r="J706" s="2" t="s">
        <v>12</v>
      </c>
      <c r="K706" s="2" t="s">
        <v>12</v>
      </c>
    </row>
    <row r="707" spans="1:11" ht="12.5" x14ac:dyDescent="0.25">
      <c r="A707" s="3" t="e">
        <f ca="1"/>
        <v>#NAME?</v>
      </c>
      <c r="B707" s="2" t="s">
        <v>12</v>
      </c>
      <c r="C707" s="2" t="s">
        <v>12</v>
      </c>
      <c r="D707" s="2" t="s">
        <v>12</v>
      </c>
      <c r="E707" s="2" t="s">
        <v>12</v>
      </c>
      <c r="F707" s="2" t="s">
        <v>12</v>
      </c>
      <c r="G707" s="2" t="s">
        <v>12</v>
      </c>
      <c r="H707" s="2" t="s">
        <v>12</v>
      </c>
      <c r="I707" s="2" t="s">
        <v>12</v>
      </c>
      <c r="J707" s="2" t="s">
        <v>12</v>
      </c>
      <c r="K707" s="2" t="s">
        <v>12</v>
      </c>
    </row>
    <row r="708" spans="1:11" ht="12.5" x14ac:dyDescent="0.25">
      <c r="A708" s="3" t="e">
        <f ca="1"/>
        <v>#NAME?</v>
      </c>
      <c r="B708" s="2" t="s">
        <v>12</v>
      </c>
      <c r="C708" s="2" t="s">
        <v>12</v>
      </c>
      <c r="D708" s="2" t="s">
        <v>12</v>
      </c>
      <c r="E708" s="2" t="s">
        <v>12</v>
      </c>
      <c r="F708" s="2" t="s">
        <v>12</v>
      </c>
      <c r="G708" s="2" t="s">
        <v>12</v>
      </c>
      <c r="H708" s="2" t="s">
        <v>12</v>
      </c>
      <c r="I708" s="2" t="s">
        <v>12</v>
      </c>
      <c r="J708" s="2" t="s">
        <v>12</v>
      </c>
      <c r="K708" s="2" t="s">
        <v>12</v>
      </c>
    </row>
    <row r="709" spans="1:11" ht="12.5" x14ac:dyDescent="0.25">
      <c r="A709" s="3" t="e">
        <f ca="1"/>
        <v>#NAME?</v>
      </c>
      <c r="B709" s="2" t="s">
        <v>12</v>
      </c>
      <c r="C709" s="2" t="s">
        <v>12</v>
      </c>
      <c r="D709" s="2" t="s">
        <v>12</v>
      </c>
      <c r="E709" s="2" t="s">
        <v>12</v>
      </c>
      <c r="F709" s="2" t="s">
        <v>12</v>
      </c>
      <c r="G709" s="2" t="s">
        <v>12</v>
      </c>
      <c r="H709" s="2" t="s">
        <v>12</v>
      </c>
      <c r="I709" s="2" t="s">
        <v>12</v>
      </c>
      <c r="J709" s="2" t="s">
        <v>12</v>
      </c>
      <c r="K709" s="2" t="s">
        <v>12</v>
      </c>
    </row>
    <row r="710" spans="1:11" ht="12.5" x14ac:dyDescent="0.25">
      <c r="A710" s="3" t="e">
        <f ca="1"/>
        <v>#NAME?</v>
      </c>
      <c r="B710" s="2" t="s">
        <v>12</v>
      </c>
      <c r="C710" s="2" t="s">
        <v>12</v>
      </c>
      <c r="D710" s="2" t="s">
        <v>12</v>
      </c>
      <c r="E710" s="2" t="s">
        <v>12</v>
      </c>
      <c r="F710" s="2" t="s">
        <v>12</v>
      </c>
      <c r="G710" s="2" t="s">
        <v>12</v>
      </c>
      <c r="H710" s="2" t="s">
        <v>12</v>
      </c>
      <c r="I710" s="2" t="s">
        <v>12</v>
      </c>
      <c r="J710" s="2" t="s">
        <v>12</v>
      </c>
      <c r="K710" s="2" t="s">
        <v>12</v>
      </c>
    </row>
    <row r="711" spans="1:11" ht="12.5" x14ac:dyDescent="0.25">
      <c r="A711" s="3" t="e">
        <f ca="1"/>
        <v>#NAME?</v>
      </c>
      <c r="B711" s="2" t="s">
        <v>12</v>
      </c>
      <c r="C711" s="2" t="s">
        <v>12</v>
      </c>
      <c r="D711" s="2" t="s">
        <v>12</v>
      </c>
      <c r="E711" s="2" t="s">
        <v>12</v>
      </c>
      <c r="F711" s="2" t="s">
        <v>12</v>
      </c>
      <c r="G711" s="2" t="s">
        <v>12</v>
      </c>
      <c r="H711" s="2" t="s">
        <v>12</v>
      </c>
      <c r="I711" s="2" t="s">
        <v>12</v>
      </c>
      <c r="J711" s="2" t="s">
        <v>12</v>
      </c>
      <c r="K711" s="2" t="s">
        <v>12</v>
      </c>
    </row>
    <row r="712" spans="1:11" ht="12.5" x14ac:dyDescent="0.25">
      <c r="A712" s="3" t="e">
        <f ca="1"/>
        <v>#NAME?</v>
      </c>
      <c r="B712" s="2" t="s">
        <v>12</v>
      </c>
      <c r="C712" s="2" t="s">
        <v>12</v>
      </c>
      <c r="D712" s="2" t="s">
        <v>12</v>
      </c>
      <c r="E712" s="2" t="s">
        <v>12</v>
      </c>
      <c r="F712" s="2" t="s">
        <v>12</v>
      </c>
      <c r="G712" s="2" t="s">
        <v>12</v>
      </c>
      <c r="H712" s="2" t="s">
        <v>12</v>
      </c>
      <c r="I712" s="2" t="s">
        <v>12</v>
      </c>
      <c r="J712" s="2" t="s">
        <v>12</v>
      </c>
      <c r="K712" s="2" t="s">
        <v>12</v>
      </c>
    </row>
    <row r="713" spans="1:11" ht="12.5" x14ac:dyDescent="0.25">
      <c r="A713" s="3" t="e">
        <f ca="1"/>
        <v>#NAME?</v>
      </c>
      <c r="B713" s="2" t="s">
        <v>12</v>
      </c>
      <c r="C713" s="2" t="s">
        <v>12</v>
      </c>
      <c r="D713" s="2" t="s">
        <v>12</v>
      </c>
      <c r="E713" s="2" t="s">
        <v>12</v>
      </c>
      <c r="F713" s="2" t="s">
        <v>12</v>
      </c>
      <c r="G713" s="2" t="s">
        <v>12</v>
      </c>
      <c r="H713" s="2" t="s">
        <v>12</v>
      </c>
      <c r="I713" s="2" t="s">
        <v>12</v>
      </c>
      <c r="J713" s="2" t="s">
        <v>12</v>
      </c>
      <c r="K713" s="2" t="s">
        <v>12</v>
      </c>
    </row>
    <row r="714" spans="1:11" ht="12.5" x14ac:dyDescent="0.25">
      <c r="A714" s="3" t="e">
        <f ca="1"/>
        <v>#NAME?</v>
      </c>
      <c r="B714" s="2" t="s">
        <v>12</v>
      </c>
      <c r="C714" s="2" t="s">
        <v>12</v>
      </c>
      <c r="D714" s="2" t="s">
        <v>12</v>
      </c>
      <c r="E714" s="2" t="s">
        <v>12</v>
      </c>
      <c r="F714" s="2" t="s">
        <v>12</v>
      </c>
      <c r="G714" s="2" t="s">
        <v>12</v>
      </c>
      <c r="H714" s="2" t="s">
        <v>12</v>
      </c>
      <c r="I714" s="2" t="s">
        <v>12</v>
      </c>
      <c r="J714" s="2" t="s">
        <v>12</v>
      </c>
      <c r="K714" s="2" t="s">
        <v>12</v>
      </c>
    </row>
    <row r="715" spans="1:11" ht="12.5" x14ac:dyDescent="0.25">
      <c r="A715" s="3" t="e">
        <f ca="1"/>
        <v>#NAME?</v>
      </c>
      <c r="B715" s="2" t="s">
        <v>12</v>
      </c>
      <c r="C715" s="2" t="s">
        <v>12</v>
      </c>
      <c r="D715" s="2" t="s">
        <v>12</v>
      </c>
      <c r="E715" s="2" t="s">
        <v>12</v>
      </c>
      <c r="F715" s="2" t="s">
        <v>12</v>
      </c>
      <c r="G715" s="2" t="s">
        <v>12</v>
      </c>
      <c r="H715" s="2" t="s">
        <v>12</v>
      </c>
      <c r="I715" s="2" t="s">
        <v>12</v>
      </c>
      <c r="J715" s="2" t="s">
        <v>12</v>
      </c>
      <c r="K715" s="2" t="s">
        <v>12</v>
      </c>
    </row>
    <row r="716" spans="1:11" ht="12.5" x14ac:dyDescent="0.25">
      <c r="A716" s="3" t="e">
        <f ca="1"/>
        <v>#NAME?</v>
      </c>
      <c r="B716" s="2" t="s">
        <v>12</v>
      </c>
      <c r="C716" s="2" t="s">
        <v>12</v>
      </c>
      <c r="D716" s="2" t="s">
        <v>12</v>
      </c>
      <c r="E716" s="2" t="s">
        <v>12</v>
      </c>
      <c r="F716" s="2" t="s">
        <v>12</v>
      </c>
      <c r="G716" s="2" t="s">
        <v>12</v>
      </c>
      <c r="H716" s="2" t="s">
        <v>12</v>
      </c>
      <c r="I716" s="2" t="s">
        <v>12</v>
      </c>
      <c r="J716" s="2" t="s">
        <v>12</v>
      </c>
      <c r="K716" s="2" t="s">
        <v>12</v>
      </c>
    </row>
    <row r="717" spans="1:11" ht="12.5" x14ac:dyDescent="0.25">
      <c r="A717" s="3" t="e">
        <f ca="1"/>
        <v>#NAME?</v>
      </c>
      <c r="B717" s="2" t="s">
        <v>12</v>
      </c>
      <c r="C717" s="2" t="s">
        <v>12</v>
      </c>
      <c r="D717" s="2" t="s">
        <v>12</v>
      </c>
      <c r="E717" s="2" t="s">
        <v>12</v>
      </c>
      <c r="F717" s="2" t="s">
        <v>12</v>
      </c>
      <c r="G717" s="2" t="s">
        <v>12</v>
      </c>
      <c r="H717" s="2" t="s">
        <v>12</v>
      </c>
      <c r="I717" s="2" t="s">
        <v>12</v>
      </c>
      <c r="J717" s="2" t="s">
        <v>12</v>
      </c>
      <c r="K717" s="2" t="s">
        <v>12</v>
      </c>
    </row>
    <row r="718" spans="1:11" ht="12.5" x14ac:dyDescent="0.25">
      <c r="A718" s="3" t="e">
        <f ca="1"/>
        <v>#NAME?</v>
      </c>
      <c r="B718" s="2" t="s">
        <v>12</v>
      </c>
      <c r="C718" s="2" t="s">
        <v>12</v>
      </c>
      <c r="D718" s="2" t="s">
        <v>12</v>
      </c>
      <c r="E718" s="2" t="s">
        <v>12</v>
      </c>
      <c r="F718" s="2" t="s">
        <v>12</v>
      </c>
      <c r="G718" s="2" t="s">
        <v>12</v>
      </c>
      <c r="H718" s="2" t="s">
        <v>12</v>
      </c>
      <c r="I718" s="2" t="s">
        <v>12</v>
      </c>
      <c r="J718" s="2" t="s">
        <v>12</v>
      </c>
      <c r="K718" s="2" t="s">
        <v>12</v>
      </c>
    </row>
    <row r="719" spans="1:11" ht="12.5" x14ac:dyDescent="0.25">
      <c r="A719" s="3" t="e">
        <f ca="1"/>
        <v>#NAME?</v>
      </c>
      <c r="B719" s="2" t="s">
        <v>12</v>
      </c>
      <c r="C719" s="2" t="s">
        <v>12</v>
      </c>
      <c r="D719" s="2" t="s">
        <v>12</v>
      </c>
      <c r="E719" s="2" t="s">
        <v>12</v>
      </c>
      <c r="F719" s="2" t="s">
        <v>12</v>
      </c>
      <c r="G719" s="2" t="s">
        <v>12</v>
      </c>
      <c r="H719" s="2" t="s">
        <v>12</v>
      </c>
      <c r="I719" s="2" t="s">
        <v>12</v>
      </c>
      <c r="J719" s="2" t="s">
        <v>12</v>
      </c>
      <c r="K719" s="2" t="s">
        <v>12</v>
      </c>
    </row>
    <row r="720" spans="1:11" ht="12.5" x14ac:dyDescent="0.25">
      <c r="A720" s="3" t="e">
        <f ca="1"/>
        <v>#NAME?</v>
      </c>
      <c r="B720" s="2" t="s">
        <v>12</v>
      </c>
      <c r="C720" s="2" t="s">
        <v>12</v>
      </c>
      <c r="D720" s="2" t="s">
        <v>12</v>
      </c>
      <c r="E720" s="2" t="s">
        <v>12</v>
      </c>
      <c r="F720" s="2" t="s">
        <v>12</v>
      </c>
      <c r="G720" s="2" t="s">
        <v>12</v>
      </c>
      <c r="H720" s="2" t="s">
        <v>12</v>
      </c>
      <c r="I720" s="2" t="s">
        <v>12</v>
      </c>
      <c r="J720" s="2" t="s">
        <v>12</v>
      </c>
      <c r="K720" s="2" t="s">
        <v>12</v>
      </c>
    </row>
    <row r="721" spans="1:11" ht="12.5" x14ac:dyDescent="0.25">
      <c r="A721" s="3" t="e">
        <f ca="1"/>
        <v>#NAME?</v>
      </c>
      <c r="B721" s="2" t="s">
        <v>12</v>
      </c>
      <c r="C721" s="2" t="s">
        <v>12</v>
      </c>
      <c r="D721" s="2" t="s">
        <v>12</v>
      </c>
      <c r="E721" s="2" t="s">
        <v>12</v>
      </c>
      <c r="F721" s="2" t="s">
        <v>12</v>
      </c>
      <c r="G721" s="2" t="s">
        <v>12</v>
      </c>
      <c r="H721" s="2" t="s">
        <v>12</v>
      </c>
      <c r="I721" s="2" t="s">
        <v>12</v>
      </c>
      <c r="J721" s="2" t="s">
        <v>12</v>
      </c>
      <c r="K721" s="2" t="s">
        <v>12</v>
      </c>
    </row>
    <row r="722" spans="1:11" ht="12.5" x14ac:dyDescent="0.25">
      <c r="A722" s="3" t="e">
        <f ca="1"/>
        <v>#NAME?</v>
      </c>
      <c r="B722" s="2" t="s">
        <v>12</v>
      </c>
      <c r="C722" s="2" t="s">
        <v>12</v>
      </c>
      <c r="D722" s="2" t="s">
        <v>12</v>
      </c>
      <c r="E722" s="2" t="s">
        <v>12</v>
      </c>
      <c r="F722" s="2" t="s">
        <v>12</v>
      </c>
      <c r="G722" s="2" t="s">
        <v>12</v>
      </c>
      <c r="H722" s="2" t="s">
        <v>12</v>
      </c>
      <c r="I722" s="2" t="s">
        <v>12</v>
      </c>
      <c r="J722" s="2" t="s">
        <v>12</v>
      </c>
      <c r="K722" s="2" t="s">
        <v>12</v>
      </c>
    </row>
    <row r="723" spans="1:11" ht="12.5" x14ac:dyDescent="0.25">
      <c r="A723" s="3" t="e">
        <f ca="1"/>
        <v>#NAME?</v>
      </c>
      <c r="B723" s="2" t="s">
        <v>12</v>
      </c>
      <c r="C723" s="2" t="s">
        <v>12</v>
      </c>
      <c r="D723" s="2" t="s">
        <v>12</v>
      </c>
      <c r="E723" s="2" t="s">
        <v>12</v>
      </c>
      <c r="F723" s="2" t="s">
        <v>12</v>
      </c>
      <c r="G723" s="2" t="s">
        <v>12</v>
      </c>
      <c r="H723" s="2" t="s">
        <v>12</v>
      </c>
      <c r="I723" s="2" t="s">
        <v>12</v>
      </c>
      <c r="J723" s="2" t="s">
        <v>12</v>
      </c>
      <c r="K723" s="2" t="s">
        <v>12</v>
      </c>
    </row>
    <row r="724" spans="1:11" ht="12.5" x14ac:dyDescent="0.25">
      <c r="A724" s="3" t="e">
        <f ca="1"/>
        <v>#NAME?</v>
      </c>
      <c r="B724" s="2" t="s">
        <v>12</v>
      </c>
      <c r="C724" s="2" t="s">
        <v>12</v>
      </c>
      <c r="D724" s="2" t="s">
        <v>12</v>
      </c>
      <c r="E724" s="2" t="s">
        <v>12</v>
      </c>
      <c r="F724" s="2" t="s">
        <v>12</v>
      </c>
      <c r="G724" s="2" t="s">
        <v>12</v>
      </c>
      <c r="H724" s="2" t="s">
        <v>12</v>
      </c>
      <c r="I724" s="2" t="s">
        <v>12</v>
      </c>
      <c r="J724" s="2" t="s">
        <v>12</v>
      </c>
      <c r="K724" s="2" t="s">
        <v>12</v>
      </c>
    </row>
    <row r="725" spans="1:11" ht="12.5" x14ac:dyDescent="0.25">
      <c r="A725" s="3" t="e">
        <f ca="1"/>
        <v>#NAME?</v>
      </c>
      <c r="B725" s="2" t="s">
        <v>12</v>
      </c>
      <c r="C725" s="2" t="s">
        <v>12</v>
      </c>
      <c r="D725" s="2" t="s">
        <v>12</v>
      </c>
      <c r="E725" s="2" t="s">
        <v>12</v>
      </c>
      <c r="F725" s="2" t="s">
        <v>12</v>
      </c>
      <c r="G725" s="2" t="s">
        <v>12</v>
      </c>
      <c r="H725" s="2" t="s">
        <v>12</v>
      </c>
      <c r="I725" s="2" t="s">
        <v>12</v>
      </c>
      <c r="J725" s="2" t="s">
        <v>12</v>
      </c>
      <c r="K725" s="2" t="s">
        <v>12</v>
      </c>
    </row>
    <row r="726" spans="1:11" ht="12.5" x14ac:dyDescent="0.25">
      <c r="A726" s="3" t="e">
        <f ca="1"/>
        <v>#NAME?</v>
      </c>
      <c r="B726" s="2" t="s">
        <v>12</v>
      </c>
      <c r="C726" s="2" t="s">
        <v>12</v>
      </c>
      <c r="D726" s="2" t="s">
        <v>12</v>
      </c>
      <c r="E726" s="2" t="s">
        <v>12</v>
      </c>
      <c r="F726" s="2" t="s">
        <v>12</v>
      </c>
      <c r="G726" s="2" t="s">
        <v>12</v>
      </c>
      <c r="H726" s="2" t="s">
        <v>12</v>
      </c>
      <c r="I726" s="2" t="s">
        <v>12</v>
      </c>
      <c r="J726" s="2" t="s">
        <v>12</v>
      </c>
      <c r="K726" s="2" t="s">
        <v>12</v>
      </c>
    </row>
    <row r="727" spans="1:11" ht="12.5" x14ac:dyDescent="0.25">
      <c r="A727" s="3" t="e">
        <f ca="1"/>
        <v>#NAME?</v>
      </c>
      <c r="B727" s="2" t="s">
        <v>12</v>
      </c>
      <c r="C727" s="2" t="s">
        <v>12</v>
      </c>
      <c r="D727" s="2" t="s">
        <v>12</v>
      </c>
      <c r="E727" s="2" t="s">
        <v>12</v>
      </c>
      <c r="F727" s="2" t="s">
        <v>12</v>
      </c>
      <c r="G727" s="2" t="s">
        <v>12</v>
      </c>
      <c r="H727" s="2" t="s">
        <v>12</v>
      </c>
      <c r="I727" s="2" t="s">
        <v>12</v>
      </c>
      <c r="J727" s="2" t="s">
        <v>12</v>
      </c>
      <c r="K727" s="2" t="s">
        <v>12</v>
      </c>
    </row>
    <row r="728" spans="1:11" ht="12.5" x14ac:dyDescent="0.25">
      <c r="A728" s="3" t="e">
        <f ca="1"/>
        <v>#NAME?</v>
      </c>
      <c r="B728" s="2" t="s">
        <v>12</v>
      </c>
      <c r="C728" s="2" t="s">
        <v>12</v>
      </c>
      <c r="D728" s="2" t="s">
        <v>12</v>
      </c>
      <c r="E728" s="2" t="s">
        <v>12</v>
      </c>
      <c r="F728" s="2" t="s">
        <v>12</v>
      </c>
      <c r="G728" s="2" t="s">
        <v>12</v>
      </c>
      <c r="H728" s="2" t="s">
        <v>12</v>
      </c>
      <c r="I728" s="2" t="s">
        <v>12</v>
      </c>
      <c r="J728" s="2" t="s">
        <v>12</v>
      </c>
      <c r="K728" s="2" t="s">
        <v>12</v>
      </c>
    </row>
    <row r="729" spans="1:11" ht="12.5" x14ac:dyDescent="0.25">
      <c r="A729" s="3" t="e">
        <f ca="1"/>
        <v>#NAME?</v>
      </c>
      <c r="B729" s="2" t="s">
        <v>12</v>
      </c>
      <c r="C729" s="2" t="s">
        <v>12</v>
      </c>
      <c r="D729" s="2" t="s">
        <v>12</v>
      </c>
      <c r="E729" s="2" t="s">
        <v>12</v>
      </c>
      <c r="F729" s="2" t="s">
        <v>12</v>
      </c>
      <c r="G729" s="2" t="s">
        <v>12</v>
      </c>
      <c r="H729" s="2" t="s">
        <v>12</v>
      </c>
      <c r="I729" s="2" t="s">
        <v>12</v>
      </c>
      <c r="J729" s="2" t="s">
        <v>12</v>
      </c>
      <c r="K729" s="2" t="s">
        <v>12</v>
      </c>
    </row>
    <row r="730" spans="1:11" ht="12.5" x14ac:dyDescent="0.25">
      <c r="A730" s="3" t="e">
        <f ca="1"/>
        <v>#NAME?</v>
      </c>
      <c r="B730" s="2" t="s">
        <v>12</v>
      </c>
      <c r="C730" s="2" t="s">
        <v>12</v>
      </c>
      <c r="D730" s="2" t="s">
        <v>12</v>
      </c>
      <c r="E730" s="2" t="s">
        <v>12</v>
      </c>
      <c r="F730" s="2" t="s">
        <v>12</v>
      </c>
      <c r="G730" s="2" t="s">
        <v>12</v>
      </c>
      <c r="H730" s="2" t="s">
        <v>12</v>
      </c>
      <c r="I730" s="2" t="s">
        <v>12</v>
      </c>
      <c r="J730" s="2" t="s">
        <v>12</v>
      </c>
      <c r="K730" s="2" t="s">
        <v>12</v>
      </c>
    </row>
    <row r="731" spans="1:11" ht="12.5" x14ac:dyDescent="0.25">
      <c r="A731" s="3" t="e">
        <f ca="1"/>
        <v>#NAME?</v>
      </c>
      <c r="B731" s="2" t="s">
        <v>12</v>
      </c>
      <c r="C731" s="2" t="s">
        <v>12</v>
      </c>
      <c r="D731" s="2" t="s">
        <v>12</v>
      </c>
      <c r="E731" s="2" t="s">
        <v>12</v>
      </c>
      <c r="F731" s="2" t="s">
        <v>12</v>
      </c>
      <c r="G731" s="2" t="s">
        <v>12</v>
      </c>
      <c r="H731" s="2" t="s">
        <v>12</v>
      </c>
      <c r="I731" s="2" t="s">
        <v>12</v>
      </c>
      <c r="J731" s="2" t="s">
        <v>12</v>
      </c>
      <c r="K731" s="2" t="s">
        <v>12</v>
      </c>
    </row>
    <row r="732" spans="1:11" ht="12.5" x14ac:dyDescent="0.25">
      <c r="A732" s="3" t="e">
        <f ca="1"/>
        <v>#NAME?</v>
      </c>
      <c r="B732" s="2" t="s">
        <v>12</v>
      </c>
      <c r="C732" s="2" t="s">
        <v>12</v>
      </c>
      <c r="D732" s="2" t="s">
        <v>12</v>
      </c>
      <c r="E732" s="2" t="s">
        <v>12</v>
      </c>
      <c r="F732" s="2" t="s">
        <v>12</v>
      </c>
      <c r="G732" s="2" t="s">
        <v>12</v>
      </c>
      <c r="H732" s="2" t="s">
        <v>12</v>
      </c>
      <c r="I732" s="2" t="s">
        <v>12</v>
      </c>
      <c r="J732" s="2" t="s">
        <v>12</v>
      </c>
      <c r="K732" s="2" t="s">
        <v>12</v>
      </c>
    </row>
    <row r="733" spans="1:11" ht="12.5" x14ac:dyDescent="0.25">
      <c r="A733" s="3" t="e">
        <f ca="1"/>
        <v>#NAME?</v>
      </c>
      <c r="B733" s="2" t="s">
        <v>12</v>
      </c>
      <c r="C733" s="2" t="s">
        <v>12</v>
      </c>
      <c r="D733" s="2" t="s">
        <v>12</v>
      </c>
      <c r="E733" s="2" t="s">
        <v>12</v>
      </c>
      <c r="F733" s="2" t="s">
        <v>12</v>
      </c>
      <c r="G733" s="2" t="s">
        <v>12</v>
      </c>
      <c r="H733" s="2" t="s">
        <v>12</v>
      </c>
      <c r="I733" s="2" t="s">
        <v>12</v>
      </c>
      <c r="J733" s="2" t="s">
        <v>12</v>
      </c>
      <c r="K733" s="2" t="s">
        <v>12</v>
      </c>
    </row>
    <row r="734" spans="1:11" ht="12.5" x14ac:dyDescent="0.25">
      <c r="A734" s="3" t="e">
        <f ca="1"/>
        <v>#NAME?</v>
      </c>
      <c r="B734" s="2" t="s">
        <v>12</v>
      </c>
      <c r="C734" s="2" t="s">
        <v>12</v>
      </c>
      <c r="D734" s="2" t="s">
        <v>12</v>
      </c>
      <c r="E734" s="2" t="s">
        <v>12</v>
      </c>
      <c r="F734" s="2" t="s">
        <v>12</v>
      </c>
      <c r="G734" s="2" t="s">
        <v>12</v>
      </c>
      <c r="H734" s="2" t="s">
        <v>12</v>
      </c>
      <c r="I734" s="2" t="s">
        <v>12</v>
      </c>
      <c r="J734" s="2" t="s">
        <v>12</v>
      </c>
      <c r="K734" s="2" t="s">
        <v>12</v>
      </c>
    </row>
    <row r="735" spans="1:11" ht="12.5" x14ac:dyDescent="0.25">
      <c r="A735" s="3" t="e">
        <f ca="1"/>
        <v>#NAME?</v>
      </c>
      <c r="B735" s="2" t="s">
        <v>12</v>
      </c>
      <c r="C735" s="2" t="s">
        <v>12</v>
      </c>
      <c r="D735" s="2" t="s">
        <v>12</v>
      </c>
      <c r="E735" s="2" t="s">
        <v>12</v>
      </c>
      <c r="F735" s="2" t="s">
        <v>12</v>
      </c>
      <c r="G735" s="2" t="s">
        <v>12</v>
      </c>
      <c r="H735" s="2" t="s">
        <v>12</v>
      </c>
      <c r="I735" s="2" t="s">
        <v>12</v>
      </c>
      <c r="J735" s="2" t="s">
        <v>12</v>
      </c>
      <c r="K735" s="2" t="s">
        <v>12</v>
      </c>
    </row>
    <row r="736" spans="1:11" ht="12.5" x14ac:dyDescent="0.25">
      <c r="A736" s="3" t="e">
        <f ca="1"/>
        <v>#NAME?</v>
      </c>
      <c r="B736" s="2" t="s">
        <v>12</v>
      </c>
      <c r="C736" s="2" t="s">
        <v>12</v>
      </c>
      <c r="D736" s="2" t="s">
        <v>12</v>
      </c>
      <c r="E736" s="2" t="s">
        <v>12</v>
      </c>
      <c r="F736" s="2" t="s">
        <v>12</v>
      </c>
      <c r="G736" s="2" t="s">
        <v>12</v>
      </c>
      <c r="H736" s="2" t="s">
        <v>12</v>
      </c>
      <c r="I736" s="2" t="s">
        <v>12</v>
      </c>
      <c r="J736" s="2" t="s">
        <v>12</v>
      </c>
      <c r="K736" s="2" t="s">
        <v>12</v>
      </c>
    </row>
    <row r="737" spans="1:11" ht="12.5" x14ac:dyDescent="0.25">
      <c r="A737" s="3" t="e">
        <f ca="1"/>
        <v>#NAME?</v>
      </c>
      <c r="B737" s="2" t="s">
        <v>12</v>
      </c>
      <c r="C737" s="2" t="s">
        <v>12</v>
      </c>
      <c r="D737" s="2" t="s">
        <v>12</v>
      </c>
      <c r="E737" s="2" t="s">
        <v>12</v>
      </c>
      <c r="F737" s="2" t="s">
        <v>12</v>
      </c>
      <c r="G737" s="2" t="s">
        <v>12</v>
      </c>
      <c r="H737" s="2" t="s">
        <v>12</v>
      </c>
      <c r="I737" s="2" t="s">
        <v>12</v>
      </c>
      <c r="J737" s="2" t="s">
        <v>12</v>
      </c>
      <c r="K737" s="2" t="s">
        <v>12</v>
      </c>
    </row>
    <row r="738" spans="1:11" ht="12.5" x14ac:dyDescent="0.25">
      <c r="A738" s="3" t="e">
        <f ca="1"/>
        <v>#NAME?</v>
      </c>
      <c r="B738" s="2" t="s">
        <v>12</v>
      </c>
      <c r="C738" s="2" t="s">
        <v>12</v>
      </c>
      <c r="D738" s="2" t="s">
        <v>12</v>
      </c>
      <c r="E738" s="2" t="s">
        <v>12</v>
      </c>
      <c r="F738" s="2" t="s">
        <v>12</v>
      </c>
      <c r="G738" s="2" t="s">
        <v>12</v>
      </c>
      <c r="H738" s="2" t="s">
        <v>12</v>
      </c>
      <c r="I738" s="2" t="s">
        <v>12</v>
      </c>
      <c r="J738" s="2" t="s">
        <v>12</v>
      </c>
      <c r="K738" s="2" t="s">
        <v>12</v>
      </c>
    </row>
    <row r="739" spans="1:11" ht="12.5" x14ac:dyDescent="0.25">
      <c r="A739" s="3" t="e">
        <f ca="1"/>
        <v>#NAME?</v>
      </c>
      <c r="B739" s="2" t="s">
        <v>12</v>
      </c>
      <c r="C739" s="2" t="s">
        <v>12</v>
      </c>
      <c r="D739" s="2" t="s">
        <v>12</v>
      </c>
      <c r="E739" s="2" t="s">
        <v>12</v>
      </c>
      <c r="F739" s="2" t="s">
        <v>12</v>
      </c>
      <c r="G739" s="2" t="s">
        <v>12</v>
      </c>
      <c r="H739" s="2" t="s">
        <v>12</v>
      </c>
      <c r="I739" s="2" t="s">
        <v>12</v>
      </c>
      <c r="J739" s="2" t="s">
        <v>12</v>
      </c>
      <c r="K739" s="2" t="s">
        <v>12</v>
      </c>
    </row>
    <row r="740" spans="1:11" ht="12.5" x14ac:dyDescent="0.25">
      <c r="A740" s="3" t="e">
        <f ca="1"/>
        <v>#NAME?</v>
      </c>
      <c r="B740" s="2" t="s">
        <v>12</v>
      </c>
      <c r="C740" s="2" t="s">
        <v>12</v>
      </c>
      <c r="D740" s="2" t="s">
        <v>12</v>
      </c>
      <c r="E740" s="2" t="s">
        <v>12</v>
      </c>
      <c r="F740" s="2" t="s">
        <v>12</v>
      </c>
      <c r="G740" s="2" t="s">
        <v>12</v>
      </c>
      <c r="H740" s="2" t="s">
        <v>12</v>
      </c>
      <c r="I740" s="2" t="s">
        <v>12</v>
      </c>
      <c r="J740" s="2" t="s">
        <v>12</v>
      </c>
      <c r="K740" s="2" t="s">
        <v>12</v>
      </c>
    </row>
    <row r="741" spans="1:11" ht="12.5" x14ac:dyDescent="0.25">
      <c r="A741" s="3" t="e">
        <f ca="1"/>
        <v>#NAME?</v>
      </c>
      <c r="B741" s="2" t="s">
        <v>12</v>
      </c>
      <c r="C741" s="2" t="s">
        <v>12</v>
      </c>
      <c r="D741" s="2" t="s">
        <v>12</v>
      </c>
      <c r="E741" s="2" t="s">
        <v>12</v>
      </c>
      <c r="F741" s="2" t="s">
        <v>12</v>
      </c>
      <c r="G741" s="2" t="s">
        <v>12</v>
      </c>
      <c r="H741" s="2" t="s">
        <v>12</v>
      </c>
      <c r="I741" s="2" t="s">
        <v>12</v>
      </c>
      <c r="J741" s="2" t="s">
        <v>12</v>
      </c>
      <c r="K741" s="2" t="s">
        <v>12</v>
      </c>
    </row>
    <row r="742" spans="1:11" ht="12.5" x14ac:dyDescent="0.25">
      <c r="A742" s="3" t="e">
        <f ca="1"/>
        <v>#NAME?</v>
      </c>
      <c r="B742" s="2" t="s">
        <v>12</v>
      </c>
      <c r="C742" s="2" t="s">
        <v>12</v>
      </c>
      <c r="D742" s="2" t="s">
        <v>12</v>
      </c>
      <c r="E742" s="2" t="s">
        <v>12</v>
      </c>
      <c r="F742" s="2" t="s">
        <v>12</v>
      </c>
      <c r="G742" s="2" t="s">
        <v>12</v>
      </c>
      <c r="H742" s="2" t="s">
        <v>12</v>
      </c>
      <c r="I742" s="2" t="s">
        <v>12</v>
      </c>
      <c r="J742" s="2" t="s">
        <v>12</v>
      </c>
      <c r="K742" s="2" t="s">
        <v>12</v>
      </c>
    </row>
    <row r="743" spans="1:11" ht="12.5" x14ac:dyDescent="0.25">
      <c r="A743" s="3" t="e">
        <f ca="1"/>
        <v>#NAME?</v>
      </c>
      <c r="B743" s="2" t="s">
        <v>12</v>
      </c>
      <c r="C743" s="2" t="s">
        <v>12</v>
      </c>
      <c r="D743" s="2" t="s">
        <v>12</v>
      </c>
      <c r="E743" s="2" t="s">
        <v>12</v>
      </c>
      <c r="F743" s="2" t="s">
        <v>12</v>
      </c>
      <c r="G743" s="2" t="s">
        <v>12</v>
      </c>
      <c r="H743" s="2" t="s">
        <v>12</v>
      </c>
      <c r="I743" s="2" t="s">
        <v>12</v>
      </c>
      <c r="J743" s="2" t="s">
        <v>12</v>
      </c>
      <c r="K743" s="2" t="s">
        <v>12</v>
      </c>
    </row>
    <row r="744" spans="1:11" ht="12.5" x14ac:dyDescent="0.25">
      <c r="A744" s="3" t="e">
        <f ca="1"/>
        <v>#NAME?</v>
      </c>
      <c r="B744" s="2" t="s">
        <v>12</v>
      </c>
      <c r="C744" s="2" t="s">
        <v>12</v>
      </c>
      <c r="D744" s="2" t="s">
        <v>12</v>
      </c>
      <c r="E744" s="2" t="s">
        <v>12</v>
      </c>
      <c r="F744" s="2" t="s">
        <v>12</v>
      </c>
      <c r="G744" s="2" t="s">
        <v>12</v>
      </c>
      <c r="H744" s="2" t="s">
        <v>12</v>
      </c>
      <c r="I744" s="2" t="s">
        <v>12</v>
      </c>
      <c r="J744" s="2" t="s">
        <v>12</v>
      </c>
      <c r="K744" s="2" t="s">
        <v>12</v>
      </c>
    </row>
    <row r="745" spans="1:11" ht="12.5" x14ac:dyDescent="0.25">
      <c r="A745" s="3" t="e">
        <f ca="1"/>
        <v>#NAME?</v>
      </c>
      <c r="B745" s="2" t="s">
        <v>12</v>
      </c>
      <c r="C745" s="2" t="s">
        <v>12</v>
      </c>
      <c r="D745" s="2" t="s">
        <v>12</v>
      </c>
      <c r="E745" s="2" t="s">
        <v>12</v>
      </c>
      <c r="F745" s="2" t="s">
        <v>12</v>
      </c>
      <c r="G745" s="2" t="s">
        <v>12</v>
      </c>
      <c r="H745" s="2" t="s">
        <v>12</v>
      </c>
      <c r="I745" s="2" t="s">
        <v>12</v>
      </c>
      <c r="J745" s="2" t="s">
        <v>12</v>
      </c>
      <c r="K745" s="2" t="s">
        <v>12</v>
      </c>
    </row>
    <row r="746" spans="1:11" ht="12.5" x14ac:dyDescent="0.25">
      <c r="A746" s="3" t="e">
        <f ca="1"/>
        <v>#NAME?</v>
      </c>
      <c r="B746" s="2" t="s">
        <v>12</v>
      </c>
      <c r="C746" s="2" t="s">
        <v>12</v>
      </c>
      <c r="D746" s="2" t="s">
        <v>12</v>
      </c>
      <c r="E746" s="2" t="s">
        <v>12</v>
      </c>
      <c r="F746" s="2" t="s">
        <v>12</v>
      </c>
      <c r="G746" s="2" t="s">
        <v>12</v>
      </c>
      <c r="H746" s="2" t="s">
        <v>12</v>
      </c>
      <c r="I746" s="2" t="s">
        <v>12</v>
      </c>
      <c r="J746" s="2" t="s">
        <v>12</v>
      </c>
      <c r="K746" s="2" t="s">
        <v>12</v>
      </c>
    </row>
    <row r="747" spans="1:11" ht="12.5" x14ac:dyDescent="0.25">
      <c r="A747" s="3" t="e">
        <f ca="1"/>
        <v>#NAME?</v>
      </c>
      <c r="B747" s="2" t="s">
        <v>12</v>
      </c>
      <c r="C747" s="2" t="s">
        <v>12</v>
      </c>
      <c r="D747" s="2" t="s">
        <v>12</v>
      </c>
      <c r="E747" s="2" t="s">
        <v>12</v>
      </c>
      <c r="F747" s="2" t="s">
        <v>12</v>
      </c>
      <c r="G747" s="2" t="s">
        <v>12</v>
      </c>
      <c r="H747" s="2" t="s">
        <v>12</v>
      </c>
      <c r="I747" s="2" t="s">
        <v>12</v>
      </c>
      <c r="J747" s="2" t="s">
        <v>12</v>
      </c>
      <c r="K747" s="2" t="s">
        <v>12</v>
      </c>
    </row>
    <row r="748" spans="1:11" ht="12.5" x14ac:dyDescent="0.25">
      <c r="A748" s="3" t="e">
        <f ca="1"/>
        <v>#NAME?</v>
      </c>
      <c r="B748" s="2" t="s">
        <v>12</v>
      </c>
      <c r="C748" s="2" t="s">
        <v>12</v>
      </c>
      <c r="D748" s="2" t="s">
        <v>12</v>
      </c>
      <c r="E748" s="2" t="s">
        <v>12</v>
      </c>
      <c r="F748" s="2" t="s">
        <v>12</v>
      </c>
      <c r="G748" s="2" t="s">
        <v>12</v>
      </c>
      <c r="H748" s="2" t="s">
        <v>12</v>
      </c>
      <c r="I748" s="2" t="s">
        <v>12</v>
      </c>
      <c r="J748" s="2" t="s">
        <v>12</v>
      </c>
      <c r="K748" s="2" t="s">
        <v>12</v>
      </c>
    </row>
    <row r="749" spans="1:11" ht="12.5" x14ac:dyDescent="0.25">
      <c r="A749" s="3" t="e">
        <f ca="1"/>
        <v>#NAME?</v>
      </c>
      <c r="B749" s="2" t="s">
        <v>12</v>
      </c>
      <c r="C749" s="2" t="s">
        <v>12</v>
      </c>
      <c r="D749" s="2" t="s">
        <v>12</v>
      </c>
      <c r="E749" s="2" t="s">
        <v>12</v>
      </c>
      <c r="F749" s="2" t="s">
        <v>12</v>
      </c>
      <c r="G749" s="2" t="s">
        <v>12</v>
      </c>
      <c r="H749" s="2" t="s">
        <v>12</v>
      </c>
      <c r="I749" s="2" t="s">
        <v>12</v>
      </c>
      <c r="J749" s="2" t="s">
        <v>12</v>
      </c>
      <c r="K749" s="2" t="s">
        <v>12</v>
      </c>
    </row>
    <row r="750" spans="1:11" ht="12.5" x14ac:dyDescent="0.25">
      <c r="A750" s="3" t="e">
        <f ca="1"/>
        <v>#NAME?</v>
      </c>
      <c r="B750" s="2" t="s">
        <v>12</v>
      </c>
      <c r="C750" s="2" t="s">
        <v>12</v>
      </c>
      <c r="D750" s="2" t="s">
        <v>12</v>
      </c>
      <c r="E750" s="2" t="s">
        <v>12</v>
      </c>
      <c r="F750" s="2" t="s">
        <v>12</v>
      </c>
      <c r="G750" s="2" t="s">
        <v>12</v>
      </c>
      <c r="H750" s="2" t="s">
        <v>12</v>
      </c>
      <c r="I750" s="2" t="s">
        <v>12</v>
      </c>
      <c r="J750" s="2" t="s">
        <v>12</v>
      </c>
      <c r="K750" s="2" t="s">
        <v>12</v>
      </c>
    </row>
    <row r="751" spans="1:11" ht="12.5" x14ac:dyDescent="0.25">
      <c r="A751" s="3" t="e">
        <f ca="1"/>
        <v>#NAME?</v>
      </c>
      <c r="B751" s="2" t="s">
        <v>12</v>
      </c>
      <c r="C751" s="2" t="s">
        <v>12</v>
      </c>
      <c r="D751" s="2" t="s">
        <v>12</v>
      </c>
      <c r="E751" s="2" t="s">
        <v>12</v>
      </c>
      <c r="F751" s="2" t="s">
        <v>12</v>
      </c>
      <c r="G751" s="2" t="s">
        <v>12</v>
      </c>
      <c r="H751" s="2" t="s">
        <v>12</v>
      </c>
      <c r="I751" s="2" t="s">
        <v>12</v>
      </c>
      <c r="J751" s="2" t="s">
        <v>12</v>
      </c>
      <c r="K751" s="2" t="s">
        <v>12</v>
      </c>
    </row>
    <row r="752" spans="1:11" ht="12.5" x14ac:dyDescent="0.25">
      <c r="A752" s="3" t="e">
        <f ca="1"/>
        <v>#NAME?</v>
      </c>
      <c r="B752" s="2" t="s">
        <v>12</v>
      </c>
      <c r="C752" s="2" t="s">
        <v>12</v>
      </c>
      <c r="D752" s="2" t="s">
        <v>12</v>
      </c>
      <c r="E752" s="2" t="s">
        <v>12</v>
      </c>
      <c r="F752" s="2" t="s">
        <v>12</v>
      </c>
      <c r="G752" s="2" t="s">
        <v>12</v>
      </c>
      <c r="H752" s="2" t="s">
        <v>12</v>
      </c>
      <c r="I752" s="2" t="s">
        <v>12</v>
      </c>
      <c r="J752" s="2" t="s">
        <v>12</v>
      </c>
      <c r="K752" s="2" t="s">
        <v>12</v>
      </c>
    </row>
    <row r="753" spans="1:11" ht="12.5" x14ac:dyDescent="0.25">
      <c r="A753" s="3" t="e">
        <f ca="1"/>
        <v>#NAME?</v>
      </c>
      <c r="B753" s="2" t="s">
        <v>12</v>
      </c>
      <c r="C753" s="2" t="s">
        <v>12</v>
      </c>
      <c r="D753" s="2" t="s">
        <v>12</v>
      </c>
      <c r="E753" s="2" t="s">
        <v>12</v>
      </c>
      <c r="F753" s="2" t="s">
        <v>12</v>
      </c>
      <c r="G753" s="2" t="s">
        <v>12</v>
      </c>
      <c r="H753" s="2" t="s">
        <v>12</v>
      </c>
      <c r="I753" s="2" t="s">
        <v>12</v>
      </c>
      <c r="J753" s="2" t="s">
        <v>12</v>
      </c>
      <c r="K753" s="2" t="s">
        <v>12</v>
      </c>
    </row>
    <row r="754" spans="1:11" ht="12.5" x14ac:dyDescent="0.25">
      <c r="A754" s="3" t="e">
        <f ca="1"/>
        <v>#NAME?</v>
      </c>
      <c r="B754" s="2" t="s">
        <v>12</v>
      </c>
      <c r="C754" s="2" t="s">
        <v>12</v>
      </c>
      <c r="D754" s="2" t="s">
        <v>12</v>
      </c>
      <c r="E754" s="2" t="s">
        <v>12</v>
      </c>
      <c r="F754" s="2" t="s">
        <v>12</v>
      </c>
      <c r="G754" s="2" t="s">
        <v>12</v>
      </c>
      <c r="H754" s="2" t="s">
        <v>12</v>
      </c>
      <c r="I754" s="2" t="s">
        <v>12</v>
      </c>
      <c r="J754" s="2" t="s">
        <v>12</v>
      </c>
      <c r="K754" s="2" t="s">
        <v>12</v>
      </c>
    </row>
    <row r="755" spans="1:11" ht="12.5" x14ac:dyDescent="0.25">
      <c r="A755" s="3" t="e">
        <f ca="1"/>
        <v>#NAME?</v>
      </c>
      <c r="B755" s="2" t="s">
        <v>12</v>
      </c>
      <c r="C755" s="2" t="s">
        <v>12</v>
      </c>
      <c r="D755" s="2" t="s">
        <v>12</v>
      </c>
      <c r="E755" s="2" t="s">
        <v>12</v>
      </c>
      <c r="F755" s="2" t="s">
        <v>12</v>
      </c>
      <c r="G755" s="2" t="s">
        <v>12</v>
      </c>
      <c r="H755" s="2" t="s">
        <v>12</v>
      </c>
      <c r="I755" s="2" t="s">
        <v>12</v>
      </c>
      <c r="J755" s="2" t="s">
        <v>12</v>
      </c>
      <c r="K755" s="2" t="s">
        <v>12</v>
      </c>
    </row>
    <row r="756" spans="1:11" ht="12.5" x14ac:dyDescent="0.25">
      <c r="A756" s="3" t="e">
        <f ca="1"/>
        <v>#NAME?</v>
      </c>
      <c r="B756" s="2" t="s">
        <v>12</v>
      </c>
      <c r="C756" s="2" t="s">
        <v>12</v>
      </c>
      <c r="D756" s="2" t="s">
        <v>12</v>
      </c>
      <c r="E756" s="2" t="s">
        <v>12</v>
      </c>
      <c r="F756" s="2" t="s">
        <v>12</v>
      </c>
      <c r="G756" s="2" t="s">
        <v>12</v>
      </c>
      <c r="H756" s="2" t="s">
        <v>12</v>
      </c>
      <c r="I756" s="2" t="s">
        <v>12</v>
      </c>
      <c r="J756" s="2" t="s">
        <v>12</v>
      </c>
      <c r="K756" s="2" t="s">
        <v>12</v>
      </c>
    </row>
    <row r="757" spans="1:11" ht="12.5" x14ac:dyDescent="0.25">
      <c r="A757" s="3" t="e">
        <f ca="1"/>
        <v>#NAME?</v>
      </c>
      <c r="B757" s="2" t="s">
        <v>12</v>
      </c>
      <c r="C757" s="2" t="s">
        <v>12</v>
      </c>
      <c r="D757" s="2" t="s">
        <v>12</v>
      </c>
      <c r="E757" s="2" t="s">
        <v>12</v>
      </c>
      <c r="F757" s="2" t="s">
        <v>12</v>
      </c>
      <c r="G757" s="2" t="s">
        <v>12</v>
      </c>
      <c r="H757" s="2" t="s">
        <v>12</v>
      </c>
      <c r="I757" s="2" t="s">
        <v>12</v>
      </c>
      <c r="J757" s="2" t="s">
        <v>12</v>
      </c>
      <c r="K757" s="2" t="s">
        <v>12</v>
      </c>
    </row>
    <row r="758" spans="1:11" ht="12.5" x14ac:dyDescent="0.25">
      <c r="A758" s="3" t="e">
        <f ca="1"/>
        <v>#NAME?</v>
      </c>
      <c r="B758" s="2" t="s">
        <v>12</v>
      </c>
      <c r="C758" s="2" t="s">
        <v>12</v>
      </c>
      <c r="D758" s="2" t="s">
        <v>12</v>
      </c>
      <c r="E758" s="2" t="s">
        <v>12</v>
      </c>
      <c r="F758" s="2" t="s">
        <v>12</v>
      </c>
      <c r="G758" s="2" t="s">
        <v>12</v>
      </c>
      <c r="H758" s="2" t="s">
        <v>12</v>
      </c>
      <c r="I758" s="2" t="s">
        <v>12</v>
      </c>
      <c r="J758" s="2" t="s">
        <v>12</v>
      </c>
      <c r="K758" s="2" t="s">
        <v>12</v>
      </c>
    </row>
    <row r="759" spans="1:11" ht="12.5" x14ac:dyDescent="0.25">
      <c r="A759" s="3" t="e">
        <f ca="1"/>
        <v>#NAME?</v>
      </c>
      <c r="B759" s="2" t="s">
        <v>12</v>
      </c>
      <c r="C759" s="2" t="s">
        <v>12</v>
      </c>
      <c r="D759" s="2" t="s">
        <v>12</v>
      </c>
      <c r="E759" s="2" t="s">
        <v>12</v>
      </c>
      <c r="F759" s="2" t="s">
        <v>12</v>
      </c>
      <c r="G759" s="2" t="s">
        <v>12</v>
      </c>
      <c r="H759" s="2" t="s">
        <v>12</v>
      </c>
      <c r="I759" s="2" t="s">
        <v>12</v>
      </c>
      <c r="J759" s="2" t="s">
        <v>12</v>
      </c>
      <c r="K759" s="2" t="s">
        <v>12</v>
      </c>
    </row>
    <row r="760" spans="1:11" ht="12.5" x14ac:dyDescent="0.25">
      <c r="A760" s="3" t="e">
        <f ca="1"/>
        <v>#NAME?</v>
      </c>
      <c r="B760" s="2" t="s">
        <v>12</v>
      </c>
      <c r="C760" s="2" t="s">
        <v>12</v>
      </c>
      <c r="D760" s="2" t="s">
        <v>12</v>
      </c>
      <c r="E760" s="2" t="s">
        <v>12</v>
      </c>
      <c r="F760" s="2" t="s">
        <v>12</v>
      </c>
      <c r="G760" s="2" t="s">
        <v>12</v>
      </c>
      <c r="H760" s="2" t="s">
        <v>12</v>
      </c>
      <c r="I760" s="2" t="s">
        <v>12</v>
      </c>
      <c r="J760" s="2" t="s">
        <v>12</v>
      </c>
      <c r="K760" s="2" t="s">
        <v>12</v>
      </c>
    </row>
    <row r="761" spans="1:11" ht="12.5" x14ac:dyDescent="0.25">
      <c r="A761" s="3" t="e">
        <f ca="1"/>
        <v>#NAME?</v>
      </c>
      <c r="B761" s="2" t="s">
        <v>12</v>
      </c>
      <c r="C761" s="2" t="s">
        <v>12</v>
      </c>
      <c r="D761" s="2" t="s">
        <v>12</v>
      </c>
      <c r="E761" s="2" t="s">
        <v>12</v>
      </c>
      <c r="F761" s="2" t="s">
        <v>12</v>
      </c>
      <c r="G761" s="2" t="s">
        <v>12</v>
      </c>
      <c r="H761" s="2" t="s">
        <v>12</v>
      </c>
      <c r="I761" s="2" t="s">
        <v>12</v>
      </c>
      <c r="J761" s="2" t="s">
        <v>12</v>
      </c>
      <c r="K761" s="2" t="s">
        <v>12</v>
      </c>
    </row>
    <row r="762" spans="1:11" ht="12.5" x14ac:dyDescent="0.25">
      <c r="A762" s="3" t="e">
        <f ca="1"/>
        <v>#NAME?</v>
      </c>
      <c r="B762" s="2" t="s">
        <v>12</v>
      </c>
      <c r="C762" s="2" t="s">
        <v>12</v>
      </c>
      <c r="D762" s="2" t="s">
        <v>12</v>
      </c>
      <c r="E762" s="2" t="s">
        <v>12</v>
      </c>
      <c r="F762" s="2" t="s">
        <v>12</v>
      </c>
      <c r="G762" s="2" t="s">
        <v>12</v>
      </c>
      <c r="H762" s="2" t="s">
        <v>12</v>
      </c>
      <c r="I762" s="2" t="s">
        <v>12</v>
      </c>
      <c r="J762" s="2" t="s">
        <v>12</v>
      </c>
      <c r="K762" s="2" t="s">
        <v>12</v>
      </c>
    </row>
    <row r="763" spans="1:11" ht="12.5" x14ac:dyDescent="0.25">
      <c r="A763" s="3" t="e">
        <f ca="1"/>
        <v>#NAME?</v>
      </c>
      <c r="B763" s="2" t="s">
        <v>12</v>
      </c>
      <c r="C763" s="2" t="s">
        <v>12</v>
      </c>
      <c r="D763" s="2" t="s">
        <v>12</v>
      </c>
      <c r="E763" s="2" t="s">
        <v>12</v>
      </c>
      <c r="F763" s="2" t="s">
        <v>12</v>
      </c>
      <c r="G763" s="2" t="s">
        <v>12</v>
      </c>
      <c r="H763" s="2" t="s">
        <v>12</v>
      </c>
      <c r="I763" s="2" t="s">
        <v>12</v>
      </c>
      <c r="J763" s="2" t="s">
        <v>12</v>
      </c>
      <c r="K763" s="2" t="s">
        <v>12</v>
      </c>
    </row>
    <row r="764" spans="1:11" ht="12.5" x14ac:dyDescent="0.25">
      <c r="A764" s="3" t="e">
        <f ca="1"/>
        <v>#NAME?</v>
      </c>
      <c r="B764" s="2" t="s">
        <v>12</v>
      </c>
      <c r="C764" s="2" t="s">
        <v>12</v>
      </c>
      <c r="D764" s="2" t="s">
        <v>12</v>
      </c>
      <c r="E764" s="2" t="s">
        <v>12</v>
      </c>
      <c r="F764" s="2" t="s">
        <v>12</v>
      </c>
      <c r="G764" s="2" t="s">
        <v>12</v>
      </c>
      <c r="H764" s="2" t="s">
        <v>12</v>
      </c>
      <c r="I764" s="2" t="s">
        <v>12</v>
      </c>
      <c r="J764" s="2" t="s">
        <v>12</v>
      </c>
      <c r="K764" s="2" t="s">
        <v>12</v>
      </c>
    </row>
    <row r="765" spans="1:11" ht="12.5" x14ac:dyDescent="0.25">
      <c r="A765" s="3" t="e">
        <f ca="1"/>
        <v>#NAME?</v>
      </c>
      <c r="B765" s="2" t="s">
        <v>12</v>
      </c>
      <c r="C765" s="2" t="s">
        <v>12</v>
      </c>
      <c r="D765" s="2" t="s">
        <v>12</v>
      </c>
      <c r="E765" s="2" t="s">
        <v>12</v>
      </c>
      <c r="F765" s="2" t="s">
        <v>12</v>
      </c>
      <c r="G765" s="2" t="s">
        <v>12</v>
      </c>
      <c r="H765" s="2" t="s">
        <v>12</v>
      </c>
      <c r="I765" s="2" t="s">
        <v>12</v>
      </c>
      <c r="J765" s="2" t="s">
        <v>12</v>
      </c>
      <c r="K765" s="2" t="s">
        <v>12</v>
      </c>
    </row>
    <row r="766" spans="1:11" ht="12.5" x14ac:dyDescent="0.25">
      <c r="A766" s="3" t="e">
        <f ca="1"/>
        <v>#NAME?</v>
      </c>
      <c r="B766" s="2" t="s">
        <v>12</v>
      </c>
      <c r="C766" s="2" t="s">
        <v>12</v>
      </c>
      <c r="D766" s="2" t="s">
        <v>12</v>
      </c>
      <c r="E766" s="2" t="s">
        <v>12</v>
      </c>
      <c r="F766" s="2" t="s">
        <v>12</v>
      </c>
      <c r="G766" s="2" t="s">
        <v>12</v>
      </c>
      <c r="H766" s="2" t="s">
        <v>12</v>
      </c>
      <c r="I766" s="2" t="s">
        <v>12</v>
      </c>
      <c r="J766" s="2" t="s">
        <v>12</v>
      </c>
      <c r="K766" s="2" t="s">
        <v>12</v>
      </c>
    </row>
    <row r="767" spans="1:11" ht="12.5" x14ac:dyDescent="0.25">
      <c r="A767" s="3" t="e">
        <f ca="1"/>
        <v>#NAME?</v>
      </c>
      <c r="B767" s="2" t="s">
        <v>12</v>
      </c>
      <c r="C767" s="2" t="s">
        <v>12</v>
      </c>
      <c r="D767" s="2" t="s">
        <v>12</v>
      </c>
      <c r="E767" s="2" t="s">
        <v>12</v>
      </c>
      <c r="F767" s="2" t="s">
        <v>12</v>
      </c>
      <c r="G767" s="2" t="s">
        <v>12</v>
      </c>
      <c r="H767" s="2" t="s">
        <v>12</v>
      </c>
      <c r="I767" s="2" t="s">
        <v>12</v>
      </c>
      <c r="J767" s="2" t="s">
        <v>12</v>
      </c>
      <c r="K767" s="2" t="s">
        <v>12</v>
      </c>
    </row>
    <row r="768" spans="1:11" ht="12.5" x14ac:dyDescent="0.25">
      <c r="A768" s="3" t="e">
        <f ca="1"/>
        <v>#NAME?</v>
      </c>
      <c r="B768" s="2" t="s">
        <v>12</v>
      </c>
      <c r="C768" s="2" t="s">
        <v>12</v>
      </c>
      <c r="D768" s="2" t="s">
        <v>12</v>
      </c>
      <c r="E768" s="2" t="s">
        <v>12</v>
      </c>
      <c r="F768" s="2" t="s">
        <v>12</v>
      </c>
      <c r="G768" s="2" t="s">
        <v>12</v>
      </c>
      <c r="H768" s="2" t="s">
        <v>12</v>
      </c>
      <c r="I768" s="2" t="s">
        <v>12</v>
      </c>
      <c r="J768" s="2" t="s">
        <v>12</v>
      </c>
      <c r="K768" s="2" t="s">
        <v>12</v>
      </c>
    </row>
    <row r="769" spans="1:11" ht="12.5" x14ac:dyDescent="0.25">
      <c r="A769" s="3" t="e">
        <f ca="1"/>
        <v>#NAME?</v>
      </c>
      <c r="B769" s="2" t="s">
        <v>12</v>
      </c>
      <c r="C769" s="2" t="s">
        <v>12</v>
      </c>
      <c r="D769" s="2" t="s">
        <v>12</v>
      </c>
      <c r="E769" s="2" t="s">
        <v>12</v>
      </c>
      <c r="F769" s="2" t="s">
        <v>12</v>
      </c>
      <c r="G769" s="2" t="s">
        <v>12</v>
      </c>
      <c r="H769" s="2" t="s">
        <v>12</v>
      </c>
      <c r="I769" s="2" t="s">
        <v>12</v>
      </c>
      <c r="J769" s="2" t="s">
        <v>12</v>
      </c>
      <c r="K769" s="2" t="s">
        <v>12</v>
      </c>
    </row>
    <row r="770" spans="1:11" ht="12.5" x14ac:dyDescent="0.25">
      <c r="A770" s="3" t="e">
        <f ca="1"/>
        <v>#NAME?</v>
      </c>
      <c r="B770" s="2" t="s">
        <v>12</v>
      </c>
      <c r="C770" s="2" t="s">
        <v>12</v>
      </c>
      <c r="D770" s="2" t="s">
        <v>12</v>
      </c>
      <c r="E770" s="2" t="s">
        <v>12</v>
      </c>
      <c r="F770" s="2" t="s">
        <v>12</v>
      </c>
      <c r="G770" s="2" t="s">
        <v>12</v>
      </c>
      <c r="H770" s="2" t="s">
        <v>12</v>
      </c>
      <c r="I770" s="2" t="s">
        <v>12</v>
      </c>
      <c r="J770" s="2" t="s">
        <v>12</v>
      </c>
      <c r="K770" s="2" t="s">
        <v>12</v>
      </c>
    </row>
    <row r="771" spans="1:11" ht="12.5" x14ac:dyDescent="0.25">
      <c r="A771" s="3" t="e">
        <f ca="1"/>
        <v>#NAME?</v>
      </c>
      <c r="B771" s="2" t="s">
        <v>12</v>
      </c>
      <c r="C771" s="2" t="s">
        <v>12</v>
      </c>
      <c r="D771" s="2" t="s">
        <v>12</v>
      </c>
      <c r="E771" s="2" t="s">
        <v>12</v>
      </c>
      <c r="F771" s="2" t="s">
        <v>12</v>
      </c>
      <c r="G771" s="2" t="s">
        <v>12</v>
      </c>
      <c r="H771" s="2" t="s">
        <v>12</v>
      </c>
      <c r="I771" s="2" t="s">
        <v>12</v>
      </c>
      <c r="J771" s="2" t="s">
        <v>12</v>
      </c>
      <c r="K771" s="2" t="s">
        <v>12</v>
      </c>
    </row>
    <row r="772" spans="1:11" ht="12.5" x14ac:dyDescent="0.25">
      <c r="A772" s="3" t="e">
        <f ca="1"/>
        <v>#NAME?</v>
      </c>
      <c r="B772" s="2" t="s">
        <v>12</v>
      </c>
      <c r="C772" s="2" t="s">
        <v>12</v>
      </c>
      <c r="D772" s="2" t="s">
        <v>12</v>
      </c>
      <c r="E772" s="2" t="s">
        <v>12</v>
      </c>
      <c r="F772" s="2" t="s">
        <v>12</v>
      </c>
      <c r="G772" s="2" t="s">
        <v>12</v>
      </c>
      <c r="H772" s="2" t="s">
        <v>12</v>
      </c>
      <c r="I772" s="2" t="s">
        <v>12</v>
      </c>
      <c r="J772" s="2" t="s">
        <v>12</v>
      </c>
      <c r="K772" s="2" t="s">
        <v>12</v>
      </c>
    </row>
    <row r="773" spans="1:11" ht="12.5" x14ac:dyDescent="0.25">
      <c r="A773" s="3" t="e">
        <f ca="1"/>
        <v>#NAME?</v>
      </c>
      <c r="B773" s="2" t="s">
        <v>12</v>
      </c>
      <c r="C773" s="2" t="s">
        <v>12</v>
      </c>
      <c r="D773" s="2" t="s">
        <v>12</v>
      </c>
      <c r="E773" s="2" t="s">
        <v>12</v>
      </c>
      <c r="F773" s="2" t="s">
        <v>12</v>
      </c>
      <c r="G773" s="2" t="s">
        <v>12</v>
      </c>
      <c r="H773" s="2" t="s">
        <v>12</v>
      </c>
      <c r="I773" s="2" t="s">
        <v>12</v>
      </c>
      <c r="J773" s="2" t="s">
        <v>12</v>
      </c>
      <c r="K773" s="2" t="s">
        <v>12</v>
      </c>
    </row>
    <row r="774" spans="1:11" ht="12.5" x14ac:dyDescent="0.25">
      <c r="A774" s="3" t="e">
        <f ca="1"/>
        <v>#NAME?</v>
      </c>
      <c r="B774" s="2" t="s">
        <v>12</v>
      </c>
      <c r="C774" s="2" t="s">
        <v>12</v>
      </c>
      <c r="D774" s="2" t="s">
        <v>12</v>
      </c>
      <c r="E774" s="2" t="s">
        <v>12</v>
      </c>
      <c r="F774" s="2" t="s">
        <v>12</v>
      </c>
      <c r="G774" s="2" t="s">
        <v>12</v>
      </c>
      <c r="H774" s="2" t="s">
        <v>12</v>
      </c>
      <c r="I774" s="2" t="s">
        <v>12</v>
      </c>
      <c r="J774" s="2" t="s">
        <v>12</v>
      </c>
      <c r="K774" s="2" t="s">
        <v>12</v>
      </c>
    </row>
    <row r="775" spans="1:11" ht="12.5" x14ac:dyDescent="0.25">
      <c r="A775" s="3" t="e">
        <f ca="1"/>
        <v>#NAME?</v>
      </c>
      <c r="B775" s="2" t="s">
        <v>12</v>
      </c>
      <c r="C775" s="2" t="s">
        <v>12</v>
      </c>
      <c r="D775" s="2" t="s">
        <v>12</v>
      </c>
      <c r="E775" s="2" t="s">
        <v>12</v>
      </c>
      <c r="F775" s="2" t="s">
        <v>12</v>
      </c>
      <c r="G775" s="2" t="s">
        <v>12</v>
      </c>
      <c r="H775" s="2" t="s">
        <v>12</v>
      </c>
      <c r="I775" s="2" t="s">
        <v>12</v>
      </c>
      <c r="J775" s="2" t="s">
        <v>12</v>
      </c>
      <c r="K775" s="2" t="s">
        <v>12</v>
      </c>
    </row>
    <row r="776" spans="1:11" ht="12.5" x14ac:dyDescent="0.25">
      <c r="A776" s="3" t="e">
        <f ca="1"/>
        <v>#NAME?</v>
      </c>
      <c r="B776" s="2" t="s">
        <v>12</v>
      </c>
      <c r="C776" s="2" t="s">
        <v>12</v>
      </c>
      <c r="D776" s="2" t="s">
        <v>12</v>
      </c>
      <c r="E776" s="2" t="s">
        <v>12</v>
      </c>
      <c r="F776" s="2" t="s">
        <v>12</v>
      </c>
      <c r="G776" s="2" t="s">
        <v>12</v>
      </c>
      <c r="H776" s="2" t="s">
        <v>12</v>
      </c>
      <c r="I776" s="2" t="s">
        <v>12</v>
      </c>
      <c r="J776" s="2" t="s">
        <v>12</v>
      </c>
      <c r="K776" s="2" t="s">
        <v>12</v>
      </c>
    </row>
    <row r="777" spans="1:11" ht="12.5" x14ac:dyDescent="0.25">
      <c r="A777" s="3" t="e">
        <f ca="1"/>
        <v>#NAME?</v>
      </c>
      <c r="B777" s="2" t="s">
        <v>12</v>
      </c>
      <c r="C777" s="2" t="s">
        <v>12</v>
      </c>
      <c r="D777" s="2" t="s">
        <v>12</v>
      </c>
      <c r="E777" s="2" t="s">
        <v>12</v>
      </c>
      <c r="F777" s="2" t="s">
        <v>12</v>
      </c>
      <c r="G777" s="2" t="s">
        <v>12</v>
      </c>
      <c r="H777" s="2" t="s">
        <v>12</v>
      </c>
      <c r="I777" s="2" t="s">
        <v>12</v>
      </c>
      <c r="J777" s="2" t="s">
        <v>12</v>
      </c>
      <c r="K777" s="2" t="s">
        <v>12</v>
      </c>
    </row>
    <row r="778" spans="1:11" ht="12.5" x14ac:dyDescent="0.25">
      <c r="A778" s="3" t="e">
        <f ca="1"/>
        <v>#NAME?</v>
      </c>
      <c r="B778" s="2" t="s">
        <v>12</v>
      </c>
      <c r="C778" s="2" t="s">
        <v>12</v>
      </c>
      <c r="D778" s="2" t="s">
        <v>12</v>
      </c>
      <c r="E778" s="2" t="s">
        <v>12</v>
      </c>
      <c r="F778" s="2" t="s">
        <v>12</v>
      </c>
      <c r="G778" s="2" t="s">
        <v>12</v>
      </c>
      <c r="H778" s="2" t="s">
        <v>12</v>
      </c>
      <c r="I778" s="2" t="s">
        <v>12</v>
      </c>
      <c r="J778" s="2" t="s">
        <v>12</v>
      </c>
      <c r="K778" s="2" t="s">
        <v>12</v>
      </c>
    </row>
    <row r="779" spans="1:11" ht="12.5" x14ac:dyDescent="0.25">
      <c r="A779" s="3" t="e">
        <f ca="1"/>
        <v>#NAME?</v>
      </c>
      <c r="B779" s="2" t="s">
        <v>12</v>
      </c>
      <c r="C779" s="2" t="s">
        <v>12</v>
      </c>
      <c r="D779" s="2" t="s">
        <v>12</v>
      </c>
      <c r="E779" s="2" t="s">
        <v>12</v>
      </c>
      <c r="F779" s="2" t="s">
        <v>12</v>
      </c>
      <c r="G779" s="2" t="s">
        <v>12</v>
      </c>
      <c r="H779" s="2" t="s">
        <v>12</v>
      </c>
      <c r="I779" s="2" t="s">
        <v>12</v>
      </c>
      <c r="J779" s="2" t="s">
        <v>12</v>
      </c>
      <c r="K779" s="2" t="s">
        <v>12</v>
      </c>
    </row>
    <row r="780" spans="1:11" ht="12.5" x14ac:dyDescent="0.25">
      <c r="A780" s="3" t="e">
        <f ca="1"/>
        <v>#NAME?</v>
      </c>
      <c r="B780" s="2" t="s">
        <v>12</v>
      </c>
      <c r="C780" s="2" t="s">
        <v>12</v>
      </c>
      <c r="D780" s="2" t="s">
        <v>12</v>
      </c>
      <c r="E780" s="2" t="s">
        <v>12</v>
      </c>
      <c r="F780" s="2" t="s">
        <v>12</v>
      </c>
      <c r="G780" s="2" t="s">
        <v>12</v>
      </c>
      <c r="H780" s="2" t="s">
        <v>12</v>
      </c>
      <c r="I780" s="2" t="s">
        <v>12</v>
      </c>
      <c r="J780" s="2" t="s">
        <v>12</v>
      </c>
      <c r="K780" s="2" t="s">
        <v>12</v>
      </c>
    </row>
    <row r="781" spans="1:11" ht="12.5" x14ac:dyDescent="0.25">
      <c r="A781" s="3" t="e">
        <f ca="1"/>
        <v>#NAME?</v>
      </c>
      <c r="B781" s="2" t="s">
        <v>12</v>
      </c>
      <c r="C781" s="2" t="s">
        <v>12</v>
      </c>
      <c r="D781" s="2" t="s">
        <v>12</v>
      </c>
      <c r="E781" s="2" t="s">
        <v>12</v>
      </c>
      <c r="F781" s="2" t="s">
        <v>12</v>
      </c>
      <c r="G781" s="2" t="s">
        <v>12</v>
      </c>
      <c r="H781" s="2" t="s">
        <v>12</v>
      </c>
      <c r="I781" s="2" t="s">
        <v>12</v>
      </c>
      <c r="J781" s="2" t="s">
        <v>12</v>
      </c>
      <c r="K781" s="2" t="s">
        <v>12</v>
      </c>
    </row>
    <row r="782" spans="1:11" ht="12.5" x14ac:dyDescent="0.25">
      <c r="A782" s="3" t="e">
        <f ca="1"/>
        <v>#NAME?</v>
      </c>
      <c r="B782" s="2" t="s">
        <v>12</v>
      </c>
      <c r="C782" s="2" t="s">
        <v>12</v>
      </c>
      <c r="D782" s="2" t="s">
        <v>12</v>
      </c>
      <c r="E782" s="2" t="s">
        <v>12</v>
      </c>
      <c r="F782" s="2" t="s">
        <v>12</v>
      </c>
      <c r="G782" s="2" t="s">
        <v>12</v>
      </c>
      <c r="H782" s="2" t="s">
        <v>12</v>
      </c>
      <c r="I782" s="2" t="s">
        <v>12</v>
      </c>
      <c r="J782" s="2" t="s">
        <v>12</v>
      </c>
      <c r="K782" s="2" t="s">
        <v>12</v>
      </c>
    </row>
    <row r="783" spans="1:11" ht="12.5" x14ac:dyDescent="0.25">
      <c r="A783" s="3" t="e">
        <f ca="1"/>
        <v>#NAME?</v>
      </c>
      <c r="B783" s="2" t="s">
        <v>12</v>
      </c>
      <c r="C783" s="2" t="s">
        <v>12</v>
      </c>
      <c r="D783" s="2" t="s">
        <v>12</v>
      </c>
      <c r="E783" s="2" t="s">
        <v>12</v>
      </c>
      <c r="F783" s="2" t="s">
        <v>12</v>
      </c>
      <c r="G783" s="2" t="s">
        <v>12</v>
      </c>
      <c r="H783" s="2" t="s">
        <v>12</v>
      </c>
      <c r="I783" s="2" t="s">
        <v>12</v>
      </c>
      <c r="J783" s="2" t="s">
        <v>12</v>
      </c>
      <c r="K783" s="2" t="s">
        <v>12</v>
      </c>
    </row>
    <row r="784" spans="1:11" ht="12.5" x14ac:dyDescent="0.25">
      <c r="A784" s="3" t="e">
        <f ca="1"/>
        <v>#NAME?</v>
      </c>
      <c r="B784" s="2" t="s">
        <v>12</v>
      </c>
      <c r="C784" s="2" t="s">
        <v>12</v>
      </c>
      <c r="D784" s="2" t="s">
        <v>12</v>
      </c>
      <c r="E784" s="2" t="s">
        <v>12</v>
      </c>
      <c r="F784" s="2" t="s">
        <v>12</v>
      </c>
      <c r="G784" s="2" t="s">
        <v>12</v>
      </c>
      <c r="H784" s="2" t="s">
        <v>12</v>
      </c>
      <c r="I784" s="2" t="s">
        <v>12</v>
      </c>
      <c r="J784" s="2" t="s">
        <v>12</v>
      </c>
      <c r="K784" s="2" t="s">
        <v>12</v>
      </c>
    </row>
    <row r="785" spans="1:11" ht="12.5" x14ac:dyDescent="0.25">
      <c r="A785" s="3" t="e">
        <f ca="1"/>
        <v>#NAME?</v>
      </c>
      <c r="B785" s="2" t="s">
        <v>12</v>
      </c>
      <c r="C785" s="2" t="s">
        <v>12</v>
      </c>
      <c r="D785" s="2" t="s">
        <v>12</v>
      </c>
      <c r="E785" s="2" t="s">
        <v>12</v>
      </c>
      <c r="F785" s="2" t="s">
        <v>12</v>
      </c>
      <c r="G785" s="2" t="s">
        <v>12</v>
      </c>
      <c r="H785" s="2" t="s">
        <v>12</v>
      </c>
      <c r="I785" s="2" t="s">
        <v>12</v>
      </c>
      <c r="J785" s="2" t="s">
        <v>12</v>
      </c>
      <c r="K785" s="2" t="s">
        <v>12</v>
      </c>
    </row>
    <row r="786" spans="1:11" ht="12.5" x14ac:dyDescent="0.25">
      <c r="A786" s="3" t="e">
        <f ca="1"/>
        <v>#NAME?</v>
      </c>
      <c r="B786" s="2" t="s">
        <v>12</v>
      </c>
      <c r="C786" s="2" t="s">
        <v>12</v>
      </c>
      <c r="D786" s="2" t="s">
        <v>12</v>
      </c>
      <c r="E786" s="2" t="s">
        <v>12</v>
      </c>
      <c r="F786" s="2" t="s">
        <v>12</v>
      </c>
      <c r="G786" s="2" t="s">
        <v>12</v>
      </c>
      <c r="H786" s="2" t="s">
        <v>12</v>
      </c>
      <c r="I786" s="2" t="s">
        <v>12</v>
      </c>
      <c r="J786" s="2" t="s">
        <v>12</v>
      </c>
      <c r="K786" s="2" t="s">
        <v>12</v>
      </c>
    </row>
    <row r="787" spans="1:11" ht="12.5" x14ac:dyDescent="0.25">
      <c r="A787" s="3" t="e">
        <f ca="1"/>
        <v>#NAME?</v>
      </c>
      <c r="B787" s="2" t="s">
        <v>12</v>
      </c>
      <c r="C787" s="2" t="s">
        <v>12</v>
      </c>
      <c r="D787" s="2" t="s">
        <v>12</v>
      </c>
      <c r="E787" s="2" t="s">
        <v>12</v>
      </c>
      <c r="F787" s="2" t="s">
        <v>12</v>
      </c>
      <c r="G787" s="2" t="s">
        <v>12</v>
      </c>
      <c r="H787" s="2" t="s">
        <v>12</v>
      </c>
      <c r="I787" s="2" t="s">
        <v>12</v>
      </c>
      <c r="J787" s="2" t="s">
        <v>12</v>
      </c>
      <c r="K787" s="2" t="s">
        <v>12</v>
      </c>
    </row>
    <row r="788" spans="1:11" ht="12.5" x14ac:dyDescent="0.25">
      <c r="A788" s="3" t="e">
        <f ca="1"/>
        <v>#NAME?</v>
      </c>
      <c r="B788" s="2" t="s">
        <v>12</v>
      </c>
      <c r="C788" s="2" t="s">
        <v>12</v>
      </c>
      <c r="D788" s="2" t="s">
        <v>12</v>
      </c>
      <c r="E788" s="2" t="s">
        <v>12</v>
      </c>
      <c r="F788" s="2" t="s">
        <v>12</v>
      </c>
      <c r="G788" s="2" t="s">
        <v>12</v>
      </c>
      <c r="H788" s="2" t="s">
        <v>12</v>
      </c>
      <c r="I788" s="2" t="s">
        <v>12</v>
      </c>
      <c r="J788" s="2" t="s">
        <v>12</v>
      </c>
      <c r="K788" s="2" t="s">
        <v>12</v>
      </c>
    </row>
    <row r="789" spans="1:11" ht="12.5" x14ac:dyDescent="0.25">
      <c r="A789" s="3" t="e">
        <f ca="1"/>
        <v>#NAME?</v>
      </c>
      <c r="B789" s="2" t="s">
        <v>12</v>
      </c>
      <c r="C789" s="2" t="s">
        <v>12</v>
      </c>
      <c r="D789" s="2" t="s">
        <v>12</v>
      </c>
      <c r="E789" s="2" t="s">
        <v>12</v>
      </c>
      <c r="F789" s="2" t="s">
        <v>12</v>
      </c>
      <c r="G789" s="2" t="s">
        <v>12</v>
      </c>
      <c r="H789" s="2" t="s">
        <v>12</v>
      </c>
      <c r="I789" s="2" t="s">
        <v>12</v>
      </c>
      <c r="J789" s="2" t="s">
        <v>12</v>
      </c>
      <c r="K789" s="2" t="s">
        <v>12</v>
      </c>
    </row>
    <row r="790" spans="1:11" ht="12.5" x14ac:dyDescent="0.25">
      <c r="A790" s="3" t="e">
        <f ca="1"/>
        <v>#NAME?</v>
      </c>
      <c r="B790" s="2" t="s">
        <v>12</v>
      </c>
      <c r="C790" s="2" t="s">
        <v>12</v>
      </c>
      <c r="D790" s="2" t="s">
        <v>12</v>
      </c>
      <c r="E790" s="2" t="s">
        <v>12</v>
      </c>
      <c r="F790" s="2" t="s">
        <v>12</v>
      </c>
      <c r="G790" s="2" t="s">
        <v>12</v>
      </c>
      <c r="H790" s="2" t="s">
        <v>12</v>
      </c>
      <c r="I790" s="2" t="s">
        <v>12</v>
      </c>
      <c r="J790" s="2" t="s">
        <v>12</v>
      </c>
      <c r="K790" s="2" t="s">
        <v>12</v>
      </c>
    </row>
    <row r="791" spans="1:11" ht="12.5" x14ac:dyDescent="0.25">
      <c r="A791" s="3" t="e">
        <f ca="1"/>
        <v>#NAME?</v>
      </c>
      <c r="B791" s="2" t="s">
        <v>12</v>
      </c>
      <c r="C791" s="2" t="s">
        <v>12</v>
      </c>
      <c r="D791" s="2" t="s">
        <v>12</v>
      </c>
      <c r="E791" s="2" t="s">
        <v>12</v>
      </c>
      <c r="F791" s="2" t="s">
        <v>12</v>
      </c>
      <c r="G791" s="2" t="s">
        <v>12</v>
      </c>
      <c r="H791" s="2" t="s">
        <v>12</v>
      </c>
      <c r="I791" s="2" t="s">
        <v>12</v>
      </c>
      <c r="J791" s="2" t="s">
        <v>12</v>
      </c>
      <c r="K791" s="2" t="s">
        <v>12</v>
      </c>
    </row>
    <row r="792" spans="1:11" ht="12.5" x14ac:dyDescent="0.25">
      <c r="A792" s="3" t="e">
        <f ca="1"/>
        <v>#NAME?</v>
      </c>
      <c r="B792" s="2" t="s">
        <v>12</v>
      </c>
      <c r="C792" s="2" t="s">
        <v>12</v>
      </c>
      <c r="D792" s="2" t="s">
        <v>12</v>
      </c>
      <c r="E792" s="2" t="s">
        <v>12</v>
      </c>
      <c r="F792" s="2" t="s">
        <v>12</v>
      </c>
      <c r="G792" s="2" t="s">
        <v>12</v>
      </c>
      <c r="H792" s="2" t="s">
        <v>12</v>
      </c>
      <c r="I792" s="2" t="s">
        <v>12</v>
      </c>
      <c r="J792" s="2" t="s">
        <v>12</v>
      </c>
      <c r="K792" s="2" t="s">
        <v>12</v>
      </c>
    </row>
    <row r="793" spans="1:11" ht="12.5" x14ac:dyDescent="0.25">
      <c r="A793" s="3" t="e">
        <f ca="1"/>
        <v>#NAME?</v>
      </c>
      <c r="B793" s="2" t="s">
        <v>12</v>
      </c>
      <c r="C793" s="2" t="s">
        <v>12</v>
      </c>
      <c r="D793" s="2" t="s">
        <v>12</v>
      </c>
      <c r="E793" s="2" t="s">
        <v>12</v>
      </c>
      <c r="F793" s="2" t="s">
        <v>12</v>
      </c>
      <c r="G793" s="2" t="s">
        <v>12</v>
      </c>
      <c r="H793" s="2" t="s">
        <v>12</v>
      </c>
      <c r="I793" s="2" t="s">
        <v>12</v>
      </c>
      <c r="J793" s="2" t="s">
        <v>12</v>
      </c>
      <c r="K793" s="2" t="s">
        <v>12</v>
      </c>
    </row>
    <row r="794" spans="1:11" ht="12.5" x14ac:dyDescent="0.25">
      <c r="A794" s="3" t="e">
        <f ca="1"/>
        <v>#NAME?</v>
      </c>
      <c r="B794" s="2" t="s">
        <v>12</v>
      </c>
      <c r="C794" s="2" t="s">
        <v>12</v>
      </c>
      <c r="D794" s="2" t="s">
        <v>12</v>
      </c>
      <c r="E794" s="2" t="s">
        <v>12</v>
      </c>
      <c r="F794" s="2" t="s">
        <v>12</v>
      </c>
      <c r="G794" s="2" t="s">
        <v>12</v>
      </c>
      <c r="H794" s="2" t="s">
        <v>12</v>
      </c>
      <c r="I794" s="2" t="s">
        <v>12</v>
      </c>
      <c r="J794" s="2" t="s">
        <v>12</v>
      </c>
      <c r="K794" s="2" t="s">
        <v>12</v>
      </c>
    </row>
    <row r="795" spans="1:11" ht="12.5" x14ac:dyDescent="0.25">
      <c r="A795" s="3" t="e">
        <f ca="1"/>
        <v>#NAME?</v>
      </c>
      <c r="B795" s="2" t="s">
        <v>12</v>
      </c>
      <c r="C795" s="2" t="s">
        <v>12</v>
      </c>
      <c r="D795" s="2" t="s">
        <v>12</v>
      </c>
      <c r="E795" s="2" t="s">
        <v>12</v>
      </c>
      <c r="F795" s="2" t="s">
        <v>12</v>
      </c>
      <c r="G795" s="2" t="s">
        <v>12</v>
      </c>
      <c r="H795" s="2" t="s">
        <v>12</v>
      </c>
      <c r="I795" s="2" t="s">
        <v>12</v>
      </c>
      <c r="J795" s="2" t="s">
        <v>12</v>
      </c>
      <c r="K795" s="2" t="s">
        <v>12</v>
      </c>
    </row>
    <row r="796" spans="1:11" ht="12.5" x14ac:dyDescent="0.25">
      <c r="A796" s="3" t="e">
        <f ca="1"/>
        <v>#NAME?</v>
      </c>
      <c r="B796" s="2" t="s">
        <v>12</v>
      </c>
      <c r="C796" s="2" t="s">
        <v>12</v>
      </c>
      <c r="D796" s="2" t="s">
        <v>12</v>
      </c>
      <c r="E796" s="2" t="s">
        <v>12</v>
      </c>
      <c r="F796" s="2" t="s">
        <v>12</v>
      </c>
      <c r="G796" s="2" t="s">
        <v>12</v>
      </c>
      <c r="H796" s="2" t="s">
        <v>12</v>
      </c>
      <c r="I796" s="2" t="s">
        <v>12</v>
      </c>
      <c r="J796" s="2" t="s">
        <v>12</v>
      </c>
      <c r="K796" s="2" t="s">
        <v>12</v>
      </c>
    </row>
    <row r="797" spans="1:11" ht="12.5" x14ac:dyDescent="0.25">
      <c r="A797" s="3" t="e">
        <f ca="1"/>
        <v>#NAME?</v>
      </c>
      <c r="B797" s="2" t="s">
        <v>12</v>
      </c>
      <c r="C797" s="2" t="s">
        <v>12</v>
      </c>
      <c r="D797" s="2" t="s">
        <v>12</v>
      </c>
      <c r="E797" s="2" t="s">
        <v>12</v>
      </c>
      <c r="F797" s="2" t="s">
        <v>12</v>
      </c>
      <c r="G797" s="2" t="s">
        <v>12</v>
      </c>
      <c r="H797" s="2" t="s">
        <v>12</v>
      </c>
      <c r="I797" s="2" t="s">
        <v>12</v>
      </c>
      <c r="J797" s="2" t="s">
        <v>12</v>
      </c>
      <c r="K797" s="2" t="s">
        <v>12</v>
      </c>
    </row>
    <row r="798" spans="1:11" ht="12.5" x14ac:dyDescent="0.25">
      <c r="A798" s="3" t="e">
        <f ca="1"/>
        <v>#NAME?</v>
      </c>
      <c r="B798" s="2" t="s">
        <v>12</v>
      </c>
      <c r="C798" s="2" t="s">
        <v>12</v>
      </c>
      <c r="D798" s="2" t="s">
        <v>12</v>
      </c>
      <c r="E798" s="2" t="s">
        <v>12</v>
      </c>
      <c r="F798" s="2" t="s">
        <v>12</v>
      </c>
      <c r="G798" s="2" t="s">
        <v>12</v>
      </c>
      <c r="H798" s="2" t="s">
        <v>12</v>
      </c>
      <c r="I798" s="2" t="s">
        <v>12</v>
      </c>
      <c r="J798" s="2" t="s">
        <v>12</v>
      </c>
      <c r="K798" s="2" t="s">
        <v>12</v>
      </c>
    </row>
    <row r="799" spans="1:11" ht="12.5" x14ac:dyDescent="0.25">
      <c r="A799" s="3" t="e">
        <f ca="1"/>
        <v>#NAME?</v>
      </c>
      <c r="B799" s="2" t="s">
        <v>12</v>
      </c>
      <c r="C799" s="2" t="s">
        <v>12</v>
      </c>
      <c r="D799" s="2" t="s">
        <v>12</v>
      </c>
      <c r="E799" s="2" t="s">
        <v>12</v>
      </c>
      <c r="F799" s="2" t="s">
        <v>12</v>
      </c>
      <c r="G799" s="2" t="s">
        <v>12</v>
      </c>
      <c r="H799" s="2" t="s">
        <v>12</v>
      </c>
      <c r="I799" s="2" t="s">
        <v>12</v>
      </c>
      <c r="J799" s="2" t="s">
        <v>12</v>
      </c>
      <c r="K799" s="2" t="s">
        <v>12</v>
      </c>
    </row>
    <row r="800" spans="1:11" ht="12.5" x14ac:dyDescent="0.25">
      <c r="A800" s="3" t="e">
        <f ca="1"/>
        <v>#NAME?</v>
      </c>
      <c r="B800" s="2" t="s">
        <v>12</v>
      </c>
      <c r="C800" s="2" t="s">
        <v>12</v>
      </c>
      <c r="D800" s="2" t="s">
        <v>12</v>
      </c>
      <c r="E800" s="2" t="s">
        <v>12</v>
      </c>
      <c r="F800" s="2" t="s">
        <v>12</v>
      </c>
      <c r="G800" s="2" t="s">
        <v>12</v>
      </c>
      <c r="H800" s="2" t="s">
        <v>12</v>
      </c>
      <c r="I800" s="2" t="s">
        <v>12</v>
      </c>
      <c r="J800" s="2" t="s">
        <v>12</v>
      </c>
      <c r="K800" s="2" t="s">
        <v>12</v>
      </c>
    </row>
    <row r="801" spans="1:11" ht="12.5" x14ac:dyDescent="0.25">
      <c r="A801" s="3" t="e">
        <f ca="1"/>
        <v>#NAME?</v>
      </c>
      <c r="B801" s="2" t="s">
        <v>12</v>
      </c>
      <c r="C801" s="2" t="s">
        <v>12</v>
      </c>
      <c r="D801" s="2" t="s">
        <v>12</v>
      </c>
      <c r="E801" s="2" t="s">
        <v>12</v>
      </c>
      <c r="F801" s="2" t="s">
        <v>12</v>
      </c>
      <c r="G801" s="2" t="s">
        <v>12</v>
      </c>
      <c r="H801" s="2" t="s">
        <v>12</v>
      </c>
      <c r="I801" s="2" t="s">
        <v>12</v>
      </c>
      <c r="J801" s="2" t="s">
        <v>12</v>
      </c>
      <c r="K801" s="2" t="s">
        <v>12</v>
      </c>
    </row>
    <row r="802" spans="1:11" ht="12.5" x14ac:dyDescent="0.25">
      <c r="A802" s="3" t="e">
        <f ca="1"/>
        <v>#NAME?</v>
      </c>
      <c r="B802" s="2" t="s">
        <v>12</v>
      </c>
      <c r="C802" s="2" t="s">
        <v>12</v>
      </c>
      <c r="D802" s="2" t="s">
        <v>12</v>
      </c>
      <c r="E802" s="2" t="s">
        <v>12</v>
      </c>
      <c r="F802" s="2" t="s">
        <v>12</v>
      </c>
      <c r="G802" s="2" t="s">
        <v>12</v>
      </c>
      <c r="H802" s="2" t="s">
        <v>12</v>
      </c>
      <c r="I802" s="2" t="s">
        <v>12</v>
      </c>
      <c r="J802" s="2" t="s">
        <v>12</v>
      </c>
      <c r="K802" s="2" t="s">
        <v>12</v>
      </c>
    </row>
    <row r="803" spans="1:11" ht="12.5" x14ac:dyDescent="0.25">
      <c r="A803" s="3" t="e">
        <f ca="1"/>
        <v>#NAME?</v>
      </c>
      <c r="B803" s="2" t="s">
        <v>12</v>
      </c>
      <c r="C803" s="2" t="s">
        <v>12</v>
      </c>
      <c r="D803" s="2" t="s">
        <v>12</v>
      </c>
      <c r="E803" s="2" t="s">
        <v>12</v>
      </c>
      <c r="F803" s="2" t="s">
        <v>12</v>
      </c>
      <c r="G803" s="2" t="s">
        <v>12</v>
      </c>
      <c r="H803" s="2" t="s">
        <v>12</v>
      </c>
      <c r="I803" s="2" t="s">
        <v>12</v>
      </c>
      <c r="J803" s="2" t="s">
        <v>12</v>
      </c>
      <c r="K803" s="2" t="s">
        <v>12</v>
      </c>
    </row>
    <row r="804" spans="1:11" ht="12.5" x14ac:dyDescent="0.25">
      <c r="A804" s="3" t="e">
        <f ca="1"/>
        <v>#NAME?</v>
      </c>
      <c r="B804" s="2" t="s">
        <v>12</v>
      </c>
      <c r="C804" s="2" t="s">
        <v>12</v>
      </c>
      <c r="D804" s="2" t="s">
        <v>12</v>
      </c>
      <c r="E804" s="2" t="s">
        <v>12</v>
      </c>
      <c r="F804" s="2" t="s">
        <v>12</v>
      </c>
      <c r="G804" s="2" t="s">
        <v>12</v>
      </c>
      <c r="H804" s="2" t="s">
        <v>12</v>
      </c>
      <c r="I804" s="2" t="s">
        <v>12</v>
      </c>
      <c r="J804" s="2" t="s">
        <v>12</v>
      </c>
      <c r="K804" s="2" t="s">
        <v>12</v>
      </c>
    </row>
    <row r="805" spans="1:11" ht="12.5" x14ac:dyDescent="0.25">
      <c r="A805" s="3" t="e">
        <f ca="1"/>
        <v>#NAME?</v>
      </c>
      <c r="B805" s="2" t="s">
        <v>12</v>
      </c>
      <c r="C805" s="2" t="s">
        <v>12</v>
      </c>
      <c r="D805" s="2" t="s">
        <v>12</v>
      </c>
      <c r="E805" s="2" t="s">
        <v>12</v>
      </c>
      <c r="F805" s="2" t="s">
        <v>12</v>
      </c>
      <c r="G805" s="2" t="s">
        <v>12</v>
      </c>
      <c r="H805" s="2" t="s">
        <v>12</v>
      </c>
      <c r="I805" s="2" t="s">
        <v>12</v>
      </c>
      <c r="J805" s="2" t="s">
        <v>12</v>
      </c>
      <c r="K805" s="2" t="s">
        <v>12</v>
      </c>
    </row>
    <row r="806" spans="1:11" ht="12.5" x14ac:dyDescent="0.25">
      <c r="A806" s="3" t="e">
        <f ca="1"/>
        <v>#NAME?</v>
      </c>
      <c r="B806" s="2" t="s">
        <v>12</v>
      </c>
      <c r="C806" s="2" t="s">
        <v>12</v>
      </c>
      <c r="D806" s="2" t="s">
        <v>12</v>
      </c>
      <c r="E806" s="2" t="s">
        <v>12</v>
      </c>
      <c r="F806" s="2" t="s">
        <v>12</v>
      </c>
      <c r="G806" s="2" t="s">
        <v>12</v>
      </c>
      <c r="H806" s="2" t="s">
        <v>12</v>
      </c>
      <c r="I806" s="2" t="s">
        <v>12</v>
      </c>
      <c r="J806" s="2" t="s">
        <v>12</v>
      </c>
      <c r="K806" s="2" t="s">
        <v>12</v>
      </c>
    </row>
    <row r="807" spans="1:11" ht="12.5" x14ac:dyDescent="0.25">
      <c r="A807" s="3" t="e">
        <f ca="1"/>
        <v>#NAME?</v>
      </c>
      <c r="B807" s="2" t="s">
        <v>12</v>
      </c>
      <c r="C807" s="2" t="s">
        <v>12</v>
      </c>
      <c r="D807" s="2" t="s">
        <v>12</v>
      </c>
      <c r="E807" s="2" t="s">
        <v>12</v>
      </c>
      <c r="F807" s="2" t="s">
        <v>12</v>
      </c>
      <c r="G807" s="2" t="s">
        <v>12</v>
      </c>
      <c r="H807" s="2" t="s">
        <v>12</v>
      </c>
      <c r="I807" s="2" t="s">
        <v>12</v>
      </c>
      <c r="J807" s="2" t="s">
        <v>12</v>
      </c>
      <c r="K807" s="2" t="s">
        <v>12</v>
      </c>
    </row>
    <row r="808" spans="1:11" ht="12.5" x14ac:dyDescent="0.25">
      <c r="A808" s="3" t="e">
        <f ca="1"/>
        <v>#NAME?</v>
      </c>
      <c r="B808" s="2" t="s">
        <v>12</v>
      </c>
      <c r="C808" s="2" t="s">
        <v>12</v>
      </c>
      <c r="D808" s="2" t="s">
        <v>12</v>
      </c>
      <c r="E808" s="2" t="s">
        <v>12</v>
      </c>
      <c r="F808" s="2" t="s">
        <v>12</v>
      </c>
      <c r="G808" s="2" t="s">
        <v>12</v>
      </c>
      <c r="H808" s="2" t="s">
        <v>12</v>
      </c>
      <c r="I808" s="2" t="s">
        <v>12</v>
      </c>
      <c r="J808" s="2" t="s">
        <v>12</v>
      </c>
      <c r="K808" s="2" t="s">
        <v>12</v>
      </c>
    </row>
    <row r="809" spans="1:11" ht="12.5" x14ac:dyDescent="0.25">
      <c r="A809" s="3" t="e">
        <f ca="1"/>
        <v>#NAME?</v>
      </c>
      <c r="B809" s="2" t="s">
        <v>12</v>
      </c>
      <c r="C809" s="2" t="s">
        <v>12</v>
      </c>
      <c r="D809" s="2" t="s">
        <v>12</v>
      </c>
      <c r="E809" s="2" t="s">
        <v>12</v>
      </c>
      <c r="F809" s="2" t="s">
        <v>12</v>
      </c>
      <c r="G809" s="2" t="s">
        <v>12</v>
      </c>
      <c r="H809" s="2" t="s">
        <v>12</v>
      </c>
      <c r="I809" s="2" t="s">
        <v>12</v>
      </c>
      <c r="J809" s="2" t="s">
        <v>12</v>
      </c>
      <c r="K809" s="2" t="s">
        <v>12</v>
      </c>
    </row>
    <row r="810" spans="1:11" ht="12.5" x14ac:dyDescent="0.25">
      <c r="A810" s="3" t="e">
        <f ca="1"/>
        <v>#NAME?</v>
      </c>
      <c r="B810" s="2" t="s">
        <v>12</v>
      </c>
      <c r="C810" s="2" t="s">
        <v>12</v>
      </c>
      <c r="D810" s="2" t="s">
        <v>12</v>
      </c>
      <c r="E810" s="2" t="s">
        <v>12</v>
      </c>
      <c r="F810" s="2" t="s">
        <v>12</v>
      </c>
      <c r="G810" s="2" t="s">
        <v>12</v>
      </c>
      <c r="H810" s="2" t="s">
        <v>12</v>
      </c>
      <c r="I810" s="2" t="s">
        <v>12</v>
      </c>
      <c r="J810" s="2" t="s">
        <v>12</v>
      </c>
      <c r="K810" s="2" t="s">
        <v>12</v>
      </c>
    </row>
    <row r="811" spans="1:11" ht="12.5" x14ac:dyDescent="0.25">
      <c r="A811" s="3" t="e">
        <f ca="1"/>
        <v>#NAME?</v>
      </c>
      <c r="B811" s="2" t="s">
        <v>12</v>
      </c>
      <c r="C811" s="2" t="s">
        <v>12</v>
      </c>
      <c r="D811" s="2" t="s">
        <v>12</v>
      </c>
      <c r="E811" s="2" t="s">
        <v>12</v>
      </c>
      <c r="F811" s="2" t="s">
        <v>12</v>
      </c>
      <c r="G811" s="2" t="s">
        <v>12</v>
      </c>
      <c r="H811" s="2" t="s">
        <v>12</v>
      </c>
      <c r="I811" s="2" t="s">
        <v>12</v>
      </c>
      <c r="J811" s="2" t="s">
        <v>12</v>
      </c>
      <c r="K811" s="2" t="s">
        <v>12</v>
      </c>
    </row>
    <row r="812" spans="1:11" ht="12.5" x14ac:dyDescent="0.25">
      <c r="A812" s="3" t="e">
        <f ca="1"/>
        <v>#NAME?</v>
      </c>
      <c r="B812" s="2" t="s">
        <v>12</v>
      </c>
      <c r="C812" s="2" t="s">
        <v>12</v>
      </c>
      <c r="D812" s="2" t="s">
        <v>12</v>
      </c>
      <c r="E812" s="2" t="s">
        <v>12</v>
      </c>
      <c r="F812" s="2" t="s">
        <v>12</v>
      </c>
      <c r="G812" s="2" t="s">
        <v>12</v>
      </c>
      <c r="H812" s="2" t="s">
        <v>12</v>
      </c>
      <c r="I812" s="2" t="s">
        <v>12</v>
      </c>
      <c r="J812" s="2" t="s">
        <v>12</v>
      </c>
      <c r="K812" s="2" t="s">
        <v>12</v>
      </c>
    </row>
    <row r="813" spans="1:11" ht="12.5" x14ac:dyDescent="0.25">
      <c r="A813" s="3" t="e">
        <f ca="1"/>
        <v>#NAME?</v>
      </c>
      <c r="B813" s="2" t="s">
        <v>12</v>
      </c>
      <c r="C813" s="2" t="s">
        <v>12</v>
      </c>
      <c r="D813" s="2" t="s">
        <v>12</v>
      </c>
      <c r="E813" s="2" t="s">
        <v>12</v>
      </c>
      <c r="F813" s="2" t="s">
        <v>12</v>
      </c>
      <c r="G813" s="2" t="s">
        <v>12</v>
      </c>
      <c r="H813" s="2" t="s">
        <v>12</v>
      </c>
      <c r="I813" s="2" t="s">
        <v>12</v>
      </c>
      <c r="J813" s="2" t="s">
        <v>12</v>
      </c>
      <c r="K813" s="2" t="s">
        <v>12</v>
      </c>
    </row>
    <row r="814" spans="1:11" ht="12.5" x14ac:dyDescent="0.25">
      <c r="A814" s="3" t="e">
        <f ca="1"/>
        <v>#NAME?</v>
      </c>
      <c r="B814" s="2" t="s">
        <v>12</v>
      </c>
      <c r="C814" s="2" t="s">
        <v>12</v>
      </c>
      <c r="D814" s="2" t="s">
        <v>12</v>
      </c>
      <c r="E814" s="2" t="s">
        <v>12</v>
      </c>
      <c r="F814" s="2" t="s">
        <v>12</v>
      </c>
      <c r="G814" s="2" t="s">
        <v>12</v>
      </c>
      <c r="H814" s="2" t="s">
        <v>12</v>
      </c>
      <c r="I814" s="2" t="s">
        <v>12</v>
      </c>
      <c r="J814" s="2" t="s">
        <v>12</v>
      </c>
      <c r="K814" s="2" t="s">
        <v>12</v>
      </c>
    </row>
    <row r="815" spans="1:11" ht="12.5" x14ac:dyDescent="0.25">
      <c r="A815" s="3" t="e">
        <f ca="1"/>
        <v>#NAME?</v>
      </c>
      <c r="B815" s="2" t="s">
        <v>12</v>
      </c>
      <c r="C815" s="2" t="s">
        <v>12</v>
      </c>
      <c r="D815" s="2" t="s">
        <v>12</v>
      </c>
      <c r="E815" s="2" t="s">
        <v>12</v>
      </c>
      <c r="F815" s="2" t="s">
        <v>12</v>
      </c>
      <c r="G815" s="2" t="s">
        <v>12</v>
      </c>
      <c r="H815" s="2" t="s">
        <v>12</v>
      </c>
      <c r="I815" s="2" t="s">
        <v>12</v>
      </c>
      <c r="J815" s="2" t="s">
        <v>12</v>
      </c>
      <c r="K815" s="2" t="s">
        <v>12</v>
      </c>
    </row>
    <row r="816" spans="1:11" ht="12.5" x14ac:dyDescent="0.25">
      <c r="A816" s="3" t="e">
        <f ca="1"/>
        <v>#NAME?</v>
      </c>
      <c r="B816" s="2" t="s">
        <v>12</v>
      </c>
      <c r="C816" s="2" t="s">
        <v>12</v>
      </c>
      <c r="D816" s="2" t="s">
        <v>12</v>
      </c>
      <c r="E816" s="2" t="s">
        <v>12</v>
      </c>
      <c r="F816" s="2" t="s">
        <v>12</v>
      </c>
      <c r="G816" s="2" t="s">
        <v>12</v>
      </c>
      <c r="H816" s="2" t="s">
        <v>12</v>
      </c>
      <c r="I816" s="2" t="s">
        <v>12</v>
      </c>
      <c r="J816" s="2" t="s">
        <v>12</v>
      </c>
      <c r="K816" s="2" t="s">
        <v>12</v>
      </c>
    </row>
    <row r="817" spans="1:11" ht="12.5" x14ac:dyDescent="0.25">
      <c r="A817" s="3" t="e">
        <f ca="1"/>
        <v>#NAME?</v>
      </c>
      <c r="B817" s="2" t="s">
        <v>12</v>
      </c>
      <c r="C817" s="2" t="s">
        <v>12</v>
      </c>
      <c r="D817" s="2" t="s">
        <v>12</v>
      </c>
      <c r="E817" s="2" t="s">
        <v>12</v>
      </c>
      <c r="F817" s="2" t="s">
        <v>12</v>
      </c>
      <c r="G817" s="2" t="s">
        <v>12</v>
      </c>
      <c r="H817" s="2" t="s">
        <v>12</v>
      </c>
      <c r="I817" s="2" t="s">
        <v>12</v>
      </c>
      <c r="J817" s="2" t="s">
        <v>12</v>
      </c>
      <c r="K817" s="2" t="s">
        <v>12</v>
      </c>
    </row>
    <row r="818" spans="1:11" ht="12.5" x14ac:dyDescent="0.25">
      <c r="A818" s="3" t="e">
        <f ca="1"/>
        <v>#NAME?</v>
      </c>
      <c r="B818" s="2" t="s">
        <v>12</v>
      </c>
      <c r="C818" s="2" t="s">
        <v>12</v>
      </c>
      <c r="D818" s="2" t="s">
        <v>12</v>
      </c>
      <c r="E818" s="2" t="s">
        <v>12</v>
      </c>
      <c r="F818" s="2" t="s">
        <v>12</v>
      </c>
      <c r="G818" s="2" t="s">
        <v>12</v>
      </c>
      <c r="H818" s="2" t="s">
        <v>12</v>
      </c>
      <c r="I818" s="2" t="s">
        <v>12</v>
      </c>
      <c r="J818" s="2" t="s">
        <v>12</v>
      </c>
      <c r="K818" s="2" t="s">
        <v>12</v>
      </c>
    </row>
    <row r="819" spans="1:11" ht="12.5" x14ac:dyDescent="0.25">
      <c r="A819" s="3" t="e">
        <f ca="1"/>
        <v>#NAME?</v>
      </c>
      <c r="B819" s="2" t="s">
        <v>12</v>
      </c>
      <c r="C819" s="2" t="s">
        <v>12</v>
      </c>
      <c r="D819" s="2" t="s">
        <v>12</v>
      </c>
      <c r="E819" s="2" t="s">
        <v>12</v>
      </c>
      <c r="F819" s="2" t="s">
        <v>12</v>
      </c>
      <c r="G819" s="2" t="s">
        <v>12</v>
      </c>
      <c r="H819" s="2" t="s">
        <v>12</v>
      </c>
      <c r="I819" s="2" t="s">
        <v>12</v>
      </c>
      <c r="J819" s="2" t="s">
        <v>12</v>
      </c>
      <c r="K819" s="2" t="s">
        <v>12</v>
      </c>
    </row>
    <row r="820" spans="1:11" ht="12.5" x14ac:dyDescent="0.25">
      <c r="A820" s="3" t="e">
        <f ca="1"/>
        <v>#NAME?</v>
      </c>
      <c r="B820" s="2" t="s">
        <v>12</v>
      </c>
      <c r="C820" s="2" t="s">
        <v>12</v>
      </c>
      <c r="D820" s="2" t="s">
        <v>12</v>
      </c>
      <c r="E820" s="2" t="s">
        <v>12</v>
      </c>
      <c r="F820" s="2" t="s">
        <v>12</v>
      </c>
      <c r="G820" s="2" t="s">
        <v>12</v>
      </c>
      <c r="H820" s="2" t="s">
        <v>12</v>
      </c>
      <c r="I820" s="2" t="s">
        <v>12</v>
      </c>
      <c r="J820" s="2" t="s">
        <v>12</v>
      </c>
      <c r="K820" s="2" t="s">
        <v>12</v>
      </c>
    </row>
    <row r="821" spans="1:11" ht="12.5" x14ac:dyDescent="0.25">
      <c r="A821" s="3" t="e">
        <f ca="1"/>
        <v>#NAME?</v>
      </c>
      <c r="B821" s="2" t="s">
        <v>12</v>
      </c>
      <c r="C821" s="2" t="s">
        <v>12</v>
      </c>
      <c r="D821" s="2" t="s">
        <v>12</v>
      </c>
      <c r="E821" s="2" t="s">
        <v>12</v>
      </c>
      <c r="F821" s="2" t="s">
        <v>12</v>
      </c>
      <c r="G821" s="2" t="s">
        <v>12</v>
      </c>
      <c r="H821" s="2" t="s">
        <v>12</v>
      </c>
      <c r="I821" s="2" t="s">
        <v>12</v>
      </c>
      <c r="J821" s="2" t="s">
        <v>12</v>
      </c>
      <c r="K821" s="2" t="s">
        <v>12</v>
      </c>
    </row>
    <row r="822" spans="1:11" ht="12.5" x14ac:dyDescent="0.25">
      <c r="A822" s="3" t="e">
        <f ca="1"/>
        <v>#NAME?</v>
      </c>
      <c r="B822" s="2" t="s">
        <v>12</v>
      </c>
      <c r="C822" s="2" t="s">
        <v>12</v>
      </c>
      <c r="D822" s="2" t="s">
        <v>12</v>
      </c>
      <c r="E822" s="2" t="s">
        <v>12</v>
      </c>
      <c r="F822" s="2" t="s">
        <v>12</v>
      </c>
      <c r="G822" s="2" t="s">
        <v>12</v>
      </c>
      <c r="H822" s="2" t="s">
        <v>12</v>
      </c>
      <c r="I822" s="2" t="s">
        <v>12</v>
      </c>
      <c r="J822" s="2" t="s">
        <v>12</v>
      </c>
      <c r="K822" s="2" t="s">
        <v>12</v>
      </c>
    </row>
    <row r="823" spans="1:11" ht="12.5" x14ac:dyDescent="0.25">
      <c r="A823" s="3" t="e">
        <f ca="1"/>
        <v>#NAME?</v>
      </c>
      <c r="B823" s="2" t="s">
        <v>12</v>
      </c>
      <c r="C823" s="2" t="s">
        <v>12</v>
      </c>
      <c r="D823" s="2" t="s">
        <v>12</v>
      </c>
      <c r="E823" s="2" t="s">
        <v>12</v>
      </c>
      <c r="F823" s="2" t="s">
        <v>12</v>
      </c>
      <c r="G823" s="2" t="s">
        <v>12</v>
      </c>
      <c r="H823" s="2" t="s">
        <v>12</v>
      </c>
      <c r="I823" s="2" t="s">
        <v>12</v>
      </c>
      <c r="J823" s="2" t="s">
        <v>12</v>
      </c>
      <c r="K823" s="2" t="s">
        <v>12</v>
      </c>
    </row>
    <row r="824" spans="1:11" ht="12.5" x14ac:dyDescent="0.25">
      <c r="A824" s="3" t="e">
        <f ca="1"/>
        <v>#NAME?</v>
      </c>
      <c r="B824" s="2" t="s">
        <v>12</v>
      </c>
      <c r="C824" s="2" t="s">
        <v>12</v>
      </c>
      <c r="D824" s="2" t="s">
        <v>12</v>
      </c>
      <c r="E824" s="2" t="s">
        <v>12</v>
      </c>
      <c r="F824" s="2" t="s">
        <v>12</v>
      </c>
      <c r="G824" s="2" t="s">
        <v>12</v>
      </c>
      <c r="H824" s="2" t="s">
        <v>12</v>
      </c>
      <c r="I824" s="2" t="s">
        <v>12</v>
      </c>
      <c r="J824" s="2" t="s">
        <v>12</v>
      </c>
      <c r="K824" s="2" t="s">
        <v>12</v>
      </c>
    </row>
    <row r="825" spans="1:11" ht="12.5" x14ac:dyDescent="0.25">
      <c r="A825" s="3" t="e">
        <f ca="1"/>
        <v>#NAME?</v>
      </c>
      <c r="B825" s="2" t="s">
        <v>12</v>
      </c>
      <c r="C825" s="2" t="s">
        <v>12</v>
      </c>
      <c r="D825" s="2" t="s">
        <v>12</v>
      </c>
      <c r="E825" s="2" t="s">
        <v>12</v>
      </c>
      <c r="F825" s="2" t="s">
        <v>12</v>
      </c>
      <c r="G825" s="2" t="s">
        <v>12</v>
      </c>
      <c r="H825" s="2" t="s">
        <v>12</v>
      </c>
      <c r="I825" s="2" t="s">
        <v>12</v>
      </c>
      <c r="J825" s="2" t="s">
        <v>12</v>
      </c>
      <c r="K825" s="2" t="s">
        <v>12</v>
      </c>
    </row>
    <row r="826" spans="1:11" ht="12.5" x14ac:dyDescent="0.25">
      <c r="A826" s="3" t="e">
        <f ca="1"/>
        <v>#NAME?</v>
      </c>
      <c r="B826" s="2" t="s">
        <v>12</v>
      </c>
      <c r="C826" s="2" t="s">
        <v>12</v>
      </c>
      <c r="D826" s="2" t="s">
        <v>12</v>
      </c>
      <c r="E826" s="2" t="s">
        <v>12</v>
      </c>
      <c r="F826" s="2" t="s">
        <v>12</v>
      </c>
      <c r="G826" s="2" t="s">
        <v>12</v>
      </c>
      <c r="H826" s="2" t="s">
        <v>12</v>
      </c>
      <c r="I826" s="2" t="s">
        <v>12</v>
      </c>
      <c r="J826" s="2" t="s">
        <v>12</v>
      </c>
      <c r="K826" s="2" t="s">
        <v>12</v>
      </c>
    </row>
    <row r="827" spans="1:11" ht="12.5" x14ac:dyDescent="0.25">
      <c r="A827" s="3" t="e">
        <f ca="1"/>
        <v>#NAME?</v>
      </c>
      <c r="B827" s="2" t="s">
        <v>12</v>
      </c>
      <c r="C827" s="2" t="s">
        <v>12</v>
      </c>
      <c r="D827" s="2" t="s">
        <v>12</v>
      </c>
      <c r="E827" s="2" t="s">
        <v>12</v>
      </c>
      <c r="F827" s="2" t="s">
        <v>12</v>
      </c>
      <c r="G827" s="2" t="s">
        <v>12</v>
      </c>
      <c r="H827" s="2" t="s">
        <v>12</v>
      </c>
      <c r="I827" s="2" t="s">
        <v>12</v>
      </c>
      <c r="J827" s="2" t="s">
        <v>12</v>
      </c>
      <c r="K827" s="2" t="s">
        <v>12</v>
      </c>
    </row>
    <row r="828" spans="1:11" ht="12.5" x14ac:dyDescent="0.25">
      <c r="A828" s="3" t="e">
        <f ca="1"/>
        <v>#NAME?</v>
      </c>
      <c r="B828" s="2" t="s">
        <v>12</v>
      </c>
      <c r="C828" s="2" t="s">
        <v>12</v>
      </c>
      <c r="D828" s="2" t="s">
        <v>12</v>
      </c>
      <c r="E828" s="2" t="s">
        <v>12</v>
      </c>
      <c r="F828" s="2" t="s">
        <v>12</v>
      </c>
      <c r="G828" s="2" t="s">
        <v>12</v>
      </c>
      <c r="H828" s="2" t="s">
        <v>12</v>
      </c>
      <c r="I828" s="2" t="s">
        <v>12</v>
      </c>
      <c r="J828" s="2" t="s">
        <v>12</v>
      </c>
      <c r="K828" s="2" t="s">
        <v>12</v>
      </c>
    </row>
    <row r="829" spans="1:11" ht="12.5" x14ac:dyDescent="0.25">
      <c r="A829" s="3" t="e">
        <f ca="1"/>
        <v>#NAME?</v>
      </c>
      <c r="B829" s="2" t="s">
        <v>12</v>
      </c>
      <c r="C829" s="2" t="s">
        <v>12</v>
      </c>
      <c r="D829" s="2" t="s">
        <v>12</v>
      </c>
      <c r="E829" s="2" t="s">
        <v>12</v>
      </c>
      <c r="F829" s="2" t="s">
        <v>12</v>
      </c>
      <c r="G829" s="2" t="s">
        <v>12</v>
      </c>
      <c r="H829" s="2" t="s">
        <v>12</v>
      </c>
      <c r="I829" s="2" t="s">
        <v>12</v>
      </c>
      <c r="J829" s="2" t="s">
        <v>12</v>
      </c>
      <c r="K829" s="2" t="s">
        <v>12</v>
      </c>
    </row>
    <row r="830" spans="1:11" ht="12.5" x14ac:dyDescent="0.25">
      <c r="A830" s="3" t="e">
        <f ca="1"/>
        <v>#NAME?</v>
      </c>
      <c r="B830" s="2" t="s">
        <v>12</v>
      </c>
      <c r="C830" s="2" t="s">
        <v>12</v>
      </c>
      <c r="D830" s="2" t="s">
        <v>12</v>
      </c>
      <c r="E830" s="2" t="s">
        <v>12</v>
      </c>
      <c r="F830" s="2" t="s">
        <v>12</v>
      </c>
      <c r="G830" s="2" t="s">
        <v>12</v>
      </c>
      <c r="H830" s="2" t="s">
        <v>12</v>
      </c>
      <c r="I830" s="2" t="s">
        <v>12</v>
      </c>
      <c r="J830" s="2" t="s">
        <v>12</v>
      </c>
      <c r="K830" s="2" t="s">
        <v>12</v>
      </c>
    </row>
    <row r="831" spans="1:11" ht="12.5" x14ac:dyDescent="0.25">
      <c r="A831" s="3" t="e">
        <f ca="1"/>
        <v>#NAME?</v>
      </c>
      <c r="B831" s="2" t="s">
        <v>12</v>
      </c>
      <c r="C831" s="2" t="s">
        <v>12</v>
      </c>
      <c r="D831" s="2" t="s">
        <v>12</v>
      </c>
      <c r="E831" s="2" t="s">
        <v>12</v>
      </c>
      <c r="F831" s="2" t="s">
        <v>12</v>
      </c>
      <c r="G831" s="2" t="s">
        <v>12</v>
      </c>
      <c r="H831" s="2" t="s">
        <v>12</v>
      </c>
      <c r="I831" s="2" t="s">
        <v>12</v>
      </c>
      <c r="J831" s="2" t="s">
        <v>12</v>
      </c>
      <c r="K831" s="2" t="s">
        <v>12</v>
      </c>
    </row>
    <row r="832" spans="1:11" ht="12.5" x14ac:dyDescent="0.25">
      <c r="A832" s="3" t="e">
        <f ca="1"/>
        <v>#NAME?</v>
      </c>
      <c r="B832" s="2" t="s">
        <v>12</v>
      </c>
      <c r="C832" s="2" t="s">
        <v>12</v>
      </c>
      <c r="D832" s="2" t="s">
        <v>12</v>
      </c>
      <c r="E832" s="2" t="s">
        <v>12</v>
      </c>
      <c r="F832" s="2" t="s">
        <v>12</v>
      </c>
      <c r="G832" s="2" t="s">
        <v>12</v>
      </c>
      <c r="H832" s="2" t="s">
        <v>12</v>
      </c>
      <c r="I832" s="2" t="s">
        <v>12</v>
      </c>
      <c r="J832" s="2" t="s">
        <v>12</v>
      </c>
      <c r="K832" s="2" t="s">
        <v>12</v>
      </c>
    </row>
    <row r="833" spans="1:11" ht="12.5" x14ac:dyDescent="0.25">
      <c r="A833" s="3" t="e">
        <f ca="1"/>
        <v>#NAME?</v>
      </c>
      <c r="B833" s="2" t="s">
        <v>12</v>
      </c>
      <c r="C833" s="2" t="s">
        <v>12</v>
      </c>
      <c r="D833" s="2" t="s">
        <v>12</v>
      </c>
      <c r="E833" s="2" t="s">
        <v>12</v>
      </c>
      <c r="F833" s="2" t="s">
        <v>12</v>
      </c>
      <c r="G833" s="2" t="s">
        <v>12</v>
      </c>
      <c r="H833" s="2" t="s">
        <v>12</v>
      </c>
      <c r="I833" s="2" t="s">
        <v>12</v>
      </c>
      <c r="J833" s="2" t="s">
        <v>12</v>
      </c>
      <c r="K833" s="2" t="s">
        <v>12</v>
      </c>
    </row>
    <row r="834" spans="1:11" ht="12.5" x14ac:dyDescent="0.25">
      <c r="A834" s="3" t="e">
        <f ca="1"/>
        <v>#NAME?</v>
      </c>
      <c r="B834" s="2" t="s">
        <v>12</v>
      </c>
      <c r="C834" s="2" t="s">
        <v>12</v>
      </c>
      <c r="D834" s="2" t="s">
        <v>12</v>
      </c>
      <c r="E834" s="2" t="s">
        <v>12</v>
      </c>
      <c r="F834" s="2" t="s">
        <v>12</v>
      </c>
      <c r="G834" s="2" t="s">
        <v>12</v>
      </c>
      <c r="H834" s="2" t="s">
        <v>12</v>
      </c>
      <c r="I834" s="2" t="s">
        <v>12</v>
      </c>
      <c r="J834" s="2" t="s">
        <v>12</v>
      </c>
      <c r="K834" s="2" t="s">
        <v>12</v>
      </c>
    </row>
    <row r="835" spans="1:11" ht="12.5" x14ac:dyDescent="0.25">
      <c r="A835" s="3" t="e">
        <f ca="1"/>
        <v>#NAME?</v>
      </c>
      <c r="B835" s="2" t="s">
        <v>12</v>
      </c>
      <c r="C835" s="2" t="s">
        <v>12</v>
      </c>
      <c r="D835" s="2" t="s">
        <v>12</v>
      </c>
      <c r="E835" s="2" t="s">
        <v>12</v>
      </c>
      <c r="F835" s="2" t="s">
        <v>12</v>
      </c>
      <c r="G835" s="2" t="s">
        <v>12</v>
      </c>
      <c r="H835" s="2" t="s">
        <v>12</v>
      </c>
      <c r="I835" s="2" t="s">
        <v>12</v>
      </c>
      <c r="J835" s="2" t="s">
        <v>12</v>
      </c>
      <c r="K835" s="2" t="s">
        <v>12</v>
      </c>
    </row>
    <row r="836" spans="1:11" ht="12.5" x14ac:dyDescent="0.25">
      <c r="A836" s="3" t="e">
        <f ca="1"/>
        <v>#NAME?</v>
      </c>
      <c r="B836" s="2" t="s">
        <v>12</v>
      </c>
      <c r="C836" s="2" t="s">
        <v>12</v>
      </c>
      <c r="D836" s="2" t="s">
        <v>12</v>
      </c>
      <c r="E836" s="2" t="s">
        <v>12</v>
      </c>
      <c r="F836" s="2" t="s">
        <v>12</v>
      </c>
      <c r="G836" s="2" t="s">
        <v>12</v>
      </c>
      <c r="H836" s="2" t="s">
        <v>12</v>
      </c>
      <c r="I836" s="2" t="s">
        <v>12</v>
      </c>
      <c r="J836" s="2" t="s">
        <v>12</v>
      </c>
      <c r="K836" s="2" t="s">
        <v>12</v>
      </c>
    </row>
    <row r="837" spans="1:11" ht="12.5" x14ac:dyDescent="0.25">
      <c r="A837" s="3" t="e">
        <f ca="1"/>
        <v>#NAME?</v>
      </c>
      <c r="B837" s="2" t="s">
        <v>12</v>
      </c>
      <c r="C837" s="2" t="s">
        <v>12</v>
      </c>
      <c r="D837" s="2" t="s">
        <v>12</v>
      </c>
      <c r="E837" s="2" t="s">
        <v>12</v>
      </c>
      <c r="F837" s="2" t="s">
        <v>12</v>
      </c>
      <c r="G837" s="2" t="s">
        <v>12</v>
      </c>
      <c r="H837" s="2" t="s">
        <v>12</v>
      </c>
      <c r="I837" s="2" t="s">
        <v>12</v>
      </c>
      <c r="J837" s="2" t="s">
        <v>12</v>
      </c>
      <c r="K837" s="2" t="s">
        <v>12</v>
      </c>
    </row>
    <row r="838" spans="1:11" ht="12.5" x14ac:dyDescent="0.25">
      <c r="A838" s="3" t="e">
        <f ca="1"/>
        <v>#NAME?</v>
      </c>
      <c r="B838" s="2" t="s">
        <v>12</v>
      </c>
      <c r="C838" s="2" t="s">
        <v>12</v>
      </c>
      <c r="D838" s="2" t="s">
        <v>12</v>
      </c>
      <c r="E838" s="2" t="s">
        <v>12</v>
      </c>
      <c r="F838" s="2" t="s">
        <v>12</v>
      </c>
      <c r="G838" s="2" t="s">
        <v>12</v>
      </c>
      <c r="H838" s="2" t="s">
        <v>12</v>
      </c>
      <c r="I838" s="2" t="s">
        <v>12</v>
      </c>
      <c r="J838" s="2" t="s">
        <v>12</v>
      </c>
      <c r="K838" s="2" t="s">
        <v>12</v>
      </c>
    </row>
    <row r="839" spans="1:11" ht="12.5" x14ac:dyDescent="0.25">
      <c r="A839" s="3" t="e">
        <f ca="1"/>
        <v>#NAME?</v>
      </c>
      <c r="B839" s="2" t="s">
        <v>12</v>
      </c>
      <c r="C839" s="2" t="s">
        <v>12</v>
      </c>
      <c r="D839" s="2" t="s">
        <v>12</v>
      </c>
      <c r="E839" s="2" t="s">
        <v>12</v>
      </c>
      <c r="F839" s="2" t="s">
        <v>12</v>
      </c>
      <c r="G839" s="2" t="s">
        <v>12</v>
      </c>
      <c r="H839" s="2" t="s">
        <v>12</v>
      </c>
      <c r="I839" s="2" t="s">
        <v>12</v>
      </c>
      <c r="J839" s="2" t="s">
        <v>12</v>
      </c>
      <c r="K839" s="2" t="s">
        <v>12</v>
      </c>
    </row>
    <row r="840" spans="1:11" ht="12.5" x14ac:dyDescent="0.25">
      <c r="A840" s="3" t="e">
        <f ca="1"/>
        <v>#NAME?</v>
      </c>
      <c r="B840" s="2" t="s">
        <v>12</v>
      </c>
      <c r="C840" s="2" t="s">
        <v>12</v>
      </c>
      <c r="D840" s="2" t="s">
        <v>12</v>
      </c>
      <c r="E840" s="2" t="s">
        <v>12</v>
      </c>
      <c r="F840" s="2" t="s">
        <v>12</v>
      </c>
      <c r="G840" s="2" t="s">
        <v>12</v>
      </c>
      <c r="H840" s="2" t="s">
        <v>12</v>
      </c>
      <c r="I840" s="2" t="s">
        <v>12</v>
      </c>
      <c r="J840" s="2" t="s">
        <v>12</v>
      </c>
      <c r="K840" s="2" t="s">
        <v>12</v>
      </c>
    </row>
    <row r="841" spans="1:11" ht="12.5" x14ac:dyDescent="0.25">
      <c r="A841" s="3" t="e">
        <f ca="1"/>
        <v>#NAME?</v>
      </c>
      <c r="B841" s="2" t="s">
        <v>12</v>
      </c>
      <c r="C841" s="2" t="s">
        <v>12</v>
      </c>
      <c r="D841" s="2" t="s">
        <v>12</v>
      </c>
      <c r="E841" s="2" t="s">
        <v>12</v>
      </c>
      <c r="F841" s="2" t="s">
        <v>12</v>
      </c>
      <c r="G841" s="2" t="s">
        <v>12</v>
      </c>
      <c r="H841" s="2" t="s">
        <v>12</v>
      </c>
      <c r="I841" s="2" t="s">
        <v>12</v>
      </c>
      <c r="J841" s="2" t="s">
        <v>12</v>
      </c>
      <c r="K841" s="2" t="s">
        <v>12</v>
      </c>
    </row>
    <row r="842" spans="1:11" ht="12.5" x14ac:dyDescent="0.25">
      <c r="A842" s="3" t="e">
        <f ca="1"/>
        <v>#NAME?</v>
      </c>
      <c r="B842" s="2" t="s">
        <v>12</v>
      </c>
      <c r="C842" s="2" t="s">
        <v>12</v>
      </c>
      <c r="D842" s="2" t="s">
        <v>12</v>
      </c>
      <c r="E842" s="2" t="s">
        <v>12</v>
      </c>
      <c r="F842" s="2" t="s">
        <v>12</v>
      </c>
      <c r="G842" s="2" t="s">
        <v>12</v>
      </c>
      <c r="H842" s="2" t="s">
        <v>12</v>
      </c>
      <c r="I842" s="2" t="s">
        <v>12</v>
      </c>
      <c r="J842" s="2" t="s">
        <v>12</v>
      </c>
      <c r="K842" s="2" t="s">
        <v>12</v>
      </c>
    </row>
    <row r="843" spans="1:11" ht="12.5" x14ac:dyDescent="0.25">
      <c r="A843" s="3" t="e">
        <f ca="1"/>
        <v>#NAME?</v>
      </c>
      <c r="B843" s="2" t="s">
        <v>12</v>
      </c>
      <c r="C843" s="2" t="s">
        <v>12</v>
      </c>
      <c r="D843" s="2" t="s">
        <v>12</v>
      </c>
      <c r="E843" s="2" t="s">
        <v>12</v>
      </c>
      <c r="F843" s="2" t="s">
        <v>12</v>
      </c>
      <c r="G843" s="2" t="s">
        <v>12</v>
      </c>
      <c r="H843" s="2" t="s">
        <v>12</v>
      </c>
      <c r="I843" s="2" t="s">
        <v>12</v>
      </c>
      <c r="J843" s="2" t="s">
        <v>12</v>
      </c>
      <c r="K843" s="2" t="s">
        <v>12</v>
      </c>
    </row>
    <row r="844" spans="1:11" ht="12.5" x14ac:dyDescent="0.25">
      <c r="A844" s="3" t="e">
        <f ca="1"/>
        <v>#NAME?</v>
      </c>
      <c r="B844" s="2" t="s">
        <v>12</v>
      </c>
      <c r="C844" s="2" t="s">
        <v>12</v>
      </c>
      <c r="D844" s="2" t="s">
        <v>12</v>
      </c>
      <c r="E844" s="2" t="s">
        <v>12</v>
      </c>
      <c r="F844" s="2" t="s">
        <v>12</v>
      </c>
      <c r="G844" s="2" t="s">
        <v>12</v>
      </c>
      <c r="H844" s="2" t="s">
        <v>12</v>
      </c>
      <c r="I844" s="2" t="s">
        <v>12</v>
      </c>
      <c r="J844" s="2" t="s">
        <v>12</v>
      </c>
      <c r="K844" s="2" t="s">
        <v>12</v>
      </c>
    </row>
    <row r="845" spans="1:11" ht="12.5" x14ac:dyDescent="0.25">
      <c r="A845" s="3" t="e">
        <f ca="1"/>
        <v>#NAME?</v>
      </c>
      <c r="B845" s="2" t="s">
        <v>12</v>
      </c>
      <c r="C845" s="2" t="s">
        <v>12</v>
      </c>
      <c r="D845" s="2" t="s">
        <v>12</v>
      </c>
      <c r="E845" s="2" t="s">
        <v>12</v>
      </c>
      <c r="F845" s="2" t="s">
        <v>12</v>
      </c>
      <c r="G845" s="2" t="s">
        <v>12</v>
      </c>
      <c r="H845" s="2" t="s">
        <v>12</v>
      </c>
      <c r="I845" s="2" t="s">
        <v>12</v>
      </c>
      <c r="J845" s="2" t="s">
        <v>12</v>
      </c>
      <c r="K845" s="2" t="s">
        <v>12</v>
      </c>
    </row>
    <row r="846" spans="1:11" ht="12.5" x14ac:dyDescent="0.25">
      <c r="A846" s="3" t="e">
        <f ca="1"/>
        <v>#NAME?</v>
      </c>
      <c r="B846" s="2" t="s">
        <v>12</v>
      </c>
      <c r="C846" s="2" t="s">
        <v>12</v>
      </c>
      <c r="D846" s="2" t="s">
        <v>12</v>
      </c>
      <c r="E846" s="2" t="s">
        <v>12</v>
      </c>
      <c r="F846" s="2" t="s">
        <v>12</v>
      </c>
      <c r="G846" s="2" t="s">
        <v>12</v>
      </c>
      <c r="H846" s="2" t="s">
        <v>12</v>
      </c>
      <c r="I846" s="2" t="s">
        <v>12</v>
      </c>
      <c r="J846" s="2" t="s">
        <v>12</v>
      </c>
      <c r="K846" s="2" t="s">
        <v>12</v>
      </c>
    </row>
    <row r="847" spans="1:11" ht="12.5" x14ac:dyDescent="0.25">
      <c r="A847" s="3" t="e">
        <f ca="1"/>
        <v>#NAME?</v>
      </c>
      <c r="B847" s="2" t="s">
        <v>12</v>
      </c>
      <c r="C847" s="2" t="s">
        <v>12</v>
      </c>
      <c r="D847" s="2" t="s">
        <v>12</v>
      </c>
      <c r="E847" s="2" t="s">
        <v>12</v>
      </c>
      <c r="F847" s="2" t="s">
        <v>12</v>
      </c>
      <c r="G847" s="2" t="s">
        <v>12</v>
      </c>
      <c r="H847" s="2" t="s">
        <v>12</v>
      </c>
      <c r="I847" s="2" t="s">
        <v>12</v>
      </c>
      <c r="J847" s="2" t="s">
        <v>12</v>
      </c>
      <c r="K847" s="2" t="s">
        <v>12</v>
      </c>
    </row>
    <row r="848" spans="1:11" ht="12.5" x14ac:dyDescent="0.25">
      <c r="A848" s="3" t="e">
        <f ca="1"/>
        <v>#NAME?</v>
      </c>
      <c r="B848" s="2" t="s">
        <v>12</v>
      </c>
      <c r="C848" s="2" t="s">
        <v>12</v>
      </c>
      <c r="D848" s="2" t="s">
        <v>12</v>
      </c>
      <c r="E848" s="2" t="s">
        <v>12</v>
      </c>
      <c r="F848" s="2" t="s">
        <v>12</v>
      </c>
      <c r="G848" s="2" t="s">
        <v>12</v>
      </c>
      <c r="H848" s="2" t="s">
        <v>12</v>
      </c>
      <c r="I848" s="2" t="s">
        <v>12</v>
      </c>
      <c r="J848" s="2" t="s">
        <v>12</v>
      </c>
      <c r="K848" s="2" t="s">
        <v>12</v>
      </c>
    </row>
    <row r="849" spans="1:11" ht="12.5" x14ac:dyDescent="0.25">
      <c r="A849" s="3" t="e">
        <f ca="1"/>
        <v>#NAME?</v>
      </c>
      <c r="B849" s="2" t="s">
        <v>12</v>
      </c>
      <c r="C849" s="2" t="s">
        <v>12</v>
      </c>
      <c r="D849" s="2" t="s">
        <v>12</v>
      </c>
      <c r="E849" s="2" t="s">
        <v>12</v>
      </c>
      <c r="F849" s="2" t="s">
        <v>12</v>
      </c>
      <c r="G849" s="2" t="s">
        <v>12</v>
      </c>
      <c r="H849" s="2" t="s">
        <v>12</v>
      </c>
      <c r="I849" s="2" t="s">
        <v>12</v>
      </c>
      <c r="J849" s="2" t="s">
        <v>12</v>
      </c>
      <c r="K849" s="2" t="s">
        <v>12</v>
      </c>
    </row>
    <row r="850" spans="1:11" ht="12.5" x14ac:dyDescent="0.25">
      <c r="A850" s="3" t="e">
        <f ca="1"/>
        <v>#NAME?</v>
      </c>
      <c r="B850" s="2" t="s">
        <v>12</v>
      </c>
      <c r="C850" s="2" t="s">
        <v>12</v>
      </c>
      <c r="D850" s="2" t="s">
        <v>12</v>
      </c>
      <c r="E850" s="2" t="s">
        <v>12</v>
      </c>
      <c r="F850" s="2" t="s">
        <v>12</v>
      </c>
      <c r="G850" s="2" t="s">
        <v>12</v>
      </c>
      <c r="H850" s="2" t="s">
        <v>12</v>
      </c>
      <c r="I850" s="2" t="s">
        <v>12</v>
      </c>
      <c r="J850" s="2" t="s">
        <v>12</v>
      </c>
      <c r="K850" s="2" t="s">
        <v>12</v>
      </c>
    </row>
    <row r="851" spans="1:11" ht="12.5" x14ac:dyDescent="0.25">
      <c r="A851" s="3" t="e">
        <f ca="1"/>
        <v>#NAME?</v>
      </c>
      <c r="B851" s="2" t="s">
        <v>12</v>
      </c>
      <c r="C851" s="2" t="s">
        <v>12</v>
      </c>
      <c r="D851" s="2" t="s">
        <v>12</v>
      </c>
      <c r="E851" s="2" t="s">
        <v>12</v>
      </c>
      <c r="F851" s="2" t="s">
        <v>12</v>
      </c>
      <c r="G851" s="2" t="s">
        <v>12</v>
      </c>
      <c r="H851" s="2" t="s">
        <v>12</v>
      </c>
      <c r="I851" s="2" t="s">
        <v>12</v>
      </c>
      <c r="J851" s="2" t="s">
        <v>12</v>
      </c>
      <c r="K851" s="2" t="s">
        <v>12</v>
      </c>
    </row>
    <row r="852" spans="1:11" ht="12.5" x14ac:dyDescent="0.25">
      <c r="A852" s="3" t="e">
        <f ca="1"/>
        <v>#NAME?</v>
      </c>
      <c r="B852" s="2" t="s">
        <v>12</v>
      </c>
      <c r="C852" s="2" t="s">
        <v>12</v>
      </c>
      <c r="D852" s="2" t="s">
        <v>12</v>
      </c>
      <c r="E852" s="2" t="s">
        <v>12</v>
      </c>
      <c r="F852" s="2" t="s">
        <v>12</v>
      </c>
      <c r="G852" s="2" t="s">
        <v>12</v>
      </c>
      <c r="H852" s="2" t="s">
        <v>12</v>
      </c>
      <c r="I852" s="2" t="s">
        <v>12</v>
      </c>
      <c r="J852" s="2" t="s">
        <v>12</v>
      </c>
      <c r="K852" s="2" t="s">
        <v>12</v>
      </c>
    </row>
    <row r="853" spans="1:11" ht="12.5" x14ac:dyDescent="0.25">
      <c r="A853" s="3" t="e">
        <f ca="1"/>
        <v>#NAME?</v>
      </c>
      <c r="B853" s="2" t="s">
        <v>12</v>
      </c>
      <c r="C853" s="2" t="s">
        <v>12</v>
      </c>
      <c r="D853" s="2" t="s">
        <v>12</v>
      </c>
      <c r="E853" s="2" t="s">
        <v>12</v>
      </c>
      <c r="F853" s="2" t="s">
        <v>12</v>
      </c>
      <c r="G853" s="2" t="s">
        <v>12</v>
      </c>
      <c r="H853" s="2" t="s">
        <v>12</v>
      </c>
      <c r="I853" s="2" t="s">
        <v>12</v>
      </c>
      <c r="J853" s="2" t="s">
        <v>12</v>
      </c>
      <c r="K853" s="2" t="s">
        <v>12</v>
      </c>
    </row>
    <row r="854" spans="1:11" ht="12.5" x14ac:dyDescent="0.25">
      <c r="A854" s="3" t="e">
        <f ca="1"/>
        <v>#NAME?</v>
      </c>
      <c r="B854" s="2" t="s">
        <v>12</v>
      </c>
      <c r="C854" s="2" t="s">
        <v>12</v>
      </c>
      <c r="D854" s="2" t="s">
        <v>12</v>
      </c>
      <c r="E854" s="2" t="s">
        <v>12</v>
      </c>
      <c r="F854" s="2" t="s">
        <v>12</v>
      </c>
      <c r="G854" s="2" t="s">
        <v>12</v>
      </c>
      <c r="H854" s="2" t="s">
        <v>12</v>
      </c>
      <c r="I854" s="2" t="s">
        <v>12</v>
      </c>
      <c r="J854" s="2" t="s">
        <v>12</v>
      </c>
      <c r="K854" s="2" t="s">
        <v>12</v>
      </c>
    </row>
    <row r="855" spans="1:11" ht="12.5" x14ac:dyDescent="0.25">
      <c r="A855" s="3" t="e">
        <f ca="1"/>
        <v>#NAME?</v>
      </c>
      <c r="B855" s="2" t="s">
        <v>12</v>
      </c>
      <c r="C855" s="2" t="s">
        <v>12</v>
      </c>
      <c r="D855" s="2" t="s">
        <v>12</v>
      </c>
      <c r="E855" s="2" t="s">
        <v>12</v>
      </c>
      <c r="F855" s="2" t="s">
        <v>12</v>
      </c>
      <c r="G855" s="2" t="s">
        <v>12</v>
      </c>
      <c r="H855" s="2" t="s">
        <v>12</v>
      </c>
      <c r="I855" s="2" t="s">
        <v>12</v>
      </c>
      <c r="J855" s="2" t="s">
        <v>12</v>
      </c>
      <c r="K855" s="2" t="s">
        <v>12</v>
      </c>
    </row>
    <row r="856" spans="1:11" ht="12.5" x14ac:dyDescent="0.25">
      <c r="A856" s="3" t="e">
        <f ca="1"/>
        <v>#NAME?</v>
      </c>
      <c r="B856" s="2" t="s">
        <v>12</v>
      </c>
      <c r="C856" s="2" t="s">
        <v>12</v>
      </c>
      <c r="D856" s="2" t="s">
        <v>12</v>
      </c>
      <c r="E856" s="2" t="s">
        <v>12</v>
      </c>
      <c r="F856" s="2" t="s">
        <v>12</v>
      </c>
      <c r="G856" s="2" t="s">
        <v>12</v>
      </c>
      <c r="H856" s="2" t="s">
        <v>12</v>
      </c>
      <c r="I856" s="2" t="s">
        <v>12</v>
      </c>
      <c r="J856" s="2" t="s">
        <v>12</v>
      </c>
      <c r="K856" s="2" t="s">
        <v>12</v>
      </c>
    </row>
    <row r="857" spans="1:11" ht="12.5" x14ac:dyDescent="0.25">
      <c r="A857" s="3" t="e">
        <f ca="1"/>
        <v>#NAME?</v>
      </c>
      <c r="B857" s="2" t="s">
        <v>12</v>
      </c>
      <c r="C857" s="2" t="s">
        <v>12</v>
      </c>
      <c r="D857" s="2" t="s">
        <v>12</v>
      </c>
      <c r="E857" s="2" t="s">
        <v>12</v>
      </c>
      <c r="F857" s="2" t="s">
        <v>12</v>
      </c>
      <c r="G857" s="2" t="s">
        <v>12</v>
      </c>
      <c r="H857" s="2" t="s">
        <v>12</v>
      </c>
      <c r="I857" s="2" t="s">
        <v>12</v>
      </c>
      <c r="J857" s="2" t="s">
        <v>12</v>
      </c>
      <c r="K857" s="2" t="s">
        <v>12</v>
      </c>
    </row>
    <row r="858" spans="1:11" ht="12.5" x14ac:dyDescent="0.25">
      <c r="A858" s="3" t="e">
        <f ca="1"/>
        <v>#NAME?</v>
      </c>
      <c r="B858" s="2" t="s">
        <v>12</v>
      </c>
      <c r="C858" s="2" t="s">
        <v>12</v>
      </c>
      <c r="D858" s="2" t="s">
        <v>12</v>
      </c>
      <c r="E858" s="2" t="s">
        <v>12</v>
      </c>
      <c r="F858" s="2" t="s">
        <v>12</v>
      </c>
      <c r="G858" s="2" t="s">
        <v>12</v>
      </c>
      <c r="H858" s="2" t="s">
        <v>12</v>
      </c>
      <c r="I858" s="2" t="s">
        <v>12</v>
      </c>
      <c r="J858" s="2" t="s">
        <v>12</v>
      </c>
      <c r="K858" s="2" t="s">
        <v>12</v>
      </c>
    </row>
    <row r="859" spans="1:11" ht="12.5" x14ac:dyDescent="0.25">
      <c r="A859" s="3" t="e">
        <f ca="1"/>
        <v>#NAME?</v>
      </c>
      <c r="B859" s="2" t="s">
        <v>12</v>
      </c>
      <c r="C859" s="2" t="s">
        <v>12</v>
      </c>
      <c r="D859" s="2" t="s">
        <v>12</v>
      </c>
      <c r="E859" s="2" t="s">
        <v>12</v>
      </c>
      <c r="F859" s="2" t="s">
        <v>12</v>
      </c>
      <c r="G859" s="2" t="s">
        <v>12</v>
      </c>
      <c r="H859" s="2" t="s">
        <v>12</v>
      </c>
      <c r="I859" s="2" t="s">
        <v>12</v>
      </c>
      <c r="J859" s="2" t="s">
        <v>12</v>
      </c>
      <c r="K859" s="2" t="s">
        <v>12</v>
      </c>
    </row>
    <row r="860" spans="1:11" ht="12.5" x14ac:dyDescent="0.25">
      <c r="A860" s="3" t="e">
        <f ca="1"/>
        <v>#NAME?</v>
      </c>
      <c r="B860" s="2" t="s">
        <v>12</v>
      </c>
      <c r="C860" s="2" t="s">
        <v>12</v>
      </c>
      <c r="D860" s="2" t="s">
        <v>12</v>
      </c>
      <c r="E860" s="2" t="s">
        <v>12</v>
      </c>
      <c r="F860" s="2" t="s">
        <v>12</v>
      </c>
      <c r="G860" s="2" t="s">
        <v>12</v>
      </c>
      <c r="H860" s="2" t="s">
        <v>12</v>
      </c>
      <c r="I860" s="2" t="s">
        <v>12</v>
      </c>
      <c r="J860" s="2" t="s">
        <v>12</v>
      </c>
      <c r="K860" s="2" t="s">
        <v>12</v>
      </c>
    </row>
    <row r="861" spans="1:11" ht="12.5" x14ac:dyDescent="0.25">
      <c r="A861" s="3" t="e">
        <f ca="1"/>
        <v>#NAME?</v>
      </c>
      <c r="B861" s="2" t="s">
        <v>12</v>
      </c>
      <c r="C861" s="2" t="s">
        <v>12</v>
      </c>
      <c r="D861" s="2" t="s">
        <v>12</v>
      </c>
      <c r="E861" s="2" t="s">
        <v>12</v>
      </c>
      <c r="F861" s="2" t="s">
        <v>12</v>
      </c>
      <c r="G861" s="2" t="s">
        <v>12</v>
      </c>
      <c r="H861" s="2" t="s">
        <v>12</v>
      </c>
      <c r="I861" s="2" t="s">
        <v>12</v>
      </c>
      <c r="J861" s="2" t="s">
        <v>12</v>
      </c>
      <c r="K861" s="2" t="s">
        <v>12</v>
      </c>
    </row>
    <row r="862" spans="1:11" ht="12.5" x14ac:dyDescent="0.25">
      <c r="A862" s="3" t="e">
        <f ca="1"/>
        <v>#NAME?</v>
      </c>
      <c r="B862" s="2" t="s">
        <v>12</v>
      </c>
      <c r="C862" s="2" t="s">
        <v>12</v>
      </c>
      <c r="D862" s="2" t="s">
        <v>12</v>
      </c>
      <c r="E862" s="2" t="s">
        <v>12</v>
      </c>
      <c r="F862" s="2" t="s">
        <v>12</v>
      </c>
      <c r="G862" s="2" t="s">
        <v>12</v>
      </c>
      <c r="H862" s="2" t="s">
        <v>12</v>
      </c>
      <c r="I862" s="2" t="s">
        <v>12</v>
      </c>
      <c r="J862" s="2" t="s">
        <v>12</v>
      </c>
      <c r="K862" s="2" t="s">
        <v>12</v>
      </c>
    </row>
    <row r="863" spans="1:11" ht="12.5" x14ac:dyDescent="0.25">
      <c r="A863" s="3" t="e">
        <f ca="1"/>
        <v>#NAME?</v>
      </c>
      <c r="B863" s="2" t="s">
        <v>12</v>
      </c>
      <c r="C863" s="2" t="s">
        <v>12</v>
      </c>
      <c r="D863" s="2" t="s">
        <v>12</v>
      </c>
      <c r="E863" s="2" t="s">
        <v>12</v>
      </c>
      <c r="F863" s="2" t="s">
        <v>12</v>
      </c>
      <c r="G863" s="2" t="s">
        <v>12</v>
      </c>
      <c r="H863" s="2" t="s">
        <v>12</v>
      </c>
      <c r="I863" s="2" t="s">
        <v>12</v>
      </c>
      <c r="J863" s="2" t="s">
        <v>12</v>
      </c>
      <c r="K863" s="2" t="s">
        <v>12</v>
      </c>
    </row>
    <row r="864" spans="1:11" ht="12.5" x14ac:dyDescent="0.25">
      <c r="A864" s="3" t="e">
        <f ca="1"/>
        <v>#NAME?</v>
      </c>
      <c r="B864" s="2" t="s">
        <v>12</v>
      </c>
      <c r="C864" s="2" t="s">
        <v>12</v>
      </c>
      <c r="D864" s="2" t="s">
        <v>12</v>
      </c>
      <c r="E864" s="2" t="s">
        <v>12</v>
      </c>
      <c r="F864" s="2" t="s">
        <v>12</v>
      </c>
      <c r="G864" s="2" t="s">
        <v>12</v>
      </c>
      <c r="H864" s="2" t="s">
        <v>12</v>
      </c>
      <c r="I864" s="2" t="s">
        <v>12</v>
      </c>
      <c r="J864" s="2" t="s">
        <v>12</v>
      </c>
      <c r="K864" s="2" t="s">
        <v>12</v>
      </c>
    </row>
    <row r="865" spans="1:11" ht="12.5" x14ac:dyDescent="0.25">
      <c r="A865" s="3" t="e">
        <f ca="1"/>
        <v>#NAME?</v>
      </c>
      <c r="B865" s="2" t="s">
        <v>12</v>
      </c>
      <c r="C865" s="2" t="s">
        <v>12</v>
      </c>
      <c r="D865" s="2" t="s">
        <v>12</v>
      </c>
      <c r="E865" s="2" t="s">
        <v>12</v>
      </c>
      <c r="F865" s="2" t="s">
        <v>12</v>
      </c>
      <c r="G865" s="2" t="s">
        <v>12</v>
      </c>
      <c r="H865" s="2" t="s">
        <v>12</v>
      </c>
      <c r="I865" s="2" t="s">
        <v>12</v>
      </c>
      <c r="J865" s="2" t="s">
        <v>12</v>
      </c>
      <c r="K865" s="2" t="s">
        <v>12</v>
      </c>
    </row>
    <row r="866" spans="1:11" ht="12.5" x14ac:dyDescent="0.25">
      <c r="A866" s="3" t="e">
        <f ca="1"/>
        <v>#NAME?</v>
      </c>
      <c r="B866" s="2" t="s">
        <v>12</v>
      </c>
      <c r="C866" s="2" t="s">
        <v>12</v>
      </c>
      <c r="D866" s="2" t="s">
        <v>12</v>
      </c>
      <c r="E866" s="2" t="s">
        <v>12</v>
      </c>
      <c r="F866" s="2" t="s">
        <v>12</v>
      </c>
      <c r="G866" s="2" t="s">
        <v>12</v>
      </c>
      <c r="H866" s="2" t="s">
        <v>12</v>
      </c>
      <c r="I866" s="2" t="s">
        <v>12</v>
      </c>
      <c r="J866" s="2" t="s">
        <v>12</v>
      </c>
      <c r="K866" s="2" t="s">
        <v>12</v>
      </c>
    </row>
    <row r="867" spans="1:11" ht="12.5" x14ac:dyDescent="0.25">
      <c r="A867" s="3" t="e">
        <f ca="1"/>
        <v>#NAME?</v>
      </c>
      <c r="B867" s="2" t="s">
        <v>12</v>
      </c>
      <c r="C867" s="2" t="s">
        <v>12</v>
      </c>
      <c r="D867" s="2" t="s">
        <v>12</v>
      </c>
      <c r="E867" s="2" t="s">
        <v>12</v>
      </c>
      <c r="F867" s="2" t="s">
        <v>12</v>
      </c>
      <c r="G867" s="2" t="s">
        <v>12</v>
      </c>
      <c r="H867" s="2" t="s">
        <v>12</v>
      </c>
      <c r="I867" s="2" t="s">
        <v>12</v>
      </c>
      <c r="J867" s="2" t="s">
        <v>12</v>
      </c>
      <c r="K867" s="2" t="s">
        <v>12</v>
      </c>
    </row>
    <row r="868" spans="1:11" ht="12.5" x14ac:dyDescent="0.25">
      <c r="A868" s="3" t="e">
        <f ca="1"/>
        <v>#NAME?</v>
      </c>
      <c r="B868" s="2" t="s">
        <v>12</v>
      </c>
      <c r="C868" s="2" t="s">
        <v>12</v>
      </c>
      <c r="D868" s="2" t="s">
        <v>12</v>
      </c>
      <c r="E868" s="2" t="s">
        <v>12</v>
      </c>
      <c r="F868" s="2" t="s">
        <v>12</v>
      </c>
      <c r="G868" s="2" t="s">
        <v>12</v>
      </c>
      <c r="H868" s="2" t="s">
        <v>12</v>
      </c>
      <c r="I868" s="2" t="s">
        <v>12</v>
      </c>
      <c r="J868" s="2" t="s">
        <v>12</v>
      </c>
      <c r="K868" s="2" t="s">
        <v>12</v>
      </c>
    </row>
    <row r="869" spans="1:11" ht="12.5" x14ac:dyDescent="0.25">
      <c r="A869" s="3" t="e">
        <f ca="1"/>
        <v>#NAME?</v>
      </c>
      <c r="B869" s="2" t="s">
        <v>12</v>
      </c>
      <c r="C869" s="2" t="s">
        <v>12</v>
      </c>
      <c r="D869" s="2" t="s">
        <v>12</v>
      </c>
      <c r="E869" s="2" t="s">
        <v>12</v>
      </c>
      <c r="F869" s="2" t="s">
        <v>12</v>
      </c>
      <c r="G869" s="2" t="s">
        <v>12</v>
      </c>
      <c r="H869" s="2" t="s">
        <v>12</v>
      </c>
      <c r="I869" s="2" t="s">
        <v>12</v>
      </c>
      <c r="J869" s="2" t="s">
        <v>12</v>
      </c>
      <c r="K869" s="2" t="s">
        <v>12</v>
      </c>
    </row>
    <row r="870" spans="1:11" ht="12.5" x14ac:dyDescent="0.25">
      <c r="A870" s="3" t="e">
        <f ca="1"/>
        <v>#NAME?</v>
      </c>
      <c r="B870" s="2" t="s">
        <v>12</v>
      </c>
      <c r="C870" s="2" t="s">
        <v>12</v>
      </c>
      <c r="D870" s="2" t="s">
        <v>12</v>
      </c>
      <c r="E870" s="2" t="s">
        <v>12</v>
      </c>
      <c r="F870" s="2" t="s">
        <v>12</v>
      </c>
      <c r="G870" s="2" t="s">
        <v>12</v>
      </c>
      <c r="H870" s="2" t="s">
        <v>12</v>
      </c>
      <c r="I870" s="2" t="s">
        <v>12</v>
      </c>
      <c r="J870" s="2" t="s">
        <v>12</v>
      </c>
      <c r="K870" s="2" t="s">
        <v>12</v>
      </c>
    </row>
    <row r="871" spans="1:11" ht="12.5" x14ac:dyDescent="0.25">
      <c r="A871" s="3" t="e">
        <f ca="1"/>
        <v>#NAME?</v>
      </c>
      <c r="B871" s="2" t="s">
        <v>12</v>
      </c>
      <c r="C871" s="2" t="s">
        <v>12</v>
      </c>
      <c r="D871" s="2" t="s">
        <v>12</v>
      </c>
      <c r="E871" s="2" t="s">
        <v>12</v>
      </c>
      <c r="F871" s="2" t="s">
        <v>12</v>
      </c>
      <c r="G871" s="2" t="s">
        <v>12</v>
      </c>
      <c r="H871" s="2" t="s">
        <v>12</v>
      </c>
      <c r="I871" s="2" t="s">
        <v>12</v>
      </c>
      <c r="J871" s="2" t="s">
        <v>12</v>
      </c>
      <c r="K871" s="2" t="s">
        <v>12</v>
      </c>
    </row>
    <row r="872" spans="1:11" ht="12.5" x14ac:dyDescent="0.25">
      <c r="A872" s="3" t="e">
        <f ca="1"/>
        <v>#NAME?</v>
      </c>
      <c r="B872" s="2" t="s">
        <v>12</v>
      </c>
      <c r="C872" s="2" t="s">
        <v>12</v>
      </c>
      <c r="D872" s="2" t="s">
        <v>12</v>
      </c>
      <c r="E872" s="2" t="s">
        <v>12</v>
      </c>
      <c r="F872" s="2" t="s">
        <v>12</v>
      </c>
      <c r="G872" s="2" t="s">
        <v>12</v>
      </c>
      <c r="H872" s="2" t="s">
        <v>12</v>
      </c>
      <c r="I872" s="2" t="s">
        <v>12</v>
      </c>
      <c r="J872" s="2" t="s">
        <v>12</v>
      </c>
      <c r="K872" s="2" t="s">
        <v>12</v>
      </c>
    </row>
    <row r="873" spans="1:11" ht="12.5" x14ac:dyDescent="0.25">
      <c r="A873" s="3" t="e">
        <f ca="1"/>
        <v>#NAME?</v>
      </c>
      <c r="B873" s="2" t="s">
        <v>12</v>
      </c>
      <c r="C873" s="2" t="s">
        <v>12</v>
      </c>
      <c r="D873" s="2" t="s">
        <v>12</v>
      </c>
      <c r="E873" s="2" t="s">
        <v>12</v>
      </c>
      <c r="F873" s="2" t="s">
        <v>12</v>
      </c>
      <c r="G873" s="2" t="s">
        <v>12</v>
      </c>
      <c r="H873" s="2" t="s">
        <v>12</v>
      </c>
      <c r="I873" s="2" t="s">
        <v>12</v>
      </c>
      <c r="J873" s="2" t="s">
        <v>12</v>
      </c>
      <c r="K873" s="2" t="s">
        <v>12</v>
      </c>
    </row>
    <row r="874" spans="1:11" ht="12.5" x14ac:dyDescent="0.25">
      <c r="A874" s="3" t="e">
        <f ca="1"/>
        <v>#NAME?</v>
      </c>
      <c r="B874" s="2" t="s">
        <v>12</v>
      </c>
      <c r="C874" s="2" t="s">
        <v>12</v>
      </c>
      <c r="D874" s="2" t="s">
        <v>12</v>
      </c>
      <c r="E874" s="2" t="s">
        <v>12</v>
      </c>
      <c r="F874" s="2" t="s">
        <v>12</v>
      </c>
      <c r="G874" s="2" t="s">
        <v>12</v>
      </c>
      <c r="H874" s="2" t="s">
        <v>12</v>
      </c>
      <c r="I874" s="2" t="s">
        <v>12</v>
      </c>
      <c r="J874" s="2" t="s">
        <v>12</v>
      </c>
      <c r="K874" s="2" t="s">
        <v>12</v>
      </c>
    </row>
    <row r="875" spans="1:11" ht="12.5" x14ac:dyDescent="0.25">
      <c r="A875" s="3" t="e">
        <f ca="1"/>
        <v>#NAME?</v>
      </c>
      <c r="B875" s="2" t="s">
        <v>12</v>
      </c>
      <c r="C875" s="2" t="s">
        <v>12</v>
      </c>
      <c r="D875" s="2" t="s">
        <v>12</v>
      </c>
      <c r="E875" s="2" t="s">
        <v>12</v>
      </c>
      <c r="F875" s="2" t="s">
        <v>12</v>
      </c>
      <c r="G875" s="2" t="s">
        <v>12</v>
      </c>
      <c r="H875" s="2" t="s">
        <v>12</v>
      </c>
      <c r="I875" s="2" t="s">
        <v>12</v>
      </c>
      <c r="J875" s="2" t="s">
        <v>12</v>
      </c>
      <c r="K875" s="2" t="s">
        <v>12</v>
      </c>
    </row>
    <row r="876" spans="1:11" ht="12.5" x14ac:dyDescent="0.25">
      <c r="A876" s="3" t="e">
        <f ca="1"/>
        <v>#NAME?</v>
      </c>
      <c r="B876" s="2" t="s">
        <v>12</v>
      </c>
      <c r="C876" s="2" t="s">
        <v>12</v>
      </c>
      <c r="D876" s="2" t="s">
        <v>12</v>
      </c>
      <c r="E876" s="2" t="s">
        <v>12</v>
      </c>
      <c r="F876" s="2" t="s">
        <v>12</v>
      </c>
      <c r="G876" s="2" t="s">
        <v>12</v>
      </c>
      <c r="H876" s="2" t="s">
        <v>12</v>
      </c>
      <c r="I876" s="2" t="s">
        <v>12</v>
      </c>
      <c r="J876" s="2" t="s">
        <v>12</v>
      </c>
      <c r="K876" s="2" t="s">
        <v>12</v>
      </c>
    </row>
    <row r="877" spans="1:11" ht="12.5" x14ac:dyDescent="0.25">
      <c r="A877" s="3" t="e">
        <f ca="1"/>
        <v>#NAME?</v>
      </c>
      <c r="B877" s="2" t="s">
        <v>12</v>
      </c>
      <c r="C877" s="2" t="s">
        <v>12</v>
      </c>
      <c r="D877" s="2" t="s">
        <v>12</v>
      </c>
      <c r="E877" s="2" t="s">
        <v>12</v>
      </c>
      <c r="F877" s="2" t="s">
        <v>12</v>
      </c>
      <c r="G877" s="2" t="s">
        <v>12</v>
      </c>
      <c r="H877" s="2" t="s">
        <v>12</v>
      </c>
      <c r="I877" s="2" t="s">
        <v>12</v>
      </c>
      <c r="J877" s="2" t="s">
        <v>12</v>
      </c>
      <c r="K877" s="2" t="s">
        <v>12</v>
      </c>
    </row>
    <row r="878" spans="1:11" ht="12.5" x14ac:dyDescent="0.25">
      <c r="A878" s="3" t="e">
        <f ca="1"/>
        <v>#NAME?</v>
      </c>
      <c r="B878" s="2" t="s">
        <v>12</v>
      </c>
      <c r="C878" s="2" t="s">
        <v>12</v>
      </c>
      <c r="D878" s="2" t="s">
        <v>12</v>
      </c>
      <c r="E878" s="2" t="s">
        <v>12</v>
      </c>
      <c r="F878" s="2" t="s">
        <v>12</v>
      </c>
      <c r="G878" s="2" t="s">
        <v>12</v>
      </c>
      <c r="H878" s="2" t="s">
        <v>12</v>
      </c>
      <c r="I878" s="2" t="s">
        <v>12</v>
      </c>
      <c r="J878" s="2" t="s">
        <v>12</v>
      </c>
      <c r="K878" s="2" t="s">
        <v>12</v>
      </c>
    </row>
    <row r="879" spans="1:11" ht="12.5" x14ac:dyDescent="0.25">
      <c r="A879" s="3" t="e">
        <f ca="1"/>
        <v>#NAME?</v>
      </c>
      <c r="B879" s="2" t="s">
        <v>12</v>
      </c>
      <c r="C879" s="2" t="s">
        <v>12</v>
      </c>
      <c r="D879" s="2" t="s">
        <v>12</v>
      </c>
      <c r="E879" s="2" t="s">
        <v>12</v>
      </c>
      <c r="F879" s="2" t="s">
        <v>12</v>
      </c>
      <c r="G879" s="2" t="s">
        <v>12</v>
      </c>
      <c r="H879" s="2" t="s">
        <v>12</v>
      </c>
      <c r="I879" s="2" t="s">
        <v>12</v>
      </c>
      <c r="J879" s="2" t="s">
        <v>12</v>
      </c>
      <c r="K879" s="2" t="s">
        <v>12</v>
      </c>
    </row>
    <row r="880" spans="1:11" ht="12.5" x14ac:dyDescent="0.25">
      <c r="A880" s="3" t="e">
        <f ca="1"/>
        <v>#NAME?</v>
      </c>
      <c r="B880" s="2" t="s">
        <v>12</v>
      </c>
      <c r="C880" s="2" t="s">
        <v>12</v>
      </c>
      <c r="D880" s="2" t="s">
        <v>12</v>
      </c>
      <c r="E880" s="2" t="s">
        <v>12</v>
      </c>
      <c r="F880" s="2" t="s">
        <v>12</v>
      </c>
      <c r="G880" s="2" t="s">
        <v>12</v>
      </c>
      <c r="H880" s="2" t="s">
        <v>12</v>
      </c>
      <c r="I880" s="2" t="s">
        <v>12</v>
      </c>
      <c r="J880" s="2" t="s">
        <v>12</v>
      </c>
      <c r="K880" s="2" t="s">
        <v>12</v>
      </c>
    </row>
    <row r="881" spans="1:11" ht="12.5" x14ac:dyDescent="0.25">
      <c r="A881" s="3" t="e">
        <f ca="1"/>
        <v>#NAME?</v>
      </c>
      <c r="B881" s="2" t="s">
        <v>12</v>
      </c>
      <c r="C881" s="2" t="s">
        <v>12</v>
      </c>
      <c r="D881" s="2" t="s">
        <v>12</v>
      </c>
      <c r="E881" s="2" t="s">
        <v>12</v>
      </c>
      <c r="F881" s="2" t="s">
        <v>12</v>
      </c>
      <c r="G881" s="2" t="s">
        <v>12</v>
      </c>
      <c r="H881" s="2" t="s">
        <v>12</v>
      </c>
      <c r="I881" s="2" t="s">
        <v>12</v>
      </c>
      <c r="J881" s="2" t="s">
        <v>12</v>
      </c>
      <c r="K881" s="2" t="s">
        <v>12</v>
      </c>
    </row>
    <row r="882" spans="1:11" ht="12.5" x14ac:dyDescent="0.25">
      <c r="A882" s="3" t="e">
        <f ca="1"/>
        <v>#NAME?</v>
      </c>
      <c r="B882" s="2" t="s">
        <v>12</v>
      </c>
      <c r="C882" s="2" t="s">
        <v>12</v>
      </c>
      <c r="D882" s="2" t="s">
        <v>12</v>
      </c>
      <c r="E882" s="2" t="s">
        <v>12</v>
      </c>
      <c r="F882" s="2" t="s">
        <v>12</v>
      </c>
      <c r="G882" s="2" t="s">
        <v>12</v>
      </c>
      <c r="H882" s="2" t="s">
        <v>12</v>
      </c>
      <c r="I882" s="2" t="s">
        <v>12</v>
      </c>
      <c r="J882" s="2" t="s">
        <v>12</v>
      </c>
      <c r="K882" s="2" t="s">
        <v>12</v>
      </c>
    </row>
    <row r="883" spans="1:11" ht="12.5" x14ac:dyDescent="0.25">
      <c r="A883" s="3" t="e">
        <f ca="1"/>
        <v>#NAME?</v>
      </c>
      <c r="B883" s="2" t="s">
        <v>12</v>
      </c>
      <c r="C883" s="2" t="s">
        <v>12</v>
      </c>
      <c r="D883" s="2" t="s">
        <v>12</v>
      </c>
      <c r="E883" s="2" t="s">
        <v>12</v>
      </c>
      <c r="F883" s="2" t="s">
        <v>12</v>
      </c>
      <c r="G883" s="2" t="s">
        <v>12</v>
      </c>
      <c r="H883" s="2" t="s">
        <v>12</v>
      </c>
      <c r="I883" s="2" t="s">
        <v>12</v>
      </c>
      <c r="J883" s="2" t="s">
        <v>12</v>
      </c>
      <c r="K883" s="2" t="s">
        <v>12</v>
      </c>
    </row>
    <row r="884" spans="1:11" ht="12.5" x14ac:dyDescent="0.25">
      <c r="A884" s="3" t="e">
        <f ca="1"/>
        <v>#NAME?</v>
      </c>
      <c r="B884" s="2" t="s">
        <v>12</v>
      </c>
      <c r="C884" s="2" t="s">
        <v>12</v>
      </c>
      <c r="D884" s="2" t="s">
        <v>12</v>
      </c>
      <c r="E884" s="2" t="s">
        <v>12</v>
      </c>
      <c r="F884" s="2" t="s">
        <v>12</v>
      </c>
      <c r="G884" s="2" t="s">
        <v>12</v>
      </c>
      <c r="H884" s="2" t="s">
        <v>12</v>
      </c>
      <c r="I884" s="2" t="s">
        <v>12</v>
      </c>
      <c r="J884" s="2" t="s">
        <v>12</v>
      </c>
      <c r="K884" s="2" t="s">
        <v>12</v>
      </c>
    </row>
    <row r="885" spans="1:11" ht="12.5" x14ac:dyDescent="0.25">
      <c r="A885" s="3" t="e">
        <f ca="1"/>
        <v>#NAME?</v>
      </c>
      <c r="B885" s="2" t="s">
        <v>12</v>
      </c>
      <c r="C885" s="2" t="s">
        <v>12</v>
      </c>
      <c r="D885" s="2" t="s">
        <v>12</v>
      </c>
      <c r="E885" s="2" t="s">
        <v>12</v>
      </c>
      <c r="F885" s="2" t="s">
        <v>12</v>
      </c>
      <c r="G885" s="2" t="s">
        <v>12</v>
      </c>
      <c r="H885" s="2" t="s">
        <v>12</v>
      </c>
      <c r="I885" s="2" t="s">
        <v>12</v>
      </c>
      <c r="J885" s="2" t="s">
        <v>12</v>
      </c>
      <c r="K885" s="2" t="s">
        <v>12</v>
      </c>
    </row>
    <row r="886" spans="1:11" ht="12.5" x14ac:dyDescent="0.25">
      <c r="A886" s="3" t="e">
        <f ca="1"/>
        <v>#NAME?</v>
      </c>
      <c r="B886" s="2" t="s">
        <v>12</v>
      </c>
      <c r="C886" s="2" t="s">
        <v>12</v>
      </c>
      <c r="D886" s="2" t="s">
        <v>12</v>
      </c>
      <c r="E886" s="2" t="s">
        <v>12</v>
      </c>
      <c r="F886" s="2" t="s">
        <v>12</v>
      </c>
      <c r="G886" s="2" t="s">
        <v>12</v>
      </c>
      <c r="H886" s="2" t="s">
        <v>12</v>
      </c>
      <c r="I886" s="2" t="s">
        <v>12</v>
      </c>
      <c r="J886" s="2" t="s">
        <v>12</v>
      </c>
      <c r="K886" s="2" t="s">
        <v>12</v>
      </c>
    </row>
    <row r="887" spans="1:11" ht="12.5" x14ac:dyDescent="0.25">
      <c r="A887" s="3" t="e">
        <f ca="1"/>
        <v>#NAME?</v>
      </c>
      <c r="B887" s="2" t="s">
        <v>12</v>
      </c>
      <c r="C887" s="2" t="s">
        <v>12</v>
      </c>
      <c r="D887" s="2" t="s">
        <v>12</v>
      </c>
      <c r="E887" s="2" t="s">
        <v>12</v>
      </c>
      <c r="F887" s="2" t="s">
        <v>12</v>
      </c>
      <c r="G887" s="2" t="s">
        <v>12</v>
      </c>
      <c r="H887" s="2" t="s">
        <v>12</v>
      </c>
      <c r="I887" s="2" t="s">
        <v>12</v>
      </c>
      <c r="J887" s="2" t="s">
        <v>12</v>
      </c>
      <c r="K887" s="2" t="s">
        <v>12</v>
      </c>
    </row>
    <row r="888" spans="1:11" ht="12.5" x14ac:dyDescent="0.25">
      <c r="A888" s="3" t="e">
        <f ca="1"/>
        <v>#NAME?</v>
      </c>
      <c r="B888" s="2" t="s">
        <v>12</v>
      </c>
      <c r="C888" s="2" t="s">
        <v>12</v>
      </c>
      <c r="D888" s="2" t="s">
        <v>12</v>
      </c>
      <c r="E888" s="2" t="s">
        <v>12</v>
      </c>
      <c r="F888" s="2" t="s">
        <v>12</v>
      </c>
      <c r="G888" s="2" t="s">
        <v>12</v>
      </c>
      <c r="H888" s="2" t="s">
        <v>12</v>
      </c>
      <c r="I888" s="2" t="s">
        <v>12</v>
      </c>
      <c r="J888" s="2" t="s">
        <v>12</v>
      </c>
      <c r="K888" s="2" t="s">
        <v>12</v>
      </c>
    </row>
    <row r="889" spans="1:11" ht="12.5" x14ac:dyDescent="0.25">
      <c r="A889" s="3" t="e">
        <f ca="1"/>
        <v>#NAME?</v>
      </c>
      <c r="B889" s="2" t="s">
        <v>12</v>
      </c>
      <c r="C889" s="2" t="s">
        <v>12</v>
      </c>
      <c r="D889" s="2" t="s">
        <v>12</v>
      </c>
      <c r="E889" s="2" t="s">
        <v>12</v>
      </c>
      <c r="F889" s="2" t="s">
        <v>12</v>
      </c>
      <c r="G889" s="2" t="s">
        <v>12</v>
      </c>
      <c r="H889" s="2" t="s">
        <v>12</v>
      </c>
      <c r="I889" s="2" t="s">
        <v>12</v>
      </c>
      <c r="J889" s="2" t="s">
        <v>12</v>
      </c>
      <c r="K889" s="2" t="s">
        <v>12</v>
      </c>
    </row>
    <row r="890" spans="1:11" ht="12.5" x14ac:dyDescent="0.25">
      <c r="A890" s="3" t="e">
        <f ca="1"/>
        <v>#NAME?</v>
      </c>
      <c r="B890" s="2" t="s">
        <v>12</v>
      </c>
      <c r="C890" s="2" t="s">
        <v>12</v>
      </c>
      <c r="D890" s="2" t="s">
        <v>12</v>
      </c>
      <c r="E890" s="2" t="s">
        <v>12</v>
      </c>
      <c r="F890" s="2" t="s">
        <v>12</v>
      </c>
      <c r="G890" s="2" t="s">
        <v>12</v>
      </c>
      <c r="H890" s="2" t="s">
        <v>12</v>
      </c>
      <c r="I890" s="2" t="s">
        <v>12</v>
      </c>
      <c r="J890" s="2" t="s">
        <v>12</v>
      </c>
      <c r="K890" s="2" t="s">
        <v>12</v>
      </c>
    </row>
    <row r="891" spans="1:11" ht="12.5" x14ac:dyDescent="0.25">
      <c r="A891" s="3" t="e">
        <f ca="1"/>
        <v>#NAME?</v>
      </c>
      <c r="B891" s="2" t="s">
        <v>12</v>
      </c>
      <c r="C891" s="2" t="s">
        <v>12</v>
      </c>
      <c r="D891" s="2" t="s">
        <v>12</v>
      </c>
      <c r="E891" s="2" t="s">
        <v>12</v>
      </c>
      <c r="F891" s="2" t="s">
        <v>12</v>
      </c>
      <c r="G891" s="2" t="s">
        <v>12</v>
      </c>
      <c r="H891" s="2" t="s">
        <v>12</v>
      </c>
      <c r="I891" s="2" t="s">
        <v>12</v>
      </c>
      <c r="J891" s="2" t="s">
        <v>12</v>
      </c>
      <c r="K891" s="2" t="s">
        <v>12</v>
      </c>
    </row>
    <row r="892" spans="1:11" ht="12.5" x14ac:dyDescent="0.25">
      <c r="A892" s="3" t="e">
        <f ca="1"/>
        <v>#NAME?</v>
      </c>
      <c r="B892" s="2" t="s">
        <v>12</v>
      </c>
      <c r="C892" s="2" t="s">
        <v>12</v>
      </c>
      <c r="D892" s="2" t="s">
        <v>12</v>
      </c>
      <c r="E892" s="2" t="s">
        <v>12</v>
      </c>
      <c r="F892" s="2" t="s">
        <v>12</v>
      </c>
      <c r="G892" s="2" t="s">
        <v>12</v>
      </c>
      <c r="H892" s="2" t="s">
        <v>12</v>
      </c>
      <c r="I892" s="2" t="s">
        <v>12</v>
      </c>
      <c r="J892" s="2" t="s">
        <v>12</v>
      </c>
      <c r="K892" s="2" t="s">
        <v>12</v>
      </c>
    </row>
    <row r="893" spans="1:11" ht="12.5" x14ac:dyDescent="0.25">
      <c r="A893" s="3" t="e">
        <f ca="1"/>
        <v>#NAME?</v>
      </c>
      <c r="B893" s="2" t="s">
        <v>12</v>
      </c>
      <c r="C893" s="2" t="s">
        <v>12</v>
      </c>
      <c r="D893" s="2" t="s">
        <v>12</v>
      </c>
      <c r="E893" s="2" t="s">
        <v>12</v>
      </c>
      <c r="F893" s="2" t="s">
        <v>12</v>
      </c>
      <c r="G893" s="2" t="s">
        <v>12</v>
      </c>
      <c r="H893" s="2" t="s">
        <v>12</v>
      </c>
      <c r="I893" s="2" t="s">
        <v>12</v>
      </c>
      <c r="J893" s="2" t="s">
        <v>12</v>
      </c>
      <c r="K893" s="2" t="s">
        <v>12</v>
      </c>
    </row>
    <row r="894" spans="1:11" ht="12.5" x14ac:dyDescent="0.25">
      <c r="A894" s="3" t="e">
        <f ca="1"/>
        <v>#NAME?</v>
      </c>
      <c r="B894" s="2" t="s">
        <v>12</v>
      </c>
      <c r="C894" s="2" t="s">
        <v>12</v>
      </c>
      <c r="D894" s="2" t="s">
        <v>12</v>
      </c>
      <c r="E894" s="2" t="s">
        <v>12</v>
      </c>
      <c r="F894" s="2" t="s">
        <v>12</v>
      </c>
      <c r="G894" s="2" t="s">
        <v>12</v>
      </c>
      <c r="H894" s="2" t="s">
        <v>12</v>
      </c>
      <c r="I894" s="2" t="s">
        <v>12</v>
      </c>
      <c r="J894" s="2" t="s">
        <v>12</v>
      </c>
      <c r="K894" s="2" t="s">
        <v>12</v>
      </c>
    </row>
    <row r="895" spans="1:11" ht="12.5" x14ac:dyDescent="0.25">
      <c r="A895" s="3" t="e">
        <f ca="1"/>
        <v>#NAME?</v>
      </c>
      <c r="B895" s="2" t="s">
        <v>12</v>
      </c>
      <c r="C895" s="2" t="s">
        <v>12</v>
      </c>
      <c r="D895" s="2" t="s">
        <v>12</v>
      </c>
      <c r="E895" s="2" t="s">
        <v>12</v>
      </c>
      <c r="F895" s="2" t="s">
        <v>12</v>
      </c>
      <c r="G895" s="2" t="s">
        <v>12</v>
      </c>
      <c r="H895" s="2" t="s">
        <v>12</v>
      </c>
      <c r="I895" s="2" t="s">
        <v>12</v>
      </c>
      <c r="J895" s="2" t="s">
        <v>12</v>
      </c>
      <c r="K895" s="2" t="s">
        <v>12</v>
      </c>
    </row>
    <row r="896" spans="1:11" ht="12.5" x14ac:dyDescent="0.25">
      <c r="A896" s="3" t="e">
        <f ca="1"/>
        <v>#NAME?</v>
      </c>
      <c r="B896" s="2" t="s">
        <v>12</v>
      </c>
      <c r="C896" s="2" t="s">
        <v>12</v>
      </c>
      <c r="D896" s="2" t="s">
        <v>12</v>
      </c>
      <c r="E896" s="2" t="s">
        <v>12</v>
      </c>
      <c r="F896" s="2" t="s">
        <v>12</v>
      </c>
      <c r="G896" s="2" t="s">
        <v>12</v>
      </c>
      <c r="H896" s="2" t="s">
        <v>12</v>
      </c>
      <c r="I896" s="2" t="s">
        <v>12</v>
      </c>
      <c r="J896" s="2" t="s">
        <v>12</v>
      </c>
      <c r="K896" s="2" t="s">
        <v>12</v>
      </c>
    </row>
    <row r="897" spans="1:11" ht="12.5" x14ac:dyDescent="0.25">
      <c r="A897" s="3" t="e">
        <f ca="1"/>
        <v>#NAME?</v>
      </c>
      <c r="B897" s="2" t="s">
        <v>12</v>
      </c>
      <c r="C897" s="2" t="s">
        <v>12</v>
      </c>
      <c r="D897" s="2" t="s">
        <v>12</v>
      </c>
      <c r="E897" s="2" t="s">
        <v>12</v>
      </c>
      <c r="F897" s="2" t="s">
        <v>12</v>
      </c>
      <c r="G897" s="2" t="s">
        <v>12</v>
      </c>
      <c r="H897" s="2" t="s">
        <v>12</v>
      </c>
      <c r="I897" s="2" t="s">
        <v>12</v>
      </c>
      <c r="J897" s="2" t="s">
        <v>12</v>
      </c>
      <c r="K897" s="2" t="s">
        <v>12</v>
      </c>
    </row>
    <row r="898" spans="1:11" ht="12.5" x14ac:dyDescent="0.25">
      <c r="A898" s="3" t="e">
        <f ca="1"/>
        <v>#NAME?</v>
      </c>
      <c r="B898" s="2" t="s">
        <v>12</v>
      </c>
      <c r="C898" s="2" t="s">
        <v>12</v>
      </c>
      <c r="D898" s="2" t="s">
        <v>12</v>
      </c>
      <c r="E898" s="2" t="s">
        <v>12</v>
      </c>
      <c r="F898" s="2" t="s">
        <v>12</v>
      </c>
      <c r="G898" s="2" t="s">
        <v>12</v>
      </c>
      <c r="H898" s="2" t="s">
        <v>12</v>
      </c>
      <c r="I898" s="2" t="s">
        <v>12</v>
      </c>
      <c r="J898" s="2" t="s">
        <v>12</v>
      </c>
      <c r="K898" s="2" t="s">
        <v>12</v>
      </c>
    </row>
    <row r="899" spans="1:11" ht="12.5" x14ac:dyDescent="0.25">
      <c r="A899" s="3" t="e">
        <f ca="1"/>
        <v>#NAME?</v>
      </c>
      <c r="B899" s="2" t="s">
        <v>12</v>
      </c>
      <c r="C899" s="2" t="s">
        <v>12</v>
      </c>
      <c r="D899" s="2" t="s">
        <v>12</v>
      </c>
      <c r="E899" s="2" t="s">
        <v>12</v>
      </c>
      <c r="F899" s="2" t="s">
        <v>12</v>
      </c>
      <c r="G899" s="2" t="s">
        <v>12</v>
      </c>
      <c r="H899" s="2" t="s">
        <v>12</v>
      </c>
      <c r="I899" s="2" t="s">
        <v>12</v>
      </c>
      <c r="J899" s="2" t="s">
        <v>12</v>
      </c>
      <c r="K899" s="2" t="s">
        <v>12</v>
      </c>
    </row>
    <row r="900" spans="1:11" ht="12.5" x14ac:dyDescent="0.25">
      <c r="A900" s="3" t="e">
        <f ca="1"/>
        <v>#NAME?</v>
      </c>
      <c r="B900" s="2" t="s">
        <v>12</v>
      </c>
      <c r="C900" s="2" t="s">
        <v>12</v>
      </c>
      <c r="D900" s="2" t="s">
        <v>12</v>
      </c>
      <c r="E900" s="2" t="s">
        <v>12</v>
      </c>
      <c r="F900" s="2" t="s">
        <v>12</v>
      </c>
      <c r="G900" s="2" t="s">
        <v>12</v>
      </c>
      <c r="H900" s="2" t="s">
        <v>12</v>
      </c>
      <c r="I900" s="2" t="s">
        <v>12</v>
      </c>
      <c r="J900" s="2" t="s">
        <v>12</v>
      </c>
      <c r="K900" s="2" t="s">
        <v>12</v>
      </c>
    </row>
    <row r="901" spans="1:11" ht="12.5" x14ac:dyDescent="0.25">
      <c r="A901" s="3" t="e">
        <f ca="1"/>
        <v>#NAME?</v>
      </c>
      <c r="B901" s="2" t="s">
        <v>12</v>
      </c>
      <c r="C901" s="2" t="s">
        <v>12</v>
      </c>
      <c r="D901" s="2" t="s">
        <v>12</v>
      </c>
      <c r="E901" s="2" t="s">
        <v>12</v>
      </c>
      <c r="F901" s="2" t="s">
        <v>12</v>
      </c>
      <c r="G901" s="2" t="s">
        <v>12</v>
      </c>
      <c r="H901" s="2" t="s">
        <v>12</v>
      </c>
      <c r="I901" s="2" t="s">
        <v>12</v>
      </c>
      <c r="J901" s="2" t="s">
        <v>12</v>
      </c>
      <c r="K901" s="2" t="s">
        <v>12</v>
      </c>
    </row>
    <row r="902" spans="1:11" ht="12.5" x14ac:dyDescent="0.25">
      <c r="A902" s="3" t="e">
        <f ca="1"/>
        <v>#NAME?</v>
      </c>
      <c r="B902" s="2" t="s">
        <v>12</v>
      </c>
      <c r="C902" s="2" t="s">
        <v>12</v>
      </c>
      <c r="D902" s="2" t="s">
        <v>12</v>
      </c>
      <c r="E902" s="2" t="s">
        <v>12</v>
      </c>
      <c r="F902" s="2" t="s">
        <v>12</v>
      </c>
      <c r="G902" s="2" t="s">
        <v>12</v>
      </c>
      <c r="H902" s="2" t="s">
        <v>12</v>
      </c>
      <c r="I902" s="2" t="s">
        <v>12</v>
      </c>
      <c r="J902" s="2" t="s">
        <v>12</v>
      </c>
      <c r="K902" s="2" t="s">
        <v>12</v>
      </c>
    </row>
    <row r="903" spans="1:11" ht="12.5" x14ac:dyDescent="0.25">
      <c r="A903" s="3" t="e">
        <f ca="1"/>
        <v>#NAME?</v>
      </c>
      <c r="B903" s="2" t="s">
        <v>12</v>
      </c>
      <c r="C903" s="2" t="s">
        <v>12</v>
      </c>
      <c r="D903" s="2" t="s">
        <v>12</v>
      </c>
      <c r="E903" s="2" t="s">
        <v>12</v>
      </c>
      <c r="F903" s="2" t="s">
        <v>12</v>
      </c>
      <c r="G903" s="2" t="s">
        <v>12</v>
      </c>
      <c r="H903" s="2" t="s">
        <v>12</v>
      </c>
      <c r="I903" s="2" t="s">
        <v>12</v>
      </c>
      <c r="J903" s="2" t="s">
        <v>12</v>
      </c>
      <c r="K903" s="2" t="s">
        <v>12</v>
      </c>
    </row>
    <row r="904" spans="1:11" ht="12.5" x14ac:dyDescent="0.25">
      <c r="A904" s="3" t="e">
        <f ca="1"/>
        <v>#NAME?</v>
      </c>
      <c r="B904" s="2" t="s">
        <v>12</v>
      </c>
      <c r="C904" s="2" t="s">
        <v>12</v>
      </c>
      <c r="D904" s="2" t="s">
        <v>12</v>
      </c>
      <c r="E904" s="2" t="s">
        <v>12</v>
      </c>
      <c r="F904" s="2" t="s">
        <v>12</v>
      </c>
      <c r="G904" s="2" t="s">
        <v>12</v>
      </c>
      <c r="H904" s="2" t="s">
        <v>12</v>
      </c>
      <c r="I904" s="2" t="s">
        <v>12</v>
      </c>
      <c r="J904" s="2" t="s">
        <v>12</v>
      </c>
      <c r="K904" s="2" t="s">
        <v>12</v>
      </c>
    </row>
    <row r="905" spans="1:11" ht="12.5" x14ac:dyDescent="0.25">
      <c r="A905" s="3" t="e">
        <f ca="1"/>
        <v>#NAME?</v>
      </c>
      <c r="B905" s="2" t="s">
        <v>12</v>
      </c>
      <c r="C905" s="2" t="s">
        <v>12</v>
      </c>
      <c r="D905" s="2" t="s">
        <v>12</v>
      </c>
      <c r="E905" s="2" t="s">
        <v>12</v>
      </c>
      <c r="F905" s="2" t="s">
        <v>12</v>
      </c>
      <c r="G905" s="2" t="s">
        <v>12</v>
      </c>
      <c r="H905" s="2" t="s">
        <v>12</v>
      </c>
      <c r="I905" s="2" t="s">
        <v>12</v>
      </c>
      <c r="J905" s="2" t="s">
        <v>12</v>
      </c>
      <c r="K905" s="2" t="s">
        <v>12</v>
      </c>
    </row>
    <row r="906" spans="1:11" ht="12.5" x14ac:dyDescent="0.25">
      <c r="A906" s="3" t="e">
        <f ca="1"/>
        <v>#NAME?</v>
      </c>
      <c r="B906" s="2" t="s">
        <v>12</v>
      </c>
      <c r="C906" s="2" t="s">
        <v>12</v>
      </c>
      <c r="D906" s="2" t="s">
        <v>12</v>
      </c>
      <c r="E906" s="2" t="s">
        <v>12</v>
      </c>
      <c r="F906" s="2" t="s">
        <v>12</v>
      </c>
      <c r="G906" s="2" t="s">
        <v>12</v>
      </c>
      <c r="H906" s="2" t="s">
        <v>12</v>
      </c>
      <c r="I906" s="2" t="s">
        <v>12</v>
      </c>
      <c r="J906" s="2" t="s">
        <v>12</v>
      </c>
      <c r="K906" s="2" t="s">
        <v>12</v>
      </c>
    </row>
    <row r="907" spans="1:11" ht="12.5" x14ac:dyDescent="0.25">
      <c r="A907" s="3" t="e">
        <f ca="1"/>
        <v>#NAME?</v>
      </c>
      <c r="B907" s="2" t="s">
        <v>12</v>
      </c>
      <c r="C907" s="2" t="s">
        <v>12</v>
      </c>
      <c r="D907" s="2" t="s">
        <v>12</v>
      </c>
      <c r="E907" s="2" t="s">
        <v>12</v>
      </c>
      <c r="F907" s="2" t="s">
        <v>12</v>
      </c>
      <c r="G907" s="2" t="s">
        <v>12</v>
      </c>
      <c r="H907" s="2" t="s">
        <v>12</v>
      </c>
      <c r="I907" s="2" t="s">
        <v>12</v>
      </c>
      <c r="J907" s="2" t="s">
        <v>12</v>
      </c>
      <c r="K907" s="2" t="s">
        <v>12</v>
      </c>
    </row>
    <row r="908" spans="1:11" ht="12.5" x14ac:dyDescent="0.25">
      <c r="A908" s="3" t="e">
        <f ca="1"/>
        <v>#NAME?</v>
      </c>
      <c r="B908" s="2" t="s">
        <v>12</v>
      </c>
      <c r="C908" s="2" t="s">
        <v>12</v>
      </c>
      <c r="D908" s="2" t="s">
        <v>12</v>
      </c>
      <c r="E908" s="2" t="s">
        <v>12</v>
      </c>
      <c r="F908" s="2" t="s">
        <v>12</v>
      </c>
      <c r="G908" s="2" t="s">
        <v>12</v>
      </c>
      <c r="H908" s="2" t="s">
        <v>12</v>
      </c>
      <c r="I908" s="2" t="s">
        <v>12</v>
      </c>
      <c r="J908" s="2" t="s">
        <v>12</v>
      </c>
      <c r="K908" s="2" t="s">
        <v>12</v>
      </c>
    </row>
    <row r="909" spans="1:11" ht="12.5" x14ac:dyDescent="0.25">
      <c r="A909" s="3" t="e">
        <f ca="1"/>
        <v>#NAME?</v>
      </c>
      <c r="B909" s="2" t="s">
        <v>12</v>
      </c>
      <c r="C909" s="2" t="s">
        <v>12</v>
      </c>
      <c r="D909" s="2" t="s">
        <v>12</v>
      </c>
      <c r="E909" s="2" t="s">
        <v>12</v>
      </c>
      <c r="F909" s="2" t="s">
        <v>12</v>
      </c>
      <c r="G909" s="2" t="s">
        <v>12</v>
      </c>
      <c r="H909" s="2" t="s">
        <v>12</v>
      </c>
      <c r="I909" s="2" t="s">
        <v>12</v>
      </c>
      <c r="J909" s="2" t="s">
        <v>12</v>
      </c>
      <c r="K909" s="2" t="s">
        <v>12</v>
      </c>
    </row>
    <row r="910" spans="1:11" ht="12.5" x14ac:dyDescent="0.25">
      <c r="A910" s="3" t="e">
        <f ca="1"/>
        <v>#NAME?</v>
      </c>
      <c r="B910" s="2" t="s">
        <v>12</v>
      </c>
      <c r="C910" s="2" t="s">
        <v>12</v>
      </c>
      <c r="D910" s="2" t="s">
        <v>12</v>
      </c>
      <c r="E910" s="2" t="s">
        <v>12</v>
      </c>
      <c r="F910" s="2" t="s">
        <v>12</v>
      </c>
      <c r="G910" s="2" t="s">
        <v>12</v>
      </c>
      <c r="H910" s="2" t="s">
        <v>12</v>
      </c>
      <c r="I910" s="2" t="s">
        <v>12</v>
      </c>
      <c r="J910" s="2" t="s">
        <v>12</v>
      </c>
      <c r="K910" s="2" t="s">
        <v>12</v>
      </c>
    </row>
    <row r="911" spans="1:11" ht="12.5" x14ac:dyDescent="0.25">
      <c r="A911" s="3" t="e">
        <f ca="1"/>
        <v>#NAME?</v>
      </c>
      <c r="B911" s="2" t="s">
        <v>12</v>
      </c>
      <c r="C911" s="2" t="s">
        <v>12</v>
      </c>
      <c r="D911" s="2" t="s">
        <v>12</v>
      </c>
      <c r="E911" s="2" t="s">
        <v>12</v>
      </c>
      <c r="F911" s="2" t="s">
        <v>12</v>
      </c>
      <c r="G911" s="2" t="s">
        <v>12</v>
      </c>
      <c r="H911" s="2" t="s">
        <v>12</v>
      </c>
      <c r="I911" s="2" t="s">
        <v>12</v>
      </c>
      <c r="J911" s="2" t="s">
        <v>12</v>
      </c>
      <c r="K911" s="2" t="s">
        <v>12</v>
      </c>
    </row>
    <row r="912" spans="1:11" ht="12.5" x14ac:dyDescent="0.25">
      <c r="A912" s="3" t="e">
        <f ca="1"/>
        <v>#NAME?</v>
      </c>
      <c r="B912" s="2" t="s">
        <v>12</v>
      </c>
      <c r="C912" s="2" t="s">
        <v>12</v>
      </c>
      <c r="D912" s="2" t="s">
        <v>12</v>
      </c>
      <c r="E912" s="2" t="s">
        <v>12</v>
      </c>
      <c r="F912" s="2" t="s">
        <v>12</v>
      </c>
      <c r="G912" s="2" t="s">
        <v>12</v>
      </c>
      <c r="H912" s="2" t="s">
        <v>12</v>
      </c>
      <c r="I912" s="2" t="s">
        <v>12</v>
      </c>
      <c r="J912" s="2" t="s">
        <v>12</v>
      </c>
      <c r="K912" s="2" t="s">
        <v>12</v>
      </c>
    </row>
    <row r="913" spans="1:11" ht="12.5" x14ac:dyDescent="0.25">
      <c r="A913" s="3" t="e">
        <f ca="1"/>
        <v>#NAME?</v>
      </c>
      <c r="B913" s="2" t="s">
        <v>12</v>
      </c>
      <c r="C913" s="2" t="s">
        <v>12</v>
      </c>
      <c r="D913" s="2" t="s">
        <v>12</v>
      </c>
      <c r="E913" s="2" t="s">
        <v>12</v>
      </c>
      <c r="F913" s="2" t="s">
        <v>12</v>
      </c>
      <c r="G913" s="2" t="s">
        <v>12</v>
      </c>
      <c r="H913" s="2" t="s">
        <v>12</v>
      </c>
      <c r="I913" s="2" t="s">
        <v>12</v>
      </c>
      <c r="J913" s="2" t="s">
        <v>12</v>
      </c>
      <c r="K913" s="2" t="s">
        <v>12</v>
      </c>
    </row>
    <row r="914" spans="1:11" ht="12.5" x14ac:dyDescent="0.25">
      <c r="A914" s="3" t="e">
        <f ca="1"/>
        <v>#NAME?</v>
      </c>
      <c r="B914" s="2" t="s">
        <v>12</v>
      </c>
      <c r="C914" s="2" t="s">
        <v>12</v>
      </c>
      <c r="D914" s="2" t="s">
        <v>12</v>
      </c>
      <c r="E914" s="2" t="s">
        <v>12</v>
      </c>
      <c r="F914" s="2" t="s">
        <v>12</v>
      </c>
      <c r="G914" s="2" t="s">
        <v>12</v>
      </c>
      <c r="H914" s="2" t="s">
        <v>12</v>
      </c>
      <c r="I914" s="2" t="s">
        <v>12</v>
      </c>
      <c r="J914" s="2" t="s">
        <v>12</v>
      </c>
      <c r="K914" s="2" t="s">
        <v>12</v>
      </c>
    </row>
    <row r="915" spans="1:11" ht="12.5" x14ac:dyDescent="0.25">
      <c r="A915" s="3" t="e">
        <f ca="1"/>
        <v>#NAME?</v>
      </c>
      <c r="B915" s="2" t="s">
        <v>12</v>
      </c>
      <c r="C915" s="2" t="s">
        <v>12</v>
      </c>
      <c r="D915" s="2" t="s">
        <v>12</v>
      </c>
      <c r="E915" s="2" t="s">
        <v>12</v>
      </c>
      <c r="F915" s="2" t="s">
        <v>12</v>
      </c>
      <c r="G915" s="2" t="s">
        <v>12</v>
      </c>
      <c r="H915" s="2" t="s">
        <v>12</v>
      </c>
      <c r="I915" s="2" t="s">
        <v>12</v>
      </c>
      <c r="J915" s="2" t="s">
        <v>12</v>
      </c>
      <c r="K915" s="2" t="s">
        <v>12</v>
      </c>
    </row>
    <row r="916" spans="1:11" ht="12.5" x14ac:dyDescent="0.25">
      <c r="A916" s="3" t="e">
        <f ca="1"/>
        <v>#NAME?</v>
      </c>
      <c r="B916" s="2" t="s">
        <v>12</v>
      </c>
      <c r="C916" s="2" t="s">
        <v>12</v>
      </c>
      <c r="D916" s="2" t="s">
        <v>12</v>
      </c>
      <c r="E916" s="2" t="s">
        <v>12</v>
      </c>
      <c r="F916" s="2" t="s">
        <v>12</v>
      </c>
      <c r="G916" s="2" t="s">
        <v>12</v>
      </c>
      <c r="H916" s="2" t="s">
        <v>12</v>
      </c>
      <c r="I916" s="2" t="s">
        <v>12</v>
      </c>
      <c r="J916" s="2" t="s">
        <v>12</v>
      </c>
      <c r="K916" s="2" t="s">
        <v>12</v>
      </c>
    </row>
    <row r="917" spans="1:11" ht="12.5" x14ac:dyDescent="0.25">
      <c r="A917" s="3" t="e">
        <f ca="1"/>
        <v>#NAME?</v>
      </c>
      <c r="B917" s="2" t="s">
        <v>12</v>
      </c>
      <c r="C917" s="2" t="s">
        <v>12</v>
      </c>
      <c r="D917" s="2" t="s">
        <v>12</v>
      </c>
      <c r="E917" s="2" t="s">
        <v>12</v>
      </c>
      <c r="F917" s="2" t="s">
        <v>12</v>
      </c>
      <c r="G917" s="2" t="s">
        <v>12</v>
      </c>
      <c r="H917" s="2" t="s">
        <v>12</v>
      </c>
      <c r="I917" s="2" t="s">
        <v>12</v>
      </c>
      <c r="J917" s="2" t="s">
        <v>12</v>
      </c>
      <c r="K917" s="2" t="s">
        <v>12</v>
      </c>
    </row>
    <row r="918" spans="1:11" ht="12.5" x14ac:dyDescent="0.25">
      <c r="A918" s="3" t="e">
        <f ca="1"/>
        <v>#NAME?</v>
      </c>
      <c r="B918" s="2" t="s">
        <v>12</v>
      </c>
      <c r="C918" s="2" t="s">
        <v>12</v>
      </c>
      <c r="D918" s="2" t="s">
        <v>12</v>
      </c>
      <c r="E918" s="2" t="s">
        <v>12</v>
      </c>
      <c r="F918" s="2" t="s">
        <v>12</v>
      </c>
      <c r="G918" s="2" t="s">
        <v>12</v>
      </c>
      <c r="H918" s="2" t="s">
        <v>12</v>
      </c>
      <c r="I918" s="2" t="s">
        <v>12</v>
      </c>
      <c r="J918" s="2" t="s">
        <v>12</v>
      </c>
      <c r="K918" s="2" t="s">
        <v>12</v>
      </c>
    </row>
    <row r="919" spans="1:11" ht="12.5" x14ac:dyDescent="0.25">
      <c r="A919" s="3" t="e">
        <f ca="1"/>
        <v>#NAME?</v>
      </c>
      <c r="B919" s="2" t="s">
        <v>12</v>
      </c>
      <c r="C919" s="2" t="s">
        <v>12</v>
      </c>
      <c r="D919" s="2" t="s">
        <v>12</v>
      </c>
      <c r="E919" s="2" t="s">
        <v>12</v>
      </c>
      <c r="F919" s="2" t="s">
        <v>12</v>
      </c>
      <c r="G919" s="2" t="s">
        <v>12</v>
      </c>
      <c r="H919" s="2" t="s">
        <v>12</v>
      </c>
      <c r="I919" s="2" t="s">
        <v>12</v>
      </c>
      <c r="J919" s="2" t="s">
        <v>12</v>
      </c>
      <c r="K919" s="2" t="s">
        <v>12</v>
      </c>
    </row>
    <row r="920" spans="1:11" ht="12.5" x14ac:dyDescent="0.25">
      <c r="A920" s="3" t="e">
        <f ca="1"/>
        <v>#NAME?</v>
      </c>
      <c r="B920" s="2" t="s">
        <v>12</v>
      </c>
      <c r="C920" s="2" t="s">
        <v>12</v>
      </c>
      <c r="D920" s="2" t="s">
        <v>12</v>
      </c>
      <c r="E920" s="2" t="s">
        <v>12</v>
      </c>
      <c r="F920" s="2" t="s">
        <v>12</v>
      </c>
      <c r="G920" s="2" t="s">
        <v>12</v>
      </c>
      <c r="H920" s="2" t="s">
        <v>12</v>
      </c>
      <c r="I920" s="2" t="s">
        <v>12</v>
      </c>
      <c r="J920" s="2" t="s">
        <v>12</v>
      </c>
      <c r="K920" s="2" t="s">
        <v>12</v>
      </c>
    </row>
    <row r="921" spans="1:11" ht="12.5" x14ac:dyDescent="0.25">
      <c r="A921" s="3" t="e">
        <f ca="1"/>
        <v>#NAME?</v>
      </c>
      <c r="B921" s="2" t="s">
        <v>12</v>
      </c>
      <c r="C921" s="2" t="s">
        <v>12</v>
      </c>
      <c r="D921" s="2" t="s">
        <v>12</v>
      </c>
      <c r="E921" s="2" t="s">
        <v>12</v>
      </c>
      <c r="F921" s="2" t="s">
        <v>12</v>
      </c>
      <c r="G921" s="2" t="s">
        <v>12</v>
      </c>
      <c r="H921" s="2" t="s">
        <v>12</v>
      </c>
      <c r="I921" s="2" t="s">
        <v>12</v>
      </c>
      <c r="J921" s="2" t="s">
        <v>12</v>
      </c>
      <c r="K921" s="2" t="s">
        <v>12</v>
      </c>
    </row>
    <row r="922" spans="1:11" ht="12.5" x14ac:dyDescent="0.25">
      <c r="A922" s="3" t="e">
        <f ca="1"/>
        <v>#NAME?</v>
      </c>
      <c r="B922" s="2" t="s">
        <v>12</v>
      </c>
      <c r="C922" s="2" t="s">
        <v>12</v>
      </c>
      <c r="D922" s="2" t="s">
        <v>12</v>
      </c>
      <c r="E922" s="2" t="s">
        <v>12</v>
      </c>
      <c r="F922" s="2" t="s">
        <v>12</v>
      </c>
      <c r="G922" s="2" t="s">
        <v>12</v>
      </c>
      <c r="H922" s="2" t="s">
        <v>12</v>
      </c>
      <c r="I922" s="2" t="s">
        <v>12</v>
      </c>
      <c r="J922" s="2" t="s">
        <v>12</v>
      </c>
      <c r="K922" s="2" t="s">
        <v>12</v>
      </c>
    </row>
    <row r="923" spans="1:11" ht="12.5" x14ac:dyDescent="0.25">
      <c r="A923" s="3" t="e">
        <f ca="1"/>
        <v>#NAME?</v>
      </c>
      <c r="B923" s="2" t="s">
        <v>12</v>
      </c>
      <c r="C923" s="2" t="s">
        <v>12</v>
      </c>
      <c r="D923" s="2" t="s">
        <v>12</v>
      </c>
      <c r="E923" s="2" t="s">
        <v>12</v>
      </c>
      <c r="F923" s="2" t="s">
        <v>12</v>
      </c>
      <c r="G923" s="2" t="s">
        <v>12</v>
      </c>
      <c r="H923" s="2" t="s">
        <v>12</v>
      </c>
      <c r="I923" s="2" t="s">
        <v>12</v>
      </c>
      <c r="J923" s="2" t="s">
        <v>12</v>
      </c>
      <c r="K923" s="2" t="s">
        <v>12</v>
      </c>
    </row>
    <row r="924" spans="1:11" ht="12.5" x14ac:dyDescent="0.25">
      <c r="A924" s="3" t="e">
        <f ca="1"/>
        <v>#NAME?</v>
      </c>
      <c r="B924" s="2" t="s">
        <v>12</v>
      </c>
      <c r="C924" s="2" t="s">
        <v>12</v>
      </c>
      <c r="D924" s="2" t="s">
        <v>12</v>
      </c>
      <c r="E924" s="2" t="s">
        <v>12</v>
      </c>
      <c r="F924" s="2" t="s">
        <v>12</v>
      </c>
      <c r="G924" s="2" t="s">
        <v>12</v>
      </c>
      <c r="H924" s="2" t="s">
        <v>12</v>
      </c>
      <c r="I924" s="2" t="s">
        <v>12</v>
      </c>
      <c r="J924" s="2" t="s">
        <v>12</v>
      </c>
      <c r="K924" s="2" t="s">
        <v>12</v>
      </c>
    </row>
    <row r="925" spans="1:11" ht="12.5" x14ac:dyDescent="0.25">
      <c r="A925" s="3" t="e">
        <f ca="1"/>
        <v>#NAME?</v>
      </c>
      <c r="B925" s="2" t="s">
        <v>12</v>
      </c>
      <c r="C925" s="2" t="s">
        <v>12</v>
      </c>
      <c r="D925" s="2" t="s">
        <v>12</v>
      </c>
      <c r="E925" s="2" t="s">
        <v>12</v>
      </c>
      <c r="F925" s="2" t="s">
        <v>12</v>
      </c>
      <c r="G925" s="2" t="s">
        <v>12</v>
      </c>
      <c r="H925" s="2" t="s">
        <v>12</v>
      </c>
      <c r="I925" s="2" t="s">
        <v>12</v>
      </c>
      <c r="J925" s="2" t="s">
        <v>12</v>
      </c>
      <c r="K925" s="2" t="s">
        <v>12</v>
      </c>
    </row>
    <row r="926" spans="1:11" ht="12.5" x14ac:dyDescent="0.25">
      <c r="A926" s="3" t="e">
        <f ca="1"/>
        <v>#NAME?</v>
      </c>
      <c r="B926" s="2" t="s">
        <v>12</v>
      </c>
      <c r="C926" s="2" t="s">
        <v>12</v>
      </c>
      <c r="D926" s="2" t="s">
        <v>12</v>
      </c>
      <c r="E926" s="2" t="s">
        <v>12</v>
      </c>
      <c r="F926" s="2" t="s">
        <v>12</v>
      </c>
      <c r="G926" s="2" t="s">
        <v>12</v>
      </c>
      <c r="H926" s="2" t="s">
        <v>12</v>
      </c>
      <c r="I926" s="2" t="s">
        <v>12</v>
      </c>
      <c r="J926" s="2" t="s">
        <v>12</v>
      </c>
      <c r="K926" s="2" t="s">
        <v>12</v>
      </c>
    </row>
    <row r="927" spans="1:11" ht="12.5" x14ac:dyDescent="0.25">
      <c r="A927" s="3" t="e">
        <f ca="1"/>
        <v>#NAME?</v>
      </c>
      <c r="B927" s="2" t="s">
        <v>12</v>
      </c>
      <c r="C927" s="2" t="s">
        <v>12</v>
      </c>
      <c r="D927" s="2" t="s">
        <v>12</v>
      </c>
      <c r="E927" s="2" t="s">
        <v>12</v>
      </c>
      <c r="F927" s="2" t="s">
        <v>12</v>
      </c>
      <c r="G927" s="2" t="s">
        <v>12</v>
      </c>
      <c r="H927" s="2" t="s">
        <v>12</v>
      </c>
      <c r="I927" s="2" t="s">
        <v>12</v>
      </c>
      <c r="J927" s="2" t="s">
        <v>12</v>
      </c>
      <c r="K927" s="2" t="s">
        <v>12</v>
      </c>
    </row>
    <row r="928" spans="1:11" ht="12.5" x14ac:dyDescent="0.25">
      <c r="A928" s="3" t="e">
        <f ca="1"/>
        <v>#NAME?</v>
      </c>
      <c r="B928" s="2" t="s">
        <v>12</v>
      </c>
      <c r="C928" s="2" t="s">
        <v>12</v>
      </c>
      <c r="D928" s="2" t="s">
        <v>12</v>
      </c>
      <c r="E928" s="2" t="s">
        <v>12</v>
      </c>
      <c r="F928" s="2" t="s">
        <v>12</v>
      </c>
      <c r="G928" s="2" t="s">
        <v>12</v>
      </c>
      <c r="H928" s="2" t="s">
        <v>12</v>
      </c>
      <c r="I928" s="2" t="s">
        <v>12</v>
      </c>
      <c r="J928" s="2" t="s">
        <v>12</v>
      </c>
      <c r="K928" s="2" t="s">
        <v>12</v>
      </c>
    </row>
    <row r="929" spans="1:11" ht="12.5" x14ac:dyDescent="0.25">
      <c r="A929" s="3" t="e">
        <f ca="1"/>
        <v>#NAME?</v>
      </c>
      <c r="B929" s="2" t="s">
        <v>12</v>
      </c>
      <c r="C929" s="2" t="s">
        <v>12</v>
      </c>
      <c r="D929" s="2" t="s">
        <v>12</v>
      </c>
      <c r="E929" s="2" t="s">
        <v>12</v>
      </c>
      <c r="F929" s="2" t="s">
        <v>12</v>
      </c>
      <c r="G929" s="2" t="s">
        <v>12</v>
      </c>
      <c r="H929" s="2" t="s">
        <v>12</v>
      </c>
      <c r="I929" s="2" t="s">
        <v>12</v>
      </c>
      <c r="J929" s="2" t="s">
        <v>12</v>
      </c>
      <c r="K929" s="2" t="s">
        <v>12</v>
      </c>
    </row>
    <row r="930" spans="1:11" ht="12.5" x14ac:dyDescent="0.25">
      <c r="A930" s="3" t="e">
        <f ca="1"/>
        <v>#NAME?</v>
      </c>
      <c r="B930" s="2" t="s">
        <v>12</v>
      </c>
      <c r="C930" s="2" t="s">
        <v>12</v>
      </c>
      <c r="D930" s="2" t="s">
        <v>12</v>
      </c>
      <c r="E930" s="2" t="s">
        <v>12</v>
      </c>
      <c r="F930" s="2" t="s">
        <v>12</v>
      </c>
      <c r="G930" s="2" t="s">
        <v>12</v>
      </c>
      <c r="H930" s="2" t="s">
        <v>12</v>
      </c>
      <c r="I930" s="2" t="s">
        <v>12</v>
      </c>
      <c r="J930" s="2" t="s">
        <v>12</v>
      </c>
      <c r="K930" s="2" t="s">
        <v>12</v>
      </c>
    </row>
    <row r="931" spans="1:11" ht="12.5" x14ac:dyDescent="0.25">
      <c r="A931" s="3" t="e">
        <f ca="1"/>
        <v>#NAME?</v>
      </c>
      <c r="B931" s="2" t="s">
        <v>12</v>
      </c>
      <c r="C931" s="2" t="s">
        <v>12</v>
      </c>
      <c r="D931" s="2" t="s">
        <v>12</v>
      </c>
      <c r="E931" s="2" t="s">
        <v>12</v>
      </c>
      <c r="F931" s="2" t="s">
        <v>12</v>
      </c>
      <c r="G931" s="2" t="s">
        <v>12</v>
      </c>
      <c r="H931" s="2" t="s">
        <v>12</v>
      </c>
      <c r="I931" s="2" t="s">
        <v>12</v>
      </c>
      <c r="J931" s="2" t="s">
        <v>12</v>
      </c>
      <c r="K931" s="2" t="s">
        <v>12</v>
      </c>
    </row>
    <row r="932" spans="1:11" ht="12.5" x14ac:dyDescent="0.25">
      <c r="A932" s="3" t="e">
        <f ca="1"/>
        <v>#NAME?</v>
      </c>
      <c r="B932" s="2" t="s">
        <v>12</v>
      </c>
      <c r="C932" s="2" t="s">
        <v>12</v>
      </c>
      <c r="D932" s="2" t="s">
        <v>12</v>
      </c>
      <c r="E932" s="2" t="s">
        <v>12</v>
      </c>
      <c r="F932" s="2" t="s">
        <v>12</v>
      </c>
      <c r="G932" s="2" t="s">
        <v>12</v>
      </c>
      <c r="H932" s="2" t="s">
        <v>12</v>
      </c>
      <c r="I932" s="2" t="s">
        <v>12</v>
      </c>
      <c r="J932" s="2" t="s">
        <v>12</v>
      </c>
      <c r="K932" s="2" t="s">
        <v>12</v>
      </c>
    </row>
    <row r="933" spans="1:11" ht="12.5" x14ac:dyDescent="0.25">
      <c r="A933" s="3" t="e">
        <f ca="1"/>
        <v>#NAME?</v>
      </c>
      <c r="B933" s="2" t="s">
        <v>12</v>
      </c>
      <c r="C933" s="2" t="s">
        <v>12</v>
      </c>
      <c r="D933" s="2" t="s">
        <v>12</v>
      </c>
      <c r="E933" s="2" t="s">
        <v>12</v>
      </c>
      <c r="F933" s="2" t="s">
        <v>12</v>
      </c>
      <c r="G933" s="2" t="s">
        <v>12</v>
      </c>
      <c r="H933" s="2" t="s">
        <v>12</v>
      </c>
      <c r="I933" s="2" t="s">
        <v>12</v>
      </c>
      <c r="J933" s="2" t="s">
        <v>12</v>
      </c>
      <c r="K933" s="2" t="s">
        <v>12</v>
      </c>
    </row>
    <row r="934" spans="1:11" ht="12.5" x14ac:dyDescent="0.25">
      <c r="A934" s="3" t="e">
        <f ca="1"/>
        <v>#NAME?</v>
      </c>
      <c r="B934" s="2" t="s">
        <v>12</v>
      </c>
      <c r="C934" s="2" t="s">
        <v>12</v>
      </c>
      <c r="D934" s="2" t="s">
        <v>12</v>
      </c>
      <c r="E934" s="2" t="s">
        <v>12</v>
      </c>
      <c r="F934" s="2" t="s">
        <v>12</v>
      </c>
      <c r="G934" s="2" t="s">
        <v>12</v>
      </c>
      <c r="H934" s="2" t="s">
        <v>12</v>
      </c>
      <c r="I934" s="2" t="s">
        <v>12</v>
      </c>
      <c r="J934" s="2" t="s">
        <v>12</v>
      </c>
      <c r="K934" s="2" t="s">
        <v>12</v>
      </c>
    </row>
    <row r="935" spans="1:11" ht="12.5" x14ac:dyDescent="0.25">
      <c r="A935" s="3" t="e">
        <f ca="1"/>
        <v>#NAME?</v>
      </c>
      <c r="B935" s="2" t="s">
        <v>12</v>
      </c>
      <c r="C935" s="2" t="s">
        <v>12</v>
      </c>
      <c r="D935" s="2" t="s">
        <v>12</v>
      </c>
      <c r="E935" s="2" t="s">
        <v>12</v>
      </c>
      <c r="F935" s="2" t="s">
        <v>12</v>
      </c>
      <c r="G935" s="2" t="s">
        <v>12</v>
      </c>
      <c r="H935" s="2" t="s">
        <v>12</v>
      </c>
      <c r="I935" s="2" t="s">
        <v>12</v>
      </c>
      <c r="J935" s="2" t="s">
        <v>12</v>
      </c>
      <c r="K935" s="2" t="s">
        <v>12</v>
      </c>
    </row>
    <row r="936" spans="1:11" ht="12.5" x14ac:dyDescent="0.25">
      <c r="A936" s="3" t="e">
        <f ca="1"/>
        <v>#NAME?</v>
      </c>
      <c r="B936" s="2" t="s">
        <v>12</v>
      </c>
      <c r="C936" s="2" t="s">
        <v>12</v>
      </c>
      <c r="D936" s="2" t="s">
        <v>12</v>
      </c>
      <c r="E936" s="2" t="s">
        <v>12</v>
      </c>
      <c r="F936" s="2" t="s">
        <v>12</v>
      </c>
      <c r="G936" s="2" t="s">
        <v>12</v>
      </c>
      <c r="H936" s="2" t="s">
        <v>12</v>
      </c>
      <c r="I936" s="2" t="s">
        <v>12</v>
      </c>
      <c r="J936" s="2" t="s">
        <v>12</v>
      </c>
      <c r="K936" s="2" t="s">
        <v>12</v>
      </c>
    </row>
    <row r="937" spans="1:11" ht="12.5" x14ac:dyDescent="0.25">
      <c r="A937" s="3" t="e">
        <f ca="1"/>
        <v>#NAME?</v>
      </c>
      <c r="B937" s="2" t="s">
        <v>12</v>
      </c>
      <c r="C937" s="2" t="s">
        <v>12</v>
      </c>
      <c r="D937" s="2" t="s">
        <v>12</v>
      </c>
      <c r="E937" s="2" t="s">
        <v>12</v>
      </c>
      <c r="F937" s="2" t="s">
        <v>12</v>
      </c>
      <c r="G937" s="2" t="s">
        <v>12</v>
      </c>
      <c r="H937" s="2" t="s">
        <v>12</v>
      </c>
      <c r="I937" s="2" t="s">
        <v>12</v>
      </c>
      <c r="J937" s="2" t="s">
        <v>12</v>
      </c>
      <c r="K937" s="2" t="s">
        <v>12</v>
      </c>
    </row>
    <row r="938" spans="1:11" ht="12.5" x14ac:dyDescent="0.25">
      <c r="A938" s="3" t="e">
        <f ca="1"/>
        <v>#NAME?</v>
      </c>
      <c r="B938" s="2" t="s">
        <v>12</v>
      </c>
      <c r="C938" s="2" t="s">
        <v>12</v>
      </c>
      <c r="D938" s="2" t="s">
        <v>12</v>
      </c>
      <c r="E938" s="2" t="s">
        <v>12</v>
      </c>
      <c r="F938" s="2" t="s">
        <v>12</v>
      </c>
      <c r="G938" s="2" t="s">
        <v>12</v>
      </c>
      <c r="H938" s="2" t="s">
        <v>12</v>
      </c>
      <c r="I938" s="2" t="s">
        <v>12</v>
      </c>
      <c r="J938" s="2" t="s">
        <v>12</v>
      </c>
      <c r="K938" s="2" t="s">
        <v>12</v>
      </c>
    </row>
    <row r="939" spans="1:11" ht="12.5" x14ac:dyDescent="0.25">
      <c r="A939" s="3" t="e">
        <f ca="1"/>
        <v>#NAME?</v>
      </c>
      <c r="B939" s="2" t="s">
        <v>12</v>
      </c>
      <c r="C939" s="2" t="s">
        <v>12</v>
      </c>
      <c r="D939" s="2" t="s">
        <v>12</v>
      </c>
      <c r="E939" s="2" t="s">
        <v>12</v>
      </c>
      <c r="F939" s="2" t="s">
        <v>12</v>
      </c>
      <c r="G939" s="2" t="s">
        <v>12</v>
      </c>
      <c r="H939" s="2" t="s">
        <v>12</v>
      </c>
      <c r="I939" s="2" t="s">
        <v>12</v>
      </c>
      <c r="J939" s="2" t="s">
        <v>12</v>
      </c>
      <c r="K939" s="2" t="s">
        <v>12</v>
      </c>
    </row>
    <row r="940" spans="1:11" ht="12.5" x14ac:dyDescent="0.25">
      <c r="A940" s="3" t="e">
        <f ca="1"/>
        <v>#NAME?</v>
      </c>
      <c r="B940" s="2" t="s">
        <v>12</v>
      </c>
      <c r="C940" s="2" t="s">
        <v>12</v>
      </c>
      <c r="D940" s="2" t="s">
        <v>12</v>
      </c>
      <c r="E940" s="2" t="s">
        <v>12</v>
      </c>
      <c r="F940" s="2" t="s">
        <v>12</v>
      </c>
      <c r="G940" s="2" t="s">
        <v>12</v>
      </c>
      <c r="H940" s="2" t="s">
        <v>12</v>
      </c>
      <c r="I940" s="2" t="s">
        <v>12</v>
      </c>
      <c r="J940" s="2" t="s">
        <v>12</v>
      </c>
      <c r="K940" s="2" t="s">
        <v>12</v>
      </c>
    </row>
    <row r="941" spans="1:11" ht="12.5" x14ac:dyDescent="0.25">
      <c r="A941" s="3" t="e">
        <f ca="1"/>
        <v>#NAME?</v>
      </c>
      <c r="B941" s="2" t="s">
        <v>12</v>
      </c>
      <c r="C941" s="2" t="s">
        <v>12</v>
      </c>
      <c r="D941" s="2" t="s">
        <v>12</v>
      </c>
      <c r="E941" s="2" t="s">
        <v>12</v>
      </c>
      <c r="F941" s="2" t="s">
        <v>12</v>
      </c>
      <c r="G941" s="2" t="s">
        <v>12</v>
      </c>
      <c r="H941" s="2" t="s">
        <v>12</v>
      </c>
      <c r="I941" s="2" t="s">
        <v>12</v>
      </c>
      <c r="J941" s="2" t="s">
        <v>12</v>
      </c>
      <c r="K941" s="2" t="s">
        <v>12</v>
      </c>
    </row>
    <row r="942" spans="1:11" ht="12.5" x14ac:dyDescent="0.25">
      <c r="A942" s="3" t="e">
        <f ca="1"/>
        <v>#NAME?</v>
      </c>
      <c r="B942" s="2" t="s">
        <v>12</v>
      </c>
      <c r="C942" s="2" t="s">
        <v>12</v>
      </c>
      <c r="D942" s="2" t="s">
        <v>12</v>
      </c>
      <c r="E942" s="2" t="s">
        <v>12</v>
      </c>
      <c r="F942" s="2" t="s">
        <v>12</v>
      </c>
      <c r="G942" s="2" t="s">
        <v>12</v>
      </c>
      <c r="H942" s="2" t="s">
        <v>12</v>
      </c>
      <c r="I942" s="2" t="s">
        <v>12</v>
      </c>
      <c r="J942" s="2" t="s">
        <v>12</v>
      </c>
      <c r="K942" s="2" t="s">
        <v>12</v>
      </c>
    </row>
    <row r="943" spans="1:11" ht="12.5" x14ac:dyDescent="0.25">
      <c r="A943" s="3" t="e">
        <f ca="1"/>
        <v>#NAME?</v>
      </c>
      <c r="B943" s="2" t="s">
        <v>12</v>
      </c>
      <c r="C943" s="2" t="s">
        <v>12</v>
      </c>
      <c r="D943" s="2" t="s">
        <v>12</v>
      </c>
      <c r="E943" s="2" t="s">
        <v>12</v>
      </c>
      <c r="F943" s="2" t="s">
        <v>12</v>
      </c>
      <c r="G943" s="2" t="s">
        <v>12</v>
      </c>
      <c r="H943" s="2" t="s">
        <v>12</v>
      </c>
      <c r="I943" s="2" t="s">
        <v>12</v>
      </c>
      <c r="J943" s="2" t="s">
        <v>12</v>
      </c>
      <c r="K943" s="2" t="s">
        <v>12</v>
      </c>
    </row>
    <row r="944" spans="1:11" ht="12.5" x14ac:dyDescent="0.25">
      <c r="A944" s="3" t="e">
        <f ca="1"/>
        <v>#NAME?</v>
      </c>
      <c r="B944" s="2" t="s">
        <v>12</v>
      </c>
      <c r="C944" s="2" t="s">
        <v>12</v>
      </c>
      <c r="D944" s="2" t="s">
        <v>12</v>
      </c>
      <c r="E944" s="2" t="s">
        <v>12</v>
      </c>
      <c r="F944" s="2" t="s">
        <v>12</v>
      </c>
      <c r="G944" s="2" t="s">
        <v>12</v>
      </c>
      <c r="H944" s="2" t="s">
        <v>12</v>
      </c>
      <c r="I944" s="2" t="s">
        <v>12</v>
      </c>
      <c r="J944" s="2" t="s">
        <v>12</v>
      </c>
      <c r="K944" s="2" t="s">
        <v>12</v>
      </c>
    </row>
    <row r="945" spans="1:11" ht="12.5" x14ac:dyDescent="0.25">
      <c r="A945" s="3" t="e">
        <f ca="1"/>
        <v>#NAME?</v>
      </c>
      <c r="B945" s="2" t="s">
        <v>12</v>
      </c>
      <c r="C945" s="2" t="s">
        <v>12</v>
      </c>
      <c r="D945" s="2" t="s">
        <v>12</v>
      </c>
      <c r="E945" s="2" t="s">
        <v>12</v>
      </c>
      <c r="F945" s="2" t="s">
        <v>12</v>
      </c>
      <c r="G945" s="2" t="s">
        <v>12</v>
      </c>
      <c r="H945" s="2" t="s">
        <v>12</v>
      </c>
      <c r="I945" s="2" t="s">
        <v>12</v>
      </c>
      <c r="J945" s="2" t="s">
        <v>12</v>
      </c>
      <c r="K945" s="2" t="s">
        <v>12</v>
      </c>
    </row>
    <row r="946" spans="1:11" ht="12.5" x14ac:dyDescent="0.25">
      <c r="A946" s="3" t="e">
        <f ca="1"/>
        <v>#NAME?</v>
      </c>
      <c r="B946" s="2" t="s">
        <v>12</v>
      </c>
      <c r="C946" s="2" t="s">
        <v>12</v>
      </c>
      <c r="D946" s="2" t="s">
        <v>12</v>
      </c>
      <c r="E946" s="2" t="s">
        <v>12</v>
      </c>
      <c r="F946" s="2" t="s">
        <v>12</v>
      </c>
      <c r="G946" s="2" t="s">
        <v>12</v>
      </c>
      <c r="H946" s="2" t="s">
        <v>12</v>
      </c>
      <c r="I946" s="2" t="s">
        <v>12</v>
      </c>
      <c r="J946" s="2" t="s">
        <v>12</v>
      </c>
      <c r="K946" s="2" t="s">
        <v>12</v>
      </c>
    </row>
    <row r="947" spans="1:11" ht="12.5" x14ac:dyDescent="0.25">
      <c r="A947" s="3" t="e">
        <f ca="1"/>
        <v>#NAME?</v>
      </c>
      <c r="B947" s="2" t="s">
        <v>12</v>
      </c>
      <c r="C947" s="2" t="s">
        <v>12</v>
      </c>
      <c r="D947" s="2" t="s">
        <v>12</v>
      </c>
      <c r="E947" s="2" t="s">
        <v>12</v>
      </c>
      <c r="F947" s="2" t="s">
        <v>12</v>
      </c>
      <c r="G947" s="2" t="s">
        <v>12</v>
      </c>
      <c r="H947" s="2" t="s">
        <v>12</v>
      </c>
      <c r="I947" s="2" t="s">
        <v>12</v>
      </c>
      <c r="J947" s="2" t="s">
        <v>12</v>
      </c>
      <c r="K947" s="2" t="s">
        <v>12</v>
      </c>
    </row>
    <row r="948" spans="1:11" ht="12.5" x14ac:dyDescent="0.25">
      <c r="A948" s="3" t="e">
        <f ca="1"/>
        <v>#NAME?</v>
      </c>
      <c r="B948" s="2" t="s">
        <v>12</v>
      </c>
      <c r="C948" s="2" t="s">
        <v>12</v>
      </c>
      <c r="D948" s="2" t="s">
        <v>12</v>
      </c>
      <c r="E948" s="2" t="s">
        <v>12</v>
      </c>
      <c r="F948" s="2" t="s">
        <v>12</v>
      </c>
      <c r="G948" s="2" t="s">
        <v>12</v>
      </c>
      <c r="H948" s="2" t="s">
        <v>12</v>
      </c>
      <c r="I948" s="2" t="s">
        <v>12</v>
      </c>
      <c r="J948" s="2" t="s">
        <v>12</v>
      </c>
      <c r="K948" s="2" t="s">
        <v>12</v>
      </c>
    </row>
    <row r="949" spans="1:11" ht="12.5" x14ac:dyDescent="0.25">
      <c r="A949" s="3" t="e">
        <f ca="1"/>
        <v>#NAME?</v>
      </c>
      <c r="B949" s="2" t="s">
        <v>12</v>
      </c>
      <c r="C949" s="2" t="s">
        <v>12</v>
      </c>
      <c r="D949" s="2" t="s">
        <v>12</v>
      </c>
      <c r="E949" s="2" t="s">
        <v>12</v>
      </c>
      <c r="F949" s="2" t="s">
        <v>12</v>
      </c>
      <c r="G949" s="2" t="s">
        <v>12</v>
      </c>
      <c r="H949" s="2" t="s">
        <v>12</v>
      </c>
      <c r="I949" s="2" t="s">
        <v>12</v>
      </c>
      <c r="J949" s="2" t="s">
        <v>12</v>
      </c>
      <c r="K949" s="2" t="s">
        <v>12</v>
      </c>
    </row>
    <row r="950" spans="1:11" ht="12.5" x14ac:dyDescent="0.25">
      <c r="A950" s="3" t="e">
        <f ca="1"/>
        <v>#NAME?</v>
      </c>
      <c r="B950" s="2" t="s">
        <v>12</v>
      </c>
      <c r="C950" s="2" t="s">
        <v>12</v>
      </c>
      <c r="D950" s="2" t="s">
        <v>12</v>
      </c>
      <c r="E950" s="2" t="s">
        <v>12</v>
      </c>
      <c r="F950" s="2" t="s">
        <v>12</v>
      </c>
      <c r="G950" s="2" t="s">
        <v>12</v>
      </c>
      <c r="H950" s="2" t="s">
        <v>12</v>
      </c>
      <c r="I950" s="2" t="s">
        <v>12</v>
      </c>
      <c r="J950" s="2" t="s">
        <v>12</v>
      </c>
      <c r="K950" s="2" t="s">
        <v>12</v>
      </c>
    </row>
    <row r="951" spans="1:11" ht="12.5" x14ac:dyDescent="0.25">
      <c r="A951" s="3" t="e">
        <f ca="1"/>
        <v>#NAME?</v>
      </c>
      <c r="B951" s="2" t="s">
        <v>12</v>
      </c>
      <c r="C951" s="2" t="s">
        <v>12</v>
      </c>
      <c r="D951" s="2" t="s">
        <v>12</v>
      </c>
      <c r="E951" s="2" t="s">
        <v>12</v>
      </c>
      <c r="F951" s="2" t="s">
        <v>12</v>
      </c>
      <c r="G951" s="2" t="s">
        <v>12</v>
      </c>
      <c r="H951" s="2" t="s">
        <v>12</v>
      </c>
      <c r="I951" s="2" t="s">
        <v>12</v>
      </c>
      <c r="J951" s="2" t="s">
        <v>12</v>
      </c>
      <c r="K951" s="2" t="s">
        <v>12</v>
      </c>
    </row>
    <row r="952" spans="1:11" ht="12.5" x14ac:dyDescent="0.25">
      <c r="A952" s="3" t="e">
        <f ca="1"/>
        <v>#NAME?</v>
      </c>
      <c r="B952" s="2" t="s">
        <v>12</v>
      </c>
      <c r="C952" s="2" t="s">
        <v>12</v>
      </c>
      <c r="D952" s="2" t="s">
        <v>12</v>
      </c>
      <c r="E952" s="2" t="s">
        <v>12</v>
      </c>
      <c r="F952" s="2" t="s">
        <v>12</v>
      </c>
      <c r="G952" s="2" t="s">
        <v>12</v>
      </c>
      <c r="H952" s="2" t="s">
        <v>12</v>
      </c>
      <c r="I952" s="2" t="s">
        <v>12</v>
      </c>
      <c r="J952" s="2" t="s">
        <v>12</v>
      </c>
      <c r="K952" s="2" t="s">
        <v>12</v>
      </c>
    </row>
    <row r="953" spans="1:11" ht="12.5" x14ac:dyDescent="0.25">
      <c r="A953" s="3" t="e">
        <f ca="1"/>
        <v>#NAME?</v>
      </c>
      <c r="B953" s="2" t="s">
        <v>12</v>
      </c>
      <c r="C953" s="2" t="s">
        <v>12</v>
      </c>
      <c r="D953" s="2" t="s">
        <v>12</v>
      </c>
      <c r="E953" s="2" t="s">
        <v>12</v>
      </c>
      <c r="F953" s="2" t="s">
        <v>12</v>
      </c>
      <c r="G953" s="2" t="s">
        <v>12</v>
      </c>
      <c r="H953" s="2" t="s">
        <v>12</v>
      </c>
      <c r="I953" s="2" t="s">
        <v>12</v>
      </c>
      <c r="J953" s="2" t="s">
        <v>12</v>
      </c>
      <c r="K953" s="2" t="s">
        <v>12</v>
      </c>
    </row>
    <row r="954" spans="1:11" ht="12.5" x14ac:dyDescent="0.25">
      <c r="A954" s="3" t="e">
        <f ca="1"/>
        <v>#NAME?</v>
      </c>
      <c r="B954" s="2" t="s">
        <v>12</v>
      </c>
      <c r="C954" s="2" t="s">
        <v>12</v>
      </c>
      <c r="D954" s="2" t="s">
        <v>12</v>
      </c>
      <c r="E954" s="2" t="s">
        <v>12</v>
      </c>
      <c r="F954" s="2" t="s">
        <v>12</v>
      </c>
      <c r="G954" s="2" t="s">
        <v>12</v>
      </c>
      <c r="H954" s="2" t="s">
        <v>12</v>
      </c>
      <c r="I954" s="2" t="s">
        <v>12</v>
      </c>
      <c r="J954" s="2" t="s">
        <v>12</v>
      </c>
      <c r="K954" s="2" t="s">
        <v>12</v>
      </c>
    </row>
    <row r="955" spans="1:11" ht="12.5" x14ac:dyDescent="0.25">
      <c r="A955" s="3" t="e">
        <f ca="1"/>
        <v>#NAME?</v>
      </c>
      <c r="B955" s="2" t="s">
        <v>12</v>
      </c>
      <c r="C955" s="2" t="s">
        <v>12</v>
      </c>
      <c r="D955" s="2" t="s">
        <v>12</v>
      </c>
      <c r="E955" s="2" t="s">
        <v>12</v>
      </c>
      <c r="F955" s="2" t="s">
        <v>12</v>
      </c>
      <c r="G955" s="2" t="s">
        <v>12</v>
      </c>
      <c r="H955" s="2" t="s">
        <v>12</v>
      </c>
      <c r="I955" s="2" t="s">
        <v>12</v>
      </c>
      <c r="J955" s="2" t="s">
        <v>12</v>
      </c>
      <c r="K955" s="2" t="s">
        <v>12</v>
      </c>
    </row>
    <row r="956" spans="1:11" ht="12.5" x14ac:dyDescent="0.25">
      <c r="A956" s="3" t="e">
        <f ca="1"/>
        <v>#NAME?</v>
      </c>
      <c r="B956" s="2" t="s">
        <v>12</v>
      </c>
      <c r="C956" s="2" t="s">
        <v>12</v>
      </c>
      <c r="D956" s="2" t="s">
        <v>12</v>
      </c>
      <c r="E956" s="2" t="s">
        <v>12</v>
      </c>
      <c r="F956" s="2" t="s">
        <v>12</v>
      </c>
      <c r="G956" s="2" t="s">
        <v>12</v>
      </c>
      <c r="H956" s="2" t="s">
        <v>12</v>
      </c>
      <c r="I956" s="2" t="s">
        <v>12</v>
      </c>
      <c r="J956" s="2" t="s">
        <v>12</v>
      </c>
      <c r="K956" s="2" t="s">
        <v>12</v>
      </c>
    </row>
    <row r="957" spans="1:11" ht="12.5" x14ac:dyDescent="0.25">
      <c r="A957" s="3" t="e">
        <f ca="1"/>
        <v>#NAME?</v>
      </c>
      <c r="B957" s="2" t="s">
        <v>12</v>
      </c>
      <c r="C957" s="2" t="s">
        <v>12</v>
      </c>
      <c r="D957" s="2" t="s">
        <v>12</v>
      </c>
      <c r="E957" s="2" t="s">
        <v>12</v>
      </c>
      <c r="F957" s="2" t="s">
        <v>12</v>
      </c>
      <c r="G957" s="2" t="s">
        <v>12</v>
      </c>
      <c r="H957" s="2" t="s">
        <v>12</v>
      </c>
      <c r="I957" s="2" t="s">
        <v>12</v>
      </c>
      <c r="J957" s="2" t="s">
        <v>12</v>
      </c>
      <c r="K957" s="2" t="s">
        <v>12</v>
      </c>
    </row>
    <row r="958" spans="1:11" ht="12.5" x14ac:dyDescent="0.25">
      <c r="A958" s="3" t="e">
        <f ca="1"/>
        <v>#NAME?</v>
      </c>
      <c r="B958" s="2" t="s">
        <v>12</v>
      </c>
      <c r="C958" s="2" t="s">
        <v>12</v>
      </c>
      <c r="D958" s="2" t="s">
        <v>12</v>
      </c>
      <c r="E958" s="2" t="s">
        <v>12</v>
      </c>
      <c r="F958" s="2" t="s">
        <v>12</v>
      </c>
      <c r="G958" s="2" t="s">
        <v>12</v>
      </c>
      <c r="H958" s="2" t="s">
        <v>12</v>
      </c>
      <c r="I958" s="2" t="s">
        <v>12</v>
      </c>
      <c r="J958" s="2" t="s">
        <v>12</v>
      </c>
      <c r="K958" s="2" t="s">
        <v>12</v>
      </c>
    </row>
    <row r="959" spans="1:11" ht="12.5" x14ac:dyDescent="0.25">
      <c r="A959" s="3" t="e">
        <f ca="1"/>
        <v>#NAME?</v>
      </c>
      <c r="B959" s="2" t="s">
        <v>12</v>
      </c>
      <c r="C959" s="2" t="s">
        <v>12</v>
      </c>
      <c r="D959" s="2" t="s">
        <v>12</v>
      </c>
      <c r="E959" s="2" t="s">
        <v>12</v>
      </c>
      <c r="F959" s="2" t="s">
        <v>12</v>
      </c>
      <c r="G959" s="2" t="s">
        <v>12</v>
      </c>
      <c r="H959" s="2" t="s">
        <v>12</v>
      </c>
      <c r="I959" s="2" t="s">
        <v>12</v>
      </c>
      <c r="J959" s="2" t="s">
        <v>12</v>
      </c>
      <c r="K959" s="2" t="s">
        <v>12</v>
      </c>
    </row>
    <row r="960" spans="1:11" ht="12.5" x14ac:dyDescent="0.25">
      <c r="A960" s="3" t="e">
        <f ca="1"/>
        <v>#NAME?</v>
      </c>
      <c r="B960" s="2" t="s">
        <v>12</v>
      </c>
      <c r="C960" s="2" t="s">
        <v>12</v>
      </c>
      <c r="D960" s="2" t="s">
        <v>12</v>
      </c>
      <c r="E960" s="2" t="s">
        <v>12</v>
      </c>
      <c r="F960" s="2" t="s">
        <v>12</v>
      </c>
      <c r="G960" s="2" t="s">
        <v>12</v>
      </c>
      <c r="H960" s="2" t="s">
        <v>12</v>
      </c>
      <c r="I960" s="2" t="s">
        <v>12</v>
      </c>
      <c r="J960" s="2" t="s">
        <v>12</v>
      </c>
      <c r="K960" s="2" t="s">
        <v>12</v>
      </c>
    </row>
    <row r="961" spans="1:11" ht="12.5" x14ac:dyDescent="0.25">
      <c r="A961" s="3" t="e">
        <f ca="1"/>
        <v>#NAME?</v>
      </c>
      <c r="B961" s="2" t="s">
        <v>12</v>
      </c>
      <c r="C961" s="2" t="s">
        <v>12</v>
      </c>
      <c r="D961" s="2" t="s">
        <v>12</v>
      </c>
      <c r="E961" s="2" t="s">
        <v>12</v>
      </c>
      <c r="F961" s="2" t="s">
        <v>12</v>
      </c>
      <c r="G961" s="2" t="s">
        <v>12</v>
      </c>
      <c r="H961" s="2" t="s">
        <v>12</v>
      </c>
      <c r="I961" s="2" t="s">
        <v>12</v>
      </c>
      <c r="J961" s="2" t="s">
        <v>12</v>
      </c>
      <c r="K961" s="2" t="s">
        <v>12</v>
      </c>
    </row>
    <row r="962" spans="1:11" ht="12.5" x14ac:dyDescent="0.25">
      <c r="A962" s="3" t="e">
        <f ca="1"/>
        <v>#NAME?</v>
      </c>
      <c r="B962" s="2" t="s">
        <v>12</v>
      </c>
      <c r="C962" s="2" t="s">
        <v>12</v>
      </c>
      <c r="D962" s="2" t="s">
        <v>12</v>
      </c>
      <c r="E962" s="2" t="s">
        <v>12</v>
      </c>
      <c r="F962" s="2" t="s">
        <v>12</v>
      </c>
      <c r="G962" s="2" t="s">
        <v>12</v>
      </c>
      <c r="H962" s="2" t="s">
        <v>12</v>
      </c>
      <c r="I962" s="2" t="s">
        <v>12</v>
      </c>
      <c r="J962" s="2" t="s">
        <v>12</v>
      </c>
      <c r="K962" s="2" t="s">
        <v>12</v>
      </c>
    </row>
    <row r="963" spans="1:11" ht="12.5" x14ac:dyDescent="0.25">
      <c r="A963" s="3" t="e">
        <f ca="1"/>
        <v>#NAME?</v>
      </c>
      <c r="B963" s="2" t="s">
        <v>12</v>
      </c>
      <c r="C963" s="2" t="s">
        <v>12</v>
      </c>
      <c r="D963" s="2" t="s">
        <v>12</v>
      </c>
      <c r="E963" s="2" t="s">
        <v>12</v>
      </c>
      <c r="F963" s="2" t="s">
        <v>12</v>
      </c>
      <c r="G963" s="2" t="s">
        <v>12</v>
      </c>
      <c r="H963" s="2" t="s">
        <v>12</v>
      </c>
      <c r="I963" s="2" t="s">
        <v>12</v>
      </c>
      <c r="J963" s="2" t="s">
        <v>12</v>
      </c>
      <c r="K963" s="2" t="s">
        <v>12</v>
      </c>
    </row>
    <row r="964" spans="1:11" ht="12.5" x14ac:dyDescent="0.25">
      <c r="A964" s="3" t="e">
        <f ca="1"/>
        <v>#NAME?</v>
      </c>
      <c r="B964" s="2" t="s">
        <v>12</v>
      </c>
      <c r="C964" s="2" t="s">
        <v>12</v>
      </c>
      <c r="D964" s="2" t="s">
        <v>12</v>
      </c>
      <c r="E964" s="2" t="s">
        <v>12</v>
      </c>
      <c r="F964" s="2" t="s">
        <v>12</v>
      </c>
      <c r="G964" s="2" t="s">
        <v>12</v>
      </c>
      <c r="H964" s="2" t="s">
        <v>12</v>
      </c>
      <c r="I964" s="2" t="s">
        <v>12</v>
      </c>
      <c r="J964" s="2" t="s">
        <v>12</v>
      </c>
      <c r="K964" s="2" t="s">
        <v>12</v>
      </c>
    </row>
    <row r="965" spans="1:11" ht="12.5" x14ac:dyDescent="0.25">
      <c r="A965" s="3" t="e">
        <f ca="1"/>
        <v>#NAME?</v>
      </c>
      <c r="B965" s="2" t="s">
        <v>12</v>
      </c>
      <c r="C965" s="2" t="s">
        <v>12</v>
      </c>
      <c r="D965" s="2" t="s">
        <v>12</v>
      </c>
      <c r="E965" s="2" t="s">
        <v>12</v>
      </c>
      <c r="F965" s="2" t="s">
        <v>12</v>
      </c>
      <c r="G965" s="2" t="s">
        <v>12</v>
      </c>
      <c r="H965" s="2" t="s">
        <v>12</v>
      </c>
      <c r="I965" s="2" t="s">
        <v>12</v>
      </c>
      <c r="J965" s="2" t="s">
        <v>12</v>
      </c>
      <c r="K965" s="2" t="s">
        <v>12</v>
      </c>
    </row>
    <row r="966" spans="1:11" ht="12.5" x14ac:dyDescent="0.25">
      <c r="A966" s="3" t="e">
        <f ca="1"/>
        <v>#NAME?</v>
      </c>
      <c r="B966" s="2" t="s">
        <v>12</v>
      </c>
      <c r="C966" s="2" t="s">
        <v>12</v>
      </c>
      <c r="D966" s="2" t="s">
        <v>12</v>
      </c>
      <c r="E966" s="2" t="s">
        <v>12</v>
      </c>
      <c r="F966" s="2" t="s">
        <v>12</v>
      </c>
      <c r="G966" s="2" t="s">
        <v>12</v>
      </c>
      <c r="H966" s="2" t="s">
        <v>12</v>
      </c>
      <c r="I966" s="2" t="s">
        <v>12</v>
      </c>
      <c r="J966" s="2" t="s">
        <v>12</v>
      </c>
      <c r="K966" s="2" t="s">
        <v>12</v>
      </c>
    </row>
    <row r="967" spans="1:11" ht="12.5" x14ac:dyDescent="0.25">
      <c r="A967" s="3" t="e">
        <f ca="1"/>
        <v>#NAME?</v>
      </c>
      <c r="B967" s="2" t="s">
        <v>12</v>
      </c>
      <c r="C967" s="2" t="s">
        <v>12</v>
      </c>
      <c r="D967" s="2" t="s">
        <v>12</v>
      </c>
      <c r="E967" s="2" t="s">
        <v>12</v>
      </c>
      <c r="F967" s="2" t="s">
        <v>12</v>
      </c>
      <c r="G967" s="2" t="s">
        <v>12</v>
      </c>
      <c r="H967" s="2" t="s">
        <v>12</v>
      </c>
      <c r="I967" s="2" t="s">
        <v>12</v>
      </c>
      <c r="J967" s="2" t="s">
        <v>12</v>
      </c>
      <c r="K967" s="2" t="s">
        <v>12</v>
      </c>
    </row>
    <row r="968" spans="1:11" ht="12.5" x14ac:dyDescent="0.25">
      <c r="A968" s="3" t="e">
        <f ca="1"/>
        <v>#NAME?</v>
      </c>
      <c r="B968" s="2" t="s">
        <v>12</v>
      </c>
      <c r="C968" s="2" t="s">
        <v>12</v>
      </c>
      <c r="D968" s="2" t="s">
        <v>12</v>
      </c>
      <c r="E968" s="2" t="s">
        <v>12</v>
      </c>
      <c r="F968" s="2" t="s">
        <v>12</v>
      </c>
      <c r="G968" s="2" t="s">
        <v>12</v>
      </c>
      <c r="H968" s="2" t="s">
        <v>12</v>
      </c>
      <c r="I968" s="2" t="s">
        <v>12</v>
      </c>
      <c r="J968" s="2" t="s">
        <v>12</v>
      </c>
      <c r="K968" s="2" t="s">
        <v>12</v>
      </c>
    </row>
    <row r="969" spans="1:11" ht="12.5" x14ac:dyDescent="0.25">
      <c r="A969" s="3" t="e">
        <f ca="1"/>
        <v>#NAME?</v>
      </c>
      <c r="B969" s="2" t="s">
        <v>12</v>
      </c>
      <c r="C969" s="2" t="s">
        <v>12</v>
      </c>
      <c r="D969" s="2" t="s">
        <v>12</v>
      </c>
      <c r="E969" s="2" t="s">
        <v>12</v>
      </c>
      <c r="F969" s="2" t="s">
        <v>12</v>
      </c>
      <c r="G969" s="2" t="s">
        <v>12</v>
      </c>
      <c r="H969" s="2" t="s">
        <v>12</v>
      </c>
      <c r="I969" s="2" t="s">
        <v>12</v>
      </c>
      <c r="J969" s="2" t="s">
        <v>12</v>
      </c>
      <c r="K969" s="2" t="s">
        <v>12</v>
      </c>
    </row>
    <row r="970" spans="1:11" ht="12.5" x14ac:dyDescent="0.25">
      <c r="A970" s="3" t="e">
        <f ca="1"/>
        <v>#NAME?</v>
      </c>
      <c r="B970" s="2" t="s">
        <v>12</v>
      </c>
      <c r="C970" s="2" t="s">
        <v>12</v>
      </c>
      <c r="D970" s="2" t="s">
        <v>12</v>
      </c>
      <c r="E970" s="2" t="s">
        <v>12</v>
      </c>
      <c r="F970" s="2" t="s">
        <v>12</v>
      </c>
      <c r="G970" s="2" t="s">
        <v>12</v>
      </c>
      <c r="H970" s="2" t="s">
        <v>12</v>
      </c>
      <c r="I970" s="2" t="s">
        <v>12</v>
      </c>
      <c r="J970" s="2" t="s">
        <v>12</v>
      </c>
      <c r="K970" s="2" t="s">
        <v>12</v>
      </c>
    </row>
    <row r="971" spans="1:11" ht="12.5" x14ac:dyDescent="0.25">
      <c r="A971" s="3" t="e">
        <f ca="1"/>
        <v>#NAME?</v>
      </c>
      <c r="B971" s="2" t="s">
        <v>12</v>
      </c>
      <c r="C971" s="2" t="s">
        <v>12</v>
      </c>
      <c r="D971" s="2" t="s">
        <v>12</v>
      </c>
      <c r="E971" s="2" t="s">
        <v>12</v>
      </c>
      <c r="F971" s="2" t="s">
        <v>12</v>
      </c>
      <c r="G971" s="2" t="s">
        <v>12</v>
      </c>
      <c r="H971" s="2" t="s">
        <v>12</v>
      </c>
      <c r="I971" s="2" t="s">
        <v>12</v>
      </c>
      <c r="J971" s="2" t="s">
        <v>12</v>
      </c>
      <c r="K971" s="2" t="s">
        <v>12</v>
      </c>
    </row>
    <row r="972" spans="1:11" ht="12.5" x14ac:dyDescent="0.25">
      <c r="A972" s="3" t="e">
        <f ca="1"/>
        <v>#NAME?</v>
      </c>
      <c r="B972" s="2" t="s">
        <v>12</v>
      </c>
      <c r="C972" s="2" t="s">
        <v>12</v>
      </c>
      <c r="D972" s="2" t="s">
        <v>12</v>
      </c>
      <c r="E972" s="2" t="s">
        <v>12</v>
      </c>
      <c r="F972" s="2" t="s">
        <v>12</v>
      </c>
      <c r="G972" s="2" t="s">
        <v>12</v>
      </c>
      <c r="H972" s="2" t="s">
        <v>12</v>
      </c>
      <c r="I972" s="2" t="s">
        <v>12</v>
      </c>
      <c r="J972" s="2" t="s">
        <v>12</v>
      </c>
      <c r="K972" s="2" t="s">
        <v>12</v>
      </c>
    </row>
    <row r="973" spans="1:11" ht="12.5" x14ac:dyDescent="0.25">
      <c r="A973" s="3" t="e">
        <f ca="1"/>
        <v>#NAME?</v>
      </c>
      <c r="B973" s="2" t="s">
        <v>12</v>
      </c>
      <c r="C973" s="2" t="s">
        <v>12</v>
      </c>
      <c r="D973" s="2" t="s">
        <v>12</v>
      </c>
      <c r="E973" s="2" t="s">
        <v>12</v>
      </c>
      <c r="F973" s="2" t="s">
        <v>12</v>
      </c>
      <c r="G973" s="2" t="s">
        <v>12</v>
      </c>
      <c r="H973" s="2" t="s">
        <v>12</v>
      </c>
      <c r="I973" s="2" t="s">
        <v>12</v>
      </c>
      <c r="J973" s="2" t="s">
        <v>12</v>
      </c>
      <c r="K973" s="2" t="s">
        <v>12</v>
      </c>
    </row>
    <row r="974" spans="1:11" ht="12.5" x14ac:dyDescent="0.25">
      <c r="A974" s="3" t="e">
        <f ca="1"/>
        <v>#NAME?</v>
      </c>
      <c r="B974" s="2" t="s">
        <v>12</v>
      </c>
      <c r="C974" s="2" t="s">
        <v>12</v>
      </c>
      <c r="D974" s="2" t="s">
        <v>12</v>
      </c>
      <c r="E974" s="2" t="s">
        <v>12</v>
      </c>
      <c r="F974" s="2" t="s">
        <v>12</v>
      </c>
      <c r="G974" s="2" t="s">
        <v>12</v>
      </c>
      <c r="H974" s="2" t="s">
        <v>12</v>
      </c>
      <c r="I974" s="2" t="s">
        <v>12</v>
      </c>
      <c r="J974" s="2" t="s">
        <v>12</v>
      </c>
      <c r="K974" s="2" t="s">
        <v>12</v>
      </c>
    </row>
    <row r="975" spans="1:11" ht="12.5" x14ac:dyDescent="0.25">
      <c r="A975" s="3" t="e">
        <f ca="1"/>
        <v>#NAME?</v>
      </c>
      <c r="B975" s="2" t="s">
        <v>12</v>
      </c>
      <c r="C975" s="2" t="s">
        <v>12</v>
      </c>
      <c r="D975" s="2" t="s">
        <v>12</v>
      </c>
      <c r="E975" s="2" t="s">
        <v>12</v>
      </c>
      <c r="F975" s="2" t="s">
        <v>12</v>
      </c>
      <c r="G975" s="2" t="s">
        <v>12</v>
      </c>
      <c r="H975" s="2" t="s">
        <v>12</v>
      </c>
      <c r="I975" s="2" t="s">
        <v>12</v>
      </c>
      <c r="J975" s="2" t="s">
        <v>12</v>
      </c>
      <c r="K975" s="2" t="s">
        <v>12</v>
      </c>
    </row>
    <row r="976" spans="1:11" ht="12.5" x14ac:dyDescent="0.25">
      <c r="A976" s="3" t="e">
        <f ca="1"/>
        <v>#NAME?</v>
      </c>
      <c r="B976" s="2" t="s">
        <v>12</v>
      </c>
      <c r="C976" s="2" t="s">
        <v>12</v>
      </c>
      <c r="D976" s="2" t="s">
        <v>12</v>
      </c>
      <c r="E976" s="2" t="s">
        <v>12</v>
      </c>
      <c r="F976" s="2" t="s">
        <v>12</v>
      </c>
      <c r="G976" s="2" t="s">
        <v>12</v>
      </c>
      <c r="H976" s="2" t="s">
        <v>12</v>
      </c>
      <c r="I976" s="2" t="s">
        <v>12</v>
      </c>
      <c r="J976" s="2" t="s">
        <v>12</v>
      </c>
      <c r="K976" s="2" t="s">
        <v>12</v>
      </c>
    </row>
    <row r="977" spans="1:11" ht="12.5" x14ac:dyDescent="0.25">
      <c r="A977" s="3" t="e">
        <f ca="1"/>
        <v>#NAME?</v>
      </c>
      <c r="B977" s="2" t="s">
        <v>12</v>
      </c>
      <c r="C977" s="2" t="s">
        <v>12</v>
      </c>
      <c r="D977" s="2" t="s">
        <v>12</v>
      </c>
      <c r="E977" s="2" t="s">
        <v>12</v>
      </c>
      <c r="F977" s="2" t="s">
        <v>12</v>
      </c>
      <c r="G977" s="2" t="s">
        <v>12</v>
      </c>
      <c r="H977" s="2" t="s">
        <v>12</v>
      </c>
      <c r="I977" s="2" t="s">
        <v>12</v>
      </c>
      <c r="J977" s="2" t="s">
        <v>12</v>
      </c>
      <c r="K977" s="2" t="s">
        <v>12</v>
      </c>
    </row>
    <row r="978" spans="1:11" ht="12.5" x14ac:dyDescent="0.25">
      <c r="A978" s="3" t="e">
        <f ca="1"/>
        <v>#NAME?</v>
      </c>
      <c r="B978" s="2" t="s">
        <v>12</v>
      </c>
      <c r="C978" s="2" t="s">
        <v>12</v>
      </c>
      <c r="D978" s="2" t="s">
        <v>12</v>
      </c>
      <c r="E978" s="2" t="s">
        <v>12</v>
      </c>
      <c r="F978" s="2" t="s">
        <v>12</v>
      </c>
      <c r="G978" s="2" t="s">
        <v>12</v>
      </c>
      <c r="H978" s="2" t="s">
        <v>12</v>
      </c>
      <c r="I978" s="2" t="s">
        <v>12</v>
      </c>
      <c r="J978" s="2" t="s">
        <v>12</v>
      </c>
      <c r="K978" s="2" t="s">
        <v>12</v>
      </c>
    </row>
    <row r="979" spans="1:11" ht="12.5" x14ac:dyDescent="0.25">
      <c r="A979" s="3" t="e">
        <f ca="1"/>
        <v>#NAME?</v>
      </c>
      <c r="B979" s="2" t="s">
        <v>12</v>
      </c>
      <c r="C979" s="2" t="s">
        <v>12</v>
      </c>
      <c r="D979" s="2" t="s">
        <v>12</v>
      </c>
      <c r="E979" s="2" t="s">
        <v>12</v>
      </c>
      <c r="F979" s="2" t="s">
        <v>12</v>
      </c>
      <c r="G979" s="2" t="s">
        <v>12</v>
      </c>
      <c r="H979" s="2" t="s">
        <v>12</v>
      </c>
      <c r="I979" s="2" t="s">
        <v>12</v>
      </c>
      <c r="J979" s="2" t="s">
        <v>12</v>
      </c>
      <c r="K979" s="2" t="s">
        <v>12</v>
      </c>
    </row>
    <row r="980" spans="1:11" ht="12.5" x14ac:dyDescent="0.25">
      <c r="A980" s="3" t="e">
        <f ca="1"/>
        <v>#NAME?</v>
      </c>
      <c r="B980" s="2" t="s">
        <v>12</v>
      </c>
      <c r="C980" s="2" t="s">
        <v>12</v>
      </c>
      <c r="D980" s="2" t="s">
        <v>12</v>
      </c>
      <c r="E980" s="2" t="s">
        <v>12</v>
      </c>
      <c r="F980" s="2" t="s">
        <v>12</v>
      </c>
      <c r="G980" s="2" t="s">
        <v>12</v>
      </c>
      <c r="H980" s="2" t="s">
        <v>12</v>
      </c>
      <c r="I980" s="2" t="s">
        <v>12</v>
      </c>
      <c r="J980" s="2" t="s">
        <v>12</v>
      </c>
      <c r="K980" s="2" t="s">
        <v>12</v>
      </c>
    </row>
    <row r="981" spans="1:11" ht="12.5" x14ac:dyDescent="0.25">
      <c r="A981" s="3" t="e">
        <f ca="1"/>
        <v>#NAME?</v>
      </c>
      <c r="B981" s="2" t="s">
        <v>12</v>
      </c>
      <c r="C981" s="2" t="s">
        <v>12</v>
      </c>
      <c r="D981" s="2" t="s">
        <v>12</v>
      </c>
      <c r="E981" s="2" t="s">
        <v>12</v>
      </c>
      <c r="F981" s="2" t="s">
        <v>12</v>
      </c>
      <c r="G981" s="2" t="s">
        <v>12</v>
      </c>
      <c r="H981" s="2" t="s">
        <v>12</v>
      </c>
      <c r="I981" s="2" t="s">
        <v>12</v>
      </c>
      <c r="J981" s="2" t="s">
        <v>12</v>
      </c>
      <c r="K981" s="2" t="s">
        <v>12</v>
      </c>
    </row>
    <row r="982" spans="1:11" ht="12.5" x14ac:dyDescent="0.25">
      <c r="A982" s="3" t="e">
        <f ca="1"/>
        <v>#NAME?</v>
      </c>
      <c r="B982" s="2" t="s">
        <v>12</v>
      </c>
      <c r="C982" s="2" t="s">
        <v>12</v>
      </c>
      <c r="D982" s="2" t="s">
        <v>12</v>
      </c>
      <c r="E982" s="2" t="s">
        <v>12</v>
      </c>
      <c r="F982" s="2" t="s">
        <v>12</v>
      </c>
      <c r="G982" s="2" t="s">
        <v>12</v>
      </c>
      <c r="H982" s="2" t="s">
        <v>12</v>
      </c>
      <c r="I982" s="2" t="s">
        <v>12</v>
      </c>
      <c r="J982" s="2" t="s">
        <v>12</v>
      </c>
      <c r="K982" s="2" t="s">
        <v>12</v>
      </c>
    </row>
    <row r="983" spans="1:11" ht="12.5" x14ac:dyDescent="0.25">
      <c r="A983" s="3" t="e">
        <f ca="1"/>
        <v>#NAME?</v>
      </c>
      <c r="B983" s="2" t="s">
        <v>12</v>
      </c>
      <c r="C983" s="2" t="s">
        <v>12</v>
      </c>
      <c r="D983" s="2" t="s">
        <v>12</v>
      </c>
      <c r="E983" s="2" t="s">
        <v>12</v>
      </c>
      <c r="F983" s="2" t="s">
        <v>12</v>
      </c>
      <c r="G983" s="2" t="s">
        <v>12</v>
      </c>
      <c r="H983" s="2" t="s">
        <v>12</v>
      </c>
      <c r="I983" s="2" t="s">
        <v>12</v>
      </c>
      <c r="J983" s="2" t="s">
        <v>12</v>
      </c>
      <c r="K983" s="2" t="s">
        <v>12</v>
      </c>
    </row>
    <row r="984" spans="1:11" ht="12.5" x14ac:dyDescent="0.25">
      <c r="A984" s="3" t="e">
        <f ca="1"/>
        <v>#NAME?</v>
      </c>
      <c r="B984" s="2" t="s">
        <v>12</v>
      </c>
      <c r="C984" s="2" t="s">
        <v>12</v>
      </c>
      <c r="D984" s="2" t="s">
        <v>12</v>
      </c>
      <c r="E984" s="2" t="s">
        <v>12</v>
      </c>
      <c r="F984" s="2" t="s">
        <v>12</v>
      </c>
      <c r="G984" s="2" t="s">
        <v>12</v>
      </c>
      <c r="H984" s="2" t="s">
        <v>12</v>
      </c>
      <c r="I984" s="2" t="s">
        <v>12</v>
      </c>
      <c r="J984" s="2" t="s">
        <v>12</v>
      </c>
      <c r="K984" s="2" t="s">
        <v>12</v>
      </c>
    </row>
    <row r="985" spans="1:11" ht="12.5" x14ac:dyDescent="0.25">
      <c r="A985" s="3" t="e">
        <f ca="1"/>
        <v>#NAME?</v>
      </c>
      <c r="B985" s="2" t="s">
        <v>12</v>
      </c>
      <c r="C985" s="2" t="s">
        <v>12</v>
      </c>
      <c r="D985" s="2" t="s">
        <v>12</v>
      </c>
      <c r="E985" s="2" t="s">
        <v>12</v>
      </c>
      <c r="F985" s="2" t="s">
        <v>12</v>
      </c>
      <c r="G985" s="2" t="s">
        <v>12</v>
      </c>
      <c r="H985" s="2" t="s">
        <v>12</v>
      </c>
      <c r="I985" s="2" t="s">
        <v>12</v>
      </c>
      <c r="J985" s="2" t="s">
        <v>12</v>
      </c>
      <c r="K985" s="2" t="s">
        <v>12</v>
      </c>
    </row>
    <row r="986" spans="1:11" ht="12.5" x14ac:dyDescent="0.25">
      <c r="A986" s="3" t="e">
        <f ca="1"/>
        <v>#NAME?</v>
      </c>
      <c r="B986" s="2" t="s">
        <v>12</v>
      </c>
      <c r="C986" s="2" t="s">
        <v>12</v>
      </c>
      <c r="D986" s="2" t="s">
        <v>12</v>
      </c>
      <c r="E986" s="2" t="s">
        <v>12</v>
      </c>
      <c r="F986" s="2" t="s">
        <v>12</v>
      </c>
      <c r="G986" s="2" t="s">
        <v>12</v>
      </c>
      <c r="H986" s="2" t="s">
        <v>12</v>
      </c>
      <c r="I986" s="2" t="s">
        <v>12</v>
      </c>
      <c r="J986" s="2" t="s">
        <v>12</v>
      </c>
      <c r="K986" s="2" t="s">
        <v>12</v>
      </c>
    </row>
    <row r="987" spans="1:11" ht="12.5" x14ac:dyDescent="0.25">
      <c r="A987" s="3" t="e">
        <f ca="1"/>
        <v>#NAME?</v>
      </c>
      <c r="B987" s="2" t="s">
        <v>12</v>
      </c>
      <c r="C987" s="2" t="s">
        <v>12</v>
      </c>
      <c r="D987" s="2" t="s">
        <v>12</v>
      </c>
      <c r="E987" s="2" t="s">
        <v>12</v>
      </c>
      <c r="F987" s="2" t="s">
        <v>12</v>
      </c>
      <c r="G987" s="2" t="s">
        <v>12</v>
      </c>
      <c r="H987" s="2" t="s">
        <v>12</v>
      </c>
      <c r="I987" s="2" t="s">
        <v>12</v>
      </c>
      <c r="J987" s="2" t="s">
        <v>12</v>
      </c>
      <c r="K987" s="2" t="s">
        <v>12</v>
      </c>
    </row>
    <row r="988" spans="1:11" ht="12.5" x14ac:dyDescent="0.25">
      <c r="A988" s="3" t="e">
        <f ca="1"/>
        <v>#NAME?</v>
      </c>
      <c r="B988" s="2" t="s">
        <v>12</v>
      </c>
      <c r="C988" s="2" t="s">
        <v>12</v>
      </c>
      <c r="D988" s="2" t="s">
        <v>12</v>
      </c>
      <c r="E988" s="2" t="s">
        <v>12</v>
      </c>
      <c r="F988" s="2" t="s">
        <v>12</v>
      </c>
      <c r="G988" s="2" t="s">
        <v>12</v>
      </c>
      <c r="H988" s="2" t="s">
        <v>12</v>
      </c>
      <c r="I988" s="2" t="s">
        <v>12</v>
      </c>
      <c r="J988" s="2" t="s">
        <v>12</v>
      </c>
      <c r="K988" s="2" t="s">
        <v>12</v>
      </c>
    </row>
    <row r="989" spans="1:11" ht="12.5" x14ac:dyDescent="0.25">
      <c r="A989" s="3" t="e">
        <f ca="1"/>
        <v>#NAME?</v>
      </c>
      <c r="B989" s="2" t="s">
        <v>12</v>
      </c>
      <c r="C989" s="2" t="s">
        <v>12</v>
      </c>
      <c r="D989" s="2" t="s">
        <v>12</v>
      </c>
      <c r="E989" s="2" t="s">
        <v>12</v>
      </c>
      <c r="F989" s="2" t="s">
        <v>12</v>
      </c>
      <c r="G989" s="2" t="s">
        <v>12</v>
      </c>
      <c r="H989" s="2" t="s">
        <v>12</v>
      </c>
      <c r="I989" s="2" t="s">
        <v>12</v>
      </c>
      <c r="J989" s="2" t="s">
        <v>12</v>
      </c>
      <c r="K989" s="2" t="s">
        <v>12</v>
      </c>
    </row>
    <row r="990" spans="1:11" ht="12.5" x14ac:dyDescent="0.25">
      <c r="A990" s="3" t="e">
        <f ca="1"/>
        <v>#NAME?</v>
      </c>
      <c r="B990" s="2" t="s">
        <v>12</v>
      </c>
      <c r="C990" s="2" t="s">
        <v>12</v>
      </c>
      <c r="D990" s="2" t="s">
        <v>12</v>
      </c>
      <c r="E990" s="2" t="s">
        <v>12</v>
      </c>
      <c r="F990" s="2" t="s">
        <v>12</v>
      </c>
      <c r="G990" s="2" t="s">
        <v>12</v>
      </c>
      <c r="H990" s="2" t="s">
        <v>12</v>
      </c>
      <c r="I990" s="2" t="s">
        <v>12</v>
      </c>
      <c r="J990" s="2" t="s">
        <v>12</v>
      </c>
      <c r="K990" s="2" t="s">
        <v>12</v>
      </c>
    </row>
    <row r="991" spans="1:11" ht="12.5" x14ac:dyDescent="0.25">
      <c r="A991" s="3" t="e">
        <f ca="1"/>
        <v>#NAME?</v>
      </c>
      <c r="B991" s="2" t="s">
        <v>12</v>
      </c>
      <c r="C991" s="2" t="s">
        <v>12</v>
      </c>
      <c r="D991" s="2" t="s">
        <v>12</v>
      </c>
      <c r="E991" s="2" t="s">
        <v>12</v>
      </c>
      <c r="F991" s="2" t="s">
        <v>12</v>
      </c>
      <c r="G991" s="2" t="s">
        <v>12</v>
      </c>
      <c r="H991" s="2" t="s">
        <v>12</v>
      </c>
      <c r="I991" s="2" t="s">
        <v>12</v>
      </c>
      <c r="J991" s="2" t="s">
        <v>12</v>
      </c>
      <c r="K991" s="2" t="s">
        <v>12</v>
      </c>
    </row>
    <row r="992" spans="1:11" ht="12.5" x14ac:dyDescent="0.25">
      <c r="A992" s="3" t="e">
        <f ca="1"/>
        <v>#NAME?</v>
      </c>
      <c r="B992" s="2" t="s">
        <v>12</v>
      </c>
      <c r="C992" s="2" t="s">
        <v>12</v>
      </c>
      <c r="D992" s="2" t="s">
        <v>12</v>
      </c>
      <c r="E992" s="2" t="s">
        <v>12</v>
      </c>
      <c r="F992" s="2" t="s">
        <v>12</v>
      </c>
      <c r="G992" s="2" t="s">
        <v>12</v>
      </c>
      <c r="H992" s="2" t="s">
        <v>12</v>
      </c>
      <c r="I992" s="2" t="s">
        <v>12</v>
      </c>
      <c r="J992" s="2" t="s">
        <v>12</v>
      </c>
      <c r="K992" s="2" t="s">
        <v>12</v>
      </c>
    </row>
    <row r="993" spans="1:11" ht="12.5" x14ac:dyDescent="0.25">
      <c r="A993" s="3" t="e">
        <f ca="1"/>
        <v>#NAME?</v>
      </c>
      <c r="B993" s="2" t="s">
        <v>12</v>
      </c>
      <c r="C993" s="2" t="s">
        <v>12</v>
      </c>
      <c r="D993" s="2" t="s">
        <v>12</v>
      </c>
      <c r="E993" s="2" t="s">
        <v>12</v>
      </c>
      <c r="F993" s="2" t="s">
        <v>12</v>
      </c>
      <c r="G993" s="2" t="s">
        <v>12</v>
      </c>
      <c r="H993" s="2" t="s">
        <v>12</v>
      </c>
      <c r="I993" s="2" t="s">
        <v>12</v>
      </c>
      <c r="J993" s="2" t="s">
        <v>12</v>
      </c>
      <c r="K993" s="2" t="s">
        <v>12</v>
      </c>
    </row>
    <row r="994" spans="1:11" ht="12.5" x14ac:dyDescent="0.25">
      <c r="A994" s="3" t="e">
        <f ca="1"/>
        <v>#NAME?</v>
      </c>
      <c r="B994" s="2" t="s">
        <v>12</v>
      </c>
      <c r="C994" s="2" t="s">
        <v>12</v>
      </c>
      <c r="D994" s="2" t="s">
        <v>12</v>
      </c>
      <c r="E994" s="2" t="s">
        <v>12</v>
      </c>
      <c r="F994" s="2" t="s">
        <v>12</v>
      </c>
      <c r="G994" s="2" t="s">
        <v>12</v>
      </c>
      <c r="H994" s="2" t="s">
        <v>12</v>
      </c>
      <c r="I994" s="2" t="s">
        <v>12</v>
      </c>
      <c r="J994" s="2" t="s">
        <v>12</v>
      </c>
      <c r="K994" s="2" t="s">
        <v>12</v>
      </c>
    </row>
    <row r="995" spans="1:11" ht="12.5" x14ac:dyDescent="0.25">
      <c r="A995" s="3" t="e">
        <f ca="1"/>
        <v>#NAME?</v>
      </c>
      <c r="B995" s="2" t="s">
        <v>12</v>
      </c>
      <c r="C995" s="2" t="s">
        <v>12</v>
      </c>
      <c r="D995" s="2" t="s">
        <v>12</v>
      </c>
      <c r="E995" s="2" t="s">
        <v>12</v>
      </c>
      <c r="F995" s="2" t="s">
        <v>12</v>
      </c>
      <c r="G995" s="2" t="s">
        <v>12</v>
      </c>
      <c r="H995" s="2" t="s">
        <v>12</v>
      </c>
      <c r="I995" s="2" t="s">
        <v>12</v>
      </c>
      <c r="J995" s="2" t="s">
        <v>12</v>
      </c>
      <c r="K995" s="2" t="s">
        <v>12</v>
      </c>
    </row>
    <row r="996" spans="1:11" ht="12.5" x14ac:dyDescent="0.25">
      <c r="A996" s="3" t="e">
        <f ca="1"/>
        <v>#NAME?</v>
      </c>
      <c r="B996" s="2" t="s">
        <v>12</v>
      </c>
      <c r="C996" s="2" t="s">
        <v>12</v>
      </c>
      <c r="D996" s="2" t="s">
        <v>12</v>
      </c>
      <c r="E996" s="2" t="s">
        <v>12</v>
      </c>
      <c r="F996" s="2" t="s">
        <v>12</v>
      </c>
      <c r="G996" s="2" t="s">
        <v>12</v>
      </c>
      <c r="H996" s="2" t="s">
        <v>12</v>
      </c>
      <c r="I996" s="2" t="s">
        <v>12</v>
      </c>
      <c r="J996" s="2" t="s">
        <v>12</v>
      </c>
      <c r="K996" s="2" t="s">
        <v>12</v>
      </c>
    </row>
    <row r="997" spans="1:11" ht="12.5" x14ac:dyDescent="0.25">
      <c r="A997" s="3" t="e">
        <f ca="1"/>
        <v>#NAME?</v>
      </c>
      <c r="B997" s="2" t="s">
        <v>12</v>
      </c>
      <c r="C997" s="2" t="s">
        <v>12</v>
      </c>
      <c r="D997" s="2" t="s">
        <v>12</v>
      </c>
      <c r="E997" s="2" t="s">
        <v>12</v>
      </c>
      <c r="F997" s="2" t="s">
        <v>12</v>
      </c>
      <c r="G997" s="2" t="s">
        <v>12</v>
      </c>
      <c r="H997" s="2" t="s">
        <v>12</v>
      </c>
      <c r="I997" s="2" t="s">
        <v>12</v>
      </c>
      <c r="J997" s="2" t="s">
        <v>12</v>
      </c>
      <c r="K997" s="2" t="s">
        <v>12</v>
      </c>
    </row>
    <row r="998" spans="1:11" ht="12.5" x14ac:dyDescent="0.25">
      <c r="A998" s="3" t="e">
        <f ca="1"/>
        <v>#NAME?</v>
      </c>
      <c r="B998" s="2" t="s">
        <v>12</v>
      </c>
      <c r="C998" s="2" t="s">
        <v>12</v>
      </c>
      <c r="D998" s="2" t="s">
        <v>12</v>
      </c>
      <c r="E998" s="2" t="s">
        <v>12</v>
      </c>
      <c r="F998" s="2" t="s">
        <v>12</v>
      </c>
      <c r="G998" s="2" t="s">
        <v>12</v>
      </c>
      <c r="H998" s="2" t="s">
        <v>12</v>
      </c>
      <c r="I998" s="2" t="s">
        <v>12</v>
      </c>
      <c r="J998" s="2" t="s">
        <v>12</v>
      </c>
      <c r="K998" s="2" t="s">
        <v>12</v>
      </c>
    </row>
    <row r="999" spans="1:11" ht="12.5" x14ac:dyDescent="0.25">
      <c r="A999" s="3" t="e">
        <f ca="1"/>
        <v>#NAME?</v>
      </c>
      <c r="B999" s="2" t="s">
        <v>12</v>
      </c>
      <c r="C999" s="2" t="s">
        <v>12</v>
      </c>
      <c r="D999" s="2" t="s">
        <v>12</v>
      </c>
      <c r="E999" s="2" t="s">
        <v>12</v>
      </c>
      <c r="F999" s="2" t="s">
        <v>12</v>
      </c>
      <c r="G999" s="2" t="s">
        <v>12</v>
      </c>
      <c r="H999" s="2" t="s">
        <v>12</v>
      </c>
      <c r="I999" s="2" t="s">
        <v>12</v>
      </c>
      <c r="J999" s="2" t="s">
        <v>12</v>
      </c>
      <c r="K999" s="2" t="s">
        <v>12</v>
      </c>
    </row>
    <row r="1000" spans="1:11" ht="12.5" x14ac:dyDescent="0.25">
      <c r="A1000" s="3" t="e">
        <f ca="1"/>
        <v>#NAME?</v>
      </c>
      <c r="B1000" s="2" t="s">
        <v>12</v>
      </c>
      <c r="C1000" s="2" t="s">
        <v>12</v>
      </c>
      <c r="D1000" s="2" t="s">
        <v>12</v>
      </c>
      <c r="E1000" s="2" t="s">
        <v>12</v>
      </c>
      <c r="F1000" s="2" t="s">
        <v>12</v>
      </c>
      <c r="G1000" s="2" t="s">
        <v>12</v>
      </c>
      <c r="H1000" s="2" t="s">
        <v>12</v>
      </c>
      <c r="I1000" s="2" t="s">
        <v>12</v>
      </c>
      <c r="J1000" s="2" t="s">
        <v>12</v>
      </c>
      <c r="K1000" s="2" t="s">
        <v>12</v>
      </c>
    </row>
    <row r="1001" spans="1:11" ht="12.5" x14ac:dyDescent="0.25">
      <c r="A1001" s="3" t="e">
        <f ca="1"/>
        <v>#NAME?</v>
      </c>
      <c r="B1001" s="2" t="s">
        <v>12</v>
      </c>
      <c r="C1001" s="2" t="s">
        <v>12</v>
      </c>
      <c r="D1001" s="2" t="s">
        <v>12</v>
      </c>
      <c r="E1001" s="2" t="s">
        <v>12</v>
      </c>
      <c r="F1001" s="2" t="s">
        <v>12</v>
      </c>
      <c r="G1001" s="2" t="s">
        <v>12</v>
      </c>
      <c r="H1001" s="2" t="s">
        <v>12</v>
      </c>
      <c r="I1001" s="2" t="s">
        <v>12</v>
      </c>
      <c r="J1001" s="2" t="s">
        <v>12</v>
      </c>
      <c r="K1001" s="2" t="s">
        <v>12</v>
      </c>
    </row>
    <row r="1002" spans="1:11" ht="12.5" x14ac:dyDescent="0.25">
      <c r="A1002" s="3" t="e">
        <f ca="1"/>
        <v>#NAME?</v>
      </c>
      <c r="B1002" s="2" t="s">
        <v>12</v>
      </c>
      <c r="C1002" s="2" t="s">
        <v>12</v>
      </c>
      <c r="D1002" s="2" t="s">
        <v>12</v>
      </c>
      <c r="E1002" s="2" t="s">
        <v>12</v>
      </c>
      <c r="F1002" s="2" t="s">
        <v>12</v>
      </c>
      <c r="G1002" s="2" t="s">
        <v>12</v>
      </c>
      <c r="H1002" s="2" t="s">
        <v>12</v>
      </c>
      <c r="I1002" s="2" t="s">
        <v>12</v>
      </c>
      <c r="J1002" s="2" t="s">
        <v>12</v>
      </c>
      <c r="K1002" s="2" t="s">
        <v>12</v>
      </c>
    </row>
    <row r="1003" spans="1:11" ht="12.5" x14ac:dyDescent="0.25">
      <c r="A1003" s="3" t="e">
        <f ca="1"/>
        <v>#NAME?</v>
      </c>
      <c r="B1003" s="2" t="s">
        <v>12</v>
      </c>
      <c r="C1003" s="2" t="s">
        <v>12</v>
      </c>
      <c r="D1003" s="2" t="s">
        <v>12</v>
      </c>
      <c r="E1003" s="2" t="s">
        <v>12</v>
      </c>
      <c r="F1003" s="2" t="s">
        <v>12</v>
      </c>
      <c r="G1003" s="2" t="s">
        <v>12</v>
      </c>
      <c r="H1003" s="2" t="s">
        <v>12</v>
      </c>
      <c r="I1003" s="2" t="s">
        <v>12</v>
      </c>
      <c r="J1003" s="2" t="s">
        <v>12</v>
      </c>
      <c r="K1003" s="2" t="s">
        <v>12</v>
      </c>
    </row>
    <row r="1004" spans="1:11" ht="12.5" x14ac:dyDescent="0.25">
      <c r="A1004" s="3" t="e">
        <f ca="1"/>
        <v>#NAME?</v>
      </c>
      <c r="B1004" s="2" t="s">
        <v>12</v>
      </c>
      <c r="C1004" s="2" t="s">
        <v>12</v>
      </c>
      <c r="D1004" s="2" t="s">
        <v>12</v>
      </c>
      <c r="E1004" s="2" t="s">
        <v>12</v>
      </c>
      <c r="F1004" s="2" t="s">
        <v>12</v>
      </c>
      <c r="G1004" s="2" t="s">
        <v>12</v>
      </c>
      <c r="H1004" s="2" t="s">
        <v>12</v>
      </c>
      <c r="I1004" s="2" t="s">
        <v>12</v>
      </c>
      <c r="J1004" s="2" t="s">
        <v>12</v>
      </c>
      <c r="K1004" s="2" t="s">
        <v>12</v>
      </c>
    </row>
    <row r="1005" spans="1:11" ht="12.5" x14ac:dyDescent="0.25">
      <c r="A1005" s="3" t="e">
        <f ca="1"/>
        <v>#NAME?</v>
      </c>
      <c r="B1005" s="2" t="s">
        <v>12</v>
      </c>
      <c r="C1005" s="2" t="s">
        <v>12</v>
      </c>
      <c r="D1005" s="2" t="s">
        <v>12</v>
      </c>
      <c r="E1005" s="2" t="s">
        <v>12</v>
      </c>
      <c r="F1005" s="2" t="s">
        <v>12</v>
      </c>
      <c r="G1005" s="2" t="s">
        <v>12</v>
      </c>
      <c r="H1005" s="2" t="s">
        <v>12</v>
      </c>
      <c r="I1005" s="2" t="s">
        <v>12</v>
      </c>
      <c r="J1005" s="2" t="s">
        <v>12</v>
      </c>
      <c r="K1005" s="2" t="s">
        <v>12</v>
      </c>
    </row>
    <row r="1006" spans="1:11" ht="12.5" x14ac:dyDescent="0.25">
      <c r="A1006" s="3" t="e">
        <f ca="1"/>
        <v>#NAME?</v>
      </c>
      <c r="B1006" s="2" t="s">
        <v>12</v>
      </c>
      <c r="C1006" s="2" t="s">
        <v>12</v>
      </c>
      <c r="D1006" s="2" t="s">
        <v>12</v>
      </c>
      <c r="E1006" s="2" t="s">
        <v>12</v>
      </c>
      <c r="F1006" s="2" t="s">
        <v>12</v>
      </c>
      <c r="G1006" s="2" t="s">
        <v>12</v>
      </c>
      <c r="H1006" s="2" t="s">
        <v>12</v>
      </c>
      <c r="I1006" s="2" t="s">
        <v>12</v>
      </c>
      <c r="J1006" s="2" t="s">
        <v>12</v>
      </c>
      <c r="K1006" s="2" t="s">
        <v>12</v>
      </c>
    </row>
    <row r="1007" spans="1:11" ht="12.5" x14ac:dyDescent="0.25">
      <c r="A1007" s="3" t="e">
        <f ca="1"/>
        <v>#NAME?</v>
      </c>
      <c r="B1007" s="2" t="s">
        <v>12</v>
      </c>
      <c r="C1007" s="2" t="s">
        <v>12</v>
      </c>
      <c r="D1007" s="2" t="s">
        <v>12</v>
      </c>
      <c r="E1007" s="2" t="s">
        <v>12</v>
      </c>
      <c r="F1007" s="2" t="s">
        <v>12</v>
      </c>
      <c r="G1007" s="2" t="s">
        <v>12</v>
      </c>
      <c r="H1007" s="2" t="s">
        <v>12</v>
      </c>
      <c r="I1007" s="2" t="s">
        <v>12</v>
      </c>
      <c r="J1007" s="2" t="s">
        <v>12</v>
      </c>
      <c r="K1007" s="2" t="s">
        <v>12</v>
      </c>
    </row>
    <row r="1008" spans="1:11" ht="12.5" x14ac:dyDescent="0.25">
      <c r="A1008" s="3" t="e">
        <f ca="1"/>
        <v>#NAME?</v>
      </c>
      <c r="B1008" s="2" t="s">
        <v>12</v>
      </c>
      <c r="C1008" s="2" t="s">
        <v>12</v>
      </c>
      <c r="D1008" s="2" t="s">
        <v>12</v>
      </c>
      <c r="E1008" s="2" t="s">
        <v>12</v>
      </c>
      <c r="F1008" s="2" t="s">
        <v>12</v>
      </c>
      <c r="G1008" s="2" t="s">
        <v>12</v>
      </c>
      <c r="H1008" s="2" t="s">
        <v>12</v>
      </c>
      <c r="I1008" s="2" t="s">
        <v>12</v>
      </c>
      <c r="J1008" s="2" t="s">
        <v>12</v>
      </c>
      <c r="K1008" s="2" t="s">
        <v>12</v>
      </c>
    </row>
    <row r="1009" spans="1:11" ht="12.5" x14ac:dyDescent="0.25">
      <c r="A1009" s="3" t="e">
        <f ca="1"/>
        <v>#NAME?</v>
      </c>
      <c r="B1009" s="2" t="s">
        <v>12</v>
      </c>
      <c r="C1009" s="2" t="s">
        <v>12</v>
      </c>
      <c r="D1009" s="2" t="s">
        <v>12</v>
      </c>
      <c r="E1009" s="2" t="s">
        <v>12</v>
      </c>
      <c r="F1009" s="2" t="s">
        <v>12</v>
      </c>
      <c r="G1009" s="2" t="s">
        <v>12</v>
      </c>
      <c r="H1009" s="2" t="s">
        <v>12</v>
      </c>
      <c r="I1009" s="2" t="s">
        <v>12</v>
      </c>
      <c r="J1009" s="2" t="s">
        <v>12</v>
      </c>
      <c r="K1009" s="2" t="s">
        <v>12</v>
      </c>
    </row>
    <row r="1010" spans="1:11" ht="12.5" x14ac:dyDescent="0.25">
      <c r="A1010" s="3" t="e">
        <f ca="1"/>
        <v>#NAME?</v>
      </c>
      <c r="B1010" s="2" t="s">
        <v>12</v>
      </c>
      <c r="C1010" s="2" t="s">
        <v>12</v>
      </c>
      <c r="D1010" s="2" t="s">
        <v>12</v>
      </c>
      <c r="E1010" s="2" t="s">
        <v>12</v>
      </c>
      <c r="F1010" s="2" t="s">
        <v>12</v>
      </c>
      <c r="G1010" s="2" t="s">
        <v>12</v>
      </c>
      <c r="H1010" s="2" t="s">
        <v>12</v>
      </c>
      <c r="I1010" s="2" t="s">
        <v>12</v>
      </c>
      <c r="J1010" s="2" t="s">
        <v>12</v>
      </c>
      <c r="K1010" s="2" t="s">
        <v>12</v>
      </c>
    </row>
    <row r="1011" spans="1:11" ht="12.5" x14ac:dyDescent="0.25">
      <c r="A1011" s="3" t="e">
        <f ca="1"/>
        <v>#NAME?</v>
      </c>
      <c r="B1011" s="2" t="s">
        <v>12</v>
      </c>
      <c r="C1011" s="2" t="s">
        <v>12</v>
      </c>
      <c r="D1011" s="2" t="s">
        <v>12</v>
      </c>
      <c r="E1011" s="2" t="s">
        <v>12</v>
      </c>
      <c r="F1011" s="2" t="s">
        <v>12</v>
      </c>
      <c r="G1011" s="2" t="s">
        <v>12</v>
      </c>
      <c r="H1011" s="2" t="s">
        <v>12</v>
      </c>
      <c r="I1011" s="2" t="s">
        <v>12</v>
      </c>
      <c r="J1011" s="2" t="s">
        <v>12</v>
      </c>
      <c r="K1011" s="2" t="s">
        <v>12</v>
      </c>
    </row>
    <row r="1012" spans="1:11" ht="12.5" x14ac:dyDescent="0.25">
      <c r="A1012" s="3" t="e">
        <f ca="1"/>
        <v>#NAME?</v>
      </c>
      <c r="B1012" s="2" t="s">
        <v>12</v>
      </c>
      <c r="C1012" s="2" t="s">
        <v>12</v>
      </c>
      <c r="D1012" s="2" t="s">
        <v>12</v>
      </c>
      <c r="E1012" s="2" t="s">
        <v>12</v>
      </c>
      <c r="F1012" s="2" t="s">
        <v>12</v>
      </c>
      <c r="G1012" s="2" t="s">
        <v>12</v>
      </c>
      <c r="H1012" s="2" t="s">
        <v>12</v>
      </c>
      <c r="I1012" s="2" t="s">
        <v>12</v>
      </c>
      <c r="J1012" s="2" t="s">
        <v>12</v>
      </c>
      <c r="K1012" s="2" t="s">
        <v>12</v>
      </c>
    </row>
    <row r="1013" spans="1:11" ht="12.5" x14ac:dyDescent="0.25">
      <c r="A1013" s="3" t="e">
        <f ca="1"/>
        <v>#NAME?</v>
      </c>
      <c r="B1013" s="2" t="s">
        <v>12</v>
      </c>
      <c r="C1013" s="2" t="s">
        <v>12</v>
      </c>
      <c r="D1013" s="2" t="s">
        <v>12</v>
      </c>
      <c r="E1013" s="2" t="s">
        <v>12</v>
      </c>
      <c r="F1013" s="2" t="s">
        <v>12</v>
      </c>
      <c r="G1013" s="2" t="s">
        <v>12</v>
      </c>
      <c r="H1013" s="2" t="s">
        <v>12</v>
      </c>
      <c r="I1013" s="2" t="s">
        <v>12</v>
      </c>
      <c r="J1013" s="2" t="s">
        <v>12</v>
      </c>
      <c r="K1013" s="2" t="s">
        <v>12</v>
      </c>
    </row>
    <row r="1014" spans="1:11" ht="12.5" x14ac:dyDescent="0.25">
      <c r="A1014" s="3" t="e">
        <f ca="1"/>
        <v>#NAME?</v>
      </c>
      <c r="B1014" s="2" t="s">
        <v>12</v>
      </c>
      <c r="C1014" s="2" t="s">
        <v>12</v>
      </c>
      <c r="D1014" s="2" t="s">
        <v>12</v>
      </c>
      <c r="E1014" s="2" t="s">
        <v>12</v>
      </c>
      <c r="F1014" s="2" t="s">
        <v>12</v>
      </c>
      <c r="G1014" s="2" t="s">
        <v>12</v>
      </c>
      <c r="H1014" s="2" t="s">
        <v>12</v>
      </c>
      <c r="I1014" s="2" t="s">
        <v>12</v>
      </c>
      <c r="J1014" s="2" t="s">
        <v>12</v>
      </c>
      <c r="K1014" s="2" t="s">
        <v>12</v>
      </c>
    </row>
    <row r="1015" spans="1:11" ht="12.5" x14ac:dyDescent="0.25">
      <c r="A1015" s="3" t="e">
        <f ca="1"/>
        <v>#NAME?</v>
      </c>
      <c r="B1015" s="2" t="s">
        <v>12</v>
      </c>
      <c r="C1015" s="2" t="s">
        <v>12</v>
      </c>
      <c r="D1015" s="2" t="s">
        <v>12</v>
      </c>
      <c r="E1015" s="2" t="s">
        <v>12</v>
      </c>
      <c r="F1015" s="2" t="s">
        <v>12</v>
      </c>
      <c r="G1015" s="2" t="s">
        <v>12</v>
      </c>
      <c r="H1015" s="2" t="s">
        <v>12</v>
      </c>
      <c r="I1015" s="2" t="s">
        <v>12</v>
      </c>
      <c r="J1015" s="2" t="s">
        <v>12</v>
      </c>
      <c r="K1015" s="2" t="s">
        <v>12</v>
      </c>
    </row>
    <row r="1016" spans="1:11" ht="12.5" x14ac:dyDescent="0.25">
      <c r="A1016" s="3" t="e">
        <f ca="1"/>
        <v>#NAME?</v>
      </c>
      <c r="B1016" s="2" t="s">
        <v>12</v>
      </c>
      <c r="C1016" s="2" t="s">
        <v>12</v>
      </c>
      <c r="D1016" s="2" t="s">
        <v>12</v>
      </c>
      <c r="E1016" s="2" t="s">
        <v>12</v>
      </c>
      <c r="F1016" s="2" t="s">
        <v>12</v>
      </c>
      <c r="G1016" s="2" t="s">
        <v>12</v>
      </c>
      <c r="H1016" s="2" t="s">
        <v>12</v>
      </c>
      <c r="I1016" s="2" t="s">
        <v>12</v>
      </c>
      <c r="J1016" s="2" t="s">
        <v>12</v>
      </c>
      <c r="K1016" s="2" t="s">
        <v>12</v>
      </c>
    </row>
    <row r="1017" spans="1:11" ht="12.5" x14ac:dyDescent="0.25">
      <c r="A1017" s="3" t="e">
        <f ca="1"/>
        <v>#NAME?</v>
      </c>
      <c r="B1017" s="2" t="s">
        <v>12</v>
      </c>
      <c r="C1017" s="2" t="s">
        <v>12</v>
      </c>
      <c r="D1017" s="2" t="s">
        <v>12</v>
      </c>
      <c r="E1017" s="2" t="s">
        <v>12</v>
      </c>
      <c r="F1017" s="2" t="s">
        <v>12</v>
      </c>
      <c r="G1017" s="2" t="s">
        <v>12</v>
      </c>
      <c r="H1017" s="2" t="s">
        <v>12</v>
      </c>
      <c r="I1017" s="2" t="s">
        <v>12</v>
      </c>
      <c r="J1017" s="2" t="s">
        <v>12</v>
      </c>
      <c r="K1017" s="2" t="s">
        <v>12</v>
      </c>
    </row>
    <row r="1018" spans="1:11" ht="12.5" x14ac:dyDescent="0.25">
      <c r="A1018" s="3" t="e">
        <f ca="1"/>
        <v>#NAME?</v>
      </c>
      <c r="B1018" s="2" t="s">
        <v>12</v>
      </c>
      <c r="C1018" s="2" t="s">
        <v>12</v>
      </c>
      <c r="D1018" s="2" t="s">
        <v>12</v>
      </c>
      <c r="E1018" s="2" t="s">
        <v>12</v>
      </c>
      <c r="F1018" s="2" t="s">
        <v>12</v>
      </c>
      <c r="G1018" s="2" t="s">
        <v>12</v>
      </c>
      <c r="H1018" s="2" t="s">
        <v>12</v>
      </c>
      <c r="I1018" s="2" t="s">
        <v>12</v>
      </c>
      <c r="J1018" s="2" t="s">
        <v>12</v>
      </c>
      <c r="K1018" s="2" t="s">
        <v>12</v>
      </c>
    </row>
    <row r="1019" spans="1:11" ht="12.5" x14ac:dyDescent="0.25">
      <c r="A1019" s="3" t="e">
        <f ca="1"/>
        <v>#NAME?</v>
      </c>
      <c r="B1019" s="2" t="s">
        <v>12</v>
      </c>
      <c r="C1019" s="2" t="s">
        <v>12</v>
      </c>
      <c r="D1019" s="2" t="s">
        <v>12</v>
      </c>
      <c r="E1019" s="2" t="s">
        <v>12</v>
      </c>
      <c r="F1019" s="2" t="s">
        <v>12</v>
      </c>
      <c r="G1019" s="2" t="s">
        <v>12</v>
      </c>
      <c r="H1019" s="2" t="s">
        <v>12</v>
      </c>
      <c r="I1019" s="2" t="s">
        <v>12</v>
      </c>
      <c r="J1019" s="2" t="s">
        <v>12</v>
      </c>
      <c r="K1019" s="2" t="s">
        <v>12</v>
      </c>
    </row>
    <row r="1020" spans="1:11" ht="12.5" x14ac:dyDescent="0.25">
      <c r="A1020" s="3" t="e">
        <f ca="1"/>
        <v>#NAME?</v>
      </c>
      <c r="B1020" s="2" t="s">
        <v>12</v>
      </c>
      <c r="C1020" s="2" t="s">
        <v>12</v>
      </c>
      <c r="D1020" s="2" t="s">
        <v>12</v>
      </c>
      <c r="E1020" s="2" t="s">
        <v>12</v>
      </c>
      <c r="F1020" s="2" t="s">
        <v>12</v>
      </c>
      <c r="G1020" s="2" t="s">
        <v>12</v>
      </c>
      <c r="H1020" s="2" t="s">
        <v>12</v>
      </c>
      <c r="I1020" s="2" t="s">
        <v>12</v>
      </c>
      <c r="J1020" s="2" t="s">
        <v>12</v>
      </c>
      <c r="K1020" s="2" t="s">
        <v>12</v>
      </c>
    </row>
    <row r="1021" spans="1:11" ht="12.5" x14ac:dyDescent="0.25">
      <c r="A1021" s="3" t="e">
        <f ca="1"/>
        <v>#NAME?</v>
      </c>
      <c r="B1021" s="2" t="s">
        <v>12</v>
      </c>
      <c r="C1021" s="2" t="s">
        <v>12</v>
      </c>
      <c r="D1021" s="2" t="s">
        <v>12</v>
      </c>
      <c r="E1021" s="2" t="s">
        <v>12</v>
      </c>
      <c r="F1021" s="2" t="s">
        <v>12</v>
      </c>
      <c r="G1021" s="2" t="s">
        <v>12</v>
      </c>
      <c r="H1021" s="2" t="s">
        <v>12</v>
      </c>
      <c r="I1021" s="2" t="s">
        <v>12</v>
      </c>
      <c r="J1021" s="2" t="s">
        <v>12</v>
      </c>
      <c r="K1021" s="2" t="s">
        <v>12</v>
      </c>
    </row>
    <row r="1022" spans="1:11" ht="12.5" x14ac:dyDescent="0.25">
      <c r="A1022" s="3" t="e">
        <f ca="1"/>
        <v>#NAME?</v>
      </c>
      <c r="B1022" s="2" t="s">
        <v>12</v>
      </c>
      <c r="C1022" s="2" t="s">
        <v>12</v>
      </c>
      <c r="D1022" s="2" t="s">
        <v>12</v>
      </c>
      <c r="E1022" s="2" t="s">
        <v>12</v>
      </c>
      <c r="F1022" s="2" t="s">
        <v>12</v>
      </c>
      <c r="G1022" s="2" t="s">
        <v>12</v>
      </c>
      <c r="H1022" s="2" t="s">
        <v>12</v>
      </c>
      <c r="I1022" s="2" t="s">
        <v>12</v>
      </c>
      <c r="J1022" s="2" t="s">
        <v>12</v>
      </c>
      <c r="K1022" s="2" t="s">
        <v>12</v>
      </c>
    </row>
    <row r="1023" spans="1:11" ht="12.5" x14ac:dyDescent="0.25">
      <c r="A1023" s="3" t="e">
        <f ca="1"/>
        <v>#NAME?</v>
      </c>
      <c r="B1023" s="2" t="s">
        <v>12</v>
      </c>
      <c r="C1023" s="2" t="s">
        <v>12</v>
      </c>
      <c r="D1023" s="2" t="s">
        <v>12</v>
      </c>
      <c r="E1023" s="2" t="s">
        <v>12</v>
      </c>
      <c r="F1023" s="2" t="s">
        <v>12</v>
      </c>
      <c r="G1023" s="2" t="s">
        <v>12</v>
      </c>
      <c r="H1023" s="2" t="s">
        <v>12</v>
      </c>
      <c r="I1023" s="2" t="s">
        <v>12</v>
      </c>
      <c r="J1023" s="2" t="s">
        <v>12</v>
      </c>
      <c r="K1023" s="2" t="s">
        <v>12</v>
      </c>
    </row>
    <row r="1024" spans="1:11" ht="12.5" x14ac:dyDescent="0.25">
      <c r="A1024" s="3" t="e">
        <f ca="1"/>
        <v>#NAME?</v>
      </c>
      <c r="B1024" s="2" t="s">
        <v>12</v>
      </c>
      <c r="C1024" s="2" t="s">
        <v>12</v>
      </c>
      <c r="D1024" s="2" t="s">
        <v>12</v>
      </c>
      <c r="E1024" s="2" t="s">
        <v>12</v>
      </c>
      <c r="F1024" s="2" t="s">
        <v>12</v>
      </c>
      <c r="G1024" s="2" t="s">
        <v>12</v>
      </c>
      <c r="H1024" s="2" t="s">
        <v>12</v>
      </c>
      <c r="I1024" s="2" t="s">
        <v>12</v>
      </c>
      <c r="J1024" s="2" t="s">
        <v>12</v>
      </c>
      <c r="K1024" s="2" t="s">
        <v>12</v>
      </c>
    </row>
    <row r="1025" spans="1:11" ht="12.5" x14ac:dyDescent="0.25">
      <c r="A1025" s="3" t="e">
        <f ca="1"/>
        <v>#NAME?</v>
      </c>
      <c r="B1025" s="2" t="s">
        <v>12</v>
      </c>
      <c r="C1025" s="2" t="s">
        <v>12</v>
      </c>
      <c r="D1025" s="2" t="s">
        <v>12</v>
      </c>
      <c r="E1025" s="2" t="s">
        <v>12</v>
      </c>
      <c r="F1025" s="2" t="s">
        <v>12</v>
      </c>
      <c r="G1025" s="2" t="s">
        <v>12</v>
      </c>
      <c r="H1025" s="2" t="s">
        <v>12</v>
      </c>
      <c r="I1025" s="2" t="s">
        <v>12</v>
      </c>
      <c r="J1025" s="2" t="s">
        <v>12</v>
      </c>
      <c r="K1025" s="2" t="s">
        <v>12</v>
      </c>
    </row>
    <row r="1026" spans="1:11" ht="12.5" x14ac:dyDescent="0.25">
      <c r="A1026" s="3" t="e">
        <f ca="1"/>
        <v>#NAME?</v>
      </c>
      <c r="B1026" s="2" t="s">
        <v>12</v>
      </c>
      <c r="C1026" s="2" t="s">
        <v>12</v>
      </c>
      <c r="D1026" s="2" t="s">
        <v>12</v>
      </c>
      <c r="E1026" s="2" t="s">
        <v>12</v>
      </c>
      <c r="F1026" s="2" t="s">
        <v>12</v>
      </c>
      <c r="G1026" s="2" t="s">
        <v>12</v>
      </c>
      <c r="H1026" s="2" t="s">
        <v>12</v>
      </c>
      <c r="I1026" s="2" t="s">
        <v>12</v>
      </c>
      <c r="J1026" s="2" t="s">
        <v>12</v>
      </c>
      <c r="K1026" s="2" t="s">
        <v>12</v>
      </c>
    </row>
    <row r="1027" spans="1:11" ht="12.5" x14ac:dyDescent="0.25">
      <c r="A1027" s="3" t="e">
        <f ca="1"/>
        <v>#NAME?</v>
      </c>
      <c r="B1027" s="2" t="s">
        <v>12</v>
      </c>
      <c r="C1027" s="2" t="s">
        <v>12</v>
      </c>
      <c r="D1027" s="2" t="s">
        <v>12</v>
      </c>
      <c r="E1027" s="2" t="s">
        <v>12</v>
      </c>
      <c r="F1027" s="2" t="s">
        <v>12</v>
      </c>
      <c r="G1027" s="2" t="s">
        <v>12</v>
      </c>
      <c r="H1027" s="2" t="s">
        <v>12</v>
      </c>
      <c r="I1027" s="2" t="s">
        <v>12</v>
      </c>
      <c r="J1027" s="2" t="s">
        <v>12</v>
      </c>
      <c r="K1027" s="2" t="s">
        <v>12</v>
      </c>
    </row>
    <row r="1028" spans="1:11" ht="12.5" x14ac:dyDescent="0.25">
      <c r="A1028" s="3" t="e">
        <f ca="1"/>
        <v>#NAME?</v>
      </c>
      <c r="B1028" s="2" t="s">
        <v>12</v>
      </c>
      <c r="C1028" s="2" t="s">
        <v>12</v>
      </c>
      <c r="D1028" s="2" t="s">
        <v>12</v>
      </c>
      <c r="E1028" s="2" t="s">
        <v>12</v>
      </c>
      <c r="F1028" s="2" t="s">
        <v>12</v>
      </c>
      <c r="G1028" s="2" t="s">
        <v>12</v>
      </c>
      <c r="H1028" s="2" t="s">
        <v>12</v>
      </c>
      <c r="I1028" s="2" t="s">
        <v>12</v>
      </c>
      <c r="J1028" s="2" t="s">
        <v>12</v>
      </c>
      <c r="K1028" s="2" t="s">
        <v>12</v>
      </c>
    </row>
    <row r="1029" spans="1:11" ht="12.5" x14ac:dyDescent="0.25">
      <c r="A1029" s="3" t="e">
        <f ca="1"/>
        <v>#NAME?</v>
      </c>
      <c r="B1029" s="2" t="s">
        <v>12</v>
      </c>
      <c r="C1029" s="2" t="s">
        <v>12</v>
      </c>
      <c r="D1029" s="2" t="s">
        <v>12</v>
      </c>
      <c r="E1029" s="2" t="s">
        <v>12</v>
      </c>
      <c r="F1029" s="2" t="s">
        <v>12</v>
      </c>
      <c r="G1029" s="2" t="s">
        <v>12</v>
      </c>
      <c r="H1029" s="2" t="s">
        <v>12</v>
      </c>
      <c r="I1029" s="2" t="s">
        <v>12</v>
      </c>
      <c r="J1029" s="2" t="s">
        <v>12</v>
      </c>
      <c r="K1029" s="2" t="s">
        <v>12</v>
      </c>
    </row>
    <row r="1030" spans="1:11" ht="12.5" x14ac:dyDescent="0.25">
      <c r="A1030" s="3" t="e">
        <f ca="1"/>
        <v>#NAME?</v>
      </c>
      <c r="B1030" s="2" t="s">
        <v>12</v>
      </c>
      <c r="C1030" s="2" t="s">
        <v>12</v>
      </c>
      <c r="D1030" s="2" t="s">
        <v>12</v>
      </c>
      <c r="E1030" s="2" t="s">
        <v>12</v>
      </c>
      <c r="F1030" s="2" t="s">
        <v>12</v>
      </c>
      <c r="G1030" s="2" t="s">
        <v>12</v>
      </c>
      <c r="H1030" s="2" t="s">
        <v>12</v>
      </c>
      <c r="I1030" s="2" t="s">
        <v>12</v>
      </c>
      <c r="J1030" s="2" t="s">
        <v>12</v>
      </c>
      <c r="K1030" s="2" t="s">
        <v>12</v>
      </c>
    </row>
    <row r="1031" spans="1:11" ht="12.5" x14ac:dyDescent="0.25">
      <c r="A1031" s="3" t="e">
        <f ca="1"/>
        <v>#NAME?</v>
      </c>
      <c r="B1031" s="2" t="s">
        <v>12</v>
      </c>
      <c r="C1031" s="2" t="s">
        <v>12</v>
      </c>
      <c r="D1031" s="2" t="s">
        <v>12</v>
      </c>
      <c r="E1031" s="2" t="s">
        <v>12</v>
      </c>
      <c r="F1031" s="2" t="s">
        <v>12</v>
      </c>
      <c r="G1031" s="2" t="s">
        <v>12</v>
      </c>
      <c r="H1031" s="2" t="s">
        <v>12</v>
      </c>
      <c r="I1031" s="2" t="s">
        <v>12</v>
      </c>
      <c r="J1031" s="2" t="s">
        <v>12</v>
      </c>
      <c r="K1031" s="2" t="s">
        <v>12</v>
      </c>
    </row>
    <row r="1032" spans="1:11" ht="12.5" x14ac:dyDescent="0.25">
      <c r="A1032" s="3" t="e">
        <f ca="1"/>
        <v>#NAME?</v>
      </c>
      <c r="B1032" s="2" t="s">
        <v>12</v>
      </c>
      <c r="C1032" s="2" t="s">
        <v>12</v>
      </c>
      <c r="D1032" s="2" t="s">
        <v>12</v>
      </c>
      <c r="E1032" s="2" t="s">
        <v>12</v>
      </c>
      <c r="F1032" s="2" t="s">
        <v>12</v>
      </c>
      <c r="G1032" s="2" t="s">
        <v>12</v>
      </c>
      <c r="H1032" s="2" t="s">
        <v>12</v>
      </c>
      <c r="I1032" s="2" t="s">
        <v>12</v>
      </c>
      <c r="J1032" s="2" t="s">
        <v>12</v>
      </c>
      <c r="K1032" s="2" t="s">
        <v>12</v>
      </c>
    </row>
    <row r="1033" spans="1:11" ht="12.5" x14ac:dyDescent="0.25">
      <c r="A1033" s="3" t="e">
        <f ca="1"/>
        <v>#NAME?</v>
      </c>
      <c r="B1033" s="2" t="s">
        <v>12</v>
      </c>
      <c r="C1033" s="2" t="s">
        <v>12</v>
      </c>
      <c r="D1033" s="2" t="s">
        <v>12</v>
      </c>
      <c r="E1033" s="2" t="s">
        <v>12</v>
      </c>
      <c r="F1033" s="2" t="s">
        <v>12</v>
      </c>
      <c r="G1033" s="2" t="s">
        <v>12</v>
      </c>
      <c r="H1033" s="2" t="s">
        <v>12</v>
      </c>
      <c r="I1033" s="2" t="s">
        <v>12</v>
      </c>
      <c r="J1033" s="2" t="s">
        <v>12</v>
      </c>
      <c r="K1033" s="2" t="s">
        <v>12</v>
      </c>
    </row>
    <row r="1034" spans="1:11" ht="12.5" x14ac:dyDescent="0.25">
      <c r="A1034" s="3" t="e">
        <f ca="1"/>
        <v>#NAME?</v>
      </c>
      <c r="B1034" s="2" t="s">
        <v>12</v>
      </c>
      <c r="C1034" s="2" t="s">
        <v>12</v>
      </c>
      <c r="D1034" s="2" t="s">
        <v>12</v>
      </c>
      <c r="E1034" s="2" t="s">
        <v>12</v>
      </c>
      <c r="F1034" s="2" t="s">
        <v>12</v>
      </c>
      <c r="G1034" s="2" t="s">
        <v>12</v>
      </c>
      <c r="H1034" s="2" t="s">
        <v>12</v>
      </c>
      <c r="I1034" s="2" t="s">
        <v>12</v>
      </c>
      <c r="J1034" s="2" t="s">
        <v>12</v>
      </c>
      <c r="K1034" s="2" t="s">
        <v>12</v>
      </c>
    </row>
    <row r="1035" spans="1:11" ht="12.5" x14ac:dyDescent="0.25">
      <c r="A1035" s="3" t="e">
        <f ca="1"/>
        <v>#NAME?</v>
      </c>
      <c r="B1035" s="2" t="s">
        <v>12</v>
      </c>
      <c r="C1035" s="2" t="s">
        <v>12</v>
      </c>
      <c r="D1035" s="2" t="s">
        <v>12</v>
      </c>
      <c r="E1035" s="2" t="s">
        <v>12</v>
      </c>
      <c r="F1035" s="2" t="s">
        <v>12</v>
      </c>
      <c r="G1035" s="2" t="s">
        <v>12</v>
      </c>
      <c r="H1035" s="2" t="s">
        <v>12</v>
      </c>
      <c r="I1035" s="2" t="s">
        <v>12</v>
      </c>
      <c r="J1035" s="2" t="s">
        <v>12</v>
      </c>
      <c r="K1035" s="2" t="s">
        <v>12</v>
      </c>
    </row>
    <row r="1036" spans="1:11" ht="12.5" x14ac:dyDescent="0.25">
      <c r="A1036" s="3" t="e">
        <f ca="1"/>
        <v>#NAME?</v>
      </c>
      <c r="B1036" s="2" t="s">
        <v>12</v>
      </c>
      <c r="C1036" s="2" t="s">
        <v>12</v>
      </c>
      <c r="D1036" s="2" t="s">
        <v>12</v>
      </c>
      <c r="E1036" s="2" t="s">
        <v>12</v>
      </c>
      <c r="F1036" s="2" t="s">
        <v>12</v>
      </c>
      <c r="G1036" s="2" t="s">
        <v>12</v>
      </c>
      <c r="H1036" s="2" t="s">
        <v>12</v>
      </c>
      <c r="I1036" s="2" t="s">
        <v>12</v>
      </c>
      <c r="J1036" s="2" t="s">
        <v>12</v>
      </c>
      <c r="K1036" s="2" t="s">
        <v>12</v>
      </c>
    </row>
    <row r="1037" spans="1:11" ht="12.5" x14ac:dyDescent="0.25">
      <c r="A1037" s="3" t="e">
        <f ca="1"/>
        <v>#NAME?</v>
      </c>
      <c r="B1037" s="2" t="s">
        <v>12</v>
      </c>
      <c r="C1037" s="2" t="s">
        <v>12</v>
      </c>
      <c r="D1037" s="2" t="s">
        <v>12</v>
      </c>
      <c r="E1037" s="2" t="s">
        <v>12</v>
      </c>
      <c r="F1037" s="2" t="s">
        <v>12</v>
      </c>
      <c r="G1037" s="2" t="s">
        <v>12</v>
      </c>
      <c r="H1037" s="2" t="s">
        <v>12</v>
      </c>
      <c r="I1037" s="2" t="s">
        <v>12</v>
      </c>
      <c r="J1037" s="2" t="s">
        <v>12</v>
      </c>
      <c r="K1037" s="2" t="s">
        <v>12</v>
      </c>
    </row>
    <row r="1038" spans="1:11" ht="12.5" x14ac:dyDescent="0.25">
      <c r="A1038" s="3" t="e">
        <f ca="1"/>
        <v>#NAME?</v>
      </c>
      <c r="B1038" s="2" t="s">
        <v>12</v>
      </c>
      <c r="C1038" s="2" t="s">
        <v>12</v>
      </c>
      <c r="D1038" s="2" t="s">
        <v>12</v>
      </c>
      <c r="E1038" s="2" t="s">
        <v>12</v>
      </c>
      <c r="F1038" s="2" t="s">
        <v>12</v>
      </c>
      <c r="G1038" s="2" t="s">
        <v>12</v>
      </c>
      <c r="H1038" s="2" t="s">
        <v>12</v>
      </c>
      <c r="I1038" s="2" t="s">
        <v>12</v>
      </c>
      <c r="J1038" s="2" t="s">
        <v>12</v>
      </c>
      <c r="K1038" s="2" t="s">
        <v>12</v>
      </c>
    </row>
    <row r="1039" spans="1:11" ht="12.5" x14ac:dyDescent="0.25">
      <c r="A1039" s="3" t="e">
        <f ca="1"/>
        <v>#NAME?</v>
      </c>
      <c r="B1039" s="2" t="s">
        <v>12</v>
      </c>
      <c r="C1039" s="2" t="s">
        <v>12</v>
      </c>
      <c r="D1039" s="2" t="s">
        <v>12</v>
      </c>
      <c r="E1039" s="2" t="s">
        <v>12</v>
      </c>
      <c r="F1039" s="2" t="s">
        <v>12</v>
      </c>
      <c r="G1039" s="2" t="s">
        <v>12</v>
      </c>
      <c r="H1039" s="2" t="s">
        <v>12</v>
      </c>
      <c r="I1039" s="2" t="s">
        <v>12</v>
      </c>
      <c r="J1039" s="2" t="s">
        <v>12</v>
      </c>
      <c r="K1039" s="2" t="s">
        <v>12</v>
      </c>
    </row>
    <row r="1040" spans="1:11" ht="12.5" x14ac:dyDescent="0.25">
      <c r="A1040" s="3" t="e">
        <f ca="1"/>
        <v>#NAME?</v>
      </c>
      <c r="B1040" s="2" t="s">
        <v>12</v>
      </c>
      <c r="C1040" s="2" t="s">
        <v>12</v>
      </c>
      <c r="D1040" s="2" t="s">
        <v>12</v>
      </c>
      <c r="E1040" s="2" t="s">
        <v>12</v>
      </c>
      <c r="F1040" s="2" t="s">
        <v>12</v>
      </c>
      <c r="G1040" s="2" t="s">
        <v>12</v>
      </c>
      <c r="H1040" s="2" t="s">
        <v>12</v>
      </c>
      <c r="I1040" s="2" t="s">
        <v>12</v>
      </c>
      <c r="J1040" s="2" t="s">
        <v>12</v>
      </c>
      <c r="K1040" s="2" t="s">
        <v>12</v>
      </c>
    </row>
    <row r="1041" spans="1:11" ht="12.5" x14ac:dyDescent="0.25">
      <c r="A1041" s="3" t="e">
        <f ca="1"/>
        <v>#NAME?</v>
      </c>
      <c r="B1041" s="2" t="s">
        <v>12</v>
      </c>
      <c r="C1041" s="2" t="s">
        <v>12</v>
      </c>
      <c r="D1041" s="2" t="s">
        <v>12</v>
      </c>
      <c r="E1041" s="2" t="s">
        <v>12</v>
      </c>
      <c r="F1041" s="2" t="s">
        <v>12</v>
      </c>
      <c r="G1041" s="2" t="s">
        <v>12</v>
      </c>
      <c r="H1041" s="2" t="s">
        <v>12</v>
      </c>
      <c r="I1041" s="2" t="s">
        <v>12</v>
      </c>
      <c r="J1041" s="2" t="s">
        <v>12</v>
      </c>
      <c r="K1041" s="2" t="s">
        <v>12</v>
      </c>
    </row>
    <row r="1042" spans="1:11" ht="12.5" x14ac:dyDescent="0.25">
      <c r="A1042" s="3" t="e">
        <f ca="1"/>
        <v>#NAME?</v>
      </c>
      <c r="B1042" s="2" t="s">
        <v>12</v>
      </c>
      <c r="C1042" s="2" t="s">
        <v>12</v>
      </c>
      <c r="D1042" s="2" t="s">
        <v>12</v>
      </c>
      <c r="E1042" s="2" t="s">
        <v>12</v>
      </c>
      <c r="F1042" s="2" t="s">
        <v>12</v>
      </c>
      <c r="G1042" s="2" t="s">
        <v>12</v>
      </c>
      <c r="H1042" s="2" t="s">
        <v>12</v>
      </c>
      <c r="I1042" s="2" t="s">
        <v>12</v>
      </c>
      <c r="J1042" s="2" t="s">
        <v>12</v>
      </c>
      <c r="K1042" s="2" t="s">
        <v>12</v>
      </c>
    </row>
    <row r="1043" spans="1:11" ht="12.5" x14ac:dyDescent="0.25">
      <c r="A1043" s="3" t="e">
        <f ca="1"/>
        <v>#NAME?</v>
      </c>
      <c r="B1043" s="2" t="s">
        <v>12</v>
      </c>
      <c r="C1043" s="2" t="s">
        <v>12</v>
      </c>
      <c r="D1043" s="2" t="s">
        <v>12</v>
      </c>
      <c r="E1043" s="2" t="s">
        <v>12</v>
      </c>
      <c r="F1043" s="2" t="s">
        <v>12</v>
      </c>
      <c r="G1043" s="2" t="s">
        <v>12</v>
      </c>
      <c r="H1043" s="2" t="s">
        <v>12</v>
      </c>
      <c r="I1043" s="2" t="s">
        <v>12</v>
      </c>
      <c r="J1043" s="2" t="s">
        <v>12</v>
      </c>
      <c r="K1043" s="2" t="s">
        <v>12</v>
      </c>
    </row>
    <row r="1044" spans="1:11" ht="12.5" x14ac:dyDescent="0.25">
      <c r="A1044" s="3" t="e">
        <f ca="1"/>
        <v>#NAME?</v>
      </c>
      <c r="B1044" s="2" t="s">
        <v>12</v>
      </c>
      <c r="C1044" s="2" t="s">
        <v>12</v>
      </c>
      <c r="D1044" s="2" t="s">
        <v>12</v>
      </c>
      <c r="E1044" s="2" t="s">
        <v>12</v>
      </c>
      <c r="F1044" s="2" t="s">
        <v>12</v>
      </c>
      <c r="G1044" s="2" t="s">
        <v>12</v>
      </c>
      <c r="H1044" s="2" t="s">
        <v>12</v>
      </c>
      <c r="I1044" s="2" t="s">
        <v>12</v>
      </c>
      <c r="J1044" s="2" t="s">
        <v>12</v>
      </c>
      <c r="K1044" s="2" t="s">
        <v>12</v>
      </c>
    </row>
    <row r="1045" spans="1:11" ht="12.5" x14ac:dyDescent="0.25">
      <c r="A1045" s="3" t="e">
        <f ca="1"/>
        <v>#NAME?</v>
      </c>
      <c r="B1045" s="2" t="s">
        <v>12</v>
      </c>
      <c r="C1045" s="2" t="s">
        <v>12</v>
      </c>
      <c r="D1045" s="2" t="s">
        <v>12</v>
      </c>
      <c r="E1045" s="2" t="s">
        <v>12</v>
      </c>
      <c r="F1045" s="2" t="s">
        <v>12</v>
      </c>
      <c r="G1045" s="2" t="s">
        <v>12</v>
      </c>
      <c r="H1045" s="2" t="s">
        <v>12</v>
      </c>
      <c r="I1045" s="2" t="s">
        <v>12</v>
      </c>
      <c r="J1045" s="2" t="s">
        <v>12</v>
      </c>
      <c r="K1045" s="2" t="s">
        <v>12</v>
      </c>
    </row>
    <row r="1046" spans="1:11" ht="12.5" x14ac:dyDescent="0.25">
      <c r="A1046" s="3" t="e">
        <f ca="1"/>
        <v>#NAME?</v>
      </c>
      <c r="B1046" s="2" t="s">
        <v>12</v>
      </c>
      <c r="C1046" s="2" t="s">
        <v>12</v>
      </c>
      <c r="D1046" s="2" t="s">
        <v>12</v>
      </c>
      <c r="E1046" s="2" t="s">
        <v>12</v>
      </c>
      <c r="F1046" s="2" t="s">
        <v>12</v>
      </c>
      <c r="G1046" s="2" t="s">
        <v>12</v>
      </c>
      <c r="H1046" s="2" t="s">
        <v>12</v>
      </c>
      <c r="I1046" s="2" t="s">
        <v>12</v>
      </c>
      <c r="J1046" s="2" t="s">
        <v>12</v>
      </c>
      <c r="K1046" s="2" t="s">
        <v>12</v>
      </c>
    </row>
    <row r="1047" spans="1:11" ht="12.5" x14ac:dyDescent="0.25">
      <c r="A1047" s="3" t="e">
        <f ca="1"/>
        <v>#NAME?</v>
      </c>
      <c r="B1047" s="2" t="s">
        <v>12</v>
      </c>
      <c r="C1047" s="2" t="s">
        <v>12</v>
      </c>
      <c r="D1047" s="2" t="s">
        <v>12</v>
      </c>
      <c r="E1047" s="2" t="s">
        <v>12</v>
      </c>
      <c r="F1047" s="2" t="s">
        <v>12</v>
      </c>
      <c r="G1047" s="2" t="s">
        <v>12</v>
      </c>
      <c r="H1047" s="2" t="s">
        <v>12</v>
      </c>
      <c r="I1047" s="2" t="s">
        <v>12</v>
      </c>
      <c r="J1047" s="2" t="s">
        <v>12</v>
      </c>
      <c r="K1047" s="2" t="s">
        <v>12</v>
      </c>
    </row>
    <row r="1048" spans="1:11" ht="12.5" x14ac:dyDescent="0.25">
      <c r="A1048" s="3" t="e">
        <f ca="1"/>
        <v>#NAME?</v>
      </c>
      <c r="B1048" s="2" t="s">
        <v>12</v>
      </c>
      <c r="C1048" s="2" t="s">
        <v>12</v>
      </c>
      <c r="D1048" s="2" t="s">
        <v>12</v>
      </c>
      <c r="E1048" s="2" t="s">
        <v>12</v>
      </c>
      <c r="F1048" s="2" t="s">
        <v>12</v>
      </c>
      <c r="G1048" s="2" t="s">
        <v>12</v>
      </c>
      <c r="H1048" s="2" t="s">
        <v>12</v>
      </c>
      <c r="I1048" s="2" t="s">
        <v>12</v>
      </c>
      <c r="J1048" s="2" t="s">
        <v>12</v>
      </c>
      <c r="K1048" s="2" t="s">
        <v>12</v>
      </c>
    </row>
    <row r="1049" spans="1:11" ht="12.5" x14ac:dyDescent="0.25">
      <c r="A1049" s="3" t="e">
        <f ca="1"/>
        <v>#NAME?</v>
      </c>
      <c r="B1049" s="2" t="s">
        <v>12</v>
      </c>
      <c r="C1049" s="2" t="s">
        <v>12</v>
      </c>
      <c r="D1049" s="2" t="s">
        <v>12</v>
      </c>
      <c r="E1049" s="2" t="s">
        <v>12</v>
      </c>
      <c r="F1049" s="2" t="s">
        <v>12</v>
      </c>
      <c r="G1049" s="2" t="s">
        <v>12</v>
      </c>
      <c r="H1049" s="2" t="s">
        <v>12</v>
      </c>
      <c r="I1049" s="2" t="s">
        <v>12</v>
      </c>
      <c r="J1049" s="2" t="s">
        <v>12</v>
      </c>
      <c r="K1049" s="2" t="s">
        <v>12</v>
      </c>
    </row>
    <row r="1050" spans="1:11" ht="12.5" x14ac:dyDescent="0.25">
      <c r="A1050" s="3" t="e">
        <f ca="1"/>
        <v>#NAME?</v>
      </c>
      <c r="B1050" s="2" t="s">
        <v>12</v>
      </c>
      <c r="C1050" s="2" t="s">
        <v>12</v>
      </c>
      <c r="D1050" s="2" t="s">
        <v>12</v>
      </c>
      <c r="E1050" s="2" t="s">
        <v>12</v>
      </c>
      <c r="F1050" s="2" t="s">
        <v>12</v>
      </c>
      <c r="G1050" s="2" t="s">
        <v>12</v>
      </c>
      <c r="H1050" s="2" t="s">
        <v>12</v>
      </c>
      <c r="I1050" s="2" t="s">
        <v>12</v>
      </c>
      <c r="J1050" s="2" t="s">
        <v>12</v>
      </c>
      <c r="K1050" s="2" t="s">
        <v>12</v>
      </c>
    </row>
    <row r="1051" spans="1:11" ht="12.5" x14ac:dyDescent="0.25">
      <c r="A1051" s="3" t="e">
        <f ca="1"/>
        <v>#NAME?</v>
      </c>
      <c r="B1051" s="2" t="s">
        <v>12</v>
      </c>
      <c r="C1051" s="2" t="s">
        <v>12</v>
      </c>
      <c r="D1051" s="2" t="s">
        <v>12</v>
      </c>
      <c r="E1051" s="2" t="s">
        <v>12</v>
      </c>
      <c r="F1051" s="2" t="s">
        <v>12</v>
      </c>
      <c r="G1051" s="2" t="s">
        <v>12</v>
      </c>
      <c r="H1051" s="2" t="s">
        <v>12</v>
      </c>
      <c r="I1051" s="2" t="s">
        <v>12</v>
      </c>
      <c r="J1051" s="2" t="s">
        <v>12</v>
      </c>
      <c r="K1051" s="2" t="s">
        <v>12</v>
      </c>
    </row>
    <row r="1052" spans="1:11" ht="12.5" x14ac:dyDescent="0.25">
      <c r="A1052" s="3" t="e">
        <f ca="1"/>
        <v>#NAME?</v>
      </c>
      <c r="B1052" s="2" t="s">
        <v>12</v>
      </c>
      <c r="C1052" s="2" t="s">
        <v>12</v>
      </c>
      <c r="D1052" s="2" t="s">
        <v>12</v>
      </c>
      <c r="E1052" s="2" t="s">
        <v>12</v>
      </c>
      <c r="F1052" s="2" t="s">
        <v>12</v>
      </c>
      <c r="G1052" s="2" t="s">
        <v>12</v>
      </c>
      <c r="H1052" s="2" t="s">
        <v>12</v>
      </c>
      <c r="I1052" s="2" t="s">
        <v>12</v>
      </c>
      <c r="J1052" s="2" t="s">
        <v>12</v>
      </c>
      <c r="K1052" s="2" t="s">
        <v>12</v>
      </c>
    </row>
    <row r="1053" spans="1:11" ht="12.5" x14ac:dyDescent="0.25">
      <c r="A1053" s="3" t="e">
        <f ca="1"/>
        <v>#NAME?</v>
      </c>
      <c r="B1053" s="2" t="s">
        <v>12</v>
      </c>
      <c r="C1053" s="2" t="s">
        <v>12</v>
      </c>
      <c r="D1053" s="2" t="s">
        <v>12</v>
      </c>
      <c r="E1053" s="2" t="s">
        <v>12</v>
      </c>
      <c r="F1053" s="2" t="s">
        <v>12</v>
      </c>
      <c r="G1053" s="2" t="s">
        <v>12</v>
      </c>
      <c r="H1053" s="2" t="s">
        <v>12</v>
      </c>
      <c r="I1053" s="2" t="s">
        <v>12</v>
      </c>
      <c r="J1053" s="2" t="s">
        <v>12</v>
      </c>
      <c r="K1053" s="2" t="s">
        <v>12</v>
      </c>
    </row>
    <row r="1054" spans="1:11" ht="12.5" x14ac:dyDescent="0.25">
      <c r="A1054" s="3" t="e">
        <f ca="1"/>
        <v>#NAME?</v>
      </c>
      <c r="B1054" s="2" t="s">
        <v>12</v>
      </c>
      <c r="C1054" s="2" t="s">
        <v>12</v>
      </c>
      <c r="D1054" s="2" t="s">
        <v>12</v>
      </c>
      <c r="E1054" s="2" t="s">
        <v>12</v>
      </c>
      <c r="F1054" s="2" t="s">
        <v>12</v>
      </c>
      <c r="G1054" s="2" t="s">
        <v>12</v>
      </c>
      <c r="H1054" s="2" t="s">
        <v>12</v>
      </c>
      <c r="I1054" s="2" t="s">
        <v>12</v>
      </c>
      <c r="J1054" s="2" t="s">
        <v>12</v>
      </c>
      <c r="K1054" s="2" t="s">
        <v>12</v>
      </c>
    </row>
    <row r="1055" spans="1:11" ht="12.5" x14ac:dyDescent="0.25">
      <c r="A1055" s="3" t="e">
        <f ca="1"/>
        <v>#NAME?</v>
      </c>
      <c r="B1055" s="2" t="s">
        <v>12</v>
      </c>
      <c r="C1055" s="2" t="s">
        <v>12</v>
      </c>
      <c r="D1055" s="2" t="s">
        <v>12</v>
      </c>
      <c r="E1055" s="2" t="s">
        <v>12</v>
      </c>
      <c r="F1055" s="2" t="s">
        <v>12</v>
      </c>
      <c r="G1055" s="2" t="s">
        <v>12</v>
      </c>
      <c r="H1055" s="2" t="s">
        <v>12</v>
      </c>
      <c r="I1055" s="2" t="s">
        <v>12</v>
      </c>
      <c r="J1055" s="2" t="s">
        <v>12</v>
      </c>
      <c r="K1055" s="2" t="s">
        <v>12</v>
      </c>
    </row>
    <row r="1056" spans="1:11" ht="12.5" x14ac:dyDescent="0.25">
      <c r="A1056" s="3" t="e">
        <f ca="1"/>
        <v>#NAME?</v>
      </c>
      <c r="B1056" s="2" t="s">
        <v>12</v>
      </c>
      <c r="C1056" s="2" t="s">
        <v>12</v>
      </c>
      <c r="D1056" s="2" t="s">
        <v>12</v>
      </c>
      <c r="E1056" s="2" t="s">
        <v>12</v>
      </c>
      <c r="F1056" s="2" t="s">
        <v>12</v>
      </c>
      <c r="G1056" s="2" t="s">
        <v>12</v>
      </c>
      <c r="H1056" s="2" t="s">
        <v>12</v>
      </c>
      <c r="I1056" s="2" t="s">
        <v>12</v>
      </c>
      <c r="J1056" s="2" t="s">
        <v>12</v>
      </c>
      <c r="K1056" s="2" t="s">
        <v>12</v>
      </c>
    </row>
    <row r="1057" spans="1:11" ht="12.5" x14ac:dyDescent="0.25">
      <c r="A1057" s="3" t="e">
        <f ca="1"/>
        <v>#NAME?</v>
      </c>
      <c r="B1057" s="2" t="s">
        <v>12</v>
      </c>
      <c r="C1057" s="2" t="s">
        <v>12</v>
      </c>
      <c r="D1057" s="2" t="s">
        <v>12</v>
      </c>
      <c r="E1057" s="2" t="s">
        <v>12</v>
      </c>
      <c r="F1057" s="2" t="s">
        <v>12</v>
      </c>
      <c r="G1057" s="2" t="s">
        <v>12</v>
      </c>
      <c r="H1057" s="2" t="s">
        <v>12</v>
      </c>
      <c r="I1057" s="2" t="s">
        <v>12</v>
      </c>
      <c r="J1057" s="2" t="s">
        <v>12</v>
      </c>
      <c r="K1057" s="2" t="s">
        <v>12</v>
      </c>
    </row>
    <row r="1058" spans="1:11" ht="12.5" x14ac:dyDescent="0.25">
      <c r="A1058" s="3" t="e">
        <f ca="1"/>
        <v>#NAME?</v>
      </c>
      <c r="B1058" s="2" t="s">
        <v>12</v>
      </c>
      <c r="C1058" s="2" t="s">
        <v>12</v>
      </c>
      <c r="D1058" s="2" t="s">
        <v>12</v>
      </c>
      <c r="E1058" s="2" t="s">
        <v>12</v>
      </c>
      <c r="F1058" s="2" t="s">
        <v>12</v>
      </c>
      <c r="G1058" s="2" t="s">
        <v>12</v>
      </c>
      <c r="H1058" s="2" t="s">
        <v>12</v>
      </c>
      <c r="I1058" s="2" t="s">
        <v>12</v>
      </c>
      <c r="J1058" s="2" t="s">
        <v>12</v>
      </c>
      <c r="K1058" s="2" t="s">
        <v>12</v>
      </c>
    </row>
    <row r="1059" spans="1:11" ht="12.5" x14ac:dyDescent="0.25">
      <c r="A1059" s="3" t="e">
        <f ca="1"/>
        <v>#NAME?</v>
      </c>
      <c r="B1059" s="2" t="s">
        <v>12</v>
      </c>
      <c r="C1059" s="2" t="s">
        <v>12</v>
      </c>
      <c r="D1059" s="2" t="s">
        <v>12</v>
      </c>
      <c r="E1059" s="2" t="s">
        <v>12</v>
      </c>
      <c r="F1059" s="2" t="s">
        <v>12</v>
      </c>
      <c r="G1059" s="2" t="s">
        <v>12</v>
      </c>
      <c r="H1059" s="2" t="s">
        <v>12</v>
      </c>
      <c r="I1059" s="2" t="s">
        <v>12</v>
      </c>
      <c r="J1059" s="2" t="s">
        <v>12</v>
      </c>
      <c r="K1059" s="2" t="s">
        <v>12</v>
      </c>
    </row>
    <row r="1060" spans="1:11" ht="12.5" x14ac:dyDescent="0.25">
      <c r="A1060" s="3" t="e">
        <f ca="1"/>
        <v>#NAME?</v>
      </c>
      <c r="B1060" s="2" t="s">
        <v>12</v>
      </c>
      <c r="C1060" s="2" t="s">
        <v>12</v>
      </c>
      <c r="D1060" s="2" t="s">
        <v>12</v>
      </c>
      <c r="E1060" s="2" t="s">
        <v>12</v>
      </c>
      <c r="F1060" s="2" t="s">
        <v>12</v>
      </c>
      <c r="G1060" s="2" t="s">
        <v>12</v>
      </c>
      <c r="H1060" s="2" t="s">
        <v>12</v>
      </c>
      <c r="I1060" s="2" t="s">
        <v>12</v>
      </c>
      <c r="J1060" s="2" t="s">
        <v>12</v>
      </c>
      <c r="K1060" s="2" t="s">
        <v>12</v>
      </c>
    </row>
    <row r="1061" spans="1:11" ht="12.5" x14ac:dyDescent="0.25">
      <c r="A1061" s="3" t="e">
        <f ca="1"/>
        <v>#NAME?</v>
      </c>
      <c r="B1061" s="2" t="s">
        <v>12</v>
      </c>
      <c r="C1061" s="2" t="s">
        <v>12</v>
      </c>
      <c r="D1061" s="2" t="s">
        <v>12</v>
      </c>
      <c r="E1061" s="2" t="s">
        <v>12</v>
      </c>
      <c r="F1061" s="2" t="s">
        <v>12</v>
      </c>
      <c r="G1061" s="2" t="s">
        <v>12</v>
      </c>
      <c r="H1061" s="2" t="s">
        <v>12</v>
      </c>
      <c r="I1061" s="2" t="s">
        <v>12</v>
      </c>
      <c r="J1061" s="2" t="s">
        <v>12</v>
      </c>
      <c r="K1061" s="2" t="s">
        <v>12</v>
      </c>
    </row>
    <row r="1062" spans="1:11" ht="12.5" x14ac:dyDescent="0.25">
      <c r="A1062" s="3" t="e">
        <f ca="1"/>
        <v>#NAME?</v>
      </c>
      <c r="B1062" s="2" t="s">
        <v>12</v>
      </c>
      <c r="C1062" s="2" t="s">
        <v>12</v>
      </c>
      <c r="D1062" s="2" t="s">
        <v>12</v>
      </c>
      <c r="E1062" s="2" t="s">
        <v>12</v>
      </c>
      <c r="F1062" s="2" t="s">
        <v>12</v>
      </c>
      <c r="G1062" s="2" t="s">
        <v>12</v>
      </c>
      <c r="H1062" s="2" t="s">
        <v>12</v>
      </c>
      <c r="I1062" s="2" t="s">
        <v>12</v>
      </c>
      <c r="J1062" s="2" t="s">
        <v>12</v>
      </c>
      <c r="K1062" s="2" t="s">
        <v>12</v>
      </c>
    </row>
    <row r="1063" spans="1:11" ht="12.5" x14ac:dyDescent="0.25">
      <c r="A1063" s="3" t="e">
        <f ca="1"/>
        <v>#NAME?</v>
      </c>
      <c r="B1063" s="2" t="s">
        <v>12</v>
      </c>
      <c r="C1063" s="2" t="s">
        <v>12</v>
      </c>
      <c r="D1063" s="2" t="s">
        <v>12</v>
      </c>
      <c r="E1063" s="2" t="s">
        <v>12</v>
      </c>
      <c r="F1063" s="2" t="s">
        <v>12</v>
      </c>
      <c r="G1063" s="2" t="s">
        <v>12</v>
      </c>
      <c r="H1063" s="2" t="s">
        <v>12</v>
      </c>
      <c r="I1063" s="2" t="s">
        <v>12</v>
      </c>
      <c r="J1063" s="2" t="s">
        <v>12</v>
      </c>
      <c r="K1063" s="2" t="s">
        <v>12</v>
      </c>
    </row>
    <row r="1064" spans="1:11" ht="12.5" x14ac:dyDescent="0.25">
      <c r="A1064" s="3" t="e">
        <f ca="1"/>
        <v>#NAME?</v>
      </c>
      <c r="B1064" s="2" t="s">
        <v>12</v>
      </c>
      <c r="C1064" s="2" t="s">
        <v>12</v>
      </c>
      <c r="D1064" s="2" t="s">
        <v>12</v>
      </c>
      <c r="E1064" s="2" t="s">
        <v>12</v>
      </c>
      <c r="F1064" s="2" t="s">
        <v>12</v>
      </c>
      <c r="G1064" s="2" t="s">
        <v>12</v>
      </c>
      <c r="H1064" s="2" t="s">
        <v>12</v>
      </c>
      <c r="I1064" s="2" t="s">
        <v>12</v>
      </c>
      <c r="J1064" s="2" t="s">
        <v>12</v>
      </c>
      <c r="K1064" s="2" t="s">
        <v>12</v>
      </c>
    </row>
    <row r="1065" spans="1:11" ht="12.5" x14ac:dyDescent="0.25">
      <c r="A1065" s="3" t="e">
        <f ca="1"/>
        <v>#NAME?</v>
      </c>
      <c r="B1065" s="2" t="s">
        <v>12</v>
      </c>
      <c r="C1065" s="2" t="s">
        <v>12</v>
      </c>
      <c r="D1065" s="2" t="s">
        <v>12</v>
      </c>
      <c r="E1065" s="2" t="s">
        <v>12</v>
      </c>
      <c r="F1065" s="2" t="s">
        <v>12</v>
      </c>
      <c r="G1065" s="2" t="s">
        <v>12</v>
      </c>
      <c r="H1065" s="2" t="s">
        <v>12</v>
      </c>
      <c r="I1065" s="2" t="s">
        <v>12</v>
      </c>
      <c r="J1065" s="2" t="s">
        <v>12</v>
      </c>
      <c r="K1065" s="2" t="s">
        <v>12</v>
      </c>
    </row>
    <row r="1066" spans="1:11" ht="12.5" x14ac:dyDescent="0.25">
      <c r="A1066" s="3" t="e">
        <f ca="1"/>
        <v>#NAME?</v>
      </c>
      <c r="B1066" s="2" t="s">
        <v>12</v>
      </c>
      <c r="C1066" s="2" t="s">
        <v>12</v>
      </c>
      <c r="D1066" s="2" t="s">
        <v>12</v>
      </c>
      <c r="E1066" s="2" t="s">
        <v>12</v>
      </c>
      <c r="F1066" s="2" t="s">
        <v>12</v>
      </c>
      <c r="G1066" s="2" t="s">
        <v>12</v>
      </c>
      <c r="H1066" s="2" t="s">
        <v>12</v>
      </c>
      <c r="I1066" s="2" t="s">
        <v>12</v>
      </c>
      <c r="J1066" s="2" t="s">
        <v>12</v>
      </c>
      <c r="K1066" s="2" t="s">
        <v>12</v>
      </c>
    </row>
    <row r="1067" spans="1:11" ht="12.5" x14ac:dyDescent="0.25">
      <c r="A1067" s="3" t="e">
        <f ca="1"/>
        <v>#NAME?</v>
      </c>
      <c r="B1067" s="2" t="s">
        <v>12</v>
      </c>
      <c r="C1067" s="2" t="s">
        <v>12</v>
      </c>
      <c r="D1067" s="2" t="s">
        <v>12</v>
      </c>
      <c r="E1067" s="2" t="s">
        <v>12</v>
      </c>
      <c r="F1067" s="2" t="s">
        <v>12</v>
      </c>
      <c r="G1067" s="2" t="s">
        <v>12</v>
      </c>
      <c r="H1067" s="2" t="s">
        <v>12</v>
      </c>
      <c r="I1067" s="2" t="s">
        <v>12</v>
      </c>
      <c r="J1067" s="2" t="s">
        <v>12</v>
      </c>
      <c r="K1067" s="2" t="s">
        <v>12</v>
      </c>
    </row>
    <row r="1068" spans="1:11" ht="12.5" x14ac:dyDescent="0.25">
      <c r="A1068" s="3" t="e">
        <f ca="1"/>
        <v>#NAME?</v>
      </c>
      <c r="B1068" s="2" t="s">
        <v>12</v>
      </c>
      <c r="C1068" s="2" t="s">
        <v>12</v>
      </c>
      <c r="D1068" s="2" t="s">
        <v>12</v>
      </c>
      <c r="E1068" s="2" t="s">
        <v>12</v>
      </c>
      <c r="F1068" s="2" t="s">
        <v>12</v>
      </c>
      <c r="G1068" s="2" t="s">
        <v>12</v>
      </c>
      <c r="H1068" s="2" t="s">
        <v>12</v>
      </c>
      <c r="I1068" s="2" t="s">
        <v>12</v>
      </c>
      <c r="J1068" s="2" t="s">
        <v>12</v>
      </c>
      <c r="K1068" s="2" t="s">
        <v>12</v>
      </c>
    </row>
    <row r="1069" spans="1:11" ht="12.5" x14ac:dyDescent="0.25">
      <c r="A1069" s="3" t="e">
        <f ca="1"/>
        <v>#NAME?</v>
      </c>
      <c r="B1069" s="2" t="s">
        <v>12</v>
      </c>
      <c r="C1069" s="2" t="s">
        <v>12</v>
      </c>
      <c r="D1069" s="2" t="s">
        <v>12</v>
      </c>
      <c r="E1069" s="2" t="s">
        <v>12</v>
      </c>
      <c r="F1069" s="2" t="s">
        <v>12</v>
      </c>
      <c r="G1069" s="2" t="s">
        <v>12</v>
      </c>
      <c r="H1069" s="2" t="s">
        <v>12</v>
      </c>
      <c r="I1069" s="2" t="s">
        <v>12</v>
      </c>
      <c r="J1069" s="2" t="s">
        <v>12</v>
      </c>
      <c r="K1069" s="2" t="s">
        <v>12</v>
      </c>
    </row>
    <row r="1070" spans="1:11" ht="12.5" x14ac:dyDescent="0.25">
      <c r="A1070" s="3" t="e">
        <f ca="1"/>
        <v>#NAME?</v>
      </c>
      <c r="B1070" s="2" t="s">
        <v>12</v>
      </c>
      <c r="C1070" s="2" t="s">
        <v>12</v>
      </c>
      <c r="D1070" s="2" t="s">
        <v>12</v>
      </c>
      <c r="E1070" s="2" t="s">
        <v>12</v>
      </c>
      <c r="F1070" s="2" t="s">
        <v>12</v>
      </c>
      <c r="G1070" s="2" t="s">
        <v>12</v>
      </c>
      <c r="H1070" s="2" t="s">
        <v>12</v>
      </c>
      <c r="I1070" s="2" t="s">
        <v>12</v>
      </c>
      <c r="J1070" s="2" t="s">
        <v>12</v>
      </c>
      <c r="K1070" s="2" t="s">
        <v>12</v>
      </c>
    </row>
    <row r="1071" spans="1:11" ht="12.5" x14ac:dyDescent="0.25">
      <c r="A1071" s="3" t="e">
        <f ca="1"/>
        <v>#NAME?</v>
      </c>
      <c r="B1071" s="2" t="s">
        <v>12</v>
      </c>
      <c r="C1071" s="2" t="s">
        <v>12</v>
      </c>
      <c r="D1071" s="2" t="s">
        <v>12</v>
      </c>
      <c r="E1071" s="2" t="s">
        <v>12</v>
      </c>
      <c r="F1071" s="2" t="s">
        <v>12</v>
      </c>
      <c r="G1071" s="2" t="s">
        <v>12</v>
      </c>
      <c r="H1071" s="2" t="s">
        <v>12</v>
      </c>
      <c r="I1071" s="2" t="s">
        <v>12</v>
      </c>
      <c r="J1071" s="2" t="s">
        <v>12</v>
      </c>
      <c r="K1071" s="2" t="s">
        <v>12</v>
      </c>
    </row>
    <row r="1072" spans="1:11" ht="12.5" x14ac:dyDescent="0.25">
      <c r="A1072" s="3" t="e">
        <f ca="1"/>
        <v>#NAME?</v>
      </c>
      <c r="B1072" s="2" t="s">
        <v>12</v>
      </c>
      <c r="C1072" s="2" t="s">
        <v>12</v>
      </c>
      <c r="D1072" s="2" t="s">
        <v>12</v>
      </c>
      <c r="E1072" s="2" t="s">
        <v>12</v>
      </c>
      <c r="F1072" s="2" t="s">
        <v>12</v>
      </c>
      <c r="G1072" s="2" t="s">
        <v>12</v>
      </c>
      <c r="H1072" s="2" t="s">
        <v>12</v>
      </c>
      <c r="I1072" s="2" t="s">
        <v>12</v>
      </c>
      <c r="J1072" s="2" t="s">
        <v>12</v>
      </c>
      <c r="K1072" s="2" t="s">
        <v>12</v>
      </c>
    </row>
    <row r="1073" spans="1:11" ht="12.5" x14ac:dyDescent="0.25">
      <c r="A1073" s="3" t="e">
        <f ca="1"/>
        <v>#NAME?</v>
      </c>
      <c r="B1073" s="2" t="s">
        <v>12</v>
      </c>
      <c r="C1073" s="2" t="s">
        <v>12</v>
      </c>
      <c r="D1073" s="2" t="s">
        <v>12</v>
      </c>
      <c r="E1073" s="2" t="s">
        <v>12</v>
      </c>
      <c r="F1073" s="2" t="s">
        <v>12</v>
      </c>
      <c r="G1073" s="2" t="s">
        <v>12</v>
      </c>
      <c r="H1073" s="2" t="s">
        <v>12</v>
      </c>
      <c r="I1073" s="2" t="s">
        <v>12</v>
      </c>
      <c r="J1073" s="2" t="s">
        <v>12</v>
      </c>
      <c r="K1073" s="2" t="s">
        <v>12</v>
      </c>
    </row>
    <row r="1074" spans="1:11" ht="12.5" x14ac:dyDescent="0.25">
      <c r="A1074" s="3" t="e">
        <f ca="1"/>
        <v>#NAME?</v>
      </c>
      <c r="B1074" s="2" t="s">
        <v>12</v>
      </c>
      <c r="C1074" s="2" t="s">
        <v>12</v>
      </c>
      <c r="D1074" s="2" t="s">
        <v>12</v>
      </c>
      <c r="E1074" s="2" t="s">
        <v>12</v>
      </c>
      <c r="F1074" s="2" t="s">
        <v>12</v>
      </c>
      <c r="G1074" s="2" t="s">
        <v>12</v>
      </c>
      <c r="H1074" s="2" t="s">
        <v>12</v>
      </c>
      <c r="I1074" s="2" t="s">
        <v>12</v>
      </c>
      <c r="J1074" s="2" t="s">
        <v>12</v>
      </c>
      <c r="K1074" s="2" t="s">
        <v>12</v>
      </c>
    </row>
    <row r="1075" spans="1:11" ht="12.5" x14ac:dyDescent="0.25">
      <c r="A1075" s="3" t="e">
        <f ca="1"/>
        <v>#NAME?</v>
      </c>
      <c r="B1075" s="2" t="s">
        <v>12</v>
      </c>
      <c r="C1075" s="2" t="s">
        <v>12</v>
      </c>
      <c r="D1075" s="2" t="s">
        <v>12</v>
      </c>
      <c r="E1075" s="2" t="s">
        <v>12</v>
      </c>
      <c r="F1075" s="2" t="s">
        <v>12</v>
      </c>
      <c r="G1075" s="2" t="s">
        <v>12</v>
      </c>
      <c r="H1075" s="2" t="s">
        <v>12</v>
      </c>
      <c r="I1075" s="2" t="s">
        <v>12</v>
      </c>
      <c r="J1075" s="2" t="s">
        <v>12</v>
      </c>
      <c r="K1075" s="2" t="s">
        <v>12</v>
      </c>
    </row>
    <row r="1076" spans="1:11" ht="12.5" x14ac:dyDescent="0.25">
      <c r="A1076" s="3" t="e">
        <f ca="1"/>
        <v>#NAME?</v>
      </c>
      <c r="B1076" s="2" t="s">
        <v>12</v>
      </c>
      <c r="C1076" s="2" t="s">
        <v>12</v>
      </c>
      <c r="D1076" s="2" t="s">
        <v>12</v>
      </c>
      <c r="E1076" s="2" t="s">
        <v>12</v>
      </c>
      <c r="F1076" s="2" t="s">
        <v>12</v>
      </c>
      <c r="G1076" s="2" t="s">
        <v>12</v>
      </c>
      <c r="H1076" s="2" t="s">
        <v>12</v>
      </c>
      <c r="I1076" s="2" t="s">
        <v>12</v>
      </c>
      <c r="J1076" s="2" t="s">
        <v>12</v>
      </c>
      <c r="K1076" s="2" t="s">
        <v>12</v>
      </c>
    </row>
    <row r="1077" spans="1:11" ht="12.5" x14ac:dyDescent="0.25">
      <c r="A1077" s="3" t="e">
        <f ca="1"/>
        <v>#NAME?</v>
      </c>
      <c r="B1077" s="2" t="s">
        <v>12</v>
      </c>
      <c r="C1077" s="2" t="s">
        <v>12</v>
      </c>
      <c r="D1077" s="2" t="s">
        <v>12</v>
      </c>
      <c r="E1077" s="2" t="s">
        <v>12</v>
      </c>
      <c r="F1077" s="2" t="s">
        <v>12</v>
      </c>
      <c r="G1077" s="2" t="s">
        <v>12</v>
      </c>
      <c r="H1077" s="2" t="s">
        <v>12</v>
      </c>
      <c r="I1077" s="2" t="s">
        <v>12</v>
      </c>
      <c r="J1077" s="2" t="s">
        <v>12</v>
      </c>
      <c r="K1077" s="2" t="s">
        <v>12</v>
      </c>
    </row>
    <row r="1078" spans="1:11" ht="12.5" x14ac:dyDescent="0.25">
      <c r="A1078" s="3" t="e">
        <f ca="1"/>
        <v>#NAME?</v>
      </c>
      <c r="B1078" s="2" t="s">
        <v>12</v>
      </c>
      <c r="C1078" s="2" t="s">
        <v>12</v>
      </c>
      <c r="D1078" s="2" t="s">
        <v>12</v>
      </c>
      <c r="E1078" s="2" t="s">
        <v>12</v>
      </c>
      <c r="F1078" s="2" t="s">
        <v>12</v>
      </c>
      <c r="G1078" s="2" t="s">
        <v>12</v>
      </c>
      <c r="H1078" s="2" t="s">
        <v>12</v>
      </c>
      <c r="I1078" s="2" t="s">
        <v>12</v>
      </c>
      <c r="J1078" s="2" t="s">
        <v>12</v>
      </c>
      <c r="K1078" s="2" t="s">
        <v>12</v>
      </c>
    </row>
    <row r="1079" spans="1:11" ht="12.5" x14ac:dyDescent="0.25">
      <c r="A1079" s="3" t="e">
        <f ca="1"/>
        <v>#NAME?</v>
      </c>
      <c r="B1079" s="2" t="s">
        <v>12</v>
      </c>
      <c r="C1079" s="2" t="s">
        <v>12</v>
      </c>
      <c r="D1079" s="2" t="s">
        <v>12</v>
      </c>
      <c r="E1079" s="2" t="s">
        <v>12</v>
      </c>
      <c r="F1079" s="2" t="s">
        <v>12</v>
      </c>
      <c r="G1079" s="2" t="s">
        <v>12</v>
      </c>
      <c r="H1079" s="2" t="s">
        <v>12</v>
      </c>
      <c r="I1079" s="2" t="s">
        <v>12</v>
      </c>
      <c r="J1079" s="2" t="s">
        <v>12</v>
      </c>
      <c r="K1079" s="2" t="s">
        <v>12</v>
      </c>
    </row>
    <row r="1080" spans="1:11" ht="12.5" x14ac:dyDescent="0.25">
      <c r="A1080" s="3" t="e">
        <f ca="1"/>
        <v>#NAME?</v>
      </c>
      <c r="B1080" s="2" t="s">
        <v>12</v>
      </c>
      <c r="C1080" s="2" t="s">
        <v>12</v>
      </c>
      <c r="D1080" s="2" t="s">
        <v>12</v>
      </c>
      <c r="E1080" s="2" t="s">
        <v>12</v>
      </c>
      <c r="F1080" s="2" t="s">
        <v>12</v>
      </c>
      <c r="G1080" s="2" t="s">
        <v>12</v>
      </c>
      <c r="H1080" s="2" t="s">
        <v>12</v>
      </c>
      <c r="I1080" s="2" t="s">
        <v>12</v>
      </c>
      <c r="J1080" s="2" t="s">
        <v>12</v>
      </c>
      <c r="K1080" s="2" t="s">
        <v>12</v>
      </c>
    </row>
    <row r="1081" spans="1:11" ht="12.5" x14ac:dyDescent="0.25">
      <c r="A1081" s="3" t="e">
        <f ca="1"/>
        <v>#NAME?</v>
      </c>
      <c r="B1081" s="2" t="s">
        <v>12</v>
      </c>
      <c r="C1081" s="2" t="s">
        <v>12</v>
      </c>
      <c r="D1081" s="2" t="s">
        <v>12</v>
      </c>
      <c r="E1081" s="2" t="s">
        <v>12</v>
      </c>
      <c r="F1081" s="2" t="s">
        <v>12</v>
      </c>
      <c r="G1081" s="2" t="s">
        <v>12</v>
      </c>
      <c r="H1081" s="2" t="s">
        <v>12</v>
      </c>
      <c r="I1081" s="2" t="s">
        <v>12</v>
      </c>
      <c r="J1081" s="2" t="s">
        <v>12</v>
      </c>
      <c r="K1081" s="2" t="s">
        <v>12</v>
      </c>
    </row>
    <row r="1082" spans="1:11" ht="12.5" x14ac:dyDescent="0.25">
      <c r="A1082" s="3" t="e">
        <f ca="1"/>
        <v>#NAME?</v>
      </c>
      <c r="B1082" s="2" t="s">
        <v>12</v>
      </c>
      <c r="C1082" s="2" t="s">
        <v>12</v>
      </c>
      <c r="D1082" s="2" t="s">
        <v>12</v>
      </c>
      <c r="E1082" s="2" t="s">
        <v>12</v>
      </c>
      <c r="F1082" s="2" t="s">
        <v>12</v>
      </c>
      <c r="G1082" s="2" t="s">
        <v>12</v>
      </c>
      <c r="H1082" s="2" t="s">
        <v>12</v>
      </c>
      <c r="I1082" s="2" t="s">
        <v>12</v>
      </c>
      <c r="J1082" s="2" t="s">
        <v>12</v>
      </c>
      <c r="K1082" s="2" t="s">
        <v>12</v>
      </c>
    </row>
    <row r="1083" spans="1:11" ht="12.5" x14ac:dyDescent="0.25">
      <c r="A1083" s="3" t="e">
        <f ca="1"/>
        <v>#NAME?</v>
      </c>
      <c r="B1083" s="2" t="s">
        <v>12</v>
      </c>
      <c r="C1083" s="2" t="s">
        <v>12</v>
      </c>
      <c r="D1083" s="2" t="s">
        <v>12</v>
      </c>
      <c r="E1083" s="2" t="s">
        <v>12</v>
      </c>
      <c r="F1083" s="2" t="s">
        <v>12</v>
      </c>
      <c r="G1083" s="2" t="s">
        <v>12</v>
      </c>
      <c r="H1083" s="2" t="s">
        <v>12</v>
      </c>
      <c r="I1083" s="2" t="s">
        <v>12</v>
      </c>
      <c r="J1083" s="2" t="s">
        <v>12</v>
      </c>
      <c r="K1083" s="2" t="s">
        <v>12</v>
      </c>
    </row>
    <row r="1084" spans="1:11" ht="12.5" x14ac:dyDescent="0.25">
      <c r="A1084" s="3" t="e">
        <f ca="1"/>
        <v>#NAME?</v>
      </c>
      <c r="B1084" s="2" t="s">
        <v>12</v>
      </c>
      <c r="C1084" s="2" t="s">
        <v>12</v>
      </c>
      <c r="D1084" s="2" t="s">
        <v>12</v>
      </c>
      <c r="E1084" s="2" t="s">
        <v>12</v>
      </c>
      <c r="F1084" s="2" t="s">
        <v>12</v>
      </c>
      <c r="G1084" s="2" t="s">
        <v>12</v>
      </c>
      <c r="H1084" s="2" t="s">
        <v>12</v>
      </c>
      <c r="I1084" s="2" t="s">
        <v>12</v>
      </c>
      <c r="J1084" s="2" t="s">
        <v>12</v>
      </c>
      <c r="K1084" s="2" t="s">
        <v>12</v>
      </c>
    </row>
    <row r="1085" spans="1:11" ht="12.5" x14ac:dyDescent="0.25">
      <c r="A1085" s="3" t="e">
        <f ca="1"/>
        <v>#NAME?</v>
      </c>
      <c r="B1085" s="2" t="s">
        <v>12</v>
      </c>
      <c r="C1085" s="2" t="s">
        <v>12</v>
      </c>
      <c r="D1085" s="2" t="s">
        <v>12</v>
      </c>
      <c r="E1085" s="2" t="s">
        <v>12</v>
      </c>
      <c r="F1085" s="2" t="s">
        <v>12</v>
      </c>
      <c r="G1085" s="2" t="s">
        <v>12</v>
      </c>
      <c r="H1085" s="2" t="s">
        <v>12</v>
      </c>
      <c r="I1085" s="2" t="s">
        <v>12</v>
      </c>
      <c r="J1085" s="2" t="s">
        <v>12</v>
      </c>
      <c r="K1085" s="2" t="s">
        <v>12</v>
      </c>
    </row>
    <row r="1086" spans="1:11" ht="12.5" x14ac:dyDescent="0.25">
      <c r="A1086" s="3" t="e">
        <f ca="1"/>
        <v>#NAME?</v>
      </c>
      <c r="B1086" s="2" t="s">
        <v>12</v>
      </c>
      <c r="C1086" s="2" t="s">
        <v>12</v>
      </c>
      <c r="D1086" s="2" t="s">
        <v>12</v>
      </c>
      <c r="E1086" s="2" t="s">
        <v>12</v>
      </c>
      <c r="F1086" s="2" t="s">
        <v>12</v>
      </c>
      <c r="G1086" s="2" t="s">
        <v>12</v>
      </c>
      <c r="H1086" s="2" t="s">
        <v>12</v>
      </c>
      <c r="I1086" s="2" t="s">
        <v>12</v>
      </c>
      <c r="J1086" s="2" t="s">
        <v>12</v>
      </c>
      <c r="K1086" s="2" t="s">
        <v>12</v>
      </c>
    </row>
    <row r="1087" spans="1:11" ht="12.5" x14ac:dyDescent="0.25">
      <c r="A1087" s="3" t="e">
        <f ca="1"/>
        <v>#NAME?</v>
      </c>
      <c r="B1087" s="2" t="s">
        <v>12</v>
      </c>
      <c r="C1087" s="2" t="s">
        <v>12</v>
      </c>
      <c r="D1087" s="2" t="s">
        <v>12</v>
      </c>
      <c r="E1087" s="2" t="s">
        <v>12</v>
      </c>
      <c r="F1087" s="2" t="s">
        <v>12</v>
      </c>
      <c r="G1087" s="2" t="s">
        <v>12</v>
      </c>
      <c r="H1087" s="2" t="s">
        <v>12</v>
      </c>
      <c r="I1087" s="2" t="s">
        <v>12</v>
      </c>
      <c r="J1087" s="2" t="s">
        <v>12</v>
      </c>
      <c r="K1087" s="2" t="s">
        <v>12</v>
      </c>
    </row>
    <row r="1088" spans="1:11" ht="12.5" x14ac:dyDescent="0.25">
      <c r="A1088" s="3" t="e">
        <f ca="1"/>
        <v>#NAME?</v>
      </c>
      <c r="B1088" s="2" t="s">
        <v>12</v>
      </c>
      <c r="C1088" s="2" t="s">
        <v>12</v>
      </c>
      <c r="D1088" s="2" t="s">
        <v>12</v>
      </c>
      <c r="E1088" s="2" t="s">
        <v>12</v>
      </c>
      <c r="F1088" s="2" t="s">
        <v>12</v>
      </c>
      <c r="G1088" s="2" t="s">
        <v>12</v>
      </c>
      <c r="H1088" s="2" t="s">
        <v>12</v>
      </c>
      <c r="I1088" s="2" t="s">
        <v>12</v>
      </c>
      <c r="J1088" s="2" t="s">
        <v>12</v>
      </c>
      <c r="K1088" s="2" t="s">
        <v>12</v>
      </c>
    </row>
    <row r="1089" spans="1:11" ht="12.5" x14ac:dyDescent="0.25">
      <c r="A1089" s="3" t="e">
        <f ca="1"/>
        <v>#NAME?</v>
      </c>
      <c r="B1089" s="2" t="s">
        <v>12</v>
      </c>
      <c r="C1089" s="2" t="s">
        <v>12</v>
      </c>
      <c r="D1089" s="2" t="s">
        <v>12</v>
      </c>
      <c r="E1089" s="2" t="s">
        <v>12</v>
      </c>
      <c r="F1089" s="2" t="s">
        <v>12</v>
      </c>
      <c r="G1089" s="2" t="s">
        <v>12</v>
      </c>
      <c r="H1089" s="2" t="s">
        <v>12</v>
      </c>
      <c r="I1089" s="2" t="s">
        <v>12</v>
      </c>
      <c r="J1089" s="2" t="s">
        <v>12</v>
      </c>
      <c r="K1089" s="2" t="s">
        <v>12</v>
      </c>
    </row>
    <row r="1090" spans="1:11" ht="12.5" x14ac:dyDescent="0.25">
      <c r="A1090" s="3" t="e">
        <f ca="1"/>
        <v>#NAME?</v>
      </c>
      <c r="B1090" s="2" t="s">
        <v>12</v>
      </c>
      <c r="C1090" s="2" t="s">
        <v>12</v>
      </c>
      <c r="D1090" s="2" t="s">
        <v>12</v>
      </c>
      <c r="E1090" s="2" t="s">
        <v>12</v>
      </c>
      <c r="F1090" s="2" t="s">
        <v>12</v>
      </c>
      <c r="G1090" s="2" t="s">
        <v>12</v>
      </c>
      <c r="H1090" s="2" t="s">
        <v>12</v>
      </c>
      <c r="I1090" s="2" t="s">
        <v>12</v>
      </c>
      <c r="J1090" s="2" t="s">
        <v>12</v>
      </c>
      <c r="K1090" s="2" t="s">
        <v>12</v>
      </c>
    </row>
    <row r="1091" spans="1:11" ht="12.5" x14ac:dyDescent="0.25">
      <c r="A1091" s="3" t="e">
        <f ca="1"/>
        <v>#NAME?</v>
      </c>
      <c r="B1091" s="2" t="s">
        <v>12</v>
      </c>
      <c r="C1091" s="2" t="s">
        <v>12</v>
      </c>
      <c r="D1091" s="2" t="s">
        <v>12</v>
      </c>
      <c r="E1091" s="2" t="s">
        <v>12</v>
      </c>
      <c r="F1091" s="2" t="s">
        <v>12</v>
      </c>
      <c r="G1091" s="2" t="s">
        <v>12</v>
      </c>
      <c r="H1091" s="2" t="s">
        <v>12</v>
      </c>
      <c r="I1091" s="2" t="s">
        <v>12</v>
      </c>
      <c r="J1091" s="2" t="s">
        <v>12</v>
      </c>
      <c r="K1091" s="2" t="s">
        <v>12</v>
      </c>
    </row>
    <row r="1092" spans="1:11" ht="12.5" x14ac:dyDescent="0.25">
      <c r="A1092" s="3" t="e">
        <f ca="1"/>
        <v>#NAME?</v>
      </c>
      <c r="B1092" s="2" t="s">
        <v>12</v>
      </c>
      <c r="C1092" s="2" t="s">
        <v>12</v>
      </c>
      <c r="D1092" s="2" t="s">
        <v>12</v>
      </c>
      <c r="E1092" s="2" t="s">
        <v>12</v>
      </c>
      <c r="F1092" s="2" t="s">
        <v>12</v>
      </c>
      <c r="G1092" s="2" t="s">
        <v>12</v>
      </c>
      <c r="H1092" s="2" t="s">
        <v>12</v>
      </c>
      <c r="I1092" s="2" t="s">
        <v>12</v>
      </c>
      <c r="J1092" s="2" t="s">
        <v>12</v>
      </c>
      <c r="K1092" s="2" t="s">
        <v>12</v>
      </c>
    </row>
    <row r="1093" spans="1:11" ht="12.5" x14ac:dyDescent="0.25">
      <c r="A1093" s="3" t="e">
        <f ca="1"/>
        <v>#NAME?</v>
      </c>
      <c r="B1093" s="2" t="s">
        <v>12</v>
      </c>
      <c r="C1093" s="2" t="s">
        <v>12</v>
      </c>
      <c r="D1093" s="2" t="s">
        <v>12</v>
      </c>
      <c r="E1093" s="2" t="s">
        <v>12</v>
      </c>
      <c r="F1093" s="2" t="s">
        <v>12</v>
      </c>
      <c r="G1093" s="2" t="s">
        <v>12</v>
      </c>
      <c r="H1093" s="2" t="s">
        <v>12</v>
      </c>
      <c r="I1093" s="2" t="s">
        <v>12</v>
      </c>
      <c r="J1093" s="2" t="s">
        <v>12</v>
      </c>
      <c r="K1093" s="2" t="s">
        <v>12</v>
      </c>
    </row>
    <row r="1094" spans="1:11" ht="12.5" x14ac:dyDescent="0.25">
      <c r="A1094" s="3" t="e">
        <f ca="1"/>
        <v>#NAME?</v>
      </c>
      <c r="B1094" s="2" t="s">
        <v>12</v>
      </c>
      <c r="C1094" s="2" t="s">
        <v>12</v>
      </c>
      <c r="D1094" s="2" t="s">
        <v>12</v>
      </c>
      <c r="E1094" s="2" t="s">
        <v>12</v>
      </c>
      <c r="F1094" s="2" t="s">
        <v>12</v>
      </c>
      <c r="G1094" s="2" t="s">
        <v>12</v>
      </c>
      <c r="H1094" s="2" t="s">
        <v>12</v>
      </c>
      <c r="I1094" s="2" t="s">
        <v>12</v>
      </c>
      <c r="J1094" s="2" t="s">
        <v>12</v>
      </c>
      <c r="K1094" s="2" t="s">
        <v>12</v>
      </c>
    </row>
    <row r="1095" spans="1:11" ht="12.5" x14ac:dyDescent="0.25">
      <c r="A1095" s="3" t="e">
        <f ca="1"/>
        <v>#NAME?</v>
      </c>
      <c r="B1095" s="2" t="s">
        <v>12</v>
      </c>
      <c r="C1095" s="2" t="s">
        <v>12</v>
      </c>
      <c r="D1095" s="2" t="s">
        <v>12</v>
      </c>
      <c r="E1095" s="2" t="s">
        <v>12</v>
      </c>
      <c r="F1095" s="2" t="s">
        <v>12</v>
      </c>
      <c r="G1095" s="2" t="s">
        <v>12</v>
      </c>
      <c r="H1095" s="2" t="s">
        <v>12</v>
      </c>
      <c r="I1095" s="2" t="s">
        <v>12</v>
      </c>
      <c r="J1095" s="2" t="s">
        <v>12</v>
      </c>
      <c r="K1095" s="2" t="s">
        <v>12</v>
      </c>
    </row>
    <row r="1096" spans="1:11" ht="12.5" x14ac:dyDescent="0.25">
      <c r="A1096" s="3" t="e">
        <f ca="1"/>
        <v>#NAME?</v>
      </c>
      <c r="B1096" s="2" t="s">
        <v>12</v>
      </c>
      <c r="C1096" s="2" t="s">
        <v>12</v>
      </c>
      <c r="D1096" s="2" t="s">
        <v>12</v>
      </c>
      <c r="E1096" s="2" t="s">
        <v>12</v>
      </c>
      <c r="F1096" s="2" t="s">
        <v>12</v>
      </c>
      <c r="G1096" s="2" t="s">
        <v>12</v>
      </c>
      <c r="H1096" s="2" t="s">
        <v>12</v>
      </c>
      <c r="I1096" s="2" t="s">
        <v>12</v>
      </c>
      <c r="J1096" s="2" t="s">
        <v>12</v>
      </c>
      <c r="K1096" s="2" t="s">
        <v>12</v>
      </c>
    </row>
    <row r="1097" spans="1:11" ht="12.5" x14ac:dyDescent="0.25">
      <c r="A1097" s="3" t="e">
        <f ca="1"/>
        <v>#NAME?</v>
      </c>
      <c r="B1097" s="2" t="s">
        <v>12</v>
      </c>
      <c r="C1097" s="2" t="s">
        <v>12</v>
      </c>
      <c r="D1097" s="2" t="s">
        <v>12</v>
      </c>
      <c r="E1097" s="2" t="s">
        <v>12</v>
      </c>
      <c r="F1097" s="2" t="s">
        <v>12</v>
      </c>
      <c r="G1097" s="2" t="s">
        <v>12</v>
      </c>
      <c r="H1097" s="2" t="s">
        <v>12</v>
      </c>
      <c r="I1097" s="2" t="s">
        <v>12</v>
      </c>
      <c r="J1097" s="2" t="s">
        <v>12</v>
      </c>
      <c r="K1097" s="2" t="s">
        <v>12</v>
      </c>
    </row>
    <row r="1098" spans="1:11" ht="12.5" x14ac:dyDescent="0.25">
      <c r="A1098" s="3" t="e">
        <f ca="1"/>
        <v>#NAME?</v>
      </c>
      <c r="B1098" s="2" t="s">
        <v>12</v>
      </c>
      <c r="C1098" s="2" t="s">
        <v>12</v>
      </c>
      <c r="D1098" s="2" t="s">
        <v>12</v>
      </c>
      <c r="E1098" s="2" t="s">
        <v>12</v>
      </c>
      <c r="F1098" s="2" t="s">
        <v>12</v>
      </c>
      <c r="G1098" s="2" t="s">
        <v>12</v>
      </c>
      <c r="H1098" s="2" t="s">
        <v>12</v>
      </c>
      <c r="I1098" s="2" t="s">
        <v>12</v>
      </c>
      <c r="J1098" s="2" t="s">
        <v>12</v>
      </c>
      <c r="K1098" s="2" t="s">
        <v>12</v>
      </c>
    </row>
    <row r="1099" spans="1:11" ht="12.5" x14ac:dyDescent="0.25">
      <c r="A1099" s="3" t="e">
        <f ca="1"/>
        <v>#NAME?</v>
      </c>
      <c r="B1099" s="2" t="s">
        <v>12</v>
      </c>
      <c r="C1099" s="2" t="s">
        <v>12</v>
      </c>
      <c r="D1099" s="2" t="s">
        <v>12</v>
      </c>
      <c r="E1099" s="2" t="s">
        <v>12</v>
      </c>
      <c r="F1099" s="2" t="s">
        <v>12</v>
      </c>
      <c r="G1099" s="2" t="s">
        <v>12</v>
      </c>
      <c r="H1099" s="2" t="s">
        <v>12</v>
      </c>
      <c r="I1099" s="2" t="s">
        <v>12</v>
      </c>
      <c r="J1099" s="2" t="s">
        <v>12</v>
      </c>
      <c r="K1099" s="2" t="s">
        <v>12</v>
      </c>
    </row>
    <row r="1100" spans="1:11" ht="12.5" x14ac:dyDescent="0.25">
      <c r="A1100" s="3" t="e">
        <f ca="1"/>
        <v>#NAME?</v>
      </c>
      <c r="B1100" s="2" t="s">
        <v>12</v>
      </c>
      <c r="C1100" s="2" t="s">
        <v>12</v>
      </c>
      <c r="D1100" s="2" t="s">
        <v>12</v>
      </c>
      <c r="E1100" s="2" t="s">
        <v>12</v>
      </c>
      <c r="F1100" s="2" t="s">
        <v>12</v>
      </c>
      <c r="G1100" s="2" t="s">
        <v>12</v>
      </c>
      <c r="H1100" s="2" t="s">
        <v>12</v>
      </c>
      <c r="I1100" s="2" t="s">
        <v>12</v>
      </c>
      <c r="J1100" s="2" t="s">
        <v>12</v>
      </c>
      <c r="K1100" s="2" t="s">
        <v>12</v>
      </c>
    </row>
    <row r="1101" spans="1:11" ht="12.5" x14ac:dyDescent="0.25">
      <c r="A1101" s="3" t="e">
        <f ca="1"/>
        <v>#NAME?</v>
      </c>
      <c r="B1101" s="2" t="s">
        <v>12</v>
      </c>
      <c r="C1101" s="2" t="s">
        <v>12</v>
      </c>
      <c r="D1101" s="2" t="s">
        <v>12</v>
      </c>
      <c r="E1101" s="2" t="s">
        <v>12</v>
      </c>
      <c r="F1101" s="2" t="s">
        <v>12</v>
      </c>
      <c r="G1101" s="2" t="s">
        <v>12</v>
      </c>
      <c r="H1101" s="2" t="s">
        <v>12</v>
      </c>
      <c r="I1101" s="2" t="s">
        <v>12</v>
      </c>
      <c r="J1101" s="2" t="s">
        <v>12</v>
      </c>
      <c r="K1101" s="2" t="s">
        <v>12</v>
      </c>
    </row>
    <row r="1102" spans="1:11" ht="12.5" x14ac:dyDescent="0.25">
      <c r="A1102" s="3" t="e">
        <f ca="1"/>
        <v>#NAME?</v>
      </c>
      <c r="B1102" s="2" t="s">
        <v>12</v>
      </c>
      <c r="C1102" s="2" t="s">
        <v>12</v>
      </c>
      <c r="D1102" s="2" t="s">
        <v>12</v>
      </c>
      <c r="E1102" s="2" t="s">
        <v>12</v>
      </c>
      <c r="F1102" s="2" t="s">
        <v>12</v>
      </c>
      <c r="G1102" s="2" t="s">
        <v>12</v>
      </c>
      <c r="H1102" s="2" t="s">
        <v>12</v>
      </c>
      <c r="I1102" s="2" t="s">
        <v>12</v>
      </c>
      <c r="J1102" s="2" t="s">
        <v>12</v>
      </c>
      <c r="K1102" s="2" t="s">
        <v>12</v>
      </c>
    </row>
    <row r="1103" spans="1:11" ht="12.5" x14ac:dyDescent="0.25">
      <c r="A1103" s="3" t="e">
        <f ca="1"/>
        <v>#NAME?</v>
      </c>
      <c r="B1103" s="2" t="s">
        <v>12</v>
      </c>
      <c r="C1103" s="2" t="s">
        <v>12</v>
      </c>
      <c r="D1103" s="2" t="s">
        <v>12</v>
      </c>
      <c r="E1103" s="2" t="s">
        <v>12</v>
      </c>
      <c r="F1103" s="2" t="s">
        <v>12</v>
      </c>
      <c r="G1103" s="2" t="s">
        <v>12</v>
      </c>
      <c r="H1103" s="2" t="s">
        <v>12</v>
      </c>
      <c r="I1103" s="2" t="s">
        <v>12</v>
      </c>
      <c r="J1103" s="2" t="s">
        <v>12</v>
      </c>
      <c r="K1103" s="2" t="s">
        <v>12</v>
      </c>
    </row>
    <row r="1104" spans="1:11" ht="12.5" x14ac:dyDescent="0.25">
      <c r="A1104" s="3" t="e">
        <f ca="1"/>
        <v>#NAME?</v>
      </c>
      <c r="B1104" s="2" t="s">
        <v>12</v>
      </c>
      <c r="C1104" s="2" t="s">
        <v>12</v>
      </c>
      <c r="D1104" s="2" t="s">
        <v>12</v>
      </c>
      <c r="E1104" s="2" t="s">
        <v>12</v>
      </c>
      <c r="F1104" s="2" t="s">
        <v>12</v>
      </c>
      <c r="G1104" s="2" t="s">
        <v>12</v>
      </c>
      <c r="H1104" s="2" t="s">
        <v>12</v>
      </c>
      <c r="I1104" s="2" t="s">
        <v>12</v>
      </c>
      <c r="J1104" s="2" t="s">
        <v>12</v>
      </c>
      <c r="K1104" s="2" t="s">
        <v>12</v>
      </c>
    </row>
    <row r="1105" spans="1:11" ht="12.5" x14ac:dyDescent="0.25">
      <c r="A1105" s="3" t="e">
        <f ca="1"/>
        <v>#NAME?</v>
      </c>
      <c r="B1105" s="2" t="s">
        <v>12</v>
      </c>
      <c r="C1105" s="2" t="s">
        <v>12</v>
      </c>
      <c r="D1105" s="2" t="s">
        <v>12</v>
      </c>
      <c r="E1105" s="2" t="s">
        <v>12</v>
      </c>
      <c r="F1105" s="2" t="s">
        <v>12</v>
      </c>
      <c r="G1105" s="2" t="s">
        <v>12</v>
      </c>
      <c r="H1105" s="2" t="s">
        <v>12</v>
      </c>
      <c r="I1105" s="2" t="s">
        <v>12</v>
      </c>
      <c r="J1105" s="2" t="s">
        <v>12</v>
      </c>
      <c r="K1105" s="2" t="s">
        <v>12</v>
      </c>
    </row>
    <row r="1106" spans="1:11" ht="12.5" x14ac:dyDescent="0.25">
      <c r="A1106" s="3" t="e">
        <f ca="1"/>
        <v>#NAME?</v>
      </c>
      <c r="B1106" s="2" t="s">
        <v>12</v>
      </c>
      <c r="C1106" s="2" t="s">
        <v>12</v>
      </c>
      <c r="D1106" s="2" t="s">
        <v>12</v>
      </c>
      <c r="E1106" s="2" t="s">
        <v>12</v>
      </c>
      <c r="F1106" s="2" t="s">
        <v>12</v>
      </c>
      <c r="G1106" s="2" t="s">
        <v>12</v>
      </c>
      <c r="H1106" s="2" t="s">
        <v>12</v>
      </c>
      <c r="I1106" s="2" t="s">
        <v>12</v>
      </c>
      <c r="J1106" s="2" t="s">
        <v>12</v>
      </c>
      <c r="K1106" s="2" t="s">
        <v>12</v>
      </c>
    </row>
    <row r="1107" spans="1:11" ht="12.5" x14ac:dyDescent="0.25">
      <c r="A1107" s="3" t="e">
        <f ca="1"/>
        <v>#NAME?</v>
      </c>
      <c r="B1107" s="2" t="s">
        <v>12</v>
      </c>
      <c r="C1107" s="2" t="s">
        <v>12</v>
      </c>
      <c r="D1107" s="2" t="s">
        <v>12</v>
      </c>
      <c r="E1107" s="2" t="s">
        <v>12</v>
      </c>
      <c r="F1107" s="2" t="s">
        <v>12</v>
      </c>
      <c r="G1107" s="2" t="s">
        <v>12</v>
      </c>
      <c r="H1107" s="2" t="s">
        <v>12</v>
      </c>
      <c r="I1107" s="2" t="s">
        <v>12</v>
      </c>
      <c r="J1107" s="2" t="s">
        <v>12</v>
      </c>
      <c r="K1107" s="2" t="s">
        <v>12</v>
      </c>
    </row>
    <row r="1108" spans="1:11" ht="12.5" x14ac:dyDescent="0.25">
      <c r="A1108" s="3" t="e">
        <f ca="1"/>
        <v>#NAME?</v>
      </c>
      <c r="B1108" s="2" t="s">
        <v>12</v>
      </c>
      <c r="C1108" s="2" t="s">
        <v>12</v>
      </c>
      <c r="D1108" s="2" t="s">
        <v>12</v>
      </c>
      <c r="E1108" s="2" t="s">
        <v>12</v>
      </c>
      <c r="F1108" s="2" t="s">
        <v>12</v>
      </c>
      <c r="G1108" s="2" t="s">
        <v>12</v>
      </c>
      <c r="H1108" s="2" t="s">
        <v>12</v>
      </c>
      <c r="I1108" s="2" t="s">
        <v>12</v>
      </c>
      <c r="J1108" s="2" t="s">
        <v>12</v>
      </c>
      <c r="K1108" s="2" t="s">
        <v>12</v>
      </c>
    </row>
    <row r="1109" spans="1:11" ht="12.5" x14ac:dyDescent="0.25">
      <c r="A1109" s="3" t="e">
        <f ca="1"/>
        <v>#NAME?</v>
      </c>
      <c r="B1109" s="2" t="s">
        <v>12</v>
      </c>
      <c r="C1109" s="2" t="s">
        <v>12</v>
      </c>
      <c r="D1109" s="2" t="s">
        <v>12</v>
      </c>
      <c r="E1109" s="2" t="s">
        <v>12</v>
      </c>
      <c r="F1109" s="2" t="s">
        <v>12</v>
      </c>
      <c r="G1109" s="2" t="s">
        <v>12</v>
      </c>
      <c r="H1109" s="2" t="s">
        <v>12</v>
      </c>
      <c r="I1109" s="2" t="s">
        <v>12</v>
      </c>
      <c r="J1109" s="2" t="s">
        <v>12</v>
      </c>
      <c r="K1109" s="2" t="s">
        <v>12</v>
      </c>
    </row>
    <row r="1110" spans="1:11" ht="12.5" x14ac:dyDescent="0.25">
      <c r="A1110" s="3" t="e">
        <f ca="1"/>
        <v>#NAME?</v>
      </c>
      <c r="B1110" s="2" t="s">
        <v>12</v>
      </c>
      <c r="C1110" s="2" t="s">
        <v>12</v>
      </c>
      <c r="D1110" s="2" t="s">
        <v>12</v>
      </c>
      <c r="E1110" s="2" t="s">
        <v>12</v>
      </c>
      <c r="F1110" s="2" t="s">
        <v>12</v>
      </c>
      <c r="G1110" s="2" t="s">
        <v>12</v>
      </c>
      <c r="H1110" s="2" t="s">
        <v>12</v>
      </c>
      <c r="I1110" s="2" t="s">
        <v>12</v>
      </c>
      <c r="J1110" s="2" t="s">
        <v>12</v>
      </c>
      <c r="K1110" s="2" t="s">
        <v>12</v>
      </c>
    </row>
    <row r="1111" spans="1:11" ht="12.5" x14ac:dyDescent="0.25">
      <c r="A1111" s="3" t="e">
        <f ca="1"/>
        <v>#NAME?</v>
      </c>
      <c r="B1111" s="2" t="s">
        <v>12</v>
      </c>
      <c r="C1111" s="2" t="s">
        <v>12</v>
      </c>
      <c r="D1111" s="2" t="s">
        <v>12</v>
      </c>
      <c r="E1111" s="2" t="s">
        <v>12</v>
      </c>
      <c r="F1111" s="2" t="s">
        <v>12</v>
      </c>
      <c r="G1111" s="2" t="s">
        <v>12</v>
      </c>
      <c r="H1111" s="2" t="s">
        <v>12</v>
      </c>
      <c r="I1111" s="2" t="s">
        <v>12</v>
      </c>
      <c r="J1111" s="2" t="s">
        <v>12</v>
      </c>
      <c r="K1111" s="2" t="s">
        <v>12</v>
      </c>
    </row>
    <row r="1112" spans="1:11" ht="12.5" x14ac:dyDescent="0.25">
      <c r="A1112" s="3" t="e">
        <f ca="1"/>
        <v>#NAME?</v>
      </c>
      <c r="B1112" s="2" t="s">
        <v>12</v>
      </c>
      <c r="C1112" s="2" t="s">
        <v>12</v>
      </c>
      <c r="D1112" s="2" t="s">
        <v>12</v>
      </c>
      <c r="E1112" s="2" t="s">
        <v>12</v>
      </c>
      <c r="F1112" s="2" t="s">
        <v>12</v>
      </c>
      <c r="G1112" s="2" t="s">
        <v>12</v>
      </c>
      <c r="H1112" s="2" t="s">
        <v>12</v>
      </c>
      <c r="I1112" s="2" t="s">
        <v>12</v>
      </c>
      <c r="J1112" s="2" t="s">
        <v>12</v>
      </c>
      <c r="K1112" s="2" t="s">
        <v>12</v>
      </c>
    </row>
    <row r="1113" spans="1:11" ht="12.5" x14ac:dyDescent="0.25">
      <c r="A1113" s="3" t="e">
        <f ca="1"/>
        <v>#NAME?</v>
      </c>
      <c r="B1113" s="2" t="s">
        <v>12</v>
      </c>
      <c r="C1113" s="2" t="s">
        <v>12</v>
      </c>
      <c r="D1113" s="2" t="s">
        <v>12</v>
      </c>
      <c r="E1113" s="2" t="s">
        <v>12</v>
      </c>
      <c r="F1113" s="2" t="s">
        <v>12</v>
      </c>
      <c r="G1113" s="2" t="s">
        <v>12</v>
      </c>
      <c r="H1113" s="2" t="s">
        <v>12</v>
      </c>
      <c r="I1113" s="2" t="s">
        <v>12</v>
      </c>
      <c r="J1113" s="2" t="s">
        <v>12</v>
      </c>
      <c r="K1113" s="2" t="s">
        <v>12</v>
      </c>
    </row>
    <row r="1114" spans="1:11" ht="12.5" x14ac:dyDescent="0.25">
      <c r="A1114" s="3" t="e">
        <f ca="1"/>
        <v>#NAME?</v>
      </c>
      <c r="B1114" s="2" t="s">
        <v>12</v>
      </c>
      <c r="C1114" s="2" t="s">
        <v>12</v>
      </c>
      <c r="D1114" s="2" t="s">
        <v>12</v>
      </c>
      <c r="E1114" s="2" t="s">
        <v>12</v>
      </c>
      <c r="F1114" s="2" t="s">
        <v>12</v>
      </c>
      <c r="G1114" s="2" t="s">
        <v>12</v>
      </c>
      <c r="H1114" s="2" t="s">
        <v>12</v>
      </c>
      <c r="I1114" s="2" t="s">
        <v>12</v>
      </c>
      <c r="J1114" s="2" t="s">
        <v>12</v>
      </c>
      <c r="K1114" s="2" t="s">
        <v>12</v>
      </c>
    </row>
    <row r="1115" spans="1:11" ht="12.5" x14ac:dyDescent="0.25">
      <c r="A1115" s="3" t="e">
        <f ca="1"/>
        <v>#NAME?</v>
      </c>
      <c r="B1115" s="2" t="s">
        <v>12</v>
      </c>
      <c r="C1115" s="2" t="s">
        <v>12</v>
      </c>
      <c r="D1115" s="2" t="s">
        <v>12</v>
      </c>
      <c r="E1115" s="2" t="s">
        <v>12</v>
      </c>
      <c r="F1115" s="2" t="s">
        <v>12</v>
      </c>
      <c r="G1115" s="2" t="s">
        <v>12</v>
      </c>
      <c r="H1115" s="2" t="s">
        <v>12</v>
      </c>
      <c r="I1115" s="2" t="s">
        <v>12</v>
      </c>
      <c r="J1115" s="2" t="s">
        <v>12</v>
      </c>
      <c r="K1115" s="2" t="s">
        <v>12</v>
      </c>
    </row>
    <row r="1116" spans="1:11" ht="12.5" x14ac:dyDescent="0.25">
      <c r="A1116" s="3" t="e">
        <f ca="1"/>
        <v>#NAME?</v>
      </c>
      <c r="B1116" s="2" t="s">
        <v>12</v>
      </c>
      <c r="C1116" s="2" t="s">
        <v>12</v>
      </c>
      <c r="D1116" s="2" t="s">
        <v>12</v>
      </c>
      <c r="E1116" s="2" t="s">
        <v>12</v>
      </c>
      <c r="F1116" s="2" t="s">
        <v>12</v>
      </c>
      <c r="G1116" s="2" t="s">
        <v>12</v>
      </c>
      <c r="H1116" s="2" t="s">
        <v>12</v>
      </c>
      <c r="I1116" s="2" t="s">
        <v>12</v>
      </c>
      <c r="J1116" s="2" t="s">
        <v>12</v>
      </c>
      <c r="K1116" s="2" t="s">
        <v>12</v>
      </c>
    </row>
    <row r="1117" spans="1:11" ht="12.5" x14ac:dyDescent="0.25">
      <c r="A1117" s="3" t="e">
        <f ca="1"/>
        <v>#NAME?</v>
      </c>
      <c r="B1117" s="2" t="s">
        <v>12</v>
      </c>
      <c r="C1117" s="2" t="s">
        <v>12</v>
      </c>
      <c r="D1117" s="2" t="s">
        <v>12</v>
      </c>
      <c r="E1117" s="2" t="s">
        <v>12</v>
      </c>
      <c r="F1117" s="2" t="s">
        <v>12</v>
      </c>
      <c r="G1117" s="2" t="s">
        <v>12</v>
      </c>
      <c r="H1117" s="2" t="s">
        <v>12</v>
      </c>
      <c r="I1117" s="2" t="s">
        <v>12</v>
      </c>
      <c r="J1117" s="2" t="s">
        <v>12</v>
      </c>
      <c r="K1117" s="2" t="s">
        <v>12</v>
      </c>
    </row>
    <row r="1118" spans="1:11" ht="12.5" x14ac:dyDescent="0.25">
      <c r="A1118" s="3" t="e">
        <f ca="1"/>
        <v>#NAME?</v>
      </c>
      <c r="B1118" s="2" t="s">
        <v>12</v>
      </c>
      <c r="C1118" s="2" t="s">
        <v>12</v>
      </c>
      <c r="D1118" s="2" t="s">
        <v>12</v>
      </c>
      <c r="E1118" s="2" t="s">
        <v>12</v>
      </c>
      <c r="F1118" s="2" t="s">
        <v>12</v>
      </c>
      <c r="G1118" s="2" t="s">
        <v>12</v>
      </c>
      <c r="H1118" s="2" t="s">
        <v>12</v>
      </c>
      <c r="I1118" s="2" t="s">
        <v>12</v>
      </c>
      <c r="J1118" s="2" t="s">
        <v>12</v>
      </c>
      <c r="K1118" s="2" t="s">
        <v>12</v>
      </c>
    </row>
    <row r="1119" spans="1:11" ht="12.5" x14ac:dyDescent="0.25">
      <c r="A1119" s="3" t="e">
        <f ca="1"/>
        <v>#NAME?</v>
      </c>
      <c r="B1119" s="2" t="s">
        <v>12</v>
      </c>
      <c r="C1119" s="2" t="s">
        <v>12</v>
      </c>
      <c r="D1119" s="2" t="s">
        <v>12</v>
      </c>
      <c r="E1119" s="2" t="s">
        <v>12</v>
      </c>
      <c r="F1119" s="2" t="s">
        <v>12</v>
      </c>
      <c r="G1119" s="2" t="s">
        <v>12</v>
      </c>
      <c r="H1119" s="2" t="s">
        <v>12</v>
      </c>
      <c r="I1119" s="2" t="s">
        <v>12</v>
      </c>
      <c r="J1119" s="2" t="s">
        <v>12</v>
      </c>
      <c r="K1119" s="2" t="s">
        <v>12</v>
      </c>
    </row>
    <row r="1120" spans="1:11" ht="12.5" x14ac:dyDescent="0.25">
      <c r="A1120" s="3" t="e">
        <f ca="1"/>
        <v>#NAME?</v>
      </c>
      <c r="B1120" s="2" t="s">
        <v>12</v>
      </c>
      <c r="C1120" s="2" t="s">
        <v>12</v>
      </c>
      <c r="D1120" s="2" t="s">
        <v>12</v>
      </c>
      <c r="E1120" s="2" t="s">
        <v>12</v>
      </c>
      <c r="F1120" s="2" t="s">
        <v>12</v>
      </c>
      <c r="G1120" s="2" t="s">
        <v>12</v>
      </c>
      <c r="H1120" s="2" t="s">
        <v>12</v>
      </c>
      <c r="I1120" s="2" t="s">
        <v>12</v>
      </c>
      <c r="J1120" s="2" t="s">
        <v>12</v>
      </c>
      <c r="K1120" s="2" t="s">
        <v>12</v>
      </c>
    </row>
    <row r="1121" spans="1:11" ht="12.5" x14ac:dyDescent="0.25">
      <c r="A1121" s="3" t="e">
        <f ca="1"/>
        <v>#NAME?</v>
      </c>
      <c r="B1121" s="2" t="s">
        <v>12</v>
      </c>
      <c r="C1121" s="2" t="s">
        <v>12</v>
      </c>
      <c r="D1121" s="2" t="s">
        <v>12</v>
      </c>
      <c r="E1121" s="2" t="s">
        <v>12</v>
      </c>
      <c r="F1121" s="2" t="s">
        <v>12</v>
      </c>
      <c r="G1121" s="2" t="s">
        <v>12</v>
      </c>
      <c r="H1121" s="2" t="s">
        <v>12</v>
      </c>
      <c r="I1121" s="2" t="s">
        <v>12</v>
      </c>
      <c r="J1121" s="2" t="s">
        <v>12</v>
      </c>
      <c r="K1121" s="2" t="s">
        <v>12</v>
      </c>
    </row>
    <row r="1122" spans="1:11" ht="12.5" x14ac:dyDescent="0.25">
      <c r="A1122" s="3" t="e">
        <f ca="1"/>
        <v>#NAME?</v>
      </c>
      <c r="B1122" s="2" t="s">
        <v>12</v>
      </c>
      <c r="C1122" s="2" t="s">
        <v>12</v>
      </c>
      <c r="D1122" s="2" t="s">
        <v>12</v>
      </c>
      <c r="E1122" s="2" t="s">
        <v>12</v>
      </c>
      <c r="F1122" s="2" t="s">
        <v>12</v>
      </c>
      <c r="G1122" s="2" t="s">
        <v>12</v>
      </c>
      <c r="H1122" s="2" t="s">
        <v>12</v>
      </c>
      <c r="I1122" s="2" t="s">
        <v>12</v>
      </c>
      <c r="J1122" s="2" t="s">
        <v>12</v>
      </c>
      <c r="K1122" s="2" t="s">
        <v>12</v>
      </c>
    </row>
    <row r="1123" spans="1:11" ht="12.5" x14ac:dyDescent="0.25">
      <c r="A1123" s="3" t="e">
        <f ca="1"/>
        <v>#NAME?</v>
      </c>
      <c r="B1123" s="2" t="s">
        <v>12</v>
      </c>
      <c r="C1123" s="2" t="s">
        <v>12</v>
      </c>
      <c r="D1123" s="2" t="s">
        <v>12</v>
      </c>
      <c r="E1123" s="2" t="s">
        <v>12</v>
      </c>
      <c r="F1123" s="2" t="s">
        <v>12</v>
      </c>
      <c r="G1123" s="2" t="s">
        <v>12</v>
      </c>
      <c r="H1123" s="2" t="s">
        <v>12</v>
      </c>
      <c r="I1123" s="2" t="s">
        <v>12</v>
      </c>
      <c r="J1123" s="2" t="s">
        <v>12</v>
      </c>
      <c r="K1123" s="2" t="s">
        <v>12</v>
      </c>
    </row>
    <row r="1124" spans="1:11" ht="12.5" x14ac:dyDescent="0.25">
      <c r="A1124" s="3" t="e">
        <f ca="1"/>
        <v>#NAME?</v>
      </c>
      <c r="B1124" s="2" t="s">
        <v>12</v>
      </c>
      <c r="C1124" s="2" t="s">
        <v>12</v>
      </c>
      <c r="D1124" s="2" t="s">
        <v>12</v>
      </c>
      <c r="E1124" s="2" t="s">
        <v>12</v>
      </c>
      <c r="F1124" s="2" t="s">
        <v>12</v>
      </c>
      <c r="G1124" s="2" t="s">
        <v>12</v>
      </c>
      <c r="H1124" s="2" t="s">
        <v>12</v>
      </c>
      <c r="I1124" s="2" t="s">
        <v>12</v>
      </c>
      <c r="J1124" s="2" t="s">
        <v>12</v>
      </c>
      <c r="K1124" s="2" t="s">
        <v>12</v>
      </c>
    </row>
    <row r="1125" spans="1:11" ht="12.5" x14ac:dyDescent="0.25">
      <c r="A1125" s="3" t="e">
        <f ca="1"/>
        <v>#NAME?</v>
      </c>
      <c r="B1125" s="2" t="s">
        <v>12</v>
      </c>
      <c r="C1125" s="2" t="s">
        <v>12</v>
      </c>
      <c r="D1125" s="2" t="s">
        <v>12</v>
      </c>
      <c r="E1125" s="2" t="s">
        <v>12</v>
      </c>
      <c r="F1125" s="2" t="s">
        <v>12</v>
      </c>
      <c r="G1125" s="2" t="s">
        <v>12</v>
      </c>
      <c r="H1125" s="2" t="s">
        <v>12</v>
      </c>
      <c r="I1125" s="2" t="s">
        <v>12</v>
      </c>
      <c r="J1125" s="2" t="s">
        <v>12</v>
      </c>
      <c r="K1125" s="2" t="s">
        <v>12</v>
      </c>
    </row>
    <row r="1126" spans="1:11" ht="12.5" x14ac:dyDescent="0.25">
      <c r="A1126" s="3" t="e">
        <f ca="1"/>
        <v>#NAME?</v>
      </c>
      <c r="B1126" s="2" t="s">
        <v>12</v>
      </c>
      <c r="C1126" s="2" t="s">
        <v>12</v>
      </c>
      <c r="D1126" s="2" t="s">
        <v>12</v>
      </c>
      <c r="E1126" s="2" t="s">
        <v>12</v>
      </c>
      <c r="F1126" s="2" t="s">
        <v>12</v>
      </c>
      <c r="G1126" s="2" t="s">
        <v>12</v>
      </c>
      <c r="H1126" s="2" t="s">
        <v>12</v>
      </c>
      <c r="I1126" s="2" t="s">
        <v>12</v>
      </c>
      <c r="J1126" s="2" t="s">
        <v>12</v>
      </c>
      <c r="K1126" s="2" t="s">
        <v>12</v>
      </c>
    </row>
    <row r="1127" spans="1:11" ht="12.5" x14ac:dyDescent="0.25">
      <c r="A1127" s="3" t="e">
        <f ca="1"/>
        <v>#NAME?</v>
      </c>
      <c r="B1127" s="2" t="s">
        <v>12</v>
      </c>
      <c r="C1127" s="2" t="s">
        <v>12</v>
      </c>
      <c r="D1127" s="2" t="s">
        <v>12</v>
      </c>
      <c r="E1127" s="2" t="s">
        <v>12</v>
      </c>
      <c r="F1127" s="2" t="s">
        <v>12</v>
      </c>
      <c r="G1127" s="2" t="s">
        <v>12</v>
      </c>
      <c r="H1127" s="2" t="s">
        <v>12</v>
      </c>
      <c r="I1127" s="2" t="s">
        <v>12</v>
      </c>
      <c r="J1127" s="2" t="s">
        <v>12</v>
      </c>
      <c r="K1127" s="2" t="s">
        <v>12</v>
      </c>
    </row>
    <row r="1128" spans="1:11" ht="12.5" x14ac:dyDescent="0.25">
      <c r="A1128" s="3" t="e">
        <f ca="1"/>
        <v>#NAME?</v>
      </c>
      <c r="B1128" s="2" t="s">
        <v>12</v>
      </c>
      <c r="C1128" s="2" t="s">
        <v>12</v>
      </c>
      <c r="D1128" s="2" t="s">
        <v>12</v>
      </c>
      <c r="E1128" s="2" t="s">
        <v>12</v>
      </c>
      <c r="F1128" s="2" t="s">
        <v>12</v>
      </c>
      <c r="G1128" s="2" t="s">
        <v>12</v>
      </c>
      <c r="H1128" s="2" t="s">
        <v>12</v>
      </c>
      <c r="I1128" s="2" t="s">
        <v>12</v>
      </c>
      <c r="J1128" s="2" t="s">
        <v>12</v>
      </c>
      <c r="K1128" s="2" t="s">
        <v>12</v>
      </c>
    </row>
    <row r="1129" spans="1:11" ht="12.5" x14ac:dyDescent="0.25">
      <c r="A1129" s="3" t="e">
        <f ca="1"/>
        <v>#NAME?</v>
      </c>
      <c r="B1129" s="2" t="s">
        <v>12</v>
      </c>
      <c r="C1129" s="2" t="s">
        <v>12</v>
      </c>
      <c r="D1129" s="2" t="s">
        <v>12</v>
      </c>
      <c r="E1129" s="2" t="s">
        <v>12</v>
      </c>
      <c r="F1129" s="2" t="s">
        <v>12</v>
      </c>
      <c r="G1129" s="2" t="s">
        <v>12</v>
      </c>
      <c r="H1129" s="2" t="s">
        <v>12</v>
      </c>
      <c r="I1129" s="2" t="s">
        <v>12</v>
      </c>
      <c r="J1129" s="2" t="s">
        <v>12</v>
      </c>
      <c r="K1129" s="2" t="s">
        <v>12</v>
      </c>
    </row>
    <row r="1130" spans="1:11" ht="12.5" x14ac:dyDescent="0.25">
      <c r="A1130" s="3" t="e">
        <f ca="1"/>
        <v>#NAME?</v>
      </c>
      <c r="B1130" s="2" t="s">
        <v>12</v>
      </c>
      <c r="C1130" s="2" t="s">
        <v>12</v>
      </c>
      <c r="D1130" s="2" t="s">
        <v>12</v>
      </c>
      <c r="E1130" s="2" t="s">
        <v>12</v>
      </c>
      <c r="F1130" s="2" t="s">
        <v>12</v>
      </c>
      <c r="G1130" s="2" t="s">
        <v>12</v>
      </c>
      <c r="H1130" s="2" t="s">
        <v>12</v>
      </c>
      <c r="I1130" s="2" t="s">
        <v>12</v>
      </c>
      <c r="J1130" s="2" t="s">
        <v>12</v>
      </c>
      <c r="K1130" s="2" t="s">
        <v>12</v>
      </c>
    </row>
    <row r="1131" spans="1:11" ht="12.5" x14ac:dyDescent="0.25">
      <c r="A1131" s="3" t="e">
        <f ca="1"/>
        <v>#NAME?</v>
      </c>
      <c r="B1131" s="2" t="s">
        <v>12</v>
      </c>
      <c r="C1131" s="2" t="s">
        <v>12</v>
      </c>
      <c r="D1131" s="2" t="s">
        <v>12</v>
      </c>
      <c r="E1131" s="2" t="s">
        <v>12</v>
      </c>
      <c r="F1131" s="2" t="s">
        <v>12</v>
      </c>
      <c r="G1131" s="2" t="s">
        <v>12</v>
      </c>
      <c r="H1131" s="2" t="s">
        <v>12</v>
      </c>
      <c r="I1131" s="2" t="s">
        <v>12</v>
      </c>
      <c r="J1131" s="2" t="s">
        <v>12</v>
      </c>
      <c r="K1131" s="2" t="s">
        <v>12</v>
      </c>
    </row>
    <row r="1132" spans="1:11" ht="12.5" x14ac:dyDescent="0.25">
      <c r="A1132" s="3" t="e">
        <f ca="1"/>
        <v>#NAME?</v>
      </c>
      <c r="B1132" s="2" t="s">
        <v>12</v>
      </c>
      <c r="C1132" s="2" t="s">
        <v>12</v>
      </c>
      <c r="D1132" s="2" t="s">
        <v>12</v>
      </c>
      <c r="E1132" s="2" t="s">
        <v>12</v>
      </c>
      <c r="F1132" s="2" t="s">
        <v>12</v>
      </c>
      <c r="G1132" s="2" t="s">
        <v>12</v>
      </c>
      <c r="H1132" s="2" t="s">
        <v>12</v>
      </c>
      <c r="I1132" s="2" t="s">
        <v>12</v>
      </c>
      <c r="J1132" s="2" t="s">
        <v>12</v>
      </c>
      <c r="K1132" s="2" t="s">
        <v>12</v>
      </c>
    </row>
    <row r="1133" spans="1:11" ht="12.5" x14ac:dyDescent="0.25">
      <c r="A1133" s="3" t="e">
        <f ca="1"/>
        <v>#NAME?</v>
      </c>
      <c r="B1133" s="2" t="s">
        <v>12</v>
      </c>
      <c r="C1133" s="2" t="s">
        <v>12</v>
      </c>
      <c r="D1133" s="2" t="s">
        <v>12</v>
      </c>
      <c r="E1133" s="2" t="s">
        <v>12</v>
      </c>
      <c r="F1133" s="2" t="s">
        <v>12</v>
      </c>
      <c r="G1133" s="2" t="s">
        <v>12</v>
      </c>
      <c r="H1133" s="2" t="s">
        <v>12</v>
      </c>
      <c r="I1133" s="2" t="s">
        <v>12</v>
      </c>
      <c r="J1133" s="2" t="s">
        <v>12</v>
      </c>
      <c r="K1133" s="2" t="s">
        <v>12</v>
      </c>
    </row>
    <row r="1134" spans="1:11" ht="12.5" x14ac:dyDescent="0.25">
      <c r="A1134" s="3" t="e">
        <f ca="1"/>
        <v>#NAME?</v>
      </c>
      <c r="B1134" s="2" t="s">
        <v>12</v>
      </c>
      <c r="C1134" s="2" t="s">
        <v>12</v>
      </c>
      <c r="D1134" s="2" t="s">
        <v>12</v>
      </c>
      <c r="E1134" s="2" t="s">
        <v>12</v>
      </c>
      <c r="F1134" s="2" t="s">
        <v>12</v>
      </c>
      <c r="G1134" s="2" t="s">
        <v>12</v>
      </c>
      <c r="H1134" s="2" t="s">
        <v>12</v>
      </c>
      <c r="I1134" s="2" t="s">
        <v>12</v>
      </c>
      <c r="J1134" s="2" t="s">
        <v>12</v>
      </c>
      <c r="K1134" s="2" t="s">
        <v>12</v>
      </c>
    </row>
    <row r="1135" spans="1:11" ht="12.5" x14ac:dyDescent="0.25">
      <c r="A1135" s="3" t="e">
        <f ca="1"/>
        <v>#NAME?</v>
      </c>
      <c r="B1135" s="2" t="s">
        <v>12</v>
      </c>
      <c r="C1135" s="2" t="s">
        <v>12</v>
      </c>
      <c r="D1135" s="2" t="s">
        <v>12</v>
      </c>
      <c r="E1135" s="2" t="s">
        <v>12</v>
      </c>
      <c r="F1135" s="2" t="s">
        <v>12</v>
      </c>
      <c r="G1135" s="2" t="s">
        <v>12</v>
      </c>
      <c r="H1135" s="2" t="s">
        <v>12</v>
      </c>
      <c r="I1135" s="2" t="s">
        <v>12</v>
      </c>
      <c r="J1135" s="2" t="s">
        <v>12</v>
      </c>
      <c r="K1135" s="2" t="s">
        <v>12</v>
      </c>
    </row>
    <row r="1136" spans="1:11" ht="12.5" x14ac:dyDescent="0.25">
      <c r="A1136" s="3" t="e">
        <f ca="1"/>
        <v>#NAME?</v>
      </c>
      <c r="B1136" s="2" t="s">
        <v>12</v>
      </c>
      <c r="C1136" s="2" t="s">
        <v>12</v>
      </c>
      <c r="D1136" s="2" t="s">
        <v>12</v>
      </c>
      <c r="E1136" s="2" t="s">
        <v>12</v>
      </c>
      <c r="F1136" s="2" t="s">
        <v>12</v>
      </c>
      <c r="G1136" s="2" t="s">
        <v>12</v>
      </c>
      <c r="H1136" s="2" t="s">
        <v>12</v>
      </c>
      <c r="I1136" s="2" t="s">
        <v>12</v>
      </c>
      <c r="J1136" s="2" t="s">
        <v>12</v>
      </c>
      <c r="K1136" s="2" t="s">
        <v>12</v>
      </c>
    </row>
    <row r="1137" spans="1:11" ht="12.5" x14ac:dyDescent="0.25">
      <c r="A1137" s="3" t="e">
        <f ca="1"/>
        <v>#NAME?</v>
      </c>
      <c r="B1137" s="2" t="s">
        <v>12</v>
      </c>
      <c r="C1137" s="2" t="s">
        <v>12</v>
      </c>
      <c r="D1137" s="2" t="s">
        <v>12</v>
      </c>
      <c r="E1137" s="2" t="s">
        <v>12</v>
      </c>
      <c r="F1137" s="2" t="s">
        <v>12</v>
      </c>
      <c r="G1137" s="2" t="s">
        <v>12</v>
      </c>
      <c r="H1137" s="2" t="s">
        <v>12</v>
      </c>
      <c r="I1137" s="2" t="s">
        <v>12</v>
      </c>
      <c r="J1137" s="2" t="s">
        <v>12</v>
      </c>
      <c r="K1137" s="2" t="s">
        <v>12</v>
      </c>
    </row>
    <row r="1138" spans="1:11" ht="12.5" x14ac:dyDescent="0.25">
      <c r="A1138" s="3" t="e">
        <f ca="1"/>
        <v>#NAME?</v>
      </c>
      <c r="B1138" s="2" t="s">
        <v>12</v>
      </c>
      <c r="C1138" s="2" t="s">
        <v>12</v>
      </c>
      <c r="D1138" s="2" t="s">
        <v>12</v>
      </c>
      <c r="E1138" s="2" t="s">
        <v>12</v>
      </c>
      <c r="F1138" s="2" t="s">
        <v>12</v>
      </c>
      <c r="G1138" s="2" t="s">
        <v>12</v>
      </c>
      <c r="H1138" s="2" t="s">
        <v>12</v>
      </c>
      <c r="I1138" s="2" t="s">
        <v>12</v>
      </c>
      <c r="J1138" s="2" t="s">
        <v>12</v>
      </c>
      <c r="K1138" s="2" t="s">
        <v>12</v>
      </c>
    </row>
    <row r="1139" spans="1:11" ht="12.5" x14ac:dyDescent="0.25">
      <c r="A1139" s="3" t="e">
        <f ca="1"/>
        <v>#NAME?</v>
      </c>
      <c r="B1139" s="2" t="s">
        <v>12</v>
      </c>
      <c r="C1139" s="2" t="s">
        <v>12</v>
      </c>
      <c r="D1139" s="2" t="s">
        <v>12</v>
      </c>
      <c r="E1139" s="2" t="s">
        <v>12</v>
      </c>
      <c r="F1139" s="2" t="s">
        <v>12</v>
      </c>
      <c r="G1139" s="2" t="s">
        <v>12</v>
      </c>
      <c r="H1139" s="2" t="s">
        <v>12</v>
      </c>
      <c r="I1139" s="2" t="s">
        <v>12</v>
      </c>
      <c r="J1139" s="2" t="s">
        <v>12</v>
      </c>
      <c r="K1139" s="2" t="s">
        <v>12</v>
      </c>
    </row>
    <row r="1140" spans="1:11" ht="12.5" x14ac:dyDescent="0.25">
      <c r="A1140" s="3" t="e">
        <f ca="1"/>
        <v>#NAME?</v>
      </c>
      <c r="B1140" s="2" t="s">
        <v>12</v>
      </c>
      <c r="C1140" s="2" t="s">
        <v>12</v>
      </c>
      <c r="D1140" s="2" t="s">
        <v>12</v>
      </c>
      <c r="E1140" s="2" t="s">
        <v>12</v>
      </c>
      <c r="F1140" s="2" t="s">
        <v>12</v>
      </c>
      <c r="G1140" s="2" t="s">
        <v>12</v>
      </c>
      <c r="H1140" s="2" t="s">
        <v>12</v>
      </c>
      <c r="I1140" s="2" t="s">
        <v>12</v>
      </c>
      <c r="J1140" s="2" t="s">
        <v>12</v>
      </c>
      <c r="K1140" s="2" t="s">
        <v>12</v>
      </c>
    </row>
    <row r="1141" spans="1:11" ht="12.5" x14ac:dyDescent="0.25">
      <c r="A1141" s="3" t="e">
        <f ca="1"/>
        <v>#NAME?</v>
      </c>
      <c r="B1141" s="2" t="s">
        <v>12</v>
      </c>
      <c r="C1141" s="2" t="s">
        <v>12</v>
      </c>
      <c r="D1141" s="2" t="s">
        <v>12</v>
      </c>
      <c r="E1141" s="2" t="s">
        <v>12</v>
      </c>
      <c r="F1141" s="2" t="s">
        <v>12</v>
      </c>
      <c r="G1141" s="2" t="s">
        <v>12</v>
      </c>
      <c r="H1141" s="2" t="s">
        <v>12</v>
      </c>
      <c r="I1141" s="2" t="s">
        <v>12</v>
      </c>
      <c r="J1141" s="2" t="s">
        <v>12</v>
      </c>
      <c r="K1141" s="2" t="s">
        <v>12</v>
      </c>
    </row>
    <row r="1142" spans="1:11" ht="12.5" x14ac:dyDescent="0.25">
      <c r="A1142" s="3" t="e">
        <f ca="1"/>
        <v>#NAME?</v>
      </c>
      <c r="B1142" s="2" t="s">
        <v>12</v>
      </c>
      <c r="C1142" s="2" t="s">
        <v>12</v>
      </c>
      <c r="D1142" s="2" t="s">
        <v>12</v>
      </c>
      <c r="E1142" s="2" t="s">
        <v>12</v>
      </c>
      <c r="F1142" s="2" t="s">
        <v>12</v>
      </c>
      <c r="G1142" s="2" t="s">
        <v>12</v>
      </c>
      <c r="H1142" s="2" t="s">
        <v>12</v>
      </c>
      <c r="I1142" s="2" t="s">
        <v>12</v>
      </c>
      <c r="J1142" s="2" t="s">
        <v>12</v>
      </c>
      <c r="K1142" s="2" t="s">
        <v>12</v>
      </c>
    </row>
    <row r="1143" spans="1:11" ht="12.5" x14ac:dyDescent="0.25">
      <c r="A1143" s="3" t="e">
        <f ca="1"/>
        <v>#NAME?</v>
      </c>
      <c r="B1143" s="2" t="s">
        <v>12</v>
      </c>
      <c r="C1143" s="2" t="s">
        <v>12</v>
      </c>
      <c r="D1143" s="2" t="s">
        <v>12</v>
      </c>
      <c r="E1143" s="2" t="s">
        <v>12</v>
      </c>
      <c r="F1143" s="2" t="s">
        <v>12</v>
      </c>
      <c r="G1143" s="2" t="s">
        <v>12</v>
      </c>
      <c r="H1143" s="2" t="s">
        <v>12</v>
      </c>
      <c r="I1143" s="2" t="s">
        <v>12</v>
      </c>
      <c r="J1143" s="2" t="s">
        <v>12</v>
      </c>
      <c r="K1143" s="2" t="s">
        <v>12</v>
      </c>
    </row>
    <row r="1144" spans="1:11" ht="12.5" x14ac:dyDescent="0.25">
      <c r="A1144" s="3" t="e">
        <f ca="1"/>
        <v>#NAME?</v>
      </c>
      <c r="B1144" s="2" t="s">
        <v>12</v>
      </c>
      <c r="C1144" s="2" t="s">
        <v>12</v>
      </c>
      <c r="D1144" s="2" t="s">
        <v>12</v>
      </c>
      <c r="E1144" s="2" t="s">
        <v>12</v>
      </c>
      <c r="F1144" s="2" t="s">
        <v>12</v>
      </c>
      <c r="G1144" s="2" t="s">
        <v>12</v>
      </c>
      <c r="H1144" s="2" t="s">
        <v>12</v>
      </c>
      <c r="I1144" s="2" t="s">
        <v>12</v>
      </c>
      <c r="J1144" s="2" t="s">
        <v>12</v>
      </c>
      <c r="K1144" s="2" t="s">
        <v>12</v>
      </c>
    </row>
    <row r="1145" spans="1:11" ht="12.5" x14ac:dyDescent="0.25">
      <c r="A1145" s="3" t="e">
        <f ca="1"/>
        <v>#NAME?</v>
      </c>
      <c r="B1145" s="2" t="s">
        <v>12</v>
      </c>
      <c r="C1145" s="2" t="s">
        <v>12</v>
      </c>
      <c r="D1145" s="2" t="s">
        <v>12</v>
      </c>
      <c r="E1145" s="2" t="s">
        <v>12</v>
      </c>
      <c r="F1145" s="2" t="s">
        <v>12</v>
      </c>
      <c r="G1145" s="2" t="s">
        <v>12</v>
      </c>
      <c r="H1145" s="2" t="s">
        <v>12</v>
      </c>
      <c r="I1145" s="2" t="s">
        <v>12</v>
      </c>
      <c r="J1145" s="2" t="s">
        <v>12</v>
      </c>
      <c r="K1145" s="2" t="s">
        <v>12</v>
      </c>
    </row>
    <row r="1146" spans="1:11" ht="12.5" x14ac:dyDescent="0.25">
      <c r="A1146" s="3" t="e">
        <f ca="1"/>
        <v>#NAME?</v>
      </c>
      <c r="B1146" s="2" t="s">
        <v>12</v>
      </c>
      <c r="C1146" s="2" t="s">
        <v>12</v>
      </c>
      <c r="D1146" s="2" t="s">
        <v>12</v>
      </c>
      <c r="E1146" s="2" t="s">
        <v>12</v>
      </c>
      <c r="F1146" s="2" t="s">
        <v>12</v>
      </c>
      <c r="G1146" s="2" t="s">
        <v>12</v>
      </c>
      <c r="H1146" s="2" t="s">
        <v>12</v>
      </c>
      <c r="I1146" s="2" t="s">
        <v>12</v>
      </c>
      <c r="J1146" s="2" t="s">
        <v>12</v>
      </c>
      <c r="K1146" s="2" t="s">
        <v>12</v>
      </c>
    </row>
    <row r="1147" spans="1:11" ht="12.5" x14ac:dyDescent="0.25">
      <c r="A1147" s="3" t="e">
        <f ca="1"/>
        <v>#NAME?</v>
      </c>
      <c r="B1147" s="2" t="s">
        <v>12</v>
      </c>
      <c r="C1147" s="2" t="s">
        <v>12</v>
      </c>
      <c r="D1147" s="2" t="s">
        <v>12</v>
      </c>
      <c r="E1147" s="2" t="s">
        <v>12</v>
      </c>
      <c r="F1147" s="2" t="s">
        <v>12</v>
      </c>
      <c r="G1147" s="2" t="s">
        <v>12</v>
      </c>
      <c r="H1147" s="2" t="s">
        <v>12</v>
      </c>
      <c r="I1147" s="2" t="s">
        <v>12</v>
      </c>
      <c r="J1147" s="2" t="s">
        <v>12</v>
      </c>
      <c r="K1147" s="2" t="s">
        <v>12</v>
      </c>
    </row>
    <row r="1148" spans="1:11" ht="12.5" x14ac:dyDescent="0.25">
      <c r="A1148" s="3" t="e">
        <f ca="1"/>
        <v>#NAME?</v>
      </c>
      <c r="B1148" s="2" t="s">
        <v>12</v>
      </c>
      <c r="C1148" s="2" t="s">
        <v>12</v>
      </c>
      <c r="D1148" s="2" t="s">
        <v>12</v>
      </c>
      <c r="E1148" s="2" t="s">
        <v>12</v>
      </c>
      <c r="F1148" s="2" t="s">
        <v>12</v>
      </c>
      <c r="G1148" s="2" t="s">
        <v>12</v>
      </c>
      <c r="H1148" s="2" t="s">
        <v>12</v>
      </c>
      <c r="I1148" s="2" t="s">
        <v>12</v>
      </c>
      <c r="J1148" s="2" t="s">
        <v>12</v>
      </c>
      <c r="K1148" s="2" t="s">
        <v>12</v>
      </c>
    </row>
    <row r="1149" spans="1:11" ht="12.5" x14ac:dyDescent="0.25">
      <c r="A1149" s="3" t="e">
        <f ca="1"/>
        <v>#NAME?</v>
      </c>
      <c r="B1149" s="2" t="s">
        <v>12</v>
      </c>
      <c r="C1149" s="2" t="s">
        <v>12</v>
      </c>
      <c r="D1149" s="2" t="s">
        <v>12</v>
      </c>
      <c r="E1149" s="2" t="s">
        <v>12</v>
      </c>
      <c r="F1149" s="2" t="s">
        <v>12</v>
      </c>
      <c r="G1149" s="2" t="s">
        <v>12</v>
      </c>
      <c r="H1149" s="2" t="s">
        <v>12</v>
      </c>
      <c r="I1149" s="2" t="s">
        <v>12</v>
      </c>
      <c r="J1149" s="2" t="s">
        <v>12</v>
      </c>
      <c r="K1149" s="2" t="s">
        <v>12</v>
      </c>
    </row>
    <row r="1150" spans="1:11" ht="12.5" x14ac:dyDescent="0.25">
      <c r="A1150" s="3" t="e">
        <f ca="1"/>
        <v>#NAME?</v>
      </c>
      <c r="B1150" s="2" t="s">
        <v>12</v>
      </c>
      <c r="C1150" s="2" t="s">
        <v>12</v>
      </c>
      <c r="D1150" s="2" t="s">
        <v>12</v>
      </c>
      <c r="E1150" s="2" t="s">
        <v>12</v>
      </c>
      <c r="F1150" s="2" t="s">
        <v>12</v>
      </c>
      <c r="G1150" s="2" t="s">
        <v>12</v>
      </c>
      <c r="H1150" s="2" t="s">
        <v>12</v>
      </c>
      <c r="I1150" s="2" t="s">
        <v>12</v>
      </c>
      <c r="J1150" s="2" t="s">
        <v>12</v>
      </c>
      <c r="K1150" s="2" t="s">
        <v>12</v>
      </c>
    </row>
    <row r="1151" spans="1:11" ht="12.5" x14ac:dyDescent="0.25">
      <c r="A1151" s="3" t="e">
        <f ca="1"/>
        <v>#NAME?</v>
      </c>
      <c r="B1151" s="2" t="s">
        <v>12</v>
      </c>
      <c r="C1151" s="2" t="s">
        <v>12</v>
      </c>
      <c r="D1151" s="2" t="s">
        <v>12</v>
      </c>
      <c r="E1151" s="2" t="s">
        <v>12</v>
      </c>
      <c r="F1151" s="2" t="s">
        <v>12</v>
      </c>
      <c r="G1151" s="2" t="s">
        <v>12</v>
      </c>
      <c r="H1151" s="2" t="s">
        <v>12</v>
      </c>
      <c r="I1151" s="2" t="s">
        <v>12</v>
      </c>
      <c r="J1151" s="2" t="s">
        <v>12</v>
      </c>
      <c r="K1151" s="2" t="s">
        <v>12</v>
      </c>
    </row>
    <row r="1152" spans="1:11" ht="12.5" x14ac:dyDescent="0.25">
      <c r="A1152" s="3" t="e">
        <f ca="1"/>
        <v>#NAME?</v>
      </c>
      <c r="B1152" s="2" t="s">
        <v>12</v>
      </c>
      <c r="C1152" s="2" t="s">
        <v>12</v>
      </c>
      <c r="D1152" s="2" t="s">
        <v>12</v>
      </c>
      <c r="E1152" s="2" t="s">
        <v>12</v>
      </c>
      <c r="F1152" s="2" t="s">
        <v>12</v>
      </c>
      <c r="G1152" s="2" t="s">
        <v>12</v>
      </c>
      <c r="H1152" s="2" t="s">
        <v>12</v>
      </c>
      <c r="I1152" s="2" t="s">
        <v>12</v>
      </c>
      <c r="J1152" s="2" t="s">
        <v>12</v>
      </c>
      <c r="K1152" s="2" t="s">
        <v>12</v>
      </c>
    </row>
    <row r="1153" spans="1:11" ht="12.5" x14ac:dyDescent="0.25">
      <c r="A1153" s="3" t="e">
        <f ca="1"/>
        <v>#NAME?</v>
      </c>
      <c r="B1153" s="2" t="s">
        <v>12</v>
      </c>
      <c r="C1153" s="2" t="s">
        <v>12</v>
      </c>
      <c r="D1153" s="2" t="s">
        <v>12</v>
      </c>
      <c r="E1153" s="2" t="s">
        <v>12</v>
      </c>
      <c r="F1153" s="2" t="s">
        <v>12</v>
      </c>
      <c r="G1153" s="2" t="s">
        <v>12</v>
      </c>
      <c r="H1153" s="2" t="s">
        <v>12</v>
      </c>
      <c r="I1153" s="2" t="s">
        <v>12</v>
      </c>
      <c r="J1153" s="2" t="s">
        <v>12</v>
      </c>
      <c r="K1153" s="2" t="s">
        <v>12</v>
      </c>
    </row>
    <row r="1154" spans="1:11" ht="12.5" x14ac:dyDescent="0.25">
      <c r="A1154" s="3" t="e">
        <f ca="1"/>
        <v>#NAME?</v>
      </c>
      <c r="B1154" s="2" t="s">
        <v>12</v>
      </c>
      <c r="C1154" s="2" t="s">
        <v>12</v>
      </c>
      <c r="D1154" s="2" t="s">
        <v>12</v>
      </c>
      <c r="E1154" s="2" t="s">
        <v>12</v>
      </c>
      <c r="F1154" s="2" t="s">
        <v>12</v>
      </c>
      <c r="G1154" s="2" t="s">
        <v>12</v>
      </c>
      <c r="H1154" s="2" t="s">
        <v>12</v>
      </c>
      <c r="I1154" s="2" t="s">
        <v>12</v>
      </c>
      <c r="J1154" s="2" t="s">
        <v>12</v>
      </c>
      <c r="K1154" s="2" t="s">
        <v>12</v>
      </c>
    </row>
    <row r="1155" spans="1:11" ht="12.5" x14ac:dyDescent="0.25">
      <c r="A1155" s="3" t="e">
        <f ca="1"/>
        <v>#NAME?</v>
      </c>
      <c r="B1155" s="2" t="s">
        <v>12</v>
      </c>
      <c r="C1155" s="2" t="s">
        <v>12</v>
      </c>
      <c r="D1155" s="2" t="s">
        <v>12</v>
      </c>
      <c r="E1155" s="2" t="s">
        <v>12</v>
      </c>
      <c r="F1155" s="2" t="s">
        <v>12</v>
      </c>
      <c r="G1155" s="2" t="s">
        <v>12</v>
      </c>
      <c r="H1155" s="2" t="s">
        <v>12</v>
      </c>
      <c r="I1155" s="2" t="s">
        <v>12</v>
      </c>
      <c r="J1155" s="2" t="s">
        <v>12</v>
      </c>
      <c r="K1155" s="2" t="s">
        <v>12</v>
      </c>
    </row>
    <row r="1156" spans="1:11" ht="12.5" x14ac:dyDescent="0.25">
      <c r="A1156" s="3" t="e">
        <f ca="1"/>
        <v>#NAME?</v>
      </c>
      <c r="B1156" s="2" t="s">
        <v>12</v>
      </c>
      <c r="C1156" s="2" t="s">
        <v>12</v>
      </c>
      <c r="D1156" s="2" t="s">
        <v>12</v>
      </c>
      <c r="E1156" s="2" t="s">
        <v>12</v>
      </c>
      <c r="F1156" s="2" t="s">
        <v>12</v>
      </c>
      <c r="G1156" s="2" t="s">
        <v>12</v>
      </c>
      <c r="H1156" s="2" t="s">
        <v>12</v>
      </c>
      <c r="I1156" s="2" t="s">
        <v>12</v>
      </c>
      <c r="J1156" s="2" t="s">
        <v>12</v>
      </c>
      <c r="K1156" s="2" t="s">
        <v>12</v>
      </c>
    </row>
    <row r="1157" spans="1:11" ht="12.5" x14ac:dyDescent="0.25">
      <c r="A1157" s="3" t="e">
        <f ca="1"/>
        <v>#NAME?</v>
      </c>
      <c r="B1157" s="2" t="s">
        <v>12</v>
      </c>
      <c r="C1157" s="2" t="s">
        <v>12</v>
      </c>
      <c r="D1157" s="2" t="s">
        <v>12</v>
      </c>
      <c r="E1157" s="2" t="s">
        <v>12</v>
      </c>
      <c r="F1157" s="2" t="s">
        <v>12</v>
      </c>
      <c r="G1157" s="2" t="s">
        <v>12</v>
      </c>
      <c r="H1157" s="2" t="s">
        <v>12</v>
      </c>
      <c r="I1157" s="2" t="s">
        <v>12</v>
      </c>
      <c r="J1157" s="2" t="s">
        <v>12</v>
      </c>
      <c r="K1157" s="2" t="s">
        <v>12</v>
      </c>
    </row>
    <row r="1158" spans="1:11" ht="12.5" x14ac:dyDescent="0.25">
      <c r="A1158" s="3" t="e">
        <f ca="1"/>
        <v>#NAME?</v>
      </c>
      <c r="B1158" s="2" t="s">
        <v>12</v>
      </c>
      <c r="C1158" s="2" t="s">
        <v>12</v>
      </c>
      <c r="D1158" s="2" t="s">
        <v>12</v>
      </c>
      <c r="E1158" s="2" t="s">
        <v>12</v>
      </c>
      <c r="F1158" s="2" t="s">
        <v>12</v>
      </c>
      <c r="G1158" s="2" t="s">
        <v>12</v>
      </c>
      <c r="H1158" s="2" t="s">
        <v>12</v>
      </c>
      <c r="I1158" s="2" t="s">
        <v>12</v>
      </c>
      <c r="J1158" s="2" t="s">
        <v>12</v>
      </c>
      <c r="K1158" s="2" t="s">
        <v>12</v>
      </c>
    </row>
    <row r="1159" spans="1:11" ht="12.5" x14ac:dyDescent="0.25">
      <c r="A1159" s="3" t="e">
        <f ca="1"/>
        <v>#NAME?</v>
      </c>
      <c r="B1159" s="2" t="s">
        <v>12</v>
      </c>
      <c r="C1159" s="2" t="s">
        <v>12</v>
      </c>
      <c r="D1159" s="2" t="s">
        <v>12</v>
      </c>
      <c r="E1159" s="2" t="s">
        <v>12</v>
      </c>
      <c r="F1159" s="2" t="s">
        <v>12</v>
      </c>
      <c r="G1159" s="2" t="s">
        <v>12</v>
      </c>
      <c r="H1159" s="2" t="s">
        <v>12</v>
      </c>
      <c r="I1159" s="2" t="s">
        <v>12</v>
      </c>
      <c r="J1159" s="2" t="s">
        <v>12</v>
      </c>
      <c r="K1159" s="2" t="s">
        <v>12</v>
      </c>
    </row>
    <row r="1160" spans="1:11" ht="12.5" x14ac:dyDescent="0.25">
      <c r="A1160" s="3" t="e">
        <f ca="1"/>
        <v>#NAME?</v>
      </c>
      <c r="B1160" s="2" t="s">
        <v>12</v>
      </c>
      <c r="C1160" s="2" t="s">
        <v>12</v>
      </c>
      <c r="D1160" s="2" t="s">
        <v>12</v>
      </c>
      <c r="E1160" s="2" t="s">
        <v>12</v>
      </c>
      <c r="F1160" s="2" t="s">
        <v>12</v>
      </c>
      <c r="G1160" s="2" t="s">
        <v>12</v>
      </c>
      <c r="H1160" s="2" t="s">
        <v>12</v>
      </c>
      <c r="I1160" s="2" t="s">
        <v>12</v>
      </c>
      <c r="J1160" s="2" t="s">
        <v>12</v>
      </c>
      <c r="K1160" s="2" t="s">
        <v>12</v>
      </c>
    </row>
    <row r="1161" spans="1:11" ht="12.5" x14ac:dyDescent="0.25">
      <c r="A1161" s="3" t="e">
        <f ca="1"/>
        <v>#NAME?</v>
      </c>
      <c r="B1161" s="2" t="s">
        <v>12</v>
      </c>
      <c r="C1161" s="2" t="s">
        <v>12</v>
      </c>
      <c r="D1161" s="2" t="s">
        <v>12</v>
      </c>
      <c r="E1161" s="2" t="s">
        <v>12</v>
      </c>
      <c r="F1161" s="2" t="s">
        <v>12</v>
      </c>
      <c r="G1161" s="2" t="s">
        <v>12</v>
      </c>
      <c r="H1161" s="2" t="s">
        <v>12</v>
      </c>
      <c r="I1161" s="2" t="s">
        <v>12</v>
      </c>
      <c r="J1161" s="2" t="s">
        <v>12</v>
      </c>
      <c r="K1161" s="2" t="s">
        <v>12</v>
      </c>
    </row>
    <row r="1162" spans="1:11" ht="12.5" x14ac:dyDescent="0.25">
      <c r="A1162" s="3" t="e">
        <f ca="1"/>
        <v>#NAME?</v>
      </c>
      <c r="B1162" s="2" t="s">
        <v>12</v>
      </c>
      <c r="C1162" s="2" t="s">
        <v>12</v>
      </c>
      <c r="D1162" s="2" t="s">
        <v>12</v>
      </c>
      <c r="E1162" s="2" t="s">
        <v>12</v>
      </c>
      <c r="F1162" s="2" t="s">
        <v>12</v>
      </c>
      <c r="G1162" s="2" t="s">
        <v>12</v>
      </c>
      <c r="H1162" s="2" t="s">
        <v>12</v>
      </c>
      <c r="I1162" s="2" t="s">
        <v>12</v>
      </c>
      <c r="J1162" s="2" t="s">
        <v>12</v>
      </c>
      <c r="K1162" s="2" t="s">
        <v>12</v>
      </c>
    </row>
    <row r="1163" spans="1:11" ht="12.5" x14ac:dyDescent="0.25">
      <c r="A1163" s="3" t="e">
        <f ca="1"/>
        <v>#NAME?</v>
      </c>
      <c r="B1163" s="2" t="s">
        <v>12</v>
      </c>
      <c r="C1163" s="2" t="s">
        <v>12</v>
      </c>
      <c r="D1163" s="2" t="s">
        <v>12</v>
      </c>
      <c r="E1163" s="2" t="s">
        <v>12</v>
      </c>
      <c r="F1163" s="2" t="s">
        <v>12</v>
      </c>
      <c r="G1163" s="2" t="s">
        <v>12</v>
      </c>
      <c r="H1163" s="2" t="s">
        <v>12</v>
      </c>
      <c r="I1163" s="2" t="s">
        <v>12</v>
      </c>
      <c r="J1163" s="2" t="s">
        <v>12</v>
      </c>
      <c r="K1163" s="2" t="s">
        <v>12</v>
      </c>
    </row>
    <row r="1164" spans="1:11" ht="12.5" x14ac:dyDescent="0.25">
      <c r="A1164" s="3" t="e">
        <f ca="1"/>
        <v>#NAME?</v>
      </c>
      <c r="B1164" s="2" t="s">
        <v>12</v>
      </c>
      <c r="C1164" s="2" t="s">
        <v>12</v>
      </c>
      <c r="D1164" s="2" t="s">
        <v>12</v>
      </c>
      <c r="E1164" s="2" t="s">
        <v>12</v>
      </c>
      <c r="F1164" s="2" t="s">
        <v>12</v>
      </c>
      <c r="G1164" s="2" t="s">
        <v>12</v>
      </c>
      <c r="H1164" s="2" t="s">
        <v>12</v>
      </c>
      <c r="I1164" s="2" t="s">
        <v>12</v>
      </c>
      <c r="J1164" s="2" t="s">
        <v>12</v>
      </c>
      <c r="K1164" s="2" t="s">
        <v>12</v>
      </c>
    </row>
    <row r="1165" spans="1:11" ht="12.5" x14ac:dyDescent="0.25">
      <c r="A1165" s="3" t="e">
        <f ca="1"/>
        <v>#NAME?</v>
      </c>
      <c r="B1165" s="2" t="s">
        <v>12</v>
      </c>
      <c r="C1165" s="2" t="s">
        <v>12</v>
      </c>
      <c r="D1165" s="2" t="s">
        <v>12</v>
      </c>
      <c r="E1165" s="2" t="s">
        <v>12</v>
      </c>
      <c r="F1165" s="2" t="s">
        <v>12</v>
      </c>
      <c r="G1165" s="2" t="s">
        <v>12</v>
      </c>
      <c r="H1165" s="2" t="s">
        <v>12</v>
      </c>
      <c r="I1165" s="2" t="s">
        <v>12</v>
      </c>
      <c r="J1165" s="2" t="s">
        <v>12</v>
      </c>
      <c r="K1165" s="2" t="s">
        <v>12</v>
      </c>
    </row>
    <row r="1166" spans="1:11" ht="12.5" x14ac:dyDescent="0.25">
      <c r="A1166" s="3" t="e">
        <f ca="1"/>
        <v>#NAME?</v>
      </c>
      <c r="B1166" s="2" t="s">
        <v>12</v>
      </c>
      <c r="C1166" s="2" t="s">
        <v>12</v>
      </c>
      <c r="D1166" s="2" t="s">
        <v>12</v>
      </c>
      <c r="E1166" s="2" t="s">
        <v>12</v>
      </c>
      <c r="F1166" s="2" t="s">
        <v>12</v>
      </c>
      <c r="G1166" s="2" t="s">
        <v>12</v>
      </c>
      <c r="H1166" s="2" t="s">
        <v>12</v>
      </c>
      <c r="I1166" s="2" t="s">
        <v>12</v>
      </c>
      <c r="J1166" s="2" t="s">
        <v>12</v>
      </c>
      <c r="K1166" s="2" t="s">
        <v>12</v>
      </c>
    </row>
    <row r="1167" spans="1:11" ht="12.5" x14ac:dyDescent="0.25">
      <c r="A1167" s="3" t="e">
        <f ca="1"/>
        <v>#NAME?</v>
      </c>
      <c r="B1167" s="2" t="s">
        <v>12</v>
      </c>
      <c r="C1167" s="2" t="s">
        <v>12</v>
      </c>
      <c r="D1167" s="2" t="s">
        <v>12</v>
      </c>
      <c r="E1167" s="2" t="s">
        <v>12</v>
      </c>
      <c r="F1167" s="2" t="s">
        <v>12</v>
      </c>
      <c r="G1167" s="2" t="s">
        <v>12</v>
      </c>
      <c r="H1167" s="2" t="s">
        <v>12</v>
      </c>
      <c r="I1167" s="2" t="s">
        <v>12</v>
      </c>
      <c r="J1167" s="2" t="s">
        <v>12</v>
      </c>
      <c r="K1167" s="2" t="s">
        <v>12</v>
      </c>
    </row>
    <row r="1168" spans="1:11" ht="12.5" x14ac:dyDescent="0.25">
      <c r="A1168" s="3" t="e">
        <f ca="1"/>
        <v>#NAME?</v>
      </c>
      <c r="B1168" s="2" t="s">
        <v>12</v>
      </c>
      <c r="C1168" s="2" t="s">
        <v>12</v>
      </c>
      <c r="D1168" s="2" t="s">
        <v>12</v>
      </c>
      <c r="E1168" s="2" t="s">
        <v>12</v>
      </c>
      <c r="F1168" s="2" t="s">
        <v>12</v>
      </c>
      <c r="G1168" s="2" t="s">
        <v>12</v>
      </c>
      <c r="H1168" s="2" t="s">
        <v>12</v>
      </c>
      <c r="I1168" s="2" t="s">
        <v>12</v>
      </c>
      <c r="J1168" s="2" t="s">
        <v>12</v>
      </c>
      <c r="K1168" s="2" t="s">
        <v>12</v>
      </c>
    </row>
    <row r="1169" spans="1:11" ht="12.5" x14ac:dyDescent="0.25">
      <c r="A1169" s="3" t="e">
        <f ca="1"/>
        <v>#NAME?</v>
      </c>
      <c r="B1169" s="2" t="s">
        <v>12</v>
      </c>
      <c r="C1169" s="2" t="s">
        <v>12</v>
      </c>
      <c r="D1169" s="2" t="s">
        <v>12</v>
      </c>
      <c r="E1169" s="2" t="s">
        <v>12</v>
      </c>
      <c r="F1169" s="2" t="s">
        <v>12</v>
      </c>
      <c r="G1169" s="2" t="s">
        <v>12</v>
      </c>
      <c r="H1169" s="2" t="s">
        <v>12</v>
      </c>
      <c r="I1169" s="2" t="s">
        <v>12</v>
      </c>
      <c r="J1169" s="2" t="s">
        <v>12</v>
      </c>
      <c r="K1169" s="2" t="s">
        <v>12</v>
      </c>
    </row>
    <row r="1170" spans="1:11" ht="12.5" x14ac:dyDescent="0.25">
      <c r="A1170" s="3" t="e">
        <f ca="1"/>
        <v>#NAME?</v>
      </c>
      <c r="B1170" s="2" t="s">
        <v>12</v>
      </c>
      <c r="C1170" s="2" t="s">
        <v>12</v>
      </c>
      <c r="D1170" s="2" t="s">
        <v>12</v>
      </c>
      <c r="E1170" s="2" t="s">
        <v>12</v>
      </c>
      <c r="F1170" s="2" t="s">
        <v>12</v>
      </c>
      <c r="G1170" s="2" t="s">
        <v>12</v>
      </c>
      <c r="H1170" s="2" t="s">
        <v>12</v>
      </c>
      <c r="I1170" s="2" t="s">
        <v>12</v>
      </c>
      <c r="J1170" s="2" t="s">
        <v>12</v>
      </c>
      <c r="K1170" s="2" t="s">
        <v>12</v>
      </c>
    </row>
    <row r="1171" spans="1:11" ht="12.5" x14ac:dyDescent="0.25">
      <c r="A1171" s="3" t="e">
        <f ca="1"/>
        <v>#NAME?</v>
      </c>
      <c r="B1171" s="2" t="s">
        <v>12</v>
      </c>
      <c r="C1171" s="2" t="s">
        <v>12</v>
      </c>
      <c r="D1171" s="2" t="s">
        <v>12</v>
      </c>
      <c r="E1171" s="2" t="s">
        <v>12</v>
      </c>
      <c r="F1171" s="2" t="s">
        <v>12</v>
      </c>
      <c r="G1171" s="2" t="s">
        <v>12</v>
      </c>
      <c r="H1171" s="2" t="s">
        <v>12</v>
      </c>
      <c r="I1171" s="2" t="s">
        <v>12</v>
      </c>
      <c r="J1171" s="2" t="s">
        <v>12</v>
      </c>
      <c r="K1171" s="2" t="s">
        <v>12</v>
      </c>
    </row>
    <row r="1172" spans="1:11" ht="12.5" x14ac:dyDescent="0.25">
      <c r="A1172" s="3" t="e">
        <f ca="1"/>
        <v>#NAME?</v>
      </c>
      <c r="B1172" s="2" t="s">
        <v>12</v>
      </c>
      <c r="C1172" s="2" t="s">
        <v>12</v>
      </c>
      <c r="D1172" s="2" t="s">
        <v>12</v>
      </c>
      <c r="E1172" s="2" t="s">
        <v>12</v>
      </c>
      <c r="F1172" s="2" t="s">
        <v>12</v>
      </c>
      <c r="G1172" s="2" t="s">
        <v>12</v>
      </c>
      <c r="H1172" s="2" t="s">
        <v>12</v>
      </c>
      <c r="I1172" s="2" t="s">
        <v>12</v>
      </c>
      <c r="J1172" s="2" t="s">
        <v>12</v>
      </c>
      <c r="K1172" s="2" t="s">
        <v>12</v>
      </c>
    </row>
    <row r="1173" spans="1:11" ht="12.5" x14ac:dyDescent="0.25">
      <c r="A1173" s="3" t="e">
        <f ca="1"/>
        <v>#NAME?</v>
      </c>
      <c r="B1173" s="2" t="s">
        <v>12</v>
      </c>
      <c r="C1173" s="2" t="s">
        <v>12</v>
      </c>
      <c r="D1173" s="2" t="s">
        <v>12</v>
      </c>
      <c r="E1173" s="2" t="s">
        <v>12</v>
      </c>
      <c r="F1173" s="2" t="s">
        <v>12</v>
      </c>
      <c r="G1173" s="2" t="s">
        <v>12</v>
      </c>
      <c r="H1173" s="2" t="s">
        <v>12</v>
      </c>
      <c r="I1173" s="2" t="s">
        <v>12</v>
      </c>
      <c r="J1173" s="2" t="s">
        <v>12</v>
      </c>
      <c r="K1173" s="2" t="s">
        <v>12</v>
      </c>
    </row>
    <row r="1174" spans="1:11" ht="12.5" x14ac:dyDescent="0.25">
      <c r="A1174" s="3" t="e">
        <f ca="1"/>
        <v>#NAME?</v>
      </c>
      <c r="B1174" s="2" t="s">
        <v>12</v>
      </c>
      <c r="C1174" s="2" t="s">
        <v>12</v>
      </c>
      <c r="D1174" s="2" t="s">
        <v>12</v>
      </c>
      <c r="E1174" s="2" t="s">
        <v>12</v>
      </c>
      <c r="F1174" s="2" t="s">
        <v>12</v>
      </c>
      <c r="G1174" s="2" t="s">
        <v>12</v>
      </c>
      <c r="H1174" s="2" t="s">
        <v>12</v>
      </c>
      <c r="I1174" s="2" t="s">
        <v>12</v>
      </c>
      <c r="J1174" s="2" t="s">
        <v>12</v>
      </c>
      <c r="K1174" s="2" t="s">
        <v>12</v>
      </c>
    </row>
    <row r="1175" spans="1:11" ht="12.5" x14ac:dyDescent="0.25">
      <c r="A1175" s="3" t="e">
        <f ca="1"/>
        <v>#NAME?</v>
      </c>
      <c r="B1175" s="2" t="s">
        <v>12</v>
      </c>
      <c r="C1175" s="2" t="s">
        <v>12</v>
      </c>
      <c r="D1175" s="2" t="s">
        <v>12</v>
      </c>
      <c r="E1175" s="2" t="s">
        <v>12</v>
      </c>
      <c r="F1175" s="2" t="s">
        <v>12</v>
      </c>
      <c r="G1175" s="2" t="s">
        <v>12</v>
      </c>
      <c r="H1175" s="2" t="s">
        <v>12</v>
      </c>
      <c r="I1175" s="2" t="s">
        <v>12</v>
      </c>
      <c r="J1175" s="2" t="s">
        <v>12</v>
      </c>
      <c r="K1175" s="2" t="s">
        <v>12</v>
      </c>
    </row>
    <row r="1176" spans="1:11" ht="12.5" x14ac:dyDescent="0.25">
      <c r="A1176" s="3" t="e">
        <f ca="1"/>
        <v>#NAME?</v>
      </c>
      <c r="B1176" s="2" t="s">
        <v>12</v>
      </c>
      <c r="C1176" s="2" t="s">
        <v>12</v>
      </c>
      <c r="D1176" s="2" t="s">
        <v>12</v>
      </c>
      <c r="E1176" s="2" t="s">
        <v>12</v>
      </c>
      <c r="F1176" s="2" t="s">
        <v>12</v>
      </c>
      <c r="G1176" s="2" t="s">
        <v>12</v>
      </c>
      <c r="H1176" s="2" t="s">
        <v>12</v>
      </c>
      <c r="I1176" s="2" t="s">
        <v>12</v>
      </c>
      <c r="J1176" s="2" t="s">
        <v>12</v>
      </c>
      <c r="K1176" s="2" t="s">
        <v>12</v>
      </c>
    </row>
    <row r="1177" spans="1:11" ht="12.5" x14ac:dyDescent="0.25">
      <c r="A1177" s="3" t="e">
        <f ca="1"/>
        <v>#NAME?</v>
      </c>
      <c r="B1177" s="2" t="s">
        <v>12</v>
      </c>
      <c r="C1177" s="2" t="s">
        <v>12</v>
      </c>
      <c r="D1177" s="2" t="s">
        <v>12</v>
      </c>
      <c r="E1177" s="2" t="s">
        <v>12</v>
      </c>
      <c r="F1177" s="2" t="s">
        <v>12</v>
      </c>
      <c r="G1177" s="2" t="s">
        <v>12</v>
      </c>
      <c r="H1177" s="2" t="s">
        <v>12</v>
      </c>
      <c r="I1177" s="2" t="s">
        <v>12</v>
      </c>
      <c r="J1177" s="2" t="s">
        <v>12</v>
      </c>
      <c r="K1177" s="2" t="s">
        <v>12</v>
      </c>
    </row>
    <row r="1178" spans="1:11" ht="12.5" x14ac:dyDescent="0.25">
      <c r="A1178" s="3" t="e">
        <f ca="1"/>
        <v>#NAME?</v>
      </c>
      <c r="B1178" s="2" t="s">
        <v>12</v>
      </c>
      <c r="C1178" s="2" t="s">
        <v>12</v>
      </c>
      <c r="D1178" s="2" t="s">
        <v>12</v>
      </c>
      <c r="E1178" s="2" t="s">
        <v>12</v>
      </c>
      <c r="F1178" s="2" t="s">
        <v>12</v>
      </c>
      <c r="G1178" s="2" t="s">
        <v>12</v>
      </c>
      <c r="H1178" s="2" t="s">
        <v>12</v>
      </c>
      <c r="I1178" s="2" t="s">
        <v>12</v>
      </c>
      <c r="J1178" s="2" t="s">
        <v>12</v>
      </c>
      <c r="K1178" s="2" t="s">
        <v>12</v>
      </c>
    </row>
    <row r="1179" spans="1:11" ht="12.5" x14ac:dyDescent="0.25">
      <c r="A1179" s="3" t="e">
        <f ca="1"/>
        <v>#NAME?</v>
      </c>
      <c r="B1179" s="2" t="s">
        <v>12</v>
      </c>
      <c r="C1179" s="2" t="s">
        <v>12</v>
      </c>
      <c r="D1179" s="2" t="s">
        <v>12</v>
      </c>
      <c r="E1179" s="2" t="s">
        <v>12</v>
      </c>
      <c r="F1179" s="2" t="s">
        <v>12</v>
      </c>
      <c r="G1179" s="2" t="s">
        <v>12</v>
      </c>
      <c r="H1179" s="2" t="s">
        <v>12</v>
      </c>
      <c r="I1179" s="2" t="s">
        <v>12</v>
      </c>
      <c r="J1179" s="2" t="s">
        <v>12</v>
      </c>
      <c r="K1179" s="2" t="s">
        <v>12</v>
      </c>
    </row>
    <row r="1180" spans="1:11" ht="12.5" x14ac:dyDescent="0.25">
      <c r="A1180" s="3" t="e">
        <f ca="1"/>
        <v>#NAME?</v>
      </c>
      <c r="B1180" s="2" t="s">
        <v>12</v>
      </c>
      <c r="C1180" s="2" t="s">
        <v>12</v>
      </c>
      <c r="D1180" s="2" t="s">
        <v>12</v>
      </c>
      <c r="E1180" s="2" t="s">
        <v>12</v>
      </c>
      <c r="F1180" s="2" t="s">
        <v>12</v>
      </c>
      <c r="G1180" s="2" t="s">
        <v>12</v>
      </c>
      <c r="H1180" s="2" t="s">
        <v>12</v>
      </c>
      <c r="I1180" s="2" t="s">
        <v>12</v>
      </c>
      <c r="J1180" s="2" t="s">
        <v>12</v>
      </c>
      <c r="K1180" s="2" t="s">
        <v>12</v>
      </c>
    </row>
    <row r="1181" spans="1:11" ht="12.5" x14ac:dyDescent="0.25">
      <c r="A1181" s="3" t="e">
        <f ca="1"/>
        <v>#NAME?</v>
      </c>
      <c r="B1181" s="2" t="s">
        <v>12</v>
      </c>
      <c r="C1181" s="2" t="s">
        <v>12</v>
      </c>
      <c r="D1181" s="2" t="s">
        <v>12</v>
      </c>
      <c r="E1181" s="2" t="s">
        <v>12</v>
      </c>
      <c r="F1181" s="2" t="s">
        <v>12</v>
      </c>
      <c r="G1181" s="2" t="s">
        <v>12</v>
      </c>
      <c r="H1181" s="2" t="s">
        <v>12</v>
      </c>
      <c r="I1181" s="2" t="s">
        <v>12</v>
      </c>
      <c r="J1181" s="2" t="s">
        <v>12</v>
      </c>
      <c r="K1181" s="2" t="s">
        <v>12</v>
      </c>
    </row>
    <row r="1182" spans="1:11" ht="12.5" x14ac:dyDescent="0.25">
      <c r="A1182" s="3" t="e">
        <f ca="1"/>
        <v>#NAME?</v>
      </c>
      <c r="B1182" s="2" t="s">
        <v>12</v>
      </c>
      <c r="C1182" s="2" t="s">
        <v>12</v>
      </c>
      <c r="D1182" s="2" t="s">
        <v>12</v>
      </c>
      <c r="E1182" s="2" t="s">
        <v>12</v>
      </c>
      <c r="F1182" s="2" t="s">
        <v>12</v>
      </c>
      <c r="G1182" s="2" t="s">
        <v>12</v>
      </c>
      <c r="H1182" s="2" t="s">
        <v>12</v>
      </c>
      <c r="I1182" s="2" t="s">
        <v>12</v>
      </c>
      <c r="J1182" s="2" t="s">
        <v>12</v>
      </c>
      <c r="K1182" s="2" t="s">
        <v>12</v>
      </c>
    </row>
    <row r="1183" spans="1:11" ht="12.5" x14ac:dyDescent="0.25">
      <c r="A1183" s="3" t="e">
        <f ca="1"/>
        <v>#NAME?</v>
      </c>
      <c r="B1183" s="2" t="s">
        <v>12</v>
      </c>
      <c r="C1183" s="2" t="s">
        <v>12</v>
      </c>
      <c r="D1183" s="2" t="s">
        <v>12</v>
      </c>
      <c r="E1183" s="2" t="s">
        <v>12</v>
      </c>
      <c r="F1183" s="2" t="s">
        <v>12</v>
      </c>
      <c r="G1183" s="2" t="s">
        <v>12</v>
      </c>
      <c r="H1183" s="2" t="s">
        <v>12</v>
      </c>
      <c r="I1183" s="2" t="s">
        <v>12</v>
      </c>
      <c r="J1183" s="2" t="s">
        <v>12</v>
      </c>
      <c r="K1183" s="2" t="s">
        <v>12</v>
      </c>
    </row>
    <row r="1184" spans="1:11" ht="12.5" x14ac:dyDescent="0.25">
      <c r="A1184" s="3" t="e">
        <f ca="1"/>
        <v>#NAME?</v>
      </c>
      <c r="B1184" s="2" t="s">
        <v>12</v>
      </c>
      <c r="C1184" s="2" t="s">
        <v>12</v>
      </c>
      <c r="D1184" s="2" t="s">
        <v>12</v>
      </c>
      <c r="E1184" s="2" t="s">
        <v>12</v>
      </c>
      <c r="F1184" s="2" t="s">
        <v>12</v>
      </c>
      <c r="G1184" s="2" t="s">
        <v>12</v>
      </c>
      <c r="H1184" s="2" t="s">
        <v>12</v>
      </c>
      <c r="I1184" s="2" t="s">
        <v>12</v>
      </c>
      <c r="J1184" s="2" t="s">
        <v>12</v>
      </c>
      <c r="K1184" s="2" t="s">
        <v>12</v>
      </c>
    </row>
    <row r="1185" spans="1:11" ht="12.5" x14ac:dyDescent="0.25">
      <c r="A1185" s="3" t="e">
        <f ca="1"/>
        <v>#NAME?</v>
      </c>
      <c r="B1185" s="2" t="s">
        <v>12</v>
      </c>
      <c r="C1185" s="2" t="s">
        <v>12</v>
      </c>
      <c r="D1185" s="2" t="s">
        <v>12</v>
      </c>
      <c r="E1185" s="2" t="s">
        <v>12</v>
      </c>
      <c r="F1185" s="2" t="s">
        <v>12</v>
      </c>
      <c r="G1185" s="2" t="s">
        <v>12</v>
      </c>
      <c r="H1185" s="2" t="s">
        <v>12</v>
      </c>
      <c r="I1185" s="2" t="s">
        <v>12</v>
      </c>
      <c r="J1185" s="2" t="s">
        <v>12</v>
      </c>
      <c r="K1185" s="2" t="s">
        <v>12</v>
      </c>
    </row>
    <row r="1186" spans="1:11" ht="12.5" x14ac:dyDescent="0.25">
      <c r="A1186" s="3" t="e">
        <f ca="1"/>
        <v>#NAME?</v>
      </c>
      <c r="B1186" s="2" t="s">
        <v>12</v>
      </c>
      <c r="C1186" s="2" t="s">
        <v>12</v>
      </c>
      <c r="D1186" s="2" t="s">
        <v>12</v>
      </c>
      <c r="E1186" s="2" t="s">
        <v>12</v>
      </c>
      <c r="F1186" s="2" t="s">
        <v>12</v>
      </c>
      <c r="G1186" s="2" t="s">
        <v>12</v>
      </c>
      <c r="H1186" s="2" t="s">
        <v>12</v>
      </c>
      <c r="I1186" s="2" t="s">
        <v>12</v>
      </c>
      <c r="J1186" s="2" t="s">
        <v>12</v>
      </c>
      <c r="K1186" s="2" t="s">
        <v>12</v>
      </c>
    </row>
    <row r="1187" spans="1:11" ht="12.5" x14ac:dyDescent="0.25">
      <c r="A1187" s="3" t="e">
        <f ca="1"/>
        <v>#NAME?</v>
      </c>
      <c r="B1187" s="2" t="s">
        <v>12</v>
      </c>
      <c r="C1187" s="2" t="s">
        <v>12</v>
      </c>
      <c r="D1187" s="2" t="s">
        <v>12</v>
      </c>
      <c r="E1187" s="2" t="s">
        <v>12</v>
      </c>
      <c r="F1187" s="2" t="s">
        <v>12</v>
      </c>
      <c r="G1187" s="2" t="s">
        <v>12</v>
      </c>
      <c r="H1187" s="2" t="s">
        <v>12</v>
      </c>
      <c r="I1187" s="2" t="s">
        <v>12</v>
      </c>
      <c r="J1187" s="2" t="s">
        <v>12</v>
      </c>
      <c r="K1187" s="2" t="s">
        <v>12</v>
      </c>
    </row>
    <row r="1188" spans="1:11" ht="12.5" x14ac:dyDescent="0.25">
      <c r="A1188" s="3" t="e">
        <f ca="1"/>
        <v>#NAME?</v>
      </c>
      <c r="B1188" s="2" t="s">
        <v>12</v>
      </c>
      <c r="C1188" s="2" t="s">
        <v>12</v>
      </c>
      <c r="D1188" s="2" t="s">
        <v>12</v>
      </c>
      <c r="E1188" s="2" t="s">
        <v>12</v>
      </c>
      <c r="F1188" s="2" t="s">
        <v>12</v>
      </c>
      <c r="G1188" s="2" t="s">
        <v>12</v>
      </c>
      <c r="H1188" s="2" t="s">
        <v>12</v>
      </c>
      <c r="I1188" s="2" t="s">
        <v>12</v>
      </c>
      <c r="J1188" s="2" t="s">
        <v>12</v>
      </c>
      <c r="K1188" s="2" t="s">
        <v>12</v>
      </c>
    </row>
    <row r="1189" spans="1:11" ht="12.5" x14ac:dyDescent="0.25">
      <c r="A1189" s="3" t="e">
        <f ca="1"/>
        <v>#NAME?</v>
      </c>
      <c r="B1189" s="2" t="s">
        <v>12</v>
      </c>
      <c r="C1189" s="2" t="s">
        <v>12</v>
      </c>
      <c r="D1189" s="2" t="s">
        <v>12</v>
      </c>
      <c r="E1189" s="2" t="s">
        <v>12</v>
      </c>
      <c r="F1189" s="2" t="s">
        <v>12</v>
      </c>
      <c r="G1189" s="2" t="s">
        <v>12</v>
      </c>
      <c r="H1189" s="2" t="s">
        <v>12</v>
      </c>
      <c r="I1189" s="2" t="s">
        <v>12</v>
      </c>
      <c r="J1189" s="2" t="s">
        <v>12</v>
      </c>
      <c r="K1189" s="2" t="s">
        <v>12</v>
      </c>
    </row>
    <row r="1190" spans="1:11" ht="12.5" x14ac:dyDescent="0.25">
      <c r="A1190" s="3" t="e">
        <f ca="1"/>
        <v>#NAME?</v>
      </c>
      <c r="B1190" s="2" t="s">
        <v>12</v>
      </c>
      <c r="C1190" s="2" t="s">
        <v>12</v>
      </c>
      <c r="D1190" s="2" t="s">
        <v>12</v>
      </c>
      <c r="E1190" s="2" t="s">
        <v>12</v>
      </c>
      <c r="F1190" s="2" t="s">
        <v>12</v>
      </c>
      <c r="G1190" s="2" t="s">
        <v>12</v>
      </c>
      <c r="H1190" s="2" t="s">
        <v>12</v>
      </c>
      <c r="I1190" s="2" t="s">
        <v>12</v>
      </c>
      <c r="J1190" s="2" t="s">
        <v>12</v>
      </c>
      <c r="K1190" s="2" t="s">
        <v>12</v>
      </c>
    </row>
    <row r="1191" spans="1:11" ht="12.5" x14ac:dyDescent="0.25">
      <c r="A1191" s="3" t="e">
        <f ca="1"/>
        <v>#NAME?</v>
      </c>
      <c r="B1191" s="2" t="s">
        <v>12</v>
      </c>
      <c r="C1191" s="2" t="s">
        <v>12</v>
      </c>
      <c r="D1191" s="2" t="s">
        <v>12</v>
      </c>
      <c r="E1191" s="2" t="s">
        <v>12</v>
      </c>
      <c r="F1191" s="2" t="s">
        <v>12</v>
      </c>
      <c r="G1191" s="2" t="s">
        <v>12</v>
      </c>
      <c r="H1191" s="2" t="s">
        <v>12</v>
      </c>
      <c r="I1191" s="2" t="s">
        <v>12</v>
      </c>
      <c r="J1191" s="2" t="s">
        <v>12</v>
      </c>
      <c r="K1191" s="2" t="s">
        <v>12</v>
      </c>
    </row>
    <row r="1192" spans="1:11" ht="12.5" x14ac:dyDescent="0.25">
      <c r="A1192" s="3" t="e">
        <f ca="1"/>
        <v>#NAME?</v>
      </c>
      <c r="B1192" s="2" t="s">
        <v>12</v>
      </c>
      <c r="C1192" s="2" t="s">
        <v>12</v>
      </c>
      <c r="D1192" s="2" t="s">
        <v>12</v>
      </c>
      <c r="E1192" s="2" t="s">
        <v>12</v>
      </c>
      <c r="F1192" s="2" t="s">
        <v>12</v>
      </c>
      <c r="G1192" s="2" t="s">
        <v>12</v>
      </c>
      <c r="H1192" s="2" t="s">
        <v>12</v>
      </c>
      <c r="I1192" s="2" t="s">
        <v>12</v>
      </c>
      <c r="J1192" s="2" t="s">
        <v>12</v>
      </c>
      <c r="K1192" s="2" t="s">
        <v>12</v>
      </c>
    </row>
    <row r="1193" spans="1:11" ht="12.5" x14ac:dyDescent="0.25">
      <c r="A1193" s="3" t="e">
        <f ca="1"/>
        <v>#NAME?</v>
      </c>
      <c r="B1193" s="2" t="s">
        <v>12</v>
      </c>
      <c r="C1193" s="2" t="s">
        <v>12</v>
      </c>
      <c r="D1193" s="2" t="s">
        <v>12</v>
      </c>
      <c r="E1193" s="2" t="s">
        <v>12</v>
      </c>
      <c r="F1193" s="2" t="s">
        <v>12</v>
      </c>
      <c r="G1193" s="2" t="s">
        <v>12</v>
      </c>
      <c r="H1193" s="2" t="s">
        <v>12</v>
      </c>
      <c r="I1193" s="2" t="s">
        <v>12</v>
      </c>
      <c r="J1193" s="2" t="s">
        <v>12</v>
      </c>
      <c r="K1193" s="2" t="s">
        <v>12</v>
      </c>
    </row>
    <row r="1194" spans="1:11" ht="12.5" x14ac:dyDescent="0.25">
      <c r="A1194" s="3" t="e">
        <f ca="1"/>
        <v>#NAME?</v>
      </c>
      <c r="B1194" s="2" t="s">
        <v>12</v>
      </c>
      <c r="C1194" s="2" t="s">
        <v>12</v>
      </c>
      <c r="D1194" s="2" t="s">
        <v>12</v>
      </c>
      <c r="E1194" s="2" t="s">
        <v>12</v>
      </c>
      <c r="F1194" s="2" t="s">
        <v>12</v>
      </c>
      <c r="G1194" s="2" t="s">
        <v>12</v>
      </c>
      <c r="H1194" s="2" t="s">
        <v>12</v>
      </c>
      <c r="I1194" s="2" t="s">
        <v>12</v>
      </c>
      <c r="J1194" s="2" t="s">
        <v>12</v>
      </c>
      <c r="K1194" s="2" t="s">
        <v>12</v>
      </c>
    </row>
    <row r="1195" spans="1:11" ht="12.5" x14ac:dyDescent="0.25">
      <c r="A1195" s="3" t="e">
        <f ca="1"/>
        <v>#NAME?</v>
      </c>
      <c r="B1195" s="2" t="s">
        <v>12</v>
      </c>
      <c r="C1195" s="2" t="s">
        <v>12</v>
      </c>
      <c r="D1195" s="2" t="s">
        <v>12</v>
      </c>
      <c r="E1195" s="2" t="s">
        <v>12</v>
      </c>
      <c r="F1195" s="2" t="s">
        <v>12</v>
      </c>
      <c r="G1195" s="2" t="s">
        <v>12</v>
      </c>
      <c r="H1195" s="2" t="s">
        <v>12</v>
      </c>
      <c r="I1195" s="2" t="s">
        <v>12</v>
      </c>
      <c r="J1195" s="2" t="s">
        <v>12</v>
      </c>
      <c r="K1195" s="2" t="s">
        <v>12</v>
      </c>
    </row>
    <row r="1196" spans="1:11" ht="12.5" x14ac:dyDescent="0.25">
      <c r="A1196" s="3" t="e">
        <f ca="1"/>
        <v>#NAME?</v>
      </c>
      <c r="B1196" s="2" t="s">
        <v>12</v>
      </c>
      <c r="C1196" s="2" t="s">
        <v>12</v>
      </c>
      <c r="D1196" s="2" t="s">
        <v>12</v>
      </c>
      <c r="E1196" s="2" t="s">
        <v>12</v>
      </c>
      <c r="F1196" s="2" t="s">
        <v>12</v>
      </c>
      <c r="G1196" s="2" t="s">
        <v>12</v>
      </c>
      <c r="H1196" s="2" t="s">
        <v>12</v>
      </c>
      <c r="I1196" s="2" t="s">
        <v>12</v>
      </c>
      <c r="J1196" s="2" t="s">
        <v>12</v>
      </c>
      <c r="K1196" s="2" t="s">
        <v>12</v>
      </c>
    </row>
    <row r="1197" spans="1:11" ht="12.5" x14ac:dyDescent="0.25">
      <c r="A1197" s="3" t="e">
        <f ca="1"/>
        <v>#NAME?</v>
      </c>
      <c r="B1197" s="2" t="s">
        <v>12</v>
      </c>
      <c r="C1197" s="2" t="s">
        <v>12</v>
      </c>
      <c r="D1197" s="2" t="s">
        <v>12</v>
      </c>
      <c r="E1197" s="2" t="s">
        <v>12</v>
      </c>
      <c r="F1197" s="2" t="s">
        <v>12</v>
      </c>
      <c r="G1197" s="2" t="s">
        <v>12</v>
      </c>
      <c r="H1197" s="2" t="s">
        <v>12</v>
      </c>
      <c r="I1197" s="2" t="s">
        <v>12</v>
      </c>
      <c r="J1197" s="2" t="s">
        <v>12</v>
      </c>
      <c r="K1197" s="2" t="s">
        <v>12</v>
      </c>
    </row>
    <row r="1198" spans="1:11" ht="12.5" x14ac:dyDescent="0.25">
      <c r="A1198" s="3" t="e">
        <f ca="1"/>
        <v>#NAME?</v>
      </c>
      <c r="B1198" s="2" t="s">
        <v>12</v>
      </c>
      <c r="C1198" s="2" t="s">
        <v>12</v>
      </c>
      <c r="D1198" s="2" t="s">
        <v>12</v>
      </c>
      <c r="E1198" s="2" t="s">
        <v>12</v>
      </c>
      <c r="F1198" s="2" t="s">
        <v>12</v>
      </c>
      <c r="G1198" s="2" t="s">
        <v>12</v>
      </c>
      <c r="H1198" s="2" t="s">
        <v>12</v>
      </c>
      <c r="I1198" s="2" t="s">
        <v>12</v>
      </c>
      <c r="J1198" s="2" t="s">
        <v>12</v>
      </c>
      <c r="K1198" s="2" t="s">
        <v>12</v>
      </c>
    </row>
    <row r="1199" spans="1:11" ht="12.5" x14ac:dyDescent="0.25">
      <c r="A1199" s="3" t="e">
        <f ca="1"/>
        <v>#NAME?</v>
      </c>
      <c r="B1199" s="2" t="s">
        <v>12</v>
      </c>
      <c r="C1199" s="2" t="s">
        <v>12</v>
      </c>
      <c r="D1199" s="2" t="s">
        <v>12</v>
      </c>
      <c r="E1199" s="2" t="s">
        <v>12</v>
      </c>
      <c r="F1199" s="2" t="s">
        <v>12</v>
      </c>
      <c r="G1199" s="2" t="s">
        <v>12</v>
      </c>
      <c r="H1199" s="2" t="s">
        <v>12</v>
      </c>
      <c r="I1199" s="2" t="s">
        <v>12</v>
      </c>
      <c r="J1199" s="2" t="s">
        <v>12</v>
      </c>
      <c r="K1199" s="2" t="s">
        <v>12</v>
      </c>
    </row>
    <row r="1200" spans="1:11" ht="12.5" x14ac:dyDescent="0.25">
      <c r="A1200" s="3" t="e">
        <f ca="1"/>
        <v>#NAME?</v>
      </c>
      <c r="B1200" s="2" t="s">
        <v>12</v>
      </c>
      <c r="C1200" s="2" t="s">
        <v>12</v>
      </c>
      <c r="D1200" s="2" t="s">
        <v>12</v>
      </c>
      <c r="E1200" s="2" t="s">
        <v>12</v>
      </c>
      <c r="F1200" s="2" t="s">
        <v>12</v>
      </c>
      <c r="G1200" s="2" t="s">
        <v>12</v>
      </c>
      <c r="H1200" s="2" t="s">
        <v>12</v>
      </c>
      <c r="I1200" s="2" t="s">
        <v>12</v>
      </c>
      <c r="J1200" s="2" t="s">
        <v>12</v>
      </c>
      <c r="K1200" s="2" t="s">
        <v>12</v>
      </c>
    </row>
    <row r="1201" spans="1:11" ht="12.5" x14ac:dyDescent="0.25">
      <c r="A1201" s="3" t="e">
        <f ca="1"/>
        <v>#NAME?</v>
      </c>
      <c r="B1201" s="2" t="s">
        <v>12</v>
      </c>
      <c r="C1201" s="2" t="s">
        <v>12</v>
      </c>
      <c r="D1201" s="2" t="s">
        <v>12</v>
      </c>
      <c r="E1201" s="2" t="s">
        <v>12</v>
      </c>
      <c r="F1201" s="2" t="s">
        <v>12</v>
      </c>
      <c r="G1201" s="2" t="s">
        <v>12</v>
      </c>
      <c r="H1201" s="2" t="s">
        <v>12</v>
      </c>
      <c r="I1201" s="2" t="s">
        <v>12</v>
      </c>
      <c r="J1201" s="2" t="s">
        <v>12</v>
      </c>
      <c r="K1201" s="2" t="s">
        <v>12</v>
      </c>
    </row>
    <row r="1202" spans="1:11" ht="12.5" x14ac:dyDescent="0.25">
      <c r="A1202" s="3" t="e">
        <f ca="1"/>
        <v>#NAME?</v>
      </c>
      <c r="B1202" s="2" t="s">
        <v>12</v>
      </c>
      <c r="C1202" s="2" t="s">
        <v>12</v>
      </c>
      <c r="D1202" s="2" t="s">
        <v>12</v>
      </c>
      <c r="E1202" s="2" t="s">
        <v>12</v>
      </c>
      <c r="F1202" s="2" t="s">
        <v>12</v>
      </c>
      <c r="G1202" s="2" t="s">
        <v>12</v>
      </c>
      <c r="H1202" s="2" t="s">
        <v>12</v>
      </c>
      <c r="I1202" s="2" t="s">
        <v>12</v>
      </c>
      <c r="J1202" s="2" t="s">
        <v>12</v>
      </c>
      <c r="K1202" s="2" t="s">
        <v>12</v>
      </c>
    </row>
    <row r="1203" spans="1:11" ht="12.5" x14ac:dyDescent="0.25">
      <c r="A1203" s="3" t="e">
        <f ca="1"/>
        <v>#NAME?</v>
      </c>
      <c r="B1203" s="2" t="s">
        <v>12</v>
      </c>
      <c r="C1203" s="2" t="s">
        <v>12</v>
      </c>
      <c r="D1203" s="2" t="s">
        <v>12</v>
      </c>
      <c r="E1203" s="2" t="s">
        <v>12</v>
      </c>
      <c r="F1203" s="2" t="s">
        <v>12</v>
      </c>
      <c r="G1203" s="2" t="s">
        <v>12</v>
      </c>
      <c r="H1203" s="2" t="s">
        <v>12</v>
      </c>
      <c r="I1203" s="2" t="s">
        <v>12</v>
      </c>
      <c r="J1203" s="2" t="s">
        <v>12</v>
      </c>
      <c r="K1203" s="2" t="s">
        <v>12</v>
      </c>
    </row>
    <row r="1204" spans="1:11" ht="12.5" x14ac:dyDescent="0.25">
      <c r="A1204" s="3" t="e">
        <f ca="1"/>
        <v>#NAME?</v>
      </c>
      <c r="B1204" s="2" t="s">
        <v>12</v>
      </c>
      <c r="C1204" s="2" t="s">
        <v>12</v>
      </c>
      <c r="D1204" s="2" t="s">
        <v>12</v>
      </c>
      <c r="E1204" s="2" t="s">
        <v>12</v>
      </c>
      <c r="F1204" s="2" t="s">
        <v>12</v>
      </c>
      <c r="G1204" s="2" t="s">
        <v>12</v>
      </c>
      <c r="H1204" s="2" t="s">
        <v>12</v>
      </c>
      <c r="I1204" s="2" t="s">
        <v>12</v>
      </c>
      <c r="J1204" s="2" t="s">
        <v>12</v>
      </c>
      <c r="K1204" s="2" t="s">
        <v>12</v>
      </c>
    </row>
    <row r="1205" spans="1:11" ht="12.5" x14ac:dyDescent="0.25">
      <c r="A1205" s="3" t="e">
        <f ca="1"/>
        <v>#NAME?</v>
      </c>
      <c r="B1205" s="2" t="s">
        <v>12</v>
      </c>
      <c r="C1205" s="2" t="s">
        <v>12</v>
      </c>
      <c r="D1205" s="2" t="s">
        <v>12</v>
      </c>
      <c r="E1205" s="2" t="s">
        <v>12</v>
      </c>
      <c r="F1205" s="2" t="s">
        <v>12</v>
      </c>
      <c r="G1205" s="2" t="s">
        <v>12</v>
      </c>
      <c r="H1205" s="2" t="s">
        <v>12</v>
      </c>
      <c r="I1205" s="2" t="s">
        <v>12</v>
      </c>
      <c r="J1205" s="2" t="s">
        <v>12</v>
      </c>
      <c r="K1205" s="2" t="s">
        <v>12</v>
      </c>
    </row>
    <row r="1206" spans="1:11" ht="12.5" x14ac:dyDescent="0.25">
      <c r="A1206" s="3" t="e">
        <f ca="1"/>
        <v>#NAME?</v>
      </c>
      <c r="B1206" s="2" t="s">
        <v>12</v>
      </c>
      <c r="C1206" s="2" t="s">
        <v>12</v>
      </c>
      <c r="D1206" s="2" t="s">
        <v>12</v>
      </c>
      <c r="E1206" s="2" t="s">
        <v>12</v>
      </c>
      <c r="F1206" s="2" t="s">
        <v>12</v>
      </c>
      <c r="G1206" s="2" t="s">
        <v>12</v>
      </c>
      <c r="H1206" s="2" t="s">
        <v>12</v>
      </c>
      <c r="I1206" s="2" t="s">
        <v>12</v>
      </c>
      <c r="J1206" s="2" t="s">
        <v>12</v>
      </c>
      <c r="K1206" s="2" t="s">
        <v>12</v>
      </c>
    </row>
    <row r="1207" spans="1:11" ht="12.5" x14ac:dyDescent="0.25">
      <c r="A1207" s="3" t="e">
        <f ca="1"/>
        <v>#NAME?</v>
      </c>
      <c r="B1207" s="2" t="s">
        <v>12</v>
      </c>
      <c r="C1207" s="2" t="s">
        <v>12</v>
      </c>
      <c r="D1207" s="2" t="s">
        <v>12</v>
      </c>
      <c r="E1207" s="2" t="s">
        <v>12</v>
      </c>
      <c r="F1207" s="2" t="s">
        <v>12</v>
      </c>
      <c r="G1207" s="2" t="s">
        <v>12</v>
      </c>
      <c r="H1207" s="2" t="s">
        <v>12</v>
      </c>
      <c r="I1207" s="2" t="s">
        <v>12</v>
      </c>
      <c r="J1207" s="2" t="s">
        <v>12</v>
      </c>
      <c r="K1207" s="2" t="s">
        <v>12</v>
      </c>
    </row>
    <row r="1208" spans="1:11" ht="12.5" x14ac:dyDescent="0.25">
      <c r="A1208" s="3" t="e">
        <f ca="1"/>
        <v>#NAME?</v>
      </c>
      <c r="B1208" s="2" t="s">
        <v>12</v>
      </c>
      <c r="C1208" s="2" t="s">
        <v>12</v>
      </c>
      <c r="D1208" s="2" t="s">
        <v>12</v>
      </c>
      <c r="E1208" s="2" t="s">
        <v>12</v>
      </c>
      <c r="F1208" s="2" t="s">
        <v>12</v>
      </c>
      <c r="G1208" s="2" t="s">
        <v>12</v>
      </c>
      <c r="H1208" s="2" t="s">
        <v>12</v>
      </c>
      <c r="I1208" s="2" t="s">
        <v>12</v>
      </c>
      <c r="J1208" s="2" t="s">
        <v>12</v>
      </c>
      <c r="K1208" s="2" t="s">
        <v>12</v>
      </c>
    </row>
    <row r="1209" spans="1:11" ht="12.5" x14ac:dyDescent="0.25">
      <c r="A1209" s="3" t="e">
        <f ca="1"/>
        <v>#NAME?</v>
      </c>
      <c r="B1209" s="2" t="s">
        <v>12</v>
      </c>
      <c r="C1209" s="2" t="s">
        <v>12</v>
      </c>
      <c r="D1209" s="2" t="s">
        <v>12</v>
      </c>
      <c r="E1209" s="2" t="s">
        <v>12</v>
      </c>
      <c r="F1209" s="2" t="s">
        <v>12</v>
      </c>
      <c r="G1209" s="2" t="s">
        <v>12</v>
      </c>
      <c r="H1209" s="2" t="s">
        <v>12</v>
      </c>
      <c r="I1209" s="2" t="s">
        <v>12</v>
      </c>
      <c r="J1209" s="2" t="s">
        <v>12</v>
      </c>
      <c r="K1209" s="2" t="s">
        <v>12</v>
      </c>
    </row>
    <row r="1210" spans="1:11" ht="12.5" x14ac:dyDescent="0.25">
      <c r="A1210" s="3" t="e">
        <f ca="1"/>
        <v>#NAME?</v>
      </c>
      <c r="B1210" s="2" t="s">
        <v>12</v>
      </c>
      <c r="C1210" s="2" t="s">
        <v>12</v>
      </c>
      <c r="D1210" s="2" t="s">
        <v>12</v>
      </c>
      <c r="E1210" s="2" t="s">
        <v>12</v>
      </c>
      <c r="F1210" s="2" t="s">
        <v>12</v>
      </c>
      <c r="G1210" s="2" t="s">
        <v>12</v>
      </c>
      <c r="H1210" s="2" t="s">
        <v>12</v>
      </c>
      <c r="I1210" s="2" t="s">
        <v>12</v>
      </c>
      <c r="J1210" s="2" t="s">
        <v>12</v>
      </c>
      <c r="K1210" s="2" t="s">
        <v>12</v>
      </c>
    </row>
    <row r="1211" spans="1:11" ht="12.5" x14ac:dyDescent="0.25">
      <c r="A1211" s="3" t="e">
        <f ca="1"/>
        <v>#NAME?</v>
      </c>
      <c r="B1211" s="2" t="s">
        <v>12</v>
      </c>
      <c r="C1211" s="2" t="s">
        <v>12</v>
      </c>
      <c r="D1211" s="2" t="s">
        <v>12</v>
      </c>
      <c r="E1211" s="2" t="s">
        <v>12</v>
      </c>
      <c r="F1211" s="2" t="s">
        <v>12</v>
      </c>
      <c r="G1211" s="2" t="s">
        <v>12</v>
      </c>
      <c r="H1211" s="2" t="s">
        <v>12</v>
      </c>
      <c r="I1211" s="2" t="s">
        <v>12</v>
      </c>
      <c r="J1211" s="2" t="s">
        <v>12</v>
      </c>
      <c r="K1211" s="2" t="s">
        <v>12</v>
      </c>
    </row>
    <row r="1212" spans="1:11" ht="12.5" x14ac:dyDescent="0.25">
      <c r="A1212" s="3" t="e">
        <f ca="1"/>
        <v>#NAME?</v>
      </c>
      <c r="B1212" s="2" t="s">
        <v>12</v>
      </c>
      <c r="C1212" s="2" t="s">
        <v>12</v>
      </c>
      <c r="D1212" s="2" t="s">
        <v>12</v>
      </c>
      <c r="E1212" s="2" t="s">
        <v>12</v>
      </c>
      <c r="F1212" s="2" t="s">
        <v>12</v>
      </c>
      <c r="G1212" s="2" t="s">
        <v>12</v>
      </c>
      <c r="H1212" s="2" t="s">
        <v>12</v>
      </c>
      <c r="I1212" s="2" t="s">
        <v>12</v>
      </c>
      <c r="J1212" s="2" t="s">
        <v>12</v>
      </c>
      <c r="K1212" s="2" t="s">
        <v>12</v>
      </c>
    </row>
    <row r="1213" spans="1:11" ht="12.5" x14ac:dyDescent="0.25">
      <c r="A1213" s="3" t="e">
        <f ca="1"/>
        <v>#NAME?</v>
      </c>
      <c r="B1213" s="2" t="s">
        <v>12</v>
      </c>
      <c r="C1213" s="2" t="s">
        <v>12</v>
      </c>
      <c r="D1213" s="2" t="s">
        <v>12</v>
      </c>
      <c r="E1213" s="2" t="s">
        <v>12</v>
      </c>
      <c r="F1213" s="2" t="s">
        <v>12</v>
      </c>
      <c r="G1213" s="2" t="s">
        <v>12</v>
      </c>
      <c r="H1213" s="2" t="s">
        <v>12</v>
      </c>
      <c r="I1213" s="2" t="s">
        <v>12</v>
      </c>
      <c r="J1213" s="2" t="s">
        <v>12</v>
      </c>
      <c r="K1213" s="2" t="s">
        <v>12</v>
      </c>
    </row>
    <row r="1214" spans="1:11" ht="12.5" x14ac:dyDescent="0.25">
      <c r="A1214" s="3" t="e">
        <f ca="1"/>
        <v>#NAME?</v>
      </c>
      <c r="B1214" s="2" t="s">
        <v>12</v>
      </c>
      <c r="C1214" s="2" t="s">
        <v>12</v>
      </c>
      <c r="D1214" s="2" t="s">
        <v>12</v>
      </c>
      <c r="E1214" s="2" t="s">
        <v>12</v>
      </c>
      <c r="F1214" s="2" t="s">
        <v>12</v>
      </c>
      <c r="G1214" s="2" t="s">
        <v>12</v>
      </c>
      <c r="H1214" s="2" t="s">
        <v>12</v>
      </c>
      <c r="I1214" s="2" t="s">
        <v>12</v>
      </c>
      <c r="J1214" s="2" t="s">
        <v>12</v>
      </c>
      <c r="K1214" s="2" t="s">
        <v>12</v>
      </c>
    </row>
    <row r="1215" spans="1:11" ht="12.5" x14ac:dyDescent="0.25">
      <c r="A1215" s="3" t="e">
        <f ca="1"/>
        <v>#NAME?</v>
      </c>
      <c r="B1215" s="2" t="s">
        <v>12</v>
      </c>
      <c r="C1215" s="2" t="s">
        <v>12</v>
      </c>
      <c r="D1215" s="2" t="s">
        <v>12</v>
      </c>
      <c r="E1215" s="2" t="s">
        <v>12</v>
      </c>
      <c r="F1215" s="2" t="s">
        <v>12</v>
      </c>
      <c r="G1215" s="2" t="s">
        <v>12</v>
      </c>
      <c r="H1215" s="2" t="s">
        <v>12</v>
      </c>
      <c r="I1215" s="2" t="s">
        <v>12</v>
      </c>
      <c r="J1215" s="2" t="s">
        <v>12</v>
      </c>
      <c r="K1215" s="2" t="s">
        <v>12</v>
      </c>
    </row>
    <row r="1216" spans="1:11" ht="12.5" x14ac:dyDescent="0.25">
      <c r="A1216" s="3" t="e">
        <f ca="1"/>
        <v>#NAME?</v>
      </c>
      <c r="B1216" s="2" t="s">
        <v>12</v>
      </c>
      <c r="C1216" s="2" t="s">
        <v>12</v>
      </c>
      <c r="D1216" s="2" t="s">
        <v>12</v>
      </c>
      <c r="E1216" s="2" t="s">
        <v>12</v>
      </c>
      <c r="F1216" s="2" t="s">
        <v>12</v>
      </c>
      <c r="G1216" s="2" t="s">
        <v>12</v>
      </c>
      <c r="H1216" s="2" t="s">
        <v>12</v>
      </c>
      <c r="I1216" s="2" t="s">
        <v>12</v>
      </c>
      <c r="J1216" s="2" t="s">
        <v>12</v>
      </c>
      <c r="K1216" s="2" t="s">
        <v>12</v>
      </c>
    </row>
    <row r="1217" spans="1:11" ht="12.5" x14ac:dyDescent="0.25">
      <c r="A1217" s="3" t="e">
        <f ca="1"/>
        <v>#NAME?</v>
      </c>
      <c r="B1217" s="2" t="s">
        <v>12</v>
      </c>
      <c r="C1217" s="2" t="s">
        <v>12</v>
      </c>
      <c r="D1217" s="2" t="s">
        <v>12</v>
      </c>
      <c r="E1217" s="2" t="s">
        <v>12</v>
      </c>
      <c r="F1217" s="2" t="s">
        <v>12</v>
      </c>
      <c r="G1217" s="2" t="s">
        <v>12</v>
      </c>
      <c r="H1217" s="2" t="s">
        <v>12</v>
      </c>
      <c r="I1217" s="2" t="s">
        <v>12</v>
      </c>
      <c r="J1217" s="2" t="s">
        <v>12</v>
      </c>
      <c r="K1217" s="2" t="s">
        <v>12</v>
      </c>
    </row>
    <row r="1218" spans="1:11" ht="12.5" x14ac:dyDescent="0.25">
      <c r="A1218" s="3" t="e">
        <f ca="1"/>
        <v>#NAME?</v>
      </c>
      <c r="B1218" s="2" t="s">
        <v>12</v>
      </c>
      <c r="C1218" s="2" t="s">
        <v>12</v>
      </c>
      <c r="D1218" s="2" t="s">
        <v>12</v>
      </c>
      <c r="E1218" s="2" t="s">
        <v>12</v>
      </c>
      <c r="F1218" s="2" t="s">
        <v>12</v>
      </c>
      <c r="G1218" s="2" t="s">
        <v>12</v>
      </c>
      <c r="H1218" s="2" t="s">
        <v>12</v>
      </c>
      <c r="I1218" s="2" t="s">
        <v>12</v>
      </c>
      <c r="J1218" s="2" t="s">
        <v>12</v>
      </c>
      <c r="K1218" s="2" t="s">
        <v>12</v>
      </c>
    </row>
    <row r="1219" spans="1:11" ht="12.5" x14ac:dyDescent="0.25">
      <c r="A1219" s="3" t="e">
        <f ca="1"/>
        <v>#NAME?</v>
      </c>
      <c r="B1219" s="2" t="s">
        <v>12</v>
      </c>
      <c r="C1219" s="2" t="s">
        <v>12</v>
      </c>
      <c r="D1219" s="2" t="s">
        <v>12</v>
      </c>
      <c r="E1219" s="2" t="s">
        <v>12</v>
      </c>
      <c r="F1219" s="2" t="s">
        <v>12</v>
      </c>
      <c r="G1219" s="2" t="s">
        <v>12</v>
      </c>
      <c r="H1219" s="2" t="s">
        <v>12</v>
      </c>
      <c r="I1219" s="2" t="s">
        <v>12</v>
      </c>
      <c r="J1219" s="2" t="s">
        <v>12</v>
      </c>
      <c r="K1219" s="2" t="s">
        <v>12</v>
      </c>
    </row>
    <row r="1220" spans="1:11" ht="12.5" x14ac:dyDescent="0.25">
      <c r="A1220" s="3" t="e">
        <f ca="1"/>
        <v>#NAME?</v>
      </c>
      <c r="B1220" s="2" t="s">
        <v>12</v>
      </c>
      <c r="C1220" s="2" t="s">
        <v>12</v>
      </c>
      <c r="D1220" s="2" t="s">
        <v>12</v>
      </c>
      <c r="E1220" s="2" t="s">
        <v>12</v>
      </c>
      <c r="F1220" s="2" t="s">
        <v>12</v>
      </c>
      <c r="G1220" s="2" t="s">
        <v>12</v>
      </c>
      <c r="H1220" s="2" t="s">
        <v>12</v>
      </c>
      <c r="I1220" s="2" t="s">
        <v>12</v>
      </c>
      <c r="J1220" s="2" t="s">
        <v>12</v>
      </c>
      <c r="K1220" s="2" t="s">
        <v>12</v>
      </c>
    </row>
    <row r="1221" spans="1:11" ht="12.5" x14ac:dyDescent="0.25">
      <c r="A1221" s="3" t="e">
        <f ca="1"/>
        <v>#NAME?</v>
      </c>
      <c r="B1221" s="2" t="s">
        <v>12</v>
      </c>
      <c r="C1221" s="2" t="s">
        <v>12</v>
      </c>
      <c r="D1221" s="2" t="s">
        <v>12</v>
      </c>
      <c r="E1221" s="2" t="s">
        <v>12</v>
      </c>
      <c r="F1221" s="2" t="s">
        <v>12</v>
      </c>
      <c r="G1221" s="2" t="s">
        <v>12</v>
      </c>
      <c r="H1221" s="2" t="s">
        <v>12</v>
      </c>
      <c r="I1221" s="2" t="s">
        <v>12</v>
      </c>
      <c r="J1221" s="2" t="s">
        <v>12</v>
      </c>
      <c r="K1221" s="2" t="s">
        <v>12</v>
      </c>
    </row>
    <row r="1222" spans="1:11" ht="12.5" x14ac:dyDescent="0.25">
      <c r="A1222" s="3" t="e">
        <f ca="1"/>
        <v>#NAME?</v>
      </c>
      <c r="B1222" s="2" t="s">
        <v>12</v>
      </c>
      <c r="C1222" s="2" t="s">
        <v>12</v>
      </c>
      <c r="D1222" s="2" t="s">
        <v>12</v>
      </c>
      <c r="E1222" s="2" t="s">
        <v>12</v>
      </c>
      <c r="F1222" s="2" t="s">
        <v>12</v>
      </c>
      <c r="G1222" s="2" t="s">
        <v>12</v>
      </c>
      <c r="H1222" s="2" t="s">
        <v>12</v>
      </c>
      <c r="I1222" s="2" t="s">
        <v>12</v>
      </c>
      <c r="J1222" s="2" t="s">
        <v>12</v>
      </c>
      <c r="K1222" s="2" t="s">
        <v>12</v>
      </c>
    </row>
    <row r="1223" spans="1:11" ht="12.5" x14ac:dyDescent="0.25">
      <c r="A1223" s="3" t="e">
        <f ca="1"/>
        <v>#NAME?</v>
      </c>
      <c r="B1223" s="2" t="s">
        <v>12</v>
      </c>
      <c r="C1223" s="2" t="s">
        <v>12</v>
      </c>
      <c r="D1223" s="2" t="s">
        <v>12</v>
      </c>
      <c r="E1223" s="2" t="s">
        <v>12</v>
      </c>
      <c r="F1223" s="2" t="s">
        <v>12</v>
      </c>
      <c r="G1223" s="2" t="s">
        <v>12</v>
      </c>
      <c r="H1223" s="2" t="s">
        <v>12</v>
      </c>
      <c r="I1223" s="2" t="s">
        <v>12</v>
      </c>
      <c r="J1223" s="2" t="s">
        <v>12</v>
      </c>
      <c r="K1223" s="2" t="s">
        <v>12</v>
      </c>
    </row>
    <row r="1224" spans="1:11" ht="12.5" x14ac:dyDescent="0.25">
      <c r="A1224" s="3" t="e">
        <f ca="1"/>
        <v>#NAME?</v>
      </c>
      <c r="B1224" s="2" t="s">
        <v>12</v>
      </c>
      <c r="C1224" s="2" t="s">
        <v>12</v>
      </c>
      <c r="D1224" s="2" t="s">
        <v>12</v>
      </c>
      <c r="E1224" s="2" t="s">
        <v>12</v>
      </c>
      <c r="F1224" s="2" t="s">
        <v>12</v>
      </c>
      <c r="G1224" s="2" t="s">
        <v>12</v>
      </c>
      <c r="H1224" s="2" t="s">
        <v>12</v>
      </c>
      <c r="I1224" s="2" t="s">
        <v>12</v>
      </c>
      <c r="J1224" s="2" t="s">
        <v>12</v>
      </c>
      <c r="K1224" s="2" t="s">
        <v>12</v>
      </c>
    </row>
    <row r="1225" spans="1:11" ht="12.5" x14ac:dyDescent="0.25">
      <c r="A1225" s="3" t="e">
        <f ca="1"/>
        <v>#NAME?</v>
      </c>
      <c r="B1225" s="2" t="s">
        <v>12</v>
      </c>
      <c r="C1225" s="2" t="s">
        <v>12</v>
      </c>
      <c r="D1225" s="2" t="s">
        <v>12</v>
      </c>
      <c r="E1225" s="2" t="s">
        <v>12</v>
      </c>
      <c r="F1225" s="2" t="s">
        <v>12</v>
      </c>
      <c r="G1225" s="2" t="s">
        <v>12</v>
      </c>
      <c r="H1225" s="2" t="s">
        <v>12</v>
      </c>
      <c r="I1225" s="2" t="s">
        <v>12</v>
      </c>
      <c r="J1225" s="2" t="s">
        <v>12</v>
      </c>
      <c r="K1225" s="2" t="s">
        <v>12</v>
      </c>
    </row>
    <row r="1226" spans="1:11" ht="12.5" x14ac:dyDescent="0.25">
      <c r="A1226" s="3" t="e">
        <f ca="1"/>
        <v>#NAME?</v>
      </c>
      <c r="B1226" s="2" t="s">
        <v>12</v>
      </c>
      <c r="C1226" s="2" t="s">
        <v>12</v>
      </c>
      <c r="D1226" s="2" t="s">
        <v>12</v>
      </c>
      <c r="E1226" s="2" t="s">
        <v>12</v>
      </c>
      <c r="F1226" s="2" t="s">
        <v>12</v>
      </c>
      <c r="G1226" s="2" t="s">
        <v>12</v>
      </c>
      <c r="H1226" s="2" t="s">
        <v>12</v>
      </c>
      <c r="I1226" s="2" t="s">
        <v>12</v>
      </c>
      <c r="J1226" s="2" t="s">
        <v>12</v>
      </c>
      <c r="K1226" s="2" t="s">
        <v>12</v>
      </c>
    </row>
    <row r="1227" spans="1:11" ht="12.5" x14ac:dyDescent="0.25">
      <c r="A1227" s="3" t="e">
        <f ca="1"/>
        <v>#NAME?</v>
      </c>
      <c r="B1227" s="2" t="s">
        <v>12</v>
      </c>
      <c r="C1227" s="2" t="s">
        <v>12</v>
      </c>
      <c r="D1227" s="2" t="s">
        <v>12</v>
      </c>
      <c r="E1227" s="2" t="s">
        <v>12</v>
      </c>
      <c r="F1227" s="2" t="s">
        <v>12</v>
      </c>
      <c r="G1227" s="2" t="s">
        <v>12</v>
      </c>
      <c r="H1227" s="2" t="s">
        <v>12</v>
      </c>
      <c r="I1227" s="2" t="s">
        <v>12</v>
      </c>
      <c r="J1227" s="2" t="s">
        <v>12</v>
      </c>
      <c r="K1227" s="2" t="s">
        <v>12</v>
      </c>
    </row>
    <row r="1228" spans="1:11" ht="12.5" x14ac:dyDescent="0.25">
      <c r="A1228" s="3" t="e">
        <f ca="1"/>
        <v>#NAME?</v>
      </c>
      <c r="B1228" s="2" t="s">
        <v>12</v>
      </c>
      <c r="C1228" s="2" t="s">
        <v>12</v>
      </c>
      <c r="D1228" s="2" t="s">
        <v>12</v>
      </c>
      <c r="E1228" s="2" t="s">
        <v>12</v>
      </c>
      <c r="F1228" s="2" t="s">
        <v>12</v>
      </c>
      <c r="G1228" s="2" t="s">
        <v>12</v>
      </c>
      <c r="H1228" s="2" t="s">
        <v>12</v>
      </c>
      <c r="I1228" s="2" t="s">
        <v>12</v>
      </c>
      <c r="J1228" s="2" t="s">
        <v>12</v>
      </c>
      <c r="K1228" s="2" t="s">
        <v>12</v>
      </c>
    </row>
    <row r="1229" spans="1:11" ht="12.5" x14ac:dyDescent="0.25">
      <c r="A1229" s="3" t="e">
        <f ca="1"/>
        <v>#NAME?</v>
      </c>
      <c r="B1229" s="2" t="s">
        <v>12</v>
      </c>
      <c r="C1229" s="2" t="s">
        <v>12</v>
      </c>
      <c r="D1229" s="2" t="s">
        <v>12</v>
      </c>
      <c r="E1229" s="2" t="s">
        <v>12</v>
      </c>
      <c r="F1229" s="2" t="s">
        <v>12</v>
      </c>
      <c r="G1229" s="2" t="s">
        <v>12</v>
      </c>
      <c r="H1229" s="2" t="s">
        <v>12</v>
      </c>
      <c r="I1229" s="2" t="s">
        <v>12</v>
      </c>
      <c r="J1229" s="2" t="s">
        <v>12</v>
      </c>
      <c r="K1229" s="2" t="s">
        <v>12</v>
      </c>
    </row>
    <row r="1230" spans="1:11" ht="12.5" x14ac:dyDescent="0.25">
      <c r="A1230" s="3" t="e">
        <f ca="1"/>
        <v>#NAME?</v>
      </c>
      <c r="B1230" s="2" t="s">
        <v>12</v>
      </c>
      <c r="C1230" s="2" t="s">
        <v>12</v>
      </c>
      <c r="D1230" s="2" t="s">
        <v>12</v>
      </c>
      <c r="E1230" s="2" t="s">
        <v>12</v>
      </c>
      <c r="F1230" s="2" t="s">
        <v>12</v>
      </c>
      <c r="G1230" s="2" t="s">
        <v>12</v>
      </c>
      <c r="H1230" s="2" t="s">
        <v>12</v>
      </c>
      <c r="I1230" s="2" t="s">
        <v>12</v>
      </c>
      <c r="J1230" s="2" t="s">
        <v>12</v>
      </c>
      <c r="K1230" s="2" t="s">
        <v>12</v>
      </c>
    </row>
    <row r="1231" spans="1:11" ht="12.5" x14ac:dyDescent="0.25">
      <c r="A1231" s="3" t="e">
        <f ca="1"/>
        <v>#NAME?</v>
      </c>
      <c r="B1231" s="2" t="s">
        <v>12</v>
      </c>
      <c r="C1231" s="2" t="s">
        <v>12</v>
      </c>
      <c r="D1231" s="2" t="s">
        <v>12</v>
      </c>
      <c r="E1231" s="2" t="s">
        <v>12</v>
      </c>
      <c r="F1231" s="2" t="s">
        <v>12</v>
      </c>
      <c r="G1231" s="2" t="s">
        <v>12</v>
      </c>
      <c r="H1231" s="2" t="s">
        <v>12</v>
      </c>
      <c r="I1231" s="2" t="s">
        <v>12</v>
      </c>
      <c r="J1231" s="2" t="s">
        <v>12</v>
      </c>
      <c r="K1231" s="2" t="s">
        <v>12</v>
      </c>
    </row>
    <row r="1232" spans="1:11" ht="12.5" x14ac:dyDescent="0.25">
      <c r="A1232" s="3" t="e">
        <f ca="1"/>
        <v>#NAME?</v>
      </c>
      <c r="B1232" s="2" t="s">
        <v>12</v>
      </c>
      <c r="C1232" s="2" t="s">
        <v>12</v>
      </c>
      <c r="D1232" s="2" t="s">
        <v>12</v>
      </c>
      <c r="E1232" s="2" t="s">
        <v>12</v>
      </c>
      <c r="F1232" s="2" t="s">
        <v>12</v>
      </c>
      <c r="G1232" s="2" t="s">
        <v>12</v>
      </c>
      <c r="H1232" s="2" t="s">
        <v>12</v>
      </c>
      <c r="I1232" s="2" t="s">
        <v>12</v>
      </c>
      <c r="J1232" s="2" t="s">
        <v>12</v>
      </c>
      <c r="K1232" s="2" t="s">
        <v>12</v>
      </c>
    </row>
    <row r="1233" spans="1:11" ht="12.5" x14ac:dyDescent="0.25">
      <c r="A1233" s="3" t="e">
        <f ca="1"/>
        <v>#NAME?</v>
      </c>
      <c r="B1233" s="2" t="s">
        <v>12</v>
      </c>
      <c r="C1233" s="2" t="s">
        <v>12</v>
      </c>
      <c r="D1233" s="2" t="s">
        <v>12</v>
      </c>
      <c r="E1233" s="2" t="s">
        <v>12</v>
      </c>
      <c r="F1233" s="2" t="s">
        <v>12</v>
      </c>
      <c r="G1233" s="2" t="s">
        <v>12</v>
      </c>
      <c r="H1233" s="2" t="s">
        <v>12</v>
      </c>
      <c r="I1233" s="2" t="s">
        <v>12</v>
      </c>
      <c r="J1233" s="2" t="s">
        <v>12</v>
      </c>
      <c r="K1233" s="2" t="s">
        <v>12</v>
      </c>
    </row>
    <row r="1234" spans="1:11" ht="12.5" x14ac:dyDescent="0.25">
      <c r="A1234" s="3" t="e">
        <f ca="1"/>
        <v>#NAME?</v>
      </c>
      <c r="B1234" s="2" t="s">
        <v>12</v>
      </c>
      <c r="C1234" s="2" t="s">
        <v>12</v>
      </c>
      <c r="D1234" s="2" t="s">
        <v>12</v>
      </c>
      <c r="E1234" s="2" t="s">
        <v>12</v>
      </c>
      <c r="F1234" s="2" t="s">
        <v>12</v>
      </c>
      <c r="G1234" s="2" t="s">
        <v>12</v>
      </c>
      <c r="H1234" s="2" t="s">
        <v>12</v>
      </c>
      <c r="I1234" s="2" t="s">
        <v>12</v>
      </c>
      <c r="J1234" s="2" t="s">
        <v>12</v>
      </c>
      <c r="K1234" s="2" t="s">
        <v>12</v>
      </c>
    </row>
    <row r="1235" spans="1:11" ht="12.5" x14ac:dyDescent="0.25">
      <c r="A1235" s="3" t="e">
        <f ca="1"/>
        <v>#NAME?</v>
      </c>
      <c r="B1235" s="2" t="s">
        <v>12</v>
      </c>
      <c r="C1235" s="2" t="s">
        <v>12</v>
      </c>
      <c r="D1235" s="2" t="s">
        <v>12</v>
      </c>
      <c r="E1235" s="2" t="s">
        <v>12</v>
      </c>
      <c r="F1235" s="2" t="s">
        <v>12</v>
      </c>
      <c r="G1235" s="2" t="s">
        <v>12</v>
      </c>
      <c r="H1235" s="2" t="s">
        <v>12</v>
      </c>
      <c r="I1235" s="2" t="s">
        <v>12</v>
      </c>
      <c r="J1235" s="2" t="s">
        <v>12</v>
      </c>
      <c r="K1235" s="2" t="s">
        <v>12</v>
      </c>
    </row>
    <row r="1236" spans="1:11" ht="12.5" x14ac:dyDescent="0.25">
      <c r="A1236" s="3" t="e">
        <f ca="1"/>
        <v>#NAME?</v>
      </c>
      <c r="B1236" s="2" t="s">
        <v>12</v>
      </c>
      <c r="C1236" s="2" t="s">
        <v>12</v>
      </c>
      <c r="D1236" s="2" t="s">
        <v>12</v>
      </c>
      <c r="E1236" s="2" t="s">
        <v>12</v>
      </c>
      <c r="F1236" s="2" t="s">
        <v>12</v>
      </c>
      <c r="G1236" s="2" t="s">
        <v>12</v>
      </c>
      <c r="H1236" s="2" t="s">
        <v>12</v>
      </c>
      <c r="I1236" s="2" t="s">
        <v>12</v>
      </c>
      <c r="J1236" s="2" t="s">
        <v>12</v>
      </c>
      <c r="K1236" s="2" t="s">
        <v>12</v>
      </c>
    </row>
    <row r="1237" spans="1:11" ht="12.5" x14ac:dyDescent="0.25">
      <c r="A1237" s="3" t="e">
        <f ca="1"/>
        <v>#NAME?</v>
      </c>
      <c r="B1237" s="2" t="s">
        <v>12</v>
      </c>
      <c r="C1237" s="2" t="s">
        <v>12</v>
      </c>
      <c r="D1237" s="2" t="s">
        <v>12</v>
      </c>
      <c r="E1237" s="2" t="s">
        <v>12</v>
      </c>
      <c r="F1237" s="2" t="s">
        <v>12</v>
      </c>
      <c r="G1237" s="2" t="s">
        <v>12</v>
      </c>
      <c r="H1237" s="2" t="s">
        <v>12</v>
      </c>
      <c r="I1237" s="2" t="s">
        <v>12</v>
      </c>
      <c r="J1237" s="2" t="s">
        <v>12</v>
      </c>
      <c r="K1237" s="2" t="s">
        <v>12</v>
      </c>
    </row>
    <row r="1238" spans="1:11" ht="12.5" x14ac:dyDescent="0.25">
      <c r="A1238" s="3" t="e">
        <f ca="1"/>
        <v>#NAME?</v>
      </c>
      <c r="B1238" s="2" t="s">
        <v>12</v>
      </c>
      <c r="C1238" s="2" t="s">
        <v>12</v>
      </c>
      <c r="D1238" s="2" t="s">
        <v>12</v>
      </c>
      <c r="E1238" s="2" t="s">
        <v>12</v>
      </c>
      <c r="F1238" s="2" t="s">
        <v>12</v>
      </c>
      <c r="G1238" s="2" t="s">
        <v>12</v>
      </c>
      <c r="H1238" s="2" t="s">
        <v>12</v>
      </c>
      <c r="I1238" s="2" t="s">
        <v>12</v>
      </c>
      <c r="J1238" s="2" t="s">
        <v>12</v>
      </c>
      <c r="K1238" s="2" t="s">
        <v>12</v>
      </c>
    </row>
    <row r="1239" spans="1:11" ht="12.5" x14ac:dyDescent="0.25">
      <c r="A1239" s="3" t="e">
        <f ca="1"/>
        <v>#NAME?</v>
      </c>
      <c r="B1239" s="2" t="s">
        <v>12</v>
      </c>
      <c r="C1239" s="2" t="s">
        <v>12</v>
      </c>
      <c r="D1239" s="2" t="s">
        <v>12</v>
      </c>
      <c r="E1239" s="2" t="s">
        <v>12</v>
      </c>
      <c r="F1239" s="2" t="s">
        <v>12</v>
      </c>
      <c r="G1239" s="2" t="s">
        <v>12</v>
      </c>
      <c r="H1239" s="2" t="s">
        <v>12</v>
      </c>
      <c r="I1239" s="2" t="s">
        <v>12</v>
      </c>
      <c r="J1239" s="2" t="s">
        <v>12</v>
      </c>
      <c r="K1239" s="2" t="s">
        <v>12</v>
      </c>
    </row>
    <row r="1240" spans="1:11" ht="12.5" x14ac:dyDescent="0.25">
      <c r="A1240" s="3" t="e">
        <f ca="1"/>
        <v>#NAME?</v>
      </c>
      <c r="B1240" s="2" t="s">
        <v>12</v>
      </c>
      <c r="C1240" s="2" t="s">
        <v>12</v>
      </c>
      <c r="D1240" s="2" t="s">
        <v>12</v>
      </c>
      <c r="E1240" s="2" t="s">
        <v>12</v>
      </c>
      <c r="F1240" s="2" t="s">
        <v>12</v>
      </c>
      <c r="G1240" s="2" t="s">
        <v>12</v>
      </c>
      <c r="H1240" s="2" t="s">
        <v>12</v>
      </c>
      <c r="I1240" s="2" t="s">
        <v>12</v>
      </c>
      <c r="J1240" s="2" t="s">
        <v>12</v>
      </c>
      <c r="K1240" s="2" t="s">
        <v>12</v>
      </c>
    </row>
    <row r="1241" spans="1:11" ht="12.5" x14ac:dyDescent="0.25">
      <c r="A1241" s="3" t="e">
        <f ca="1"/>
        <v>#NAME?</v>
      </c>
      <c r="B1241" s="2" t="s">
        <v>12</v>
      </c>
      <c r="C1241" s="2" t="s">
        <v>12</v>
      </c>
      <c r="D1241" s="2" t="s">
        <v>12</v>
      </c>
      <c r="E1241" s="2" t="s">
        <v>12</v>
      </c>
      <c r="F1241" s="2" t="s">
        <v>12</v>
      </c>
      <c r="G1241" s="2" t="s">
        <v>12</v>
      </c>
      <c r="H1241" s="2" t="s">
        <v>12</v>
      </c>
      <c r="I1241" s="2" t="s">
        <v>12</v>
      </c>
      <c r="J1241" s="2" t="s">
        <v>12</v>
      </c>
      <c r="K1241" s="2" t="s">
        <v>12</v>
      </c>
    </row>
    <row r="1242" spans="1:11" ht="12.5" x14ac:dyDescent="0.25">
      <c r="A1242" s="3" t="e">
        <f ca="1"/>
        <v>#NAME?</v>
      </c>
      <c r="B1242" s="2" t="s">
        <v>12</v>
      </c>
      <c r="C1242" s="2" t="s">
        <v>12</v>
      </c>
      <c r="D1242" s="2" t="s">
        <v>12</v>
      </c>
      <c r="E1242" s="2" t="s">
        <v>12</v>
      </c>
      <c r="F1242" s="2" t="s">
        <v>12</v>
      </c>
      <c r="G1242" s="2" t="s">
        <v>12</v>
      </c>
      <c r="H1242" s="2" t="s">
        <v>12</v>
      </c>
      <c r="I1242" s="2" t="s">
        <v>12</v>
      </c>
      <c r="J1242" s="2" t="s">
        <v>12</v>
      </c>
      <c r="K1242" s="2" t="s">
        <v>12</v>
      </c>
    </row>
    <row r="1243" spans="1:11" ht="12.5" x14ac:dyDescent="0.25">
      <c r="A1243" s="3" t="e">
        <f ca="1"/>
        <v>#NAME?</v>
      </c>
      <c r="B1243" s="2" t="s">
        <v>12</v>
      </c>
      <c r="C1243" s="2" t="s">
        <v>12</v>
      </c>
      <c r="D1243" s="2" t="s">
        <v>12</v>
      </c>
      <c r="E1243" s="2" t="s">
        <v>12</v>
      </c>
      <c r="F1243" s="2" t="s">
        <v>12</v>
      </c>
      <c r="G1243" s="2" t="s">
        <v>12</v>
      </c>
      <c r="H1243" s="2" t="s">
        <v>12</v>
      </c>
      <c r="I1243" s="2" t="s">
        <v>12</v>
      </c>
      <c r="J1243" s="2" t="s">
        <v>12</v>
      </c>
      <c r="K1243" s="2" t="s">
        <v>12</v>
      </c>
    </row>
    <row r="1244" spans="1:11" ht="12.5" x14ac:dyDescent="0.25">
      <c r="A1244" s="3" t="e">
        <f ca="1"/>
        <v>#NAME?</v>
      </c>
      <c r="B1244" s="2" t="s">
        <v>12</v>
      </c>
      <c r="C1244" s="2" t="s">
        <v>12</v>
      </c>
      <c r="D1244" s="2" t="s">
        <v>12</v>
      </c>
      <c r="E1244" s="2" t="s">
        <v>12</v>
      </c>
      <c r="F1244" s="2" t="s">
        <v>12</v>
      </c>
      <c r="G1244" s="2" t="s">
        <v>12</v>
      </c>
      <c r="H1244" s="2" t="s">
        <v>12</v>
      </c>
      <c r="I1244" s="2" t="s">
        <v>12</v>
      </c>
      <c r="J1244" s="2" t="s">
        <v>12</v>
      </c>
      <c r="K1244" s="2" t="s">
        <v>12</v>
      </c>
    </row>
    <row r="1245" spans="1:11" ht="12.5" x14ac:dyDescent="0.25">
      <c r="A1245" s="3" t="e">
        <f ca="1"/>
        <v>#NAME?</v>
      </c>
      <c r="B1245" s="2" t="s">
        <v>12</v>
      </c>
      <c r="C1245" s="2" t="s">
        <v>12</v>
      </c>
      <c r="D1245" s="2" t="s">
        <v>12</v>
      </c>
      <c r="E1245" s="2" t="s">
        <v>12</v>
      </c>
      <c r="F1245" s="2" t="s">
        <v>12</v>
      </c>
      <c r="G1245" s="2" t="s">
        <v>12</v>
      </c>
      <c r="H1245" s="2" t="s">
        <v>12</v>
      </c>
      <c r="I1245" s="2" t="s">
        <v>12</v>
      </c>
      <c r="J1245" s="2" t="s">
        <v>12</v>
      </c>
      <c r="K1245" s="2" t="s">
        <v>12</v>
      </c>
    </row>
    <row r="1246" spans="1:11" ht="12.5" x14ac:dyDescent="0.25">
      <c r="A1246" s="3" t="e">
        <f ca="1"/>
        <v>#NAME?</v>
      </c>
      <c r="B1246" s="2" t="s">
        <v>12</v>
      </c>
      <c r="C1246" s="2" t="s">
        <v>12</v>
      </c>
      <c r="D1246" s="2" t="s">
        <v>12</v>
      </c>
      <c r="E1246" s="2" t="s">
        <v>12</v>
      </c>
      <c r="F1246" s="2" t="s">
        <v>12</v>
      </c>
      <c r="G1246" s="2" t="s">
        <v>12</v>
      </c>
      <c r="H1246" s="2" t="s">
        <v>12</v>
      </c>
      <c r="I1246" s="2" t="s">
        <v>12</v>
      </c>
      <c r="J1246" s="2" t="s">
        <v>12</v>
      </c>
      <c r="K1246" s="2" t="s">
        <v>12</v>
      </c>
    </row>
    <row r="1247" spans="1:11" ht="12.5" x14ac:dyDescent="0.25">
      <c r="A1247" s="3" t="e">
        <f ca="1"/>
        <v>#NAME?</v>
      </c>
      <c r="B1247" s="2" t="s">
        <v>12</v>
      </c>
      <c r="C1247" s="2" t="s">
        <v>12</v>
      </c>
      <c r="D1247" s="2" t="s">
        <v>12</v>
      </c>
      <c r="E1247" s="2" t="s">
        <v>12</v>
      </c>
      <c r="F1247" s="2" t="s">
        <v>12</v>
      </c>
      <c r="G1247" s="2" t="s">
        <v>12</v>
      </c>
      <c r="H1247" s="2" t="s">
        <v>12</v>
      </c>
      <c r="I1247" s="2" t="s">
        <v>12</v>
      </c>
      <c r="J1247" s="2" t="s">
        <v>12</v>
      </c>
      <c r="K1247" s="2" t="s">
        <v>12</v>
      </c>
    </row>
    <row r="1248" spans="1:11" ht="12.5" x14ac:dyDescent="0.25">
      <c r="A1248" s="3" t="e">
        <f ca="1"/>
        <v>#NAME?</v>
      </c>
      <c r="B1248" s="2" t="s">
        <v>12</v>
      </c>
      <c r="C1248" s="2" t="s">
        <v>12</v>
      </c>
      <c r="D1248" s="2" t="s">
        <v>12</v>
      </c>
      <c r="E1248" s="2" t="s">
        <v>12</v>
      </c>
      <c r="F1248" s="2" t="s">
        <v>12</v>
      </c>
      <c r="G1248" s="2" t="s">
        <v>12</v>
      </c>
      <c r="H1248" s="2" t="s">
        <v>12</v>
      </c>
      <c r="I1248" s="2" t="s">
        <v>12</v>
      </c>
      <c r="J1248" s="2" t="s">
        <v>12</v>
      </c>
      <c r="K1248" s="2" t="s">
        <v>12</v>
      </c>
    </row>
    <row r="1249" spans="1:11" ht="12.5" x14ac:dyDescent="0.25">
      <c r="A1249" s="3" t="e">
        <f ca="1"/>
        <v>#NAME?</v>
      </c>
      <c r="B1249" s="2" t="s">
        <v>12</v>
      </c>
      <c r="C1249" s="2" t="s">
        <v>12</v>
      </c>
      <c r="D1249" s="2" t="s">
        <v>12</v>
      </c>
      <c r="E1249" s="2" t="s">
        <v>12</v>
      </c>
      <c r="F1249" s="2" t="s">
        <v>12</v>
      </c>
      <c r="G1249" s="2" t="s">
        <v>12</v>
      </c>
      <c r="H1249" s="2" t="s">
        <v>12</v>
      </c>
      <c r="I1249" s="2" t="s">
        <v>12</v>
      </c>
      <c r="J1249" s="2" t="s">
        <v>12</v>
      </c>
      <c r="K1249" s="2" t="s">
        <v>12</v>
      </c>
    </row>
    <row r="1250" spans="1:11" ht="12.5" x14ac:dyDescent="0.25">
      <c r="A1250" s="3" t="e">
        <f ca="1"/>
        <v>#NAME?</v>
      </c>
      <c r="B1250" s="2" t="s">
        <v>12</v>
      </c>
      <c r="C1250" s="2" t="s">
        <v>12</v>
      </c>
      <c r="D1250" s="2" t="s">
        <v>12</v>
      </c>
      <c r="E1250" s="2" t="s">
        <v>12</v>
      </c>
      <c r="F1250" s="2" t="s">
        <v>12</v>
      </c>
      <c r="G1250" s="2" t="s">
        <v>12</v>
      </c>
      <c r="H1250" s="2" t="s">
        <v>12</v>
      </c>
      <c r="I1250" s="2" t="s">
        <v>12</v>
      </c>
      <c r="J1250" s="2" t="s">
        <v>12</v>
      </c>
      <c r="K1250" s="2" t="s">
        <v>12</v>
      </c>
    </row>
    <row r="1251" spans="1:11" ht="12.5" x14ac:dyDescent="0.25">
      <c r="A1251" s="3" t="e">
        <f ca="1"/>
        <v>#NAME?</v>
      </c>
      <c r="B1251" s="2" t="s">
        <v>12</v>
      </c>
      <c r="C1251" s="2" t="s">
        <v>12</v>
      </c>
      <c r="D1251" s="2" t="s">
        <v>12</v>
      </c>
      <c r="E1251" s="2" t="s">
        <v>12</v>
      </c>
      <c r="F1251" s="2" t="s">
        <v>12</v>
      </c>
      <c r="G1251" s="2" t="s">
        <v>12</v>
      </c>
      <c r="H1251" s="2" t="s">
        <v>12</v>
      </c>
      <c r="I1251" s="2" t="s">
        <v>12</v>
      </c>
      <c r="J1251" s="2" t="s">
        <v>12</v>
      </c>
      <c r="K1251" s="2" t="s">
        <v>12</v>
      </c>
    </row>
    <row r="1252" spans="1:11" ht="12.5" x14ac:dyDescent="0.25">
      <c r="A1252" s="3" t="e">
        <f ca="1"/>
        <v>#NAME?</v>
      </c>
      <c r="B1252" s="2" t="s">
        <v>12</v>
      </c>
      <c r="C1252" s="2" t="s">
        <v>12</v>
      </c>
      <c r="D1252" s="2" t="s">
        <v>12</v>
      </c>
      <c r="E1252" s="2" t="s">
        <v>12</v>
      </c>
      <c r="F1252" s="2" t="s">
        <v>12</v>
      </c>
      <c r="G1252" s="2" t="s">
        <v>12</v>
      </c>
      <c r="H1252" s="2" t="s">
        <v>12</v>
      </c>
      <c r="I1252" s="2" t="s">
        <v>12</v>
      </c>
      <c r="J1252" s="2" t="s">
        <v>12</v>
      </c>
      <c r="K1252" s="2" t="s">
        <v>12</v>
      </c>
    </row>
    <row r="1253" spans="1:11" ht="12.5" x14ac:dyDescent="0.25">
      <c r="A1253" s="3" t="e">
        <f ca="1"/>
        <v>#NAME?</v>
      </c>
      <c r="B1253" s="2" t="s">
        <v>12</v>
      </c>
      <c r="C1253" s="2" t="s">
        <v>12</v>
      </c>
      <c r="D1253" s="2" t="s">
        <v>12</v>
      </c>
      <c r="E1253" s="2" t="s">
        <v>12</v>
      </c>
      <c r="F1253" s="2" t="s">
        <v>12</v>
      </c>
      <c r="G1253" s="2" t="s">
        <v>12</v>
      </c>
      <c r="H1253" s="2" t="s">
        <v>12</v>
      </c>
      <c r="I1253" s="2" t="s">
        <v>12</v>
      </c>
      <c r="J1253" s="2" t="s">
        <v>12</v>
      </c>
      <c r="K1253" s="2" t="s">
        <v>12</v>
      </c>
    </row>
    <row r="1254" spans="1:11" ht="12.5" x14ac:dyDescent="0.25">
      <c r="A1254" s="3" t="e">
        <f ca="1"/>
        <v>#NAME?</v>
      </c>
      <c r="B1254" s="2" t="s">
        <v>12</v>
      </c>
      <c r="C1254" s="2" t="s">
        <v>12</v>
      </c>
      <c r="D1254" s="2" t="s">
        <v>12</v>
      </c>
      <c r="E1254" s="2" t="s">
        <v>12</v>
      </c>
      <c r="F1254" s="2" t="s">
        <v>12</v>
      </c>
      <c r="G1254" s="2" t="s">
        <v>12</v>
      </c>
      <c r="H1254" s="2" t="s">
        <v>12</v>
      </c>
      <c r="I1254" s="2" t="s">
        <v>12</v>
      </c>
      <c r="J1254" s="2" t="s">
        <v>12</v>
      </c>
      <c r="K1254" s="2" t="s">
        <v>12</v>
      </c>
    </row>
    <row r="1255" spans="1:11" ht="12.5" x14ac:dyDescent="0.25">
      <c r="A1255" s="3" t="e">
        <f ca="1"/>
        <v>#NAME?</v>
      </c>
      <c r="B1255" s="2" t="s">
        <v>12</v>
      </c>
      <c r="C1255" s="2" t="s">
        <v>12</v>
      </c>
      <c r="D1255" s="2" t="s">
        <v>12</v>
      </c>
      <c r="E1255" s="2" t="s">
        <v>12</v>
      </c>
      <c r="F1255" s="2" t="s">
        <v>12</v>
      </c>
      <c r="G1255" s="2" t="s">
        <v>12</v>
      </c>
      <c r="H1255" s="2" t="s">
        <v>12</v>
      </c>
      <c r="I1255" s="2" t="s">
        <v>12</v>
      </c>
      <c r="J1255" s="2" t="s">
        <v>12</v>
      </c>
      <c r="K1255" s="2" t="s">
        <v>12</v>
      </c>
    </row>
    <row r="1256" spans="1:11" ht="12.5" x14ac:dyDescent="0.25">
      <c r="A1256" s="3" t="e">
        <f ca="1"/>
        <v>#NAME?</v>
      </c>
      <c r="B1256" s="2" t="s">
        <v>12</v>
      </c>
      <c r="C1256" s="2" t="s">
        <v>12</v>
      </c>
      <c r="D1256" s="2" t="s">
        <v>12</v>
      </c>
      <c r="E1256" s="2" t="s">
        <v>12</v>
      </c>
      <c r="F1256" s="2" t="s">
        <v>12</v>
      </c>
      <c r="G1256" s="2" t="s">
        <v>12</v>
      </c>
      <c r="H1256" s="2" t="s">
        <v>12</v>
      </c>
      <c r="I1256" s="2" t="s">
        <v>12</v>
      </c>
      <c r="J1256" s="2" t="s">
        <v>12</v>
      </c>
      <c r="K1256" s="2" t="s">
        <v>12</v>
      </c>
    </row>
    <row r="1257" spans="1:11" ht="12.5" x14ac:dyDescent="0.25">
      <c r="A1257" s="3" t="e">
        <f ca="1"/>
        <v>#NAME?</v>
      </c>
      <c r="B1257" s="2" t="s">
        <v>12</v>
      </c>
      <c r="C1257" s="2" t="s">
        <v>12</v>
      </c>
      <c r="D1257" s="2" t="s">
        <v>12</v>
      </c>
      <c r="E1257" s="2" t="s">
        <v>12</v>
      </c>
      <c r="F1257" s="2" t="s">
        <v>12</v>
      </c>
      <c r="G1257" s="2" t="s">
        <v>12</v>
      </c>
      <c r="H1257" s="2" t="s">
        <v>12</v>
      </c>
      <c r="I1257" s="2" t="s">
        <v>12</v>
      </c>
      <c r="J1257" s="2" t="s">
        <v>12</v>
      </c>
      <c r="K1257" s="2" t="s">
        <v>12</v>
      </c>
    </row>
    <row r="1258" spans="1:11" ht="12.5" x14ac:dyDescent="0.25">
      <c r="A1258" s="3" t="e">
        <f ca="1"/>
        <v>#NAME?</v>
      </c>
      <c r="B1258" s="2" t="s">
        <v>12</v>
      </c>
      <c r="C1258" s="2" t="s">
        <v>12</v>
      </c>
      <c r="D1258" s="2" t="s">
        <v>12</v>
      </c>
      <c r="E1258" s="2" t="s">
        <v>12</v>
      </c>
      <c r="F1258" s="2" t="s">
        <v>12</v>
      </c>
      <c r="G1258" s="2" t="s">
        <v>12</v>
      </c>
      <c r="H1258" s="2" t="s">
        <v>12</v>
      </c>
      <c r="I1258" s="2" t="s">
        <v>12</v>
      </c>
      <c r="J1258" s="2" t="s">
        <v>12</v>
      </c>
      <c r="K1258" s="2" t="s">
        <v>12</v>
      </c>
    </row>
    <row r="1259" spans="1:11" ht="12.5" x14ac:dyDescent="0.25">
      <c r="A1259" s="3" t="e">
        <f ca="1"/>
        <v>#NAME?</v>
      </c>
      <c r="B1259" s="2" t="s">
        <v>12</v>
      </c>
      <c r="C1259" s="2" t="s">
        <v>12</v>
      </c>
      <c r="D1259" s="2" t="s">
        <v>12</v>
      </c>
      <c r="E1259" s="2" t="s">
        <v>12</v>
      </c>
      <c r="F1259" s="2" t="s">
        <v>12</v>
      </c>
      <c r="G1259" s="2" t="s">
        <v>12</v>
      </c>
      <c r="H1259" s="2" t="s">
        <v>12</v>
      </c>
      <c r="I1259" s="2" t="s">
        <v>12</v>
      </c>
      <c r="J1259" s="2" t="s">
        <v>12</v>
      </c>
      <c r="K1259" s="2" t="s">
        <v>12</v>
      </c>
    </row>
    <row r="1260" spans="1:11" ht="12.5" x14ac:dyDescent="0.25">
      <c r="A1260" s="3" t="e">
        <f ca="1"/>
        <v>#NAME?</v>
      </c>
      <c r="B1260" s="2" t="s">
        <v>12</v>
      </c>
      <c r="C1260" s="2" t="s">
        <v>12</v>
      </c>
      <c r="D1260" s="2" t="s">
        <v>12</v>
      </c>
      <c r="E1260" s="2" t="s">
        <v>12</v>
      </c>
      <c r="F1260" s="2" t="s">
        <v>12</v>
      </c>
      <c r="G1260" s="2" t="s">
        <v>12</v>
      </c>
      <c r="H1260" s="2" t="s">
        <v>12</v>
      </c>
      <c r="I1260" s="2" t="s">
        <v>12</v>
      </c>
      <c r="J1260" s="2" t="s">
        <v>12</v>
      </c>
      <c r="K1260" s="2" t="s">
        <v>12</v>
      </c>
    </row>
    <row r="1261" spans="1:11" ht="12.5" x14ac:dyDescent="0.25">
      <c r="A1261" s="3" t="e">
        <f ca="1"/>
        <v>#NAME?</v>
      </c>
      <c r="B1261" s="2" t="s">
        <v>12</v>
      </c>
      <c r="C1261" s="2" t="s">
        <v>12</v>
      </c>
      <c r="D1261" s="2" t="s">
        <v>12</v>
      </c>
      <c r="E1261" s="2" t="s">
        <v>12</v>
      </c>
      <c r="F1261" s="2" t="s">
        <v>12</v>
      </c>
      <c r="G1261" s="2" t="s">
        <v>12</v>
      </c>
      <c r="H1261" s="2" t="s">
        <v>12</v>
      </c>
      <c r="I1261" s="2" t="s">
        <v>12</v>
      </c>
      <c r="J1261" s="2" t="s">
        <v>12</v>
      </c>
      <c r="K1261" s="2" t="s">
        <v>12</v>
      </c>
    </row>
    <row r="1262" spans="1:11" ht="12.5" x14ac:dyDescent="0.25">
      <c r="A1262" s="3" t="e">
        <f ca="1"/>
        <v>#NAME?</v>
      </c>
      <c r="B1262" s="2" t="s">
        <v>12</v>
      </c>
      <c r="C1262" s="2" t="s">
        <v>12</v>
      </c>
      <c r="D1262" s="2" t="s">
        <v>12</v>
      </c>
      <c r="E1262" s="2" t="s">
        <v>12</v>
      </c>
      <c r="F1262" s="2" t="s">
        <v>12</v>
      </c>
      <c r="G1262" s="2" t="s">
        <v>12</v>
      </c>
      <c r="H1262" s="2" t="s">
        <v>12</v>
      </c>
      <c r="I1262" s="2" t="s">
        <v>12</v>
      </c>
      <c r="J1262" s="2" t="s">
        <v>12</v>
      </c>
      <c r="K1262" s="2" t="s">
        <v>12</v>
      </c>
    </row>
    <row r="1263" spans="1:11" ht="12.5" x14ac:dyDescent="0.25">
      <c r="A1263" s="3" t="e">
        <f ca="1"/>
        <v>#NAME?</v>
      </c>
      <c r="B1263" s="2" t="s">
        <v>12</v>
      </c>
      <c r="C1263" s="2" t="s">
        <v>12</v>
      </c>
      <c r="D1263" s="2" t="s">
        <v>12</v>
      </c>
      <c r="E1263" s="2" t="s">
        <v>12</v>
      </c>
      <c r="F1263" s="2" t="s">
        <v>12</v>
      </c>
      <c r="G1263" s="2" t="s">
        <v>12</v>
      </c>
      <c r="H1263" s="2" t="s">
        <v>12</v>
      </c>
      <c r="I1263" s="2" t="s">
        <v>12</v>
      </c>
      <c r="J1263" s="2" t="s">
        <v>12</v>
      </c>
      <c r="K1263" s="2" t="s">
        <v>12</v>
      </c>
    </row>
    <row r="1264" spans="1:11" ht="12.5" x14ac:dyDescent="0.25">
      <c r="A1264" s="3" t="e">
        <f ca="1"/>
        <v>#NAME?</v>
      </c>
      <c r="B1264" s="2" t="s">
        <v>12</v>
      </c>
      <c r="C1264" s="2" t="s">
        <v>12</v>
      </c>
      <c r="D1264" s="2" t="s">
        <v>12</v>
      </c>
      <c r="E1264" s="2" t="s">
        <v>12</v>
      </c>
      <c r="F1264" s="2" t="s">
        <v>12</v>
      </c>
      <c r="G1264" s="2" t="s">
        <v>12</v>
      </c>
      <c r="H1264" s="2" t="s">
        <v>12</v>
      </c>
      <c r="I1264" s="2" t="s">
        <v>12</v>
      </c>
      <c r="J1264" s="2" t="s">
        <v>12</v>
      </c>
      <c r="K1264" s="2" t="s">
        <v>12</v>
      </c>
    </row>
    <row r="1265" spans="1:11" ht="12.5" x14ac:dyDescent="0.25">
      <c r="A1265" s="3" t="e">
        <f ca="1"/>
        <v>#NAME?</v>
      </c>
      <c r="B1265" s="2" t="s">
        <v>12</v>
      </c>
      <c r="C1265" s="2" t="s">
        <v>12</v>
      </c>
      <c r="D1265" s="2" t="s">
        <v>12</v>
      </c>
      <c r="E1265" s="2" t="s">
        <v>12</v>
      </c>
      <c r="F1265" s="2" t="s">
        <v>12</v>
      </c>
      <c r="G1265" s="2" t="s">
        <v>12</v>
      </c>
      <c r="H1265" s="2" t="s">
        <v>12</v>
      </c>
      <c r="I1265" s="2" t="s">
        <v>12</v>
      </c>
      <c r="J1265" s="2" t="s">
        <v>12</v>
      </c>
      <c r="K1265" s="2" t="s">
        <v>12</v>
      </c>
    </row>
    <row r="1266" spans="1:11" ht="12.5" x14ac:dyDescent="0.25">
      <c r="A1266" s="3" t="e">
        <f ca="1"/>
        <v>#NAME?</v>
      </c>
      <c r="B1266" s="2" t="s">
        <v>12</v>
      </c>
      <c r="C1266" s="2" t="s">
        <v>12</v>
      </c>
      <c r="D1266" s="2" t="s">
        <v>12</v>
      </c>
      <c r="E1266" s="2" t="s">
        <v>12</v>
      </c>
      <c r="F1266" s="2" t="s">
        <v>12</v>
      </c>
      <c r="G1266" s="2" t="s">
        <v>12</v>
      </c>
      <c r="H1266" s="2" t="s">
        <v>12</v>
      </c>
      <c r="I1266" s="2" t="s">
        <v>12</v>
      </c>
      <c r="J1266" s="2" t="s">
        <v>12</v>
      </c>
      <c r="K1266" s="2" t="s">
        <v>12</v>
      </c>
    </row>
    <row r="1267" spans="1:11" ht="12.5" x14ac:dyDescent="0.25">
      <c r="A1267" s="3" t="e">
        <f ca="1"/>
        <v>#NAME?</v>
      </c>
      <c r="B1267" s="2" t="s">
        <v>12</v>
      </c>
      <c r="C1267" s="2" t="s">
        <v>12</v>
      </c>
      <c r="D1267" s="2" t="s">
        <v>12</v>
      </c>
      <c r="E1267" s="2" t="s">
        <v>12</v>
      </c>
      <c r="F1267" s="2" t="s">
        <v>12</v>
      </c>
      <c r="G1267" s="2" t="s">
        <v>12</v>
      </c>
      <c r="H1267" s="2" t="s">
        <v>12</v>
      </c>
      <c r="I1267" s="2" t="s">
        <v>12</v>
      </c>
      <c r="J1267" s="2" t="s">
        <v>12</v>
      </c>
      <c r="K1267" s="2" t="s">
        <v>12</v>
      </c>
    </row>
    <row r="1268" spans="1:11" ht="12.5" x14ac:dyDescent="0.25">
      <c r="A1268" s="3" t="e">
        <f ca="1"/>
        <v>#NAME?</v>
      </c>
      <c r="B1268" s="2" t="s">
        <v>12</v>
      </c>
      <c r="C1268" s="2" t="s">
        <v>12</v>
      </c>
      <c r="D1268" s="2" t="s">
        <v>12</v>
      </c>
      <c r="E1268" s="2" t="s">
        <v>12</v>
      </c>
      <c r="F1268" s="2" t="s">
        <v>12</v>
      </c>
      <c r="G1268" s="2" t="s">
        <v>12</v>
      </c>
      <c r="H1268" s="2" t="s">
        <v>12</v>
      </c>
      <c r="I1268" s="2" t="s">
        <v>12</v>
      </c>
      <c r="J1268" s="2" t="s">
        <v>12</v>
      </c>
      <c r="K1268" s="2" t="s">
        <v>12</v>
      </c>
    </row>
    <row r="1269" spans="1:11" ht="12.5" x14ac:dyDescent="0.25">
      <c r="A1269" s="3" t="e">
        <f ca="1"/>
        <v>#NAME?</v>
      </c>
      <c r="B1269" s="2" t="s">
        <v>12</v>
      </c>
      <c r="C1269" s="2" t="s">
        <v>12</v>
      </c>
      <c r="D1269" s="2" t="s">
        <v>12</v>
      </c>
      <c r="E1269" s="2" t="s">
        <v>12</v>
      </c>
      <c r="F1269" s="2" t="s">
        <v>12</v>
      </c>
      <c r="G1269" s="2" t="s">
        <v>12</v>
      </c>
      <c r="H1269" s="2" t="s">
        <v>12</v>
      </c>
      <c r="I1269" s="2" t="s">
        <v>12</v>
      </c>
      <c r="J1269" s="2" t="s">
        <v>12</v>
      </c>
      <c r="K1269" s="2" t="s">
        <v>12</v>
      </c>
    </row>
    <row r="1270" spans="1:11" ht="12.5" x14ac:dyDescent="0.25">
      <c r="A1270" s="3" t="e">
        <f ca="1"/>
        <v>#NAME?</v>
      </c>
      <c r="B1270" s="2" t="s">
        <v>12</v>
      </c>
      <c r="C1270" s="2" t="s">
        <v>12</v>
      </c>
      <c r="D1270" s="2" t="s">
        <v>12</v>
      </c>
      <c r="E1270" s="2" t="s">
        <v>12</v>
      </c>
      <c r="F1270" s="2" t="s">
        <v>12</v>
      </c>
      <c r="G1270" s="2" t="s">
        <v>12</v>
      </c>
      <c r="H1270" s="2" t="s">
        <v>12</v>
      </c>
      <c r="I1270" s="2" t="s">
        <v>12</v>
      </c>
      <c r="J1270" s="2" t="s">
        <v>12</v>
      </c>
      <c r="K1270" s="2" t="s">
        <v>12</v>
      </c>
    </row>
    <row r="1271" spans="1:11" ht="12.5" x14ac:dyDescent="0.25">
      <c r="A1271" s="3" t="e">
        <f ca="1"/>
        <v>#NAME?</v>
      </c>
      <c r="B1271" s="2" t="s">
        <v>12</v>
      </c>
      <c r="C1271" s="2" t="s">
        <v>12</v>
      </c>
      <c r="D1271" s="2" t="s">
        <v>12</v>
      </c>
      <c r="E1271" s="2" t="s">
        <v>12</v>
      </c>
      <c r="F1271" s="2" t="s">
        <v>12</v>
      </c>
      <c r="G1271" s="2" t="s">
        <v>12</v>
      </c>
      <c r="H1271" s="2" t="s">
        <v>12</v>
      </c>
      <c r="I1271" s="2" t="s">
        <v>12</v>
      </c>
      <c r="J1271" s="2" t="s">
        <v>12</v>
      </c>
      <c r="K1271" s="2" t="s">
        <v>12</v>
      </c>
    </row>
    <row r="1272" spans="1:11" ht="12.5" x14ac:dyDescent="0.25">
      <c r="A1272" s="3" t="e">
        <f ca="1"/>
        <v>#NAME?</v>
      </c>
      <c r="B1272" s="2" t="s">
        <v>12</v>
      </c>
      <c r="C1272" s="2" t="s">
        <v>12</v>
      </c>
      <c r="D1272" s="2" t="s">
        <v>12</v>
      </c>
      <c r="E1272" s="2" t="s">
        <v>12</v>
      </c>
      <c r="F1272" s="2" t="s">
        <v>12</v>
      </c>
      <c r="G1272" s="2" t="s">
        <v>12</v>
      </c>
      <c r="H1272" s="2" t="s">
        <v>12</v>
      </c>
      <c r="I1272" s="2" t="s">
        <v>12</v>
      </c>
      <c r="J1272" s="2" t="s">
        <v>12</v>
      </c>
      <c r="K1272" s="2" t="s">
        <v>12</v>
      </c>
    </row>
    <row r="1273" spans="1:11" ht="12.5" x14ac:dyDescent="0.25">
      <c r="A1273" s="3" t="e">
        <f ca="1"/>
        <v>#NAME?</v>
      </c>
      <c r="B1273" s="2" t="s">
        <v>12</v>
      </c>
      <c r="C1273" s="2" t="s">
        <v>12</v>
      </c>
      <c r="D1273" s="2" t="s">
        <v>12</v>
      </c>
      <c r="E1273" s="2" t="s">
        <v>12</v>
      </c>
      <c r="F1273" s="2" t="s">
        <v>12</v>
      </c>
      <c r="G1273" s="2" t="s">
        <v>12</v>
      </c>
      <c r="H1273" s="2" t="s">
        <v>12</v>
      </c>
      <c r="I1273" s="2" t="s">
        <v>12</v>
      </c>
      <c r="J1273" s="2" t="s">
        <v>12</v>
      </c>
      <c r="K1273" s="2" t="s">
        <v>12</v>
      </c>
    </row>
    <row r="1274" spans="1:11" ht="12.5" x14ac:dyDescent="0.25">
      <c r="A1274" s="3" t="e">
        <f ca="1"/>
        <v>#NAME?</v>
      </c>
      <c r="B1274" s="2" t="s">
        <v>12</v>
      </c>
      <c r="C1274" s="2" t="s">
        <v>12</v>
      </c>
      <c r="D1274" s="2" t="s">
        <v>12</v>
      </c>
      <c r="E1274" s="2" t="s">
        <v>12</v>
      </c>
      <c r="F1274" s="2" t="s">
        <v>12</v>
      </c>
      <c r="G1274" s="2" t="s">
        <v>12</v>
      </c>
      <c r="H1274" s="2" t="s">
        <v>12</v>
      </c>
      <c r="I1274" s="2" t="s">
        <v>12</v>
      </c>
      <c r="J1274" s="2" t="s">
        <v>12</v>
      </c>
      <c r="K1274" s="2" t="s">
        <v>12</v>
      </c>
    </row>
    <row r="1275" spans="1:11" ht="12.5" x14ac:dyDescent="0.25">
      <c r="A1275" s="3" t="e">
        <f ca="1"/>
        <v>#NAME?</v>
      </c>
      <c r="B1275" s="2" t="s">
        <v>12</v>
      </c>
      <c r="C1275" s="2" t="s">
        <v>12</v>
      </c>
      <c r="D1275" s="2" t="s">
        <v>12</v>
      </c>
      <c r="E1275" s="2" t="s">
        <v>12</v>
      </c>
      <c r="F1275" s="2" t="s">
        <v>12</v>
      </c>
      <c r="G1275" s="2" t="s">
        <v>12</v>
      </c>
      <c r="H1275" s="2" t="s">
        <v>12</v>
      </c>
      <c r="I1275" s="2" t="s">
        <v>12</v>
      </c>
      <c r="J1275" s="2" t="s">
        <v>12</v>
      </c>
      <c r="K1275" s="2" t="s">
        <v>12</v>
      </c>
    </row>
    <row r="1276" spans="1:11" ht="12.5" x14ac:dyDescent="0.25">
      <c r="A1276" s="3" t="e">
        <f ca="1"/>
        <v>#NAME?</v>
      </c>
      <c r="B1276" s="2" t="s">
        <v>12</v>
      </c>
      <c r="C1276" s="2" t="s">
        <v>12</v>
      </c>
      <c r="D1276" s="2" t="s">
        <v>12</v>
      </c>
      <c r="E1276" s="2" t="s">
        <v>12</v>
      </c>
      <c r="F1276" s="2" t="s">
        <v>12</v>
      </c>
      <c r="G1276" s="2" t="s">
        <v>12</v>
      </c>
      <c r="H1276" s="2" t="s">
        <v>12</v>
      </c>
      <c r="I1276" s="2" t="s">
        <v>12</v>
      </c>
      <c r="J1276" s="2" t="s">
        <v>12</v>
      </c>
      <c r="K1276" s="2" t="s">
        <v>12</v>
      </c>
    </row>
    <row r="1277" spans="1:11" ht="12.5" x14ac:dyDescent="0.25">
      <c r="A1277" s="3" t="e">
        <f ca="1"/>
        <v>#NAME?</v>
      </c>
      <c r="B1277" s="2" t="s">
        <v>12</v>
      </c>
      <c r="C1277" s="2" t="s">
        <v>12</v>
      </c>
      <c r="D1277" s="2" t="s">
        <v>12</v>
      </c>
      <c r="E1277" s="2" t="s">
        <v>12</v>
      </c>
      <c r="F1277" s="2" t="s">
        <v>12</v>
      </c>
      <c r="G1277" s="2" t="s">
        <v>12</v>
      </c>
      <c r="H1277" s="2" t="s">
        <v>12</v>
      </c>
      <c r="I1277" s="2" t="s">
        <v>12</v>
      </c>
      <c r="J1277" s="2" t="s">
        <v>12</v>
      </c>
      <c r="K1277" s="2" t="s">
        <v>12</v>
      </c>
    </row>
    <row r="1278" spans="1:11" ht="12.5" x14ac:dyDescent="0.25">
      <c r="A1278" s="3" t="e">
        <f ca="1"/>
        <v>#NAME?</v>
      </c>
      <c r="B1278" s="2" t="s">
        <v>12</v>
      </c>
      <c r="C1278" s="2" t="s">
        <v>12</v>
      </c>
      <c r="D1278" s="2" t="s">
        <v>12</v>
      </c>
      <c r="E1278" s="2" t="s">
        <v>12</v>
      </c>
      <c r="F1278" s="2" t="s">
        <v>12</v>
      </c>
      <c r="G1278" s="2" t="s">
        <v>12</v>
      </c>
      <c r="H1278" s="2" t="s">
        <v>12</v>
      </c>
      <c r="I1278" s="2" t="s">
        <v>12</v>
      </c>
      <c r="J1278" s="2" t="s">
        <v>12</v>
      </c>
      <c r="K1278" s="2" t="s">
        <v>12</v>
      </c>
    </row>
    <row r="1279" spans="1:11" ht="12.5" x14ac:dyDescent="0.25">
      <c r="A1279" s="3" t="e">
        <f ca="1"/>
        <v>#NAME?</v>
      </c>
      <c r="B1279" s="2" t="s">
        <v>12</v>
      </c>
      <c r="C1279" s="2" t="s">
        <v>12</v>
      </c>
      <c r="D1279" s="2" t="s">
        <v>12</v>
      </c>
      <c r="E1279" s="2" t="s">
        <v>12</v>
      </c>
      <c r="F1279" s="2" t="s">
        <v>12</v>
      </c>
      <c r="G1279" s="2" t="s">
        <v>12</v>
      </c>
      <c r="H1279" s="2" t="s">
        <v>12</v>
      </c>
      <c r="I1279" s="2" t="s">
        <v>12</v>
      </c>
      <c r="J1279" s="2" t="s">
        <v>12</v>
      </c>
      <c r="K1279" s="2" t="s">
        <v>12</v>
      </c>
    </row>
    <row r="1280" spans="1:11" ht="12.5" x14ac:dyDescent="0.25">
      <c r="A1280" s="3" t="e">
        <f ca="1"/>
        <v>#NAME?</v>
      </c>
      <c r="B1280" s="2" t="s">
        <v>12</v>
      </c>
      <c r="C1280" s="2" t="s">
        <v>12</v>
      </c>
      <c r="D1280" s="2" t="s">
        <v>12</v>
      </c>
      <c r="E1280" s="2" t="s">
        <v>12</v>
      </c>
      <c r="F1280" s="2" t="s">
        <v>12</v>
      </c>
      <c r="G1280" s="2" t="s">
        <v>12</v>
      </c>
      <c r="H1280" s="2" t="s">
        <v>12</v>
      </c>
      <c r="I1280" s="2" t="s">
        <v>12</v>
      </c>
      <c r="J1280" s="2" t="s">
        <v>12</v>
      </c>
      <c r="K1280" s="2" t="s">
        <v>12</v>
      </c>
    </row>
    <row r="1281" spans="1:11" ht="12.5" x14ac:dyDescent="0.25">
      <c r="A1281" s="3" t="e">
        <f ca="1"/>
        <v>#NAME?</v>
      </c>
      <c r="B1281" s="2" t="s">
        <v>12</v>
      </c>
      <c r="C1281" s="2" t="s">
        <v>12</v>
      </c>
      <c r="D1281" s="2" t="s">
        <v>12</v>
      </c>
      <c r="E1281" s="2" t="s">
        <v>12</v>
      </c>
      <c r="F1281" s="2" t="s">
        <v>12</v>
      </c>
      <c r="G1281" s="2" t="s">
        <v>12</v>
      </c>
      <c r="H1281" s="2" t="s">
        <v>12</v>
      </c>
      <c r="I1281" s="2" t="s">
        <v>12</v>
      </c>
      <c r="J1281" s="2" t="s">
        <v>12</v>
      </c>
      <c r="K1281" s="2" t="s">
        <v>12</v>
      </c>
    </row>
    <row r="1282" spans="1:11" ht="12.5" x14ac:dyDescent="0.25">
      <c r="A1282" s="3" t="e">
        <f ca="1"/>
        <v>#NAME?</v>
      </c>
      <c r="B1282" s="2" t="s">
        <v>12</v>
      </c>
      <c r="C1282" s="2" t="s">
        <v>12</v>
      </c>
      <c r="D1282" s="2" t="s">
        <v>12</v>
      </c>
      <c r="E1282" s="2" t="s">
        <v>12</v>
      </c>
      <c r="F1282" s="2" t="s">
        <v>12</v>
      </c>
      <c r="G1282" s="2" t="s">
        <v>12</v>
      </c>
      <c r="H1282" s="2" t="s">
        <v>12</v>
      </c>
      <c r="I1282" s="2" t="s">
        <v>12</v>
      </c>
      <c r="J1282" s="2" t="s">
        <v>12</v>
      </c>
      <c r="K1282" s="2" t="s">
        <v>12</v>
      </c>
    </row>
    <row r="1283" spans="1:11" ht="12.5" x14ac:dyDescent="0.25">
      <c r="A1283" s="3" t="e">
        <f ca="1"/>
        <v>#NAME?</v>
      </c>
      <c r="B1283" s="2" t="s">
        <v>12</v>
      </c>
      <c r="C1283" s="2" t="s">
        <v>12</v>
      </c>
      <c r="D1283" s="2" t="s">
        <v>12</v>
      </c>
      <c r="E1283" s="2" t="s">
        <v>12</v>
      </c>
      <c r="F1283" s="2" t="s">
        <v>12</v>
      </c>
      <c r="G1283" s="2" t="s">
        <v>12</v>
      </c>
      <c r="H1283" s="2" t="s">
        <v>12</v>
      </c>
      <c r="I1283" s="2" t="s">
        <v>12</v>
      </c>
      <c r="J1283" s="2" t="s">
        <v>12</v>
      </c>
      <c r="K1283" s="2" t="s">
        <v>12</v>
      </c>
    </row>
    <row r="1284" spans="1:11" ht="12.5" x14ac:dyDescent="0.25">
      <c r="A1284" s="3" t="e">
        <f ca="1"/>
        <v>#NAME?</v>
      </c>
      <c r="B1284" s="2" t="s">
        <v>12</v>
      </c>
      <c r="C1284" s="2" t="s">
        <v>12</v>
      </c>
      <c r="D1284" s="2" t="s">
        <v>12</v>
      </c>
      <c r="E1284" s="2" t="s">
        <v>12</v>
      </c>
      <c r="F1284" s="2" t="s">
        <v>12</v>
      </c>
      <c r="G1284" s="2" t="s">
        <v>12</v>
      </c>
      <c r="H1284" s="2" t="s">
        <v>12</v>
      </c>
      <c r="I1284" s="2" t="s">
        <v>12</v>
      </c>
      <c r="J1284" s="2" t="s">
        <v>12</v>
      </c>
      <c r="K1284" s="2" t="s">
        <v>12</v>
      </c>
    </row>
    <row r="1285" spans="1:11" ht="12.5" x14ac:dyDescent="0.25">
      <c r="A1285" s="3" t="e">
        <f ca="1"/>
        <v>#NAME?</v>
      </c>
      <c r="B1285" s="2" t="s">
        <v>12</v>
      </c>
      <c r="C1285" s="2" t="s">
        <v>12</v>
      </c>
      <c r="D1285" s="2" t="s">
        <v>12</v>
      </c>
      <c r="E1285" s="2" t="s">
        <v>12</v>
      </c>
      <c r="F1285" s="2" t="s">
        <v>12</v>
      </c>
      <c r="G1285" s="2" t="s">
        <v>12</v>
      </c>
      <c r="H1285" s="2" t="s">
        <v>12</v>
      </c>
      <c r="I1285" s="2" t="s">
        <v>12</v>
      </c>
      <c r="J1285" s="2" t="s">
        <v>12</v>
      </c>
      <c r="K1285" s="2" t="s">
        <v>12</v>
      </c>
    </row>
    <row r="1286" spans="1:11" ht="12.5" x14ac:dyDescent="0.25">
      <c r="A1286" s="3" t="e">
        <f ca="1"/>
        <v>#NAME?</v>
      </c>
      <c r="B1286" s="2" t="s">
        <v>12</v>
      </c>
      <c r="C1286" s="2" t="s">
        <v>12</v>
      </c>
      <c r="D1286" s="2" t="s">
        <v>12</v>
      </c>
      <c r="E1286" s="2" t="s">
        <v>12</v>
      </c>
      <c r="F1286" s="2" t="s">
        <v>12</v>
      </c>
      <c r="G1286" s="2" t="s">
        <v>12</v>
      </c>
      <c r="H1286" s="2" t="s">
        <v>12</v>
      </c>
      <c r="I1286" s="2" t="s">
        <v>12</v>
      </c>
      <c r="J1286" s="2" t="s">
        <v>12</v>
      </c>
      <c r="K1286" s="2" t="s">
        <v>12</v>
      </c>
    </row>
    <row r="1287" spans="1:11" ht="12.5" x14ac:dyDescent="0.25">
      <c r="A1287" s="3" t="e">
        <f ca="1"/>
        <v>#NAME?</v>
      </c>
      <c r="B1287" s="2" t="s">
        <v>12</v>
      </c>
      <c r="C1287" s="2" t="s">
        <v>12</v>
      </c>
      <c r="D1287" s="2" t="s">
        <v>12</v>
      </c>
      <c r="E1287" s="2" t="s">
        <v>12</v>
      </c>
      <c r="F1287" s="2" t="s">
        <v>12</v>
      </c>
      <c r="G1287" s="2" t="s">
        <v>12</v>
      </c>
      <c r="H1287" s="2" t="s">
        <v>12</v>
      </c>
      <c r="I1287" s="2" t="s">
        <v>12</v>
      </c>
      <c r="J1287" s="2" t="s">
        <v>12</v>
      </c>
      <c r="K1287" s="2" t="s">
        <v>12</v>
      </c>
    </row>
    <row r="1288" spans="1:11" ht="12.5" x14ac:dyDescent="0.25">
      <c r="A1288" s="3" t="e">
        <f ca="1"/>
        <v>#NAME?</v>
      </c>
      <c r="B1288" s="2" t="s">
        <v>12</v>
      </c>
      <c r="C1288" s="2" t="s">
        <v>12</v>
      </c>
      <c r="D1288" s="2" t="s">
        <v>12</v>
      </c>
      <c r="E1288" s="2" t="s">
        <v>12</v>
      </c>
      <c r="F1288" s="2" t="s">
        <v>12</v>
      </c>
      <c r="G1288" s="2" t="s">
        <v>12</v>
      </c>
      <c r="H1288" s="2" t="s">
        <v>12</v>
      </c>
      <c r="I1288" s="2" t="s">
        <v>12</v>
      </c>
      <c r="J1288" s="2" t="s">
        <v>12</v>
      </c>
      <c r="K1288" s="2" t="s">
        <v>12</v>
      </c>
    </row>
    <row r="1289" spans="1:11" ht="12.5" x14ac:dyDescent="0.25">
      <c r="A1289" s="3" t="e">
        <f ca="1"/>
        <v>#NAME?</v>
      </c>
      <c r="B1289" s="2" t="s">
        <v>12</v>
      </c>
      <c r="C1289" s="2" t="s">
        <v>12</v>
      </c>
      <c r="D1289" s="2" t="s">
        <v>12</v>
      </c>
      <c r="E1289" s="2" t="s">
        <v>12</v>
      </c>
      <c r="F1289" s="2" t="s">
        <v>12</v>
      </c>
      <c r="G1289" s="2" t="s">
        <v>12</v>
      </c>
      <c r="H1289" s="2" t="s">
        <v>12</v>
      </c>
      <c r="I1289" s="2" t="s">
        <v>12</v>
      </c>
      <c r="J1289" s="2" t="s">
        <v>12</v>
      </c>
      <c r="K1289" s="2" t="s">
        <v>12</v>
      </c>
    </row>
    <row r="1290" spans="1:11" ht="12.5" x14ac:dyDescent="0.25">
      <c r="A1290" s="3" t="e">
        <f ca="1"/>
        <v>#NAME?</v>
      </c>
      <c r="B1290" s="2" t="s">
        <v>12</v>
      </c>
      <c r="C1290" s="2" t="s">
        <v>12</v>
      </c>
      <c r="D1290" s="2" t="s">
        <v>12</v>
      </c>
      <c r="E1290" s="2" t="s">
        <v>12</v>
      </c>
      <c r="F1290" s="2" t="s">
        <v>12</v>
      </c>
      <c r="G1290" s="2" t="s">
        <v>12</v>
      </c>
      <c r="H1290" s="2" t="s">
        <v>12</v>
      </c>
      <c r="I1290" s="2" t="s">
        <v>12</v>
      </c>
      <c r="J1290" s="2" t="s">
        <v>12</v>
      </c>
      <c r="K1290" s="2" t="s">
        <v>12</v>
      </c>
    </row>
    <row r="1291" spans="1:11" ht="12.5" x14ac:dyDescent="0.25">
      <c r="A1291" s="3" t="e">
        <f ca="1"/>
        <v>#NAME?</v>
      </c>
      <c r="B1291" s="2" t="s">
        <v>12</v>
      </c>
      <c r="C1291" s="2" t="s">
        <v>12</v>
      </c>
      <c r="D1291" s="2" t="s">
        <v>12</v>
      </c>
      <c r="E1291" s="2" t="s">
        <v>12</v>
      </c>
      <c r="F1291" s="2" t="s">
        <v>12</v>
      </c>
      <c r="G1291" s="2" t="s">
        <v>12</v>
      </c>
      <c r="H1291" s="2" t="s">
        <v>12</v>
      </c>
      <c r="I1291" s="2" t="s">
        <v>12</v>
      </c>
      <c r="J1291" s="2" t="s">
        <v>12</v>
      </c>
      <c r="K1291" s="2" t="s">
        <v>12</v>
      </c>
    </row>
    <row r="1292" spans="1:11" ht="12.5" x14ac:dyDescent="0.25">
      <c r="A1292" s="3" t="e">
        <f ca="1"/>
        <v>#NAME?</v>
      </c>
      <c r="B1292" s="2" t="s">
        <v>12</v>
      </c>
      <c r="C1292" s="2" t="s">
        <v>12</v>
      </c>
      <c r="D1292" s="2" t="s">
        <v>12</v>
      </c>
      <c r="E1292" s="2" t="s">
        <v>12</v>
      </c>
      <c r="F1292" s="2" t="s">
        <v>12</v>
      </c>
      <c r="G1292" s="2" t="s">
        <v>12</v>
      </c>
      <c r="H1292" s="2" t="s">
        <v>12</v>
      </c>
      <c r="I1292" s="2" t="s">
        <v>12</v>
      </c>
      <c r="J1292" s="2" t="s">
        <v>12</v>
      </c>
      <c r="K1292" s="2" t="s">
        <v>12</v>
      </c>
    </row>
    <row r="1293" spans="1:11" ht="12.5" x14ac:dyDescent="0.25">
      <c r="A1293" s="3" t="e">
        <f ca="1"/>
        <v>#NAME?</v>
      </c>
      <c r="B1293" s="2" t="s">
        <v>12</v>
      </c>
      <c r="C1293" s="2" t="s">
        <v>12</v>
      </c>
      <c r="D1293" s="2" t="s">
        <v>12</v>
      </c>
      <c r="E1293" s="2" t="s">
        <v>12</v>
      </c>
      <c r="F1293" s="2" t="s">
        <v>12</v>
      </c>
      <c r="G1293" s="2" t="s">
        <v>12</v>
      </c>
      <c r="H1293" s="2" t="s">
        <v>12</v>
      </c>
      <c r="I1293" s="2" t="s">
        <v>12</v>
      </c>
      <c r="J1293" s="2" t="s">
        <v>12</v>
      </c>
      <c r="K1293" s="2" t="s">
        <v>12</v>
      </c>
    </row>
    <row r="1294" spans="1:11" ht="12.5" x14ac:dyDescent="0.25">
      <c r="A1294" s="3" t="e">
        <f ca="1"/>
        <v>#NAME?</v>
      </c>
      <c r="B1294" s="2" t="s">
        <v>12</v>
      </c>
      <c r="C1294" s="2" t="s">
        <v>12</v>
      </c>
      <c r="D1294" s="2" t="s">
        <v>12</v>
      </c>
      <c r="E1294" s="2" t="s">
        <v>12</v>
      </c>
      <c r="F1294" s="2" t="s">
        <v>12</v>
      </c>
      <c r="G1294" s="2" t="s">
        <v>12</v>
      </c>
      <c r="H1294" s="2" t="s">
        <v>12</v>
      </c>
      <c r="I1294" s="2" t="s">
        <v>12</v>
      </c>
      <c r="J1294" s="2" t="s">
        <v>12</v>
      </c>
      <c r="K1294" s="2" t="s">
        <v>12</v>
      </c>
    </row>
    <row r="1295" spans="1:11" ht="12.5" x14ac:dyDescent="0.25">
      <c r="A1295" s="3" t="e">
        <f ca="1"/>
        <v>#NAME?</v>
      </c>
      <c r="B1295" s="2" t="s">
        <v>12</v>
      </c>
      <c r="C1295" s="2" t="s">
        <v>12</v>
      </c>
      <c r="D1295" s="2" t="s">
        <v>12</v>
      </c>
      <c r="E1295" s="2" t="s">
        <v>12</v>
      </c>
      <c r="F1295" s="2" t="s">
        <v>12</v>
      </c>
      <c r="G1295" s="2" t="s">
        <v>12</v>
      </c>
      <c r="H1295" s="2" t="s">
        <v>12</v>
      </c>
      <c r="I1295" s="2" t="s">
        <v>12</v>
      </c>
      <c r="J1295" s="2" t="s">
        <v>12</v>
      </c>
      <c r="K1295" s="2" t="s">
        <v>12</v>
      </c>
    </row>
    <row r="1296" spans="1:11" ht="12.5" x14ac:dyDescent="0.25">
      <c r="A1296" s="3" t="e">
        <f ca="1"/>
        <v>#NAME?</v>
      </c>
      <c r="B1296" s="2" t="s">
        <v>12</v>
      </c>
      <c r="C1296" s="2" t="s">
        <v>12</v>
      </c>
      <c r="D1296" s="2" t="s">
        <v>12</v>
      </c>
      <c r="E1296" s="2" t="s">
        <v>12</v>
      </c>
      <c r="F1296" s="2" t="s">
        <v>12</v>
      </c>
      <c r="G1296" s="2" t="s">
        <v>12</v>
      </c>
      <c r="H1296" s="2" t="s">
        <v>12</v>
      </c>
      <c r="I1296" s="2" t="s">
        <v>12</v>
      </c>
      <c r="J1296" s="2" t="s">
        <v>12</v>
      </c>
      <c r="K1296" s="2" t="s">
        <v>12</v>
      </c>
    </row>
    <row r="1297" spans="1:11" ht="12.5" x14ac:dyDescent="0.25">
      <c r="A1297" s="3" t="e">
        <f ca="1"/>
        <v>#NAME?</v>
      </c>
      <c r="B1297" s="2" t="s">
        <v>12</v>
      </c>
      <c r="C1297" s="2" t="s">
        <v>12</v>
      </c>
      <c r="D1297" s="2" t="s">
        <v>12</v>
      </c>
      <c r="E1297" s="2" t="s">
        <v>12</v>
      </c>
      <c r="F1297" s="2" t="s">
        <v>12</v>
      </c>
      <c r="G1297" s="2" t="s">
        <v>12</v>
      </c>
      <c r="H1297" s="2" t="s">
        <v>12</v>
      </c>
      <c r="I1297" s="2" t="s">
        <v>12</v>
      </c>
      <c r="J1297" s="2" t="s">
        <v>12</v>
      </c>
      <c r="K1297" s="2" t="s">
        <v>12</v>
      </c>
    </row>
    <row r="1298" spans="1:11" ht="12.5" x14ac:dyDescent="0.25">
      <c r="A1298" s="3" t="e">
        <f ca="1"/>
        <v>#NAME?</v>
      </c>
      <c r="B1298" s="2" t="s">
        <v>12</v>
      </c>
      <c r="C1298" s="2" t="s">
        <v>12</v>
      </c>
      <c r="D1298" s="2" t="s">
        <v>12</v>
      </c>
      <c r="E1298" s="2" t="s">
        <v>12</v>
      </c>
      <c r="F1298" s="2" t="s">
        <v>12</v>
      </c>
      <c r="G1298" s="2" t="s">
        <v>12</v>
      </c>
      <c r="H1298" s="2" t="s">
        <v>12</v>
      </c>
      <c r="I1298" s="2" t="s">
        <v>12</v>
      </c>
      <c r="J1298" s="2" t="s">
        <v>12</v>
      </c>
      <c r="K1298" s="2" t="s">
        <v>12</v>
      </c>
    </row>
    <row r="1299" spans="1:11" ht="12.5" x14ac:dyDescent="0.25">
      <c r="A1299" s="3" t="e">
        <f ca="1"/>
        <v>#NAME?</v>
      </c>
      <c r="B1299" s="2" t="s">
        <v>12</v>
      </c>
      <c r="C1299" s="2" t="s">
        <v>12</v>
      </c>
      <c r="D1299" s="2" t="s">
        <v>12</v>
      </c>
      <c r="E1299" s="2" t="s">
        <v>12</v>
      </c>
      <c r="F1299" s="2" t="s">
        <v>12</v>
      </c>
      <c r="G1299" s="2" t="s">
        <v>12</v>
      </c>
      <c r="H1299" s="2" t="s">
        <v>12</v>
      </c>
      <c r="I1299" s="2" t="s">
        <v>12</v>
      </c>
      <c r="J1299" s="2" t="s">
        <v>12</v>
      </c>
      <c r="K1299" s="2" t="s">
        <v>12</v>
      </c>
    </row>
    <row r="1300" spans="1:11" ht="12.5" x14ac:dyDescent="0.25">
      <c r="A1300" s="3" t="e">
        <f ca="1"/>
        <v>#NAME?</v>
      </c>
      <c r="B1300" s="2" t="s">
        <v>12</v>
      </c>
      <c r="C1300" s="2" t="s">
        <v>12</v>
      </c>
      <c r="D1300" s="2" t="s">
        <v>12</v>
      </c>
      <c r="E1300" s="2" t="s">
        <v>12</v>
      </c>
      <c r="F1300" s="2" t="s">
        <v>12</v>
      </c>
      <c r="G1300" s="2" t="s">
        <v>12</v>
      </c>
      <c r="H1300" s="2" t="s">
        <v>12</v>
      </c>
      <c r="I1300" s="2" t="s">
        <v>12</v>
      </c>
      <c r="J1300" s="2" t="s">
        <v>12</v>
      </c>
      <c r="K1300" s="2" t="s">
        <v>12</v>
      </c>
    </row>
    <row r="1301" spans="1:11" ht="12.5" x14ac:dyDescent="0.25">
      <c r="A1301" s="3" t="e">
        <f ca="1"/>
        <v>#NAME?</v>
      </c>
      <c r="B1301" s="2" t="s">
        <v>12</v>
      </c>
      <c r="C1301" s="2" t="s">
        <v>12</v>
      </c>
      <c r="D1301" s="2" t="s">
        <v>12</v>
      </c>
      <c r="E1301" s="2" t="s">
        <v>12</v>
      </c>
      <c r="F1301" s="2" t="s">
        <v>12</v>
      </c>
      <c r="G1301" s="2" t="s">
        <v>12</v>
      </c>
      <c r="H1301" s="2" t="s">
        <v>12</v>
      </c>
      <c r="I1301" s="2" t="s">
        <v>12</v>
      </c>
      <c r="J1301" s="2" t="s">
        <v>12</v>
      </c>
      <c r="K1301" s="2" t="s">
        <v>12</v>
      </c>
    </row>
    <row r="1302" spans="1:11" ht="12.5" x14ac:dyDescent="0.25">
      <c r="A1302" s="3" t="e">
        <f ca="1"/>
        <v>#NAME?</v>
      </c>
      <c r="B1302" s="2" t="s">
        <v>12</v>
      </c>
      <c r="C1302" s="2" t="s">
        <v>12</v>
      </c>
      <c r="D1302" s="2" t="s">
        <v>12</v>
      </c>
      <c r="E1302" s="2" t="s">
        <v>12</v>
      </c>
      <c r="F1302" s="2" t="s">
        <v>12</v>
      </c>
      <c r="G1302" s="2" t="s">
        <v>12</v>
      </c>
      <c r="H1302" s="2" t="s">
        <v>12</v>
      </c>
      <c r="I1302" s="2" t="s">
        <v>12</v>
      </c>
      <c r="J1302" s="2" t="s">
        <v>12</v>
      </c>
      <c r="K1302" s="2" t="s">
        <v>12</v>
      </c>
    </row>
    <row r="1303" spans="1:11" ht="12.5" x14ac:dyDescent="0.25">
      <c r="A1303" s="3" t="e">
        <f ca="1"/>
        <v>#NAME?</v>
      </c>
      <c r="B1303" s="2" t="s">
        <v>12</v>
      </c>
      <c r="C1303" s="2" t="s">
        <v>12</v>
      </c>
      <c r="D1303" s="2" t="s">
        <v>12</v>
      </c>
      <c r="E1303" s="2" t="s">
        <v>12</v>
      </c>
      <c r="F1303" s="2" t="s">
        <v>12</v>
      </c>
      <c r="G1303" s="2" t="s">
        <v>12</v>
      </c>
      <c r="H1303" s="2" t="s">
        <v>12</v>
      </c>
      <c r="I1303" s="2" t="s">
        <v>12</v>
      </c>
      <c r="J1303" s="2" t="s">
        <v>12</v>
      </c>
      <c r="K1303" s="2" t="s">
        <v>12</v>
      </c>
    </row>
    <row r="1304" spans="1:11" ht="12.5" x14ac:dyDescent="0.25">
      <c r="A1304" s="3" t="e">
        <f ca="1"/>
        <v>#NAME?</v>
      </c>
      <c r="B1304" s="2" t="s">
        <v>12</v>
      </c>
      <c r="C1304" s="2" t="s">
        <v>12</v>
      </c>
      <c r="D1304" s="2" t="s">
        <v>12</v>
      </c>
      <c r="E1304" s="2" t="s">
        <v>12</v>
      </c>
      <c r="F1304" s="2" t="s">
        <v>12</v>
      </c>
      <c r="G1304" s="2" t="s">
        <v>12</v>
      </c>
      <c r="H1304" s="2" t="s">
        <v>12</v>
      </c>
      <c r="I1304" s="2" t="s">
        <v>12</v>
      </c>
      <c r="J1304" s="2" t="s">
        <v>12</v>
      </c>
      <c r="K1304" s="2" t="s">
        <v>12</v>
      </c>
    </row>
    <row r="1305" spans="1:11" ht="12.5" x14ac:dyDescent="0.25">
      <c r="A1305" s="3" t="e">
        <f ca="1"/>
        <v>#NAME?</v>
      </c>
      <c r="B1305" s="2" t="s">
        <v>12</v>
      </c>
      <c r="C1305" s="2" t="s">
        <v>12</v>
      </c>
      <c r="D1305" s="2" t="s">
        <v>12</v>
      </c>
      <c r="E1305" s="2" t="s">
        <v>12</v>
      </c>
      <c r="F1305" s="2" t="s">
        <v>12</v>
      </c>
      <c r="G1305" s="2" t="s">
        <v>12</v>
      </c>
      <c r="H1305" s="2" t="s">
        <v>12</v>
      </c>
      <c r="I1305" s="2" t="s">
        <v>12</v>
      </c>
      <c r="J1305" s="2" t="s">
        <v>12</v>
      </c>
      <c r="K1305" s="2" t="s">
        <v>12</v>
      </c>
    </row>
    <row r="1306" spans="1:11" ht="12.5" x14ac:dyDescent="0.25">
      <c r="A1306" s="3" t="e">
        <f ca="1"/>
        <v>#NAME?</v>
      </c>
      <c r="B1306" s="2" t="s">
        <v>12</v>
      </c>
      <c r="C1306" s="2" t="s">
        <v>12</v>
      </c>
      <c r="D1306" s="2" t="s">
        <v>12</v>
      </c>
      <c r="E1306" s="2" t="s">
        <v>12</v>
      </c>
      <c r="F1306" s="2" t="s">
        <v>12</v>
      </c>
      <c r="G1306" s="2" t="s">
        <v>12</v>
      </c>
      <c r="H1306" s="2" t="s">
        <v>12</v>
      </c>
      <c r="I1306" s="2" t="s">
        <v>12</v>
      </c>
      <c r="J1306" s="2" t="s">
        <v>12</v>
      </c>
      <c r="K1306" s="2" t="s">
        <v>12</v>
      </c>
    </row>
    <row r="1307" spans="1:11" ht="12.5" x14ac:dyDescent="0.25">
      <c r="A1307" s="3" t="e">
        <f ca="1"/>
        <v>#NAME?</v>
      </c>
      <c r="B1307" s="2" t="s">
        <v>12</v>
      </c>
      <c r="C1307" s="2" t="s">
        <v>12</v>
      </c>
      <c r="D1307" s="2" t="s">
        <v>12</v>
      </c>
      <c r="E1307" s="2" t="s">
        <v>12</v>
      </c>
      <c r="F1307" s="2" t="s">
        <v>12</v>
      </c>
      <c r="G1307" s="2" t="s">
        <v>12</v>
      </c>
      <c r="H1307" s="2" t="s">
        <v>12</v>
      </c>
      <c r="I1307" s="2" t="s">
        <v>12</v>
      </c>
      <c r="J1307" s="2" t="s">
        <v>12</v>
      </c>
      <c r="K1307" s="2" t="s">
        <v>12</v>
      </c>
    </row>
    <row r="1308" spans="1:11" ht="12.5" x14ac:dyDescent="0.25">
      <c r="A1308" s="3" t="e">
        <f ca="1"/>
        <v>#NAME?</v>
      </c>
      <c r="B1308" s="2" t="s">
        <v>12</v>
      </c>
      <c r="C1308" s="2" t="s">
        <v>12</v>
      </c>
      <c r="D1308" s="2" t="s">
        <v>12</v>
      </c>
      <c r="E1308" s="2" t="s">
        <v>12</v>
      </c>
      <c r="F1308" s="2" t="s">
        <v>12</v>
      </c>
      <c r="G1308" s="2" t="s">
        <v>12</v>
      </c>
      <c r="H1308" s="2" t="s">
        <v>12</v>
      </c>
      <c r="I1308" s="2" t="s">
        <v>12</v>
      </c>
      <c r="J1308" s="2" t="s">
        <v>12</v>
      </c>
      <c r="K1308" s="2" t="s">
        <v>12</v>
      </c>
    </row>
    <row r="1309" spans="1:11" ht="12.5" x14ac:dyDescent="0.25">
      <c r="A1309" s="3" t="e">
        <f ca="1"/>
        <v>#NAME?</v>
      </c>
      <c r="B1309" s="2" t="s">
        <v>12</v>
      </c>
      <c r="C1309" s="2" t="s">
        <v>12</v>
      </c>
      <c r="D1309" s="2" t="s">
        <v>12</v>
      </c>
      <c r="E1309" s="2" t="s">
        <v>12</v>
      </c>
      <c r="F1309" s="2" t="s">
        <v>12</v>
      </c>
      <c r="G1309" s="2" t="s">
        <v>12</v>
      </c>
      <c r="H1309" s="2" t="s">
        <v>12</v>
      </c>
      <c r="I1309" s="2" t="s">
        <v>12</v>
      </c>
      <c r="J1309" s="2" t="s">
        <v>12</v>
      </c>
      <c r="K1309" s="2" t="s">
        <v>12</v>
      </c>
    </row>
    <row r="1310" spans="1:11" ht="12.5" x14ac:dyDescent="0.25">
      <c r="A1310" s="3" t="e">
        <f ca="1"/>
        <v>#NAME?</v>
      </c>
      <c r="B1310" s="2" t="s">
        <v>12</v>
      </c>
      <c r="C1310" s="2" t="s">
        <v>12</v>
      </c>
      <c r="D1310" s="2" t="s">
        <v>12</v>
      </c>
      <c r="E1310" s="2" t="s">
        <v>12</v>
      </c>
      <c r="F1310" s="2" t="s">
        <v>12</v>
      </c>
      <c r="G1310" s="2" t="s">
        <v>12</v>
      </c>
      <c r="H1310" s="2" t="s">
        <v>12</v>
      </c>
      <c r="I1310" s="2" t="s">
        <v>12</v>
      </c>
      <c r="J1310" s="2" t="s">
        <v>12</v>
      </c>
      <c r="K1310" s="2" t="s">
        <v>12</v>
      </c>
    </row>
    <row r="1311" spans="1:11" ht="12.5" x14ac:dyDescent="0.25">
      <c r="A1311" s="3" t="e">
        <f ca="1"/>
        <v>#NAME?</v>
      </c>
      <c r="B1311" s="2" t="s">
        <v>12</v>
      </c>
      <c r="C1311" s="2" t="s">
        <v>12</v>
      </c>
      <c r="D1311" s="2" t="s">
        <v>12</v>
      </c>
      <c r="E1311" s="2" t="s">
        <v>12</v>
      </c>
      <c r="F1311" s="2" t="s">
        <v>12</v>
      </c>
      <c r="G1311" s="2" t="s">
        <v>12</v>
      </c>
      <c r="H1311" s="2" t="s">
        <v>12</v>
      </c>
      <c r="I1311" s="2" t="s">
        <v>12</v>
      </c>
      <c r="J1311" s="2" t="s">
        <v>12</v>
      </c>
      <c r="K1311" s="2" t="s">
        <v>12</v>
      </c>
    </row>
    <row r="1312" spans="1:11" ht="12.5" x14ac:dyDescent="0.25">
      <c r="A1312" s="3" t="e">
        <f ca="1"/>
        <v>#NAME?</v>
      </c>
      <c r="B1312" s="2" t="s">
        <v>12</v>
      </c>
      <c r="C1312" s="2" t="s">
        <v>12</v>
      </c>
      <c r="D1312" s="2" t="s">
        <v>12</v>
      </c>
      <c r="E1312" s="2" t="s">
        <v>12</v>
      </c>
      <c r="F1312" s="2" t="s">
        <v>12</v>
      </c>
      <c r="G1312" s="2" t="s">
        <v>12</v>
      </c>
      <c r="H1312" s="2" t="s">
        <v>12</v>
      </c>
      <c r="I1312" s="2" t="s">
        <v>12</v>
      </c>
      <c r="J1312" s="2" t="s">
        <v>12</v>
      </c>
      <c r="K1312" s="2" t="s">
        <v>12</v>
      </c>
    </row>
    <row r="1313" spans="1:11" ht="12.5" x14ac:dyDescent="0.25">
      <c r="A1313" s="3" t="e">
        <f ca="1"/>
        <v>#NAME?</v>
      </c>
      <c r="B1313" s="2" t="s">
        <v>12</v>
      </c>
      <c r="C1313" s="2" t="s">
        <v>12</v>
      </c>
      <c r="D1313" s="2" t="s">
        <v>12</v>
      </c>
      <c r="E1313" s="2" t="s">
        <v>12</v>
      </c>
      <c r="F1313" s="2" t="s">
        <v>12</v>
      </c>
      <c r="G1313" s="2" t="s">
        <v>12</v>
      </c>
      <c r="H1313" s="2" t="s">
        <v>12</v>
      </c>
      <c r="I1313" s="2" t="s">
        <v>12</v>
      </c>
      <c r="J1313" s="2" t="s">
        <v>12</v>
      </c>
      <c r="K1313" s="2" t="s">
        <v>12</v>
      </c>
    </row>
    <row r="1314" spans="1:11" ht="12.5" x14ac:dyDescent="0.25">
      <c r="A1314" s="3" t="e">
        <f ca="1"/>
        <v>#NAME?</v>
      </c>
      <c r="B1314" s="2" t="s">
        <v>12</v>
      </c>
      <c r="C1314" s="2" t="s">
        <v>12</v>
      </c>
      <c r="D1314" s="2" t="s">
        <v>12</v>
      </c>
      <c r="E1314" s="2" t="s">
        <v>12</v>
      </c>
      <c r="F1314" s="2" t="s">
        <v>12</v>
      </c>
      <c r="G1314" s="2" t="s">
        <v>12</v>
      </c>
      <c r="H1314" s="2" t="s">
        <v>12</v>
      </c>
      <c r="I1314" s="2" t="s">
        <v>12</v>
      </c>
      <c r="J1314" s="2" t="s">
        <v>12</v>
      </c>
      <c r="K1314" s="2" t="s">
        <v>12</v>
      </c>
    </row>
    <row r="1315" spans="1:11" ht="12.5" x14ac:dyDescent="0.25">
      <c r="A1315" s="3" t="e">
        <f ca="1"/>
        <v>#NAME?</v>
      </c>
      <c r="B1315" s="2" t="s">
        <v>12</v>
      </c>
      <c r="C1315" s="2" t="s">
        <v>12</v>
      </c>
      <c r="D1315" s="2" t="s">
        <v>12</v>
      </c>
      <c r="E1315" s="2" t="s">
        <v>12</v>
      </c>
      <c r="F1315" s="2" t="s">
        <v>12</v>
      </c>
      <c r="G1315" s="2" t="s">
        <v>12</v>
      </c>
      <c r="H1315" s="2" t="s">
        <v>12</v>
      </c>
      <c r="I1315" s="2" t="s">
        <v>12</v>
      </c>
      <c r="J1315" s="2" t="s">
        <v>12</v>
      </c>
      <c r="K1315" s="2" t="s">
        <v>12</v>
      </c>
    </row>
    <row r="1316" spans="1:11" ht="12.5" x14ac:dyDescent="0.25">
      <c r="A1316" s="3" t="e">
        <f ca="1"/>
        <v>#NAME?</v>
      </c>
      <c r="B1316" s="2" t="s">
        <v>12</v>
      </c>
      <c r="C1316" s="2" t="s">
        <v>12</v>
      </c>
      <c r="D1316" s="2" t="s">
        <v>12</v>
      </c>
      <c r="E1316" s="2" t="s">
        <v>12</v>
      </c>
      <c r="F1316" s="2" t="s">
        <v>12</v>
      </c>
      <c r="G1316" s="2" t="s">
        <v>12</v>
      </c>
      <c r="H1316" s="2" t="s">
        <v>12</v>
      </c>
      <c r="I1316" s="2" t="s">
        <v>12</v>
      </c>
      <c r="J1316" s="2" t="s">
        <v>12</v>
      </c>
      <c r="K1316" s="2" t="s">
        <v>12</v>
      </c>
    </row>
    <row r="1317" spans="1:11" ht="12.5" x14ac:dyDescent="0.25">
      <c r="A1317" s="3" t="e">
        <f ca="1"/>
        <v>#NAME?</v>
      </c>
      <c r="B1317" s="2" t="s">
        <v>12</v>
      </c>
      <c r="C1317" s="2" t="s">
        <v>12</v>
      </c>
      <c r="D1317" s="2" t="s">
        <v>12</v>
      </c>
      <c r="E1317" s="2" t="s">
        <v>12</v>
      </c>
      <c r="F1317" s="2" t="s">
        <v>12</v>
      </c>
      <c r="G1317" s="2" t="s">
        <v>12</v>
      </c>
      <c r="H1317" s="2" t="s">
        <v>12</v>
      </c>
      <c r="I1317" s="2" t="s">
        <v>12</v>
      </c>
      <c r="J1317" s="2" t="s">
        <v>12</v>
      </c>
      <c r="K1317" s="2" t="s">
        <v>12</v>
      </c>
    </row>
    <row r="1318" spans="1:11" ht="12.5" x14ac:dyDescent="0.25">
      <c r="A1318" s="3" t="e">
        <f ca="1"/>
        <v>#NAME?</v>
      </c>
      <c r="B1318" s="2" t="s">
        <v>12</v>
      </c>
      <c r="C1318" s="2" t="s">
        <v>12</v>
      </c>
      <c r="D1318" s="2" t="s">
        <v>12</v>
      </c>
      <c r="E1318" s="2" t="s">
        <v>12</v>
      </c>
      <c r="F1318" s="2" t="s">
        <v>12</v>
      </c>
      <c r="G1318" s="2" t="s">
        <v>12</v>
      </c>
      <c r="H1318" s="2" t="s">
        <v>12</v>
      </c>
      <c r="I1318" s="2" t="s">
        <v>12</v>
      </c>
      <c r="J1318" s="2" t="s">
        <v>12</v>
      </c>
      <c r="K1318" s="2" t="s">
        <v>12</v>
      </c>
    </row>
    <row r="1319" spans="1:11" ht="12.5" x14ac:dyDescent="0.25">
      <c r="A1319" s="3" t="e">
        <f ca="1"/>
        <v>#NAME?</v>
      </c>
      <c r="B1319" s="2" t="s">
        <v>12</v>
      </c>
      <c r="C1319" s="2" t="s">
        <v>12</v>
      </c>
      <c r="D1319" s="2" t="s">
        <v>12</v>
      </c>
      <c r="E1319" s="2" t="s">
        <v>12</v>
      </c>
      <c r="F1319" s="2" t="s">
        <v>12</v>
      </c>
      <c r="G1319" s="2" t="s">
        <v>12</v>
      </c>
      <c r="H1319" s="2" t="s">
        <v>12</v>
      </c>
      <c r="I1319" s="2" t="s">
        <v>12</v>
      </c>
      <c r="J1319" s="2" t="s">
        <v>12</v>
      </c>
      <c r="K1319" s="2" t="s">
        <v>12</v>
      </c>
    </row>
    <row r="1320" spans="1:11" ht="12.5" x14ac:dyDescent="0.25">
      <c r="A1320" s="3" t="e">
        <f ca="1"/>
        <v>#NAME?</v>
      </c>
      <c r="B1320" s="2" t="s">
        <v>12</v>
      </c>
      <c r="C1320" s="2" t="s">
        <v>12</v>
      </c>
      <c r="D1320" s="2" t="s">
        <v>12</v>
      </c>
      <c r="E1320" s="2" t="s">
        <v>12</v>
      </c>
      <c r="F1320" s="2" t="s">
        <v>12</v>
      </c>
      <c r="G1320" s="2" t="s">
        <v>12</v>
      </c>
      <c r="H1320" s="2" t="s">
        <v>12</v>
      </c>
      <c r="I1320" s="2" t="s">
        <v>12</v>
      </c>
      <c r="J1320" s="2" t="s">
        <v>12</v>
      </c>
      <c r="K1320" s="2" t="s">
        <v>12</v>
      </c>
    </row>
    <row r="1321" spans="1:11" ht="12.5" x14ac:dyDescent="0.25">
      <c r="A1321" s="3" t="e">
        <f ca="1"/>
        <v>#NAME?</v>
      </c>
      <c r="B1321" s="2" t="s">
        <v>12</v>
      </c>
      <c r="C1321" s="2" t="s">
        <v>12</v>
      </c>
      <c r="D1321" s="2" t="s">
        <v>12</v>
      </c>
      <c r="E1321" s="2" t="s">
        <v>12</v>
      </c>
      <c r="F1321" s="2" t="s">
        <v>12</v>
      </c>
      <c r="G1321" s="2" t="s">
        <v>12</v>
      </c>
      <c r="H1321" s="2" t="s">
        <v>12</v>
      </c>
      <c r="I1321" s="2" t="s">
        <v>12</v>
      </c>
      <c r="J1321" s="2" t="s">
        <v>12</v>
      </c>
      <c r="K1321" s="2" t="s">
        <v>12</v>
      </c>
    </row>
    <row r="1322" spans="1:11" ht="12.5" x14ac:dyDescent="0.25">
      <c r="A1322" s="3" t="e">
        <f ca="1"/>
        <v>#NAME?</v>
      </c>
      <c r="B1322" s="2" t="s">
        <v>12</v>
      </c>
      <c r="C1322" s="2" t="s">
        <v>12</v>
      </c>
      <c r="D1322" s="2" t="s">
        <v>12</v>
      </c>
      <c r="E1322" s="2" t="s">
        <v>12</v>
      </c>
      <c r="F1322" s="2" t="s">
        <v>12</v>
      </c>
      <c r="G1322" s="2" t="s">
        <v>12</v>
      </c>
      <c r="H1322" s="2" t="s">
        <v>12</v>
      </c>
      <c r="I1322" s="2" t="s">
        <v>12</v>
      </c>
      <c r="J1322" s="2" t="s">
        <v>12</v>
      </c>
      <c r="K1322" s="2" t="s">
        <v>12</v>
      </c>
    </row>
    <row r="1323" spans="1:11" ht="12.5" x14ac:dyDescent="0.25">
      <c r="A1323" s="3" t="e">
        <f ca="1"/>
        <v>#NAME?</v>
      </c>
      <c r="B1323" s="2" t="s">
        <v>12</v>
      </c>
      <c r="C1323" s="2" t="s">
        <v>12</v>
      </c>
      <c r="D1323" s="2" t="s">
        <v>12</v>
      </c>
      <c r="E1323" s="2" t="s">
        <v>12</v>
      </c>
      <c r="F1323" s="2" t="s">
        <v>12</v>
      </c>
      <c r="G1323" s="2" t="s">
        <v>12</v>
      </c>
      <c r="H1323" s="2" t="s">
        <v>12</v>
      </c>
      <c r="I1323" s="2" t="s">
        <v>12</v>
      </c>
      <c r="J1323" s="2" t="s">
        <v>12</v>
      </c>
      <c r="K1323" s="2" t="s">
        <v>12</v>
      </c>
    </row>
    <row r="1324" spans="1:11" ht="12.5" x14ac:dyDescent="0.25">
      <c r="A1324" s="3" t="e">
        <f ca="1"/>
        <v>#NAME?</v>
      </c>
      <c r="B1324" s="2" t="s">
        <v>12</v>
      </c>
      <c r="C1324" s="2" t="s">
        <v>12</v>
      </c>
      <c r="D1324" s="2" t="s">
        <v>12</v>
      </c>
      <c r="E1324" s="2" t="s">
        <v>12</v>
      </c>
      <c r="F1324" s="2" t="s">
        <v>12</v>
      </c>
      <c r="G1324" s="2" t="s">
        <v>12</v>
      </c>
      <c r="H1324" s="2" t="s">
        <v>12</v>
      </c>
      <c r="I1324" s="2" t="s">
        <v>12</v>
      </c>
      <c r="J1324" s="2" t="s">
        <v>12</v>
      </c>
      <c r="K1324" s="2" t="s">
        <v>12</v>
      </c>
    </row>
    <row r="1325" spans="1:11" ht="12.5" x14ac:dyDescent="0.25">
      <c r="A1325" s="3" t="e">
        <f ca="1"/>
        <v>#NAME?</v>
      </c>
      <c r="B1325" s="2" t="s">
        <v>12</v>
      </c>
      <c r="C1325" s="2" t="s">
        <v>12</v>
      </c>
      <c r="D1325" s="2" t="s">
        <v>12</v>
      </c>
      <c r="E1325" s="2" t="s">
        <v>12</v>
      </c>
      <c r="F1325" s="2" t="s">
        <v>12</v>
      </c>
      <c r="G1325" s="2" t="s">
        <v>12</v>
      </c>
      <c r="H1325" s="2" t="s">
        <v>12</v>
      </c>
      <c r="I1325" s="2" t="s">
        <v>12</v>
      </c>
      <c r="J1325" s="2" t="s">
        <v>12</v>
      </c>
      <c r="K1325" s="2" t="s">
        <v>12</v>
      </c>
    </row>
    <row r="1326" spans="1:11" ht="12.5" x14ac:dyDescent="0.25">
      <c r="A1326" s="3" t="e">
        <f ca="1"/>
        <v>#NAME?</v>
      </c>
      <c r="B1326" s="2" t="s">
        <v>12</v>
      </c>
      <c r="C1326" s="2" t="s">
        <v>12</v>
      </c>
      <c r="D1326" s="2" t="s">
        <v>12</v>
      </c>
      <c r="E1326" s="2" t="s">
        <v>12</v>
      </c>
      <c r="F1326" s="2" t="s">
        <v>12</v>
      </c>
      <c r="G1326" s="2" t="s">
        <v>12</v>
      </c>
      <c r="H1326" s="2" t="s">
        <v>12</v>
      </c>
      <c r="I1326" s="2" t="s">
        <v>12</v>
      </c>
      <c r="J1326" s="2" t="s">
        <v>12</v>
      </c>
      <c r="K1326" s="2" t="s">
        <v>12</v>
      </c>
    </row>
    <row r="1327" spans="1:11" ht="12.5" x14ac:dyDescent="0.25">
      <c r="A1327" s="3" t="e">
        <f ca="1"/>
        <v>#NAME?</v>
      </c>
      <c r="B1327" s="2" t="s">
        <v>12</v>
      </c>
      <c r="C1327" s="2" t="s">
        <v>12</v>
      </c>
      <c r="D1327" s="2" t="s">
        <v>12</v>
      </c>
      <c r="E1327" s="2" t="s">
        <v>12</v>
      </c>
      <c r="F1327" s="2" t="s">
        <v>12</v>
      </c>
      <c r="G1327" s="2" t="s">
        <v>12</v>
      </c>
      <c r="H1327" s="2" t="s">
        <v>12</v>
      </c>
      <c r="I1327" s="2" t="s">
        <v>12</v>
      </c>
      <c r="J1327" s="2" t="s">
        <v>12</v>
      </c>
      <c r="K1327" s="2" t="s">
        <v>12</v>
      </c>
    </row>
    <row r="1328" spans="1:11" ht="12.5" x14ac:dyDescent="0.25">
      <c r="A1328" s="3" t="e">
        <f ca="1"/>
        <v>#NAME?</v>
      </c>
      <c r="B1328" s="2" t="s">
        <v>12</v>
      </c>
      <c r="C1328" s="2" t="s">
        <v>12</v>
      </c>
      <c r="D1328" s="2" t="s">
        <v>12</v>
      </c>
      <c r="E1328" s="2" t="s">
        <v>12</v>
      </c>
      <c r="F1328" s="2" t="s">
        <v>12</v>
      </c>
      <c r="G1328" s="2" t="s">
        <v>12</v>
      </c>
      <c r="H1328" s="2" t="s">
        <v>12</v>
      </c>
      <c r="I1328" s="2" t="s">
        <v>12</v>
      </c>
      <c r="J1328" s="2" t="s">
        <v>12</v>
      </c>
      <c r="K1328" s="2" t="s">
        <v>12</v>
      </c>
    </row>
    <row r="1329" spans="1:11" ht="12.5" x14ac:dyDescent="0.25">
      <c r="A1329" s="3" t="e">
        <f ca="1"/>
        <v>#NAME?</v>
      </c>
      <c r="B1329" s="2" t="s">
        <v>12</v>
      </c>
      <c r="C1329" s="2" t="s">
        <v>12</v>
      </c>
      <c r="D1329" s="2" t="s">
        <v>12</v>
      </c>
      <c r="E1329" s="2" t="s">
        <v>12</v>
      </c>
      <c r="F1329" s="2" t="s">
        <v>12</v>
      </c>
      <c r="G1329" s="2" t="s">
        <v>12</v>
      </c>
      <c r="H1329" s="2" t="s">
        <v>12</v>
      </c>
      <c r="I1329" s="2" t="s">
        <v>12</v>
      </c>
      <c r="J1329" s="2" t="s">
        <v>12</v>
      </c>
      <c r="K1329" s="2" t="s">
        <v>12</v>
      </c>
    </row>
    <row r="1330" spans="1:11" ht="12.5" x14ac:dyDescent="0.25">
      <c r="A1330" s="3" t="e">
        <f ca="1"/>
        <v>#NAME?</v>
      </c>
      <c r="B1330" s="2" t="s">
        <v>12</v>
      </c>
      <c r="C1330" s="2" t="s">
        <v>12</v>
      </c>
      <c r="D1330" s="2" t="s">
        <v>12</v>
      </c>
      <c r="E1330" s="2" t="s">
        <v>12</v>
      </c>
      <c r="F1330" s="2" t="s">
        <v>12</v>
      </c>
      <c r="G1330" s="2" t="s">
        <v>12</v>
      </c>
      <c r="H1330" s="2" t="s">
        <v>12</v>
      </c>
      <c r="I1330" s="2" t="s">
        <v>12</v>
      </c>
      <c r="J1330" s="2" t="s">
        <v>12</v>
      </c>
      <c r="K1330" s="2" t="s">
        <v>12</v>
      </c>
    </row>
    <row r="1331" spans="1:11" ht="12.5" x14ac:dyDescent="0.25">
      <c r="A1331" s="3" t="e">
        <f ca="1"/>
        <v>#NAME?</v>
      </c>
      <c r="B1331" s="2" t="s">
        <v>12</v>
      </c>
      <c r="C1331" s="2" t="s">
        <v>12</v>
      </c>
      <c r="D1331" s="2" t="s">
        <v>12</v>
      </c>
      <c r="E1331" s="2" t="s">
        <v>12</v>
      </c>
      <c r="F1331" s="2" t="s">
        <v>12</v>
      </c>
      <c r="G1331" s="2" t="s">
        <v>12</v>
      </c>
      <c r="H1331" s="2" t="s">
        <v>12</v>
      </c>
      <c r="I1331" s="2" t="s">
        <v>12</v>
      </c>
      <c r="J1331" s="2" t="s">
        <v>12</v>
      </c>
      <c r="K1331" s="2" t="s">
        <v>12</v>
      </c>
    </row>
    <row r="1332" spans="1:11" ht="12.5" x14ac:dyDescent="0.25">
      <c r="A1332" s="3" t="e">
        <f ca="1"/>
        <v>#NAME?</v>
      </c>
      <c r="B1332" s="2" t="s">
        <v>12</v>
      </c>
      <c r="C1332" s="2" t="s">
        <v>12</v>
      </c>
      <c r="D1332" s="2" t="s">
        <v>12</v>
      </c>
      <c r="E1332" s="2" t="s">
        <v>12</v>
      </c>
      <c r="F1332" s="2" t="s">
        <v>12</v>
      </c>
      <c r="G1332" s="2" t="s">
        <v>12</v>
      </c>
      <c r="H1332" s="2" t="s">
        <v>12</v>
      </c>
      <c r="I1332" s="2" t="s">
        <v>12</v>
      </c>
      <c r="J1332" s="2" t="s">
        <v>12</v>
      </c>
      <c r="K1332" s="2" t="s">
        <v>12</v>
      </c>
    </row>
    <row r="1333" spans="1:11" ht="12.5" x14ac:dyDescent="0.25">
      <c r="A1333" s="3" t="e">
        <f ca="1"/>
        <v>#NAME?</v>
      </c>
      <c r="B1333" s="2" t="s">
        <v>12</v>
      </c>
      <c r="C1333" s="2" t="s">
        <v>12</v>
      </c>
      <c r="D1333" s="2" t="s">
        <v>12</v>
      </c>
      <c r="E1333" s="2" t="s">
        <v>12</v>
      </c>
      <c r="F1333" s="2" t="s">
        <v>12</v>
      </c>
      <c r="G1333" s="2" t="s">
        <v>12</v>
      </c>
      <c r="H1333" s="2" t="s">
        <v>12</v>
      </c>
      <c r="I1333" s="2" t="s">
        <v>12</v>
      </c>
      <c r="J1333" s="2" t="s">
        <v>12</v>
      </c>
      <c r="K1333" s="2" t="s">
        <v>12</v>
      </c>
    </row>
    <row r="1334" spans="1:11" ht="12.5" x14ac:dyDescent="0.25">
      <c r="A1334" s="3" t="e">
        <f ca="1"/>
        <v>#NAME?</v>
      </c>
      <c r="B1334" s="2" t="s">
        <v>12</v>
      </c>
      <c r="C1334" s="2" t="s">
        <v>12</v>
      </c>
      <c r="D1334" s="2" t="s">
        <v>12</v>
      </c>
      <c r="E1334" s="2" t="s">
        <v>12</v>
      </c>
      <c r="F1334" s="2" t="s">
        <v>12</v>
      </c>
      <c r="G1334" s="2" t="s">
        <v>12</v>
      </c>
      <c r="H1334" s="2" t="s">
        <v>12</v>
      </c>
      <c r="I1334" s="2" t="s">
        <v>12</v>
      </c>
      <c r="J1334" s="2" t="s">
        <v>12</v>
      </c>
      <c r="K1334" s="2" t="s">
        <v>12</v>
      </c>
    </row>
    <row r="1335" spans="1:11" ht="12.5" x14ac:dyDescent="0.25">
      <c r="A1335" s="3" t="e">
        <f ca="1"/>
        <v>#NAME?</v>
      </c>
      <c r="B1335" s="2" t="s">
        <v>12</v>
      </c>
      <c r="C1335" s="2" t="s">
        <v>12</v>
      </c>
      <c r="D1335" s="2" t="s">
        <v>12</v>
      </c>
      <c r="E1335" s="2" t="s">
        <v>12</v>
      </c>
      <c r="F1335" s="2" t="s">
        <v>12</v>
      </c>
      <c r="G1335" s="2" t="s">
        <v>12</v>
      </c>
      <c r="H1335" s="2" t="s">
        <v>12</v>
      </c>
      <c r="I1335" s="2" t="s">
        <v>12</v>
      </c>
      <c r="J1335" s="2" t="s">
        <v>12</v>
      </c>
      <c r="K1335" s="2" t="s">
        <v>12</v>
      </c>
    </row>
    <row r="1336" spans="1:11" ht="12.5" x14ac:dyDescent="0.25">
      <c r="A1336" s="3" t="e">
        <f ca="1"/>
        <v>#NAME?</v>
      </c>
      <c r="B1336" s="2" t="s">
        <v>12</v>
      </c>
      <c r="C1336" s="2" t="s">
        <v>12</v>
      </c>
      <c r="D1336" s="2" t="s">
        <v>12</v>
      </c>
      <c r="E1336" s="2" t="s">
        <v>12</v>
      </c>
      <c r="F1336" s="2" t="s">
        <v>12</v>
      </c>
      <c r="G1336" s="2" t="s">
        <v>12</v>
      </c>
      <c r="H1336" s="2" t="s">
        <v>12</v>
      </c>
      <c r="I1336" s="2" t="s">
        <v>12</v>
      </c>
      <c r="J1336" s="2" t="s">
        <v>12</v>
      </c>
      <c r="K1336" s="2" t="s">
        <v>12</v>
      </c>
    </row>
    <row r="1337" spans="1:11" ht="12.5" x14ac:dyDescent="0.25">
      <c r="A1337" s="3" t="e">
        <f ca="1"/>
        <v>#NAME?</v>
      </c>
      <c r="B1337" s="2" t="s">
        <v>12</v>
      </c>
      <c r="C1337" s="2" t="s">
        <v>12</v>
      </c>
      <c r="D1337" s="2" t="s">
        <v>12</v>
      </c>
      <c r="E1337" s="2" t="s">
        <v>12</v>
      </c>
      <c r="F1337" s="2" t="s">
        <v>12</v>
      </c>
      <c r="G1337" s="2" t="s">
        <v>12</v>
      </c>
      <c r="H1337" s="2" t="s">
        <v>12</v>
      </c>
      <c r="I1337" s="2" t="s">
        <v>12</v>
      </c>
      <c r="J1337" s="2" t="s">
        <v>12</v>
      </c>
      <c r="K1337" s="2" t="s">
        <v>12</v>
      </c>
    </row>
    <row r="1338" spans="1:11" ht="12.5" x14ac:dyDescent="0.25">
      <c r="A1338" s="3" t="e">
        <f ca="1"/>
        <v>#NAME?</v>
      </c>
      <c r="B1338" s="2" t="s">
        <v>12</v>
      </c>
      <c r="C1338" s="2" t="s">
        <v>12</v>
      </c>
      <c r="D1338" s="2" t="s">
        <v>12</v>
      </c>
      <c r="E1338" s="2" t="s">
        <v>12</v>
      </c>
      <c r="F1338" s="2" t="s">
        <v>12</v>
      </c>
      <c r="G1338" s="2" t="s">
        <v>12</v>
      </c>
      <c r="H1338" s="2" t="s">
        <v>12</v>
      </c>
      <c r="I1338" s="2" t="s">
        <v>12</v>
      </c>
      <c r="J1338" s="2" t="s">
        <v>12</v>
      </c>
      <c r="K1338" s="2" t="s">
        <v>12</v>
      </c>
    </row>
    <row r="1339" spans="1:11" ht="12.5" x14ac:dyDescent="0.25">
      <c r="A1339" s="3" t="e">
        <f ca="1"/>
        <v>#NAME?</v>
      </c>
      <c r="B1339" s="2" t="s">
        <v>12</v>
      </c>
      <c r="C1339" s="2" t="s">
        <v>12</v>
      </c>
      <c r="D1339" s="2" t="s">
        <v>12</v>
      </c>
      <c r="E1339" s="2" t="s">
        <v>12</v>
      </c>
      <c r="F1339" s="2" t="s">
        <v>12</v>
      </c>
      <c r="G1339" s="2" t="s">
        <v>12</v>
      </c>
      <c r="H1339" s="2" t="s">
        <v>12</v>
      </c>
      <c r="I1339" s="2" t="s">
        <v>12</v>
      </c>
      <c r="J1339" s="2" t="s">
        <v>12</v>
      </c>
      <c r="K1339" s="2" t="s">
        <v>12</v>
      </c>
    </row>
    <row r="1340" spans="1:11" ht="12.5" x14ac:dyDescent="0.25">
      <c r="A1340" s="3" t="e">
        <f ca="1"/>
        <v>#NAME?</v>
      </c>
      <c r="B1340" s="2" t="s">
        <v>12</v>
      </c>
      <c r="C1340" s="2" t="s">
        <v>12</v>
      </c>
      <c r="D1340" s="2" t="s">
        <v>12</v>
      </c>
      <c r="E1340" s="2" t="s">
        <v>12</v>
      </c>
      <c r="F1340" s="2" t="s">
        <v>12</v>
      </c>
      <c r="G1340" s="2" t="s">
        <v>12</v>
      </c>
      <c r="H1340" s="2" t="s">
        <v>12</v>
      </c>
      <c r="I1340" s="2" t="s">
        <v>12</v>
      </c>
      <c r="J1340" s="2" t="s">
        <v>12</v>
      </c>
      <c r="K1340" s="2" t="s">
        <v>12</v>
      </c>
    </row>
    <row r="1341" spans="1:11" ht="12.5" x14ac:dyDescent="0.25">
      <c r="A1341" s="3" t="e">
        <f ca="1"/>
        <v>#NAME?</v>
      </c>
      <c r="B1341" s="2" t="s">
        <v>12</v>
      </c>
      <c r="C1341" s="2" t="s">
        <v>12</v>
      </c>
      <c r="D1341" s="2" t="s">
        <v>12</v>
      </c>
      <c r="E1341" s="2" t="s">
        <v>12</v>
      </c>
      <c r="F1341" s="2" t="s">
        <v>12</v>
      </c>
      <c r="G1341" s="2" t="s">
        <v>12</v>
      </c>
      <c r="H1341" s="2" t="s">
        <v>12</v>
      </c>
      <c r="I1341" s="2" t="s">
        <v>12</v>
      </c>
      <c r="J1341" s="2" t="s">
        <v>12</v>
      </c>
      <c r="K1341" s="2" t="s">
        <v>12</v>
      </c>
    </row>
    <row r="1342" spans="1:11" ht="12.5" x14ac:dyDescent="0.25">
      <c r="A1342" s="3" t="e">
        <f ca="1"/>
        <v>#NAME?</v>
      </c>
      <c r="B1342" s="2" t="s">
        <v>12</v>
      </c>
      <c r="C1342" s="2" t="s">
        <v>12</v>
      </c>
      <c r="D1342" s="2" t="s">
        <v>12</v>
      </c>
      <c r="E1342" s="2" t="s">
        <v>12</v>
      </c>
      <c r="F1342" s="2" t="s">
        <v>12</v>
      </c>
      <c r="G1342" s="2" t="s">
        <v>12</v>
      </c>
      <c r="H1342" s="2" t="s">
        <v>12</v>
      </c>
      <c r="I1342" s="2" t="s">
        <v>12</v>
      </c>
      <c r="J1342" s="2" t="s">
        <v>12</v>
      </c>
      <c r="K1342" s="2" t="s">
        <v>12</v>
      </c>
    </row>
    <row r="1343" spans="1:11" ht="12.5" x14ac:dyDescent="0.25">
      <c r="A1343" s="3" t="e">
        <f ca="1"/>
        <v>#NAME?</v>
      </c>
      <c r="B1343" s="2" t="s">
        <v>12</v>
      </c>
      <c r="C1343" s="2" t="s">
        <v>12</v>
      </c>
      <c r="D1343" s="2" t="s">
        <v>12</v>
      </c>
      <c r="E1343" s="2" t="s">
        <v>12</v>
      </c>
      <c r="F1343" s="2" t="s">
        <v>12</v>
      </c>
      <c r="G1343" s="2" t="s">
        <v>12</v>
      </c>
      <c r="H1343" s="2" t="s">
        <v>12</v>
      </c>
      <c r="I1343" s="2" t="s">
        <v>12</v>
      </c>
      <c r="J1343" s="2" t="s">
        <v>12</v>
      </c>
      <c r="K1343" s="2" t="s">
        <v>12</v>
      </c>
    </row>
    <row r="1344" spans="1:11" ht="12.5" x14ac:dyDescent="0.25">
      <c r="A1344" s="3" t="e">
        <f ca="1"/>
        <v>#NAME?</v>
      </c>
      <c r="B1344" s="2" t="s">
        <v>12</v>
      </c>
      <c r="C1344" s="2" t="s">
        <v>12</v>
      </c>
      <c r="D1344" s="2" t="s">
        <v>12</v>
      </c>
      <c r="E1344" s="2" t="s">
        <v>12</v>
      </c>
      <c r="F1344" s="2" t="s">
        <v>12</v>
      </c>
      <c r="G1344" s="2" t="s">
        <v>12</v>
      </c>
      <c r="H1344" s="2" t="s">
        <v>12</v>
      </c>
      <c r="I1344" s="2" t="s">
        <v>12</v>
      </c>
      <c r="J1344" s="2" t="s">
        <v>12</v>
      </c>
      <c r="K1344" s="2" t="s">
        <v>12</v>
      </c>
    </row>
    <row r="1345" spans="1:11" ht="12.5" x14ac:dyDescent="0.25">
      <c r="A1345" s="3" t="e">
        <f ca="1"/>
        <v>#NAME?</v>
      </c>
      <c r="B1345" s="2" t="s">
        <v>12</v>
      </c>
      <c r="C1345" s="2" t="s">
        <v>12</v>
      </c>
      <c r="D1345" s="2" t="s">
        <v>12</v>
      </c>
      <c r="E1345" s="2" t="s">
        <v>12</v>
      </c>
      <c r="F1345" s="2" t="s">
        <v>12</v>
      </c>
      <c r="G1345" s="2" t="s">
        <v>12</v>
      </c>
      <c r="H1345" s="2" t="s">
        <v>12</v>
      </c>
      <c r="I1345" s="2" t="s">
        <v>12</v>
      </c>
      <c r="J1345" s="2" t="s">
        <v>12</v>
      </c>
      <c r="K1345" s="2" t="s">
        <v>12</v>
      </c>
    </row>
    <row r="1346" spans="1:11" ht="12.5" x14ac:dyDescent="0.25">
      <c r="A1346" s="3" t="e">
        <f ca="1"/>
        <v>#NAME?</v>
      </c>
      <c r="B1346" s="2" t="s">
        <v>12</v>
      </c>
      <c r="C1346" s="2" t="s">
        <v>12</v>
      </c>
      <c r="D1346" s="2" t="s">
        <v>12</v>
      </c>
      <c r="E1346" s="2" t="s">
        <v>12</v>
      </c>
      <c r="F1346" s="2" t="s">
        <v>12</v>
      </c>
      <c r="G1346" s="2" t="s">
        <v>12</v>
      </c>
      <c r="H1346" s="2" t="s">
        <v>12</v>
      </c>
      <c r="I1346" s="2" t="s">
        <v>12</v>
      </c>
      <c r="J1346" s="2" t="s">
        <v>12</v>
      </c>
      <c r="K1346" s="2" t="s">
        <v>12</v>
      </c>
    </row>
    <row r="1347" spans="1:11" ht="12.5" x14ac:dyDescent="0.25">
      <c r="A1347" s="3" t="e">
        <f ca="1"/>
        <v>#NAME?</v>
      </c>
      <c r="B1347" s="2" t="s">
        <v>12</v>
      </c>
      <c r="C1347" s="2" t="s">
        <v>12</v>
      </c>
      <c r="D1347" s="2" t="s">
        <v>12</v>
      </c>
      <c r="E1347" s="2" t="s">
        <v>12</v>
      </c>
      <c r="F1347" s="2" t="s">
        <v>12</v>
      </c>
      <c r="G1347" s="2" t="s">
        <v>12</v>
      </c>
      <c r="H1347" s="2" t="s">
        <v>12</v>
      </c>
      <c r="I1347" s="2" t="s">
        <v>12</v>
      </c>
      <c r="J1347" s="2" t="s">
        <v>12</v>
      </c>
      <c r="K1347" s="2" t="s">
        <v>12</v>
      </c>
    </row>
    <row r="1348" spans="1:11" ht="12.5" x14ac:dyDescent="0.25">
      <c r="A1348" s="3" t="e">
        <f ca="1"/>
        <v>#NAME?</v>
      </c>
      <c r="B1348" s="2" t="s">
        <v>12</v>
      </c>
      <c r="C1348" s="2" t="s">
        <v>12</v>
      </c>
      <c r="D1348" s="2" t="s">
        <v>12</v>
      </c>
      <c r="E1348" s="2" t="s">
        <v>12</v>
      </c>
      <c r="F1348" s="2" t="s">
        <v>12</v>
      </c>
      <c r="G1348" s="2" t="s">
        <v>12</v>
      </c>
      <c r="H1348" s="2" t="s">
        <v>12</v>
      </c>
      <c r="I1348" s="2" t="s">
        <v>12</v>
      </c>
      <c r="J1348" s="2" t="s">
        <v>12</v>
      </c>
      <c r="K1348" s="2" t="s">
        <v>12</v>
      </c>
    </row>
    <row r="1349" spans="1:11" ht="12.5" x14ac:dyDescent="0.25">
      <c r="A1349" s="3" t="e">
        <f ca="1"/>
        <v>#NAME?</v>
      </c>
      <c r="B1349" s="2" t="s">
        <v>12</v>
      </c>
      <c r="C1349" s="2" t="s">
        <v>12</v>
      </c>
      <c r="D1349" s="2" t="s">
        <v>12</v>
      </c>
      <c r="E1349" s="2" t="s">
        <v>12</v>
      </c>
      <c r="F1349" s="2" t="s">
        <v>12</v>
      </c>
      <c r="G1349" s="2" t="s">
        <v>12</v>
      </c>
      <c r="H1349" s="2" t="s">
        <v>12</v>
      </c>
      <c r="I1349" s="2" t="s">
        <v>12</v>
      </c>
      <c r="J1349" s="2" t="s">
        <v>12</v>
      </c>
      <c r="K1349" s="2" t="s">
        <v>12</v>
      </c>
    </row>
    <row r="1350" spans="1:11" ht="12.5" x14ac:dyDescent="0.25">
      <c r="A1350" s="3" t="e">
        <f ca="1"/>
        <v>#NAME?</v>
      </c>
      <c r="B1350" s="2" t="s">
        <v>12</v>
      </c>
      <c r="C1350" s="2" t="s">
        <v>12</v>
      </c>
      <c r="D1350" s="2" t="s">
        <v>12</v>
      </c>
      <c r="E1350" s="2" t="s">
        <v>12</v>
      </c>
      <c r="F1350" s="2" t="s">
        <v>12</v>
      </c>
      <c r="G1350" s="2" t="s">
        <v>12</v>
      </c>
      <c r="H1350" s="2" t="s">
        <v>12</v>
      </c>
      <c r="I1350" s="2" t="s">
        <v>12</v>
      </c>
      <c r="J1350" s="2" t="s">
        <v>12</v>
      </c>
      <c r="K1350" s="2" t="s">
        <v>12</v>
      </c>
    </row>
    <row r="1351" spans="1:11" ht="12.5" x14ac:dyDescent="0.25">
      <c r="A1351" s="3" t="e">
        <f ca="1"/>
        <v>#NAME?</v>
      </c>
      <c r="B1351" s="2" t="s">
        <v>12</v>
      </c>
      <c r="C1351" s="2" t="s">
        <v>12</v>
      </c>
      <c r="D1351" s="2" t="s">
        <v>12</v>
      </c>
      <c r="E1351" s="2" t="s">
        <v>12</v>
      </c>
      <c r="F1351" s="2" t="s">
        <v>12</v>
      </c>
      <c r="G1351" s="2" t="s">
        <v>12</v>
      </c>
      <c r="H1351" s="2" t="s">
        <v>12</v>
      </c>
      <c r="I1351" s="2" t="s">
        <v>12</v>
      </c>
      <c r="J1351" s="2" t="s">
        <v>12</v>
      </c>
      <c r="K1351" s="2" t="s">
        <v>12</v>
      </c>
    </row>
    <row r="1352" spans="1:11" ht="12.5" x14ac:dyDescent="0.25">
      <c r="A1352" s="3" t="e">
        <f ca="1"/>
        <v>#NAME?</v>
      </c>
      <c r="B1352" s="2" t="s">
        <v>12</v>
      </c>
      <c r="C1352" s="2" t="s">
        <v>12</v>
      </c>
      <c r="D1352" s="2" t="s">
        <v>12</v>
      </c>
      <c r="E1352" s="2" t="s">
        <v>12</v>
      </c>
      <c r="F1352" s="2" t="s">
        <v>12</v>
      </c>
      <c r="G1352" s="2" t="s">
        <v>12</v>
      </c>
      <c r="H1352" s="2" t="s">
        <v>12</v>
      </c>
      <c r="I1352" s="2" t="s">
        <v>12</v>
      </c>
      <c r="J1352" s="2" t="s">
        <v>12</v>
      </c>
      <c r="K1352" s="2" t="s">
        <v>12</v>
      </c>
    </row>
    <row r="1353" spans="1:11" ht="12.5" x14ac:dyDescent="0.25">
      <c r="A1353" s="3" t="e">
        <f ca="1"/>
        <v>#NAME?</v>
      </c>
      <c r="B1353" s="2" t="s">
        <v>12</v>
      </c>
      <c r="C1353" s="2" t="s">
        <v>12</v>
      </c>
      <c r="D1353" s="2" t="s">
        <v>12</v>
      </c>
      <c r="E1353" s="2" t="s">
        <v>12</v>
      </c>
      <c r="F1353" s="2" t="s">
        <v>12</v>
      </c>
      <c r="G1353" s="2" t="s">
        <v>12</v>
      </c>
      <c r="H1353" s="2" t="s">
        <v>12</v>
      </c>
      <c r="I1353" s="2" t="s">
        <v>12</v>
      </c>
      <c r="J1353" s="2" t="s">
        <v>12</v>
      </c>
      <c r="K1353" s="2" t="s">
        <v>12</v>
      </c>
    </row>
    <row r="1354" spans="1:11" ht="12.5" x14ac:dyDescent="0.25">
      <c r="A1354" s="3" t="e">
        <f ca="1"/>
        <v>#NAME?</v>
      </c>
      <c r="B1354" s="2" t="s">
        <v>12</v>
      </c>
      <c r="C1354" s="2" t="s">
        <v>12</v>
      </c>
      <c r="D1354" s="2" t="s">
        <v>12</v>
      </c>
      <c r="E1354" s="2" t="s">
        <v>12</v>
      </c>
      <c r="F1354" s="2" t="s">
        <v>12</v>
      </c>
      <c r="G1354" s="2" t="s">
        <v>12</v>
      </c>
      <c r="H1354" s="2" t="s">
        <v>12</v>
      </c>
      <c r="I1354" s="2" t="s">
        <v>12</v>
      </c>
      <c r="J1354" s="2" t="s">
        <v>12</v>
      </c>
      <c r="K1354" s="2" t="s">
        <v>12</v>
      </c>
    </row>
    <row r="1355" spans="1:11" ht="12.5" x14ac:dyDescent="0.25">
      <c r="A1355" s="3" t="e">
        <f ca="1"/>
        <v>#NAME?</v>
      </c>
      <c r="B1355" s="2" t="s">
        <v>12</v>
      </c>
      <c r="C1355" s="2" t="s">
        <v>12</v>
      </c>
      <c r="D1355" s="2" t="s">
        <v>12</v>
      </c>
      <c r="E1355" s="2" t="s">
        <v>12</v>
      </c>
      <c r="F1355" s="2" t="s">
        <v>12</v>
      </c>
      <c r="G1355" s="2" t="s">
        <v>12</v>
      </c>
      <c r="H1355" s="2" t="s">
        <v>12</v>
      </c>
      <c r="I1355" s="2" t="s">
        <v>12</v>
      </c>
      <c r="J1355" s="2" t="s">
        <v>12</v>
      </c>
      <c r="K1355" s="2" t="s">
        <v>12</v>
      </c>
    </row>
    <row r="1356" spans="1:11" ht="12.5" x14ac:dyDescent="0.25">
      <c r="A1356" s="3" t="e">
        <f ca="1"/>
        <v>#NAME?</v>
      </c>
      <c r="B1356" s="2" t="s">
        <v>12</v>
      </c>
      <c r="C1356" s="2" t="s">
        <v>12</v>
      </c>
      <c r="D1356" s="2" t="s">
        <v>12</v>
      </c>
      <c r="E1356" s="2" t="s">
        <v>12</v>
      </c>
      <c r="F1356" s="2" t="s">
        <v>12</v>
      </c>
      <c r="G1356" s="2" t="s">
        <v>12</v>
      </c>
      <c r="H1356" s="2" t="s">
        <v>12</v>
      </c>
      <c r="I1356" s="2" t="s">
        <v>12</v>
      </c>
      <c r="J1356" s="2" t="s">
        <v>12</v>
      </c>
      <c r="K1356" s="2" t="s">
        <v>12</v>
      </c>
    </row>
    <row r="1357" spans="1:11" ht="12.5" x14ac:dyDescent="0.25">
      <c r="A1357" s="3" t="e">
        <f ca="1"/>
        <v>#NAME?</v>
      </c>
      <c r="B1357" s="2" t="s">
        <v>12</v>
      </c>
      <c r="C1357" s="2" t="s">
        <v>12</v>
      </c>
      <c r="D1357" s="2" t="s">
        <v>12</v>
      </c>
      <c r="E1357" s="2" t="s">
        <v>12</v>
      </c>
      <c r="F1357" s="2" t="s">
        <v>12</v>
      </c>
      <c r="G1357" s="2" t="s">
        <v>12</v>
      </c>
      <c r="H1357" s="2" t="s">
        <v>12</v>
      </c>
      <c r="I1357" s="2" t="s">
        <v>12</v>
      </c>
      <c r="J1357" s="2" t="s">
        <v>12</v>
      </c>
      <c r="K1357" s="2" t="s">
        <v>12</v>
      </c>
    </row>
    <row r="1358" spans="1:11" ht="12.5" x14ac:dyDescent="0.25">
      <c r="A1358" s="3" t="e">
        <f ca="1"/>
        <v>#NAME?</v>
      </c>
      <c r="B1358" s="2" t="s">
        <v>12</v>
      </c>
      <c r="C1358" s="2" t="s">
        <v>12</v>
      </c>
      <c r="D1358" s="2" t="s">
        <v>12</v>
      </c>
      <c r="E1358" s="2" t="s">
        <v>12</v>
      </c>
      <c r="F1358" s="2" t="s">
        <v>12</v>
      </c>
      <c r="G1358" s="2" t="s">
        <v>12</v>
      </c>
      <c r="H1358" s="2" t="s">
        <v>12</v>
      </c>
      <c r="I1358" s="2" t="s">
        <v>12</v>
      </c>
      <c r="J1358" s="2" t="s">
        <v>12</v>
      </c>
      <c r="K1358" s="2" t="s">
        <v>12</v>
      </c>
    </row>
    <row r="1359" spans="1:11" ht="12.5" x14ac:dyDescent="0.25">
      <c r="A1359" s="3" t="e">
        <f ca="1"/>
        <v>#NAME?</v>
      </c>
      <c r="B1359" s="2" t="s">
        <v>12</v>
      </c>
      <c r="C1359" s="2" t="s">
        <v>12</v>
      </c>
      <c r="D1359" s="2" t="s">
        <v>12</v>
      </c>
      <c r="E1359" s="2" t="s">
        <v>12</v>
      </c>
      <c r="F1359" s="2" t="s">
        <v>12</v>
      </c>
      <c r="G1359" s="2" t="s">
        <v>12</v>
      </c>
      <c r="H1359" s="2" t="s">
        <v>12</v>
      </c>
      <c r="I1359" s="2" t="s">
        <v>12</v>
      </c>
      <c r="J1359" s="2" t="s">
        <v>12</v>
      </c>
      <c r="K1359" s="2" t="s">
        <v>12</v>
      </c>
    </row>
    <row r="1360" spans="1:11" ht="12.5" x14ac:dyDescent="0.25">
      <c r="A1360" s="3" t="e">
        <f ca="1"/>
        <v>#NAME?</v>
      </c>
      <c r="B1360" s="2" t="s">
        <v>12</v>
      </c>
      <c r="C1360" s="2" t="s">
        <v>12</v>
      </c>
      <c r="D1360" s="2" t="s">
        <v>12</v>
      </c>
      <c r="E1360" s="2" t="s">
        <v>12</v>
      </c>
      <c r="F1360" s="2" t="s">
        <v>12</v>
      </c>
      <c r="G1360" s="2" t="s">
        <v>12</v>
      </c>
      <c r="H1360" s="2" t="s">
        <v>12</v>
      </c>
      <c r="I1360" s="2" t="s">
        <v>12</v>
      </c>
      <c r="J1360" s="2" t="s">
        <v>12</v>
      </c>
      <c r="K1360" s="2" t="s">
        <v>12</v>
      </c>
    </row>
    <row r="1361" spans="1:11" ht="12.5" x14ac:dyDescent="0.25">
      <c r="A1361" s="3" t="e">
        <f ca="1"/>
        <v>#NAME?</v>
      </c>
      <c r="B1361" s="2" t="s">
        <v>12</v>
      </c>
      <c r="C1361" s="2" t="s">
        <v>12</v>
      </c>
      <c r="D1361" s="2" t="s">
        <v>12</v>
      </c>
      <c r="E1361" s="2" t="s">
        <v>12</v>
      </c>
      <c r="F1361" s="2" t="s">
        <v>12</v>
      </c>
      <c r="G1361" s="2" t="s">
        <v>12</v>
      </c>
      <c r="H1361" s="2" t="s">
        <v>12</v>
      </c>
      <c r="I1361" s="2" t="s">
        <v>12</v>
      </c>
      <c r="J1361" s="2" t="s">
        <v>12</v>
      </c>
      <c r="K1361" s="2" t="s">
        <v>12</v>
      </c>
    </row>
    <row r="1362" spans="1:11" ht="12.5" x14ac:dyDescent="0.25">
      <c r="A1362" s="3" t="e">
        <f ca="1"/>
        <v>#NAME?</v>
      </c>
      <c r="B1362" s="2" t="s">
        <v>12</v>
      </c>
      <c r="C1362" s="2" t="s">
        <v>12</v>
      </c>
      <c r="D1362" s="2" t="s">
        <v>12</v>
      </c>
      <c r="E1362" s="2" t="s">
        <v>12</v>
      </c>
      <c r="F1362" s="2" t="s">
        <v>12</v>
      </c>
      <c r="G1362" s="2" t="s">
        <v>12</v>
      </c>
      <c r="H1362" s="2" t="s">
        <v>12</v>
      </c>
      <c r="I1362" s="2" t="s">
        <v>12</v>
      </c>
      <c r="J1362" s="2" t="s">
        <v>12</v>
      </c>
      <c r="K1362" s="2" t="s">
        <v>12</v>
      </c>
    </row>
    <row r="1363" spans="1:11" ht="12.5" x14ac:dyDescent="0.25">
      <c r="A1363" s="3" t="e">
        <f ca="1"/>
        <v>#NAME?</v>
      </c>
      <c r="B1363" s="2" t="s">
        <v>12</v>
      </c>
      <c r="C1363" s="2" t="s">
        <v>12</v>
      </c>
      <c r="D1363" s="2" t="s">
        <v>12</v>
      </c>
      <c r="E1363" s="2" t="s">
        <v>12</v>
      </c>
      <c r="F1363" s="2" t="s">
        <v>12</v>
      </c>
      <c r="G1363" s="2" t="s">
        <v>12</v>
      </c>
      <c r="H1363" s="2" t="s">
        <v>12</v>
      </c>
      <c r="I1363" s="2" t="s">
        <v>12</v>
      </c>
      <c r="J1363" s="2" t="s">
        <v>12</v>
      </c>
      <c r="K1363" s="2" t="s">
        <v>12</v>
      </c>
    </row>
    <row r="1364" spans="1:11" ht="12.5" x14ac:dyDescent="0.25">
      <c r="A1364" s="3" t="e">
        <f ca="1"/>
        <v>#NAME?</v>
      </c>
      <c r="B1364" s="2" t="s">
        <v>12</v>
      </c>
      <c r="C1364" s="2" t="s">
        <v>12</v>
      </c>
      <c r="D1364" s="2" t="s">
        <v>12</v>
      </c>
      <c r="E1364" s="2" t="s">
        <v>12</v>
      </c>
      <c r="F1364" s="2" t="s">
        <v>12</v>
      </c>
      <c r="G1364" s="2" t="s">
        <v>12</v>
      </c>
      <c r="H1364" s="2" t="s">
        <v>12</v>
      </c>
      <c r="I1364" s="2" t="s">
        <v>12</v>
      </c>
      <c r="J1364" s="2" t="s">
        <v>12</v>
      </c>
      <c r="K1364" s="2" t="s">
        <v>12</v>
      </c>
    </row>
    <row r="1365" spans="1:11" ht="12.5" x14ac:dyDescent="0.25">
      <c r="A1365" s="3" t="e">
        <f ca="1"/>
        <v>#NAME?</v>
      </c>
      <c r="B1365" s="2" t="s">
        <v>12</v>
      </c>
      <c r="C1365" s="2" t="s">
        <v>12</v>
      </c>
      <c r="D1365" s="2" t="s">
        <v>12</v>
      </c>
      <c r="E1365" s="2" t="s">
        <v>12</v>
      </c>
      <c r="F1365" s="2" t="s">
        <v>12</v>
      </c>
      <c r="G1365" s="2" t="s">
        <v>12</v>
      </c>
      <c r="H1365" s="2" t="s">
        <v>12</v>
      </c>
      <c r="I1365" s="2" t="s">
        <v>12</v>
      </c>
      <c r="J1365" s="2" t="s">
        <v>12</v>
      </c>
      <c r="K1365" s="2" t="s">
        <v>12</v>
      </c>
    </row>
    <row r="1366" spans="1:11" ht="12.5" x14ac:dyDescent="0.25">
      <c r="A1366" s="3" t="e">
        <f ca="1"/>
        <v>#NAME?</v>
      </c>
      <c r="B1366" s="2" t="s">
        <v>12</v>
      </c>
      <c r="C1366" s="2" t="s">
        <v>12</v>
      </c>
      <c r="D1366" s="2" t="s">
        <v>12</v>
      </c>
      <c r="E1366" s="2" t="s">
        <v>12</v>
      </c>
      <c r="F1366" s="2" t="s">
        <v>12</v>
      </c>
      <c r="G1366" s="2" t="s">
        <v>12</v>
      </c>
      <c r="H1366" s="2" t="s">
        <v>12</v>
      </c>
      <c r="I1366" s="2" t="s">
        <v>12</v>
      </c>
      <c r="J1366" s="2" t="s">
        <v>12</v>
      </c>
      <c r="K1366" s="2" t="s">
        <v>12</v>
      </c>
    </row>
    <row r="1367" spans="1:11" ht="12.5" x14ac:dyDescent="0.25">
      <c r="A1367" s="3" t="e">
        <f ca="1"/>
        <v>#NAME?</v>
      </c>
      <c r="B1367" s="2" t="s">
        <v>12</v>
      </c>
      <c r="C1367" s="2" t="s">
        <v>12</v>
      </c>
      <c r="D1367" s="2" t="s">
        <v>12</v>
      </c>
      <c r="E1367" s="2" t="s">
        <v>12</v>
      </c>
      <c r="F1367" s="2" t="s">
        <v>12</v>
      </c>
      <c r="G1367" s="2" t="s">
        <v>12</v>
      </c>
      <c r="H1367" s="2" t="s">
        <v>12</v>
      </c>
      <c r="I1367" s="2" t="s">
        <v>12</v>
      </c>
      <c r="J1367" s="2" t="s">
        <v>12</v>
      </c>
      <c r="K1367" s="2" t="s">
        <v>12</v>
      </c>
    </row>
    <row r="1368" spans="1:11" ht="12.5" x14ac:dyDescent="0.25">
      <c r="A1368" s="3" t="e">
        <f ca="1"/>
        <v>#NAME?</v>
      </c>
      <c r="B1368" s="2" t="s">
        <v>12</v>
      </c>
      <c r="C1368" s="2" t="s">
        <v>12</v>
      </c>
      <c r="D1368" s="2" t="s">
        <v>12</v>
      </c>
      <c r="E1368" s="2" t="s">
        <v>12</v>
      </c>
      <c r="F1368" s="2" t="s">
        <v>12</v>
      </c>
      <c r="G1368" s="2" t="s">
        <v>12</v>
      </c>
      <c r="H1368" s="2" t="s">
        <v>12</v>
      </c>
      <c r="I1368" s="2" t="s">
        <v>12</v>
      </c>
      <c r="J1368" s="2" t="s">
        <v>12</v>
      </c>
      <c r="K1368" s="2" t="s">
        <v>12</v>
      </c>
    </row>
    <row r="1369" spans="1:11" ht="12.5" x14ac:dyDescent="0.25">
      <c r="A1369" s="3" t="e">
        <f ca="1"/>
        <v>#NAME?</v>
      </c>
      <c r="B1369" s="2" t="s">
        <v>12</v>
      </c>
      <c r="C1369" s="2" t="s">
        <v>12</v>
      </c>
      <c r="D1369" s="2" t="s">
        <v>12</v>
      </c>
      <c r="E1369" s="2" t="s">
        <v>12</v>
      </c>
      <c r="F1369" s="2" t="s">
        <v>12</v>
      </c>
      <c r="G1369" s="2" t="s">
        <v>12</v>
      </c>
      <c r="H1369" s="2" t="s">
        <v>12</v>
      </c>
      <c r="I1369" s="2" t="s">
        <v>12</v>
      </c>
      <c r="J1369" s="2" t="s">
        <v>12</v>
      </c>
      <c r="K1369" s="2" t="s">
        <v>12</v>
      </c>
    </row>
    <row r="1370" spans="1:11" ht="12.5" x14ac:dyDescent="0.25">
      <c r="A1370" s="3" t="e">
        <f ca="1"/>
        <v>#NAME?</v>
      </c>
      <c r="B1370" s="2" t="s">
        <v>12</v>
      </c>
      <c r="C1370" s="2" t="s">
        <v>12</v>
      </c>
      <c r="D1370" s="2" t="s">
        <v>12</v>
      </c>
      <c r="E1370" s="2" t="s">
        <v>12</v>
      </c>
      <c r="F1370" s="2" t="s">
        <v>12</v>
      </c>
      <c r="G1370" s="2" t="s">
        <v>12</v>
      </c>
      <c r="H1370" s="2" t="s">
        <v>12</v>
      </c>
      <c r="I1370" s="2" t="s">
        <v>12</v>
      </c>
      <c r="J1370" s="2" t="s">
        <v>12</v>
      </c>
      <c r="K1370" s="2" t="s">
        <v>12</v>
      </c>
    </row>
    <row r="1371" spans="1:11" ht="12.5" x14ac:dyDescent="0.25">
      <c r="A1371" s="3" t="e">
        <f ca="1"/>
        <v>#NAME?</v>
      </c>
      <c r="B1371" s="2" t="s">
        <v>12</v>
      </c>
      <c r="C1371" s="2" t="s">
        <v>12</v>
      </c>
      <c r="D1371" s="2" t="s">
        <v>12</v>
      </c>
      <c r="E1371" s="2" t="s">
        <v>12</v>
      </c>
      <c r="F1371" s="2" t="s">
        <v>12</v>
      </c>
      <c r="G1371" s="2" t="s">
        <v>12</v>
      </c>
      <c r="H1371" s="2" t="s">
        <v>12</v>
      </c>
      <c r="I1371" s="2" t="s">
        <v>12</v>
      </c>
      <c r="J1371" s="2" t="s">
        <v>12</v>
      </c>
      <c r="K1371" s="2" t="s">
        <v>12</v>
      </c>
    </row>
    <row r="1372" spans="1:11" ht="12.5" x14ac:dyDescent="0.25">
      <c r="A1372" s="3" t="e">
        <f ca="1"/>
        <v>#NAME?</v>
      </c>
      <c r="B1372" s="2" t="s">
        <v>12</v>
      </c>
      <c r="C1372" s="2" t="s">
        <v>12</v>
      </c>
      <c r="D1372" s="2" t="s">
        <v>12</v>
      </c>
      <c r="E1372" s="2" t="s">
        <v>12</v>
      </c>
      <c r="F1372" s="2" t="s">
        <v>12</v>
      </c>
      <c r="G1372" s="2" t="s">
        <v>12</v>
      </c>
      <c r="H1372" s="2" t="s">
        <v>12</v>
      </c>
      <c r="I1372" s="2" t="s">
        <v>12</v>
      </c>
      <c r="J1372" s="2" t="s">
        <v>12</v>
      </c>
      <c r="K1372" s="2" t="s">
        <v>12</v>
      </c>
    </row>
    <row r="1373" spans="1:11" ht="12.5" x14ac:dyDescent="0.25">
      <c r="A1373" s="3" t="e">
        <f ca="1"/>
        <v>#NAME?</v>
      </c>
      <c r="B1373" s="2" t="s">
        <v>12</v>
      </c>
      <c r="C1373" s="2" t="s">
        <v>12</v>
      </c>
      <c r="D1373" s="2" t="s">
        <v>12</v>
      </c>
      <c r="E1373" s="2" t="s">
        <v>12</v>
      </c>
      <c r="F1373" s="2" t="s">
        <v>12</v>
      </c>
      <c r="G1373" s="2" t="s">
        <v>12</v>
      </c>
      <c r="H1373" s="2" t="s">
        <v>12</v>
      </c>
      <c r="I1373" s="2" t="s">
        <v>12</v>
      </c>
      <c r="J1373" s="2" t="s">
        <v>12</v>
      </c>
      <c r="K1373" s="2" t="s">
        <v>12</v>
      </c>
    </row>
    <row r="1374" spans="1:11" ht="12.5" x14ac:dyDescent="0.25">
      <c r="A1374" s="3" t="e">
        <f ca="1"/>
        <v>#NAME?</v>
      </c>
      <c r="B1374" s="2" t="s">
        <v>12</v>
      </c>
      <c r="C1374" s="2" t="s">
        <v>12</v>
      </c>
      <c r="D1374" s="2" t="s">
        <v>12</v>
      </c>
      <c r="E1374" s="2" t="s">
        <v>12</v>
      </c>
      <c r="F1374" s="2" t="s">
        <v>12</v>
      </c>
      <c r="G1374" s="2" t="s">
        <v>12</v>
      </c>
      <c r="H1374" s="2" t="s">
        <v>12</v>
      </c>
      <c r="I1374" s="2" t="s">
        <v>12</v>
      </c>
      <c r="J1374" s="2" t="s">
        <v>12</v>
      </c>
      <c r="K1374" s="2" t="s">
        <v>12</v>
      </c>
    </row>
    <row r="1375" spans="1:11" ht="12.5" x14ac:dyDescent="0.25">
      <c r="A1375" s="3" t="e">
        <f ca="1"/>
        <v>#NAME?</v>
      </c>
      <c r="B1375" s="2" t="s">
        <v>12</v>
      </c>
      <c r="C1375" s="2" t="s">
        <v>12</v>
      </c>
      <c r="D1375" s="2" t="s">
        <v>12</v>
      </c>
      <c r="E1375" s="2" t="s">
        <v>12</v>
      </c>
      <c r="F1375" s="2" t="s">
        <v>12</v>
      </c>
      <c r="G1375" s="2" t="s">
        <v>12</v>
      </c>
      <c r="H1375" s="2" t="s">
        <v>12</v>
      </c>
      <c r="I1375" s="2" t="s">
        <v>12</v>
      </c>
      <c r="J1375" s="2" t="s">
        <v>12</v>
      </c>
      <c r="K1375" s="2" t="s">
        <v>12</v>
      </c>
    </row>
    <row r="1376" spans="1:11" ht="12.5" x14ac:dyDescent="0.25">
      <c r="A1376" s="3" t="e">
        <f ca="1"/>
        <v>#NAME?</v>
      </c>
      <c r="B1376" s="2" t="s">
        <v>12</v>
      </c>
      <c r="C1376" s="2" t="s">
        <v>12</v>
      </c>
      <c r="D1376" s="2" t="s">
        <v>12</v>
      </c>
      <c r="E1376" s="2" t="s">
        <v>12</v>
      </c>
      <c r="F1376" s="2" t="s">
        <v>12</v>
      </c>
      <c r="G1376" s="2" t="s">
        <v>12</v>
      </c>
      <c r="H1376" s="2" t="s">
        <v>12</v>
      </c>
      <c r="I1376" s="2" t="s">
        <v>12</v>
      </c>
      <c r="J1376" s="2" t="s">
        <v>12</v>
      </c>
      <c r="K1376" s="2" t="s">
        <v>12</v>
      </c>
    </row>
    <row r="1377" spans="1:11" ht="12.5" x14ac:dyDescent="0.25">
      <c r="A1377" s="3" t="e">
        <f ca="1"/>
        <v>#NAME?</v>
      </c>
      <c r="B1377" s="2" t="s">
        <v>12</v>
      </c>
      <c r="C1377" s="2" t="s">
        <v>12</v>
      </c>
      <c r="D1377" s="2" t="s">
        <v>12</v>
      </c>
      <c r="E1377" s="2" t="s">
        <v>12</v>
      </c>
      <c r="F1377" s="2" t="s">
        <v>12</v>
      </c>
      <c r="G1377" s="2" t="s">
        <v>12</v>
      </c>
      <c r="H1377" s="2" t="s">
        <v>12</v>
      </c>
      <c r="I1377" s="2" t="s">
        <v>12</v>
      </c>
      <c r="J1377" s="2" t="s">
        <v>12</v>
      </c>
      <c r="K1377" s="2" t="s">
        <v>12</v>
      </c>
    </row>
    <row r="1378" spans="1:11" ht="12.5" x14ac:dyDescent="0.25">
      <c r="A1378" s="3" t="e">
        <f ca="1"/>
        <v>#NAME?</v>
      </c>
      <c r="B1378" s="2" t="s">
        <v>12</v>
      </c>
      <c r="C1378" s="2" t="s">
        <v>12</v>
      </c>
      <c r="D1378" s="2" t="s">
        <v>12</v>
      </c>
      <c r="E1378" s="2" t="s">
        <v>12</v>
      </c>
      <c r="F1378" s="2" t="s">
        <v>12</v>
      </c>
      <c r="G1378" s="2" t="s">
        <v>12</v>
      </c>
      <c r="H1378" s="2" t="s">
        <v>12</v>
      </c>
      <c r="I1378" s="2" t="s">
        <v>12</v>
      </c>
      <c r="J1378" s="2" t="s">
        <v>12</v>
      </c>
      <c r="K1378" s="2" t="s">
        <v>12</v>
      </c>
    </row>
    <row r="1379" spans="1:11" ht="12.5" x14ac:dyDescent="0.25">
      <c r="A1379" s="3" t="e">
        <f ca="1"/>
        <v>#NAME?</v>
      </c>
      <c r="B1379" s="2" t="s">
        <v>12</v>
      </c>
      <c r="C1379" s="2" t="s">
        <v>12</v>
      </c>
      <c r="D1379" s="2" t="s">
        <v>12</v>
      </c>
      <c r="E1379" s="2" t="s">
        <v>12</v>
      </c>
      <c r="F1379" s="2" t="s">
        <v>12</v>
      </c>
      <c r="G1379" s="2" t="s">
        <v>12</v>
      </c>
      <c r="H1379" s="2" t="s">
        <v>12</v>
      </c>
      <c r="I1379" s="2" t="s">
        <v>12</v>
      </c>
      <c r="J1379" s="2" t="s">
        <v>12</v>
      </c>
      <c r="K1379" s="2" t="s">
        <v>12</v>
      </c>
    </row>
    <row r="1380" spans="1:11" ht="12.5" x14ac:dyDescent="0.25">
      <c r="A1380" s="3" t="e">
        <f ca="1"/>
        <v>#NAME?</v>
      </c>
      <c r="B1380" s="2" t="s">
        <v>12</v>
      </c>
      <c r="C1380" s="2" t="s">
        <v>12</v>
      </c>
      <c r="D1380" s="2" t="s">
        <v>12</v>
      </c>
      <c r="E1380" s="2" t="s">
        <v>12</v>
      </c>
      <c r="F1380" s="2" t="s">
        <v>12</v>
      </c>
      <c r="G1380" s="2" t="s">
        <v>12</v>
      </c>
      <c r="H1380" s="2" t="s">
        <v>12</v>
      </c>
      <c r="I1380" s="2" t="s">
        <v>12</v>
      </c>
      <c r="J1380" s="2" t="s">
        <v>12</v>
      </c>
      <c r="K1380" s="2" t="s">
        <v>12</v>
      </c>
    </row>
    <row r="1381" spans="1:11" ht="12.5" x14ac:dyDescent="0.25">
      <c r="A1381" s="3" t="e">
        <f ca="1"/>
        <v>#NAME?</v>
      </c>
      <c r="B1381" s="2" t="s">
        <v>12</v>
      </c>
      <c r="C1381" s="2" t="s">
        <v>12</v>
      </c>
      <c r="D1381" s="2" t="s">
        <v>12</v>
      </c>
      <c r="E1381" s="2" t="s">
        <v>12</v>
      </c>
      <c r="F1381" s="2" t="s">
        <v>12</v>
      </c>
      <c r="G1381" s="2" t="s">
        <v>12</v>
      </c>
      <c r="H1381" s="2" t="s">
        <v>12</v>
      </c>
      <c r="I1381" s="2" t="s">
        <v>12</v>
      </c>
      <c r="J1381" s="2" t="s">
        <v>12</v>
      </c>
      <c r="K1381" s="2" t="s">
        <v>12</v>
      </c>
    </row>
    <row r="1382" spans="1:11" ht="12.5" x14ac:dyDescent="0.25">
      <c r="A1382" s="3" t="e">
        <f ca="1"/>
        <v>#NAME?</v>
      </c>
      <c r="B1382" s="2" t="s">
        <v>12</v>
      </c>
      <c r="C1382" s="2" t="s">
        <v>12</v>
      </c>
      <c r="D1382" s="2" t="s">
        <v>12</v>
      </c>
      <c r="E1382" s="2" t="s">
        <v>12</v>
      </c>
      <c r="F1382" s="2" t="s">
        <v>12</v>
      </c>
      <c r="G1382" s="2" t="s">
        <v>12</v>
      </c>
      <c r="H1382" s="2" t="s">
        <v>12</v>
      </c>
      <c r="I1382" s="2" t="s">
        <v>12</v>
      </c>
      <c r="J1382" s="2" t="s">
        <v>12</v>
      </c>
      <c r="K1382" s="2" t="s">
        <v>12</v>
      </c>
    </row>
    <row r="1383" spans="1:11" ht="12.5" x14ac:dyDescent="0.25">
      <c r="A1383" s="3" t="e">
        <f ca="1"/>
        <v>#NAME?</v>
      </c>
      <c r="B1383" s="2" t="s">
        <v>12</v>
      </c>
      <c r="C1383" s="2" t="s">
        <v>12</v>
      </c>
      <c r="D1383" s="2" t="s">
        <v>12</v>
      </c>
      <c r="E1383" s="2" t="s">
        <v>12</v>
      </c>
      <c r="F1383" s="2" t="s">
        <v>12</v>
      </c>
      <c r="G1383" s="2" t="s">
        <v>12</v>
      </c>
      <c r="H1383" s="2" t="s">
        <v>12</v>
      </c>
      <c r="I1383" s="2" t="s">
        <v>12</v>
      </c>
      <c r="J1383" s="2" t="s">
        <v>12</v>
      </c>
      <c r="K1383" s="2" t="s">
        <v>12</v>
      </c>
    </row>
    <row r="1384" spans="1:11" ht="12.5" x14ac:dyDescent="0.25">
      <c r="A1384" s="3" t="e">
        <f ca="1"/>
        <v>#NAME?</v>
      </c>
      <c r="B1384" s="2" t="s">
        <v>12</v>
      </c>
      <c r="C1384" s="2" t="s">
        <v>12</v>
      </c>
      <c r="D1384" s="2" t="s">
        <v>12</v>
      </c>
      <c r="E1384" s="2" t="s">
        <v>12</v>
      </c>
      <c r="F1384" s="2" t="s">
        <v>12</v>
      </c>
      <c r="G1384" s="2" t="s">
        <v>12</v>
      </c>
      <c r="H1384" s="2" t="s">
        <v>12</v>
      </c>
      <c r="I1384" s="2" t="s">
        <v>12</v>
      </c>
      <c r="J1384" s="2" t="s">
        <v>12</v>
      </c>
      <c r="K1384" s="2" t="s">
        <v>12</v>
      </c>
    </row>
    <row r="1385" spans="1:11" ht="12.5" x14ac:dyDescent="0.25">
      <c r="A1385" s="3" t="e">
        <f ca="1"/>
        <v>#NAME?</v>
      </c>
      <c r="B1385" s="2" t="s">
        <v>12</v>
      </c>
      <c r="C1385" s="2" t="s">
        <v>12</v>
      </c>
      <c r="D1385" s="2" t="s">
        <v>12</v>
      </c>
      <c r="E1385" s="2" t="s">
        <v>12</v>
      </c>
      <c r="F1385" s="2" t="s">
        <v>12</v>
      </c>
      <c r="G1385" s="2" t="s">
        <v>12</v>
      </c>
      <c r="H1385" s="2" t="s">
        <v>12</v>
      </c>
      <c r="I1385" s="2" t="s">
        <v>12</v>
      </c>
      <c r="J1385" s="2" t="s">
        <v>12</v>
      </c>
      <c r="K1385" s="2" t="s">
        <v>12</v>
      </c>
    </row>
    <row r="1386" spans="1:11" ht="12.5" x14ac:dyDescent="0.25">
      <c r="A1386" s="3" t="e">
        <f ca="1"/>
        <v>#NAME?</v>
      </c>
      <c r="B1386" s="2" t="s">
        <v>12</v>
      </c>
      <c r="C1386" s="2" t="s">
        <v>12</v>
      </c>
      <c r="D1386" s="2" t="s">
        <v>12</v>
      </c>
      <c r="E1386" s="2" t="s">
        <v>12</v>
      </c>
      <c r="F1386" s="2" t="s">
        <v>12</v>
      </c>
      <c r="G1386" s="2" t="s">
        <v>12</v>
      </c>
      <c r="H1386" s="2" t="s">
        <v>12</v>
      </c>
      <c r="I1386" s="2" t="s">
        <v>12</v>
      </c>
      <c r="J1386" s="2" t="s">
        <v>12</v>
      </c>
      <c r="K1386" s="2" t="s">
        <v>12</v>
      </c>
    </row>
    <row r="1387" spans="1:11" ht="12.5" x14ac:dyDescent="0.25">
      <c r="A1387" s="3" t="e">
        <f ca="1"/>
        <v>#NAME?</v>
      </c>
      <c r="B1387" s="2" t="s">
        <v>12</v>
      </c>
      <c r="C1387" s="2" t="s">
        <v>12</v>
      </c>
      <c r="D1387" s="2" t="s">
        <v>12</v>
      </c>
      <c r="E1387" s="2" t="s">
        <v>12</v>
      </c>
      <c r="F1387" s="2" t="s">
        <v>12</v>
      </c>
      <c r="G1387" s="2" t="s">
        <v>12</v>
      </c>
      <c r="H1387" s="2" t="s">
        <v>12</v>
      </c>
      <c r="I1387" s="2" t="s">
        <v>12</v>
      </c>
      <c r="J1387" s="2" t="s">
        <v>12</v>
      </c>
      <c r="K1387" s="2" t="s">
        <v>12</v>
      </c>
    </row>
    <row r="1388" spans="1:11" ht="12.5" x14ac:dyDescent="0.25">
      <c r="A1388" s="3" t="e">
        <f ca="1"/>
        <v>#NAME?</v>
      </c>
      <c r="B1388" s="2" t="s">
        <v>12</v>
      </c>
      <c r="C1388" s="2" t="s">
        <v>12</v>
      </c>
      <c r="D1388" s="2" t="s">
        <v>12</v>
      </c>
      <c r="E1388" s="2" t="s">
        <v>12</v>
      </c>
      <c r="F1388" s="2" t="s">
        <v>12</v>
      </c>
      <c r="G1388" s="2" t="s">
        <v>12</v>
      </c>
      <c r="H1388" s="2" t="s">
        <v>12</v>
      </c>
      <c r="I1388" s="2" t="s">
        <v>12</v>
      </c>
      <c r="J1388" s="2" t="s">
        <v>12</v>
      </c>
      <c r="K1388" s="2" t="s">
        <v>12</v>
      </c>
    </row>
    <row r="1389" spans="1:11" ht="12.5" x14ac:dyDescent="0.25">
      <c r="A1389" s="3" t="e">
        <f ca="1"/>
        <v>#NAME?</v>
      </c>
      <c r="B1389" s="2" t="s">
        <v>12</v>
      </c>
      <c r="C1389" s="2" t="s">
        <v>12</v>
      </c>
      <c r="D1389" s="2" t="s">
        <v>12</v>
      </c>
      <c r="E1389" s="2" t="s">
        <v>12</v>
      </c>
      <c r="F1389" s="2" t="s">
        <v>12</v>
      </c>
      <c r="G1389" s="2" t="s">
        <v>12</v>
      </c>
      <c r="H1389" s="2" t="s">
        <v>12</v>
      </c>
      <c r="I1389" s="2" t="s">
        <v>12</v>
      </c>
      <c r="J1389" s="2" t="s">
        <v>12</v>
      </c>
      <c r="K1389" s="2" t="s">
        <v>12</v>
      </c>
    </row>
    <row r="1390" spans="1:11" ht="12.5" x14ac:dyDescent="0.25">
      <c r="A1390" s="3" t="e">
        <f ca="1"/>
        <v>#NAME?</v>
      </c>
      <c r="B1390" s="2" t="s">
        <v>12</v>
      </c>
      <c r="C1390" s="2" t="s">
        <v>12</v>
      </c>
      <c r="D1390" s="2" t="s">
        <v>12</v>
      </c>
      <c r="E1390" s="2" t="s">
        <v>12</v>
      </c>
      <c r="F1390" s="2" t="s">
        <v>12</v>
      </c>
      <c r="G1390" s="2" t="s">
        <v>12</v>
      </c>
      <c r="H1390" s="2" t="s">
        <v>12</v>
      </c>
      <c r="I1390" s="2" t="s">
        <v>12</v>
      </c>
      <c r="J1390" s="2" t="s">
        <v>12</v>
      </c>
      <c r="K1390" s="2" t="s">
        <v>12</v>
      </c>
    </row>
    <row r="1391" spans="1:11" ht="12.5" x14ac:dyDescent="0.25">
      <c r="A1391" s="3" t="e">
        <f ca="1"/>
        <v>#NAME?</v>
      </c>
      <c r="B1391" s="2" t="s">
        <v>12</v>
      </c>
      <c r="C1391" s="2" t="s">
        <v>12</v>
      </c>
      <c r="D1391" s="2" t="s">
        <v>12</v>
      </c>
      <c r="E1391" s="2" t="s">
        <v>12</v>
      </c>
      <c r="F1391" s="2" t="s">
        <v>12</v>
      </c>
      <c r="G1391" s="2" t="s">
        <v>12</v>
      </c>
      <c r="H1391" s="2" t="s">
        <v>12</v>
      </c>
      <c r="I1391" s="2" t="s">
        <v>12</v>
      </c>
      <c r="J1391" s="2" t="s">
        <v>12</v>
      </c>
      <c r="K1391" s="2" t="s">
        <v>12</v>
      </c>
    </row>
    <row r="1392" spans="1:11" ht="12.5" x14ac:dyDescent="0.25">
      <c r="A1392" s="3" t="e">
        <f ca="1"/>
        <v>#NAME?</v>
      </c>
      <c r="B1392" s="2" t="s">
        <v>12</v>
      </c>
      <c r="C1392" s="2" t="s">
        <v>12</v>
      </c>
      <c r="D1392" s="2" t="s">
        <v>12</v>
      </c>
      <c r="E1392" s="2" t="s">
        <v>12</v>
      </c>
      <c r="F1392" s="2" t="s">
        <v>12</v>
      </c>
      <c r="G1392" s="2" t="s">
        <v>12</v>
      </c>
      <c r="H1392" s="2" t="s">
        <v>12</v>
      </c>
      <c r="I1392" s="2" t="s">
        <v>12</v>
      </c>
      <c r="J1392" s="2" t="s">
        <v>12</v>
      </c>
      <c r="K1392" s="2" t="s">
        <v>12</v>
      </c>
    </row>
    <row r="1393" spans="1:11" ht="12.5" x14ac:dyDescent="0.25">
      <c r="A1393" s="3" t="e">
        <f ca="1"/>
        <v>#NAME?</v>
      </c>
      <c r="B1393" s="2" t="s">
        <v>12</v>
      </c>
      <c r="C1393" s="2" t="s">
        <v>12</v>
      </c>
      <c r="D1393" s="2" t="s">
        <v>12</v>
      </c>
      <c r="E1393" s="2" t="s">
        <v>12</v>
      </c>
      <c r="F1393" s="2" t="s">
        <v>12</v>
      </c>
      <c r="G1393" s="2" t="s">
        <v>12</v>
      </c>
      <c r="H1393" s="2" t="s">
        <v>12</v>
      </c>
      <c r="I1393" s="2" t="s">
        <v>12</v>
      </c>
      <c r="J1393" s="2" t="s">
        <v>12</v>
      </c>
      <c r="K1393" s="2" t="s">
        <v>12</v>
      </c>
    </row>
    <row r="1394" spans="1:11" ht="12.5" x14ac:dyDescent="0.25">
      <c r="A1394" s="3" t="e">
        <f ca="1"/>
        <v>#NAME?</v>
      </c>
      <c r="B1394" s="2" t="s">
        <v>12</v>
      </c>
      <c r="C1394" s="2" t="s">
        <v>12</v>
      </c>
      <c r="D1394" s="2" t="s">
        <v>12</v>
      </c>
      <c r="E1394" s="2" t="s">
        <v>12</v>
      </c>
      <c r="F1394" s="2" t="s">
        <v>12</v>
      </c>
      <c r="G1394" s="2" t="s">
        <v>12</v>
      </c>
      <c r="H1394" s="2" t="s">
        <v>12</v>
      </c>
      <c r="I1394" s="2" t="s">
        <v>12</v>
      </c>
      <c r="J1394" s="2" t="s">
        <v>12</v>
      </c>
      <c r="K1394" s="2" t="s">
        <v>12</v>
      </c>
    </row>
    <row r="1395" spans="1:11" ht="12.5" x14ac:dyDescent="0.25">
      <c r="A1395" s="3" t="e">
        <f ca="1"/>
        <v>#NAME?</v>
      </c>
      <c r="B1395" s="2" t="s">
        <v>12</v>
      </c>
      <c r="C1395" s="2" t="s">
        <v>12</v>
      </c>
      <c r="D1395" s="2" t="s">
        <v>12</v>
      </c>
      <c r="E1395" s="2" t="s">
        <v>12</v>
      </c>
      <c r="F1395" s="2" t="s">
        <v>12</v>
      </c>
      <c r="G1395" s="2" t="s">
        <v>12</v>
      </c>
      <c r="H1395" s="2" t="s">
        <v>12</v>
      </c>
      <c r="I1395" s="2" t="s">
        <v>12</v>
      </c>
      <c r="J1395" s="2" t="s">
        <v>12</v>
      </c>
      <c r="K1395" s="2" t="s">
        <v>12</v>
      </c>
    </row>
    <row r="1396" spans="1:11" ht="12.5" x14ac:dyDescent="0.25">
      <c r="A1396" s="3" t="e">
        <f ca="1"/>
        <v>#NAME?</v>
      </c>
      <c r="B1396" s="2" t="s">
        <v>12</v>
      </c>
      <c r="C1396" s="2" t="s">
        <v>12</v>
      </c>
      <c r="D1396" s="2" t="s">
        <v>12</v>
      </c>
      <c r="E1396" s="2" t="s">
        <v>12</v>
      </c>
      <c r="F1396" s="2" t="s">
        <v>12</v>
      </c>
      <c r="G1396" s="2" t="s">
        <v>12</v>
      </c>
      <c r="H1396" s="2" t="s">
        <v>12</v>
      </c>
      <c r="I1396" s="2" t="s">
        <v>12</v>
      </c>
      <c r="J1396" s="2" t="s">
        <v>12</v>
      </c>
      <c r="K1396" s="2" t="s">
        <v>12</v>
      </c>
    </row>
    <row r="1397" spans="1:11" ht="12.5" x14ac:dyDescent="0.25">
      <c r="A1397" s="3" t="e">
        <f ca="1"/>
        <v>#NAME?</v>
      </c>
      <c r="B1397" s="2" t="s">
        <v>12</v>
      </c>
      <c r="C1397" s="2" t="s">
        <v>12</v>
      </c>
      <c r="D1397" s="2" t="s">
        <v>12</v>
      </c>
      <c r="E1397" s="2" t="s">
        <v>12</v>
      </c>
      <c r="F1397" s="2" t="s">
        <v>12</v>
      </c>
      <c r="G1397" s="2" t="s">
        <v>12</v>
      </c>
      <c r="H1397" s="2" t="s">
        <v>12</v>
      </c>
      <c r="I1397" s="2" t="s">
        <v>12</v>
      </c>
      <c r="J1397" s="2" t="s">
        <v>12</v>
      </c>
      <c r="K1397" s="2" t="s">
        <v>12</v>
      </c>
    </row>
    <row r="1398" spans="1:11" ht="12.5" x14ac:dyDescent="0.25">
      <c r="A1398" s="3" t="e">
        <f ca="1"/>
        <v>#NAME?</v>
      </c>
      <c r="B1398" s="2" t="s">
        <v>12</v>
      </c>
      <c r="C1398" s="2" t="s">
        <v>12</v>
      </c>
      <c r="D1398" s="2" t="s">
        <v>12</v>
      </c>
      <c r="E1398" s="2" t="s">
        <v>12</v>
      </c>
      <c r="F1398" s="2" t="s">
        <v>12</v>
      </c>
      <c r="G1398" s="2" t="s">
        <v>12</v>
      </c>
      <c r="H1398" s="2" t="s">
        <v>12</v>
      </c>
      <c r="I1398" s="2" t="s">
        <v>12</v>
      </c>
      <c r="J1398" s="2" t="s">
        <v>12</v>
      </c>
      <c r="K1398" s="2" t="s">
        <v>12</v>
      </c>
    </row>
    <row r="1399" spans="1:11" ht="12.5" x14ac:dyDescent="0.25">
      <c r="A1399" s="3" t="e">
        <f ca="1"/>
        <v>#NAME?</v>
      </c>
      <c r="B1399" s="2" t="s">
        <v>12</v>
      </c>
      <c r="C1399" s="2" t="s">
        <v>12</v>
      </c>
      <c r="D1399" s="2" t="s">
        <v>12</v>
      </c>
      <c r="E1399" s="2" t="s">
        <v>12</v>
      </c>
      <c r="F1399" s="2" t="s">
        <v>12</v>
      </c>
      <c r="G1399" s="2" t="s">
        <v>12</v>
      </c>
      <c r="H1399" s="2" t="s">
        <v>12</v>
      </c>
      <c r="I1399" s="2" t="s">
        <v>12</v>
      </c>
      <c r="J1399" s="2" t="s">
        <v>12</v>
      </c>
      <c r="K1399" s="2" t="s">
        <v>12</v>
      </c>
    </row>
    <row r="1400" spans="1:11" ht="12.5" x14ac:dyDescent="0.25">
      <c r="A1400" s="3" t="e">
        <f ca="1"/>
        <v>#NAME?</v>
      </c>
      <c r="B1400" s="2" t="s">
        <v>12</v>
      </c>
      <c r="C1400" s="2" t="s">
        <v>12</v>
      </c>
      <c r="D1400" s="2" t="s">
        <v>12</v>
      </c>
      <c r="E1400" s="2" t="s">
        <v>12</v>
      </c>
      <c r="F1400" s="2" t="s">
        <v>12</v>
      </c>
      <c r="G1400" s="2" t="s">
        <v>12</v>
      </c>
      <c r="H1400" s="2" t="s">
        <v>12</v>
      </c>
      <c r="I1400" s="2" t="s">
        <v>12</v>
      </c>
      <c r="J1400" s="2" t="s">
        <v>12</v>
      </c>
      <c r="K1400" s="2" t="s">
        <v>12</v>
      </c>
    </row>
    <row r="1401" spans="1:11" ht="12.5" x14ac:dyDescent="0.25">
      <c r="A1401" s="3" t="e">
        <f ca="1"/>
        <v>#NAME?</v>
      </c>
      <c r="B1401" s="2" t="s">
        <v>12</v>
      </c>
      <c r="C1401" s="2" t="s">
        <v>12</v>
      </c>
      <c r="D1401" s="2" t="s">
        <v>12</v>
      </c>
      <c r="E1401" s="2" t="s">
        <v>12</v>
      </c>
      <c r="F1401" s="2" t="s">
        <v>12</v>
      </c>
      <c r="G1401" s="2" t="s">
        <v>12</v>
      </c>
      <c r="H1401" s="2" t="s">
        <v>12</v>
      </c>
      <c r="I1401" s="2" t="s">
        <v>12</v>
      </c>
      <c r="J1401" s="2" t="s">
        <v>12</v>
      </c>
      <c r="K1401" s="2" t="s">
        <v>12</v>
      </c>
    </row>
    <row r="1402" spans="1:11" ht="12.5" x14ac:dyDescent="0.25">
      <c r="A1402" s="3" t="e">
        <f ca="1"/>
        <v>#NAME?</v>
      </c>
      <c r="B1402" s="2" t="s">
        <v>12</v>
      </c>
      <c r="C1402" s="2" t="s">
        <v>12</v>
      </c>
      <c r="D1402" s="2" t="s">
        <v>12</v>
      </c>
      <c r="E1402" s="2" t="s">
        <v>12</v>
      </c>
      <c r="F1402" s="2" t="s">
        <v>12</v>
      </c>
      <c r="G1402" s="2" t="s">
        <v>12</v>
      </c>
      <c r="H1402" s="2" t="s">
        <v>12</v>
      </c>
      <c r="I1402" s="2" t="s">
        <v>12</v>
      </c>
      <c r="J1402" s="2" t="s">
        <v>12</v>
      </c>
      <c r="K1402" s="2" t="s">
        <v>12</v>
      </c>
    </row>
    <row r="1403" spans="1:11" ht="12.5" x14ac:dyDescent="0.25">
      <c r="A1403" s="3" t="e">
        <f ca="1"/>
        <v>#NAME?</v>
      </c>
      <c r="B1403" s="2" t="s">
        <v>12</v>
      </c>
      <c r="C1403" s="2" t="s">
        <v>12</v>
      </c>
      <c r="D1403" s="2" t="s">
        <v>12</v>
      </c>
      <c r="E1403" s="2" t="s">
        <v>12</v>
      </c>
      <c r="F1403" s="2" t="s">
        <v>12</v>
      </c>
      <c r="G1403" s="2" t="s">
        <v>12</v>
      </c>
      <c r="H1403" s="2" t="s">
        <v>12</v>
      </c>
      <c r="I1403" s="2" t="s">
        <v>12</v>
      </c>
      <c r="J1403" s="2" t="s">
        <v>12</v>
      </c>
      <c r="K1403" s="2" t="s">
        <v>12</v>
      </c>
    </row>
    <row r="1404" spans="1:11" ht="12.5" x14ac:dyDescent="0.25">
      <c r="A1404" s="3" t="e">
        <f ca="1"/>
        <v>#NAME?</v>
      </c>
      <c r="B1404" s="2" t="s">
        <v>12</v>
      </c>
      <c r="C1404" s="2" t="s">
        <v>12</v>
      </c>
      <c r="D1404" s="2" t="s">
        <v>12</v>
      </c>
      <c r="E1404" s="2" t="s">
        <v>12</v>
      </c>
      <c r="F1404" s="2" t="s">
        <v>12</v>
      </c>
      <c r="G1404" s="2" t="s">
        <v>12</v>
      </c>
      <c r="H1404" s="2" t="s">
        <v>12</v>
      </c>
      <c r="I1404" s="2" t="s">
        <v>12</v>
      </c>
      <c r="J1404" s="2" t="s">
        <v>12</v>
      </c>
      <c r="K1404" s="2" t="s">
        <v>12</v>
      </c>
    </row>
    <row r="1405" spans="1:11" ht="12.5" x14ac:dyDescent="0.25">
      <c r="A1405" s="3" t="e">
        <f ca="1"/>
        <v>#NAME?</v>
      </c>
      <c r="B1405" s="2" t="s">
        <v>12</v>
      </c>
      <c r="C1405" s="2" t="s">
        <v>12</v>
      </c>
      <c r="D1405" s="2" t="s">
        <v>12</v>
      </c>
      <c r="E1405" s="2" t="s">
        <v>12</v>
      </c>
      <c r="F1405" s="2" t="s">
        <v>12</v>
      </c>
      <c r="G1405" s="2" t="s">
        <v>12</v>
      </c>
      <c r="H1405" s="2" t="s">
        <v>12</v>
      </c>
      <c r="I1405" s="2" t="s">
        <v>12</v>
      </c>
      <c r="J1405" s="2" t="s">
        <v>12</v>
      </c>
      <c r="K1405" s="2" t="s">
        <v>12</v>
      </c>
    </row>
    <row r="1406" spans="1:11" ht="12.5" x14ac:dyDescent="0.25">
      <c r="A1406" s="3" t="e">
        <f ca="1"/>
        <v>#NAME?</v>
      </c>
      <c r="B1406" s="2" t="s">
        <v>12</v>
      </c>
      <c r="C1406" s="2" t="s">
        <v>12</v>
      </c>
      <c r="D1406" s="2" t="s">
        <v>12</v>
      </c>
      <c r="E1406" s="2" t="s">
        <v>12</v>
      </c>
      <c r="F1406" s="2" t="s">
        <v>12</v>
      </c>
      <c r="G1406" s="2" t="s">
        <v>12</v>
      </c>
      <c r="H1406" s="2" t="s">
        <v>12</v>
      </c>
      <c r="I1406" s="2" t="s">
        <v>12</v>
      </c>
      <c r="J1406" s="2" t="s">
        <v>12</v>
      </c>
      <c r="K1406" s="2" t="s">
        <v>12</v>
      </c>
    </row>
    <row r="1407" spans="1:11" ht="12.5" x14ac:dyDescent="0.25">
      <c r="A1407" s="3" t="e">
        <f ca="1"/>
        <v>#NAME?</v>
      </c>
      <c r="B1407" s="2" t="s">
        <v>12</v>
      </c>
      <c r="C1407" s="2" t="s">
        <v>12</v>
      </c>
      <c r="D1407" s="2" t="s">
        <v>12</v>
      </c>
      <c r="E1407" s="2" t="s">
        <v>12</v>
      </c>
      <c r="F1407" s="2" t="s">
        <v>12</v>
      </c>
      <c r="G1407" s="2" t="s">
        <v>12</v>
      </c>
      <c r="H1407" s="2" t="s">
        <v>12</v>
      </c>
      <c r="I1407" s="2" t="s">
        <v>12</v>
      </c>
      <c r="J1407" s="2" t="s">
        <v>12</v>
      </c>
      <c r="K1407" s="2" t="s">
        <v>12</v>
      </c>
    </row>
    <row r="1408" spans="1:11" ht="12.5" x14ac:dyDescent="0.25">
      <c r="A1408" s="3" t="e">
        <f ca="1"/>
        <v>#NAME?</v>
      </c>
      <c r="B1408" s="2" t="s">
        <v>12</v>
      </c>
      <c r="C1408" s="2" t="s">
        <v>12</v>
      </c>
      <c r="D1408" s="2" t="s">
        <v>12</v>
      </c>
      <c r="E1408" s="2" t="s">
        <v>12</v>
      </c>
      <c r="F1408" s="2" t="s">
        <v>12</v>
      </c>
      <c r="G1408" s="2" t="s">
        <v>12</v>
      </c>
      <c r="H1408" s="2" t="s">
        <v>12</v>
      </c>
      <c r="I1408" s="2" t="s">
        <v>12</v>
      </c>
      <c r="J1408" s="2" t="s">
        <v>12</v>
      </c>
      <c r="K1408" s="2" t="s">
        <v>12</v>
      </c>
    </row>
    <row r="1409" spans="1:11" ht="12.5" x14ac:dyDescent="0.25">
      <c r="A1409" s="3" t="e">
        <f ca="1"/>
        <v>#NAME?</v>
      </c>
      <c r="B1409" s="2" t="s">
        <v>12</v>
      </c>
      <c r="C1409" s="2" t="s">
        <v>12</v>
      </c>
      <c r="D1409" s="2" t="s">
        <v>12</v>
      </c>
      <c r="E1409" s="2" t="s">
        <v>12</v>
      </c>
      <c r="F1409" s="2" t="s">
        <v>12</v>
      </c>
      <c r="G1409" s="2" t="s">
        <v>12</v>
      </c>
      <c r="H1409" s="2" t="s">
        <v>12</v>
      </c>
      <c r="I1409" s="2" t="s">
        <v>12</v>
      </c>
      <c r="J1409" s="2" t="s">
        <v>12</v>
      </c>
      <c r="K1409" s="2" t="s">
        <v>12</v>
      </c>
    </row>
    <row r="1410" spans="1:11" ht="12.5" x14ac:dyDescent="0.25">
      <c r="A1410" s="3" t="e">
        <f ca="1"/>
        <v>#NAME?</v>
      </c>
      <c r="B1410" s="2" t="s">
        <v>12</v>
      </c>
      <c r="C1410" s="2" t="s">
        <v>12</v>
      </c>
      <c r="D1410" s="2" t="s">
        <v>12</v>
      </c>
      <c r="E1410" s="2" t="s">
        <v>12</v>
      </c>
      <c r="F1410" s="2" t="s">
        <v>12</v>
      </c>
      <c r="G1410" s="2" t="s">
        <v>12</v>
      </c>
      <c r="H1410" s="2" t="s">
        <v>12</v>
      </c>
      <c r="I1410" s="2" t="s">
        <v>12</v>
      </c>
      <c r="J1410" s="2" t="s">
        <v>12</v>
      </c>
      <c r="K1410" s="2" t="s">
        <v>12</v>
      </c>
    </row>
    <row r="1411" spans="1:11" ht="12.5" x14ac:dyDescent="0.25">
      <c r="A1411" s="3" t="e">
        <f ca="1"/>
        <v>#NAME?</v>
      </c>
      <c r="B1411" s="2" t="s">
        <v>12</v>
      </c>
      <c r="C1411" s="2" t="s">
        <v>12</v>
      </c>
      <c r="D1411" s="2" t="s">
        <v>12</v>
      </c>
      <c r="E1411" s="2" t="s">
        <v>12</v>
      </c>
      <c r="F1411" s="2" t="s">
        <v>12</v>
      </c>
      <c r="G1411" s="2" t="s">
        <v>12</v>
      </c>
      <c r="H1411" s="2" t="s">
        <v>12</v>
      </c>
      <c r="I1411" s="2" t="s">
        <v>12</v>
      </c>
      <c r="J1411" s="2" t="s">
        <v>12</v>
      </c>
      <c r="K1411" s="2" t="s">
        <v>12</v>
      </c>
    </row>
    <row r="1412" spans="1:11" ht="12.5" x14ac:dyDescent="0.25">
      <c r="A1412" s="3" t="e">
        <f ca="1"/>
        <v>#NAME?</v>
      </c>
      <c r="B1412" s="2" t="s">
        <v>12</v>
      </c>
      <c r="C1412" s="2" t="s">
        <v>12</v>
      </c>
      <c r="D1412" s="2" t="s">
        <v>12</v>
      </c>
      <c r="E1412" s="2" t="s">
        <v>12</v>
      </c>
      <c r="F1412" s="2" t="s">
        <v>12</v>
      </c>
      <c r="G1412" s="2" t="s">
        <v>12</v>
      </c>
      <c r="H1412" s="2" t="s">
        <v>12</v>
      </c>
      <c r="I1412" s="2" t="s">
        <v>12</v>
      </c>
      <c r="J1412" s="2" t="s">
        <v>12</v>
      </c>
      <c r="K1412" s="2" t="s">
        <v>12</v>
      </c>
    </row>
    <row r="1413" spans="1:11" ht="12.5" x14ac:dyDescent="0.25">
      <c r="A1413" s="3" t="e">
        <f ca="1"/>
        <v>#NAME?</v>
      </c>
      <c r="B1413" s="2" t="s">
        <v>12</v>
      </c>
      <c r="C1413" s="2" t="s">
        <v>12</v>
      </c>
      <c r="D1413" s="2" t="s">
        <v>12</v>
      </c>
      <c r="E1413" s="2" t="s">
        <v>12</v>
      </c>
      <c r="F1413" s="2" t="s">
        <v>12</v>
      </c>
      <c r="G1413" s="2" t="s">
        <v>12</v>
      </c>
      <c r="H1413" s="2" t="s">
        <v>12</v>
      </c>
      <c r="I1413" s="2" t="s">
        <v>12</v>
      </c>
      <c r="J1413" s="2" t="s">
        <v>12</v>
      </c>
      <c r="K1413" s="2" t="s">
        <v>12</v>
      </c>
    </row>
    <row r="1414" spans="1:11" ht="12.5" x14ac:dyDescent="0.25">
      <c r="A1414" s="3" t="e">
        <f ca="1"/>
        <v>#NAME?</v>
      </c>
      <c r="B1414" s="2" t="s">
        <v>12</v>
      </c>
      <c r="C1414" s="2" t="s">
        <v>12</v>
      </c>
      <c r="D1414" s="2" t="s">
        <v>12</v>
      </c>
      <c r="E1414" s="2" t="s">
        <v>12</v>
      </c>
      <c r="F1414" s="2" t="s">
        <v>12</v>
      </c>
      <c r="G1414" s="2" t="s">
        <v>12</v>
      </c>
      <c r="H1414" s="2" t="s">
        <v>12</v>
      </c>
      <c r="I1414" s="2" t="s">
        <v>12</v>
      </c>
      <c r="J1414" s="2" t="s">
        <v>12</v>
      </c>
      <c r="K1414" s="2" t="s">
        <v>12</v>
      </c>
    </row>
    <row r="1415" spans="1:11" ht="12.5" x14ac:dyDescent="0.25">
      <c r="A1415" s="3" t="e">
        <f ca="1"/>
        <v>#NAME?</v>
      </c>
      <c r="B1415" s="2" t="s">
        <v>12</v>
      </c>
      <c r="C1415" s="2" t="s">
        <v>12</v>
      </c>
      <c r="D1415" s="2" t="s">
        <v>12</v>
      </c>
      <c r="E1415" s="2" t="s">
        <v>12</v>
      </c>
      <c r="F1415" s="2" t="s">
        <v>12</v>
      </c>
      <c r="G1415" s="2" t="s">
        <v>12</v>
      </c>
      <c r="H1415" s="2" t="s">
        <v>12</v>
      </c>
      <c r="I1415" s="2" t="s">
        <v>12</v>
      </c>
      <c r="J1415" s="2" t="s">
        <v>12</v>
      </c>
      <c r="K1415" s="2" t="s">
        <v>12</v>
      </c>
    </row>
    <row r="1416" spans="1:11" ht="12.5" x14ac:dyDescent="0.25">
      <c r="A1416" s="3" t="e">
        <f ca="1"/>
        <v>#NAME?</v>
      </c>
      <c r="B1416" s="2" t="s">
        <v>12</v>
      </c>
      <c r="C1416" s="2" t="s">
        <v>12</v>
      </c>
      <c r="D1416" s="2" t="s">
        <v>12</v>
      </c>
      <c r="E1416" s="2" t="s">
        <v>12</v>
      </c>
      <c r="F1416" s="2" t="s">
        <v>12</v>
      </c>
      <c r="G1416" s="2" t="s">
        <v>12</v>
      </c>
      <c r="H1416" s="2" t="s">
        <v>12</v>
      </c>
      <c r="I1416" s="2" t="s">
        <v>12</v>
      </c>
      <c r="J1416" s="2" t="s">
        <v>12</v>
      </c>
      <c r="K1416" s="2" t="s">
        <v>12</v>
      </c>
    </row>
    <row r="1417" spans="1:11" ht="12.5" x14ac:dyDescent="0.25">
      <c r="A1417" s="3" t="e">
        <f ca="1"/>
        <v>#NAME?</v>
      </c>
      <c r="B1417" s="2" t="s">
        <v>12</v>
      </c>
      <c r="C1417" s="2" t="s">
        <v>12</v>
      </c>
      <c r="D1417" s="2" t="s">
        <v>12</v>
      </c>
      <c r="E1417" s="2" t="s">
        <v>12</v>
      </c>
      <c r="F1417" s="2" t="s">
        <v>12</v>
      </c>
      <c r="G1417" s="2" t="s">
        <v>12</v>
      </c>
      <c r="H1417" s="2" t="s">
        <v>12</v>
      </c>
      <c r="I1417" s="2" t="s">
        <v>12</v>
      </c>
      <c r="J1417" s="2" t="s">
        <v>12</v>
      </c>
      <c r="K1417" s="2" t="s">
        <v>12</v>
      </c>
    </row>
    <row r="1418" spans="1:11" ht="12.5" x14ac:dyDescent="0.25">
      <c r="A1418" s="3" t="e">
        <f ca="1"/>
        <v>#NAME?</v>
      </c>
      <c r="B1418" s="2" t="s">
        <v>12</v>
      </c>
      <c r="C1418" s="2" t="s">
        <v>12</v>
      </c>
      <c r="D1418" s="2" t="s">
        <v>12</v>
      </c>
      <c r="E1418" s="2" t="s">
        <v>12</v>
      </c>
      <c r="F1418" s="2" t="s">
        <v>12</v>
      </c>
      <c r="G1418" s="2" t="s">
        <v>12</v>
      </c>
      <c r="H1418" s="2" t="s">
        <v>12</v>
      </c>
      <c r="I1418" s="2" t="s">
        <v>12</v>
      </c>
      <c r="J1418" s="2" t="s">
        <v>12</v>
      </c>
      <c r="K1418" s="2" t="s">
        <v>12</v>
      </c>
    </row>
    <row r="1419" spans="1:11" ht="12.5" x14ac:dyDescent="0.25">
      <c r="A1419" s="3" t="e">
        <f ca="1"/>
        <v>#NAME?</v>
      </c>
      <c r="B1419" s="2" t="s">
        <v>12</v>
      </c>
      <c r="C1419" s="2" t="s">
        <v>12</v>
      </c>
      <c r="D1419" s="2" t="s">
        <v>12</v>
      </c>
      <c r="E1419" s="2" t="s">
        <v>12</v>
      </c>
      <c r="F1419" s="2" t="s">
        <v>12</v>
      </c>
      <c r="G1419" s="2" t="s">
        <v>12</v>
      </c>
      <c r="H1419" s="2" t="s">
        <v>12</v>
      </c>
      <c r="I1419" s="2" t="s">
        <v>12</v>
      </c>
      <c r="J1419" s="2" t="s">
        <v>12</v>
      </c>
      <c r="K1419" s="2" t="s">
        <v>12</v>
      </c>
    </row>
    <row r="1420" spans="1:11" ht="12.5" x14ac:dyDescent="0.25">
      <c r="A1420" s="3" t="e">
        <f ca="1"/>
        <v>#NAME?</v>
      </c>
      <c r="B1420" s="2" t="s">
        <v>12</v>
      </c>
      <c r="C1420" s="2" t="s">
        <v>12</v>
      </c>
      <c r="D1420" s="2" t="s">
        <v>12</v>
      </c>
      <c r="E1420" s="2" t="s">
        <v>12</v>
      </c>
      <c r="F1420" s="2" t="s">
        <v>12</v>
      </c>
      <c r="G1420" s="2" t="s">
        <v>12</v>
      </c>
      <c r="H1420" s="2" t="s">
        <v>12</v>
      </c>
      <c r="I1420" s="2" t="s">
        <v>12</v>
      </c>
      <c r="J1420" s="2" t="s">
        <v>12</v>
      </c>
      <c r="K1420" s="2" t="s">
        <v>12</v>
      </c>
    </row>
    <row r="1421" spans="1:11" ht="12.5" x14ac:dyDescent="0.25">
      <c r="A1421" s="3" t="e">
        <f ca="1"/>
        <v>#NAME?</v>
      </c>
      <c r="B1421" s="2" t="s">
        <v>12</v>
      </c>
      <c r="C1421" s="2" t="s">
        <v>12</v>
      </c>
      <c r="D1421" s="2" t="s">
        <v>12</v>
      </c>
      <c r="E1421" s="2" t="s">
        <v>12</v>
      </c>
      <c r="F1421" s="2" t="s">
        <v>12</v>
      </c>
      <c r="G1421" s="2" t="s">
        <v>12</v>
      </c>
      <c r="H1421" s="2" t="s">
        <v>12</v>
      </c>
      <c r="I1421" s="2" t="s">
        <v>12</v>
      </c>
      <c r="J1421" s="2" t="s">
        <v>12</v>
      </c>
      <c r="K1421" s="2" t="s">
        <v>12</v>
      </c>
    </row>
    <row r="1422" spans="1:11" ht="12.5" x14ac:dyDescent="0.25">
      <c r="A1422" s="3" t="e">
        <f ca="1"/>
        <v>#NAME?</v>
      </c>
      <c r="B1422" s="2" t="s">
        <v>12</v>
      </c>
      <c r="C1422" s="2" t="s">
        <v>12</v>
      </c>
      <c r="D1422" s="2" t="s">
        <v>12</v>
      </c>
      <c r="E1422" s="2" t="s">
        <v>12</v>
      </c>
      <c r="F1422" s="2" t="s">
        <v>12</v>
      </c>
      <c r="G1422" s="2" t="s">
        <v>12</v>
      </c>
      <c r="H1422" s="2" t="s">
        <v>12</v>
      </c>
      <c r="I1422" s="2" t="s">
        <v>12</v>
      </c>
      <c r="J1422" s="2" t="s">
        <v>12</v>
      </c>
      <c r="K1422" s="2" t="s">
        <v>12</v>
      </c>
    </row>
    <row r="1423" spans="1:11" ht="12.5" x14ac:dyDescent="0.25">
      <c r="A1423" s="3" t="e">
        <f ca="1"/>
        <v>#NAME?</v>
      </c>
      <c r="B1423" s="2" t="s">
        <v>12</v>
      </c>
      <c r="C1423" s="2" t="s">
        <v>12</v>
      </c>
      <c r="D1423" s="2" t="s">
        <v>12</v>
      </c>
      <c r="E1423" s="2" t="s">
        <v>12</v>
      </c>
      <c r="F1423" s="2" t="s">
        <v>12</v>
      </c>
      <c r="G1423" s="2" t="s">
        <v>12</v>
      </c>
      <c r="H1423" s="2" t="s">
        <v>12</v>
      </c>
      <c r="I1423" s="2" t="s">
        <v>12</v>
      </c>
      <c r="J1423" s="2" t="s">
        <v>12</v>
      </c>
      <c r="K1423" s="2" t="s">
        <v>12</v>
      </c>
    </row>
    <row r="1424" spans="1:11" ht="12.5" x14ac:dyDescent="0.25">
      <c r="A1424" s="3" t="e">
        <f ca="1"/>
        <v>#NAME?</v>
      </c>
      <c r="B1424" s="2" t="s">
        <v>12</v>
      </c>
      <c r="C1424" s="2" t="s">
        <v>12</v>
      </c>
      <c r="D1424" s="2" t="s">
        <v>12</v>
      </c>
      <c r="E1424" s="2" t="s">
        <v>12</v>
      </c>
      <c r="F1424" s="2" t="s">
        <v>12</v>
      </c>
      <c r="G1424" s="2" t="s">
        <v>12</v>
      </c>
      <c r="H1424" s="2" t="s">
        <v>12</v>
      </c>
      <c r="I1424" s="2" t="s">
        <v>12</v>
      </c>
      <c r="J1424" s="2" t="s">
        <v>12</v>
      </c>
      <c r="K1424" s="2" t="s">
        <v>12</v>
      </c>
    </row>
    <row r="1425" spans="1:11" ht="12.5" x14ac:dyDescent="0.25">
      <c r="A1425" s="3" t="e">
        <f ca="1"/>
        <v>#NAME?</v>
      </c>
      <c r="B1425" s="2" t="s">
        <v>12</v>
      </c>
      <c r="C1425" s="2" t="s">
        <v>12</v>
      </c>
      <c r="D1425" s="2" t="s">
        <v>12</v>
      </c>
      <c r="E1425" s="2" t="s">
        <v>12</v>
      </c>
      <c r="F1425" s="2" t="s">
        <v>12</v>
      </c>
      <c r="G1425" s="2" t="s">
        <v>12</v>
      </c>
      <c r="H1425" s="2" t="s">
        <v>12</v>
      </c>
      <c r="I1425" s="2" t="s">
        <v>12</v>
      </c>
      <c r="J1425" s="2" t="s">
        <v>12</v>
      </c>
      <c r="K1425" s="2" t="s">
        <v>12</v>
      </c>
    </row>
    <row r="1426" spans="1:11" ht="12.5" x14ac:dyDescent="0.25">
      <c r="A1426" s="3" t="e">
        <f ca="1"/>
        <v>#NAME?</v>
      </c>
      <c r="B1426" s="2" t="s">
        <v>12</v>
      </c>
      <c r="C1426" s="2" t="s">
        <v>12</v>
      </c>
      <c r="D1426" s="2" t="s">
        <v>12</v>
      </c>
      <c r="E1426" s="2" t="s">
        <v>12</v>
      </c>
      <c r="F1426" s="2" t="s">
        <v>12</v>
      </c>
      <c r="G1426" s="2" t="s">
        <v>12</v>
      </c>
      <c r="H1426" s="2" t="s">
        <v>12</v>
      </c>
      <c r="I1426" s="2" t="s">
        <v>12</v>
      </c>
      <c r="J1426" s="2" t="s">
        <v>12</v>
      </c>
      <c r="K1426" s="2" t="s">
        <v>12</v>
      </c>
    </row>
    <row r="1427" spans="1:11" ht="12.5" x14ac:dyDescent="0.25">
      <c r="A1427" s="3" t="e">
        <f ca="1"/>
        <v>#NAME?</v>
      </c>
      <c r="B1427" s="2" t="s">
        <v>12</v>
      </c>
      <c r="C1427" s="2" t="s">
        <v>12</v>
      </c>
      <c r="D1427" s="2" t="s">
        <v>12</v>
      </c>
      <c r="E1427" s="2" t="s">
        <v>12</v>
      </c>
      <c r="F1427" s="2" t="s">
        <v>12</v>
      </c>
      <c r="G1427" s="2" t="s">
        <v>12</v>
      </c>
      <c r="H1427" s="2" t="s">
        <v>12</v>
      </c>
      <c r="I1427" s="2" t="s">
        <v>12</v>
      </c>
      <c r="J1427" s="2" t="s">
        <v>12</v>
      </c>
      <c r="K1427" s="2" t="s">
        <v>12</v>
      </c>
    </row>
    <row r="1428" spans="1:11" ht="12.5" x14ac:dyDescent="0.25">
      <c r="A1428" s="3" t="e">
        <f ca="1"/>
        <v>#NAME?</v>
      </c>
      <c r="B1428" s="2" t="s">
        <v>12</v>
      </c>
      <c r="C1428" s="2" t="s">
        <v>12</v>
      </c>
      <c r="D1428" s="2" t="s">
        <v>12</v>
      </c>
      <c r="E1428" s="2" t="s">
        <v>12</v>
      </c>
      <c r="F1428" s="2" t="s">
        <v>12</v>
      </c>
      <c r="G1428" s="2" t="s">
        <v>12</v>
      </c>
      <c r="H1428" s="2" t="s">
        <v>12</v>
      </c>
      <c r="I1428" s="2" t="s">
        <v>12</v>
      </c>
      <c r="J1428" s="2" t="s">
        <v>12</v>
      </c>
      <c r="K1428" s="2" t="s">
        <v>12</v>
      </c>
    </row>
    <row r="1429" spans="1:11" ht="12.5" x14ac:dyDescent="0.25">
      <c r="A1429" s="3" t="e">
        <f ca="1"/>
        <v>#NAME?</v>
      </c>
      <c r="B1429" s="2" t="s">
        <v>12</v>
      </c>
      <c r="C1429" s="2" t="s">
        <v>12</v>
      </c>
      <c r="D1429" s="2" t="s">
        <v>12</v>
      </c>
      <c r="E1429" s="2" t="s">
        <v>12</v>
      </c>
      <c r="F1429" s="2" t="s">
        <v>12</v>
      </c>
      <c r="G1429" s="2" t="s">
        <v>12</v>
      </c>
      <c r="H1429" s="2" t="s">
        <v>12</v>
      </c>
      <c r="I1429" s="2" t="s">
        <v>12</v>
      </c>
      <c r="J1429" s="2" t="s">
        <v>12</v>
      </c>
      <c r="K1429" s="2" t="s">
        <v>12</v>
      </c>
    </row>
    <row r="1430" spans="1:11" ht="12.5" x14ac:dyDescent="0.25">
      <c r="A1430" s="3" t="e">
        <f ca="1"/>
        <v>#NAME?</v>
      </c>
      <c r="B1430" s="2" t="s">
        <v>12</v>
      </c>
      <c r="C1430" s="2" t="s">
        <v>12</v>
      </c>
      <c r="D1430" s="2" t="s">
        <v>12</v>
      </c>
      <c r="E1430" s="2" t="s">
        <v>12</v>
      </c>
      <c r="F1430" s="2" t="s">
        <v>12</v>
      </c>
      <c r="G1430" s="2" t="s">
        <v>12</v>
      </c>
      <c r="H1430" s="2" t="s">
        <v>12</v>
      </c>
      <c r="I1430" s="2" t="s">
        <v>12</v>
      </c>
      <c r="J1430" s="2" t="s">
        <v>12</v>
      </c>
      <c r="K1430" s="2" t="s">
        <v>12</v>
      </c>
    </row>
    <row r="1431" spans="1:11" ht="12.5" x14ac:dyDescent="0.25">
      <c r="A1431" s="3" t="e">
        <f ca="1"/>
        <v>#NAME?</v>
      </c>
      <c r="B1431" s="2" t="s">
        <v>12</v>
      </c>
      <c r="C1431" s="2" t="s">
        <v>12</v>
      </c>
      <c r="D1431" s="2" t="s">
        <v>12</v>
      </c>
      <c r="E1431" s="2" t="s">
        <v>12</v>
      </c>
      <c r="F1431" s="2" t="s">
        <v>12</v>
      </c>
      <c r="G1431" s="2" t="s">
        <v>12</v>
      </c>
      <c r="H1431" s="2" t="s">
        <v>12</v>
      </c>
      <c r="I1431" s="2" t="s">
        <v>12</v>
      </c>
      <c r="J1431" s="2" t="s">
        <v>12</v>
      </c>
      <c r="K1431" s="2" t="s">
        <v>12</v>
      </c>
    </row>
    <row r="1432" spans="1:11" ht="12.5" x14ac:dyDescent="0.25">
      <c r="A1432" s="3" t="e">
        <f ca="1"/>
        <v>#NAME?</v>
      </c>
      <c r="B1432" s="2" t="s">
        <v>12</v>
      </c>
      <c r="C1432" s="2" t="s">
        <v>12</v>
      </c>
      <c r="D1432" s="2" t="s">
        <v>12</v>
      </c>
      <c r="E1432" s="2" t="s">
        <v>12</v>
      </c>
      <c r="F1432" s="2" t="s">
        <v>12</v>
      </c>
      <c r="G1432" s="2" t="s">
        <v>12</v>
      </c>
      <c r="H1432" s="2" t="s">
        <v>12</v>
      </c>
      <c r="I1432" s="2" t="s">
        <v>12</v>
      </c>
      <c r="J1432" s="2" t="s">
        <v>12</v>
      </c>
      <c r="K1432" s="2" t="s">
        <v>12</v>
      </c>
    </row>
    <row r="1433" spans="1:11" ht="12.5" x14ac:dyDescent="0.25">
      <c r="A1433" s="3" t="e">
        <f ca="1"/>
        <v>#NAME?</v>
      </c>
      <c r="B1433" s="2" t="s">
        <v>12</v>
      </c>
      <c r="C1433" s="2" t="s">
        <v>12</v>
      </c>
      <c r="D1433" s="2" t="s">
        <v>12</v>
      </c>
      <c r="E1433" s="2" t="s">
        <v>12</v>
      </c>
      <c r="F1433" s="2" t="s">
        <v>12</v>
      </c>
      <c r="G1433" s="2" t="s">
        <v>12</v>
      </c>
      <c r="H1433" s="2" t="s">
        <v>12</v>
      </c>
      <c r="I1433" s="2" t="s">
        <v>12</v>
      </c>
      <c r="J1433" s="2" t="s">
        <v>12</v>
      </c>
      <c r="K1433" s="2" t="s">
        <v>12</v>
      </c>
    </row>
    <row r="1434" spans="1:11" ht="12.5" x14ac:dyDescent="0.25">
      <c r="A1434" s="3" t="e">
        <f ca="1"/>
        <v>#NAME?</v>
      </c>
      <c r="B1434" s="2" t="s">
        <v>12</v>
      </c>
      <c r="C1434" s="2" t="s">
        <v>12</v>
      </c>
      <c r="D1434" s="2" t="s">
        <v>12</v>
      </c>
      <c r="E1434" s="2" t="s">
        <v>12</v>
      </c>
      <c r="F1434" s="2" t="s">
        <v>12</v>
      </c>
      <c r="G1434" s="2" t="s">
        <v>12</v>
      </c>
      <c r="H1434" s="2" t="s">
        <v>12</v>
      </c>
      <c r="I1434" s="2" t="s">
        <v>12</v>
      </c>
      <c r="J1434" s="2" t="s">
        <v>12</v>
      </c>
      <c r="K1434" s="2" t="s">
        <v>12</v>
      </c>
    </row>
    <row r="1435" spans="1:11" ht="12.5" x14ac:dyDescent="0.25">
      <c r="A1435" s="3" t="e">
        <f ca="1"/>
        <v>#NAME?</v>
      </c>
      <c r="B1435" s="2" t="s">
        <v>12</v>
      </c>
      <c r="C1435" s="2" t="s">
        <v>12</v>
      </c>
      <c r="D1435" s="2" t="s">
        <v>12</v>
      </c>
      <c r="E1435" s="2" t="s">
        <v>12</v>
      </c>
      <c r="F1435" s="2" t="s">
        <v>12</v>
      </c>
      <c r="G1435" s="2" t="s">
        <v>12</v>
      </c>
      <c r="H1435" s="2" t="s">
        <v>12</v>
      </c>
      <c r="I1435" s="2" t="s">
        <v>12</v>
      </c>
      <c r="J1435" s="2" t="s">
        <v>12</v>
      </c>
      <c r="K1435" s="2" t="s">
        <v>12</v>
      </c>
    </row>
    <row r="1436" spans="1:11" ht="12.5" x14ac:dyDescent="0.25">
      <c r="A1436" s="3" t="e">
        <f ca="1"/>
        <v>#NAME?</v>
      </c>
      <c r="B1436" s="2" t="s">
        <v>12</v>
      </c>
      <c r="C1436" s="2" t="s">
        <v>12</v>
      </c>
      <c r="D1436" s="2" t="s">
        <v>12</v>
      </c>
      <c r="E1436" s="2" t="s">
        <v>12</v>
      </c>
      <c r="F1436" s="2" t="s">
        <v>12</v>
      </c>
      <c r="G1436" s="2" t="s">
        <v>12</v>
      </c>
      <c r="H1436" s="2" t="s">
        <v>12</v>
      </c>
      <c r="I1436" s="2" t="s">
        <v>12</v>
      </c>
      <c r="J1436" s="2" t="s">
        <v>12</v>
      </c>
      <c r="K1436" s="2" t="s">
        <v>12</v>
      </c>
    </row>
    <row r="1437" spans="1:11" ht="12.5" x14ac:dyDescent="0.25">
      <c r="A1437" s="3" t="e">
        <f ca="1"/>
        <v>#NAME?</v>
      </c>
      <c r="B1437" s="2" t="s">
        <v>12</v>
      </c>
      <c r="C1437" s="2" t="s">
        <v>12</v>
      </c>
      <c r="D1437" s="2" t="s">
        <v>12</v>
      </c>
      <c r="E1437" s="2" t="s">
        <v>12</v>
      </c>
      <c r="F1437" s="2" t="s">
        <v>12</v>
      </c>
      <c r="G1437" s="2" t="s">
        <v>12</v>
      </c>
      <c r="H1437" s="2" t="s">
        <v>12</v>
      </c>
      <c r="I1437" s="2" t="s">
        <v>12</v>
      </c>
      <c r="J1437" s="2" t="s">
        <v>12</v>
      </c>
      <c r="K1437" s="2" t="s">
        <v>12</v>
      </c>
    </row>
    <row r="1438" spans="1:11" ht="12.5" x14ac:dyDescent="0.25">
      <c r="A1438" s="3" t="e">
        <f ca="1"/>
        <v>#NAME?</v>
      </c>
      <c r="B1438" s="2" t="s">
        <v>12</v>
      </c>
      <c r="C1438" s="2" t="s">
        <v>12</v>
      </c>
      <c r="D1438" s="2" t="s">
        <v>12</v>
      </c>
      <c r="E1438" s="2" t="s">
        <v>12</v>
      </c>
      <c r="F1438" s="2" t="s">
        <v>12</v>
      </c>
      <c r="G1438" s="2" t="s">
        <v>12</v>
      </c>
      <c r="H1438" s="2" t="s">
        <v>12</v>
      </c>
      <c r="I1438" s="2" t="s">
        <v>12</v>
      </c>
      <c r="J1438" s="2" t="s">
        <v>12</v>
      </c>
      <c r="K1438" s="2" t="s">
        <v>12</v>
      </c>
    </row>
    <row r="1439" spans="1:11" ht="12.5" x14ac:dyDescent="0.25">
      <c r="A1439" s="3" t="e">
        <f ca="1"/>
        <v>#NAME?</v>
      </c>
      <c r="B1439" s="2" t="s">
        <v>12</v>
      </c>
      <c r="C1439" s="2" t="s">
        <v>12</v>
      </c>
      <c r="D1439" s="2" t="s">
        <v>12</v>
      </c>
      <c r="E1439" s="2" t="s">
        <v>12</v>
      </c>
      <c r="F1439" s="2" t="s">
        <v>12</v>
      </c>
      <c r="G1439" s="2" t="s">
        <v>12</v>
      </c>
      <c r="H1439" s="2" t="s">
        <v>12</v>
      </c>
      <c r="I1439" s="2" t="s">
        <v>12</v>
      </c>
      <c r="J1439" s="2" t="s">
        <v>12</v>
      </c>
      <c r="K1439" s="2" t="s">
        <v>12</v>
      </c>
    </row>
    <row r="1440" spans="1:11" ht="12.5" x14ac:dyDescent="0.25">
      <c r="A1440" s="3" t="e">
        <f ca="1"/>
        <v>#NAME?</v>
      </c>
      <c r="B1440" s="2" t="s">
        <v>12</v>
      </c>
      <c r="C1440" s="2" t="s">
        <v>12</v>
      </c>
      <c r="D1440" s="2" t="s">
        <v>12</v>
      </c>
      <c r="E1440" s="2" t="s">
        <v>12</v>
      </c>
      <c r="F1440" s="2" t="s">
        <v>12</v>
      </c>
      <c r="G1440" s="2" t="s">
        <v>12</v>
      </c>
      <c r="H1440" s="2" t="s">
        <v>12</v>
      </c>
      <c r="I1440" s="2" t="s">
        <v>12</v>
      </c>
      <c r="J1440" s="2" t="s">
        <v>12</v>
      </c>
      <c r="K1440" s="2" t="s">
        <v>12</v>
      </c>
    </row>
    <row r="1441" spans="1:11" ht="12.5" x14ac:dyDescent="0.25">
      <c r="A1441" s="3" t="e">
        <f ca="1"/>
        <v>#NAME?</v>
      </c>
      <c r="B1441" s="2" t="s">
        <v>12</v>
      </c>
      <c r="C1441" s="2" t="s">
        <v>12</v>
      </c>
      <c r="D1441" s="2" t="s">
        <v>12</v>
      </c>
      <c r="E1441" s="2" t="s">
        <v>12</v>
      </c>
      <c r="F1441" s="2" t="s">
        <v>12</v>
      </c>
      <c r="G1441" s="2" t="s">
        <v>12</v>
      </c>
      <c r="H1441" s="2" t="s">
        <v>12</v>
      </c>
      <c r="I1441" s="2" t="s">
        <v>12</v>
      </c>
      <c r="J1441" s="2" t="s">
        <v>12</v>
      </c>
      <c r="K1441" s="2" t="s">
        <v>12</v>
      </c>
    </row>
    <row r="1442" spans="1:11" ht="12.5" x14ac:dyDescent="0.25">
      <c r="A1442" s="3" t="e">
        <f ca="1"/>
        <v>#NAME?</v>
      </c>
      <c r="B1442" s="2" t="s">
        <v>12</v>
      </c>
      <c r="C1442" s="2" t="s">
        <v>12</v>
      </c>
      <c r="D1442" s="2" t="s">
        <v>12</v>
      </c>
      <c r="E1442" s="2" t="s">
        <v>12</v>
      </c>
      <c r="F1442" s="2" t="s">
        <v>12</v>
      </c>
      <c r="G1442" s="2" t="s">
        <v>12</v>
      </c>
      <c r="H1442" s="2" t="s">
        <v>12</v>
      </c>
      <c r="I1442" s="2" t="s">
        <v>12</v>
      </c>
      <c r="J1442" s="2" t="s">
        <v>12</v>
      </c>
      <c r="K1442" s="2" t="s">
        <v>12</v>
      </c>
    </row>
    <row r="1443" spans="1:11" ht="12.5" x14ac:dyDescent="0.25">
      <c r="A1443" s="3" t="e">
        <f ca="1"/>
        <v>#NAME?</v>
      </c>
      <c r="B1443" s="2" t="s">
        <v>12</v>
      </c>
      <c r="C1443" s="2" t="s">
        <v>12</v>
      </c>
      <c r="D1443" s="2" t="s">
        <v>12</v>
      </c>
      <c r="E1443" s="2" t="s">
        <v>12</v>
      </c>
      <c r="F1443" s="2" t="s">
        <v>12</v>
      </c>
      <c r="G1443" s="2" t="s">
        <v>12</v>
      </c>
      <c r="H1443" s="2" t="s">
        <v>12</v>
      </c>
      <c r="I1443" s="2" t="s">
        <v>12</v>
      </c>
      <c r="J1443" s="2" t="s">
        <v>12</v>
      </c>
      <c r="K1443" s="2" t="s">
        <v>12</v>
      </c>
    </row>
    <row r="1444" spans="1:11" ht="12.5" x14ac:dyDescent="0.25">
      <c r="A1444" s="3" t="e">
        <f ca="1"/>
        <v>#NAME?</v>
      </c>
      <c r="B1444" s="2" t="s">
        <v>12</v>
      </c>
      <c r="C1444" s="2" t="s">
        <v>12</v>
      </c>
      <c r="D1444" s="2" t="s">
        <v>12</v>
      </c>
      <c r="E1444" s="2" t="s">
        <v>12</v>
      </c>
      <c r="F1444" s="2" t="s">
        <v>12</v>
      </c>
      <c r="G1444" s="2" t="s">
        <v>12</v>
      </c>
      <c r="H1444" s="2" t="s">
        <v>12</v>
      </c>
      <c r="I1444" s="2" t="s">
        <v>12</v>
      </c>
      <c r="J1444" s="2" t="s">
        <v>12</v>
      </c>
      <c r="K1444" s="2" t="s">
        <v>12</v>
      </c>
    </row>
    <row r="1445" spans="1:11" ht="12.5" x14ac:dyDescent="0.25">
      <c r="A1445" s="3" t="e">
        <f ca="1"/>
        <v>#NAME?</v>
      </c>
      <c r="B1445" s="2" t="s">
        <v>12</v>
      </c>
      <c r="C1445" s="2" t="s">
        <v>12</v>
      </c>
      <c r="D1445" s="2" t="s">
        <v>12</v>
      </c>
      <c r="E1445" s="2" t="s">
        <v>12</v>
      </c>
      <c r="F1445" s="2" t="s">
        <v>12</v>
      </c>
      <c r="G1445" s="2" t="s">
        <v>12</v>
      </c>
      <c r="H1445" s="2" t="s">
        <v>12</v>
      </c>
      <c r="I1445" s="2" t="s">
        <v>12</v>
      </c>
      <c r="J1445" s="2" t="s">
        <v>12</v>
      </c>
      <c r="K1445" s="2" t="s">
        <v>12</v>
      </c>
    </row>
    <row r="1446" spans="1:11" ht="12.5" x14ac:dyDescent="0.25">
      <c r="A1446" s="3" t="e">
        <f ca="1"/>
        <v>#NAME?</v>
      </c>
      <c r="B1446" s="2" t="s">
        <v>12</v>
      </c>
      <c r="C1446" s="2" t="s">
        <v>12</v>
      </c>
      <c r="D1446" s="2" t="s">
        <v>12</v>
      </c>
      <c r="E1446" s="2" t="s">
        <v>12</v>
      </c>
      <c r="F1446" s="2" t="s">
        <v>12</v>
      </c>
      <c r="G1446" s="2" t="s">
        <v>12</v>
      </c>
      <c r="H1446" s="2" t="s">
        <v>12</v>
      </c>
      <c r="I1446" s="2" t="s">
        <v>12</v>
      </c>
      <c r="J1446" s="2" t="s">
        <v>12</v>
      </c>
      <c r="K1446" s="2" t="s">
        <v>12</v>
      </c>
    </row>
    <row r="1447" spans="1:11" ht="12.5" x14ac:dyDescent="0.25">
      <c r="A1447" s="3" t="e">
        <f ca="1"/>
        <v>#NAME?</v>
      </c>
      <c r="B1447" s="2" t="s">
        <v>12</v>
      </c>
      <c r="C1447" s="2" t="s">
        <v>12</v>
      </c>
      <c r="D1447" s="2" t="s">
        <v>12</v>
      </c>
      <c r="E1447" s="2" t="s">
        <v>12</v>
      </c>
      <c r="F1447" s="2" t="s">
        <v>12</v>
      </c>
      <c r="G1447" s="2" t="s">
        <v>12</v>
      </c>
      <c r="H1447" s="2" t="s">
        <v>12</v>
      </c>
      <c r="I1447" s="2" t="s">
        <v>12</v>
      </c>
      <c r="J1447" s="2" t="s">
        <v>12</v>
      </c>
      <c r="K1447" s="2" t="s">
        <v>12</v>
      </c>
    </row>
    <row r="1448" spans="1:11" ht="12.5" x14ac:dyDescent="0.25">
      <c r="A1448" s="3" t="e">
        <f ca="1"/>
        <v>#NAME?</v>
      </c>
      <c r="B1448" s="2" t="s">
        <v>12</v>
      </c>
      <c r="C1448" s="2" t="s">
        <v>12</v>
      </c>
      <c r="D1448" s="2" t="s">
        <v>12</v>
      </c>
      <c r="E1448" s="2" t="s">
        <v>12</v>
      </c>
      <c r="F1448" s="2" t="s">
        <v>12</v>
      </c>
      <c r="G1448" s="2" t="s">
        <v>12</v>
      </c>
      <c r="H1448" s="2" t="s">
        <v>12</v>
      </c>
      <c r="I1448" s="2" t="s">
        <v>12</v>
      </c>
      <c r="J1448" s="2" t="s">
        <v>12</v>
      </c>
      <c r="K1448" s="2" t="s">
        <v>12</v>
      </c>
    </row>
    <row r="1449" spans="1:11" ht="12.5" x14ac:dyDescent="0.25">
      <c r="A1449" s="3" t="e">
        <f ca="1"/>
        <v>#NAME?</v>
      </c>
      <c r="B1449" s="2" t="s">
        <v>12</v>
      </c>
      <c r="C1449" s="2" t="s">
        <v>12</v>
      </c>
      <c r="D1449" s="2" t="s">
        <v>12</v>
      </c>
      <c r="E1449" s="2" t="s">
        <v>12</v>
      </c>
      <c r="F1449" s="2" t="s">
        <v>12</v>
      </c>
      <c r="G1449" s="2" t="s">
        <v>12</v>
      </c>
      <c r="H1449" s="2" t="s">
        <v>12</v>
      </c>
      <c r="I1449" s="2" t="s">
        <v>12</v>
      </c>
      <c r="J1449" s="2" t="s">
        <v>12</v>
      </c>
      <c r="K1449" s="2" t="s">
        <v>12</v>
      </c>
    </row>
    <row r="1450" spans="1:11" ht="12.5" x14ac:dyDescent="0.25">
      <c r="A1450" s="3" t="e">
        <f ca="1"/>
        <v>#NAME?</v>
      </c>
      <c r="B1450" s="2" t="s">
        <v>12</v>
      </c>
      <c r="C1450" s="2" t="s">
        <v>12</v>
      </c>
      <c r="D1450" s="2" t="s">
        <v>12</v>
      </c>
      <c r="E1450" s="2" t="s">
        <v>12</v>
      </c>
      <c r="F1450" s="2" t="s">
        <v>12</v>
      </c>
      <c r="G1450" s="2" t="s">
        <v>12</v>
      </c>
      <c r="H1450" s="2" t="s">
        <v>12</v>
      </c>
      <c r="I1450" s="2" t="s">
        <v>12</v>
      </c>
      <c r="J1450" s="2" t="s">
        <v>12</v>
      </c>
      <c r="K1450" s="2" t="s">
        <v>12</v>
      </c>
    </row>
    <row r="1451" spans="1:11" ht="12.5" x14ac:dyDescent="0.25">
      <c r="A1451" s="3" t="e">
        <f ca="1"/>
        <v>#NAME?</v>
      </c>
      <c r="B1451" s="2" t="s">
        <v>12</v>
      </c>
      <c r="C1451" s="2" t="s">
        <v>12</v>
      </c>
      <c r="D1451" s="2" t="s">
        <v>12</v>
      </c>
      <c r="E1451" s="2" t="s">
        <v>12</v>
      </c>
      <c r="F1451" s="2" t="s">
        <v>12</v>
      </c>
      <c r="G1451" s="2" t="s">
        <v>12</v>
      </c>
      <c r="H1451" s="2" t="s">
        <v>12</v>
      </c>
      <c r="I1451" s="2" t="s">
        <v>12</v>
      </c>
      <c r="J1451" s="2" t="s">
        <v>12</v>
      </c>
      <c r="K1451" s="2" t="s">
        <v>12</v>
      </c>
    </row>
    <row r="1452" spans="1:11" ht="12.5" x14ac:dyDescent="0.25">
      <c r="A1452" s="3" t="e">
        <f ca="1"/>
        <v>#NAME?</v>
      </c>
      <c r="B1452" s="2" t="s">
        <v>12</v>
      </c>
      <c r="C1452" s="2" t="s">
        <v>12</v>
      </c>
      <c r="D1452" s="2" t="s">
        <v>12</v>
      </c>
      <c r="E1452" s="2" t="s">
        <v>12</v>
      </c>
      <c r="F1452" s="2" t="s">
        <v>12</v>
      </c>
      <c r="G1452" s="2" t="s">
        <v>12</v>
      </c>
      <c r="H1452" s="2" t="s">
        <v>12</v>
      </c>
      <c r="I1452" s="2" t="s">
        <v>12</v>
      </c>
      <c r="J1452" s="2" t="s">
        <v>12</v>
      </c>
      <c r="K1452" s="2" t="s">
        <v>12</v>
      </c>
    </row>
    <row r="1453" spans="1:11" ht="12.5" x14ac:dyDescent="0.25">
      <c r="A1453" s="3" t="e">
        <f ca="1"/>
        <v>#NAME?</v>
      </c>
      <c r="B1453" s="2" t="s">
        <v>12</v>
      </c>
      <c r="C1453" s="2" t="s">
        <v>12</v>
      </c>
      <c r="D1453" s="2" t="s">
        <v>12</v>
      </c>
      <c r="E1453" s="2" t="s">
        <v>12</v>
      </c>
      <c r="F1453" s="2" t="s">
        <v>12</v>
      </c>
      <c r="G1453" s="2" t="s">
        <v>12</v>
      </c>
      <c r="H1453" s="2" t="s">
        <v>12</v>
      </c>
      <c r="I1453" s="2" t="s">
        <v>12</v>
      </c>
      <c r="J1453" s="2" t="s">
        <v>12</v>
      </c>
      <c r="K1453" s="2" t="s">
        <v>12</v>
      </c>
    </row>
    <row r="1454" spans="1:11" ht="12.5" x14ac:dyDescent="0.25">
      <c r="A1454" s="3" t="e">
        <f ca="1"/>
        <v>#NAME?</v>
      </c>
      <c r="B1454" s="2" t="s">
        <v>12</v>
      </c>
      <c r="C1454" s="2" t="s">
        <v>12</v>
      </c>
      <c r="D1454" s="2" t="s">
        <v>12</v>
      </c>
      <c r="E1454" s="2" t="s">
        <v>12</v>
      </c>
      <c r="F1454" s="2" t="s">
        <v>12</v>
      </c>
      <c r="G1454" s="2" t="s">
        <v>12</v>
      </c>
      <c r="H1454" s="2" t="s">
        <v>12</v>
      </c>
      <c r="I1454" s="2" t="s">
        <v>12</v>
      </c>
      <c r="J1454" s="2" t="s">
        <v>12</v>
      </c>
      <c r="K1454" s="2" t="s">
        <v>12</v>
      </c>
    </row>
    <row r="1455" spans="1:11" ht="12.5" x14ac:dyDescent="0.25">
      <c r="A1455" s="3" t="e">
        <f ca="1"/>
        <v>#NAME?</v>
      </c>
      <c r="B1455" s="2" t="s">
        <v>12</v>
      </c>
      <c r="C1455" s="2" t="s">
        <v>12</v>
      </c>
      <c r="D1455" s="2" t="s">
        <v>12</v>
      </c>
      <c r="E1455" s="2" t="s">
        <v>12</v>
      </c>
      <c r="F1455" s="2" t="s">
        <v>12</v>
      </c>
      <c r="G1455" s="2" t="s">
        <v>12</v>
      </c>
      <c r="H1455" s="2" t="s">
        <v>12</v>
      </c>
      <c r="I1455" s="2" t="s">
        <v>12</v>
      </c>
      <c r="J1455" s="2" t="s">
        <v>12</v>
      </c>
      <c r="K1455" s="2" t="s">
        <v>12</v>
      </c>
    </row>
    <row r="1456" spans="1:11" ht="12.5" x14ac:dyDescent="0.25">
      <c r="A1456" s="3" t="e">
        <f ca="1"/>
        <v>#NAME?</v>
      </c>
      <c r="B1456" s="2" t="s">
        <v>12</v>
      </c>
      <c r="C1456" s="2" t="s">
        <v>12</v>
      </c>
      <c r="D1456" s="2" t="s">
        <v>12</v>
      </c>
      <c r="E1456" s="2" t="s">
        <v>12</v>
      </c>
      <c r="F1456" s="2" t="s">
        <v>12</v>
      </c>
      <c r="G1456" s="2" t="s">
        <v>12</v>
      </c>
      <c r="H1456" s="2" t="s">
        <v>12</v>
      </c>
      <c r="I1456" s="2" t="s">
        <v>12</v>
      </c>
      <c r="J1456" s="2" t="s">
        <v>12</v>
      </c>
      <c r="K1456" s="2" t="s">
        <v>12</v>
      </c>
    </row>
    <row r="1457" spans="1:11" ht="12.5" x14ac:dyDescent="0.25">
      <c r="A1457" s="3" t="e">
        <f ca="1"/>
        <v>#NAME?</v>
      </c>
      <c r="B1457" s="2" t="s">
        <v>12</v>
      </c>
      <c r="C1457" s="2" t="s">
        <v>12</v>
      </c>
      <c r="D1457" s="2" t="s">
        <v>12</v>
      </c>
      <c r="E1457" s="2" t="s">
        <v>12</v>
      </c>
      <c r="F1457" s="2" t="s">
        <v>12</v>
      </c>
      <c r="G1457" s="2" t="s">
        <v>12</v>
      </c>
      <c r="H1457" s="2" t="s">
        <v>12</v>
      </c>
      <c r="I1457" s="2" t="s">
        <v>12</v>
      </c>
      <c r="J1457" s="2" t="s">
        <v>12</v>
      </c>
      <c r="K1457" s="2" t="s">
        <v>12</v>
      </c>
    </row>
    <row r="1458" spans="1:11" ht="12.5" x14ac:dyDescent="0.25">
      <c r="A1458" s="3" t="e">
        <f ca="1"/>
        <v>#NAME?</v>
      </c>
      <c r="B1458" s="2" t="s">
        <v>12</v>
      </c>
      <c r="C1458" s="2" t="s">
        <v>12</v>
      </c>
      <c r="D1458" s="2" t="s">
        <v>12</v>
      </c>
      <c r="E1458" s="2" t="s">
        <v>12</v>
      </c>
      <c r="F1458" s="2" t="s">
        <v>12</v>
      </c>
      <c r="G1458" s="2" t="s">
        <v>12</v>
      </c>
      <c r="H1458" s="2" t="s">
        <v>12</v>
      </c>
      <c r="I1458" s="2" t="s">
        <v>12</v>
      </c>
      <c r="J1458" s="2" t="s">
        <v>12</v>
      </c>
      <c r="K1458" s="2" t="s">
        <v>12</v>
      </c>
    </row>
    <row r="1459" spans="1:11" ht="12.5" x14ac:dyDescent="0.25">
      <c r="A1459" s="3" t="e">
        <f ca="1"/>
        <v>#NAME?</v>
      </c>
      <c r="B1459" s="2" t="s">
        <v>12</v>
      </c>
      <c r="C1459" s="2" t="s">
        <v>12</v>
      </c>
      <c r="D1459" s="2" t="s">
        <v>12</v>
      </c>
      <c r="E1459" s="2" t="s">
        <v>12</v>
      </c>
      <c r="F1459" s="2" t="s">
        <v>12</v>
      </c>
      <c r="G1459" s="2" t="s">
        <v>12</v>
      </c>
      <c r="H1459" s="2" t="s">
        <v>12</v>
      </c>
      <c r="I1459" s="2" t="s">
        <v>12</v>
      </c>
      <c r="J1459" s="2" t="s">
        <v>12</v>
      </c>
      <c r="K1459" s="2" t="s">
        <v>12</v>
      </c>
    </row>
    <row r="1460" spans="1:11" ht="12.5" x14ac:dyDescent="0.25">
      <c r="A1460" s="3" t="e">
        <f ca="1"/>
        <v>#NAME?</v>
      </c>
      <c r="B1460" s="2" t="s">
        <v>12</v>
      </c>
      <c r="C1460" s="2" t="s">
        <v>12</v>
      </c>
      <c r="D1460" s="2" t="s">
        <v>12</v>
      </c>
      <c r="E1460" s="2" t="s">
        <v>12</v>
      </c>
      <c r="F1460" s="2" t="s">
        <v>12</v>
      </c>
      <c r="G1460" s="2" t="s">
        <v>12</v>
      </c>
      <c r="H1460" s="2" t="s">
        <v>12</v>
      </c>
      <c r="I1460" s="2" t="s">
        <v>12</v>
      </c>
      <c r="J1460" s="2" t="s">
        <v>12</v>
      </c>
      <c r="K1460" s="2" t="s">
        <v>12</v>
      </c>
    </row>
    <row r="1461" spans="1:11" ht="12.5" x14ac:dyDescent="0.25">
      <c r="A1461" s="3" t="e">
        <f ca="1"/>
        <v>#NAME?</v>
      </c>
      <c r="B1461" s="2" t="s">
        <v>12</v>
      </c>
      <c r="C1461" s="2" t="s">
        <v>12</v>
      </c>
      <c r="D1461" s="2" t="s">
        <v>12</v>
      </c>
      <c r="E1461" s="2" t="s">
        <v>12</v>
      </c>
      <c r="F1461" s="2" t="s">
        <v>12</v>
      </c>
      <c r="G1461" s="2" t="s">
        <v>12</v>
      </c>
      <c r="H1461" s="2" t="s">
        <v>12</v>
      </c>
      <c r="I1461" s="2" t="s">
        <v>12</v>
      </c>
      <c r="J1461" s="2" t="s">
        <v>12</v>
      </c>
      <c r="K1461" s="2" t="s">
        <v>12</v>
      </c>
    </row>
    <row r="1462" spans="1:11" ht="12.5" x14ac:dyDescent="0.25">
      <c r="A1462" s="3" t="e">
        <f ca="1"/>
        <v>#NAME?</v>
      </c>
      <c r="B1462" s="2" t="s">
        <v>12</v>
      </c>
      <c r="C1462" s="2" t="s">
        <v>12</v>
      </c>
      <c r="D1462" s="2" t="s">
        <v>12</v>
      </c>
      <c r="E1462" s="2" t="s">
        <v>12</v>
      </c>
      <c r="F1462" s="2" t="s">
        <v>12</v>
      </c>
      <c r="G1462" s="2" t="s">
        <v>12</v>
      </c>
      <c r="H1462" s="2" t="s">
        <v>12</v>
      </c>
      <c r="I1462" s="2" t="s">
        <v>12</v>
      </c>
      <c r="J1462" s="2" t="s">
        <v>12</v>
      </c>
      <c r="K1462" s="2" t="s">
        <v>12</v>
      </c>
    </row>
    <row r="1463" spans="1:11" ht="12.5" x14ac:dyDescent="0.25">
      <c r="A1463" s="3" t="e">
        <f ca="1"/>
        <v>#NAME?</v>
      </c>
      <c r="B1463" s="2" t="s">
        <v>12</v>
      </c>
      <c r="C1463" s="2" t="s">
        <v>12</v>
      </c>
      <c r="D1463" s="2" t="s">
        <v>12</v>
      </c>
      <c r="E1463" s="2" t="s">
        <v>12</v>
      </c>
      <c r="F1463" s="2" t="s">
        <v>12</v>
      </c>
      <c r="G1463" s="2" t="s">
        <v>12</v>
      </c>
      <c r="H1463" s="2" t="s">
        <v>12</v>
      </c>
      <c r="I1463" s="2" t="s">
        <v>12</v>
      </c>
      <c r="J1463" s="2" t="s">
        <v>12</v>
      </c>
      <c r="K1463" s="2" t="s">
        <v>12</v>
      </c>
    </row>
    <row r="1464" spans="1:11" ht="12.5" x14ac:dyDescent="0.25">
      <c r="A1464" s="3" t="e">
        <f ca="1"/>
        <v>#NAME?</v>
      </c>
      <c r="B1464" s="2" t="s">
        <v>12</v>
      </c>
      <c r="C1464" s="2" t="s">
        <v>12</v>
      </c>
      <c r="D1464" s="2" t="s">
        <v>12</v>
      </c>
      <c r="E1464" s="2" t="s">
        <v>12</v>
      </c>
      <c r="F1464" s="2" t="s">
        <v>12</v>
      </c>
      <c r="G1464" s="2" t="s">
        <v>12</v>
      </c>
      <c r="H1464" s="2" t="s">
        <v>12</v>
      </c>
      <c r="I1464" s="2" t="s">
        <v>12</v>
      </c>
      <c r="J1464" s="2" t="s">
        <v>12</v>
      </c>
      <c r="K1464" s="2" t="s">
        <v>12</v>
      </c>
    </row>
    <row r="1465" spans="1:11" ht="12.5" x14ac:dyDescent="0.25">
      <c r="A1465" s="3" t="e">
        <f ca="1"/>
        <v>#NAME?</v>
      </c>
      <c r="B1465" s="2" t="s">
        <v>12</v>
      </c>
      <c r="C1465" s="2" t="s">
        <v>12</v>
      </c>
      <c r="D1465" s="2" t="s">
        <v>12</v>
      </c>
      <c r="E1465" s="2" t="s">
        <v>12</v>
      </c>
      <c r="F1465" s="2" t="s">
        <v>12</v>
      </c>
      <c r="G1465" s="2" t="s">
        <v>12</v>
      </c>
      <c r="H1465" s="2" t="s">
        <v>12</v>
      </c>
      <c r="I1465" s="2" t="s">
        <v>12</v>
      </c>
      <c r="J1465" s="2" t="s">
        <v>12</v>
      </c>
      <c r="K1465" s="2" t="s">
        <v>12</v>
      </c>
    </row>
    <row r="1466" spans="1:11" ht="12.5" x14ac:dyDescent="0.25">
      <c r="A1466" s="3" t="e">
        <f ca="1"/>
        <v>#NAME?</v>
      </c>
      <c r="B1466" s="2" t="s">
        <v>12</v>
      </c>
      <c r="C1466" s="2" t="s">
        <v>12</v>
      </c>
      <c r="D1466" s="2" t="s">
        <v>12</v>
      </c>
      <c r="E1466" s="2" t="s">
        <v>12</v>
      </c>
      <c r="F1466" s="2" t="s">
        <v>12</v>
      </c>
      <c r="G1466" s="2" t="s">
        <v>12</v>
      </c>
      <c r="H1466" s="2" t="s">
        <v>12</v>
      </c>
      <c r="I1466" s="2" t="s">
        <v>12</v>
      </c>
      <c r="J1466" s="2" t="s">
        <v>12</v>
      </c>
      <c r="K1466" s="2" t="s">
        <v>12</v>
      </c>
    </row>
    <row r="1467" spans="1:11" ht="12.5" x14ac:dyDescent="0.25">
      <c r="A1467" s="3" t="e">
        <f ca="1"/>
        <v>#NAME?</v>
      </c>
      <c r="B1467" s="2" t="s">
        <v>12</v>
      </c>
      <c r="C1467" s="2" t="s">
        <v>12</v>
      </c>
      <c r="D1467" s="2" t="s">
        <v>12</v>
      </c>
      <c r="E1467" s="2" t="s">
        <v>12</v>
      </c>
      <c r="F1467" s="2" t="s">
        <v>12</v>
      </c>
      <c r="G1467" s="2" t="s">
        <v>12</v>
      </c>
      <c r="H1467" s="2" t="s">
        <v>12</v>
      </c>
      <c r="I1467" s="2" t="s">
        <v>12</v>
      </c>
      <c r="J1467" s="2" t="s">
        <v>12</v>
      </c>
      <c r="K1467" s="2" t="s">
        <v>12</v>
      </c>
    </row>
    <row r="1468" spans="1:11" ht="12.5" x14ac:dyDescent="0.25">
      <c r="A1468" s="3" t="e">
        <f ca="1"/>
        <v>#NAME?</v>
      </c>
      <c r="B1468" s="2" t="s">
        <v>12</v>
      </c>
      <c r="C1468" s="2" t="s">
        <v>12</v>
      </c>
      <c r="D1468" s="2" t="s">
        <v>12</v>
      </c>
      <c r="E1468" s="2" t="s">
        <v>12</v>
      </c>
      <c r="F1468" s="2" t="s">
        <v>12</v>
      </c>
      <c r="G1468" s="2" t="s">
        <v>12</v>
      </c>
      <c r="H1468" s="2" t="s">
        <v>12</v>
      </c>
      <c r="I1468" s="2" t="s">
        <v>12</v>
      </c>
      <c r="J1468" s="2" t="s">
        <v>12</v>
      </c>
      <c r="K1468" s="2" t="s">
        <v>12</v>
      </c>
    </row>
    <row r="1469" spans="1:11" ht="12.5" x14ac:dyDescent="0.25">
      <c r="A1469" s="3" t="e">
        <f ca="1"/>
        <v>#NAME?</v>
      </c>
      <c r="B1469" s="2" t="s">
        <v>12</v>
      </c>
      <c r="C1469" s="2" t="s">
        <v>12</v>
      </c>
      <c r="D1469" s="2" t="s">
        <v>12</v>
      </c>
      <c r="E1469" s="2" t="s">
        <v>12</v>
      </c>
      <c r="F1469" s="2" t="s">
        <v>12</v>
      </c>
      <c r="G1469" s="2" t="s">
        <v>12</v>
      </c>
      <c r="H1469" s="2" t="s">
        <v>12</v>
      </c>
      <c r="I1469" s="2" t="s">
        <v>12</v>
      </c>
      <c r="J1469" s="2" t="s">
        <v>12</v>
      </c>
      <c r="K1469" s="2" t="s">
        <v>12</v>
      </c>
    </row>
    <row r="1470" spans="1:11" ht="12.5" x14ac:dyDescent="0.25">
      <c r="A1470" s="3" t="e">
        <f ca="1"/>
        <v>#NAME?</v>
      </c>
      <c r="B1470" s="2" t="s">
        <v>12</v>
      </c>
      <c r="C1470" s="2" t="s">
        <v>12</v>
      </c>
      <c r="D1470" s="2" t="s">
        <v>12</v>
      </c>
      <c r="E1470" s="2" t="s">
        <v>12</v>
      </c>
      <c r="F1470" s="2" t="s">
        <v>12</v>
      </c>
      <c r="G1470" s="2" t="s">
        <v>12</v>
      </c>
      <c r="H1470" s="2" t="s">
        <v>12</v>
      </c>
      <c r="I1470" s="2" t="s">
        <v>12</v>
      </c>
      <c r="J1470" s="2" t="s">
        <v>12</v>
      </c>
      <c r="K1470" s="2" t="s">
        <v>12</v>
      </c>
    </row>
    <row r="1471" spans="1:11" ht="12.5" x14ac:dyDescent="0.25">
      <c r="A1471" s="3" t="e">
        <f ca="1"/>
        <v>#NAME?</v>
      </c>
      <c r="B1471" s="2" t="s">
        <v>12</v>
      </c>
      <c r="C1471" s="2" t="s">
        <v>12</v>
      </c>
      <c r="D1471" s="2" t="s">
        <v>12</v>
      </c>
      <c r="E1471" s="2" t="s">
        <v>12</v>
      </c>
      <c r="F1471" s="2" t="s">
        <v>12</v>
      </c>
      <c r="G1471" s="2" t="s">
        <v>12</v>
      </c>
      <c r="H1471" s="2" t="s">
        <v>12</v>
      </c>
      <c r="I1471" s="2" t="s">
        <v>12</v>
      </c>
      <c r="J1471" s="2" t="s">
        <v>12</v>
      </c>
      <c r="K1471" s="2" t="s">
        <v>12</v>
      </c>
    </row>
    <row r="1472" spans="1:11" ht="12.5" x14ac:dyDescent="0.25">
      <c r="A1472" s="3" t="e">
        <f ca="1"/>
        <v>#NAME?</v>
      </c>
      <c r="B1472" s="2" t="s">
        <v>12</v>
      </c>
      <c r="C1472" s="2" t="s">
        <v>12</v>
      </c>
      <c r="D1472" s="2" t="s">
        <v>12</v>
      </c>
      <c r="E1472" s="2" t="s">
        <v>12</v>
      </c>
      <c r="F1472" s="2" t="s">
        <v>12</v>
      </c>
      <c r="G1472" s="2" t="s">
        <v>12</v>
      </c>
      <c r="H1472" s="2" t="s">
        <v>12</v>
      </c>
      <c r="I1472" s="2" t="s">
        <v>12</v>
      </c>
      <c r="J1472" s="2" t="s">
        <v>12</v>
      </c>
      <c r="K1472" s="2" t="s">
        <v>12</v>
      </c>
    </row>
    <row r="1473" spans="1:11" ht="12.5" x14ac:dyDescent="0.25">
      <c r="A1473" s="3" t="e">
        <f ca="1"/>
        <v>#NAME?</v>
      </c>
      <c r="B1473" s="2" t="s">
        <v>12</v>
      </c>
      <c r="C1473" s="2" t="s">
        <v>12</v>
      </c>
      <c r="D1473" s="2" t="s">
        <v>12</v>
      </c>
      <c r="E1473" s="2" t="s">
        <v>12</v>
      </c>
      <c r="F1473" s="2" t="s">
        <v>12</v>
      </c>
      <c r="G1473" s="2" t="s">
        <v>12</v>
      </c>
      <c r="H1473" s="2" t="s">
        <v>12</v>
      </c>
      <c r="I1473" s="2" t="s">
        <v>12</v>
      </c>
      <c r="J1473" s="2" t="s">
        <v>12</v>
      </c>
      <c r="K1473" s="2" t="s">
        <v>12</v>
      </c>
    </row>
    <row r="1474" spans="1:11" ht="12.5" x14ac:dyDescent="0.25">
      <c r="A1474" s="3" t="e">
        <f ca="1"/>
        <v>#NAME?</v>
      </c>
      <c r="B1474" s="2" t="s">
        <v>12</v>
      </c>
      <c r="C1474" s="2" t="s">
        <v>12</v>
      </c>
      <c r="D1474" s="2" t="s">
        <v>12</v>
      </c>
      <c r="E1474" s="2" t="s">
        <v>12</v>
      </c>
      <c r="F1474" s="2" t="s">
        <v>12</v>
      </c>
      <c r="G1474" s="2" t="s">
        <v>12</v>
      </c>
      <c r="H1474" s="2" t="s">
        <v>12</v>
      </c>
      <c r="I1474" s="2" t="s">
        <v>12</v>
      </c>
      <c r="J1474" s="2" t="s">
        <v>12</v>
      </c>
      <c r="K1474" s="2" t="s">
        <v>12</v>
      </c>
    </row>
    <row r="1475" spans="1:11" ht="12.5" x14ac:dyDescent="0.25">
      <c r="A1475" s="3" t="e">
        <f ca="1"/>
        <v>#NAME?</v>
      </c>
      <c r="B1475" s="2" t="s">
        <v>12</v>
      </c>
      <c r="C1475" s="2" t="s">
        <v>12</v>
      </c>
      <c r="D1475" s="2" t="s">
        <v>12</v>
      </c>
      <c r="E1475" s="2" t="s">
        <v>12</v>
      </c>
      <c r="F1475" s="2" t="s">
        <v>12</v>
      </c>
      <c r="G1475" s="2" t="s">
        <v>12</v>
      </c>
      <c r="H1475" s="2" t="s">
        <v>12</v>
      </c>
      <c r="I1475" s="2" t="s">
        <v>12</v>
      </c>
      <c r="J1475" s="2" t="s">
        <v>12</v>
      </c>
      <c r="K1475" s="2" t="s">
        <v>12</v>
      </c>
    </row>
    <row r="1476" spans="1:11" ht="12.5" x14ac:dyDescent="0.25">
      <c r="A1476" s="3" t="e">
        <f ca="1"/>
        <v>#NAME?</v>
      </c>
      <c r="B1476" s="2" t="s">
        <v>12</v>
      </c>
      <c r="C1476" s="2" t="s">
        <v>12</v>
      </c>
      <c r="D1476" s="2" t="s">
        <v>12</v>
      </c>
      <c r="E1476" s="2" t="s">
        <v>12</v>
      </c>
      <c r="F1476" s="2" t="s">
        <v>12</v>
      </c>
      <c r="G1476" s="2" t="s">
        <v>12</v>
      </c>
      <c r="H1476" s="2" t="s">
        <v>12</v>
      </c>
      <c r="I1476" s="2" t="s">
        <v>12</v>
      </c>
      <c r="J1476" s="2" t="s">
        <v>12</v>
      </c>
      <c r="K1476" s="2" t="s">
        <v>12</v>
      </c>
    </row>
    <row r="1477" spans="1:11" ht="12.5" x14ac:dyDescent="0.25">
      <c r="A1477" s="3" t="e">
        <f ca="1"/>
        <v>#NAME?</v>
      </c>
      <c r="B1477" s="2" t="s">
        <v>12</v>
      </c>
      <c r="C1477" s="2" t="s">
        <v>12</v>
      </c>
      <c r="D1477" s="2" t="s">
        <v>12</v>
      </c>
      <c r="E1477" s="2" t="s">
        <v>12</v>
      </c>
      <c r="F1477" s="2" t="s">
        <v>12</v>
      </c>
      <c r="G1477" s="2" t="s">
        <v>12</v>
      </c>
      <c r="H1477" s="2" t="s">
        <v>12</v>
      </c>
      <c r="I1477" s="2" t="s">
        <v>12</v>
      </c>
      <c r="J1477" s="2" t="s">
        <v>12</v>
      </c>
      <c r="K1477" s="2" t="s">
        <v>12</v>
      </c>
    </row>
    <row r="1478" spans="1:11" ht="12.5" x14ac:dyDescent="0.25">
      <c r="A1478" s="3" t="e">
        <f ca="1"/>
        <v>#NAME?</v>
      </c>
      <c r="B1478" s="2" t="s">
        <v>12</v>
      </c>
      <c r="C1478" s="2" t="s">
        <v>12</v>
      </c>
      <c r="D1478" s="2" t="s">
        <v>12</v>
      </c>
      <c r="E1478" s="2" t="s">
        <v>12</v>
      </c>
      <c r="F1478" s="2" t="s">
        <v>12</v>
      </c>
      <c r="G1478" s="2" t="s">
        <v>12</v>
      </c>
      <c r="H1478" s="2" t="s">
        <v>12</v>
      </c>
      <c r="I1478" s="2" t="s">
        <v>12</v>
      </c>
      <c r="J1478" s="2" t="s">
        <v>12</v>
      </c>
      <c r="K1478" s="2" t="s">
        <v>12</v>
      </c>
    </row>
    <row r="1479" spans="1:11" ht="12.5" x14ac:dyDescent="0.25">
      <c r="A1479" s="3" t="e">
        <f ca="1"/>
        <v>#NAME?</v>
      </c>
      <c r="B1479" s="2" t="s">
        <v>12</v>
      </c>
      <c r="C1479" s="2" t="s">
        <v>12</v>
      </c>
      <c r="D1479" s="2" t="s">
        <v>12</v>
      </c>
      <c r="E1479" s="2" t="s">
        <v>12</v>
      </c>
      <c r="F1479" s="2" t="s">
        <v>12</v>
      </c>
      <c r="G1479" s="2" t="s">
        <v>12</v>
      </c>
      <c r="H1479" s="2" t="s">
        <v>12</v>
      </c>
      <c r="I1479" s="2" t="s">
        <v>12</v>
      </c>
      <c r="J1479" s="2" t="s">
        <v>12</v>
      </c>
      <c r="K1479" s="2" t="s">
        <v>12</v>
      </c>
    </row>
    <row r="1480" spans="1:11" ht="12.5" x14ac:dyDescent="0.25">
      <c r="A1480" s="3" t="e">
        <f ca="1"/>
        <v>#NAME?</v>
      </c>
      <c r="B1480" s="2" t="s">
        <v>12</v>
      </c>
      <c r="C1480" s="2" t="s">
        <v>12</v>
      </c>
      <c r="D1480" s="2" t="s">
        <v>12</v>
      </c>
      <c r="E1480" s="2" t="s">
        <v>12</v>
      </c>
      <c r="F1480" s="2" t="s">
        <v>12</v>
      </c>
      <c r="G1480" s="2" t="s">
        <v>12</v>
      </c>
      <c r="H1480" s="2" t="s">
        <v>12</v>
      </c>
      <c r="I1480" s="2" t="s">
        <v>12</v>
      </c>
      <c r="J1480" s="2" t="s">
        <v>12</v>
      </c>
      <c r="K1480" s="2" t="s">
        <v>12</v>
      </c>
    </row>
    <row r="1481" spans="1:11" ht="12.5" x14ac:dyDescent="0.25">
      <c r="A1481" s="3" t="e">
        <f ca="1"/>
        <v>#NAME?</v>
      </c>
      <c r="B1481" s="2" t="s">
        <v>12</v>
      </c>
      <c r="C1481" s="2" t="s">
        <v>12</v>
      </c>
      <c r="D1481" s="2" t="s">
        <v>12</v>
      </c>
      <c r="E1481" s="2" t="s">
        <v>12</v>
      </c>
      <c r="F1481" s="2" t="s">
        <v>12</v>
      </c>
      <c r="G1481" s="2" t="s">
        <v>12</v>
      </c>
      <c r="H1481" s="2" t="s">
        <v>12</v>
      </c>
      <c r="I1481" s="2" t="s">
        <v>12</v>
      </c>
      <c r="J1481" s="2" t="s">
        <v>12</v>
      </c>
      <c r="K1481" s="2" t="s">
        <v>12</v>
      </c>
    </row>
    <row r="1482" spans="1:11" ht="12.5" x14ac:dyDescent="0.25">
      <c r="A1482" s="3" t="e">
        <f ca="1"/>
        <v>#NAME?</v>
      </c>
      <c r="B1482" s="2" t="s">
        <v>12</v>
      </c>
      <c r="C1482" s="2" t="s">
        <v>12</v>
      </c>
      <c r="D1482" s="2" t="s">
        <v>12</v>
      </c>
      <c r="E1482" s="2" t="s">
        <v>12</v>
      </c>
      <c r="F1482" s="2" t="s">
        <v>12</v>
      </c>
      <c r="G1482" s="2" t="s">
        <v>12</v>
      </c>
      <c r="H1482" s="2" t="s">
        <v>12</v>
      </c>
      <c r="I1482" s="2" t="s">
        <v>12</v>
      </c>
      <c r="J1482" s="2" t="s">
        <v>12</v>
      </c>
      <c r="K1482" s="2" t="s">
        <v>12</v>
      </c>
    </row>
    <row r="1483" spans="1:11" ht="12.5" x14ac:dyDescent="0.25">
      <c r="A1483" s="3" t="e">
        <f ca="1"/>
        <v>#NAME?</v>
      </c>
      <c r="B1483" s="2" t="s">
        <v>12</v>
      </c>
      <c r="C1483" s="2" t="s">
        <v>12</v>
      </c>
      <c r="D1483" s="2" t="s">
        <v>12</v>
      </c>
      <c r="E1483" s="2" t="s">
        <v>12</v>
      </c>
      <c r="F1483" s="2" t="s">
        <v>12</v>
      </c>
      <c r="G1483" s="2" t="s">
        <v>12</v>
      </c>
      <c r="H1483" s="2" t="s">
        <v>12</v>
      </c>
      <c r="I1483" s="2" t="s">
        <v>12</v>
      </c>
      <c r="J1483" s="2" t="s">
        <v>12</v>
      </c>
      <c r="K1483" s="2" t="s">
        <v>12</v>
      </c>
    </row>
    <row r="1484" spans="1:11" ht="12.5" x14ac:dyDescent="0.25">
      <c r="A1484" s="3" t="e">
        <f ca="1"/>
        <v>#NAME?</v>
      </c>
      <c r="B1484" s="2" t="s">
        <v>12</v>
      </c>
      <c r="C1484" s="2" t="s">
        <v>12</v>
      </c>
      <c r="D1484" s="2" t="s">
        <v>12</v>
      </c>
      <c r="E1484" s="2" t="s">
        <v>12</v>
      </c>
      <c r="F1484" s="2" t="s">
        <v>12</v>
      </c>
      <c r="G1484" s="2" t="s">
        <v>12</v>
      </c>
      <c r="H1484" s="2" t="s">
        <v>12</v>
      </c>
      <c r="I1484" s="2" t="s">
        <v>12</v>
      </c>
      <c r="J1484" s="2" t="s">
        <v>12</v>
      </c>
      <c r="K1484" s="2" t="s">
        <v>12</v>
      </c>
    </row>
    <row r="1485" spans="1:11" ht="12.5" x14ac:dyDescent="0.25">
      <c r="A1485" s="3" t="e">
        <f ca="1"/>
        <v>#NAME?</v>
      </c>
      <c r="B1485" s="2" t="s">
        <v>12</v>
      </c>
      <c r="C1485" s="2" t="s">
        <v>12</v>
      </c>
      <c r="D1485" s="2" t="s">
        <v>12</v>
      </c>
      <c r="E1485" s="2" t="s">
        <v>12</v>
      </c>
      <c r="F1485" s="2" t="s">
        <v>12</v>
      </c>
      <c r="G1485" s="2" t="s">
        <v>12</v>
      </c>
      <c r="H1485" s="2" t="s">
        <v>12</v>
      </c>
      <c r="I1485" s="2" t="s">
        <v>12</v>
      </c>
      <c r="J1485" s="2" t="s">
        <v>12</v>
      </c>
      <c r="K1485" s="2" t="s">
        <v>12</v>
      </c>
    </row>
    <row r="1486" spans="1:11" ht="12.5" x14ac:dyDescent="0.25">
      <c r="A1486" s="3" t="e">
        <f ca="1"/>
        <v>#NAME?</v>
      </c>
      <c r="B1486" s="2" t="s">
        <v>12</v>
      </c>
      <c r="C1486" s="2" t="s">
        <v>12</v>
      </c>
      <c r="D1486" s="2" t="s">
        <v>12</v>
      </c>
      <c r="E1486" s="2" t="s">
        <v>12</v>
      </c>
      <c r="F1486" s="2" t="s">
        <v>12</v>
      </c>
      <c r="G1486" s="2" t="s">
        <v>12</v>
      </c>
      <c r="H1486" s="2" t="s">
        <v>12</v>
      </c>
      <c r="I1486" s="2" t="s">
        <v>12</v>
      </c>
      <c r="J1486" s="2" t="s">
        <v>12</v>
      </c>
      <c r="K1486" s="2" t="s">
        <v>12</v>
      </c>
    </row>
    <row r="1487" spans="1:11" ht="12.5" x14ac:dyDescent="0.25">
      <c r="A1487" s="3" t="e">
        <f ca="1"/>
        <v>#NAME?</v>
      </c>
      <c r="B1487" s="2" t="s">
        <v>12</v>
      </c>
      <c r="C1487" s="2" t="s">
        <v>12</v>
      </c>
      <c r="D1487" s="2" t="s">
        <v>12</v>
      </c>
      <c r="E1487" s="2" t="s">
        <v>12</v>
      </c>
      <c r="F1487" s="2" t="s">
        <v>12</v>
      </c>
      <c r="G1487" s="2" t="s">
        <v>12</v>
      </c>
      <c r="H1487" s="2" t="s">
        <v>12</v>
      </c>
      <c r="I1487" s="2" t="s">
        <v>12</v>
      </c>
      <c r="J1487" s="2" t="s">
        <v>12</v>
      </c>
      <c r="K1487" s="2" t="s">
        <v>12</v>
      </c>
    </row>
    <row r="1488" spans="1:11" ht="12.5" x14ac:dyDescent="0.25">
      <c r="A1488" s="3" t="e">
        <f ca="1"/>
        <v>#NAME?</v>
      </c>
      <c r="B1488" s="2" t="s">
        <v>12</v>
      </c>
      <c r="C1488" s="2" t="s">
        <v>12</v>
      </c>
      <c r="D1488" s="2" t="s">
        <v>12</v>
      </c>
      <c r="E1488" s="2" t="s">
        <v>12</v>
      </c>
      <c r="F1488" s="2" t="s">
        <v>12</v>
      </c>
      <c r="G1488" s="2" t="s">
        <v>12</v>
      </c>
      <c r="H1488" s="2" t="s">
        <v>12</v>
      </c>
      <c r="I1488" s="2" t="s">
        <v>12</v>
      </c>
      <c r="J1488" s="2" t="s">
        <v>12</v>
      </c>
      <c r="K1488" s="2" t="s">
        <v>12</v>
      </c>
    </row>
    <row r="1489" spans="1:11" ht="12.5" x14ac:dyDescent="0.25">
      <c r="A1489" s="3" t="e">
        <f ca="1"/>
        <v>#NAME?</v>
      </c>
      <c r="B1489" s="2" t="s">
        <v>12</v>
      </c>
      <c r="C1489" s="2" t="s">
        <v>12</v>
      </c>
      <c r="D1489" s="2" t="s">
        <v>12</v>
      </c>
      <c r="E1489" s="2" t="s">
        <v>12</v>
      </c>
      <c r="F1489" s="2" t="s">
        <v>12</v>
      </c>
      <c r="G1489" s="2" t="s">
        <v>12</v>
      </c>
      <c r="H1489" s="2" t="s">
        <v>12</v>
      </c>
      <c r="I1489" s="2" t="s">
        <v>12</v>
      </c>
      <c r="J1489" s="2" t="s">
        <v>12</v>
      </c>
      <c r="K1489" s="2" t="s">
        <v>12</v>
      </c>
    </row>
    <row r="1490" spans="1:11" ht="12.5" x14ac:dyDescent="0.25">
      <c r="A1490" s="3" t="e">
        <f ca="1"/>
        <v>#NAME?</v>
      </c>
      <c r="B1490" s="2" t="s">
        <v>12</v>
      </c>
      <c r="C1490" s="2" t="s">
        <v>12</v>
      </c>
      <c r="D1490" s="2" t="s">
        <v>12</v>
      </c>
      <c r="E1490" s="2" t="s">
        <v>12</v>
      </c>
      <c r="F1490" s="2" t="s">
        <v>12</v>
      </c>
      <c r="G1490" s="2" t="s">
        <v>12</v>
      </c>
      <c r="H1490" s="2" t="s">
        <v>12</v>
      </c>
      <c r="I1490" s="2" t="s">
        <v>12</v>
      </c>
      <c r="J1490" s="2" t="s">
        <v>12</v>
      </c>
      <c r="K1490" s="2" t="s">
        <v>12</v>
      </c>
    </row>
    <row r="1491" spans="1:11" ht="12.5" x14ac:dyDescent="0.25">
      <c r="A1491" s="3" t="e">
        <f ca="1"/>
        <v>#NAME?</v>
      </c>
      <c r="B1491" s="2" t="s">
        <v>12</v>
      </c>
      <c r="C1491" s="2" t="s">
        <v>12</v>
      </c>
      <c r="D1491" s="2" t="s">
        <v>12</v>
      </c>
      <c r="E1491" s="2" t="s">
        <v>12</v>
      </c>
      <c r="F1491" s="2" t="s">
        <v>12</v>
      </c>
      <c r="G1491" s="2" t="s">
        <v>12</v>
      </c>
      <c r="H1491" s="2" t="s">
        <v>12</v>
      </c>
      <c r="I1491" s="2" t="s">
        <v>12</v>
      </c>
      <c r="J1491" s="2" t="s">
        <v>12</v>
      </c>
      <c r="K1491" s="2" t="s">
        <v>12</v>
      </c>
    </row>
    <row r="1492" spans="1:11" ht="12.5" x14ac:dyDescent="0.25">
      <c r="A1492" s="3" t="e">
        <f ca="1"/>
        <v>#NAME?</v>
      </c>
      <c r="B1492" s="2" t="s">
        <v>12</v>
      </c>
      <c r="C1492" s="2" t="s">
        <v>12</v>
      </c>
      <c r="D1492" s="2" t="s">
        <v>12</v>
      </c>
      <c r="E1492" s="2" t="s">
        <v>12</v>
      </c>
      <c r="F1492" s="2" t="s">
        <v>12</v>
      </c>
      <c r="G1492" s="2" t="s">
        <v>12</v>
      </c>
      <c r="H1492" s="2" t="s">
        <v>12</v>
      </c>
      <c r="I1492" s="2" t="s">
        <v>12</v>
      </c>
      <c r="J1492" s="2" t="s">
        <v>12</v>
      </c>
      <c r="K1492" s="2" t="s">
        <v>12</v>
      </c>
    </row>
    <row r="1493" spans="1:11" ht="12.5" x14ac:dyDescent="0.25">
      <c r="A1493" s="3" t="e">
        <f ca="1"/>
        <v>#NAME?</v>
      </c>
      <c r="B1493" s="2" t="s">
        <v>12</v>
      </c>
      <c r="C1493" s="2" t="s">
        <v>12</v>
      </c>
      <c r="D1493" s="2" t="s">
        <v>12</v>
      </c>
      <c r="E1493" s="2" t="s">
        <v>12</v>
      </c>
      <c r="F1493" s="2" t="s">
        <v>12</v>
      </c>
      <c r="G1493" s="2" t="s">
        <v>12</v>
      </c>
      <c r="H1493" s="2" t="s">
        <v>12</v>
      </c>
      <c r="I1493" s="2" t="s">
        <v>12</v>
      </c>
      <c r="J1493" s="2" t="s">
        <v>12</v>
      </c>
      <c r="K1493" s="2" t="s">
        <v>12</v>
      </c>
    </row>
    <row r="1494" spans="1:11" ht="12.5" x14ac:dyDescent="0.25">
      <c r="A1494" s="3" t="e">
        <f ca="1"/>
        <v>#NAME?</v>
      </c>
      <c r="B1494" s="2" t="s">
        <v>12</v>
      </c>
      <c r="C1494" s="2" t="s">
        <v>12</v>
      </c>
      <c r="D1494" s="2" t="s">
        <v>12</v>
      </c>
      <c r="E1494" s="2" t="s">
        <v>12</v>
      </c>
      <c r="F1494" s="2" t="s">
        <v>12</v>
      </c>
      <c r="G1494" s="2" t="s">
        <v>12</v>
      </c>
      <c r="H1494" s="2" t="s">
        <v>12</v>
      </c>
      <c r="I1494" s="2" t="s">
        <v>12</v>
      </c>
      <c r="J1494" s="2" t="s">
        <v>12</v>
      </c>
      <c r="K1494" s="2" t="s">
        <v>12</v>
      </c>
    </row>
    <row r="1495" spans="1:11" ht="12.5" x14ac:dyDescent="0.25">
      <c r="A1495" s="3" t="e">
        <f ca="1"/>
        <v>#NAME?</v>
      </c>
      <c r="B1495" s="2" t="s">
        <v>12</v>
      </c>
      <c r="C1495" s="2" t="s">
        <v>12</v>
      </c>
      <c r="D1495" s="2" t="s">
        <v>12</v>
      </c>
      <c r="E1495" s="2" t="s">
        <v>12</v>
      </c>
      <c r="F1495" s="2" t="s">
        <v>12</v>
      </c>
      <c r="G1495" s="2" t="s">
        <v>12</v>
      </c>
      <c r="H1495" s="2" t="s">
        <v>12</v>
      </c>
      <c r="I1495" s="2" t="s">
        <v>12</v>
      </c>
      <c r="J1495" s="2" t="s">
        <v>12</v>
      </c>
      <c r="K1495" s="2" t="s">
        <v>12</v>
      </c>
    </row>
    <row r="1496" spans="1:11" ht="12.5" x14ac:dyDescent="0.25">
      <c r="A1496" s="3" t="e">
        <f ca="1"/>
        <v>#NAME?</v>
      </c>
      <c r="B1496" s="2" t="s">
        <v>12</v>
      </c>
      <c r="C1496" s="2" t="s">
        <v>12</v>
      </c>
      <c r="D1496" s="2" t="s">
        <v>12</v>
      </c>
      <c r="E1496" s="2" t="s">
        <v>12</v>
      </c>
      <c r="F1496" s="2" t="s">
        <v>12</v>
      </c>
      <c r="G1496" s="2" t="s">
        <v>12</v>
      </c>
      <c r="H1496" s="2" t="s">
        <v>12</v>
      </c>
      <c r="I1496" s="2" t="s">
        <v>12</v>
      </c>
      <c r="J1496" s="2" t="s">
        <v>12</v>
      </c>
      <c r="K1496" s="2" t="s">
        <v>12</v>
      </c>
    </row>
    <row r="1497" spans="1:11" ht="12.5" x14ac:dyDescent="0.25">
      <c r="A1497" s="3" t="e">
        <f ca="1"/>
        <v>#NAME?</v>
      </c>
      <c r="B1497" s="2" t="s">
        <v>12</v>
      </c>
      <c r="C1497" s="2" t="s">
        <v>12</v>
      </c>
      <c r="D1497" s="2" t="s">
        <v>12</v>
      </c>
      <c r="E1497" s="2" t="s">
        <v>12</v>
      </c>
      <c r="F1497" s="2" t="s">
        <v>12</v>
      </c>
      <c r="G1497" s="2" t="s">
        <v>12</v>
      </c>
      <c r="H1497" s="2" t="s">
        <v>12</v>
      </c>
      <c r="I1497" s="2" t="s">
        <v>12</v>
      </c>
      <c r="J1497" s="2" t="s">
        <v>12</v>
      </c>
      <c r="K1497" s="2" t="s">
        <v>12</v>
      </c>
    </row>
    <row r="1498" spans="1:11" ht="12.5" x14ac:dyDescent="0.25">
      <c r="A1498" s="3" t="e">
        <f ca="1"/>
        <v>#NAME?</v>
      </c>
      <c r="B1498" s="2" t="s">
        <v>12</v>
      </c>
      <c r="C1498" s="2" t="s">
        <v>12</v>
      </c>
      <c r="D1498" s="2" t="s">
        <v>12</v>
      </c>
      <c r="E1498" s="2" t="s">
        <v>12</v>
      </c>
      <c r="F1498" s="2" t="s">
        <v>12</v>
      </c>
      <c r="G1498" s="2" t="s">
        <v>12</v>
      </c>
      <c r="H1498" s="2" t="s">
        <v>12</v>
      </c>
      <c r="I1498" s="2" t="s">
        <v>12</v>
      </c>
      <c r="J1498" s="2" t="s">
        <v>12</v>
      </c>
      <c r="K1498" s="2" t="s">
        <v>12</v>
      </c>
    </row>
    <row r="1499" spans="1:11" ht="12.5" x14ac:dyDescent="0.25">
      <c r="A1499" s="3" t="e">
        <f ca="1"/>
        <v>#NAME?</v>
      </c>
      <c r="B1499" s="2" t="s">
        <v>12</v>
      </c>
      <c r="C1499" s="2" t="s">
        <v>12</v>
      </c>
      <c r="D1499" s="2" t="s">
        <v>12</v>
      </c>
      <c r="E1499" s="2" t="s">
        <v>12</v>
      </c>
      <c r="F1499" s="2" t="s">
        <v>12</v>
      </c>
      <c r="G1499" s="2" t="s">
        <v>12</v>
      </c>
      <c r="H1499" s="2" t="s">
        <v>12</v>
      </c>
      <c r="I1499" s="2" t="s">
        <v>12</v>
      </c>
      <c r="J1499" s="2" t="s">
        <v>12</v>
      </c>
      <c r="K1499" s="2" t="s">
        <v>12</v>
      </c>
    </row>
    <row r="1500" spans="1:11" ht="12.5" x14ac:dyDescent="0.25">
      <c r="A1500" s="3" t="e">
        <f ca="1"/>
        <v>#NAME?</v>
      </c>
      <c r="B1500" s="2" t="s">
        <v>12</v>
      </c>
      <c r="C1500" s="2" t="s">
        <v>12</v>
      </c>
      <c r="D1500" s="2" t="s">
        <v>12</v>
      </c>
      <c r="E1500" s="2" t="s">
        <v>12</v>
      </c>
      <c r="F1500" s="2" t="s">
        <v>12</v>
      </c>
      <c r="G1500" s="2" t="s">
        <v>12</v>
      </c>
      <c r="H1500" s="2" t="s">
        <v>12</v>
      </c>
      <c r="I1500" s="2" t="s">
        <v>12</v>
      </c>
      <c r="J1500" s="2" t="s">
        <v>12</v>
      </c>
      <c r="K1500" s="2" t="s">
        <v>12</v>
      </c>
    </row>
    <row r="1501" spans="1:11" ht="12.5" x14ac:dyDescent="0.25">
      <c r="A1501" s="3" t="e">
        <f ca="1"/>
        <v>#NAME?</v>
      </c>
      <c r="B1501" s="2" t="s">
        <v>12</v>
      </c>
      <c r="C1501" s="2" t="s">
        <v>12</v>
      </c>
      <c r="D1501" s="2" t="s">
        <v>12</v>
      </c>
      <c r="E1501" s="2" t="s">
        <v>12</v>
      </c>
      <c r="F1501" s="2" t="s">
        <v>12</v>
      </c>
      <c r="G1501" s="2" t="s">
        <v>12</v>
      </c>
      <c r="H1501" s="2" t="s">
        <v>12</v>
      </c>
      <c r="I1501" s="2" t="s">
        <v>12</v>
      </c>
      <c r="J1501" s="2" t="s">
        <v>12</v>
      </c>
      <c r="K1501" s="2" t="s">
        <v>12</v>
      </c>
    </row>
    <row r="1502" spans="1:11" ht="12.5" x14ac:dyDescent="0.25">
      <c r="A1502" s="3" t="e">
        <f ca="1"/>
        <v>#NAME?</v>
      </c>
      <c r="B1502" s="2" t="s">
        <v>12</v>
      </c>
      <c r="C1502" s="2" t="s">
        <v>12</v>
      </c>
      <c r="D1502" s="2" t="s">
        <v>12</v>
      </c>
      <c r="E1502" s="2" t="s">
        <v>12</v>
      </c>
      <c r="F1502" s="2" t="s">
        <v>12</v>
      </c>
      <c r="G1502" s="2" t="s">
        <v>12</v>
      </c>
      <c r="H1502" s="2" t="s">
        <v>12</v>
      </c>
      <c r="I1502" s="2" t="s">
        <v>12</v>
      </c>
      <c r="J1502" s="2" t="s">
        <v>12</v>
      </c>
      <c r="K1502" s="2" t="s">
        <v>12</v>
      </c>
    </row>
    <row r="1503" spans="1:11" ht="12.5" x14ac:dyDescent="0.25">
      <c r="A1503" s="3" t="e">
        <f ca="1"/>
        <v>#NAME?</v>
      </c>
      <c r="B1503" s="2" t="s">
        <v>12</v>
      </c>
      <c r="C1503" s="2" t="s">
        <v>12</v>
      </c>
      <c r="D1503" s="2" t="s">
        <v>12</v>
      </c>
      <c r="E1503" s="2" t="s">
        <v>12</v>
      </c>
      <c r="F1503" s="2" t="s">
        <v>12</v>
      </c>
      <c r="G1503" s="2" t="s">
        <v>12</v>
      </c>
      <c r="H1503" s="2" t="s">
        <v>12</v>
      </c>
      <c r="I1503" s="2" t="s">
        <v>12</v>
      </c>
      <c r="J1503" s="2" t="s">
        <v>12</v>
      </c>
      <c r="K1503" s="2" t="s">
        <v>12</v>
      </c>
    </row>
    <row r="1504" spans="1:11" ht="12.5" x14ac:dyDescent="0.25">
      <c r="A1504" s="3" t="e">
        <f ca="1"/>
        <v>#NAME?</v>
      </c>
      <c r="B1504" s="2" t="s">
        <v>12</v>
      </c>
      <c r="C1504" s="2" t="s">
        <v>12</v>
      </c>
      <c r="D1504" s="2" t="s">
        <v>12</v>
      </c>
      <c r="E1504" s="2" t="s">
        <v>12</v>
      </c>
      <c r="F1504" s="2" t="s">
        <v>12</v>
      </c>
      <c r="G1504" s="2" t="s">
        <v>12</v>
      </c>
      <c r="H1504" s="2" t="s">
        <v>12</v>
      </c>
      <c r="I1504" s="2" t="s">
        <v>12</v>
      </c>
      <c r="J1504" s="2" t="s">
        <v>12</v>
      </c>
      <c r="K1504" s="2" t="s">
        <v>12</v>
      </c>
    </row>
    <row r="1505" spans="1:11" ht="12.5" x14ac:dyDescent="0.25">
      <c r="A1505" s="3" t="e">
        <f ca="1"/>
        <v>#NAME?</v>
      </c>
      <c r="B1505" s="2" t="s">
        <v>12</v>
      </c>
      <c r="C1505" s="2" t="s">
        <v>12</v>
      </c>
      <c r="D1505" s="2" t="s">
        <v>12</v>
      </c>
      <c r="E1505" s="2" t="s">
        <v>12</v>
      </c>
      <c r="F1505" s="2" t="s">
        <v>12</v>
      </c>
      <c r="G1505" s="2" t="s">
        <v>12</v>
      </c>
      <c r="H1505" s="2" t="s">
        <v>12</v>
      </c>
      <c r="I1505" s="2" t="s">
        <v>12</v>
      </c>
      <c r="J1505" s="2" t="s">
        <v>12</v>
      </c>
      <c r="K1505" s="2" t="s">
        <v>12</v>
      </c>
    </row>
    <row r="1506" spans="1:11" ht="12.5" x14ac:dyDescent="0.25">
      <c r="A1506" s="3" t="e">
        <f ca="1"/>
        <v>#NAME?</v>
      </c>
      <c r="B1506" s="2" t="s">
        <v>12</v>
      </c>
      <c r="C1506" s="2" t="s">
        <v>12</v>
      </c>
      <c r="D1506" s="2" t="s">
        <v>12</v>
      </c>
      <c r="E1506" s="2" t="s">
        <v>12</v>
      </c>
      <c r="F1506" s="2" t="s">
        <v>12</v>
      </c>
      <c r="G1506" s="2" t="s">
        <v>12</v>
      </c>
      <c r="H1506" s="2" t="s">
        <v>12</v>
      </c>
      <c r="I1506" s="2" t="s">
        <v>12</v>
      </c>
      <c r="J1506" s="2" t="s">
        <v>12</v>
      </c>
      <c r="K1506" s="2" t="s">
        <v>12</v>
      </c>
    </row>
    <row r="1507" spans="1:11" ht="12.5" x14ac:dyDescent="0.25">
      <c r="A1507" s="3" t="e">
        <f ca="1"/>
        <v>#NAME?</v>
      </c>
      <c r="B1507" s="2" t="s">
        <v>12</v>
      </c>
      <c r="C1507" s="2" t="s">
        <v>12</v>
      </c>
      <c r="D1507" s="2" t="s">
        <v>12</v>
      </c>
      <c r="E1507" s="2" t="s">
        <v>12</v>
      </c>
      <c r="F1507" s="2" t="s">
        <v>12</v>
      </c>
      <c r="G1507" s="2" t="s">
        <v>12</v>
      </c>
      <c r="H1507" s="2" t="s">
        <v>12</v>
      </c>
      <c r="I1507" s="2" t="s">
        <v>12</v>
      </c>
      <c r="J1507" s="2" t="s">
        <v>12</v>
      </c>
      <c r="K1507" s="2" t="s">
        <v>12</v>
      </c>
    </row>
    <row r="1508" spans="1:11" ht="12.5" x14ac:dyDescent="0.25">
      <c r="A1508" s="3" t="e">
        <f ca="1"/>
        <v>#NAME?</v>
      </c>
      <c r="B1508" s="2" t="s">
        <v>12</v>
      </c>
      <c r="C1508" s="2" t="s">
        <v>12</v>
      </c>
      <c r="D1508" s="2" t="s">
        <v>12</v>
      </c>
      <c r="E1508" s="2" t="s">
        <v>12</v>
      </c>
      <c r="F1508" s="2" t="s">
        <v>12</v>
      </c>
      <c r="G1508" s="2" t="s">
        <v>12</v>
      </c>
      <c r="H1508" s="2" t="s">
        <v>12</v>
      </c>
      <c r="I1508" s="2" t="s">
        <v>12</v>
      </c>
      <c r="J1508" s="2" t="s">
        <v>12</v>
      </c>
      <c r="K1508" s="2" t="s">
        <v>12</v>
      </c>
    </row>
    <row r="1509" spans="1:11" ht="12.5" x14ac:dyDescent="0.25">
      <c r="A1509" s="3" t="e">
        <f ca="1"/>
        <v>#NAME?</v>
      </c>
      <c r="B1509" s="2" t="s">
        <v>12</v>
      </c>
      <c r="C1509" s="2" t="s">
        <v>12</v>
      </c>
      <c r="D1509" s="2" t="s">
        <v>12</v>
      </c>
      <c r="E1509" s="2" t="s">
        <v>12</v>
      </c>
      <c r="F1509" s="2" t="s">
        <v>12</v>
      </c>
      <c r="G1509" s="2" t="s">
        <v>12</v>
      </c>
      <c r="H1509" s="2" t="s">
        <v>12</v>
      </c>
      <c r="I1509" s="2" t="s">
        <v>12</v>
      </c>
      <c r="J1509" s="2" t="s">
        <v>12</v>
      </c>
      <c r="K1509" s="2" t="s">
        <v>12</v>
      </c>
    </row>
    <row r="1510" spans="1:11" ht="12.5" x14ac:dyDescent="0.25">
      <c r="A1510" s="3" t="e">
        <f ca="1"/>
        <v>#NAME?</v>
      </c>
      <c r="B1510" s="2" t="s">
        <v>12</v>
      </c>
      <c r="C1510" s="2" t="s">
        <v>12</v>
      </c>
      <c r="D1510" s="2" t="s">
        <v>12</v>
      </c>
      <c r="E1510" s="2" t="s">
        <v>12</v>
      </c>
      <c r="F1510" s="2" t="s">
        <v>12</v>
      </c>
      <c r="G1510" s="2" t="s">
        <v>12</v>
      </c>
      <c r="H1510" s="2" t="s">
        <v>12</v>
      </c>
      <c r="I1510" s="2" t="s">
        <v>12</v>
      </c>
      <c r="J1510" s="2" t="s">
        <v>12</v>
      </c>
      <c r="K1510" s="2" t="s">
        <v>12</v>
      </c>
    </row>
    <row r="1511" spans="1:11" ht="12.5" x14ac:dyDescent="0.25">
      <c r="A1511" s="3" t="e">
        <f ca="1"/>
        <v>#NAME?</v>
      </c>
      <c r="B1511" s="2" t="s">
        <v>12</v>
      </c>
      <c r="C1511" s="2" t="s">
        <v>12</v>
      </c>
      <c r="D1511" s="2" t="s">
        <v>12</v>
      </c>
      <c r="E1511" s="2" t="s">
        <v>12</v>
      </c>
      <c r="F1511" s="2" t="s">
        <v>12</v>
      </c>
      <c r="G1511" s="2" t="s">
        <v>12</v>
      </c>
      <c r="H1511" s="2" t="s">
        <v>12</v>
      </c>
      <c r="I1511" s="2" t="s">
        <v>12</v>
      </c>
      <c r="J1511" s="2" t="s">
        <v>12</v>
      </c>
      <c r="K1511" s="2" t="s">
        <v>12</v>
      </c>
    </row>
    <row r="1512" spans="1:11" ht="12.5" x14ac:dyDescent="0.25">
      <c r="A1512" s="3" t="e">
        <f ca="1"/>
        <v>#NAME?</v>
      </c>
      <c r="B1512" s="2" t="s">
        <v>12</v>
      </c>
      <c r="C1512" s="2" t="s">
        <v>12</v>
      </c>
      <c r="D1512" s="2" t="s">
        <v>12</v>
      </c>
      <c r="E1512" s="2" t="s">
        <v>12</v>
      </c>
      <c r="F1512" s="2" t="s">
        <v>12</v>
      </c>
      <c r="G1512" s="2" t="s">
        <v>12</v>
      </c>
      <c r="H1512" s="2" t="s">
        <v>12</v>
      </c>
      <c r="I1512" s="2" t="s">
        <v>12</v>
      </c>
      <c r="J1512" s="2" t="s">
        <v>12</v>
      </c>
      <c r="K1512" s="2" t="s">
        <v>12</v>
      </c>
    </row>
    <row r="1513" spans="1:11" ht="12.5" x14ac:dyDescent="0.25">
      <c r="A1513" s="3" t="e">
        <f ca="1"/>
        <v>#NAME?</v>
      </c>
      <c r="B1513" s="2" t="s">
        <v>12</v>
      </c>
      <c r="C1513" s="2" t="s">
        <v>12</v>
      </c>
      <c r="D1513" s="2" t="s">
        <v>12</v>
      </c>
      <c r="E1513" s="2" t="s">
        <v>12</v>
      </c>
      <c r="F1513" s="2" t="s">
        <v>12</v>
      </c>
      <c r="G1513" s="2" t="s">
        <v>12</v>
      </c>
      <c r="H1513" s="2" t="s">
        <v>12</v>
      </c>
      <c r="I1513" s="2" t="s">
        <v>12</v>
      </c>
      <c r="J1513" s="2" t="s">
        <v>12</v>
      </c>
      <c r="K1513" s="2" t="s">
        <v>12</v>
      </c>
    </row>
    <row r="1514" spans="1:11" ht="12.5" x14ac:dyDescent="0.25">
      <c r="A1514" s="3" t="e">
        <f ca="1"/>
        <v>#NAME?</v>
      </c>
      <c r="B1514" s="2" t="s">
        <v>12</v>
      </c>
      <c r="C1514" s="2" t="s">
        <v>12</v>
      </c>
      <c r="D1514" s="2" t="s">
        <v>12</v>
      </c>
      <c r="E1514" s="2" t="s">
        <v>12</v>
      </c>
      <c r="F1514" s="2" t="s">
        <v>12</v>
      </c>
      <c r="G1514" s="2" t="s">
        <v>12</v>
      </c>
      <c r="H1514" s="2" t="s">
        <v>12</v>
      </c>
      <c r="I1514" s="2" t="s">
        <v>12</v>
      </c>
      <c r="J1514" s="2" t="s">
        <v>12</v>
      </c>
      <c r="K1514" s="2" t="s">
        <v>12</v>
      </c>
    </row>
    <row r="1515" spans="1:11" ht="12.5" x14ac:dyDescent="0.25">
      <c r="A1515" s="3" t="e">
        <f ca="1"/>
        <v>#NAME?</v>
      </c>
      <c r="B1515" s="2" t="s">
        <v>12</v>
      </c>
      <c r="C1515" s="2" t="s">
        <v>12</v>
      </c>
      <c r="D1515" s="2" t="s">
        <v>12</v>
      </c>
      <c r="E1515" s="2" t="s">
        <v>12</v>
      </c>
      <c r="F1515" s="2" t="s">
        <v>12</v>
      </c>
      <c r="G1515" s="2" t="s">
        <v>12</v>
      </c>
      <c r="H1515" s="2" t="s">
        <v>12</v>
      </c>
      <c r="I1515" s="2" t="s">
        <v>12</v>
      </c>
      <c r="J1515" s="2" t="s">
        <v>12</v>
      </c>
      <c r="K1515" s="2" t="s">
        <v>12</v>
      </c>
    </row>
    <row r="1516" spans="1:11" ht="12.5" x14ac:dyDescent="0.25">
      <c r="A1516" s="3" t="e">
        <f ca="1"/>
        <v>#NAME?</v>
      </c>
      <c r="B1516" s="2" t="s">
        <v>12</v>
      </c>
      <c r="C1516" s="2" t="s">
        <v>12</v>
      </c>
      <c r="D1516" s="2" t="s">
        <v>12</v>
      </c>
      <c r="E1516" s="2" t="s">
        <v>12</v>
      </c>
      <c r="F1516" s="2" t="s">
        <v>12</v>
      </c>
      <c r="G1516" s="2" t="s">
        <v>12</v>
      </c>
      <c r="H1516" s="2" t="s">
        <v>12</v>
      </c>
      <c r="I1516" s="2" t="s">
        <v>12</v>
      </c>
      <c r="J1516" s="2" t="s">
        <v>12</v>
      </c>
      <c r="K1516" s="2" t="s">
        <v>12</v>
      </c>
    </row>
    <row r="1517" spans="1:11" ht="12.5" x14ac:dyDescent="0.25">
      <c r="A1517" s="3" t="e">
        <f ca="1"/>
        <v>#NAME?</v>
      </c>
      <c r="B1517" s="2" t="s">
        <v>12</v>
      </c>
      <c r="C1517" s="2" t="s">
        <v>12</v>
      </c>
      <c r="D1517" s="2" t="s">
        <v>12</v>
      </c>
      <c r="E1517" s="2" t="s">
        <v>12</v>
      </c>
      <c r="F1517" s="2" t="s">
        <v>12</v>
      </c>
      <c r="G1517" s="2" t="s">
        <v>12</v>
      </c>
      <c r="H1517" s="2" t="s">
        <v>12</v>
      </c>
      <c r="I1517" s="2" t="s">
        <v>12</v>
      </c>
      <c r="J1517" s="2" t="s">
        <v>12</v>
      </c>
      <c r="K1517" s="2" t="s">
        <v>12</v>
      </c>
    </row>
    <row r="1518" spans="1:11" ht="12.5" x14ac:dyDescent="0.25">
      <c r="A1518" s="3" t="e">
        <f ca="1"/>
        <v>#NAME?</v>
      </c>
      <c r="B1518" s="2" t="s">
        <v>12</v>
      </c>
      <c r="C1518" s="2" t="s">
        <v>12</v>
      </c>
      <c r="D1518" s="2" t="s">
        <v>12</v>
      </c>
      <c r="E1518" s="2" t="s">
        <v>12</v>
      </c>
      <c r="F1518" s="2" t="s">
        <v>12</v>
      </c>
      <c r="G1518" s="2" t="s">
        <v>12</v>
      </c>
      <c r="H1518" s="2" t="s">
        <v>12</v>
      </c>
      <c r="I1518" s="2" t="s">
        <v>12</v>
      </c>
      <c r="J1518" s="2" t="s">
        <v>12</v>
      </c>
      <c r="K1518" s="2" t="s">
        <v>12</v>
      </c>
    </row>
    <row r="1519" spans="1:11" ht="12.5" x14ac:dyDescent="0.25">
      <c r="A1519" s="3" t="e">
        <f ca="1"/>
        <v>#NAME?</v>
      </c>
      <c r="B1519" s="2" t="s">
        <v>12</v>
      </c>
      <c r="C1519" s="2" t="s">
        <v>12</v>
      </c>
      <c r="D1519" s="2" t="s">
        <v>12</v>
      </c>
      <c r="E1519" s="2" t="s">
        <v>12</v>
      </c>
      <c r="F1519" s="2" t="s">
        <v>12</v>
      </c>
      <c r="G1519" s="2" t="s">
        <v>12</v>
      </c>
      <c r="H1519" s="2" t="s">
        <v>12</v>
      </c>
      <c r="I1519" s="2" t="s">
        <v>12</v>
      </c>
      <c r="J1519" s="2" t="s">
        <v>12</v>
      </c>
      <c r="K1519" s="2" t="s">
        <v>12</v>
      </c>
    </row>
    <row r="1520" spans="1:11" ht="12.5" x14ac:dyDescent="0.25">
      <c r="A1520" s="3" t="e">
        <f ca="1"/>
        <v>#NAME?</v>
      </c>
      <c r="B1520" s="2" t="s">
        <v>12</v>
      </c>
      <c r="C1520" s="2" t="s">
        <v>12</v>
      </c>
      <c r="D1520" s="2" t="s">
        <v>12</v>
      </c>
      <c r="E1520" s="2" t="s">
        <v>12</v>
      </c>
      <c r="F1520" s="2" t="s">
        <v>12</v>
      </c>
      <c r="G1520" s="2" t="s">
        <v>12</v>
      </c>
      <c r="H1520" s="2" t="s">
        <v>12</v>
      </c>
      <c r="I1520" s="2" t="s">
        <v>12</v>
      </c>
      <c r="J1520" s="2" t="s">
        <v>12</v>
      </c>
      <c r="K1520" s="2" t="s">
        <v>12</v>
      </c>
    </row>
    <row r="1521" spans="1:11" ht="12.5" x14ac:dyDescent="0.25">
      <c r="A1521" s="3" t="e">
        <f ca="1"/>
        <v>#NAME?</v>
      </c>
      <c r="B1521" s="2" t="s">
        <v>12</v>
      </c>
      <c r="C1521" s="2" t="s">
        <v>12</v>
      </c>
      <c r="D1521" s="2" t="s">
        <v>12</v>
      </c>
      <c r="E1521" s="2" t="s">
        <v>12</v>
      </c>
      <c r="F1521" s="2" t="s">
        <v>12</v>
      </c>
      <c r="G1521" s="2" t="s">
        <v>12</v>
      </c>
      <c r="H1521" s="2" t="s">
        <v>12</v>
      </c>
      <c r="I1521" s="2" t="s">
        <v>12</v>
      </c>
      <c r="J1521" s="2" t="s">
        <v>12</v>
      </c>
      <c r="K1521" s="2" t="s">
        <v>12</v>
      </c>
    </row>
    <row r="1522" spans="1:11" ht="12.5" x14ac:dyDescent="0.25">
      <c r="A1522" s="3" t="e">
        <f ca="1"/>
        <v>#NAME?</v>
      </c>
      <c r="B1522" s="2" t="s">
        <v>12</v>
      </c>
      <c r="C1522" s="2" t="s">
        <v>12</v>
      </c>
      <c r="D1522" s="2" t="s">
        <v>12</v>
      </c>
      <c r="E1522" s="2" t="s">
        <v>12</v>
      </c>
      <c r="F1522" s="2" t="s">
        <v>12</v>
      </c>
      <c r="G1522" s="2" t="s">
        <v>12</v>
      </c>
      <c r="H1522" s="2" t="s">
        <v>12</v>
      </c>
      <c r="I1522" s="2" t="s">
        <v>12</v>
      </c>
      <c r="J1522" s="2" t="s">
        <v>12</v>
      </c>
      <c r="K1522" s="2" t="s">
        <v>12</v>
      </c>
    </row>
    <row r="1523" spans="1:11" ht="12.5" x14ac:dyDescent="0.25">
      <c r="A1523" s="3" t="e">
        <f ca="1"/>
        <v>#NAME?</v>
      </c>
      <c r="B1523" s="2" t="s">
        <v>12</v>
      </c>
      <c r="C1523" s="2" t="s">
        <v>12</v>
      </c>
      <c r="D1523" s="2" t="s">
        <v>12</v>
      </c>
      <c r="E1523" s="2" t="s">
        <v>12</v>
      </c>
      <c r="F1523" s="2" t="s">
        <v>12</v>
      </c>
      <c r="G1523" s="2" t="s">
        <v>12</v>
      </c>
      <c r="H1523" s="2" t="s">
        <v>12</v>
      </c>
      <c r="I1523" s="2" t="s">
        <v>12</v>
      </c>
      <c r="J1523" s="2" t="s">
        <v>12</v>
      </c>
      <c r="K1523" s="2" t="s">
        <v>12</v>
      </c>
    </row>
    <row r="1524" spans="1:11" ht="12.5" x14ac:dyDescent="0.25">
      <c r="A1524" s="3" t="e">
        <f ca="1"/>
        <v>#NAME?</v>
      </c>
      <c r="B1524" s="2" t="s">
        <v>12</v>
      </c>
      <c r="C1524" s="2" t="s">
        <v>12</v>
      </c>
      <c r="D1524" s="2" t="s">
        <v>12</v>
      </c>
      <c r="E1524" s="2" t="s">
        <v>12</v>
      </c>
      <c r="F1524" s="2" t="s">
        <v>12</v>
      </c>
      <c r="G1524" s="2" t="s">
        <v>12</v>
      </c>
      <c r="H1524" s="2" t="s">
        <v>12</v>
      </c>
      <c r="I1524" s="2" t="s">
        <v>12</v>
      </c>
      <c r="J1524" s="2" t="s">
        <v>12</v>
      </c>
      <c r="K1524" s="2" t="s">
        <v>12</v>
      </c>
    </row>
    <row r="1525" spans="1:11" ht="12.5" x14ac:dyDescent="0.25">
      <c r="A1525" s="3" t="e">
        <f ca="1"/>
        <v>#NAME?</v>
      </c>
      <c r="B1525" s="2" t="s">
        <v>12</v>
      </c>
      <c r="C1525" s="2" t="s">
        <v>12</v>
      </c>
      <c r="D1525" s="2" t="s">
        <v>12</v>
      </c>
      <c r="E1525" s="2" t="s">
        <v>12</v>
      </c>
      <c r="F1525" s="2" t="s">
        <v>12</v>
      </c>
      <c r="G1525" s="2" t="s">
        <v>12</v>
      </c>
      <c r="H1525" s="2" t="s">
        <v>12</v>
      </c>
      <c r="I1525" s="2" t="s">
        <v>12</v>
      </c>
      <c r="J1525" s="2" t="s">
        <v>12</v>
      </c>
      <c r="K1525" s="2" t="s">
        <v>12</v>
      </c>
    </row>
    <row r="1526" spans="1:11" ht="12.5" x14ac:dyDescent="0.25">
      <c r="A1526" s="3" t="e">
        <f ca="1"/>
        <v>#NAME?</v>
      </c>
      <c r="B1526" s="2" t="s">
        <v>12</v>
      </c>
      <c r="C1526" s="2" t="s">
        <v>12</v>
      </c>
      <c r="D1526" s="2" t="s">
        <v>12</v>
      </c>
      <c r="E1526" s="2" t="s">
        <v>12</v>
      </c>
      <c r="F1526" s="2" t="s">
        <v>12</v>
      </c>
      <c r="G1526" s="2" t="s">
        <v>12</v>
      </c>
      <c r="H1526" s="2" t="s">
        <v>12</v>
      </c>
      <c r="I1526" s="2" t="s">
        <v>12</v>
      </c>
      <c r="J1526" s="2" t="s">
        <v>12</v>
      </c>
      <c r="K1526" s="2" t="s">
        <v>12</v>
      </c>
    </row>
    <row r="1527" spans="1:11" ht="12.5" x14ac:dyDescent="0.25">
      <c r="A1527" s="3" t="e">
        <f ca="1"/>
        <v>#NAME?</v>
      </c>
      <c r="B1527" s="2" t="s">
        <v>12</v>
      </c>
      <c r="C1527" s="2" t="s">
        <v>12</v>
      </c>
      <c r="D1527" s="2" t="s">
        <v>12</v>
      </c>
      <c r="E1527" s="2" t="s">
        <v>12</v>
      </c>
      <c r="F1527" s="2" t="s">
        <v>12</v>
      </c>
      <c r="G1527" s="2" t="s">
        <v>12</v>
      </c>
      <c r="H1527" s="2" t="s">
        <v>12</v>
      </c>
      <c r="I1527" s="2" t="s">
        <v>12</v>
      </c>
      <c r="J1527" s="2" t="s">
        <v>12</v>
      </c>
      <c r="K1527" s="2" t="s">
        <v>12</v>
      </c>
    </row>
    <row r="1528" spans="1:11" ht="12.5" x14ac:dyDescent="0.25">
      <c r="A1528" s="3" t="e">
        <f ca="1"/>
        <v>#NAME?</v>
      </c>
      <c r="B1528" s="2" t="s">
        <v>12</v>
      </c>
      <c r="C1528" s="2" t="s">
        <v>12</v>
      </c>
      <c r="D1528" s="2" t="s">
        <v>12</v>
      </c>
      <c r="E1528" s="2" t="s">
        <v>12</v>
      </c>
      <c r="F1528" s="2" t="s">
        <v>12</v>
      </c>
      <c r="G1528" s="2" t="s">
        <v>12</v>
      </c>
      <c r="H1528" s="2" t="s">
        <v>12</v>
      </c>
      <c r="I1528" s="2" t="s">
        <v>12</v>
      </c>
      <c r="J1528" s="2" t="s">
        <v>12</v>
      </c>
      <c r="K1528" s="2" t="s">
        <v>12</v>
      </c>
    </row>
    <row r="1529" spans="1:11" ht="12.5" x14ac:dyDescent="0.25">
      <c r="A1529" s="3" t="e">
        <f ca="1"/>
        <v>#NAME?</v>
      </c>
      <c r="B1529" s="2" t="s">
        <v>12</v>
      </c>
      <c r="C1529" s="2" t="s">
        <v>12</v>
      </c>
      <c r="D1529" s="2" t="s">
        <v>12</v>
      </c>
      <c r="E1529" s="2" t="s">
        <v>12</v>
      </c>
      <c r="F1529" s="2" t="s">
        <v>12</v>
      </c>
      <c r="G1529" s="2" t="s">
        <v>12</v>
      </c>
      <c r="H1529" s="2" t="s">
        <v>12</v>
      </c>
      <c r="I1529" s="2" t="s">
        <v>12</v>
      </c>
      <c r="J1529" s="2" t="s">
        <v>12</v>
      </c>
      <c r="K1529" s="2" t="s">
        <v>12</v>
      </c>
    </row>
    <row r="1530" spans="1:11" ht="12.5" x14ac:dyDescent="0.25">
      <c r="A1530" s="3" t="e">
        <f ca="1"/>
        <v>#NAME?</v>
      </c>
      <c r="B1530" s="2" t="s">
        <v>12</v>
      </c>
      <c r="C1530" s="2" t="s">
        <v>12</v>
      </c>
      <c r="D1530" s="2" t="s">
        <v>12</v>
      </c>
      <c r="E1530" s="2" t="s">
        <v>12</v>
      </c>
      <c r="F1530" s="2" t="s">
        <v>12</v>
      </c>
      <c r="G1530" s="2" t="s">
        <v>12</v>
      </c>
      <c r="H1530" s="2" t="s">
        <v>12</v>
      </c>
      <c r="I1530" s="2" t="s">
        <v>12</v>
      </c>
      <c r="J1530" s="2" t="s">
        <v>12</v>
      </c>
      <c r="K1530" s="2" t="s">
        <v>12</v>
      </c>
    </row>
    <row r="1531" spans="1:11" ht="12.5" x14ac:dyDescent="0.25">
      <c r="A1531" s="3" t="e">
        <f ca="1"/>
        <v>#NAME?</v>
      </c>
      <c r="B1531" s="2" t="s">
        <v>12</v>
      </c>
      <c r="C1531" s="2" t="s">
        <v>12</v>
      </c>
      <c r="D1531" s="2" t="s">
        <v>12</v>
      </c>
      <c r="E1531" s="2" t="s">
        <v>12</v>
      </c>
      <c r="F1531" s="2" t="s">
        <v>12</v>
      </c>
      <c r="G1531" s="2" t="s">
        <v>12</v>
      </c>
      <c r="H1531" s="2" t="s">
        <v>12</v>
      </c>
      <c r="I1531" s="2" t="s">
        <v>12</v>
      </c>
      <c r="J1531" s="2" t="s">
        <v>12</v>
      </c>
      <c r="K1531" s="2" t="s">
        <v>12</v>
      </c>
    </row>
    <row r="1532" spans="1:11" ht="12.5" x14ac:dyDescent="0.25">
      <c r="A1532" s="3" t="e">
        <f ca="1"/>
        <v>#NAME?</v>
      </c>
      <c r="B1532" s="2" t="s">
        <v>12</v>
      </c>
      <c r="C1532" s="2" t="s">
        <v>12</v>
      </c>
      <c r="D1532" s="2" t="s">
        <v>12</v>
      </c>
      <c r="E1532" s="2" t="s">
        <v>12</v>
      </c>
      <c r="F1532" s="2" t="s">
        <v>12</v>
      </c>
      <c r="G1532" s="2" t="s">
        <v>12</v>
      </c>
      <c r="H1532" s="2" t="s">
        <v>12</v>
      </c>
      <c r="I1532" s="2" t="s">
        <v>12</v>
      </c>
      <c r="J1532" s="2" t="s">
        <v>12</v>
      </c>
      <c r="K1532" s="2" t="s">
        <v>12</v>
      </c>
    </row>
    <row r="1533" spans="1:11" ht="12.5" x14ac:dyDescent="0.25">
      <c r="A1533" s="3" t="e">
        <f ca="1"/>
        <v>#NAME?</v>
      </c>
      <c r="B1533" s="2" t="s">
        <v>12</v>
      </c>
      <c r="C1533" s="2" t="s">
        <v>12</v>
      </c>
      <c r="D1533" s="2" t="s">
        <v>12</v>
      </c>
      <c r="E1533" s="2" t="s">
        <v>12</v>
      </c>
      <c r="F1533" s="2" t="s">
        <v>12</v>
      </c>
      <c r="G1533" s="2" t="s">
        <v>12</v>
      </c>
      <c r="H1533" s="2" t="s">
        <v>12</v>
      </c>
      <c r="I1533" s="2" t="s">
        <v>12</v>
      </c>
      <c r="J1533" s="2" t="s">
        <v>12</v>
      </c>
      <c r="K1533" s="2" t="s">
        <v>12</v>
      </c>
    </row>
    <row r="1534" spans="1:11" ht="12.5" x14ac:dyDescent="0.25">
      <c r="A1534" s="3" t="e">
        <f ca="1"/>
        <v>#NAME?</v>
      </c>
      <c r="B1534" s="2" t="s">
        <v>12</v>
      </c>
      <c r="C1534" s="2" t="s">
        <v>12</v>
      </c>
      <c r="D1534" s="2" t="s">
        <v>12</v>
      </c>
      <c r="E1534" s="2" t="s">
        <v>12</v>
      </c>
      <c r="F1534" s="2" t="s">
        <v>12</v>
      </c>
      <c r="G1534" s="2" t="s">
        <v>12</v>
      </c>
      <c r="H1534" s="2" t="s">
        <v>12</v>
      </c>
      <c r="I1534" s="2" t="s">
        <v>12</v>
      </c>
      <c r="J1534" s="2" t="s">
        <v>12</v>
      </c>
      <c r="K1534" s="2" t="s">
        <v>12</v>
      </c>
    </row>
    <row r="1535" spans="1:11" ht="12.5" x14ac:dyDescent="0.25">
      <c r="A1535" s="3" t="e">
        <f ca="1"/>
        <v>#NAME?</v>
      </c>
      <c r="B1535" s="2" t="s">
        <v>12</v>
      </c>
      <c r="C1535" s="2" t="s">
        <v>12</v>
      </c>
      <c r="D1535" s="2" t="s">
        <v>12</v>
      </c>
      <c r="E1535" s="2" t="s">
        <v>12</v>
      </c>
      <c r="F1535" s="2" t="s">
        <v>12</v>
      </c>
      <c r="G1535" s="2" t="s">
        <v>12</v>
      </c>
      <c r="H1535" s="2" t="s">
        <v>12</v>
      </c>
      <c r="I1535" s="2" t="s">
        <v>12</v>
      </c>
      <c r="J1535" s="2" t="s">
        <v>12</v>
      </c>
      <c r="K1535" s="2" t="s">
        <v>12</v>
      </c>
    </row>
    <row r="1536" spans="1:11" ht="12.5" x14ac:dyDescent="0.25">
      <c r="A1536" s="3" t="e">
        <f ca="1"/>
        <v>#NAME?</v>
      </c>
      <c r="B1536" s="2" t="s">
        <v>12</v>
      </c>
      <c r="C1536" s="2" t="s">
        <v>12</v>
      </c>
      <c r="D1536" s="2" t="s">
        <v>12</v>
      </c>
      <c r="E1536" s="2" t="s">
        <v>12</v>
      </c>
      <c r="F1536" s="2" t="s">
        <v>12</v>
      </c>
      <c r="G1536" s="2" t="s">
        <v>12</v>
      </c>
      <c r="H1536" s="2" t="s">
        <v>12</v>
      </c>
      <c r="I1536" s="2" t="s">
        <v>12</v>
      </c>
      <c r="J1536" s="2" t="s">
        <v>12</v>
      </c>
      <c r="K1536" s="2" t="s">
        <v>12</v>
      </c>
    </row>
    <row r="1537" spans="1:11" ht="12.5" x14ac:dyDescent="0.25">
      <c r="A1537" s="3" t="e">
        <f ca="1"/>
        <v>#NAME?</v>
      </c>
      <c r="B1537" s="2" t="s">
        <v>12</v>
      </c>
      <c r="C1537" s="2" t="s">
        <v>12</v>
      </c>
      <c r="D1537" s="2" t="s">
        <v>12</v>
      </c>
      <c r="E1537" s="2" t="s">
        <v>12</v>
      </c>
      <c r="F1537" s="2" t="s">
        <v>12</v>
      </c>
      <c r="G1537" s="2" t="s">
        <v>12</v>
      </c>
      <c r="H1537" s="2" t="s">
        <v>12</v>
      </c>
      <c r="I1537" s="2" t="s">
        <v>12</v>
      </c>
      <c r="J1537" s="2" t="s">
        <v>12</v>
      </c>
      <c r="K1537" s="2" t="s">
        <v>12</v>
      </c>
    </row>
    <row r="1538" spans="1:11" ht="12.5" x14ac:dyDescent="0.25">
      <c r="A1538" s="3" t="e">
        <f ca="1"/>
        <v>#NAME?</v>
      </c>
      <c r="B1538" s="2" t="s">
        <v>12</v>
      </c>
      <c r="C1538" s="2" t="s">
        <v>12</v>
      </c>
      <c r="D1538" s="2" t="s">
        <v>12</v>
      </c>
      <c r="E1538" s="2" t="s">
        <v>12</v>
      </c>
      <c r="F1538" s="2" t="s">
        <v>12</v>
      </c>
      <c r="G1538" s="2" t="s">
        <v>12</v>
      </c>
      <c r="H1538" s="2" t="s">
        <v>12</v>
      </c>
      <c r="I1538" s="2" t="s">
        <v>12</v>
      </c>
      <c r="J1538" s="2" t="s">
        <v>12</v>
      </c>
      <c r="K1538" s="2" t="s">
        <v>12</v>
      </c>
    </row>
    <row r="1539" spans="1:11" ht="12.5" x14ac:dyDescent="0.25">
      <c r="A1539" s="3" t="e">
        <f ca="1"/>
        <v>#NAME?</v>
      </c>
      <c r="B1539" s="2" t="s">
        <v>12</v>
      </c>
      <c r="C1539" s="2" t="s">
        <v>12</v>
      </c>
      <c r="D1539" s="2" t="s">
        <v>12</v>
      </c>
      <c r="E1539" s="2" t="s">
        <v>12</v>
      </c>
      <c r="F1539" s="2" t="s">
        <v>12</v>
      </c>
      <c r="G1539" s="2" t="s">
        <v>12</v>
      </c>
      <c r="H1539" s="2" t="s">
        <v>12</v>
      </c>
      <c r="I1539" s="2" t="s">
        <v>12</v>
      </c>
      <c r="J1539" s="2" t="s">
        <v>12</v>
      </c>
      <c r="K1539" s="2" t="s">
        <v>12</v>
      </c>
    </row>
    <row r="1540" spans="1:11" ht="12.5" x14ac:dyDescent="0.25">
      <c r="A1540" s="3" t="e">
        <f ca="1"/>
        <v>#NAME?</v>
      </c>
      <c r="B1540" s="2" t="s">
        <v>12</v>
      </c>
      <c r="C1540" s="2" t="s">
        <v>12</v>
      </c>
      <c r="D1540" s="2" t="s">
        <v>12</v>
      </c>
      <c r="E1540" s="2" t="s">
        <v>12</v>
      </c>
      <c r="F1540" s="2" t="s">
        <v>12</v>
      </c>
      <c r="G1540" s="2" t="s">
        <v>12</v>
      </c>
      <c r="H1540" s="2" t="s">
        <v>12</v>
      </c>
      <c r="I1540" s="2" t="s">
        <v>12</v>
      </c>
      <c r="J1540" s="2" t="s">
        <v>12</v>
      </c>
      <c r="K1540" s="2" t="s">
        <v>12</v>
      </c>
    </row>
    <row r="1541" spans="1:11" ht="12.5" x14ac:dyDescent="0.25">
      <c r="A1541" s="3" t="e">
        <f ca="1"/>
        <v>#NAME?</v>
      </c>
      <c r="B1541" s="2" t="s">
        <v>12</v>
      </c>
      <c r="C1541" s="2" t="s">
        <v>12</v>
      </c>
      <c r="D1541" s="2" t="s">
        <v>12</v>
      </c>
      <c r="E1541" s="2" t="s">
        <v>12</v>
      </c>
      <c r="F1541" s="2" t="s">
        <v>12</v>
      </c>
      <c r="G1541" s="2" t="s">
        <v>12</v>
      </c>
      <c r="H1541" s="2" t="s">
        <v>12</v>
      </c>
      <c r="I1541" s="2" t="s">
        <v>12</v>
      </c>
      <c r="J1541" s="2" t="s">
        <v>12</v>
      </c>
      <c r="K1541" s="2" t="s">
        <v>12</v>
      </c>
    </row>
    <row r="1542" spans="1:11" ht="12.5" x14ac:dyDescent="0.25">
      <c r="A1542" s="3" t="e">
        <f ca="1"/>
        <v>#NAME?</v>
      </c>
      <c r="B1542" s="2" t="s">
        <v>12</v>
      </c>
      <c r="C1542" s="2" t="s">
        <v>12</v>
      </c>
      <c r="D1542" s="2" t="s">
        <v>12</v>
      </c>
      <c r="E1542" s="2" t="s">
        <v>12</v>
      </c>
      <c r="F1542" s="2" t="s">
        <v>12</v>
      </c>
      <c r="G1542" s="2" t="s">
        <v>12</v>
      </c>
      <c r="H1542" s="2" t="s">
        <v>12</v>
      </c>
      <c r="I1542" s="2" t="s">
        <v>12</v>
      </c>
      <c r="J1542" s="2" t="s">
        <v>12</v>
      </c>
      <c r="K1542" s="2" t="s">
        <v>12</v>
      </c>
    </row>
    <row r="1543" spans="1:11" ht="12.5" x14ac:dyDescent="0.25">
      <c r="A1543" s="3" t="e">
        <f ca="1"/>
        <v>#NAME?</v>
      </c>
      <c r="B1543" s="2" t="s">
        <v>12</v>
      </c>
      <c r="C1543" s="2" t="s">
        <v>12</v>
      </c>
      <c r="D1543" s="2" t="s">
        <v>12</v>
      </c>
      <c r="E1543" s="2" t="s">
        <v>12</v>
      </c>
      <c r="F1543" s="2" t="s">
        <v>12</v>
      </c>
      <c r="G1543" s="2" t="s">
        <v>12</v>
      </c>
      <c r="H1543" s="2" t="s">
        <v>12</v>
      </c>
      <c r="I1543" s="2" t="s">
        <v>12</v>
      </c>
      <c r="J1543" s="2" t="s">
        <v>12</v>
      </c>
      <c r="K1543" s="2" t="s">
        <v>12</v>
      </c>
    </row>
    <row r="1544" spans="1:11" ht="12.5" x14ac:dyDescent="0.25">
      <c r="A1544" s="3" t="e">
        <f ca="1"/>
        <v>#NAME?</v>
      </c>
      <c r="B1544" s="2" t="s">
        <v>12</v>
      </c>
      <c r="C1544" s="2" t="s">
        <v>12</v>
      </c>
      <c r="D1544" s="2" t="s">
        <v>12</v>
      </c>
      <c r="E1544" s="2" t="s">
        <v>12</v>
      </c>
      <c r="F1544" s="2" t="s">
        <v>12</v>
      </c>
      <c r="G1544" s="2" t="s">
        <v>12</v>
      </c>
      <c r="H1544" s="2" t="s">
        <v>12</v>
      </c>
      <c r="I1544" s="2" t="s">
        <v>12</v>
      </c>
      <c r="J1544" s="2" t="s">
        <v>12</v>
      </c>
      <c r="K1544" s="2" t="s">
        <v>12</v>
      </c>
    </row>
    <row r="1545" spans="1:11" ht="12.5" x14ac:dyDescent="0.25">
      <c r="A1545" s="3" t="e">
        <f ca="1"/>
        <v>#NAME?</v>
      </c>
      <c r="B1545" s="2" t="s">
        <v>12</v>
      </c>
      <c r="C1545" s="2" t="s">
        <v>12</v>
      </c>
      <c r="D1545" s="2" t="s">
        <v>12</v>
      </c>
      <c r="E1545" s="2" t="s">
        <v>12</v>
      </c>
      <c r="F1545" s="2" t="s">
        <v>12</v>
      </c>
      <c r="G1545" s="2" t="s">
        <v>12</v>
      </c>
      <c r="H1545" s="2" t="s">
        <v>12</v>
      </c>
      <c r="I1545" s="2" t="s">
        <v>12</v>
      </c>
      <c r="J1545" s="2" t="s">
        <v>12</v>
      </c>
      <c r="K1545" s="2" t="s">
        <v>12</v>
      </c>
    </row>
    <row r="1546" spans="1:11" ht="12.5" x14ac:dyDescent="0.25">
      <c r="A1546" s="3" t="e">
        <f ca="1"/>
        <v>#NAME?</v>
      </c>
      <c r="B1546" s="2" t="s">
        <v>12</v>
      </c>
      <c r="C1546" s="2" t="s">
        <v>12</v>
      </c>
      <c r="D1546" s="2" t="s">
        <v>12</v>
      </c>
      <c r="E1546" s="2" t="s">
        <v>12</v>
      </c>
      <c r="F1546" s="2" t="s">
        <v>12</v>
      </c>
      <c r="G1546" s="2" t="s">
        <v>12</v>
      </c>
      <c r="H1546" s="2" t="s">
        <v>12</v>
      </c>
      <c r="I1546" s="2" t="s">
        <v>12</v>
      </c>
      <c r="J1546" s="2" t="s">
        <v>12</v>
      </c>
      <c r="K1546" s="2" t="s">
        <v>12</v>
      </c>
    </row>
    <row r="1547" spans="1:11" ht="12.5" x14ac:dyDescent="0.25">
      <c r="A1547" s="3" t="e">
        <f ca="1"/>
        <v>#NAME?</v>
      </c>
      <c r="B1547" s="2" t="s">
        <v>12</v>
      </c>
      <c r="C1547" s="2" t="s">
        <v>12</v>
      </c>
      <c r="D1547" s="2" t="s">
        <v>12</v>
      </c>
      <c r="E1547" s="2" t="s">
        <v>12</v>
      </c>
      <c r="F1547" s="2" t="s">
        <v>12</v>
      </c>
      <c r="G1547" s="2" t="s">
        <v>12</v>
      </c>
      <c r="H1547" s="2" t="s">
        <v>12</v>
      </c>
      <c r="I1547" s="2" t="s">
        <v>12</v>
      </c>
      <c r="J1547" s="2" t="s">
        <v>12</v>
      </c>
      <c r="K1547" s="2" t="s">
        <v>12</v>
      </c>
    </row>
    <row r="1548" spans="1:11" ht="12.5" x14ac:dyDescent="0.25">
      <c r="A1548" s="3" t="e">
        <f ca="1"/>
        <v>#NAME?</v>
      </c>
      <c r="B1548" s="2" t="s">
        <v>12</v>
      </c>
      <c r="C1548" s="2" t="s">
        <v>12</v>
      </c>
      <c r="D1548" s="2" t="s">
        <v>12</v>
      </c>
      <c r="E1548" s="2" t="s">
        <v>12</v>
      </c>
      <c r="F1548" s="2" t="s">
        <v>12</v>
      </c>
      <c r="G1548" s="2" t="s">
        <v>12</v>
      </c>
      <c r="H1548" s="2" t="s">
        <v>12</v>
      </c>
      <c r="I1548" s="2" t="s">
        <v>12</v>
      </c>
      <c r="J1548" s="2" t="s">
        <v>12</v>
      </c>
      <c r="K1548" s="2" t="s">
        <v>12</v>
      </c>
    </row>
    <row r="1549" spans="1:11" ht="12.5" x14ac:dyDescent="0.25">
      <c r="A1549" s="3" t="e">
        <f ca="1"/>
        <v>#NAME?</v>
      </c>
      <c r="B1549" s="2" t="s">
        <v>12</v>
      </c>
      <c r="C1549" s="2" t="s">
        <v>12</v>
      </c>
      <c r="D1549" s="2" t="s">
        <v>12</v>
      </c>
      <c r="E1549" s="2" t="s">
        <v>12</v>
      </c>
      <c r="F1549" s="2" t="s">
        <v>12</v>
      </c>
      <c r="G1549" s="2" t="s">
        <v>12</v>
      </c>
      <c r="H1549" s="2" t="s">
        <v>12</v>
      </c>
      <c r="I1549" s="2" t="s">
        <v>12</v>
      </c>
      <c r="J1549" s="2" t="s">
        <v>12</v>
      </c>
      <c r="K1549" s="2" t="s">
        <v>12</v>
      </c>
    </row>
    <row r="1550" spans="1:11" ht="12.5" x14ac:dyDescent="0.25">
      <c r="A1550" s="3" t="e">
        <f ca="1"/>
        <v>#NAME?</v>
      </c>
      <c r="B1550" s="2" t="s">
        <v>12</v>
      </c>
      <c r="C1550" s="2" t="s">
        <v>12</v>
      </c>
      <c r="D1550" s="2" t="s">
        <v>12</v>
      </c>
      <c r="E1550" s="2" t="s">
        <v>12</v>
      </c>
      <c r="F1550" s="2" t="s">
        <v>12</v>
      </c>
      <c r="G1550" s="2" t="s">
        <v>12</v>
      </c>
      <c r="H1550" s="2" t="s">
        <v>12</v>
      </c>
      <c r="I1550" s="2" t="s">
        <v>12</v>
      </c>
      <c r="J1550" s="2" t="s">
        <v>12</v>
      </c>
      <c r="K1550" s="2" t="s">
        <v>12</v>
      </c>
    </row>
    <row r="1551" spans="1:11" ht="12.5" x14ac:dyDescent="0.25">
      <c r="A1551" s="3" t="e">
        <f ca="1"/>
        <v>#NAME?</v>
      </c>
      <c r="B1551" s="2" t="s">
        <v>12</v>
      </c>
      <c r="C1551" s="2" t="s">
        <v>12</v>
      </c>
      <c r="D1551" s="2" t="s">
        <v>12</v>
      </c>
      <c r="E1551" s="2" t="s">
        <v>12</v>
      </c>
      <c r="F1551" s="2" t="s">
        <v>12</v>
      </c>
      <c r="G1551" s="2" t="s">
        <v>12</v>
      </c>
      <c r="H1551" s="2" t="s">
        <v>12</v>
      </c>
      <c r="I1551" s="2" t="s">
        <v>12</v>
      </c>
      <c r="J1551" s="2" t="s">
        <v>12</v>
      </c>
      <c r="K1551" s="2" t="s">
        <v>12</v>
      </c>
    </row>
    <row r="1552" spans="1:11" ht="12.5" x14ac:dyDescent="0.25">
      <c r="A1552" s="3" t="e">
        <f ca="1"/>
        <v>#NAME?</v>
      </c>
      <c r="B1552" s="2" t="s">
        <v>12</v>
      </c>
      <c r="C1552" s="2" t="s">
        <v>12</v>
      </c>
      <c r="D1552" s="2" t="s">
        <v>12</v>
      </c>
      <c r="E1552" s="2" t="s">
        <v>12</v>
      </c>
      <c r="F1552" s="2" t="s">
        <v>12</v>
      </c>
      <c r="G1552" s="2" t="s">
        <v>12</v>
      </c>
      <c r="H1552" s="2" t="s">
        <v>12</v>
      </c>
      <c r="I1552" s="2" t="s">
        <v>12</v>
      </c>
      <c r="J1552" s="2" t="s">
        <v>12</v>
      </c>
      <c r="K1552" s="2" t="s">
        <v>12</v>
      </c>
    </row>
    <row r="1553" spans="1:11" ht="12.5" x14ac:dyDescent="0.25">
      <c r="A1553" s="3" t="e">
        <f ca="1"/>
        <v>#NAME?</v>
      </c>
      <c r="B1553" s="2" t="s">
        <v>12</v>
      </c>
      <c r="C1553" s="2" t="s">
        <v>12</v>
      </c>
      <c r="D1553" s="2" t="s">
        <v>12</v>
      </c>
      <c r="E1553" s="2" t="s">
        <v>12</v>
      </c>
      <c r="F1553" s="2" t="s">
        <v>12</v>
      </c>
      <c r="G1553" s="2" t="s">
        <v>12</v>
      </c>
      <c r="H1553" s="2" t="s">
        <v>12</v>
      </c>
      <c r="I1553" s="2" t="s">
        <v>12</v>
      </c>
      <c r="J1553" s="2" t="s">
        <v>12</v>
      </c>
      <c r="K1553" s="2" t="s">
        <v>12</v>
      </c>
    </row>
    <row r="1554" spans="1:11" ht="12.5" x14ac:dyDescent="0.25">
      <c r="A1554" s="3" t="e">
        <f ca="1"/>
        <v>#NAME?</v>
      </c>
      <c r="B1554" s="2" t="s">
        <v>12</v>
      </c>
      <c r="C1554" s="2" t="s">
        <v>12</v>
      </c>
      <c r="D1554" s="2" t="s">
        <v>12</v>
      </c>
      <c r="E1554" s="2" t="s">
        <v>12</v>
      </c>
      <c r="F1554" s="2" t="s">
        <v>12</v>
      </c>
      <c r="G1554" s="2" t="s">
        <v>12</v>
      </c>
      <c r="H1554" s="2" t="s">
        <v>12</v>
      </c>
      <c r="I1554" s="2" t="s">
        <v>12</v>
      </c>
      <c r="J1554" s="2" t="s">
        <v>12</v>
      </c>
      <c r="K1554" s="2" t="s">
        <v>12</v>
      </c>
    </row>
    <row r="1555" spans="1:11" ht="12.5" x14ac:dyDescent="0.25">
      <c r="A1555" s="3" t="e">
        <f ca="1"/>
        <v>#NAME?</v>
      </c>
      <c r="B1555" s="2" t="s">
        <v>12</v>
      </c>
      <c r="C1555" s="2" t="s">
        <v>12</v>
      </c>
      <c r="D1555" s="2" t="s">
        <v>12</v>
      </c>
      <c r="E1555" s="2" t="s">
        <v>12</v>
      </c>
      <c r="F1555" s="2" t="s">
        <v>12</v>
      </c>
      <c r="G1555" s="2" t="s">
        <v>12</v>
      </c>
      <c r="H1555" s="2" t="s">
        <v>12</v>
      </c>
      <c r="I1555" s="2" t="s">
        <v>12</v>
      </c>
      <c r="J1555" s="2" t="s">
        <v>12</v>
      </c>
      <c r="K1555" s="2" t="s">
        <v>12</v>
      </c>
    </row>
    <row r="1556" spans="1:11" ht="12.5" x14ac:dyDescent="0.25">
      <c r="A1556" s="3" t="e">
        <f ca="1"/>
        <v>#NAME?</v>
      </c>
      <c r="B1556" s="2" t="s">
        <v>12</v>
      </c>
      <c r="C1556" s="2" t="s">
        <v>12</v>
      </c>
      <c r="D1556" s="2" t="s">
        <v>12</v>
      </c>
      <c r="E1556" s="2" t="s">
        <v>12</v>
      </c>
      <c r="F1556" s="2" t="s">
        <v>12</v>
      </c>
      <c r="G1556" s="2" t="s">
        <v>12</v>
      </c>
      <c r="H1556" s="2" t="s">
        <v>12</v>
      </c>
      <c r="I1556" s="2" t="s">
        <v>12</v>
      </c>
      <c r="J1556" s="2" t="s">
        <v>12</v>
      </c>
      <c r="K1556" s="2" t="s">
        <v>12</v>
      </c>
    </row>
    <row r="1557" spans="1:11" ht="12.5" x14ac:dyDescent="0.25">
      <c r="A1557" s="3" t="e">
        <f ca="1"/>
        <v>#NAME?</v>
      </c>
      <c r="B1557" s="2" t="s">
        <v>12</v>
      </c>
      <c r="C1557" s="2" t="s">
        <v>12</v>
      </c>
      <c r="D1557" s="2" t="s">
        <v>12</v>
      </c>
      <c r="E1557" s="2" t="s">
        <v>12</v>
      </c>
      <c r="F1557" s="2" t="s">
        <v>12</v>
      </c>
      <c r="G1557" s="2" t="s">
        <v>12</v>
      </c>
      <c r="H1557" s="2" t="s">
        <v>12</v>
      </c>
      <c r="I1557" s="2" t="s">
        <v>12</v>
      </c>
      <c r="J1557" s="2" t="s">
        <v>12</v>
      </c>
      <c r="K1557" s="2" t="s">
        <v>12</v>
      </c>
    </row>
    <row r="1558" spans="1:11" ht="12.5" x14ac:dyDescent="0.25">
      <c r="A1558" s="3" t="e">
        <f ca="1"/>
        <v>#NAME?</v>
      </c>
      <c r="B1558" s="2" t="s">
        <v>12</v>
      </c>
      <c r="C1558" s="2" t="s">
        <v>12</v>
      </c>
      <c r="D1558" s="2" t="s">
        <v>12</v>
      </c>
      <c r="E1558" s="2" t="s">
        <v>12</v>
      </c>
      <c r="F1558" s="2" t="s">
        <v>12</v>
      </c>
      <c r="G1558" s="2" t="s">
        <v>12</v>
      </c>
      <c r="H1558" s="2" t="s">
        <v>12</v>
      </c>
      <c r="I1558" s="2" t="s">
        <v>12</v>
      </c>
      <c r="J1558" s="2" t="s">
        <v>12</v>
      </c>
      <c r="K1558" s="2" t="s">
        <v>12</v>
      </c>
    </row>
    <row r="1559" spans="1:11" ht="12.5" x14ac:dyDescent="0.25">
      <c r="A1559" s="3" t="e">
        <f ca="1"/>
        <v>#NAME?</v>
      </c>
      <c r="B1559" s="2" t="s">
        <v>12</v>
      </c>
      <c r="C1559" s="2" t="s">
        <v>12</v>
      </c>
      <c r="D1559" s="2" t="s">
        <v>12</v>
      </c>
      <c r="E1559" s="2" t="s">
        <v>12</v>
      </c>
      <c r="F1559" s="2" t="s">
        <v>12</v>
      </c>
      <c r="G1559" s="2" t="s">
        <v>12</v>
      </c>
      <c r="H1559" s="2" t="s">
        <v>12</v>
      </c>
      <c r="I1559" s="2" t="s">
        <v>12</v>
      </c>
      <c r="J1559" s="2" t="s">
        <v>12</v>
      </c>
      <c r="K1559" s="2" t="s">
        <v>12</v>
      </c>
    </row>
    <row r="1560" spans="1:11" ht="12.5" x14ac:dyDescent="0.25">
      <c r="A1560" s="3" t="e">
        <f ca="1"/>
        <v>#NAME?</v>
      </c>
      <c r="B1560" s="2" t="s">
        <v>12</v>
      </c>
      <c r="C1560" s="2" t="s">
        <v>12</v>
      </c>
      <c r="D1560" s="2" t="s">
        <v>12</v>
      </c>
      <c r="E1560" s="2" t="s">
        <v>12</v>
      </c>
      <c r="F1560" s="2" t="s">
        <v>12</v>
      </c>
      <c r="G1560" s="2" t="s">
        <v>12</v>
      </c>
      <c r="H1560" s="2" t="s">
        <v>12</v>
      </c>
      <c r="I1560" s="2" t="s">
        <v>12</v>
      </c>
      <c r="J1560" s="2" t="s">
        <v>12</v>
      </c>
      <c r="K1560" s="2" t="s">
        <v>12</v>
      </c>
    </row>
    <row r="1561" spans="1:11" ht="12.5" x14ac:dyDescent="0.25">
      <c r="A1561" s="3" t="e">
        <f ca="1"/>
        <v>#NAME?</v>
      </c>
      <c r="B1561" s="2" t="s">
        <v>12</v>
      </c>
      <c r="C1561" s="2" t="s">
        <v>12</v>
      </c>
      <c r="D1561" s="2" t="s">
        <v>12</v>
      </c>
      <c r="E1561" s="2" t="s">
        <v>12</v>
      </c>
      <c r="F1561" s="2" t="s">
        <v>12</v>
      </c>
      <c r="G1561" s="2" t="s">
        <v>12</v>
      </c>
      <c r="H1561" s="2" t="s">
        <v>12</v>
      </c>
      <c r="I1561" s="2" t="s">
        <v>12</v>
      </c>
      <c r="J1561" s="2" t="s">
        <v>12</v>
      </c>
      <c r="K1561" s="2" t="s">
        <v>12</v>
      </c>
    </row>
    <row r="1562" spans="1:11" ht="12.5" x14ac:dyDescent="0.25">
      <c r="A1562" s="3" t="e">
        <f ca="1"/>
        <v>#NAME?</v>
      </c>
      <c r="B1562" s="2" t="s">
        <v>12</v>
      </c>
      <c r="C1562" s="2" t="s">
        <v>12</v>
      </c>
      <c r="D1562" s="2" t="s">
        <v>12</v>
      </c>
      <c r="E1562" s="2" t="s">
        <v>12</v>
      </c>
      <c r="F1562" s="2" t="s">
        <v>12</v>
      </c>
      <c r="G1562" s="2" t="s">
        <v>12</v>
      </c>
      <c r="H1562" s="2" t="s">
        <v>12</v>
      </c>
      <c r="I1562" s="2" t="s">
        <v>12</v>
      </c>
      <c r="J1562" s="2" t="s">
        <v>12</v>
      </c>
      <c r="K1562" s="2" t="s">
        <v>12</v>
      </c>
    </row>
    <row r="1563" spans="1:11" ht="12.5" x14ac:dyDescent="0.25">
      <c r="A1563" s="3" t="e">
        <f ca="1"/>
        <v>#NAME?</v>
      </c>
      <c r="B1563" s="2" t="s">
        <v>12</v>
      </c>
      <c r="C1563" s="2" t="s">
        <v>12</v>
      </c>
      <c r="D1563" s="2" t="s">
        <v>12</v>
      </c>
      <c r="E1563" s="2" t="s">
        <v>12</v>
      </c>
      <c r="F1563" s="2" t="s">
        <v>12</v>
      </c>
      <c r="G1563" s="2" t="s">
        <v>12</v>
      </c>
      <c r="H1563" s="2" t="s">
        <v>12</v>
      </c>
      <c r="I1563" s="2" t="s">
        <v>12</v>
      </c>
      <c r="J1563" s="2" t="s">
        <v>12</v>
      </c>
      <c r="K1563" s="2" t="s">
        <v>12</v>
      </c>
    </row>
    <row r="1564" spans="1:11" ht="12.5" x14ac:dyDescent="0.25">
      <c r="A1564" s="3" t="e">
        <f ca="1"/>
        <v>#NAME?</v>
      </c>
      <c r="B1564" s="2" t="s">
        <v>12</v>
      </c>
      <c r="C1564" s="2" t="s">
        <v>12</v>
      </c>
      <c r="D1564" s="2" t="s">
        <v>12</v>
      </c>
      <c r="E1564" s="2" t="s">
        <v>12</v>
      </c>
      <c r="F1564" s="2" t="s">
        <v>12</v>
      </c>
      <c r="G1564" s="2" t="s">
        <v>12</v>
      </c>
      <c r="H1564" s="2" t="s">
        <v>12</v>
      </c>
      <c r="I1564" s="2" t="s">
        <v>12</v>
      </c>
      <c r="J1564" s="2" t="s">
        <v>12</v>
      </c>
      <c r="K1564" s="2" t="s">
        <v>12</v>
      </c>
    </row>
    <row r="1565" spans="1:11" ht="12.5" x14ac:dyDescent="0.25">
      <c r="A1565" s="3" t="e">
        <f ca="1"/>
        <v>#NAME?</v>
      </c>
      <c r="B1565" s="2" t="s">
        <v>12</v>
      </c>
      <c r="C1565" s="2" t="s">
        <v>12</v>
      </c>
      <c r="D1565" s="2" t="s">
        <v>12</v>
      </c>
      <c r="E1565" s="2" t="s">
        <v>12</v>
      </c>
      <c r="F1565" s="2" t="s">
        <v>12</v>
      </c>
      <c r="G1565" s="2" t="s">
        <v>12</v>
      </c>
      <c r="H1565" s="2" t="s">
        <v>12</v>
      </c>
      <c r="I1565" s="2" t="s">
        <v>12</v>
      </c>
      <c r="J1565" s="2" t="s">
        <v>12</v>
      </c>
      <c r="K1565" s="2" t="s">
        <v>12</v>
      </c>
    </row>
    <row r="1566" spans="1:11" ht="12.5" x14ac:dyDescent="0.25">
      <c r="A1566" s="3" t="e">
        <f ca="1"/>
        <v>#NAME?</v>
      </c>
      <c r="B1566" s="2" t="s">
        <v>12</v>
      </c>
      <c r="C1566" s="2" t="s">
        <v>12</v>
      </c>
      <c r="D1566" s="2" t="s">
        <v>12</v>
      </c>
      <c r="E1566" s="2" t="s">
        <v>12</v>
      </c>
      <c r="F1566" s="2" t="s">
        <v>12</v>
      </c>
      <c r="G1566" s="2" t="s">
        <v>12</v>
      </c>
      <c r="H1566" s="2" t="s">
        <v>12</v>
      </c>
      <c r="I1566" s="2" t="s">
        <v>12</v>
      </c>
      <c r="J1566" s="2" t="s">
        <v>12</v>
      </c>
      <c r="K1566" s="2" t="s">
        <v>12</v>
      </c>
    </row>
    <row r="1567" spans="1:11" ht="12.5" x14ac:dyDescent="0.25">
      <c r="A1567" s="3" t="e">
        <f ca="1"/>
        <v>#NAME?</v>
      </c>
      <c r="B1567" s="2" t="s">
        <v>12</v>
      </c>
      <c r="C1567" s="2" t="s">
        <v>12</v>
      </c>
      <c r="D1567" s="2" t="s">
        <v>12</v>
      </c>
      <c r="E1567" s="2" t="s">
        <v>12</v>
      </c>
      <c r="F1567" s="2" t="s">
        <v>12</v>
      </c>
      <c r="G1567" s="2" t="s">
        <v>12</v>
      </c>
      <c r="H1567" s="2" t="s">
        <v>12</v>
      </c>
      <c r="I1567" s="2" t="s">
        <v>12</v>
      </c>
      <c r="J1567" s="2" t="s">
        <v>12</v>
      </c>
      <c r="K1567" s="2" t="s">
        <v>12</v>
      </c>
    </row>
    <row r="1568" spans="1:11" ht="12.5" x14ac:dyDescent="0.25">
      <c r="A1568" s="3" t="e">
        <f ca="1"/>
        <v>#NAME?</v>
      </c>
      <c r="B1568" s="2" t="s">
        <v>12</v>
      </c>
      <c r="C1568" s="2" t="s">
        <v>12</v>
      </c>
      <c r="D1568" s="2" t="s">
        <v>12</v>
      </c>
      <c r="E1568" s="2" t="s">
        <v>12</v>
      </c>
      <c r="F1568" s="2" t="s">
        <v>12</v>
      </c>
      <c r="G1568" s="2" t="s">
        <v>12</v>
      </c>
      <c r="H1568" s="2" t="s">
        <v>12</v>
      </c>
      <c r="I1568" s="2" t="s">
        <v>12</v>
      </c>
      <c r="J1568" s="2" t="s">
        <v>12</v>
      </c>
      <c r="K1568" s="2" t="s">
        <v>12</v>
      </c>
    </row>
    <row r="1569" spans="1:11" ht="12.5" x14ac:dyDescent="0.25">
      <c r="A1569" s="3" t="e">
        <f ca="1"/>
        <v>#NAME?</v>
      </c>
      <c r="B1569" s="2" t="s">
        <v>12</v>
      </c>
      <c r="C1569" s="2" t="s">
        <v>12</v>
      </c>
      <c r="D1569" s="2" t="s">
        <v>12</v>
      </c>
      <c r="E1569" s="2" t="s">
        <v>12</v>
      </c>
      <c r="F1569" s="2" t="s">
        <v>12</v>
      </c>
      <c r="G1569" s="2" t="s">
        <v>12</v>
      </c>
      <c r="H1569" s="2" t="s">
        <v>12</v>
      </c>
      <c r="I1569" s="2" t="s">
        <v>12</v>
      </c>
      <c r="J1569" s="2" t="s">
        <v>12</v>
      </c>
      <c r="K1569" s="2" t="s">
        <v>12</v>
      </c>
    </row>
    <row r="1570" spans="1:11" ht="12.5" x14ac:dyDescent="0.25">
      <c r="A1570" s="3" t="e">
        <f ca="1"/>
        <v>#NAME?</v>
      </c>
      <c r="B1570" s="2" t="s">
        <v>12</v>
      </c>
      <c r="C1570" s="2" t="s">
        <v>12</v>
      </c>
      <c r="D1570" s="2" t="s">
        <v>12</v>
      </c>
      <c r="E1570" s="2" t="s">
        <v>12</v>
      </c>
      <c r="F1570" s="2" t="s">
        <v>12</v>
      </c>
      <c r="G1570" s="2" t="s">
        <v>12</v>
      </c>
      <c r="H1570" s="2" t="s">
        <v>12</v>
      </c>
      <c r="I1570" s="2" t="s">
        <v>12</v>
      </c>
      <c r="J1570" s="2" t="s">
        <v>12</v>
      </c>
      <c r="K1570" s="2" t="s">
        <v>12</v>
      </c>
    </row>
    <row r="1571" spans="1:11" ht="12.5" x14ac:dyDescent="0.25">
      <c r="A1571" s="3" t="e">
        <f ca="1"/>
        <v>#NAME?</v>
      </c>
      <c r="B1571" s="2" t="s">
        <v>12</v>
      </c>
      <c r="C1571" s="2" t="s">
        <v>12</v>
      </c>
      <c r="D1571" s="2" t="s">
        <v>12</v>
      </c>
      <c r="E1571" s="2" t="s">
        <v>12</v>
      </c>
      <c r="F1571" s="2" t="s">
        <v>12</v>
      </c>
      <c r="G1571" s="2" t="s">
        <v>12</v>
      </c>
      <c r="H1571" s="2" t="s">
        <v>12</v>
      </c>
      <c r="I1571" s="2" t="s">
        <v>12</v>
      </c>
      <c r="J1571" s="2" t="s">
        <v>12</v>
      </c>
      <c r="K1571" s="2" t="s">
        <v>12</v>
      </c>
    </row>
    <row r="1572" spans="1:11" ht="12.5" x14ac:dyDescent="0.25">
      <c r="A1572" s="3" t="e">
        <f ca="1"/>
        <v>#NAME?</v>
      </c>
      <c r="B1572" s="2" t="s">
        <v>12</v>
      </c>
      <c r="C1572" s="2" t="s">
        <v>12</v>
      </c>
      <c r="D1572" s="2" t="s">
        <v>12</v>
      </c>
      <c r="E1572" s="2" t="s">
        <v>12</v>
      </c>
      <c r="F1572" s="2" t="s">
        <v>12</v>
      </c>
      <c r="G1572" s="2" t="s">
        <v>12</v>
      </c>
      <c r="H1572" s="2" t="s">
        <v>12</v>
      </c>
      <c r="I1572" s="2" t="s">
        <v>12</v>
      </c>
      <c r="J1572" s="2" t="s">
        <v>12</v>
      </c>
      <c r="K1572" s="2" t="s">
        <v>12</v>
      </c>
    </row>
    <row r="1573" spans="1:11" ht="12.5" x14ac:dyDescent="0.25">
      <c r="A1573" s="3" t="e">
        <f ca="1"/>
        <v>#NAME?</v>
      </c>
      <c r="B1573" s="2" t="s">
        <v>12</v>
      </c>
      <c r="C1573" s="2" t="s">
        <v>12</v>
      </c>
      <c r="D1573" s="2" t="s">
        <v>12</v>
      </c>
      <c r="E1573" s="2" t="s">
        <v>12</v>
      </c>
      <c r="F1573" s="2" t="s">
        <v>12</v>
      </c>
      <c r="G1573" s="2" t="s">
        <v>12</v>
      </c>
      <c r="H1573" s="2" t="s">
        <v>12</v>
      </c>
      <c r="I1573" s="2" t="s">
        <v>12</v>
      </c>
      <c r="J1573" s="2" t="s">
        <v>12</v>
      </c>
      <c r="K1573" s="2" t="s">
        <v>12</v>
      </c>
    </row>
    <row r="1574" spans="1:11" ht="12.5" x14ac:dyDescent="0.25">
      <c r="A1574" s="3" t="e">
        <f ca="1"/>
        <v>#NAME?</v>
      </c>
      <c r="B1574" s="2" t="s">
        <v>12</v>
      </c>
      <c r="C1574" s="2" t="s">
        <v>12</v>
      </c>
      <c r="D1574" s="2" t="s">
        <v>12</v>
      </c>
      <c r="E1574" s="2" t="s">
        <v>12</v>
      </c>
      <c r="F1574" s="2" t="s">
        <v>12</v>
      </c>
      <c r="G1574" s="2" t="s">
        <v>12</v>
      </c>
      <c r="H1574" s="2" t="s">
        <v>12</v>
      </c>
      <c r="I1574" s="2" t="s">
        <v>12</v>
      </c>
      <c r="J1574" s="2" t="s">
        <v>12</v>
      </c>
      <c r="K1574" s="2" t="s">
        <v>12</v>
      </c>
    </row>
    <row r="1575" spans="1:11" ht="12.5" x14ac:dyDescent="0.25">
      <c r="A1575" s="3" t="e">
        <f ca="1"/>
        <v>#NAME?</v>
      </c>
      <c r="B1575" s="2" t="s">
        <v>12</v>
      </c>
      <c r="C1575" s="2" t="s">
        <v>12</v>
      </c>
      <c r="D1575" s="2" t="s">
        <v>12</v>
      </c>
      <c r="E1575" s="2" t="s">
        <v>12</v>
      </c>
      <c r="F1575" s="2" t="s">
        <v>12</v>
      </c>
      <c r="G1575" s="2" t="s">
        <v>12</v>
      </c>
      <c r="H1575" s="2" t="s">
        <v>12</v>
      </c>
      <c r="I1575" s="2" t="s">
        <v>12</v>
      </c>
      <c r="J1575" s="2" t="s">
        <v>12</v>
      </c>
      <c r="K1575" s="2" t="s">
        <v>12</v>
      </c>
    </row>
    <row r="1576" spans="1:11" ht="12.5" x14ac:dyDescent="0.25">
      <c r="A1576" s="3" t="e">
        <f ca="1"/>
        <v>#NAME?</v>
      </c>
      <c r="B1576" s="2" t="s">
        <v>12</v>
      </c>
      <c r="C1576" s="2" t="s">
        <v>12</v>
      </c>
      <c r="D1576" s="2" t="s">
        <v>12</v>
      </c>
      <c r="E1576" s="2" t="s">
        <v>12</v>
      </c>
      <c r="F1576" s="2" t="s">
        <v>12</v>
      </c>
      <c r="G1576" s="2" t="s">
        <v>12</v>
      </c>
      <c r="H1576" s="2" t="s">
        <v>12</v>
      </c>
      <c r="I1576" s="2" t="s">
        <v>12</v>
      </c>
      <c r="J1576" s="2" t="s">
        <v>12</v>
      </c>
      <c r="K1576" s="2" t="s">
        <v>12</v>
      </c>
    </row>
    <row r="1577" spans="1:11" ht="12.5" x14ac:dyDescent="0.25">
      <c r="A1577" s="3" t="e">
        <f ca="1"/>
        <v>#NAME?</v>
      </c>
      <c r="B1577" s="2" t="s">
        <v>12</v>
      </c>
      <c r="C1577" s="2" t="s">
        <v>12</v>
      </c>
      <c r="D1577" s="2" t="s">
        <v>12</v>
      </c>
      <c r="E1577" s="2" t="s">
        <v>12</v>
      </c>
      <c r="F1577" s="2" t="s">
        <v>12</v>
      </c>
      <c r="G1577" s="2" t="s">
        <v>12</v>
      </c>
      <c r="H1577" s="2" t="s">
        <v>12</v>
      </c>
      <c r="I1577" s="2" t="s">
        <v>12</v>
      </c>
      <c r="J1577" s="2" t="s">
        <v>12</v>
      </c>
      <c r="K1577" s="2" t="s">
        <v>12</v>
      </c>
    </row>
    <row r="1578" spans="1:11" ht="12.5" x14ac:dyDescent="0.25">
      <c r="A1578" s="3" t="e">
        <f ca="1"/>
        <v>#NAME?</v>
      </c>
      <c r="B1578" s="2" t="s">
        <v>12</v>
      </c>
      <c r="C1578" s="2" t="s">
        <v>12</v>
      </c>
      <c r="D1578" s="2" t="s">
        <v>12</v>
      </c>
      <c r="E1578" s="2" t="s">
        <v>12</v>
      </c>
      <c r="F1578" s="2" t="s">
        <v>12</v>
      </c>
      <c r="G1578" s="2" t="s">
        <v>12</v>
      </c>
      <c r="H1578" s="2" t="s">
        <v>12</v>
      </c>
      <c r="I1578" s="2" t="s">
        <v>12</v>
      </c>
      <c r="J1578" s="2" t="s">
        <v>12</v>
      </c>
      <c r="K1578" s="2" t="s">
        <v>12</v>
      </c>
    </row>
    <row r="1579" spans="1:11" ht="12.5" x14ac:dyDescent="0.25">
      <c r="A1579" s="3" t="e">
        <f ca="1"/>
        <v>#NAME?</v>
      </c>
      <c r="B1579" s="2" t="s">
        <v>12</v>
      </c>
      <c r="C1579" s="2" t="s">
        <v>12</v>
      </c>
      <c r="D1579" s="2" t="s">
        <v>12</v>
      </c>
      <c r="E1579" s="2" t="s">
        <v>12</v>
      </c>
      <c r="F1579" s="2" t="s">
        <v>12</v>
      </c>
      <c r="G1579" s="2" t="s">
        <v>12</v>
      </c>
      <c r="H1579" s="2" t="s">
        <v>12</v>
      </c>
      <c r="I1579" s="2" t="s">
        <v>12</v>
      </c>
      <c r="J1579" s="2" t="s">
        <v>12</v>
      </c>
      <c r="K1579" s="2" t="s">
        <v>12</v>
      </c>
    </row>
    <row r="1580" spans="1:11" ht="12.5" x14ac:dyDescent="0.25">
      <c r="A1580" s="3" t="e">
        <f ca="1"/>
        <v>#NAME?</v>
      </c>
      <c r="B1580" s="2" t="s">
        <v>12</v>
      </c>
      <c r="C1580" s="2" t="s">
        <v>12</v>
      </c>
      <c r="D1580" s="2" t="s">
        <v>12</v>
      </c>
      <c r="E1580" s="2" t="s">
        <v>12</v>
      </c>
      <c r="F1580" s="2" t="s">
        <v>12</v>
      </c>
      <c r="G1580" s="2" t="s">
        <v>12</v>
      </c>
      <c r="H1580" s="2" t="s">
        <v>12</v>
      </c>
      <c r="I1580" s="2" t="s">
        <v>12</v>
      </c>
      <c r="J1580" s="2" t="s">
        <v>12</v>
      </c>
      <c r="K1580" s="2" t="s">
        <v>12</v>
      </c>
    </row>
    <row r="1581" spans="1:11" ht="12.5" x14ac:dyDescent="0.25">
      <c r="A1581" s="3" t="e">
        <f ca="1"/>
        <v>#NAME?</v>
      </c>
      <c r="B1581" s="2" t="s">
        <v>12</v>
      </c>
      <c r="C1581" s="2" t="s">
        <v>12</v>
      </c>
      <c r="D1581" s="2" t="s">
        <v>12</v>
      </c>
      <c r="E1581" s="2" t="s">
        <v>12</v>
      </c>
      <c r="F1581" s="2" t="s">
        <v>12</v>
      </c>
      <c r="G1581" s="2" t="s">
        <v>12</v>
      </c>
      <c r="H1581" s="2" t="s">
        <v>12</v>
      </c>
      <c r="I1581" s="2" t="s">
        <v>12</v>
      </c>
      <c r="J1581" s="2" t="s">
        <v>12</v>
      </c>
      <c r="K1581" s="2" t="s">
        <v>12</v>
      </c>
    </row>
    <row r="1582" spans="1:11" ht="12.5" x14ac:dyDescent="0.25">
      <c r="A1582" s="3" t="e">
        <f ca="1"/>
        <v>#NAME?</v>
      </c>
      <c r="B1582" s="2" t="s">
        <v>12</v>
      </c>
      <c r="C1582" s="2" t="s">
        <v>12</v>
      </c>
      <c r="D1582" s="2" t="s">
        <v>12</v>
      </c>
      <c r="E1582" s="2" t="s">
        <v>12</v>
      </c>
      <c r="F1582" s="2" t="s">
        <v>12</v>
      </c>
      <c r="G1582" s="2" t="s">
        <v>12</v>
      </c>
      <c r="H1582" s="2" t="s">
        <v>12</v>
      </c>
      <c r="I1582" s="2" t="s">
        <v>12</v>
      </c>
      <c r="J1582" s="2" t="s">
        <v>12</v>
      </c>
      <c r="K1582" s="2" t="s">
        <v>12</v>
      </c>
    </row>
    <row r="1583" spans="1:11" ht="12.5" x14ac:dyDescent="0.25">
      <c r="A1583" s="3" t="e">
        <f ca="1"/>
        <v>#NAME?</v>
      </c>
      <c r="B1583" s="2" t="s">
        <v>12</v>
      </c>
      <c r="C1583" s="2" t="s">
        <v>12</v>
      </c>
      <c r="D1583" s="2" t="s">
        <v>12</v>
      </c>
      <c r="E1583" s="2" t="s">
        <v>12</v>
      </c>
      <c r="F1583" s="2" t="s">
        <v>12</v>
      </c>
      <c r="G1583" s="2" t="s">
        <v>12</v>
      </c>
      <c r="H1583" s="2" t="s">
        <v>12</v>
      </c>
      <c r="I1583" s="2" t="s">
        <v>12</v>
      </c>
      <c r="J1583" s="2" t="s">
        <v>12</v>
      </c>
      <c r="K1583" s="2" t="s">
        <v>12</v>
      </c>
    </row>
    <row r="1584" spans="1:11" ht="12.5" x14ac:dyDescent="0.25">
      <c r="A1584" s="3" t="e">
        <f ca="1"/>
        <v>#NAME?</v>
      </c>
      <c r="B1584" s="2" t="s">
        <v>12</v>
      </c>
      <c r="C1584" s="2" t="s">
        <v>12</v>
      </c>
      <c r="D1584" s="2" t="s">
        <v>12</v>
      </c>
      <c r="E1584" s="2" t="s">
        <v>12</v>
      </c>
      <c r="F1584" s="2" t="s">
        <v>12</v>
      </c>
      <c r="G1584" s="2" t="s">
        <v>12</v>
      </c>
      <c r="H1584" s="2" t="s">
        <v>12</v>
      </c>
      <c r="I1584" s="2" t="s">
        <v>12</v>
      </c>
      <c r="J1584" s="2" t="s">
        <v>12</v>
      </c>
      <c r="K1584" s="2" t="s">
        <v>12</v>
      </c>
    </row>
    <row r="1585" spans="1:11" ht="12.5" x14ac:dyDescent="0.25">
      <c r="A1585" s="3" t="e">
        <f ca="1"/>
        <v>#NAME?</v>
      </c>
      <c r="B1585" s="2" t="s">
        <v>12</v>
      </c>
      <c r="C1585" s="2" t="s">
        <v>12</v>
      </c>
      <c r="D1585" s="2" t="s">
        <v>12</v>
      </c>
      <c r="E1585" s="2" t="s">
        <v>12</v>
      </c>
      <c r="F1585" s="2" t="s">
        <v>12</v>
      </c>
      <c r="G1585" s="2" t="s">
        <v>12</v>
      </c>
      <c r="H1585" s="2" t="s">
        <v>12</v>
      </c>
      <c r="I1585" s="2" t="s">
        <v>12</v>
      </c>
      <c r="J1585" s="2" t="s">
        <v>12</v>
      </c>
      <c r="K1585" s="2" t="s">
        <v>12</v>
      </c>
    </row>
    <row r="1586" spans="1:11" ht="12.5" x14ac:dyDescent="0.25">
      <c r="A1586" s="3" t="e">
        <f ca="1"/>
        <v>#NAME?</v>
      </c>
      <c r="B1586" s="2" t="s">
        <v>12</v>
      </c>
      <c r="C1586" s="2" t="s">
        <v>12</v>
      </c>
      <c r="D1586" s="2" t="s">
        <v>12</v>
      </c>
      <c r="E1586" s="2" t="s">
        <v>12</v>
      </c>
      <c r="F1586" s="2" t="s">
        <v>12</v>
      </c>
      <c r="G1586" s="2" t="s">
        <v>12</v>
      </c>
      <c r="H1586" s="2" t="s">
        <v>12</v>
      </c>
      <c r="I1586" s="2" t="s">
        <v>12</v>
      </c>
      <c r="J1586" s="2" t="s">
        <v>12</v>
      </c>
      <c r="K1586" s="2" t="s">
        <v>12</v>
      </c>
    </row>
    <row r="1587" spans="1:11" ht="12.5" x14ac:dyDescent="0.25">
      <c r="A1587" s="3" t="e">
        <f ca="1"/>
        <v>#NAME?</v>
      </c>
      <c r="B1587" s="2" t="s">
        <v>12</v>
      </c>
      <c r="C1587" s="2" t="s">
        <v>12</v>
      </c>
      <c r="D1587" s="2" t="s">
        <v>12</v>
      </c>
      <c r="E1587" s="2" t="s">
        <v>12</v>
      </c>
      <c r="F1587" s="2" t="s">
        <v>12</v>
      </c>
      <c r="G1587" s="2" t="s">
        <v>12</v>
      </c>
      <c r="H1587" s="2" t="s">
        <v>12</v>
      </c>
      <c r="I1587" s="2" t="s">
        <v>12</v>
      </c>
      <c r="J1587" s="2" t="s">
        <v>12</v>
      </c>
      <c r="K1587" s="2" t="s">
        <v>12</v>
      </c>
    </row>
    <row r="1588" spans="1:11" ht="12.5" x14ac:dyDescent="0.25">
      <c r="A1588" s="3" t="e">
        <f ca="1"/>
        <v>#NAME?</v>
      </c>
      <c r="B1588" s="2" t="s">
        <v>12</v>
      </c>
      <c r="C1588" s="2" t="s">
        <v>12</v>
      </c>
      <c r="D1588" s="2" t="s">
        <v>12</v>
      </c>
      <c r="E1588" s="2" t="s">
        <v>12</v>
      </c>
      <c r="F1588" s="2" t="s">
        <v>12</v>
      </c>
      <c r="G1588" s="2" t="s">
        <v>12</v>
      </c>
      <c r="H1588" s="2" t="s">
        <v>12</v>
      </c>
      <c r="I1588" s="2" t="s">
        <v>12</v>
      </c>
      <c r="J1588" s="2" t="s">
        <v>12</v>
      </c>
      <c r="K1588" s="2" t="s">
        <v>12</v>
      </c>
    </row>
    <row r="1589" spans="1:11" ht="12.5" x14ac:dyDescent="0.25">
      <c r="A1589" s="3" t="e">
        <f ca="1"/>
        <v>#NAME?</v>
      </c>
      <c r="B1589" s="2" t="s">
        <v>12</v>
      </c>
      <c r="C1589" s="2" t="s">
        <v>12</v>
      </c>
      <c r="D1589" s="2" t="s">
        <v>12</v>
      </c>
      <c r="E1589" s="2" t="s">
        <v>12</v>
      </c>
      <c r="F1589" s="2" t="s">
        <v>12</v>
      </c>
      <c r="G1589" s="2" t="s">
        <v>12</v>
      </c>
      <c r="H1589" s="2" t="s">
        <v>12</v>
      </c>
      <c r="I1589" s="2" t="s">
        <v>12</v>
      </c>
      <c r="J1589" s="2" t="s">
        <v>12</v>
      </c>
      <c r="K1589" s="2" t="s">
        <v>12</v>
      </c>
    </row>
    <row r="1590" spans="1:11" ht="12.5" x14ac:dyDescent="0.25">
      <c r="A1590" s="3" t="e">
        <f ca="1"/>
        <v>#NAME?</v>
      </c>
      <c r="B1590" s="2" t="s">
        <v>12</v>
      </c>
      <c r="C1590" s="2" t="s">
        <v>12</v>
      </c>
      <c r="D1590" s="2" t="s">
        <v>12</v>
      </c>
      <c r="E1590" s="2" t="s">
        <v>12</v>
      </c>
      <c r="F1590" s="2" t="s">
        <v>12</v>
      </c>
      <c r="G1590" s="2" t="s">
        <v>12</v>
      </c>
      <c r="H1590" s="2" t="s">
        <v>12</v>
      </c>
      <c r="I1590" s="2" t="s">
        <v>12</v>
      </c>
      <c r="J1590" s="2" t="s">
        <v>12</v>
      </c>
      <c r="K1590" s="2" t="s">
        <v>12</v>
      </c>
    </row>
    <row r="1591" spans="1:11" ht="12.5" x14ac:dyDescent="0.25">
      <c r="A1591" s="3" t="e">
        <f ca="1"/>
        <v>#NAME?</v>
      </c>
      <c r="B1591" s="2" t="s">
        <v>12</v>
      </c>
      <c r="C1591" s="2" t="s">
        <v>12</v>
      </c>
      <c r="D1591" s="2" t="s">
        <v>12</v>
      </c>
      <c r="E1591" s="2" t="s">
        <v>12</v>
      </c>
      <c r="F1591" s="2" t="s">
        <v>12</v>
      </c>
      <c r="G1591" s="2" t="s">
        <v>12</v>
      </c>
      <c r="H1591" s="2" t="s">
        <v>12</v>
      </c>
      <c r="I1591" s="2" t="s">
        <v>12</v>
      </c>
      <c r="J1591" s="2" t="s">
        <v>12</v>
      </c>
      <c r="K1591" s="2" t="s">
        <v>12</v>
      </c>
    </row>
    <row r="1592" spans="1:11" ht="12.5" x14ac:dyDescent="0.25">
      <c r="A1592" s="3" t="e">
        <f ca="1"/>
        <v>#NAME?</v>
      </c>
      <c r="B1592" s="2" t="s">
        <v>12</v>
      </c>
      <c r="C1592" s="2" t="s">
        <v>12</v>
      </c>
      <c r="D1592" s="2" t="s">
        <v>12</v>
      </c>
      <c r="E1592" s="2" t="s">
        <v>12</v>
      </c>
      <c r="F1592" s="2" t="s">
        <v>12</v>
      </c>
      <c r="G1592" s="2" t="s">
        <v>12</v>
      </c>
      <c r="H1592" s="2" t="s">
        <v>12</v>
      </c>
      <c r="I1592" s="2" t="s">
        <v>12</v>
      </c>
      <c r="J1592" s="2" t="s">
        <v>12</v>
      </c>
      <c r="K1592" s="2" t="s">
        <v>12</v>
      </c>
    </row>
    <row r="1593" spans="1:11" ht="12.5" x14ac:dyDescent="0.25">
      <c r="A1593" s="3" t="e">
        <f ca="1"/>
        <v>#NAME?</v>
      </c>
      <c r="B1593" s="2" t="s">
        <v>12</v>
      </c>
      <c r="C1593" s="2" t="s">
        <v>12</v>
      </c>
      <c r="D1593" s="2" t="s">
        <v>12</v>
      </c>
      <c r="E1593" s="2" t="s">
        <v>12</v>
      </c>
      <c r="F1593" s="2" t="s">
        <v>12</v>
      </c>
      <c r="G1593" s="2" t="s">
        <v>12</v>
      </c>
      <c r="H1593" s="2" t="s">
        <v>12</v>
      </c>
      <c r="I1593" s="2" t="s">
        <v>12</v>
      </c>
      <c r="J1593" s="2" t="s">
        <v>12</v>
      </c>
      <c r="K1593" s="2" t="s">
        <v>12</v>
      </c>
    </row>
    <row r="1594" spans="1:11" ht="12.5" x14ac:dyDescent="0.25">
      <c r="A1594" s="3" t="e">
        <f ca="1"/>
        <v>#NAME?</v>
      </c>
      <c r="B1594" s="2" t="s">
        <v>12</v>
      </c>
      <c r="C1594" s="2" t="s">
        <v>12</v>
      </c>
      <c r="D1594" s="2" t="s">
        <v>12</v>
      </c>
      <c r="E1594" s="2" t="s">
        <v>12</v>
      </c>
      <c r="F1594" s="2" t="s">
        <v>12</v>
      </c>
      <c r="G1594" s="2" t="s">
        <v>12</v>
      </c>
      <c r="H1594" s="2" t="s">
        <v>12</v>
      </c>
      <c r="I1594" s="2" t="s">
        <v>12</v>
      </c>
      <c r="J1594" s="2" t="s">
        <v>12</v>
      </c>
      <c r="K1594" s="2" t="s">
        <v>12</v>
      </c>
    </row>
    <row r="1595" spans="1:11" ht="12.5" x14ac:dyDescent="0.25">
      <c r="A1595" s="3" t="e">
        <f ca="1"/>
        <v>#NAME?</v>
      </c>
      <c r="B1595" s="2" t="s">
        <v>12</v>
      </c>
      <c r="C1595" s="2" t="s">
        <v>12</v>
      </c>
      <c r="D1595" s="2" t="s">
        <v>12</v>
      </c>
      <c r="E1595" s="2" t="s">
        <v>12</v>
      </c>
      <c r="F1595" s="2" t="s">
        <v>12</v>
      </c>
      <c r="G1595" s="2" t="s">
        <v>12</v>
      </c>
      <c r="H1595" s="2" t="s">
        <v>12</v>
      </c>
      <c r="I1595" s="2" t="s">
        <v>12</v>
      </c>
      <c r="J1595" s="2" t="s">
        <v>12</v>
      </c>
      <c r="K1595" s="2" t="s">
        <v>12</v>
      </c>
    </row>
    <row r="1596" spans="1:11" ht="12.5" x14ac:dyDescent="0.25">
      <c r="A1596" s="3" t="e">
        <f ca="1"/>
        <v>#NAME?</v>
      </c>
      <c r="B1596" s="2" t="s">
        <v>12</v>
      </c>
      <c r="C1596" s="2" t="s">
        <v>12</v>
      </c>
      <c r="D1596" s="2" t="s">
        <v>12</v>
      </c>
      <c r="E1596" s="2" t="s">
        <v>12</v>
      </c>
      <c r="F1596" s="2" t="s">
        <v>12</v>
      </c>
      <c r="G1596" s="2" t="s">
        <v>12</v>
      </c>
      <c r="H1596" s="2" t="s">
        <v>12</v>
      </c>
      <c r="I1596" s="2" t="s">
        <v>12</v>
      </c>
      <c r="J1596" s="2" t="s">
        <v>12</v>
      </c>
      <c r="K1596" s="2" t="s">
        <v>12</v>
      </c>
    </row>
    <row r="1597" spans="1:11" ht="12.5" x14ac:dyDescent="0.25">
      <c r="A1597" s="3" t="e">
        <f ca="1"/>
        <v>#NAME?</v>
      </c>
      <c r="B1597" s="2" t="s">
        <v>12</v>
      </c>
      <c r="C1597" s="2" t="s">
        <v>12</v>
      </c>
      <c r="D1597" s="2" t="s">
        <v>12</v>
      </c>
      <c r="E1597" s="2" t="s">
        <v>12</v>
      </c>
      <c r="F1597" s="2" t="s">
        <v>12</v>
      </c>
      <c r="G1597" s="2" t="s">
        <v>12</v>
      </c>
      <c r="H1597" s="2" t="s">
        <v>12</v>
      </c>
      <c r="I1597" s="2" t="s">
        <v>12</v>
      </c>
      <c r="J1597" s="2" t="s">
        <v>12</v>
      </c>
      <c r="K1597" s="2" t="s">
        <v>12</v>
      </c>
    </row>
    <row r="1598" spans="1:11" ht="12.5" x14ac:dyDescent="0.25">
      <c r="A1598" s="3" t="e">
        <f ca="1"/>
        <v>#NAME?</v>
      </c>
      <c r="B1598" s="2" t="s">
        <v>12</v>
      </c>
      <c r="C1598" s="2" t="s">
        <v>12</v>
      </c>
      <c r="D1598" s="2" t="s">
        <v>12</v>
      </c>
      <c r="E1598" s="2" t="s">
        <v>12</v>
      </c>
      <c r="F1598" s="2" t="s">
        <v>12</v>
      </c>
      <c r="G1598" s="2" t="s">
        <v>12</v>
      </c>
      <c r="H1598" s="2" t="s">
        <v>12</v>
      </c>
      <c r="I1598" s="2" t="s">
        <v>12</v>
      </c>
      <c r="J1598" s="2" t="s">
        <v>12</v>
      </c>
      <c r="K1598" s="2" t="s">
        <v>12</v>
      </c>
    </row>
    <row r="1599" spans="1:11" ht="12.5" x14ac:dyDescent="0.25">
      <c r="A1599" s="3" t="e">
        <f ca="1"/>
        <v>#NAME?</v>
      </c>
      <c r="B1599" s="2" t="s">
        <v>12</v>
      </c>
      <c r="C1599" s="2" t="s">
        <v>12</v>
      </c>
      <c r="D1599" s="2" t="s">
        <v>12</v>
      </c>
      <c r="E1599" s="2" t="s">
        <v>12</v>
      </c>
      <c r="F1599" s="2" t="s">
        <v>12</v>
      </c>
      <c r="G1599" s="2" t="s">
        <v>12</v>
      </c>
      <c r="H1599" s="2" t="s">
        <v>12</v>
      </c>
      <c r="I1599" s="2" t="s">
        <v>12</v>
      </c>
      <c r="J1599" s="2" t="s">
        <v>12</v>
      </c>
      <c r="K1599" s="2" t="s">
        <v>12</v>
      </c>
    </row>
    <row r="1600" spans="1:11" ht="12.5" x14ac:dyDescent="0.25">
      <c r="A1600" s="3" t="e">
        <f ca="1"/>
        <v>#NAME?</v>
      </c>
      <c r="B1600" s="2" t="s">
        <v>12</v>
      </c>
      <c r="C1600" s="2" t="s">
        <v>12</v>
      </c>
      <c r="D1600" s="2" t="s">
        <v>12</v>
      </c>
      <c r="E1600" s="2" t="s">
        <v>12</v>
      </c>
      <c r="F1600" s="2" t="s">
        <v>12</v>
      </c>
      <c r="G1600" s="2" t="s">
        <v>12</v>
      </c>
      <c r="H1600" s="2" t="s">
        <v>12</v>
      </c>
      <c r="I1600" s="2" t="s">
        <v>12</v>
      </c>
      <c r="J1600" s="2" t="s">
        <v>12</v>
      </c>
      <c r="K1600" s="2" t="s">
        <v>12</v>
      </c>
    </row>
    <row r="1601" spans="1:11" ht="12.5" x14ac:dyDescent="0.25">
      <c r="A1601" s="3" t="e">
        <f ca="1"/>
        <v>#NAME?</v>
      </c>
      <c r="B1601" s="2" t="s">
        <v>12</v>
      </c>
      <c r="C1601" s="2" t="s">
        <v>12</v>
      </c>
      <c r="D1601" s="2" t="s">
        <v>12</v>
      </c>
      <c r="E1601" s="2" t="s">
        <v>12</v>
      </c>
      <c r="F1601" s="2" t="s">
        <v>12</v>
      </c>
      <c r="G1601" s="2" t="s">
        <v>12</v>
      </c>
      <c r="H1601" s="2" t="s">
        <v>12</v>
      </c>
      <c r="I1601" s="2" t="s">
        <v>12</v>
      </c>
      <c r="J1601" s="2" t="s">
        <v>12</v>
      </c>
      <c r="K1601" s="2" t="s">
        <v>12</v>
      </c>
    </row>
    <row r="1602" spans="1:11" ht="12.5" x14ac:dyDescent="0.25">
      <c r="A1602" s="3" t="e">
        <f ca="1"/>
        <v>#NAME?</v>
      </c>
      <c r="B1602" s="2" t="s">
        <v>12</v>
      </c>
      <c r="C1602" s="2" t="s">
        <v>12</v>
      </c>
      <c r="D1602" s="2" t="s">
        <v>12</v>
      </c>
      <c r="E1602" s="2" t="s">
        <v>12</v>
      </c>
      <c r="F1602" s="2" t="s">
        <v>12</v>
      </c>
      <c r="G1602" s="2" t="s">
        <v>12</v>
      </c>
      <c r="H1602" s="2" t="s">
        <v>12</v>
      </c>
      <c r="I1602" s="2" t="s">
        <v>12</v>
      </c>
      <c r="J1602" s="2" t="s">
        <v>12</v>
      </c>
      <c r="K1602" s="2" t="s">
        <v>12</v>
      </c>
    </row>
    <row r="1603" spans="1:11" ht="12.5" x14ac:dyDescent="0.25">
      <c r="A1603" s="3" t="e">
        <f ca="1"/>
        <v>#NAME?</v>
      </c>
      <c r="B1603" s="2" t="s">
        <v>12</v>
      </c>
      <c r="C1603" s="2" t="s">
        <v>12</v>
      </c>
      <c r="D1603" s="2" t="s">
        <v>12</v>
      </c>
      <c r="E1603" s="2" t="s">
        <v>12</v>
      </c>
      <c r="F1603" s="2" t="s">
        <v>12</v>
      </c>
      <c r="G1603" s="2" t="s">
        <v>12</v>
      </c>
      <c r="H1603" s="2" t="s">
        <v>12</v>
      </c>
      <c r="I1603" s="2" t="s">
        <v>12</v>
      </c>
      <c r="J1603" s="2" t="s">
        <v>12</v>
      </c>
      <c r="K1603" s="2" t="s">
        <v>12</v>
      </c>
    </row>
    <row r="1604" spans="1:11" ht="12.5" x14ac:dyDescent="0.25">
      <c r="A1604" s="3" t="e">
        <f ca="1"/>
        <v>#NAME?</v>
      </c>
      <c r="B1604" s="2" t="s">
        <v>12</v>
      </c>
      <c r="C1604" s="2" t="s">
        <v>12</v>
      </c>
      <c r="D1604" s="2" t="s">
        <v>12</v>
      </c>
      <c r="E1604" s="2" t="s">
        <v>12</v>
      </c>
      <c r="F1604" s="2" t="s">
        <v>12</v>
      </c>
      <c r="G1604" s="2" t="s">
        <v>12</v>
      </c>
      <c r="H1604" s="2" t="s">
        <v>12</v>
      </c>
      <c r="I1604" s="2" t="s">
        <v>12</v>
      </c>
      <c r="J1604" s="2" t="s">
        <v>12</v>
      </c>
      <c r="K1604" s="2" t="s">
        <v>12</v>
      </c>
    </row>
    <row r="1605" spans="1:11" ht="12.5" x14ac:dyDescent="0.25">
      <c r="A1605" s="3" t="e">
        <f ca="1"/>
        <v>#NAME?</v>
      </c>
      <c r="B1605" s="2" t="s">
        <v>12</v>
      </c>
      <c r="C1605" s="2" t="s">
        <v>12</v>
      </c>
      <c r="D1605" s="2" t="s">
        <v>12</v>
      </c>
      <c r="E1605" s="2" t="s">
        <v>12</v>
      </c>
      <c r="F1605" s="2" t="s">
        <v>12</v>
      </c>
      <c r="G1605" s="2" t="s">
        <v>12</v>
      </c>
      <c r="H1605" s="2" t="s">
        <v>12</v>
      </c>
      <c r="I1605" s="2" t="s">
        <v>12</v>
      </c>
      <c r="J1605" s="2" t="s">
        <v>12</v>
      </c>
      <c r="K1605" s="2" t="s">
        <v>12</v>
      </c>
    </row>
    <row r="1606" spans="1:11" ht="12.5" x14ac:dyDescent="0.25">
      <c r="A1606" s="3" t="e">
        <f ca="1"/>
        <v>#NAME?</v>
      </c>
      <c r="B1606" s="2" t="s">
        <v>12</v>
      </c>
      <c r="C1606" s="2" t="s">
        <v>12</v>
      </c>
      <c r="D1606" s="2" t="s">
        <v>12</v>
      </c>
      <c r="E1606" s="2" t="s">
        <v>12</v>
      </c>
      <c r="F1606" s="2" t="s">
        <v>12</v>
      </c>
      <c r="G1606" s="2" t="s">
        <v>12</v>
      </c>
      <c r="H1606" s="2" t="s">
        <v>12</v>
      </c>
      <c r="I1606" s="2" t="s">
        <v>12</v>
      </c>
      <c r="J1606" s="2" t="s">
        <v>12</v>
      </c>
      <c r="K1606" s="2" t="s">
        <v>12</v>
      </c>
    </row>
    <row r="1607" spans="1:11" ht="12.5" x14ac:dyDescent="0.25">
      <c r="A1607" s="3" t="e">
        <f ca="1"/>
        <v>#NAME?</v>
      </c>
      <c r="B1607" s="2" t="s">
        <v>12</v>
      </c>
      <c r="C1607" s="2" t="s">
        <v>12</v>
      </c>
      <c r="D1607" s="2" t="s">
        <v>12</v>
      </c>
      <c r="E1607" s="2" t="s">
        <v>12</v>
      </c>
      <c r="F1607" s="2" t="s">
        <v>12</v>
      </c>
      <c r="G1607" s="2" t="s">
        <v>12</v>
      </c>
      <c r="H1607" s="2" t="s">
        <v>12</v>
      </c>
      <c r="I1607" s="2" t="s">
        <v>12</v>
      </c>
      <c r="J1607" s="2" t="s">
        <v>12</v>
      </c>
      <c r="K1607" s="2" t="s">
        <v>12</v>
      </c>
    </row>
    <row r="1608" spans="1:11" ht="12.5" x14ac:dyDescent="0.25">
      <c r="A1608" s="3" t="e">
        <f ca="1"/>
        <v>#NAME?</v>
      </c>
      <c r="B1608" s="2" t="s">
        <v>12</v>
      </c>
      <c r="C1608" s="2" t="s">
        <v>12</v>
      </c>
      <c r="D1608" s="2" t="s">
        <v>12</v>
      </c>
      <c r="E1608" s="2" t="s">
        <v>12</v>
      </c>
      <c r="F1608" s="2" t="s">
        <v>12</v>
      </c>
      <c r="G1608" s="2" t="s">
        <v>12</v>
      </c>
      <c r="H1608" s="2" t="s">
        <v>12</v>
      </c>
      <c r="I1608" s="2" t="s">
        <v>12</v>
      </c>
      <c r="J1608" s="2" t="s">
        <v>12</v>
      </c>
      <c r="K1608" s="2" t="s">
        <v>12</v>
      </c>
    </row>
    <row r="1609" spans="1:11" ht="12.5" x14ac:dyDescent="0.25">
      <c r="A1609" s="3" t="e">
        <f ca="1"/>
        <v>#NAME?</v>
      </c>
      <c r="B1609" s="2" t="s">
        <v>12</v>
      </c>
      <c r="C1609" s="2" t="s">
        <v>12</v>
      </c>
      <c r="D1609" s="2" t="s">
        <v>12</v>
      </c>
      <c r="E1609" s="2" t="s">
        <v>12</v>
      </c>
      <c r="F1609" s="2" t="s">
        <v>12</v>
      </c>
      <c r="G1609" s="2" t="s">
        <v>12</v>
      </c>
      <c r="H1609" s="2" t="s">
        <v>12</v>
      </c>
      <c r="I1609" s="2" t="s">
        <v>12</v>
      </c>
      <c r="J1609" s="2" t="s">
        <v>12</v>
      </c>
      <c r="K1609" s="2" t="s">
        <v>12</v>
      </c>
    </row>
    <row r="1610" spans="1:11" ht="12.5" x14ac:dyDescent="0.25">
      <c r="A1610" s="3" t="e">
        <f ca="1"/>
        <v>#NAME?</v>
      </c>
      <c r="B1610" s="2" t="s">
        <v>12</v>
      </c>
      <c r="C1610" s="2" t="s">
        <v>12</v>
      </c>
      <c r="D1610" s="2" t="s">
        <v>12</v>
      </c>
      <c r="E1610" s="2" t="s">
        <v>12</v>
      </c>
      <c r="F1610" s="2" t="s">
        <v>12</v>
      </c>
      <c r="G1610" s="2" t="s">
        <v>12</v>
      </c>
      <c r="H1610" s="2" t="s">
        <v>12</v>
      </c>
      <c r="I1610" s="2" t="s">
        <v>12</v>
      </c>
      <c r="J1610" s="2" t="s">
        <v>12</v>
      </c>
      <c r="K1610" s="2" t="s">
        <v>12</v>
      </c>
    </row>
    <row r="1611" spans="1:11" ht="12.5" x14ac:dyDescent="0.25">
      <c r="A1611" s="3" t="e">
        <f ca="1"/>
        <v>#NAME?</v>
      </c>
      <c r="B1611" s="2" t="s">
        <v>12</v>
      </c>
      <c r="C1611" s="2" t="s">
        <v>12</v>
      </c>
      <c r="D1611" s="2" t="s">
        <v>12</v>
      </c>
      <c r="E1611" s="2" t="s">
        <v>12</v>
      </c>
      <c r="F1611" s="2" t="s">
        <v>12</v>
      </c>
      <c r="G1611" s="2" t="s">
        <v>12</v>
      </c>
      <c r="H1611" s="2" t="s">
        <v>12</v>
      </c>
      <c r="I1611" s="2" t="s">
        <v>12</v>
      </c>
      <c r="J1611" s="2" t="s">
        <v>12</v>
      </c>
      <c r="K1611" s="2" t="s">
        <v>12</v>
      </c>
    </row>
    <row r="1612" spans="1:11" ht="12.5" x14ac:dyDescent="0.25">
      <c r="A1612" s="3" t="e">
        <f ca="1"/>
        <v>#NAME?</v>
      </c>
      <c r="B1612" s="2" t="s">
        <v>12</v>
      </c>
      <c r="C1612" s="2" t="s">
        <v>12</v>
      </c>
      <c r="D1612" s="2" t="s">
        <v>12</v>
      </c>
      <c r="E1612" s="2" t="s">
        <v>12</v>
      </c>
      <c r="F1612" s="2" t="s">
        <v>12</v>
      </c>
      <c r="G1612" s="2" t="s">
        <v>12</v>
      </c>
      <c r="H1612" s="2" t="s">
        <v>12</v>
      </c>
      <c r="I1612" s="2" t="s">
        <v>12</v>
      </c>
      <c r="J1612" s="2" t="s">
        <v>12</v>
      </c>
      <c r="K1612" s="2" t="s">
        <v>12</v>
      </c>
    </row>
    <row r="1613" spans="1:11" ht="12.5" x14ac:dyDescent="0.25">
      <c r="A1613" s="3" t="e">
        <f ca="1"/>
        <v>#NAME?</v>
      </c>
      <c r="B1613" s="2" t="s">
        <v>12</v>
      </c>
      <c r="C1613" s="2" t="s">
        <v>12</v>
      </c>
      <c r="D1613" s="2" t="s">
        <v>12</v>
      </c>
      <c r="E1613" s="2" t="s">
        <v>12</v>
      </c>
      <c r="F1613" s="2" t="s">
        <v>12</v>
      </c>
      <c r="G1613" s="2" t="s">
        <v>12</v>
      </c>
      <c r="H1613" s="2" t="s">
        <v>12</v>
      </c>
      <c r="I1613" s="2" t="s">
        <v>12</v>
      </c>
      <c r="J1613" s="2" t="s">
        <v>12</v>
      </c>
      <c r="K1613" s="2" t="s">
        <v>12</v>
      </c>
    </row>
    <row r="1614" spans="1:11" ht="12.5" x14ac:dyDescent="0.25">
      <c r="A1614" s="3" t="e">
        <f ca="1"/>
        <v>#NAME?</v>
      </c>
      <c r="B1614" s="2" t="s">
        <v>12</v>
      </c>
      <c r="C1614" s="2" t="s">
        <v>12</v>
      </c>
      <c r="D1614" s="2" t="s">
        <v>12</v>
      </c>
      <c r="E1614" s="2" t="s">
        <v>12</v>
      </c>
      <c r="F1614" s="2" t="s">
        <v>12</v>
      </c>
      <c r="G1614" s="2" t="s">
        <v>12</v>
      </c>
      <c r="H1614" s="2" t="s">
        <v>12</v>
      </c>
      <c r="I1614" s="2" t="s">
        <v>12</v>
      </c>
      <c r="J1614" s="2" t="s">
        <v>12</v>
      </c>
      <c r="K1614" s="2" t="s">
        <v>12</v>
      </c>
    </row>
    <row r="1615" spans="1:11" ht="12.5" x14ac:dyDescent="0.25">
      <c r="A1615" s="3" t="e">
        <f ca="1"/>
        <v>#NAME?</v>
      </c>
      <c r="B1615" s="2" t="s">
        <v>12</v>
      </c>
      <c r="C1615" s="2" t="s">
        <v>12</v>
      </c>
      <c r="D1615" s="2" t="s">
        <v>12</v>
      </c>
      <c r="E1615" s="2" t="s">
        <v>12</v>
      </c>
      <c r="F1615" s="2" t="s">
        <v>12</v>
      </c>
      <c r="G1615" s="2" t="s">
        <v>12</v>
      </c>
      <c r="H1615" s="2" t="s">
        <v>12</v>
      </c>
      <c r="I1615" s="2" t="s">
        <v>12</v>
      </c>
      <c r="J1615" s="2" t="s">
        <v>12</v>
      </c>
      <c r="K1615" s="2" t="s">
        <v>12</v>
      </c>
    </row>
    <row r="1616" spans="1:11" ht="12.5" x14ac:dyDescent="0.25">
      <c r="A1616" s="3" t="e">
        <f ca="1"/>
        <v>#NAME?</v>
      </c>
      <c r="B1616" s="2" t="s">
        <v>12</v>
      </c>
      <c r="C1616" s="2" t="s">
        <v>12</v>
      </c>
      <c r="D1616" s="2" t="s">
        <v>12</v>
      </c>
      <c r="E1616" s="2" t="s">
        <v>12</v>
      </c>
      <c r="F1616" s="2" t="s">
        <v>12</v>
      </c>
      <c r="G1616" s="2" t="s">
        <v>12</v>
      </c>
      <c r="H1616" s="2" t="s">
        <v>12</v>
      </c>
      <c r="I1616" s="2" t="s">
        <v>12</v>
      </c>
      <c r="J1616" s="2" t="s">
        <v>12</v>
      </c>
      <c r="K1616" s="2" t="s">
        <v>12</v>
      </c>
    </row>
    <row r="1617" spans="1:11" ht="12.5" x14ac:dyDescent="0.25">
      <c r="A1617" s="3" t="e">
        <f ca="1"/>
        <v>#NAME?</v>
      </c>
      <c r="B1617" s="2" t="s">
        <v>12</v>
      </c>
      <c r="C1617" s="2" t="s">
        <v>12</v>
      </c>
      <c r="D1617" s="2" t="s">
        <v>12</v>
      </c>
      <c r="E1617" s="2" t="s">
        <v>12</v>
      </c>
      <c r="F1617" s="2" t="s">
        <v>12</v>
      </c>
      <c r="G1617" s="2" t="s">
        <v>12</v>
      </c>
      <c r="H1617" s="2" t="s">
        <v>12</v>
      </c>
      <c r="I1617" s="2" t="s">
        <v>12</v>
      </c>
      <c r="J1617" s="2" t="s">
        <v>12</v>
      </c>
      <c r="K1617" s="2" t="s">
        <v>12</v>
      </c>
    </row>
    <row r="1618" spans="1:11" ht="12.5" x14ac:dyDescent="0.25">
      <c r="A1618" s="3" t="e">
        <f ca="1"/>
        <v>#NAME?</v>
      </c>
      <c r="B1618" s="2" t="s">
        <v>12</v>
      </c>
      <c r="C1618" s="2" t="s">
        <v>12</v>
      </c>
      <c r="D1618" s="2" t="s">
        <v>12</v>
      </c>
      <c r="E1618" s="2" t="s">
        <v>12</v>
      </c>
      <c r="F1618" s="2" t="s">
        <v>12</v>
      </c>
      <c r="G1618" s="2" t="s">
        <v>12</v>
      </c>
      <c r="H1618" s="2" t="s">
        <v>12</v>
      </c>
      <c r="I1618" s="2" t="s">
        <v>12</v>
      </c>
      <c r="J1618" s="2" t="s">
        <v>12</v>
      </c>
      <c r="K1618" s="2" t="s">
        <v>12</v>
      </c>
    </row>
    <row r="1619" spans="1:11" ht="12.5" x14ac:dyDescent="0.25">
      <c r="A1619" s="3" t="e">
        <f ca="1"/>
        <v>#NAME?</v>
      </c>
      <c r="B1619" s="2" t="s">
        <v>12</v>
      </c>
      <c r="C1619" s="2" t="s">
        <v>12</v>
      </c>
      <c r="D1619" s="2" t="s">
        <v>12</v>
      </c>
      <c r="E1619" s="2" t="s">
        <v>12</v>
      </c>
      <c r="F1619" s="2" t="s">
        <v>12</v>
      </c>
      <c r="G1619" s="2" t="s">
        <v>12</v>
      </c>
      <c r="H1619" s="2" t="s">
        <v>12</v>
      </c>
      <c r="I1619" s="2" t="s">
        <v>12</v>
      </c>
      <c r="J1619" s="2" t="s">
        <v>12</v>
      </c>
      <c r="K1619" s="2" t="s">
        <v>12</v>
      </c>
    </row>
    <row r="1620" spans="1:11" ht="12.5" x14ac:dyDescent="0.25">
      <c r="A1620" s="3" t="e">
        <f ca="1"/>
        <v>#NAME?</v>
      </c>
      <c r="B1620" s="2" t="s">
        <v>12</v>
      </c>
      <c r="C1620" s="2" t="s">
        <v>12</v>
      </c>
      <c r="D1620" s="2" t="s">
        <v>12</v>
      </c>
      <c r="E1620" s="2" t="s">
        <v>12</v>
      </c>
      <c r="F1620" s="2" t="s">
        <v>12</v>
      </c>
      <c r="G1620" s="2" t="s">
        <v>12</v>
      </c>
      <c r="H1620" s="2" t="s">
        <v>12</v>
      </c>
      <c r="I1620" s="2" t="s">
        <v>12</v>
      </c>
      <c r="J1620" s="2" t="s">
        <v>12</v>
      </c>
      <c r="K1620" s="2" t="s">
        <v>12</v>
      </c>
    </row>
    <row r="1621" spans="1:11" ht="12.5" x14ac:dyDescent="0.25">
      <c r="A1621" s="3" t="e">
        <f ca="1"/>
        <v>#NAME?</v>
      </c>
      <c r="B1621" s="2" t="s">
        <v>12</v>
      </c>
      <c r="C1621" s="2" t="s">
        <v>12</v>
      </c>
      <c r="D1621" s="2" t="s">
        <v>12</v>
      </c>
      <c r="E1621" s="2" t="s">
        <v>12</v>
      </c>
      <c r="F1621" s="2" t="s">
        <v>12</v>
      </c>
      <c r="G1621" s="2" t="s">
        <v>12</v>
      </c>
      <c r="H1621" s="2" t="s">
        <v>12</v>
      </c>
      <c r="I1621" s="2" t="s">
        <v>12</v>
      </c>
      <c r="J1621" s="2" t="s">
        <v>12</v>
      </c>
      <c r="K1621" s="2" t="s">
        <v>12</v>
      </c>
    </row>
    <row r="1622" spans="1:11" ht="12.5" x14ac:dyDescent="0.25">
      <c r="A1622" s="3" t="e">
        <f ca="1"/>
        <v>#NAME?</v>
      </c>
      <c r="B1622" s="2" t="s">
        <v>12</v>
      </c>
      <c r="C1622" s="2" t="s">
        <v>12</v>
      </c>
      <c r="D1622" s="2" t="s">
        <v>12</v>
      </c>
      <c r="E1622" s="2" t="s">
        <v>12</v>
      </c>
      <c r="F1622" s="2" t="s">
        <v>12</v>
      </c>
      <c r="G1622" s="2" t="s">
        <v>12</v>
      </c>
      <c r="H1622" s="2" t="s">
        <v>12</v>
      </c>
      <c r="I1622" s="2" t="s">
        <v>12</v>
      </c>
      <c r="J1622" s="2" t="s">
        <v>12</v>
      </c>
      <c r="K1622" s="2" t="s">
        <v>12</v>
      </c>
    </row>
    <row r="1623" spans="1:11" ht="12.5" x14ac:dyDescent="0.25">
      <c r="A1623" s="3" t="e">
        <f ca="1"/>
        <v>#NAME?</v>
      </c>
      <c r="B1623" s="2" t="s">
        <v>12</v>
      </c>
      <c r="C1623" s="2" t="s">
        <v>12</v>
      </c>
      <c r="D1623" s="2" t="s">
        <v>12</v>
      </c>
      <c r="E1623" s="2" t="s">
        <v>12</v>
      </c>
      <c r="F1623" s="2" t="s">
        <v>12</v>
      </c>
      <c r="G1623" s="2" t="s">
        <v>12</v>
      </c>
      <c r="H1623" s="2" t="s">
        <v>12</v>
      </c>
      <c r="I1623" s="2" t="s">
        <v>12</v>
      </c>
      <c r="J1623" s="2" t="s">
        <v>12</v>
      </c>
      <c r="K1623" s="2" t="s">
        <v>12</v>
      </c>
    </row>
    <row r="1624" spans="1:11" ht="12.5" x14ac:dyDescent="0.25">
      <c r="A1624" s="3" t="e">
        <f ca="1"/>
        <v>#NAME?</v>
      </c>
      <c r="B1624" s="2" t="s">
        <v>12</v>
      </c>
      <c r="C1624" s="2" t="s">
        <v>12</v>
      </c>
      <c r="D1624" s="2" t="s">
        <v>12</v>
      </c>
      <c r="E1624" s="2" t="s">
        <v>12</v>
      </c>
      <c r="F1624" s="2" t="s">
        <v>12</v>
      </c>
      <c r="G1624" s="2" t="s">
        <v>12</v>
      </c>
      <c r="H1624" s="2" t="s">
        <v>12</v>
      </c>
      <c r="I1624" s="2" t="s">
        <v>12</v>
      </c>
      <c r="J1624" s="2" t="s">
        <v>12</v>
      </c>
      <c r="K1624" s="2" t="s">
        <v>12</v>
      </c>
    </row>
    <row r="1625" spans="1:11" ht="12.5" x14ac:dyDescent="0.25">
      <c r="A1625" s="3" t="e">
        <f ca="1"/>
        <v>#NAME?</v>
      </c>
      <c r="B1625" s="2" t="s">
        <v>12</v>
      </c>
      <c r="C1625" s="2" t="s">
        <v>12</v>
      </c>
      <c r="D1625" s="2" t="s">
        <v>12</v>
      </c>
      <c r="E1625" s="2" t="s">
        <v>12</v>
      </c>
      <c r="F1625" s="2" t="s">
        <v>12</v>
      </c>
      <c r="G1625" s="2" t="s">
        <v>12</v>
      </c>
      <c r="H1625" s="2" t="s">
        <v>12</v>
      </c>
      <c r="I1625" s="2" t="s">
        <v>12</v>
      </c>
      <c r="J1625" s="2" t="s">
        <v>12</v>
      </c>
      <c r="K1625" s="2" t="s">
        <v>12</v>
      </c>
    </row>
    <row r="1626" spans="1:11" ht="12.5" x14ac:dyDescent="0.25">
      <c r="A1626" s="3" t="e">
        <f ca="1"/>
        <v>#NAME?</v>
      </c>
      <c r="B1626" s="2" t="s">
        <v>12</v>
      </c>
      <c r="C1626" s="2" t="s">
        <v>12</v>
      </c>
      <c r="D1626" s="2" t="s">
        <v>12</v>
      </c>
      <c r="E1626" s="2" t="s">
        <v>12</v>
      </c>
      <c r="F1626" s="2" t="s">
        <v>12</v>
      </c>
      <c r="G1626" s="2" t="s">
        <v>12</v>
      </c>
      <c r="H1626" s="2" t="s">
        <v>12</v>
      </c>
      <c r="I1626" s="2" t="s">
        <v>12</v>
      </c>
      <c r="J1626" s="2" t="s">
        <v>12</v>
      </c>
      <c r="K1626" s="2" t="s">
        <v>12</v>
      </c>
    </row>
    <row r="1627" spans="1:11" ht="12.5" x14ac:dyDescent="0.25">
      <c r="A1627" s="3" t="e">
        <f ca="1"/>
        <v>#NAME?</v>
      </c>
      <c r="B1627" s="2" t="s">
        <v>12</v>
      </c>
      <c r="C1627" s="2" t="s">
        <v>12</v>
      </c>
      <c r="D1627" s="2" t="s">
        <v>12</v>
      </c>
      <c r="E1627" s="2" t="s">
        <v>12</v>
      </c>
      <c r="F1627" s="2" t="s">
        <v>12</v>
      </c>
      <c r="G1627" s="2" t="s">
        <v>12</v>
      </c>
      <c r="H1627" s="2" t="s">
        <v>12</v>
      </c>
      <c r="I1627" s="2" t="s">
        <v>12</v>
      </c>
      <c r="J1627" s="2" t="s">
        <v>12</v>
      </c>
      <c r="K1627" s="2" t="s">
        <v>12</v>
      </c>
    </row>
    <row r="1628" spans="1:11" ht="12.5" x14ac:dyDescent="0.25">
      <c r="A1628" s="3" t="e">
        <f ca="1"/>
        <v>#NAME?</v>
      </c>
      <c r="B1628" s="2" t="s">
        <v>12</v>
      </c>
      <c r="C1628" s="2" t="s">
        <v>12</v>
      </c>
      <c r="D1628" s="2" t="s">
        <v>12</v>
      </c>
      <c r="E1628" s="2" t="s">
        <v>12</v>
      </c>
      <c r="F1628" s="2" t="s">
        <v>12</v>
      </c>
      <c r="G1628" s="2" t="s">
        <v>12</v>
      </c>
      <c r="H1628" s="2" t="s">
        <v>12</v>
      </c>
      <c r="I1628" s="2" t="s">
        <v>12</v>
      </c>
      <c r="J1628" s="2" t="s">
        <v>12</v>
      </c>
      <c r="K1628" s="2" t="s">
        <v>12</v>
      </c>
    </row>
    <row r="1629" spans="1:11" ht="12.5" x14ac:dyDescent="0.25">
      <c r="A1629" s="3" t="e">
        <f ca="1"/>
        <v>#NAME?</v>
      </c>
      <c r="B1629" s="2" t="s">
        <v>12</v>
      </c>
      <c r="C1629" s="2" t="s">
        <v>12</v>
      </c>
      <c r="D1629" s="2" t="s">
        <v>12</v>
      </c>
      <c r="E1629" s="2" t="s">
        <v>12</v>
      </c>
      <c r="F1629" s="2" t="s">
        <v>12</v>
      </c>
      <c r="G1629" s="2" t="s">
        <v>12</v>
      </c>
      <c r="H1629" s="2" t="s">
        <v>12</v>
      </c>
      <c r="I1629" s="2" t="s">
        <v>12</v>
      </c>
      <c r="J1629" s="2" t="s">
        <v>12</v>
      </c>
      <c r="K1629" s="2" t="s">
        <v>12</v>
      </c>
    </row>
    <row r="1630" spans="1:11" ht="12.5" x14ac:dyDescent="0.25">
      <c r="A1630" s="3" t="e">
        <f ca="1"/>
        <v>#NAME?</v>
      </c>
      <c r="B1630" s="2" t="s">
        <v>12</v>
      </c>
      <c r="C1630" s="2" t="s">
        <v>12</v>
      </c>
      <c r="D1630" s="2" t="s">
        <v>12</v>
      </c>
      <c r="E1630" s="2" t="s">
        <v>12</v>
      </c>
      <c r="F1630" s="2" t="s">
        <v>12</v>
      </c>
      <c r="G1630" s="2" t="s">
        <v>12</v>
      </c>
      <c r="H1630" s="2" t="s">
        <v>12</v>
      </c>
      <c r="I1630" s="2" t="s">
        <v>12</v>
      </c>
      <c r="J1630" s="2" t="s">
        <v>12</v>
      </c>
      <c r="K1630" s="2" t="s">
        <v>12</v>
      </c>
    </row>
    <row r="1631" spans="1:11" ht="12.5" x14ac:dyDescent="0.25">
      <c r="A1631" s="3" t="e">
        <f ca="1"/>
        <v>#NAME?</v>
      </c>
      <c r="B1631" s="2" t="s">
        <v>12</v>
      </c>
      <c r="C1631" s="2" t="s">
        <v>12</v>
      </c>
      <c r="D1631" s="2" t="s">
        <v>12</v>
      </c>
      <c r="E1631" s="2" t="s">
        <v>12</v>
      </c>
      <c r="F1631" s="2" t="s">
        <v>12</v>
      </c>
      <c r="G1631" s="2" t="s">
        <v>12</v>
      </c>
      <c r="H1631" s="2" t="s">
        <v>12</v>
      </c>
      <c r="I1631" s="2" t="s">
        <v>12</v>
      </c>
      <c r="J1631" s="2" t="s">
        <v>12</v>
      </c>
      <c r="K1631" s="2" t="s">
        <v>12</v>
      </c>
    </row>
    <row r="1632" spans="1:11" ht="12.5" x14ac:dyDescent="0.25">
      <c r="A1632" s="3" t="e">
        <f ca="1"/>
        <v>#NAME?</v>
      </c>
      <c r="B1632" s="2" t="s">
        <v>12</v>
      </c>
      <c r="C1632" s="2" t="s">
        <v>12</v>
      </c>
      <c r="D1632" s="2" t="s">
        <v>12</v>
      </c>
      <c r="E1632" s="2" t="s">
        <v>12</v>
      </c>
      <c r="F1632" s="2" t="s">
        <v>12</v>
      </c>
      <c r="G1632" s="2" t="s">
        <v>12</v>
      </c>
      <c r="H1632" s="2" t="s">
        <v>12</v>
      </c>
      <c r="I1632" s="2" t="s">
        <v>12</v>
      </c>
      <c r="J1632" s="2" t="s">
        <v>12</v>
      </c>
      <c r="K1632" s="2" t="s">
        <v>12</v>
      </c>
    </row>
    <row r="1633" spans="1:11" ht="12.5" x14ac:dyDescent="0.25">
      <c r="A1633" s="3" t="e">
        <f ca="1"/>
        <v>#NAME?</v>
      </c>
      <c r="B1633" s="2" t="s">
        <v>12</v>
      </c>
      <c r="C1633" s="2" t="s">
        <v>12</v>
      </c>
      <c r="D1633" s="2" t="s">
        <v>12</v>
      </c>
      <c r="E1633" s="2" t="s">
        <v>12</v>
      </c>
      <c r="F1633" s="2" t="s">
        <v>12</v>
      </c>
      <c r="G1633" s="2" t="s">
        <v>12</v>
      </c>
      <c r="H1633" s="2" t="s">
        <v>12</v>
      </c>
      <c r="I1633" s="2" t="s">
        <v>12</v>
      </c>
      <c r="J1633" s="2" t="s">
        <v>12</v>
      </c>
      <c r="K1633" s="2" t="s">
        <v>12</v>
      </c>
    </row>
    <row r="1634" spans="1:11" ht="12.5" x14ac:dyDescent="0.25">
      <c r="A1634" s="3" t="e">
        <f ca="1"/>
        <v>#NAME?</v>
      </c>
      <c r="B1634" s="2" t="s">
        <v>12</v>
      </c>
      <c r="C1634" s="2" t="s">
        <v>12</v>
      </c>
      <c r="D1634" s="2" t="s">
        <v>12</v>
      </c>
      <c r="E1634" s="2" t="s">
        <v>12</v>
      </c>
      <c r="F1634" s="2" t="s">
        <v>12</v>
      </c>
      <c r="G1634" s="2" t="s">
        <v>12</v>
      </c>
      <c r="H1634" s="2" t="s">
        <v>12</v>
      </c>
      <c r="I1634" s="2" t="s">
        <v>12</v>
      </c>
      <c r="J1634" s="2" t="s">
        <v>12</v>
      </c>
      <c r="K1634" s="2" t="s">
        <v>12</v>
      </c>
    </row>
    <row r="1635" spans="1:11" ht="12.5" x14ac:dyDescent="0.25">
      <c r="A1635" s="3" t="e">
        <f ca="1"/>
        <v>#NAME?</v>
      </c>
      <c r="B1635" s="2" t="s">
        <v>12</v>
      </c>
      <c r="C1635" s="2" t="s">
        <v>12</v>
      </c>
      <c r="D1635" s="2" t="s">
        <v>12</v>
      </c>
      <c r="E1635" s="2" t="s">
        <v>12</v>
      </c>
      <c r="F1635" s="2" t="s">
        <v>12</v>
      </c>
      <c r="G1635" s="2" t="s">
        <v>12</v>
      </c>
      <c r="H1635" s="2" t="s">
        <v>12</v>
      </c>
      <c r="I1635" s="2" t="s">
        <v>12</v>
      </c>
      <c r="J1635" s="2" t="s">
        <v>12</v>
      </c>
      <c r="K1635" s="2" t="s">
        <v>12</v>
      </c>
    </row>
    <row r="1636" spans="1:11" ht="12.5" x14ac:dyDescent="0.25">
      <c r="A1636" s="3" t="e">
        <f ca="1"/>
        <v>#NAME?</v>
      </c>
      <c r="B1636" s="2" t="s">
        <v>12</v>
      </c>
      <c r="C1636" s="2" t="s">
        <v>12</v>
      </c>
      <c r="D1636" s="2" t="s">
        <v>12</v>
      </c>
      <c r="E1636" s="2" t="s">
        <v>12</v>
      </c>
      <c r="F1636" s="2" t="s">
        <v>12</v>
      </c>
      <c r="G1636" s="2" t="s">
        <v>12</v>
      </c>
      <c r="H1636" s="2" t="s">
        <v>12</v>
      </c>
      <c r="I1636" s="2" t="s">
        <v>12</v>
      </c>
      <c r="J1636" s="2" t="s">
        <v>12</v>
      </c>
      <c r="K1636" s="2" t="s">
        <v>12</v>
      </c>
    </row>
    <row r="1637" spans="1:11" ht="12.5" x14ac:dyDescent="0.25">
      <c r="A1637" s="3" t="e">
        <f ca="1"/>
        <v>#NAME?</v>
      </c>
      <c r="B1637" s="2" t="s">
        <v>12</v>
      </c>
      <c r="C1637" s="2" t="s">
        <v>12</v>
      </c>
      <c r="D1637" s="2" t="s">
        <v>12</v>
      </c>
      <c r="E1637" s="2" t="s">
        <v>12</v>
      </c>
      <c r="F1637" s="2" t="s">
        <v>12</v>
      </c>
      <c r="G1637" s="2" t="s">
        <v>12</v>
      </c>
      <c r="H1637" s="2" t="s">
        <v>12</v>
      </c>
      <c r="I1637" s="2" t="s">
        <v>12</v>
      </c>
      <c r="J1637" s="2" t="s">
        <v>12</v>
      </c>
      <c r="K1637" s="2" t="s">
        <v>12</v>
      </c>
    </row>
    <row r="1638" spans="1:11" ht="12.5" x14ac:dyDescent="0.25">
      <c r="A1638" s="3" t="e">
        <f ca="1"/>
        <v>#NAME?</v>
      </c>
      <c r="B1638" s="2" t="s">
        <v>12</v>
      </c>
      <c r="C1638" s="2" t="s">
        <v>12</v>
      </c>
      <c r="D1638" s="2" t="s">
        <v>12</v>
      </c>
      <c r="E1638" s="2" t="s">
        <v>12</v>
      </c>
      <c r="F1638" s="2" t="s">
        <v>12</v>
      </c>
      <c r="G1638" s="2" t="s">
        <v>12</v>
      </c>
      <c r="H1638" s="2" t="s">
        <v>12</v>
      </c>
      <c r="I1638" s="2" t="s">
        <v>12</v>
      </c>
      <c r="J1638" s="2" t="s">
        <v>12</v>
      </c>
      <c r="K1638" s="2" t="s">
        <v>12</v>
      </c>
    </row>
    <row r="1639" spans="1:11" ht="12.5" x14ac:dyDescent="0.25">
      <c r="A1639" s="3" t="e">
        <f ca="1"/>
        <v>#NAME?</v>
      </c>
      <c r="B1639" s="2" t="s">
        <v>12</v>
      </c>
      <c r="C1639" s="2" t="s">
        <v>12</v>
      </c>
      <c r="D1639" s="2" t="s">
        <v>12</v>
      </c>
      <c r="E1639" s="2" t="s">
        <v>12</v>
      </c>
      <c r="F1639" s="2" t="s">
        <v>12</v>
      </c>
      <c r="G1639" s="2" t="s">
        <v>12</v>
      </c>
      <c r="H1639" s="2" t="s">
        <v>12</v>
      </c>
      <c r="I1639" s="2" t="s">
        <v>12</v>
      </c>
      <c r="J1639" s="2" t="s">
        <v>12</v>
      </c>
      <c r="K1639" s="2" t="s">
        <v>12</v>
      </c>
    </row>
    <row r="1640" spans="1:11" ht="12.5" x14ac:dyDescent="0.25">
      <c r="A1640" s="3" t="e">
        <f ca="1"/>
        <v>#NAME?</v>
      </c>
      <c r="B1640" s="2" t="s">
        <v>12</v>
      </c>
      <c r="C1640" s="2" t="s">
        <v>12</v>
      </c>
      <c r="D1640" s="2" t="s">
        <v>12</v>
      </c>
      <c r="E1640" s="2" t="s">
        <v>12</v>
      </c>
      <c r="F1640" s="2" t="s">
        <v>12</v>
      </c>
      <c r="G1640" s="2" t="s">
        <v>12</v>
      </c>
      <c r="H1640" s="2" t="s">
        <v>12</v>
      </c>
      <c r="I1640" s="2" t="s">
        <v>12</v>
      </c>
      <c r="J1640" s="2" t="s">
        <v>12</v>
      </c>
      <c r="K1640" s="2" t="s">
        <v>12</v>
      </c>
    </row>
    <row r="1641" spans="1:11" ht="12.5" x14ac:dyDescent="0.25">
      <c r="A1641" s="3" t="e">
        <f ca="1"/>
        <v>#NAME?</v>
      </c>
      <c r="B1641" s="2" t="s">
        <v>12</v>
      </c>
      <c r="C1641" s="2" t="s">
        <v>12</v>
      </c>
      <c r="D1641" s="2" t="s">
        <v>12</v>
      </c>
      <c r="E1641" s="2" t="s">
        <v>12</v>
      </c>
      <c r="F1641" s="2" t="s">
        <v>12</v>
      </c>
      <c r="G1641" s="2" t="s">
        <v>12</v>
      </c>
      <c r="H1641" s="2" t="s">
        <v>12</v>
      </c>
      <c r="I1641" s="2" t="s">
        <v>12</v>
      </c>
      <c r="J1641" s="2" t="s">
        <v>12</v>
      </c>
      <c r="K1641" s="2" t="s">
        <v>12</v>
      </c>
    </row>
    <row r="1642" spans="1:11" ht="12.5" x14ac:dyDescent="0.25">
      <c r="A1642" s="3" t="e">
        <f ca="1"/>
        <v>#NAME?</v>
      </c>
      <c r="B1642" s="2" t="s">
        <v>12</v>
      </c>
      <c r="C1642" s="2" t="s">
        <v>12</v>
      </c>
      <c r="D1642" s="2" t="s">
        <v>12</v>
      </c>
      <c r="E1642" s="2" t="s">
        <v>12</v>
      </c>
      <c r="F1642" s="2" t="s">
        <v>12</v>
      </c>
      <c r="G1642" s="2" t="s">
        <v>12</v>
      </c>
      <c r="H1642" s="2" t="s">
        <v>12</v>
      </c>
      <c r="I1642" s="2" t="s">
        <v>12</v>
      </c>
      <c r="J1642" s="2" t="s">
        <v>12</v>
      </c>
      <c r="K1642" s="2" t="s">
        <v>12</v>
      </c>
    </row>
    <row r="1643" spans="1:11" ht="12.5" x14ac:dyDescent="0.25">
      <c r="A1643" s="3" t="e">
        <f ca="1"/>
        <v>#NAME?</v>
      </c>
      <c r="B1643" s="2" t="s">
        <v>12</v>
      </c>
      <c r="C1643" s="2" t="s">
        <v>12</v>
      </c>
      <c r="D1643" s="2" t="s">
        <v>12</v>
      </c>
      <c r="E1643" s="2" t="s">
        <v>12</v>
      </c>
      <c r="F1643" s="2" t="s">
        <v>12</v>
      </c>
      <c r="G1643" s="2" t="s">
        <v>12</v>
      </c>
      <c r="H1643" s="2" t="s">
        <v>12</v>
      </c>
      <c r="I1643" s="2" t="s">
        <v>12</v>
      </c>
      <c r="J1643" s="2" t="s">
        <v>12</v>
      </c>
      <c r="K1643" s="2" t="s">
        <v>12</v>
      </c>
    </row>
    <row r="1644" spans="1:11" ht="12.5" x14ac:dyDescent="0.25">
      <c r="A1644" s="3" t="e">
        <f ca="1"/>
        <v>#NAME?</v>
      </c>
      <c r="B1644" s="2" t="s">
        <v>12</v>
      </c>
      <c r="C1644" s="2" t="s">
        <v>12</v>
      </c>
      <c r="D1644" s="2" t="s">
        <v>12</v>
      </c>
      <c r="E1644" s="2" t="s">
        <v>12</v>
      </c>
      <c r="F1644" s="2" t="s">
        <v>12</v>
      </c>
      <c r="G1644" s="2" t="s">
        <v>12</v>
      </c>
      <c r="H1644" s="2" t="s">
        <v>12</v>
      </c>
      <c r="I1644" s="2" t="s">
        <v>12</v>
      </c>
      <c r="J1644" s="2" t="s">
        <v>12</v>
      </c>
      <c r="K1644" s="2" t="s">
        <v>12</v>
      </c>
    </row>
    <row r="1645" spans="1:11" ht="12.5" x14ac:dyDescent="0.25">
      <c r="A1645" s="3" t="e">
        <f ca="1"/>
        <v>#NAME?</v>
      </c>
      <c r="B1645" s="2" t="s">
        <v>12</v>
      </c>
      <c r="C1645" s="2" t="s">
        <v>12</v>
      </c>
      <c r="D1645" s="2" t="s">
        <v>12</v>
      </c>
      <c r="E1645" s="2" t="s">
        <v>12</v>
      </c>
      <c r="F1645" s="2" t="s">
        <v>12</v>
      </c>
      <c r="G1645" s="2" t="s">
        <v>12</v>
      </c>
      <c r="H1645" s="2" t="s">
        <v>12</v>
      </c>
      <c r="I1645" s="2" t="s">
        <v>12</v>
      </c>
      <c r="J1645" s="2" t="s">
        <v>12</v>
      </c>
      <c r="K1645" s="2" t="s">
        <v>12</v>
      </c>
    </row>
    <row r="1646" spans="1:11" ht="12.5" x14ac:dyDescent="0.25">
      <c r="A1646" s="3" t="e">
        <f ca="1"/>
        <v>#NAME?</v>
      </c>
      <c r="B1646" s="2" t="s">
        <v>12</v>
      </c>
      <c r="C1646" s="2" t="s">
        <v>12</v>
      </c>
      <c r="D1646" s="2" t="s">
        <v>12</v>
      </c>
      <c r="E1646" s="2" t="s">
        <v>12</v>
      </c>
      <c r="F1646" s="2" t="s">
        <v>12</v>
      </c>
      <c r="G1646" s="2" t="s">
        <v>12</v>
      </c>
      <c r="H1646" s="2" t="s">
        <v>12</v>
      </c>
      <c r="I1646" s="2" t="s">
        <v>12</v>
      </c>
      <c r="J1646" s="2" t="s">
        <v>12</v>
      </c>
      <c r="K1646" s="2" t="s">
        <v>12</v>
      </c>
    </row>
    <row r="1647" spans="1:11" ht="12.5" x14ac:dyDescent="0.25">
      <c r="A1647" s="3" t="e">
        <f ca="1"/>
        <v>#NAME?</v>
      </c>
      <c r="B1647" s="2" t="s">
        <v>12</v>
      </c>
      <c r="C1647" s="2" t="s">
        <v>12</v>
      </c>
      <c r="D1647" s="2" t="s">
        <v>12</v>
      </c>
      <c r="E1647" s="2" t="s">
        <v>12</v>
      </c>
      <c r="F1647" s="2" t="s">
        <v>12</v>
      </c>
      <c r="G1647" s="2" t="s">
        <v>12</v>
      </c>
      <c r="H1647" s="2" t="s">
        <v>12</v>
      </c>
      <c r="I1647" s="2" t="s">
        <v>12</v>
      </c>
      <c r="J1647" s="2" t="s">
        <v>12</v>
      </c>
      <c r="K1647" s="2" t="s">
        <v>12</v>
      </c>
    </row>
    <row r="1648" spans="1:11" ht="12.5" x14ac:dyDescent="0.25">
      <c r="A1648" s="3" t="e">
        <f ca="1"/>
        <v>#NAME?</v>
      </c>
      <c r="B1648" s="2" t="s">
        <v>12</v>
      </c>
      <c r="C1648" s="2" t="s">
        <v>12</v>
      </c>
      <c r="D1648" s="2" t="s">
        <v>12</v>
      </c>
      <c r="E1648" s="2" t="s">
        <v>12</v>
      </c>
      <c r="F1648" s="2" t="s">
        <v>12</v>
      </c>
      <c r="G1648" s="2" t="s">
        <v>12</v>
      </c>
      <c r="H1648" s="2" t="s">
        <v>12</v>
      </c>
      <c r="I1648" s="2" t="s">
        <v>12</v>
      </c>
      <c r="J1648" s="2" t="s">
        <v>12</v>
      </c>
      <c r="K1648" s="2" t="s">
        <v>12</v>
      </c>
    </row>
    <row r="1649" spans="1:11" ht="12.5" x14ac:dyDescent="0.25">
      <c r="A1649" s="3" t="e">
        <f ca="1"/>
        <v>#NAME?</v>
      </c>
      <c r="B1649" s="2" t="s">
        <v>12</v>
      </c>
      <c r="C1649" s="2" t="s">
        <v>12</v>
      </c>
      <c r="D1649" s="2" t="s">
        <v>12</v>
      </c>
      <c r="E1649" s="2" t="s">
        <v>12</v>
      </c>
      <c r="F1649" s="2" t="s">
        <v>12</v>
      </c>
      <c r="G1649" s="2" t="s">
        <v>12</v>
      </c>
      <c r="H1649" s="2" t="s">
        <v>12</v>
      </c>
      <c r="I1649" s="2" t="s">
        <v>12</v>
      </c>
      <c r="J1649" s="2" t="s">
        <v>12</v>
      </c>
      <c r="K1649" s="2" t="s">
        <v>12</v>
      </c>
    </row>
    <row r="1650" spans="1:11" ht="12.5" x14ac:dyDescent="0.25">
      <c r="A1650" s="3" t="e">
        <f ca="1"/>
        <v>#NAME?</v>
      </c>
      <c r="B1650" s="2" t="s">
        <v>12</v>
      </c>
      <c r="C1650" s="2" t="s">
        <v>12</v>
      </c>
      <c r="D1650" s="2" t="s">
        <v>12</v>
      </c>
      <c r="E1650" s="2" t="s">
        <v>12</v>
      </c>
      <c r="F1650" s="2" t="s">
        <v>12</v>
      </c>
      <c r="G1650" s="2" t="s">
        <v>12</v>
      </c>
      <c r="H1650" s="2" t="s">
        <v>12</v>
      </c>
      <c r="I1650" s="2" t="s">
        <v>12</v>
      </c>
      <c r="J1650" s="2" t="s">
        <v>12</v>
      </c>
      <c r="K1650" s="2" t="s">
        <v>12</v>
      </c>
    </row>
    <row r="1651" spans="1:11" ht="12.5" x14ac:dyDescent="0.25">
      <c r="A1651" s="3" t="e">
        <f ca="1"/>
        <v>#NAME?</v>
      </c>
      <c r="B1651" s="2" t="s">
        <v>12</v>
      </c>
      <c r="C1651" s="2" t="s">
        <v>12</v>
      </c>
      <c r="D1651" s="2" t="s">
        <v>12</v>
      </c>
      <c r="E1651" s="2" t="s">
        <v>12</v>
      </c>
      <c r="F1651" s="2" t="s">
        <v>12</v>
      </c>
      <c r="G1651" s="2" t="s">
        <v>12</v>
      </c>
      <c r="H1651" s="2" t="s">
        <v>12</v>
      </c>
      <c r="I1651" s="2" t="s">
        <v>12</v>
      </c>
      <c r="J1651" s="2" t="s">
        <v>12</v>
      </c>
      <c r="K1651" s="2" t="s">
        <v>12</v>
      </c>
    </row>
    <row r="1652" spans="1:11" ht="12.5" x14ac:dyDescent="0.25">
      <c r="A1652" s="3" t="e">
        <f ca="1"/>
        <v>#NAME?</v>
      </c>
      <c r="B1652" s="2" t="s">
        <v>12</v>
      </c>
      <c r="C1652" s="2" t="s">
        <v>12</v>
      </c>
      <c r="D1652" s="2" t="s">
        <v>12</v>
      </c>
      <c r="E1652" s="2" t="s">
        <v>12</v>
      </c>
      <c r="F1652" s="2" t="s">
        <v>12</v>
      </c>
      <c r="G1652" s="2" t="s">
        <v>12</v>
      </c>
      <c r="H1652" s="2" t="s">
        <v>12</v>
      </c>
      <c r="I1652" s="2" t="s">
        <v>12</v>
      </c>
      <c r="J1652" s="2" t="s">
        <v>12</v>
      </c>
      <c r="K1652" s="2" t="s">
        <v>12</v>
      </c>
    </row>
    <row r="1653" spans="1:11" ht="12.5" x14ac:dyDescent="0.25">
      <c r="A1653" s="3" t="e">
        <f ca="1"/>
        <v>#NAME?</v>
      </c>
      <c r="B1653" s="2" t="s">
        <v>12</v>
      </c>
      <c r="C1653" s="2" t="s">
        <v>12</v>
      </c>
      <c r="D1653" s="2" t="s">
        <v>12</v>
      </c>
      <c r="E1653" s="2" t="s">
        <v>12</v>
      </c>
      <c r="F1653" s="2" t="s">
        <v>12</v>
      </c>
      <c r="G1653" s="2" t="s">
        <v>12</v>
      </c>
      <c r="H1653" s="2" t="s">
        <v>12</v>
      </c>
      <c r="I1653" s="2" t="s">
        <v>12</v>
      </c>
      <c r="J1653" s="2" t="s">
        <v>12</v>
      </c>
      <c r="K1653" s="2" t="s">
        <v>12</v>
      </c>
    </row>
    <row r="1654" spans="1:11" ht="12.5" x14ac:dyDescent="0.25">
      <c r="A1654" s="3" t="e">
        <f ca="1"/>
        <v>#NAME?</v>
      </c>
      <c r="B1654" s="2" t="s">
        <v>12</v>
      </c>
      <c r="C1654" s="2" t="s">
        <v>12</v>
      </c>
      <c r="D1654" s="2" t="s">
        <v>12</v>
      </c>
      <c r="E1654" s="2" t="s">
        <v>12</v>
      </c>
      <c r="F1654" s="2" t="s">
        <v>12</v>
      </c>
      <c r="G1654" s="2" t="s">
        <v>12</v>
      </c>
      <c r="H1654" s="2" t="s">
        <v>12</v>
      </c>
      <c r="I1654" s="2" t="s">
        <v>12</v>
      </c>
      <c r="J1654" s="2" t="s">
        <v>12</v>
      </c>
      <c r="K1654" s="2" t="s">
        <v>12</v>
      </c>
    </row>
    <row r="1655" spans="1:11" ht="12.5" x14ac:dyDescent="0.25">
      <c r="A1655" s="3" t="e">
        <f ca="1"/>
        <v>#NAME?</v>
      </c>
      <c r="B1655" s="2" t="s">
        <v>12</v>
      </c>
      <c r="C1655" s="2" t="s">
        <v>12</v>
      </c>
      <c r="D1655" s="2" t="s">
        <v>12</v>
      </c>
      <c r="E1655" s="2" t="s">
        <v>12</v>
      </c>
      <c r="F1655" s="2" t="s">
        <v>12</v>
      </c>
      <c r="G1655" s="2" t="s">
        <v>12</v>
      </c>
      <c r="H1655" s="2" t="s">
        <v>12</v>
      </c>
      <c r="I1655" s="2" t="s">
        <v>12</v>
      </c>
      <c r="J1655" s="2" t="s">
        <v>12</v>
      </c>
      <c r="K1655" s="2" t="s">
        <v>12</v>
      </c>
    </row>
    <row r="1656" spans="1:11" ht="12.5" x14ac:dyDescent="0.25">
      <c r="A1656" s="3" t="e">
        <f ca="1"/>
        <v>#NAME?</v>
      </c>
      <c r="B1656" s="2" t="s">
        <v>12</v>
      </c>
      <c r="C1656" s="2" t="s">
        <v>12</v>
      </c>
      <c r="D1656" s="2" t="s">
        <v>12</v>
      </c>
      <c r="E1656" s="2" t="s">
        <v>12</v>
      </c>
      <c r="F1656" s="2" t="s">
        <v>12</v>
      </c>
      <c r="G1656" s="2" t="s">
        <v>12</v>
      </c>
      <c r="H1656" s="2" t="s">
        <v>12</v>
      </c>
      <c r="I1656" s="2" t="s">
        <v>12</v>
      </c>
      <c r="J1656" s="2" t="s">
        <v>12</v>
      </c>
      <c r="K1656" s="2" t="s">
        <v>12</v>
      </c>
    </row>
    <row r="1657" spans="1:11" ht="12.5" x14ac:dyDescent="0.25">
      <c r="A1657" s="3" t="e">
        <f ca="1"/>
        <v>#NAME?</v>
      </c>
      <c r="B1657" s="2" t="s">
        <v>12</v>
      </c>
      <c r="C1657" s="2" t="s">
        <v>12</v>
      </c>
      <c r="D1657" s="2" t="s">
        <v>12</v>
      </c>
      <c r="E1657" s="2" t="s">
        <v>12</v>
      </c>
      <c r="F1657" s="2" t="s">
        <v>12</v>
      </c>
      <c r="G1657" s="2" t="s">
        <v>12</v>
      </c>
      <c r="H1657" s="2" t="s">
        <v>12</v>
      </c>
      <c r="I1657" s="2" t="s">
        <v>12</v>
      </c>
      <c r="J1657" s="2" t="s">
        <v>12</v>
      </c>
      <c r="K1657" s="2" t="s">
        <v>12</v>
      </c>
    </row>
    <row r="1658" spans="1:11" ht="12.5" x14ac:dyDescent="0.25">
      <c r="A1658" s="3" t="e">
        <f ca="1"/>
        <v>#NAME?</v>
      </c>
      <c r="B1658" s="2" t="s">
        <v>12</v>
      </c>
      <c r="C1658" s="2" t="s">
        <v>12</v>
      </c>
      <c r="D1658" s="2" t="s">
        <v>12</v>
      </c>
      <c r="E1658" s="2" t="s">
        <v>12</v>
      </c>
      <c r="F1658" s="2" t="s">
        <v>12</v>
      </c>
      <c r="G1658" s="2" t="s">
        <v>12</v>
      </c>
      <c r="H1658" s="2" t="s">
        <v>12</v>
      </c>
      <c r="I1658" s="2" t="s">
        <v>12</v>
      </c>
      <c r="J1658" s="2" t="s">
        <v>12</v>
      </c>
      <c r="K1658" s="2" t="s">
        <v>12</v>
      </c>
    </row>
    <row r="1659" spans="1:11" ht="12.5" x14ac:dyDescent="0.25">
      <c r="A1659" s="3" t="e">
        <f ca="1"/>
        <v>#NAME?</v>
      </c>
      <c r="B1659" s="2" t="s">
        <v>12</v>
      </c>
      <c r="C1659" s="2" t="s">
        <v>12</v>
      </c>
      <c r="D1659" s="2" t="s">
        <v>12</v>
      </c>
      <c r="E1659" s="2" t="s">
        <v>12</v>
      </c>
      <c r="F1659" s="2" t="s">
        <v>12</v>
      </c>
      <c r="G1659" s="2" t="s">
        <v>12</v>
      </c>
      <c r="H1659" s="2" t="s">
        <v>12</v>
      </c>
      <c r="I1659" s="2" t="s">
        <v>12</v>
      </c>
      <c r="J1659" s="2" t="s">
        <v>12</v>
      </c>
      <c r="K1659" s="2" t="s">
        <v>12</v>
      </c>
    </row>
    <row r="1660" spans="1:11" ht="12.5" x14ac:dyDescent="0.25">
      <c r="A1660" s="3" t="e">
        <f ca="1"/>
        <v>#NAME?</v>
      </c>
      <c r="B1660" s="2" t="s">
        <v>12</v>
      </c>
      <c r="C1660" s="2" t="s">
        <v>12</v>
      </c>
      <c r="D1660" s="2" t="s">
        <v>12</v>
      </c>
      <c r="E1660" s="2" t="s">
        <v>12</v>
      </c>
      <c r="F1660" s="2" t="s">
        <v>12</v>
      </c>
      <c r="G1660" s="2" t="s">
        <v>12</v>
      </c>
      <c r="H1660" s="2" t="s">
        <v>12</v>
      </c>
      <c r="I1660" s="2" t="s">
        <v>12</v>
      </c>
      <c r="J1660" s="2" t="s">
        <v>12</v>
      </c>
      <c r="K1660" s="2" t="s">
        <v>12</v>
      </c>
    </row>
    <row r="1661" spans="1:11" ht="12.5" x14ac:dyDescent="0.25">
      <c r="A1661" s="3" t="e">
        <f ca="1"/>
        <v>#NAME?</v>
      </c>
      <c r="B1661" s="2" t="s">
        <v>12</v>
      </c>
      <c r="C1661" s="2" t="s">
        <v>12</v>
      </c>
      <c r="D1661" s="2" t="s">
        <v>12</v>
      </c>
      <c r="E1661" s="2" t="s">
        <v>12</v>
      </c>
      <c r="F1661" s="2" t="s">
        <v>12</v>
      </c>
      <c r="G1661" s="2" t="s">
        <v>12</v>
      </c>
      <c r="H1661" s="2" t="s">
        <v>12</v>
      </c>
      <c r="I1661" s="2" t="s">
        <v>12</v>
      </c>
      <c r="J1661" s="2" t="s">
        <v>12</v>
      </c>
      <c r="K1661" s="2" t="s">
        <v>12</v>
      </c>
    </row>
    <row r="1662" spans="1:11" ht="12.5" x14ac:dyDescent="0.25">
      <c r="A1662" s="3" t="e">
        <f ca="1"/>
        <v>#NAME?</v>
      </c>
      <c r="B1662" s="2" t="s">
        <v>12</v>
      </c>
      <c r="C1662" s="2" t="s">
        <v>12</v>
      </c>
      <c r="D1662" s="2" t="s">
        <v>12</v>
      </c>
      <c r="E1662" s="2" t="s">
        <v>12</v>
      </c>
      <c r="F1662" s="2" t="s">
        <v>12</v>
      </c>
      <c r="G1662" s="2" t="s">
        <v>12</v>
      </c>
      <c r="H1662" s="2" t="s">
        <v>12</v>
      </c>
      <c r="I1662" s="2" t="s">
        <v>12</v>
      </c>
      <c r="J1662" s="2" t="s">
        <v>12</v>
      </c>
      <c r="K1662" s="2" t="s">
        <v>12</v>
      </c>
    </row>
    <row r="1663" spans="1:11" ht="12.5" x14ac:dyDescent="0.25">
      <c r="A1663" s="3" t="e">
        <f ca="1"/>
        <v>#NAME?</v>
      </c>
      <c r="B1663" s="2" t="s">
        <v>12</v>
      </c>
      <c r="C1663" s="2" t="s">
        <v>12</v>
      </c>
      <c r="D1663" s="2" t="s">
        <v>12</v>
      </c>
      <c r="E1663" s="2" t="s">
        <v>12</v>
      </c>
      <c r="F1663" s="2" t="s">
        <v>12</v>
      </c>
      <c r="G1663" s="2" t="s">
        <v>12</v>
      </c>
      <c r="H1663" s="2" t="s">
        <v>12</v>
      </c>
      <c r="I1663" s="2" t="s">
        <v>12</v>
      </c>
      <c r="J1663" s="2" t="s">
        <v>12</v>
      </c>
      <c r="K1663" s="2" t="s">
        <v>12</v>
      </c>
    </row>
    <row r="1664" spans="1:11" ht="12.5" x14ac:dyDescent="0.25">
      <c r="A1664" s="3" t="e">
        <f ca="1"/>
        <v>#NAME?</v>
      </c>
      <c r="B1664" s="2" t="s">
        <v>12</v>
      </c>
      <c r="C1664" s="2" t="s">
        <v>12</v>
      </c>
      <c r="D1664" s="2" t="s">
        <v>12</v>
      </c>
      <c r="E1664" s="2" t="s">
        <v>12</v>
      </c>
      <c r="F1664" s="2" t="s">
        <v>12</v>
      </c>
      <c r="G1664" s="2" t="s">
        <v>12</v>
      </c>
      <c r="H1664" s="2" t="s">
        <v>12</v>
      </c>
      <c r="I1664" s="2" t="s">
        <v>12</v>
      </c>
      <c r="J1664" s="2" t="s">
        <v>12</v>
      </c>
      <c r="K1664" s="2" t="s">
        <v>12</v>
      </c>
    </row>
    <row r="1665" spans="1:11" ht="12.5" x14ac:dyDescent="0.25">
      <c r="A1665" s="3" t="e">
        <f ca="1"/>
        <v>#NAME?</v>
      </c>
      <c r="B1665" s="2" t="s">
        <v>12</v>
      </c>
      <c r="C1665" s="2" t="s">
        <v>12</v>
      </c>
      <c r="D1665" s="2" t="s">
        <v>12</v>
      </c>
      <c r="E1665" s="2" t="s">
        <v>12</v>
      </c>
      <c r="F1665" s="2" t="s">
        <v>12</v>
      </c>
      <c r="G1665" s="2" t="s">
        <v>12</v>
      </c>
      <c r="H1665" s="2" t="s">
        <v>12</v>
      </c>
      <c r="I1665" s="2" t="s">
        <v>12</v>
      </c>
      <c r="J1665" s="2" t="s">
        <v>12</v>
      </c>
      <c r="K1665" s="2" t="s">
        <v>12</v>
      </c>
    </row>
    <row r="1666" spans="1:11" ht="12.5" x14ac:dyDescent="0.25">
      <c r="A1666" s="3" t="e">
        <f ca="1"/>
        <v>#NAME?</v>
      </c>
      <c r="B1666" s="2" t="s">
        <v>12</v>
      </c>
      <c r="C1666" s="2" t="s">
        <v>12</v>
      </c>
      <c r="D1666" s="2" t="s">
        <v>12</v>
      </c>
      <c r="E1666" s="2" t="s">
        <v>12</v>
      </c>
      <c r="F1666" s="2" t="s">
        <v>12</v>
      </c>
      <c r="G1666" s="2" t="s">
        <v>12</v>
      </c>
      <c r="H1666" s="2" t="s">
        <v>12</v>
      </c>
      <c r="I1666" s="2" t="s">
        <v>12</v>
      </c>
      <c r="J1666" s="2" t="s">
        <v>12</v>
      </c>
      <c r="K1666" s="2" t="s">
        <v>12</v>
      </c>
    </row>
    <row r="1667" spans="1:11" ht="12.5" x14ac:dyDescent="0.25">
      <c r="A1667" s="3" t="e">
        <f ca="1"/>
        <v>#NAME?</v>
      </c>
      <c r="B1667" s="2" t="s">
        <v>12</v>
      </c>
      <c r="C1667" s="2" t="s">
        <v>12</v>
      </c>
      <c r="D1667" s="2" t="s">
        <v>12</v>
      </c>
      <c r="E1667" s="2" t="s">
        <v>12</v>
      </c>
      <c r="F1667" s="2" t="s">
        <v>12</v>
      </c>
      <c r="G1667" s="2" t="s">
        <v>12</v>
      </c>
      <c r="H1667" s="2" t="s">
        <v>12</v>
      </c>
      <c r="I1667" s="2" t="s">
        <v>12</v>
      </c>
      <c r="J1667" s="2" t="s">
        <v>12</v>
      </c>
      <c r="K1667" s="2" t="s">
        <v>12</v>
      </c>
    </row>
    <row r="1668" spans="1:11" ht="12.5" x14ac:dyDescent="0.25">
      <c r="A1668" s="3" t="e">
        <f ca="1"/>
        <v>#NAME?</v>
      </c>
      <c r="B1668" s="2" t="s">
        <v>12</v>
      </c>
      <c r="C1668" s="2" t="s">
        <v>12</v>
      </c>
      <c r="D1668" s="2" t="s">
        <v>12</v>
      </c>
      <c r="E1668" s="2" t="s">
        <v>12</v>
      </c>
      <c r="F1668" s="2" t="s">
        <v>12</v>
      </c>
      <c r="G1668" s="2" t="s">
        <v>12</v>
      </c>
      <c r="H1668" s="2" t="s">
        <v>12</v>
      </c>
      <c r="I1668" s="2" t="s">
        <v>12</v>
      </c>
      <c r="J1668" s="2" t="s">
        <v>12</v>
      </c>
      <c r="K1668" s="2" t="s">
        <v>12</v>
      </c>
    </row>
    <row r="1669" spans="1:11" ht="12.5" x14ac:dyDescent="0.25">
      <c r="A1669" s="3" t="e">
        <f ca="1"/>
        <v>#NAME?</v>
      </c>
      <c r="B1669" s="2" t="s">
        <v>12</v>
      </c>
      <c r="C1669" s="2" t="s">
        <v>12</v>
      </c>
      <c r="D1669" s="2" t="s">
        <v>12</v>
      </c>
      <c r="E1669" s="2" t="s">
        <v>12</v>
      </c>
      <c r="F1669" s="2" t="s">
        <v>12</v>
      </c>
      <c r="G1669" s="2" t="s">
        <v>12</v>
      </c>
      <c r="H1669" s="2" t="s">
        <v>12</v>
      </c>
      <c r="I1669" s="2" t="s">
        <v>12</v>
      </c>
      <c r="J1669" s="2" t="s">
        <v>12</v>
      </c>
      <c r="K1669" s="2" t="s">
        <v>12</v>
      </c>
    </row>
    <row r="1670" spans="1:11" ht="12.5" x14ac:dyDescent="0.25">
      <c r="A1670" s="3" t="e">
        <f ca="1"/>
        <v>#NAME?</v>
      </c>
      <c r="B1670" s="2" t="s">
        <v>12</v>
      </c>
      <c r="C1670" s="2" t="s">
        <v>12</v>
      </c>
      <c r="D1670" s="2" t="s">
        <v>12</v>
      </c>
      <c r="E1670" s="2" t="s">
        <v>12</v>
      </c>
      <c r="F1670" s="2" t="s">
        <v>12</v>
      </c>
      <c r="G1670" s="2" t="s">
        <v>12</v>
      </c>
      <c r="H1670" s="2" t="s">
        <v>12</v>
      </c>
      <c r="I1670" s="2" t="s">
        <v>12</v>
      </c>
      <c r="J1670" s="2" t="s">
        <v>12</v>
      </c>
      <c r="K1670" s="2" t="s">
        <v>12</v>
      </c>
    </row>
    <row r="1671" spans="1:11" ht="12.5" x14ac:dyDescent="0.25">
      <c r="A1671" s="3" t="e">
        <f ca="1"/>
        <v>#NAME?</v>
      </c>
      <c r="B1671" s="2" t="s">
        <v>12</v>
      </c>
      <c r="C1671" s="2" t="s">
        <v>12</v>
      </c>
      <c r="D1671" s="2" t="s">
        <v>12</v>
      </c>
      <c r="E1671" s="2" t="s">
        <v>12</v>
      </c>
      <c r="F1671" s="2" t="s">
        <v>12</v>
      </c>
      <c r="G1671" s="2" t="s">
        <v>12</v>
      </c>
      <c r="H1671" s="2" t="s">
        <v>12</v>
      </c>
      <c r="I1671" s="2" t="s">
        <v>12</v>
      </c>
      <c r="J1671" s="2" t="s">
        <v>12</v>
      </c>
      <c r="K1671" s="2" t="s">
        <v>12</v>
      </c>
    </row>
    <row r="1672" spans="1:11" ht="12.5" x14ac:dyDescent="0.25">
      <c r="A1672" s="3" t="e">
        <f ca="1"/>
        <v>#NAME?</v>
      </c>
      <c r="B1672" s="2" t="s">
        <v>12</v>
      </c>
      <c r="C1672" s="2" t="s">
        <v>12</v>
      </c>
      <c r="D1672" s="2" t="s">
        <v>12</v>
      </c>
      <c r="E1672" s="2" t="s">
        <v>12</v>
      </c>
      <c r="F1672" s="2" t="s">
        <v>12</v>
      </c>
      <c r="G1672" s="2" t="s">
        <v>12</v>
      </c>
      <c r="H1672" s="2" t="s">
        <v>12</v>
      </c>
      <c r="I1672" s="2" t="s">
        <v>12</v>
      </c>
      <c r="J1672" s="2" t="s">
        <v>12</v>
      </c>
      <c r="K1672" s="2" t="s">
        <v>12</v>
      </c>
    </row>
    <row r="1673" spans="1:11" ht="12.5" x14ac:dyDescent="0.25">
      <c r="A1673" s="3" t="e">
        <f ca="1"/>
        <v>#NAME?</v>
      </c>
      <c r="B1673" s="2" t="s">
        <v>12</v>
      </c>
      <c r="C1673" s="2" t="s">
        <v>12</v>
      </c>
      <c r="D1673" s="2" t="s">
        <v>12</v>
      </c>
      <c r="E1673" s="2" t="s">
        <v>12</v>
      </c>
      <c r="F1673" s="2" t="s">
        <v>12</v>
      </c>
      <c r="G1673" s="2" t="s">
        <v>12</v>
      </c>
      <c r="H1673" s="2" t="s">
        <v>12</v>
      </c>
      <c r="I1673" s="2" t="s">
        <v>12</v>
      </c>
      <c r="J1673" s="2" t="s">
        <v>12</v>
      </c>
      <c r="K1673" s="2" t="s">
        <v>12</v>
      </c>
    </row>
    <row r="1674" spans="1:11" ht="12.5" x14ac:dyDescent="0.25">
      <c r="A1674" s="3" t="e">
        <f ca="1"/>
        <v>#NAME?</v>
      </c>
      <c r="B1674" s="2" t="s">
        <v>12</v>
      </c>
      <c r="C1674" s="2" t="s">
        <v>12</v>
      </c>
      <c r="D1674" s="2" t="s">
        <v>12</v>
      </c>
      <c r="E1674" s="2" t="s">
        <v>12</v>
      </c>
      <c r="F1674" s="2" t="s">
        <v>12</v>
      </c>
      <c r="G1674" s="2" t="s">
        <v>12</v>
      </c>
      <c r="H1674" s="2" t="s">
        <v>12</v>
      </c>
      <c r="I1674" s="2" t="s">
        <v>12</v>
      </c>
      <c r="J1674" s="2" t="s">
        <v>12</v>
      </c>
      <c r="K1674" s="2" t="s">
        <v>12</v>
      </c>
    </row>
    <row r="1675" spans="1:11" ht="12.5" x14ac:dyDescent="0.25">
      <c r="A1675" s="3" t="e">
        <f ca="1"/>
        <v>#NAME?</v>
      </c>
      <c r="B1675" s="2" t="s">
        <v>12</v>
      </c>
      <c r="C1675" s="2" t="s">
        <v>12</v>
      </c>
      <c r="D1675" s="2" t="s">
        <v>12</v>
      </c>
      <c r="E1675" s="2" t="s">
        <v>12</v>
      </c>
      <c r="F1675" s="2" t="s">
        <v>12</v>
      </c>
      <c r="G1675" s="2" t="s">
        <v>12</v>
      </c>
      <c r="H1675" s="2" t="s">
        <v>12</v>
      </c>
      <c r="I1675" s="2" t="s">
        <v>12</v>
      </c>
      <c r="J1675" s="2" t="s">
        <v>12</v>
      </c>
      <c r="K1675" s="2" t="s">
        <v>12</v>
      </c>
    </row>
    <row r="1676" spans="1:11" ht="12.5" x14ac:dyDescent="0.25">
      <c r="A1676" s="3" t="e">
        <f ca="1"/>
        <v>#NAME?</v>
      </c>
      <c r="B1676" s="2" t="s">
        <v>12</v>
      </c>
      <c r="C1676" s="2" t="s">
        <v>12</v>
      </c>
      <c r="D1676" s="2" t="s">
        <v>12</v>
      </c>
      <c r="E1676" s="2" t="s">
        <v>12</v>
      </c>
      <c r="F1676" s="2" t="s">
        <v>12</v>
      </c>
      <c r="G1676" s="2" t="s">
        <v>12</v>
      </c>
      <c r="H1676" s="2" t="s">
        <v>12</v>
      </c>
      <c r="I1676" s="2" t="s">
        <v>12</v>
      </c>
      <c r="J1676" s="2" t="s">
        <v>12</v>
      </c>
      <c r="K1676" s="2" t="s">
        <v>12</v>
      </c>
    </row>
    <row r="1677" spans="1:11" ht="12.5" x14ac:dyDescent="0.25">
      <c r="A1677" s="3" t="e">
        <f ca="1"/>
        <v>#NAME?</v>
      </c>
      <c r="B1677" s="2" t="s">
        <v>12</v>
      </c>
      <c r="C1677" s="2" t="s">
        <v>12</v>
      </c>
      <c r="D1677" s="2" t="s">
        <v>12</v>
      </c>
      <c r="E1677" s="2" t="s">
        <v>12</v>
      </c>
      <c r="F1677" s="2" t="s">
        <v>12</v>
      </c>
      <c r="G1677" s="2" t="s">
        <v>12</v>
      </c>
      <c r="H1677" s="2" t="s">
        <v>12</v>
      </c>
      <c r="I1677" s="2" t="s">
        <v>12</v>
      </c>
      <c r="J1677" s="2" t="s">
        <v>12</v>
      </c>
      <c r="K1677" s="2" t="s">
        <v>12</v>
      </c>
    </row>
    <row r="1678" spans="1:11" ht="12.5" x14ac:dyDescent="0.25">
      <c r="A1678" s="3" t="e">
        <f ca="1"/>
        <v>#NAME?</v>
      </c>
      <c r="B1678" s="2" t="s">
        <v>12</v>
      </c>
      <c r="C1678" s="2" t="s">
        <v>12</v>
      </c>
      <c r="D1678" s="2" t="s">
        <v>12</v>
      </c>
      <c r="E1678" s="2" t="s">
        <v>12</v>
      </c>
      <c r="F1678" s="2" t="s">
        <v>12</v>
      </c>
      <c r="G1678" s="2" t="s">
        <v>12</v>
      </c>
      <c r="H1678" s="2" t="s">
        <v>12</v>
      </c>
      <c r="I1678" s="2" t="s">
        <v>12</v>
      </c>
      <c r="J1678" s="2" t="s">
        <v>12</v>
      </c>
      <c r="K1678" s="2" t="s">
        <v>12</v>
      </c>
    </row>
    <row r="1679" spans="1:11" ht="12.5" x14ac:dyDescent="0.25">
      <c r="A1679" s="3" t="e">
        <f ca="1"/>
        <v>#NAME?</v>
      </c>
      <c r="B1679" s="2" t="s">
        <v>12</v>
      </c>
      <c r="C1679" s="2" t="s">
        <v>12</v>
      </c>
      <c r="D1679" s="2" t="s">
        <v>12</v>
      </c>
      <c r="E1679" s="2" t="s">
        <v>12</v>
      </c>
      <c r="F1679" s="2" t="s">
        <v>12</v>
      </c>
      <c r="G1679" s="2" t="s">
        <v>12</v>
      </c>
      <c r="H1679" s="2" t="s">
        <v>12</v>
      </c>
      <c r="I1679" s="2" t="s">
        <v>12</v>
      </c>
      <c r="J1679" s="2" t="s">
        <v>12</v>
      </c>
      <c r="K1679" s="2" t="s">
        <v>12</v>
      </c>
    </row>
    <row r="1680" spans="1:11" ht="12.5" x14ac:dyDescent="0.25">
      <c r="A1680" s="3" t="e">
        <f ca="1"/>
        <v>#NAME?</v>
      </c>
      <c r="B1680" s="2" t="s">
        <v>12</v>
      </c>
      <c r="C1680" s="2" t="s">
        <v>12</v>
      </c>
      <c r="D1680" s="2" t="s">
        <v>12</v>
      </c>
      <c r="E1680" s="2" t="s">
        <v>12</v>
      </c>
      <c r="F1680" s="2" t="s">
        <v>12</v>
      </c>
      <c r="G1680" s="2" t="s">
        <v>12</v>
      </c>
      <c r="H1680" s="2" t="s">
        <v>12</v>
      </c>
      <c r="I1680" s="2" t="s">
        <v>12</v>
      </c>
      <c r="J1680" s="2" t="s">
        <v>12</v>
      </c>
      <c r="K1680" s="2" t="s">
        <v>12</v>
      </c>
    </row>
    <row r="1681" spans="1:11" ht="12.5" x14ac:dyDescent="0.25">
      <c r="A1681" s="3" t="e">
        <f ca="1"/>
        <v>#NAME?</v>
      </c>
      <c r="B1681" s="2" t="s">
        <v>12</v>
      </c>
      <c r="C1681" s="2" t="s">
        <v>12</v>
      </c>
      <c r="D1681" s="2" t="s">
        <v>12</v>
      </c>
      <c r="E1681" s="2" t="s">
        <v>12</v>
      </c>
      <c r="F1681" s="2" t="s">
        <v>12</v>
      </c>
      <c r="G1681" s="2" t="s">
        <v>12</v>
      </c>
      <c r="H1681" s="2" t="s">
        <v>12</v>
      </c>
      <c r="I1681" s="2" t="s">
        <v>12</v>
      </c>
      <c r="J1681" s="2" t="s">
        <v>12</v>
      </c>
      <c r="K1681" s="2" t="s">
        <v>12</v>
      </c>
    </row>
    <row r="1682" spans="1:11" ht="12.5" x14ac:dyDescent="0.25">
      <c r="A1682" s="3" t="e">
        <f ca="1"/>
        <v>#NAME?</v>
      </c>
      <c r="B1682" s="2" t="s">
        <v>12</v>
      </c>
      <c r="C1682" s="2" t="s">
        <v>12</v>
      </c>
      <c r="D1682" s="2" t="s">
        <v>12</v>
      </c>
      <c r="E1682" s="2" t="s">
        <v>12</v>
      </c>
      <c r="F1682" s="2" t="s">
        <v>12</v>
      </c>
      <c r="G1682" s="2" t="s">
        <v>12</v>
      </c>
      <c r="H1682" s="2" t="s">
        <v>12</v>
      </c>
      <c r="I1682" s="2" t="s">
        <v>12</v>
      </c>
      <c r="J1682" s="2" t="s">
        <v>12</v>
      </c>
      <c r="K1682" s="2" t="s">
        <v>12</v>
      </c>
    </row>
    <row r="1683" spans="1:11" ht="12.5" x14ac:dyDescent="0.25">
      <c r="A1683" s="3" t="e">
        <f ca="1"/>
        <v>#NAME?</v>
      </c>
      <c r="B1683" s="2" t="s">
        <v>12</v>
      </c>
      <c r="C1683" s="2" t="s">
        <v>12</v>
      </c>
      <c r="D1683" s="2" t="s">
        <v>12</v>
      </c>
      <c r="E1683" s="2" t="s">
        <v>12</v>
      </c>
      <c r="F1683" s="2" t="s">
        <v>12</v>
      </c>
      <c r="G1683" s="2" t="s">
        <v>12</v>
      </c>
      <c r="H1683" s="2" t="s">
        <v>12</v>
      </c>
      <c r="I1683" s="2" t="s">
        <v>12</v>
      </c>
      <c r="J1683" s="2" t="s">
        <v>12</v>
      </c>
      <c r="K1683" s="2" t="s">
        <v>12</v>
      </c>
    </row>
    <row r="1684" spans="1:11" ht="12.5" x14ac:dyDescent="0.25">
      <c r="A1684" s="3" t="e">
        <f ca="1"/>
        <v>#NAME?</v>
      </c>
      <c r="B1684" s="2" t="s">
        <v>12</v>
      </c>
      <c r="C1684" s="2" t="s">
        <v>12</v>
      </c>
      <c r="D1684" s="2" t="s">
        <v>12</v>
      </c>
      <c r="E1684" s="2" t="s">
        <v>12</v>
      </c>
      <c r="F1684" s="2" t="s">
        <v>12</v>
      </c>
      <c r="G1684" s="2" t="s">
        <v>12</v>
      </c>
      <c r="H1684" s="2" t="s">
        <v>12</v>
      </c>
      <c r="I1684" s="2" t="s">
        <v>12</v>
      </c>
      <c r="J1684" s="2" t="s">
        <v>12</v>
      </c>
      <c r="K1684" s="2" t="s">
        <v>12</v>
      </c>
    </row>
    <row r="1685" spans="1:11" ht="12.5" x14ac:dyDescent="0.25">
      <c r="A1685" s="3" t="e">
        <f ca="1"/>
        <v>#NAME?</v>
      </c>
      <c r="B1685" s="2" t="s">
        <v>12</v>
      </c>
      <c r="C1685" s="2" t="s">
        <v>12</v>
      </c>
      <c r="D1685" s="2" t="s">
        <v>12</v>
      </c>
      <c r="E1685" s="2" t="s">
        <v>12</v>
      </c>
      <c r="F1685" s="2" t="s">
        <v>12</v>
      </c>
      <c r="G1685" s="2" t="s">
        <v>12</v>
      </c>
      <c r="H1685" s="2" t="s">
        <v>12</v>
      </c>
      <c r="I1685" s="2" t="s">
        <v>12</v>
      </c>
      <c r="J1685" s="2" t="s">
        <v>12</v>
      </c>
      <c r="K1685" s="2" t="s">
        <v>12</v>
      </c>
    </row>
    <row r="1686" spans="1:11" ht="12.5" x14ac:dyDescent="0.25">
      <c r="A1686" s="3" t="e">
        <f ca="1"/>
        <v>#NAME?</v>
      </c>
      <c r="B1686" s="2" t="s">
        <v>12</v>
      </c>
      <c r="C1686" s="2" t="s">
        <v>12</v>
      </c>
      <c r="D1686" s="2" t="s">
        <v>12</v>
      </c>
      <c r="E1686" s="2" t="s">
        <v>12</v>
      </c>
      <c r="F1686" s="2" t="s">
        <v>12</v>
      </c>
      <c r="G1686" s="2" t="s">
        <v>12</v>
      </c>
      <c r="H1686" s="2" t="s">
        <v>12</v>
      </c>
      <c r="I1686" s="2" t="s">
        <v>12</v>
      </c>
      <c r="J1686" s="2" t="s">
        <v>12</v>
      </c>
      <c r="K1686" s="2" t="s">
        <v>12</v>
      </c>
    </row>
    <row r="1687" spans="1:11" ht="12.5" x14ac:dyDescent="0.25">
      <c r="A1687" s="3" t="e">
        <f ca="1"/>
        <v>#NAME?</v>
      </c>
      <c r="B1687" s="2" t="s">
        <v>12</v>
      </c>
      <c r="C1687" s="2" t="s">
        <v>12</v>
      </c>
      <c r="D1687" s="2" t="s">
        <v>12</v>
      </c>
      <c r="E1687" s="2" t="s">
        <v>12</v>
      </c>
      <c r="F1687" s="2" t="s">
        <v>12</v>
      </c>
      <c r="G1687" s="2" t="s">
        <v>12</v>
      </c>
      <c r="H1687" s="2" t="s">
        <v>12</v>
      </c>
      <c r="I1687" s="2" t="s">
        <v>12</v>
      </c>
      <c r="J1687" s="2" t="s">
        <v>12</v>
      </c>
      <c r="K1687" s="2" t="s">
        <v>12</v>
      </c>
    </row>
    <row r="1688" spans="1:11" ht="12.5" x14ac:dyDescent="0.25">
      <c r="A1688" s="3" t="e">
        <f ca="1"/>
        <v>#NAME?</v>
      </c>
      <c r="B1688" s="2" t="s">
        <v>12</v>
      </c>
      <c r="C1688" s="2" t="s">
        <v>12</v>
      </c>
      <c r="D1688" s="2" t="s">
        <v>12</v>
      </c>
      <c r="E1688" s="2" t="s">
        <v>12</v>
      </c>
      <c r="F1688" s="2" t="s">
        <v>12</v>
      </c>
      <c r="G1688" s="2" t="s">
        <v>12</v>
      </c>
      <c r="H1688" s="2" t="s">
        <v>12</v>
      </c>
      <c r="I1688" s="2" t="s">
        <v>12</v>
      </c>
      <c r="J1688" s="2" t="s">
        <v>12</v>
      </c>
      <c r="K1688" s="2" t="s">
        <v>12</v>
      </c>
    </row>
    <row r="1689" spans="1:11" ht="12.5" x14ac:dyDescent="0.25">
      <c r="A1689" s="3" t="e">
        <f ca="1"/>
        <v>#NAME?</v>
      </c>
      <c r="B1689" s="2" t="s">
        <v>12</v>
      </c>
      <c r="C1689" s="2" t="s">
        <v>12</v>
      </c>
      <c r="D1689" s="2" t="s">
        <v>12</v>
      </c>
      <c r="E1689" s="2" t="s">
        <v>12</v>
      </c>
      <c r="F1689" s="2" t="s">
        <v>12</v>
      </c>
      <c r="G1689" s="2" t="s">
        <v>12</v>
      </c>
      <c r="H1689" s="2" t="s">
        <v>12</v>
      </c>
      <c r="I1689" s="2" t="s">
        <v>12</v>
      </c>
      <c r="J1689" s="2" t="s">
        <v>12</v>
      </c>
      <c r="K1689" s="2" t="s">
        <v>12</v>
      </c>
    </row>
    <row r="1690" spans="1:11" ht="12.5" x14ac:dyDescent="0.25">
      <c r="A1690" s="3" t="e">
        <f ca="1"/>
        <v>#NAME?</v>
      </c>
      <c r="B1690" s="2" t="s">
        <v>12</v>
      </c>
      <c r="C1690" s="2" t="s">
        <v>12</v>
      </c>
      <c r="D1690" s="2" t="s">
        <v>12</v>
      </c>
      <c r="E1690" s="2" t="s">
        <v>12</v>
      </c>
      <c r="F1690" s="2" t="s">
        <v>12</v>
      </c>
      <c r="G1690" s="2" t="s">
        <v>12</v>
      </c>
      <c r="H1690" s="2" t="s">
        <v>12</v>
      </c>
      <c r="I1690" s="2" t="s">
        <v>12</v>
      </c>
      <c r="J1690" s="2" t="s">
        <v>12</v>
      </c>
      <c r="K1690" s="2" t="s">
        <v>12</v>
      </c>
    </row>
    <row r="1691" spans="1:11" ht="12.5" x14ac:dyDescent="0.25">
      <c r="A1691" s="3" t="e">
        <f ca="1"/>
        <v>#NAME?</v>
      </c>
      <c r="B1691" s="2" t="s">
        <v>12</v>
      </c>
      <c r="C1691" s="2" t="s">
        <v>12</v>
      </c>
      <c r="D1691" s="2" t="s">
        <v>12</v>
      </c>
      <c r="E1691" s="2" t="s">
        <v>12</v>
      </c>
      <c r="F1691" s="2" t="s">
        <v>12</v>
      </c>
      <c r="G1691" s="2" t="s">
        <v>12</v>
      </c>
      <c r="H1691" s="2" t="s">
        <v>12</v>
      </c>
      <c r="I1691" s="2" t="s">
        <v>12</v>
      </c>
      <c r="J1691" s="2" t="s">
        <v>12</v>
      </c>
      <c r="K1691" s="2" t="s">
        <v>12</v>
      </c>
    </row>
    <row r="1692" spans="1:11" ht="12.5" x14ac:dyDescent="0.25">
      <c r="A1692" s="3" t="e">
        <f ca="1"/>
        <v>#NAME?</v>
      </c>
      <c r="B1692" s="2" t="s">
        <v>12</v>
      </c>
      <c r="C1692" s="2" t="s">
        <v>12</v>
      </c>
      <c r="D1692" s="2" t="s">
        <v>12</v>
      </c>
      <c r="E1692" s="2" t="s">
        <v>12</v>
      </c>
      <c r="F1692" s="2" t="s">
        <v>12</v>
      </c>
      <c r="G1692" s="2" t="s">
        <v>12</v>
      </c>
      <c r="H1692" s="2" t="s">
        <v>12</v>
      </c>
      <c r="I1692" s="2" t="s">
        <v>12</v>
      </c>
      <c r="J1692" s="2" t="s">
        <v>12</v>
      </c>
      <c r="K1692" s="2" t="s">
        <v>12</v>
      </c>
    </row>
    <row r="1693" spans="1:11" ht="12.5" x14ac:dyDescent="0.25">
      <c r="A1693" s="3" t="e">
        <f ca="1"/>
        <v>#NAME?</v>
      </c>
      <c r="B1693" s="2" t="s">
        <v>12</v>
      </c>
      <c r="C1693" s="2" t="s">
        <v>12</v>
      </c>
      <c r="D1693" s="2" t="s">
        <v>12</v>
      </c>
      <c r="E1693" s="2" t="s">
        <v>12</v>
      </c>
      <c r="F1693" s="2" t="s">
        <v>12</v>
      </c>
      <c r="G1693" s="2" t="s">
        <v>12</v>
      </c>
      <c r="H1693" s="2" t="s">
        <v>12</v>
      </c>
      <c r="I1693" s="2" t="s">
        <v>12</v>
      </c>
      <c r="J1693" s="2" t="s">
        <v>12</v>
      </c>
      <c r="K1693" s="2" t="s">
        <v>12</v>
      </c>
    </row>
    <row r="1694" spans="1:11" ht="12.5" x14ac:dyDescent="0.25">
      <c r="A1694" s="3" t="e">
        <f ca="1"/>
        <v>#NAME?</v>
      </c>
      <c r="B1694" s="2" t="s">
        <v>12</v>
      </c>
      <c r="C1694" s="2" t="s">
        <v>12</v>
      </c>
      <c r="D1694" s="2" t="s">
        <v>12</v>
      </c>
      <c r="E1694" s="2" t="s">
        <v>12</v>
      </c>
      <c r="F1694" s="2" t="s">
        <v>12</v>
      </c>
      <c r="G1694" s="2" t="s">
        <v>12</v>
      </c>
      <c r="H1694" s="2" t="s">
        <v>12</v>
      </c>
      <c r="I1694" s="2" t="s">
        <v>12</v>
      </c>
      <c r="J1694" s="2" t="s">
        <v>12</v>
      </c>
      <c r="K1694" s="2" t="s">
        <v>12</v>
      </c>
    </row>
    <row r="1695" spans="1:11" ht="12.5" x14ac:dyDescent="0.25">
      <c r="A1695" s="3" t="e">
        <f ca="1"/>
        <v>#NAME?</v>
      </c>
      <c r="B1695" s="2" t="s">
        <v>12</v>
      </c>
      <c r="C1695" s="2" t="s">
        <v>12</v>
      </c>
      <c r="D1695" s="2" t="s">
        <v>12</v>
      </c>
      <c r="E1695" s="2" t="s">
        <v>12</v>
      </c>
      <c r="F1695" s="2" t="s">
        <v>12</v>
      </c>
      <c r="G1695" s="2" t="s">
        <v>12</v>
      </c>
      <c r="H1695" s="2" t="s">
        <v>12</v>
      </c>
      <c r="I1695" s="2" t="s">
        <v>12</v>
      </c>
      <c r="J1695" s="2" t="s">
        <v>12</v>
      </c>
      <c r="K1695" s="2" t="s">
        <v>12</v>
      </c>
    </row>
    <row r="1696" spans="1:11" ht="12.5" x14ac:dyDescent="0.25">
      <c r="A1696" s="3" t="e">
        <f ca="1"/>
        <v>#NAME?</v>
      </c>
      <c r="B1696" s="2" t="s">
        <v>12</v>
      </c>
      <c r="C1696" s="2" t="s">
        <v>12</v>
      </c>
      <c r="D1696" s="2" t="s">
        <v>12</v>
      </c>
      <c r="E1696" s="2" t="s">
        <v>12</v>
      </c>
      <c r="F1696" s="2" t="s">
        <v>12</v>
      </c>
      <c r="G1696" s="2" t="s">
        <v>12</v>
      </c>
      <c r="H1696" s="2" t="s">
        <v>12</v>
      </c>
      <c r="I1696" s="2" t="s">
        <v>12</v>
      </c>
      <c r="J1696" s="2" t="s">
        <v>12</v>
      </c>
      <c r="K1696" s="2" t="s">
        <v>12</v>
      </c>
    </row>
    <row r="1697" spans="1:11" ht="12.5" x14ac:dyDescent="0.25">
      <c r="A1697" s="3" t="e">
        <f ca="1"/>
        <v>#NAME?</v>
      </c>
      <c r="B1697" s="2" t="s">
        <v>12</v>
      </c>
      <c r="C1697" s="2" t="s">
        <v>12</v>
      </c>
      <c r="D1697" s="2" t="s">
        <v>12</v>
      </c>
      <c r="E1697" s="2" t="s">
        <v>12</v>
      </c>
      <c r="F1697" s="2" t="s">
        <v>12</v>
      </c>
      <c r="G1697" s="2" t="s">
        <v>12</v>
      </c>
      <c r="H1697" s="2" t="s">
        <v>12</v>
      </c>
      <c r="I1697" s="2" t="s">
        <v>12</v>
      </c>
      <c r="J1697" s="2" t="s">
        <v>12</v>
      </c>
      <c r="K1697" s="2" t="s">
        <v>12</v>
      </c>
    </row>
    <row r="1698" spans="1:11" ht="12.5" x14ac:dyDescent="0.25">
      <c r="A1698" s="3" t="e">
        <f ca="1"/>
        <v>#NAME?</v>
      </c>
      <c r="B1698" s="2" t="s">
        <v>12</v>
      </c>
      <c r="C1698" s="2" t="s">
        <v>12</v>
      </c>
      <c r="D1698" s="2" t="s">
        <v>12</v>
      </c>
      <c r="E1698" s="2" t="s">
        <v>12</v>
      </c>
      <c r="F1698" s="2" t="s">
        <v>12</v>
      </c>
      <c r="G1698" s="2" t="s">
        <v>12</v>
      </c>
      <c r="H1698" s="2" t="s">
        <v>12</v>
      </c>
      <c r="I1698" s="2" t="s">
        <v>12</v>
      </c>
      <c r="J1698" s="2" t="s">
        <v>12</v>
      </c>
      <c r="K1698" s="2" t="s">
        <v>12</v>
      </c>
    </row>
    <row r="1699" spans="1:11" ht="12.5" x14ac:dyDescent="0.25">
      <c r="A1699" s="3" t="e">
        <f ca="1"/>
        <v>#NAME?</v>
      </c>
      <c r="B1699" s="2" t="s">
        <v>12</v>
      </c>
      <c r="C1699" s="2" t="s">
        <v>12</v>
      </c>
      <c r="D1699" s="2" t="s">
        <v>12</v>
      </c>
      <c r="E1699" s="2" t="s">
        <v>12</v>
      </c>
      <c r="F1699" s="2" t="s">
        <v>12</v>
      </c>
      <c r="G1699" s="2" t="s">
        <v>12</v>
      </c>
      <c r="H1699" s="2" t="s">
        <v>12</v>
      </c>
      <c r="I1699" s="2" t="s">
        <v>12</v>
      </c>
      <c r="J1699" s="2" t="s">
        <v>12</v>
      </c>
      <c r="K1699" s="2" t="s">
        <v>12</v>
      </c>
    </row>
    <row r="1700" spans="1:11" ht="12.5" x14ac:dyDescent="0.25">
      <c r="A1700" s="3" t="e">
        <f ca="1"/>
        <v>#NAME?</v>
      </c>
      <c r="B1700" s="2" t="s">
        <v>12</v>
      </c>
      <c r="C1700" s="2" t="s">
        <v>12</v>
      </c>
      <c r="D1700" s="2" t="s">
        <v>12</v>
      </c>
      <c r="E1700" s="2" t="s">
        <v>12</v>
      </c>
      <c r="F1700" s="2" t="s">
        <v>12</v>
      </c>
      <c r="G1700" s="2" t="s">
        <v>12</v>
      </c>
      <c r="H1700" s="2" t="s">
        <v>12</v>
      </c>
      <c r="I1700" s="2" t="s">
        <v>12</v>
      </c>
      <c r="J1700" s="2" t="s">
        <v>12</v>
      </c>
      <c r="K1700" s="2" t="s">
        <v>12</v>
      </c>
    </row>
    <row r="1701" spans="1:11" ht="12.5" x14ac:dyDescent="0.25">
      <c r="A1701" s="3" t="e">
        <f ca="1"/>
        <v>#NAME?</v>
      </c>
      <c r="B1701" s="2" t="s">
        <v>12</v>
      </c>
      <c r="C1701" s="2" t="s">
        <v>12</v>
      </c>
      <c r="D1701" s="2" t="s">
        <v>12</v>
      </c>
      <c r="E1701" s="2" t="s">
        <v>12</v>
      </c>
      <c r="F1701" s="2" t="s">
        <v>12</v>
      </c>
      <c r="G1701" s="2" t="s">
        <v>12</v>
      </c>
      <c r="H1701" s="2" t="s">
        <v>12</v>
      </c>
      <c r="I1701" s="2" t="s">
        <v>12</v>
      </c>
      <c r="J1701" s="2" t="s">
        <v>12</v>
      </c>
      <c r="K1701" s="2" t="s">
        <v>12</v>
      </c>
    </row>
    <row r="1702" spans="1:11" ht="12.5" x14ac:dyDescent="0.25">
      <c r="A1702" s="3" t="e">
        <f ca="1"/>
        <v>#NAME?</v>
      </c>
      <c r="B1702" s="2" t="s">
        <v>12</v>
      </c>
      <c r="C1702" s="2" t="s">
        <v>12</v>
      </c>
      <c r="D1702" s="2" t="s">
        <v>12</v>
      </c>
      <c r="E1702" s="2" t="s">
        <v>12</v>
      </c>
      <c r="F1702" s="2" t="s">
        <v>12</v>
      </c>
      <c r="G1702" s="2" t="s">
        <v>12</v>
      </c>
      <c r="H1702" s="2" t="s">
        <v>12</v>
      </c>
      <c r="I1702" s="2" t="s">
        <v>12</v>
      </c>
      <c r="J1702" s="2" t="s">
        <v>12</v>
      </c>
      <c r="K1702" s="2" t="s">
        <v>12</v>
      </c>
    </row>
    <row r="1703" spans="1:11" ht="12.5" x14ac:dyDescent="0.25">
      <c r="A1703" s="3" t="e">
        <f ca="1"/>
        <v>#NAME?</v>
      </c>
      <c r="B1703" s="2" t="s">
        <v>12</v>
      </c>
      <c r="C1703" s="2" t="s">
        <v>12</v>
      </c>
      <c r="D1703" s="2" t="s">
        <v>12</v>
      </c>
      <c r="E1703" s="2" t="s">
        <v>12</v>
      </c>
      <c r="F1703" s="2" t="s">
        <v>12</v>
      </c>
      <c r="G1703" s="2" t="s">
        <v>12</v>
      </c>
      <c r="H1703" s="2" t="s">
        <v>12</v>
      </c>
      <c r="I1703" s="2" t="s">
        <v>12</v>
      </c>
      <c r="J1703" s="2" t="s">
        <v>12</v>
      </c>
      <c r="K1703" s="2" t="s">
        <v>12</v>
      </c>
    </row>
    <row r="1704" spans="1:11" ht="12.5" x14ac:dyDescent="0.25">
      <c r="A1704" s="3" t="e">
        <f ca="1"/>
        <v>#NAME?</v>
      </c>
      <c r="B1704" s="2" t="s">
        <v>12</v>
      </c>
      <c r="C1704" s="2" t="s">
        <v>12</v>
      </c>
      <c r="D1704" s="2" t="s">
        <v>12</v>
      </c>
      <c r="E1704" s="2" t="s">
        <v>12</v>
      </c>
      <c r="F1704" s="2" t="s">
        <v>12</v>
      </c>
      <c r="G1704" s="2" t="s">
        <v>12</v>
      </c>
      <c r="H1704" s="2" t="s">
        <v>12</v>
      </c>
      <c r="I1704" s="2" t="s">
        <v>12</v>
      </c>
      <c r="J1704" s="2" t="s">
        <v>12</v>
      </c>
      <c r="K1704" s="2" t="s">
        <v>12</v>
      </c>
    </row>
    <row r="1705" spans="1:11" ht="12.5" x14ac:dyDescent="0.25">
      <c r="A1705" s="3" t="e">
        <f ca="1"/>
        <v>#NAME?</v>
      </c>
      <c r="B1705" s="2" t="s">
        <v>12</v>
      </c>
      <c r="C1705" s="2" t="s">
        <v>12</v>
      </c>
      <c r="D1705" s="2" t="s">
        <v>12</v>
      </c>
      <c r="E1705" s="2" t="s">
        <v>12</v>
      </c>
      <c r="F1705" s="2" t="s">
        <v>12</v>
      </c>
      <c r="G1705" s="2" t="s">
        <v>12</v>
      </c>
      <c r="H1705" s="2" t="s">
        <v>12</v>
      </c>
      <c r="I1705" s="2" t="s">
        <v>12</v>
      </c>
      <c r="J1705" s="2" t="s">
        <v>12</v>
      </c>
      <c r="K1705" s="2" t="s">
        <v>12</v>
      </c>
    </row>
    <row r="1706" spans="1:11" ht="12.5" x14ac:dyDescent="0.25">
      <c r="A1706" s="3" t="e">
        <f ca="1"/>
        <v>#NAME?</v>
      </c>
      <c r="B1706" s="2" t="s">
        <v>12</v>
      </c>
      <c r="C1706" s="2" t="s">
        <v>12</v>
      </c>
      <c r="D1706" s="2" t="s">
        <v>12</v>
      </c>
      <c r="E1706" s="2" t="s">
        <v>12</v>
      </c>
      <c r="F1706" s="2" t="s">
        <v>12</v>
      </c>
      <c r="G1706" s="2" t="s">
        <v>12</v>
      </c>
      <c r="H1706" s="2" t="s">
        <v>12</v>
      </c>
      <c r="I1706" s="2" t="s">
        <v>12</v>
      </c>
      <c r="J1706" s="2" t="s">
        <v>12</v>
      </c>
      <c r="K1706" s="2" t="s">
        <v>12</v>
      </c>
    </row>
    <row r="1707" spans="1:11" ht="12.5" x14ac:dyDescent="0.25">
      <c r="A1707" s="3" t="e">
        <f ca="1"/>
        <v>#NAME?</v>
      </c>
      <c r="B1707" s="2" t="s">
        <v>12</v>
      </c>
      <c r="C1707" s="2" t="s">
        <v>12</v>
      </c>
      <c r="D1707" s="2" t="s">
        <v>12</v>
      </c>
      <c r="E1707" s="2" t="s">
        <v>12</v>
      </c>
      <c r="F1707" s="2" t="s">
        <v>12</v>
      </c>
      <c r="G1707" s="2" t="s">
        <v>12</v>
      </c>
      <c r="H1707" s="2" t="s">
        <v>12</v>
      </c>
      <c r="I1707" s="2" t="s">
        <v>12</v>
      </c>
      <c r="J1707" s="2" t="s">
        <v>12</v>
      </c>
      <c r="K1707" s="2" t="s">
        <v>12</v>
      </c>
    </row>
    <row r="1708" spans="1:11" ht="12.5" x14ac:dyDescent="0.25">
      <c r="A1708" s="3" t="e">
        <f ca="1"/>
        <v>#NAME?</v>
      </c>
      <c r="B1708" s="2" t="s">
        <v>12</v>
      </c>
      <c r="C1708" s="2" t="s">
        <v>12</v>
      </c>
      <c r="D1708" s="2" t="s">
        <v>12</v>
      </c>
      <c r="E1708" s="2" t="s">
        <v>12</v>
      </c>
      <c r="F1708" s="2" t="s">
        <v>12</v>
      </c>
      <c r="G1708" s="2" t="s">
        <v>12</v>
      </c>
      <c r="H1708" s="2" t="s">
        <v>12</v>
      </c>
      <c r="I1708" s="2" t="s">
        <v>12</v>
      </c>
      <c r="J1708" s="2" t="s">
        <v>12</v>
      </c>
      <c r="K1708" s="2" t="s">
        <v>12</v>
      </c>
    </row>
    <row r="1709" spans="1:11" ht="12.5" x14ac:dyDescent="0.25">
      <c r="A1709" s="3" t="e">
        <f ca="1"/>
        <v>#NAME?</v>
      </c>
      <c r="B1709" s="2" t="s">
        <v>12</v>
      </c>
      <c r="C1709" s="2" t="s">
        <v>12</v>
      </c>
      <c r="D1709" s="2" t="s">
        <v>12</v>
      </c>
      <c r="E1709" s="2" t="s">
        <v>12</v>
      </c>
      <c r="F1709" s="2" t="s">
        <v>12</v>
      </c>
      <c r="G1709" s="2" t="s">
        <v>12</v>
      </c>
      <c r="H1709" s="2" t="s">
        <v>12</v>
      </c>
      <c r="I1709" s="2" t="s">
        <v>12</v>
      </c>
      <c r="J1709" s="2" t="s">
        <v>12</v>
      </c>
      <c r="K1709" s="2" t="s">
        <v>12</v>
      </c>
    </row>
    <row r="1710" spans="1:11" ht="12.5" x14ac:dyDescent="0.25">
      <c r="A1710" s="3" t="e">
        <f ca="1"/>
        <v>#NAME?</v>
      </c>
      <c r="B1710" s="2" t="s">
        <v>12</v>
      </c>
      <c r="C1710" s="2" t="s">
        <v>12</v>
      </c>
      <c r="D1710" s="2" t="s">
        <v>12</v>
      </c>
      <c r="E1710" s="2" t="s">
        <v>12</v>
      </c>
      <c r="F1710" s="2" t="s">
        <v>12</v>
      </c>
      <c r="G1710" s="2" t="s">
        <v>12</v>
      </c>
      <c r="H1710" s="2" t="s">
        <v>12</v>
      </c>
      <c r="I1710" s="2" t="s">
        <v>12</v>
      </c>
      <c r="J1710" s="2" t="s">
        <v>12</v>
      </c>
      <c r="K1710" s="2" t="s">
        <v>12</v>
      </c>
    </row>
    <row r="1711" spans="1:11" ht="12.5" x14ac:dyDescent="0.25">
      <c r="A1711" s="3" t="e">
        <f ca="1"/>
        <v>#NAME?</v>
      </c>
      <c r="B1711" s="2" t="s">
        <v>12</v>
      </c>
      <c r="C1711" s="2" t="s">
        <v>12</v>
      </c>
      <c r="D1711" s="2" t="s">
        <v>12</v>
      </c>
      <c r="E1711" s="2" t="s">
        <v>12</v>
      </c>
      <c r="F1711" s="2" t="s">
        <v>12</v>
      </c>
      <c r="G1711" s="2" t="s">
        <v>12</v>
      </c>
      <c r="H1711" s="2" t="s">
        <v>12</v>
      </c>
      <c r="I1711" s="2" t="s">
        <v>12</v>
      </c>
      <c r="J1711" s="2" t="s">
        <v>12</v>
      </c>
      <c r="K1711" s="2" t="s">
        <v>12</v>
      </c>
    </row>
    <row r="1712" spans="1:11" ht="12.5" x14ac:dyDescent="0.25">
      <c r="A1712" s="3" t="e">
        <f ca="1"/>
        <v>#NAME?</v>
      </c>
      <c r="B1712" s="2" t="s">
        <v>12</v>
      </c>
      <c r="C1712" s="2" t="s">
        <v>12</v>
      </c>
      <c r="D1712" s="2" t="s">
        <v>12</v>
      </c>
      <c r="E1712" s="2" t="s">
        <v>12</v>
      </c>
      <c r="F1712" s="2" t="s">
        <v>12</v>
      </c>
      <c r="G1712" s="2" t="s">
        <v>12</v>
      </c>
      <c r="H1712" s="2" t="s">
        <v>12</v>
      </c>
      <c r="I1712" s="2" t="s">
        <v>12</v>
      </c>
      <c r="J1712" s="2" t="s">
        <v>12</v>
      </c>
      <c r="K1712" s="2" t="s">
        <v>12</v>
      </c>
    </row>
    <row r="1713" spans="1:11" ht="12.5" x14ac:dyDescent="0.25">
      <c r="A1713" s="3" t="e">
        <f ca="1"/>
        <v>#NAME?</v>
      </c>
      <c r="B1713" s="2" t="s">
        <v>12</v>
      </c>
      <c r="C1713" s="2" t="s">
        <v>12</v>
      </c>
      <c r="D1713" s="2" t="s">
        <v>12</v>
      </c>
      <c r="E1713" s="2" t="s">
        <v>12</v>
      </c>
      <c r="F1713" s="2" t="s">
        <v>12</v>
      </c>
      <c r="G1713" s="2" t="s">
        <v>12</v>
      </c>
      <c r="H1713" s="2" t="s">
        <v>12</v>
      </c>
      <c r="I1713" s="2" t="s">
        <v>12</v>
      </c>
      <c r="J1713" s="2" t="s">
        <v>12</v>
      </c>
      <c r="K1713" s="2" t="s">
        <v>12</v>
      </c>
    </row>
    <row r="1714" spans="1:11" ht="12.5" x14ac:dyDescent="0.25">
      <c r="A1714" s="3" t="e">
        <f ca="1"/>
        <v>#NAME?</v>
      </c>
      <c r="B1714" s="2" t="s">
        <v>12</v>
      </c>
      <c r="C1714" s="2" t="s">
        <v>12</v>
      </c>
      <c r="D1714" s="2" t="s">
        <v>12</v>
      </c>
      <c r="E1714" s="2" t="s">
        <v>12</v>
      </c>
      <c r="F1714" s="2" t="s">
        <v>12</v>
      </c>
      <c r="G1714" s="2" t="s">
        <v>12</v>
      </c>
      <c r="H1714" s="2" t="s">
        <v>12</v>
      </c>
      <c r="I1714" s="2" t="s">
        <v>12</v>
      </c>
      <c r="J1714" s="2" t="s">
        <v>12</v>
      </c>
      <c r="K1714" s="2" t="s">
        <v>12</v>
      </c>
    </row>
    <row r="1715" spans="1:11" ht="12.5" x14ac:dyDescent="0.25">
      <c r="A1715" s="3" t="e">
        <f ca="1"/>
        <v>#NAME?</v>
      </c>
      <c r="B1715" s="2" t="s">
        <v>12</v>
      </c>
      <c r="C1715" s="2" t="s">
        <v>12</v>
      </c>
      <c r="D1715" s="2" t="s">
        <v>12</v>
      </c>
      <c r="E1715" s="2" t="s">
        <v>12</v>
      </c>
      <c r="F1715" s="2" t="s">
        <v>12</v>
      </c>
      <c r="G1715" s="2" t="s">
        <v>12</v>
      </c>
      <c r="H1715" s="2" t="s">
        <v>12</v>
      </c>
      <c r="I1715" s="2" t="s">
        <v>12</v>
      </c>
      <c r="J1715" s="2" t="s">
        <v>12</v>
      </c>
      <c r="K1715" s="2" t="s">
        <v>12</v>
      </c>
    </row>
    <row r="1716" spans="1:11" ht="12.5" x14ac:dyDescent="0.25">
      <c r="A1716" s="3" t="e">
        <f ca="1"/>
        <v>#NAME?</v>
      </c>
      <c r="B1716" s="2" t="s">
        <v>12</v>
      </c>
      <c r="C1716" s="2" t="s">
        <v>12</v>
      </c>
      <c r="D1716" s="2" t="s">
        <v>12</v>
      </c>
      <c r="E1716" s="2" t="s">
        <v>12</v>
      </c>
      <c r="F1716" s="2" t="s">
        <v>12</v>
      </c>
      <c r="G1716" s="2" t="s">
        <v>12</v>
      </c>
      <c r="H1716" s="2" t="s">
        <v>12</v>
      </c>
      <c r="I1716" s="2" t="s">
        <v>12</v>
      </c>
      <c r="J1716" s="2" t="s">
        <v>12</v>
      </c>
      <c r="K1716" s="2" t="s">
        <v>12</v>
      </c>
    </row>
    <row r="1717" spans="1:11" ht="12.5" x14ac:dyDescent="0.25">
      <c r="A1717" s="3" t="e">
        <f ca="1"/>
        <v>#NAME?</v>
      </c>
      <c r="B1717" s="2" t="s">
        <v>12</v>
      </c>
      <c r="C1717" s="2" t="s">
        <v>12</v>
      </c>
      <c r="D1717" s="2" t="s">
        <v>12</v>
      </c>
      <c r="E1717" s="2" t="s">
        <v>12</v>
      </c>
      <c r="F1717" s="2" t="s">
        <v>12</v>
      </c>
      <c r="G1717" s="2" t="s">
        <v>12</v>
      </c>
      <c r="H1717" s="2" t="s">
        <v>12</v>
      </c>
      <c r="I1717" s="2" t="s">
        <v>12</v>
      </c>
      <c r="J1717" s="2" t="s">
        <v>12</v>
      </c>
      <c r="K1717" s="2" t="s">
        <v>12</v>
      </c>
    </row>
    <row r="1718" spans="1:11" ht="12.5" x14ac:dyDescent="0.25">
      <c r="A1718" s="3" t="e">
        <f ca="1"/>
        <v>#NAME?</v>
      </c>
      <c r="B1718" s="2" t="s">
        <v>12</v>
      </c>
      <c r="C1718" s="2" t="s">
        <v>12</v>
      </c>
      <c r="D1718" s="2" t="s">
        <v>12</v>
      </c>
      <c r="E1718" s="2" t="s">
        <v>12</v>
      </c>
      <c r="F1718" s="2" t="s">
        <v>12</v>
      </c>
      <c r="G1718" s="2" t="s">
        <v>12</v>
      </c>
      <c r="H1718" s="2" t="s">
        <v>12</v>
      </c>
      <c r="I1718" s="2" t="s">
        <v>12</v>
      </c>
      <c r="J1718" s="2" t="s">
        <v>12</v>
      </c>
      <c r="K1718" s="2" t="s">
        <v>12</v>
      </c>
    </row>
    <row r="1719" spans="1:11" ht="12.5" x14ac:dyDescent="0.25">
      <c r="A1719" s="3" t="e">
        <f ca="1"/>
        <v>#NAME?</v>
      </c>
      <c r="B1719" s="2" t="s">
        <v>12</v>
      </c>
      <c r="C1719" s="2" t="s">
        <v>12</v>
      </c>
      <c r="D1719" s="2" t="s">
        <v>12</v>
      </c>
      <c r="E1719" s="2" t="s">
        <v>12</v>
      </c>
      <c r="F1719" s="2" t="s">
        <v>12</v>
      </c>
      <c r="G1719" s="2" t="s">
        <v>12</v>
      </c>
      <c r="H1719" s="2" t="s">
        <v>12</v>
      </c>
      <c r="I1719" s="2" t="s">
        <v>12</v>
      </c>
      <c r="J1719" s="2" t="s">
        <v>12</v>
      </c>
      <c r="K1719" s="2" t="s">
        <v>12</v>
      </c>
    </row>
    <row r="1720" spans="1:11" ht="12.5" x14ac:dyDescent="0.25">
      <c r="A1720" s="3" t="e">
        <f ca="1"/>
        <v>#NAME?</v>
      </c>
      <c r="B1720" s="2" t="s">
        <v>12</v>
      </c>
      <c r="C1720" s="2" t="s">
        <v>12</v>
      </c>
      <c r="D1720" s="2" t="s">
        <v>12</v>
      </c>
      <c r="E1720" s="2" t="s">
        <v>12</v>
      </c>
      <c r="F1720" s="2" t="s">
        <v>12</v>
      </c>
      <c r="G1720" s="2" t="s">
        <v>12</v>
      </c>
      <c r="H1720" s="2" t="s">
        <v>12</v>
      </c>
      <c r="I1720" s="2" t="s">
        <v>12</v>
      </c>
      <c r="J1720" s="2" t="s">
        <v>12</v>
      </c>
      <c r="K1720" s="2" t="s">
        <v>12</v>
      </c>
    </row>
    <row r="1721" spans="1:11" ht="12.5" x14ac:dyDescent="0.25">
      <c r="A1721" s="3" t="e">
        <f ca="1"/>
        <v>#NAME?</v>
      </c>
      <c r="B1721" s="2" t="s">
        <v>12</v>
      </c>
      <c r="C1721" s="2" t="s">
        <v>12</v>
      </c>
      <c r="D1721" s="2" t="s">
        <v>12</v>
      </c>
      <c r="E1721" s="2" t="s">
        <v>12</v>
      </c>
      <c r="F1721" s="2" t="s">
        <v>12</v>
      </c>
      <c r="G1721" s="2" t="s">
        <v>12</v>
      </c>
      <c r="H1721" s="2" t="s">
        <v>12</v>
      </c>
      <c r="I1721" s="2" t="s">
        <v>12</v>
      </c>
      <c r="J1721" s="2" t="s">
        <v>12</v>
      </c>
      <c r="K1721" s="2" t="s">
        <v>12</v>
      </c>
    </row>
    <row r="1722" spans="1:11" ht="12.5" x14ac:dyDescent="0.25">
      <c r="A1722" s="3" t="e">
        <f ca="1"/>
        <v>#NAME?</v>
      </c>
      <c r="B1722" s="2" t="s">
        <v>12</v>
      </c>
      <c r="C1722" s="2" t="s">
        <v>12</v>
      </c>
      <c r="D1722" s="2" t="s">
        <v>12</v>
      </c>
      <c r="E1722" s="2" t="s">
        <v>12</v>
      </c>
      <c r="F1722" s="2" t="s">
        <v>12</v>
      </c>
      <c r="G1722" s="2" t="s">
        <v>12</v>
      </c>
      <c r="H1722" s="2" t="s">
        <v>12</v>
      </c>
      <c r="I1722" s="2" t="s">
        <v>12</v>
      </c>
      <c r="J1722" s="2" t="s">
        <v>12</v>
      </c>
      <c r="K1722" s="2" t="s">
        <v>12</v>
      </c>
    </row>
    <row r="1723" spans="1:11" ht="12.5" x14ac:dyDescent="0.25">
      <c r="A1723" s="3" t="e">
        <f ca="1"/>
        <v>#NAME?</v>
      </c>
      <c r="B1723" s="2" t="s">
        <v>12</v>
      </c>
      <c r="C1723" s="2" t="s">
        <v>12</v>
      </c>
      <c r="D1723" s="2" t="s">
        <v>12</v>
      </c>
      <c r="E1723" s="2" t="s">
        <v>12</v>
      </c>
      <c r="F1723" s="2" t="s">
        <v>12</v>
      </c>
      <c r="G1723" s="2" t="s">
        <v>12</v>
      </c>
      <c r="H1723" s="2" t="s">
        <v>12</v>
      </c>
      <c r="I1723" s="2" t="s">
        <v>12</v>
      </c>
      <c r="J1723" s="2" t="s">
        <v>12</v>
      </c>
      <c r="K1723" s="2" t="s">
        <v>12</v>
      </c>
    </row>
    <row r="1724" spans="1:11" ht="12.5" x14ac:dyDescent="0.25">
      <c r="A1724" s="3" t="e">
        <f ca="1"/>
        <v>#NAME?</v>
      </c>
      <c r="B1724" s="2" t="s">
        <v>12</v>
      </c>
      <c r="C1724" s="2" t="s">
        <v>12</v>
      </c>
      <c r="D1724" s="2" t="s">
        <v>12</v>
      </c>
      <c r="E1724" s="2" t="s">
        <v>12</v>
      </c>
      <c r="F1724" s="2" t="s">
        <v>12</v>
      </c>
      <c r="G1724" s="2" t="s">
        <v>12</v>
      </c>
      <c r="H1724" s="2" t="s">
        <v>12</v>
      </c>
      <c r="I1724" s="2" t="s">
        <v>12</v>
      </c>
      <c r="J1724" s="2" t="s">
        <v>12</v>
      </c>
      <c r="K1724" s="2" t="s">
        <v>12</v>
      </c>
    </row>
    <row r="1725" spans="1:11" ht="12.5" x14ac:dyDescent="0.25">
      <c r="A1725" s="3" t="e">
        <f ca="1"/>
        <v>#NAME?</v>
      </c>
      <c r="B1725" s="2" t="s">
        <v>12</v>
      </c>
      <c r="C1725" s="2" t="s">
        <v>12</v>
      </c>
      <c r="D1725" s="2" t="s">
        <v>12</v>
      </c>
      <c r="E1725" s="2" t="s">
        <v>12</v>
      </c>
      <c r="F1725" s="2" t="s">
        <v>12</v>
      </c>
      <c r="G1725" s="2" t="s">
        <v>12</v>
      </c>
      <c r="H1725" s="2" t="s">
        <v>12</v>
      </c>
      <c r="I1725" s="2" t="s">
        <v>12</v>
      </c>
      <c r="J1725" s="2" t="s">
        <v>12</v>
      </c>
      <c r="K1725" s="2" t="s">
        <v>12</v>
      </c>
    </row>
    <row r="1726" spans="1:11" ht="12.5" x14ac:dyDescent="0.25">
      <c r="A1726" s="3" t="e">
        <f ca="1"/>
        <v>#NAME?</v>
      </c>
      <c r="B1726" s="2" t="s">
        <v>12</v>
      </c>
      <c r="C1726" s="2" t="s">
        <v>12</v>
      </c>
      <c r="D1726" s="2" t="s">
        <v>12</v>
      </c>
      <c r="E1726" s="2" t="s">
        <v>12</v>
      </c>
      <c r="F1726" s="2" t="s">
        <v>12</v>
      </c>
      <c r="G1726" s="2" t="s">
        <v>12</v>
      </c>
      <c r="H1726" s="2" t="s">
        <v>12</v>
      </c>
      <c r="I1726" s="2" t="s">
        <v>12</v>
      </c>
      <c r="J1726" s="2" t="s">
        <v>12</v>
      </c>
      <c r="K1726" s="2" t="s">
        <v>12</v>
      </c>
    </row>
    <row r="1727" spans="1:11" ht="12.5" x14ac:dyDescent="0.25">
      <c r="A1727" s="3" t="e">
        <f ca="1"/>
        <v>#NAME?</v>
      </c>
      <c r="B1727" s="2" t="s">
        <v>12</v>
      </c>
      <c r="C1727" s="2" t="s">
        <v>12</v>
      </c>
      <c r="D1727" s="2" t="s">
        <v>12</v>
      </c>
      <c r="E1727" s="2" t="s">
        <v>12</v>
      </c>
      <c r="F1727" s="2" t="s">
        <v>12</v>
      </c>
      <c r="G1727" s="2" t="s">
        <v>12</v>
      </c>
      <c r="H1727" s="2" t="s">
        <v>12</v>
      </c>
      <c r="I1727" s="2" t="s">
        <v>12</v>
      </c>
      <c r="J1727" s="2" t="s">
        <v>12</v>
      </c>
      <c r="K1727" s="2" t="s">
        <v>12</v>
      </c>
    </row>
    <row r="1728" spans="1:11" ht="12.5" x14ac:dyDescent="0.25">
      <c r="A1728" s="3" t="e">
        <f ca="1"/>
        <v>#NAME?</v>
      </c>
      <c r="B1728" s="2" t="s">
        <v>12</v>
      </c>
      <c r="C1728" s="2" t="s">
        <v>12</v>
      </c>
      <c r="D1728" s="2" t="s">
        <v>12</v>
      </c>
      <c r="E1728" s="2" t="s">
        <v>12</v>
      </c>
      <c r="F1728" s="2" t="s">
        <v>12</v>
      </c>
      <c r="G1728" s="2" t="s">
        <v>12</v>
      </c>
      <c r="H1728" s="2" t="s">
        <v>12</v>
      </c>
      <c r="I1728" s="2" t="s">
        <v>12</v>
      </c>
      <c r="J1728" s="2" t="s">
        <v>12</v>
      </c>
      <c r="K1728" s="2" t="s">
        <v>12</v>
      </c>
    </row>
    <row r="1729" spans="1:11" ht="12.5" x14ac:dyDescent="0.25">
      <c r="A1729" s="3" t="e">
        <f ca="1"/>
        <v>#NAME?</v>
      </c>
      <c r="B1729" s="2" t="s">
        <v>12</v>
      </c>
      <c r="C1729" s="2" t="s">
        <v>12</v>
      </c>
      <c r="D1729" s="2" t="s">
        <v>12</v>
      </c>
      <c r="E1729" s="2" t="s">
        <v>12</v>
      </c>
      <c r="F1729" s="2" t="s">
        <v>12</v>
      </c>
      <c r="G1729" s="2" t="s">
        <v>12</v>
      </c>
      <c r="H1729" s="2" t="s">
        <v>12</v>
      </c>
      <c r="I1729" s="2" t="s">
        <v>12</v>
      </c>
      <c r="J1729" s="2" t="s">
        <v>12</v>
      </c>
      <c r="K1729" s="2" t="s">
        <v>12</v>
      </c>
    </row>
    <row r="1730" spans="1:11" ht="12.5" x14ac:dyDescent="0.25">
      <c r="A1730" s="3" t="e">
        <f ca="1"/>
        <v>#NAME?</v>
      </c>
      <c r="B1730" s="2" t="s">
        <v>12</v>
      </c>
      <c r="C1730" s="2" t="s">
        <v>12</v>
      </c>
      <c r="D1730" s="2" t="s">
        <v>12</v>
      </c>
      <c r="E1730" s="2" t="s">
        <v>12</v>
      </c>
      <c r="F1730" s="2" t="s">
        <v>12</v>
      </c>
      <c r="G1730" s="2" t="s">
        <v>12</v>
      </c>
      <c r="H1730" s="2" t="s">
        <v>12</v>
      </c>
      <c r="I1730" s="2" t="s">
        <v>12</v>
      </c>
      <c r="J1730" s="2" t="s">
        <v>12</v>
      </c>
      <c r="K1730" s="2" t="s">
        <v>12</v>
      </c>
    </row>
    <row r="1731" spans="1:11" ht="12.5" x14ac:dyDescent="0.25">
      <c r="A1731" s="3" t="e">
        <f ca="1"/>
        <v>#NAME?</v>
      </c>
      <c r="B1731" s="2" t="s">
        <v>12</v>
      </c>
      <c r="C1731" s="2" t="s">
        <v>12</v>
      </c>
      <c r="D1731" s="2" t="s">
        <v>12</v>
      </c>
      <c r="E1731" s="2" t="s">
        <v>12</v>
      </c>
      <c r="F1731" s="2" t="s">
        <v>12</v>
      </c>
      <c r="G1731" s="2" t="s">
        <v>12</v>
      </c>
      <c r="H1731" s="2" t="s">
        <v>12</v>
      </c>
      <c r="I1731" s="2" t="s">
        <v>12</v>
      </c>
      <c r="J1731" s="2" t="s">
        <v>12</v>
      </c>
      <c r="K1731" s="2" t="s">
        <v>12</v>
      </c>
    </row>
    <row r="1732" spans="1:11" ht="12.5" x14ac:dyDescent="0.25">
      <c r="A1732" s="3" t="e">
        <f ca="1"/>
        <v>#NAME?</v>
      </c>
      <c r="B1732" s="2" t="s">
        <v>12</v>
      </c>
      <c r="C1732" s="2" t="s">
        <v>12</v>
      </c>
      <c r="D1732" s="2" t="s">
        <v>12</v>
      </c>
      <c r="E1732" s="2" t="s">
        <v>12</v>
      </c>
      <c r="F1732" s="2" t="s">
        <v>12</v>
      </c>
      <c r="G1732" s="2" t="s">
        <v>12</v>
      </c>
      <c r="H1732" s="2" t="s">
        <v>12</v>
      </c>
      <c r="I1732" s="2" t="s">
        <v>12</v>
      </c>
      <c r="J1732" s="2" t="s">
        <v>12</v>
      </c>
      <c r="K1732" s="2" t="s">
        <v>12</v>
      </c>
    </row>
    <row r="1733" spans="1:11" ht="12.5" x14ac:dyDescent="0.25">
      <c r="A1733" s="3" t="e">
        <f ca="1"/>
        <v>#NAME?</v>
      </c>
      <c r="B1733" s="2" t="s">
        <v>12</v>
      </c>
      <c r="C1733" s="2" t="s">
        <v>12</v>
      </c>
      <c r="D1733" s="2" t="s">
        <v>12</v>
      </c>
      <c r="E1733" s="2" t="s">
        <v>12</v>
      </c>
      <c r="F1733" s="2" t="s">
        <v>12</v>
      </c>
      <c r="G1733" s="2" t="s">
        <v>12</v>
      </c>
      <c r="H1733" s="2" t="s">
        <v>12</v>
      </c>
      <c r="I1733" s="2" t="s">
        <v>12</v>
      </c>
      <c r="J1733" s="2" t="s">
        <v>12</v>
      </c>
      <c r="K1733" s="2" t="s">
        <v>12</v>
      </c>
    </row>
    <row r="1734" spans="1:11" ht="12.5" x14ac:dyDescent="0.25">
      <c r="A1734" s="3" t="e">
        <f ca="1"/>
        <v>#NAME?</v>
      </c>
      <c r="B1734" s="2" t="s">
        <v>12</v>
      </c>
      <c r="C1734" s="2" t="s">
        <v>12</v>
      </c>
      <c r="D1734" s="2" t="s">
        <v>12</v>
      </c>
      <c r="E1734" s="2" t="s">
        <v>12</v>
      </c>
      <c r="F1734" s="2" t="s">
        <v>12</v>
      </c>
      <c r="G1734" s="2" t="s">
        <v>12</v>
      </c>
      <c r="H1734" s="2" t="s">
        <v>12</v>
      </c>
      <c r="I1734" s="2" t="s">
        <v>12</v>
      </c>
      <c r="J1734" s="2" t="s">
        <v>12</v>
      </c>
      <c r="K1734" s="2" t="s">
        <v>12</v>
      </c>
    </row>
    <row r="1735" spans="1:11" ht="12.5" x14ac:dyDescent="0.25">
      <c r="A1735" s="3" t="e">
        <f ca="1"/>
        <v>#NAME?</v>
      </c>
      <c r="B1735" s="2" t="s">
        <v>12</v>
      </c>
      <c r="C1735" s="2" t="s">
        <v>12</v>
      </c>
      <c r="D1735" s="2" t="s">
        <v>12</v>
      </c>
      <c r="E1735" s="2" t="s">
        <v>12</v>
      </c>
      <c r="F1735" s="2" t="s">
        <v>12</v>
      </c>
      <c r="G1735" s="2" t="s">
        <v>12</v>
      </c>
      <c r="H1735" s="2" t="s">
        <v>12</v>
      </c>
      <c r="I1735" s="2" t="s">
        <v>12</v>
      </c>
      <c r="J1735" s="2" t="s">
        <v>12</v>
      </c>
      <c r="K1735" s="2" t="s">
        <v>12</v>
      </c>
    </row>
    <row r="1736" spans="1:11" ht="12.5" x14ac:dyDescent="0.25">
      <c r="A1736" s="3" t="e">
        <f ca="1"/>
        <v>#NAME?</v>
      </c>
      <c r="B1736" s="2" t="s">
        <v>12</v>
      </c>
      <c r="C1736" s="2" t="s">
        <v>12</v>
      </c>
      <c r="D1736" s="2" t="s">
        <v>12</v>
      </c>
      <c r="E1736" s="2" t="s">
        <v>12</v>
      </c>
      <c r="F1736" s="2" t="s">
        <v>12</v>
      </c>
      <c r="G1736" s="2" t="s">
        <v>12</v>
      </c>
      <c r="H1736" s="2" t="s">
        <v>12</v>
      </c>
      <c r="I1736" s="2" t="s">
        <v>12</v>
      </c>
      <c r="J1736" s="2" t="s">
        <v>12</v>
      </c>
      <c r="K1736" s="2" t="s">
        <v>12</v>
      </c>
    </row>
    <row r="1737" spans="1:11" ht="12.5" x14ac:dyDescent="0.25">
      <c r="A1737" s="3" t="e">
        <f ca="1"/>
        <v>#NAME?</v>
      </c>
      <c r="B1737" s="2" t="s">
        <v>12</v>
      </c>
      <c r="C1737" s="2" t="s">
        <v>12</v>
      </c>
      <c r="D1737" s="2" t="s">
        <v>12</v>
      </c>
      <c r="E1737" s="2" t="s">
        <v>12</v>
      </c>
      <c r="F1737" s="2" t="s">
        <v>12</v>
      </c>
      <c r="G1737" s="2" t="s">
        <v>12</v>
      </c>
      <c r="H1737" s="2" t="s">
        <v>12</v>
      </c>
      <c r="I1737" s="2" t="s">
        <v>12</v>
      </c>
      <c r="J1737" s="2" t="s">
        <v>12</v>
      </c>
      <c r="K1737" s="2" t="s">
        <v>12</v>
      </c>
    </row>
    <row r="1738" spans="1:11" ht="12.5" x14ac:dyDescent="0.25">
      <c r="A1738" s="3" t="e">
        <f ca="1"/>
        <v>#NAME?</v>
      </c>
      <c r="B1738" s="2" t="s">
        <v>12</v>
      </c>
      <c r="C1738" s="2" t="s">
        <v>12</v>
      </c>
      <c r="D1738" s="2" t="s">
        <v>12</v>
      </c>
      <c r="E1738" s="2" t="s">
        <v>12</v>
      </c>
      <c r="F1738" s="2" t="s">
        <v>12</v>
      </c>
      <c r="G1738" s="2" t="s">
        <v>12</v>
      </c>
      <c r="H1738" s="2" t="s">
        <v>12</v>
      </c>
      <c r="I1738" s="2" t="s">
        <v>12</v>
      </c>
      <c r="J1738" s="2" t="s">
        <v>12</v>
      </c>
      <c r="K1738" s="2" t="s">
        <v>12</v>
      </c>
    </row>
    <row r="1739" spans="1:11" ht="12.5" x14ac:dyDescent="0.25">
      <c r="A1739" s="3" t="e">
        <f ca="1"/>
        <v>#NAME?</v>
      </c>
      <c r="B1739" s="2" t="s">
        <v>12</v>
      </c>
      <c r="C1739" s="2" t="s">
        <v>12</v>
      </c>
      <c r="D1739" s="2" t="s">
        <v>12</v>
      </c>
      <c r="E1739" s="2" t="s">
        <v>12</v>
      </c>
      <c r="F1739" s="2" t="s">
        <v>12</v>
      </c>
      <c r="G1739" s="2" t="s">
        <v>12</v>
      </c>
      <c r="H1739" s="2" t="s">
        <v>12</v>
      </c>
      <c r="I1739" s="2" t="s">
        <v>12</v>
      </c>
      <c r="J1739" s="2" t="s">
        <v>12</v>
      </c>
      <c r="K1739" s="2" t="s">
        <v>12</v>
      </c>
    </row>
    <row r="1740" spans="1:11" ht="12.5" x14ac:dyDescent="0.25">
      <c r="A1740" s="3" t="e">
        <f ca="1"/>
        <v>#NAME?</v>
      </c>
      <c r="B1740" s="2" t="s">
        <v>12</v>
      </c>
      <c r="C1740" s="2" t="s">
        <v>12</v>
      </c>
      <c r="D1740" s="2" t="s">
        <v>12</v>
      </c>
      <c r="E1740" s="2" t="s">
        <v>12</v>
      </c>
      <c r="F1740" s="2" t="s">
        <v>12</v>
      </c>
      <c r="G1740" s="2" t="s">
        <v>12</v>
      </c>
      <c r="H1740" s="2" t="s">
        <v>12</v>
      </c>
      <c r="I1740" s="2" t="s">
        <v>12</v>
      </c>
      <c r="J1740" s="2" t="s">
        <v>12</v>
      </c>
      <c r="K1740" s="2" t="s">
        <v>12</v>
      </c>
    </row>
    <row r="1741" spans="1:11" ht="12.5" x14ac:dyDescent="0.25">
      <c r="A1741" s="3" t="e">
        <f ca="1"/>
        <v>#NAME?</v>
      </c>
      <c r="B1741" s="2" t="s">
        <v>12</v>
      </c>
      <c r="C1741" s="2" t="s">
        <v>12</v>
      </c>
      <c r="D1741" s="2" t="s">
        <v>12</v>
      </c>
      <c r="E1741" s="2" t="s">
        <v>12</v>
      </c>
      <c r="F1741" s="2" t="s">
        <v>12</v>
      </c>
      <c r="G1741" s="2" t="s">
        <v>12</v>
      </c>
      <c r="H1741" s="2" t="s">
        <v>12</v>
      </c>
      <c r="I1741" s="2" t="s">
        <v>12</v>
      </c>
      <c r="J1741" s="2" t="s">
        <v>12</v>
      </c>
      <c r="K1741" s="2" t="s">
        <v>12</v>
      </c>
    </row>
    <row r="1742" spans="1:11" ht="12.5" x14ac:dyDescent="0.25">
      <c r="A1742" s="3" t="e">
        <f ca="1"/>
        <v>#NAME?</v>
      </c>
      <c r="B1742" s="2" t="s">
        <v>12</v>
      </c>
      <c r="C1742" s="2" t="s">
        <v>12</v>
      </c>
      <c r="D1742" s="2" t="s">
        <v>12</v>
      </c>
      <c r="E1742" s="2" t="s">
        <v>12</v>
      </c>
      <c r="F1742" s="2" t="s">
        <v>12</v>
      </c>
      <c r="G1742" s="2" t="s">
        <v>12</v>
      </c>
      <c r="H1742" s="2" t="s">
        <v>12</v>
      </c>
      <c r="I1742" s="2" t="s">
        <v>12</v>
      </c>
      <c r="J1742" s="2" t="s">
        <v>12</v>
      </c>
      <c r="K1742" s="2" t="s">
        <v>12</v>
      </c>
    </row>
    <row r="1743" spans="1:11" ht="12.5" x14ac:dyDescent="0.25">
      <c r="A1743" s="3" t="e">
        <f ca="1"/>
        <v>#NAME?</v>
      </c>
      <c r="B1743" s="2" t="s">
        <v>12</v>
      </c>
      <c r="C1743" s="2" t="s">
        <v>12</v>
      </c>
      <c r="D1743" s="2" t="s">
        <v>12</v>
      </c>
      <c r="E1743" s="2" t="s">
        <v>12</v>
      </c>
      <c r="F1743" s="2" t="s">
        <v>12</v>
      </c>
      <c r="G1743" s="2" t="s">
        <v>12</v>
      </c>
      <c r="H1743" s="2" t="s">
        <v>12</v>
      </c>
      <c r="I1743" s="2" t="s">
        <v>12</v>
      </c>
      <c r="J1743" s="2" t="s">
        <v>12</v>
      </c>
      <c r="K1743" s="2" t="s">
        <v>12</v>
      </c>
    </row>
    <row r="1744" spans="1:11" ht="12.5" x14ac:dyDescent="0.25">
      <c r="A1744" s="3" t="e">
        <f ca="1"/>
        <v>#NAME?</v>
      </c>
      <c r="B1744" s="2" t="s">
        <v>12</v>
      </c>
      <c r="C1744" s="2" t="s">
        <v>12</v>
      </c>
      <c r="D1744" s="2" t="s">
        <v>12</v>
      </c>
      <c r="E1744" s="2" t="s">
        <v>12</v>
      </c>
      <c r="F1744" s="2" t="s">
        <v>12</v>
      </c>
      <c r="G1744" s="2" t="s">
        <v>12</v>
      </c>
      <c r="H1744" s="2" t="s">
        <v>12</v>
      </c>
      <c r="I1744" s="2" t="s">
        <v>12</v>
      </c>
      <c r="J1744" s="2" t="s">
        <v>12</v>
      </c>
      <c r="K1744" s="2" t="s">
        <v>12</v>
      </c>
    </row>
    <row r="1745" spans="1:11" ht="12.5" x14ac:dyDescent="0.25">
      <c r="A1745" s="3" t="e">
        <f ca="1"/>
        <v>#NAME?</v>
      </c>
      <c r="B1745" s="2" t="s">
        <v>12</v>
      </c>
      <c r="C1745" s="2" t="s">
        <v>12</v>
      </c>
      <c r="D1745" s="2" t="s">
        <v>12</v>
      </c>
      <c r="E1745" s="2" t="s">
        <v>12</v>
      </c>
      <c r="F1745" s="2" t="s">
        <v>12</v>
      </c>
      <c r="G1745" s="2" t="s">
        <v>12</v>
      </c>
      <c r="H1745" s="2" t="s">
        <v>12</v>
      </c>
      <c r="I1745" s="2" t="s">
        <v>12</v>
      </c>
      <c r="J1745" s="2" t="s">
        <v>12</v>
      </c>
      <c r="K1745" s="2" t="s">
        <v>12</v>
      </c>
    </row>
    <row r="1746" spans="1:11" ht="12.5" x14ac:dyDescent="0.25">
      <c r="A1746" s="3" t="e">
        <f ca="1"/>
        <v>#NAME?</v>
      </c>
      <c r="B1746" s="2" t="s">
        <v>12</v>
      </c>
      <c r="C1746" s="2" t="s">
        <v>12</v>
      </c>
      <c r="D1746" s="2" t="s">
        <v>12</v>
      </c>
      <c r="E1746" s="2" t="s">
        <v>12</v>
      </c>
      <c r="F1746" s="2" t="s">
        <v>12</v>
      </c>
      <c r="G1746" s="2" t="s">
        <v>12</v>
      </c>
      <c r="H1746" s="2" t="s">
        <v>12</v>
      </c>
      <c r="I1746" s="2" t="s">
        <v>12</v>
      </c>
      <c r="J1746" s="2" t="s">
        <v>12</v>
      </c>
      <c r="K1746" s="2" t="s">
        <v>12</v>
      </c>
    </row>
    <row r="1747" spans="1:11" ht="12.5" x14ac:dyDescent="0.25">
      <c r="A1747" s="3" t="e">
        <f ca="1"/>
        <v>#NAME?</v>
      </c>
      <c r="B1747" s="2" t="s">
        <v>12</v>
      </c>
      <c r="C1747" s="2" t="s">
        <v>12</v>
      </c>
      <c r="D1747" s="2" t="s">
        <v>12</v>
      </c>
      <c r="E1747" s="2" t="s">
        <v>12</v>
      </c>
      <c r="F1747" s="2" t="s">
        <v>12</v>
      </c>
      <c r="G1747" s="2" t="s">
        <v>12</v>
      </c>
      <c r="H1747" s="2" t="s">
        <v>12</v>
      </c>
      <c r="I1747" s="2" t="s">
        <v>12</v>
      </c>
      <c r="J1747" s="2" t="s">
        <v>12</v>
      </c>
      <c r="K1747" s="2" t="s">
        <v>12</v>
      </c>
    </row>
    <row r="1748" spans="1:11" ht="12.5" x14ac:dyDescent="0.25">
      <c r="A1748" s="3" t="e">
        <f ca="1"/>
        <v>#NAME?</v>
      </c>
      <c r="B1748" s="2" t="s">
        <v>12</v>
      </c>
      <c r="C1748" s="2" t="s">
        <v>12</v>
      </c>
      <c r="D1748" s="2" t="s">
        <v>12</v>
      </c>
      <c r="E1748" s="2" t="s">
        <v>12</v>
      </c>
      <c r="F1748" s="2" t="s">
        <v>12</v>
      </c>
      <c r="G1748" s="2" t="s">
        <v>12</v>
      </c>
      <c r="H1748" s="2" t="s">
        <v>12</v>
      </c>
      <c r="I1748" s="2" t="s">
        <v>12</v>
      </c>
      <c r="J1748" s="2" t="s">
        <v>12</v>
      </c>
      <c r="K1748" s="2" t="s">
        <v>12</v>
      </c>
    </row>
    <row r="1749" spans="1:11" ht="12.5" x14ac:dyDescent="0.25">
      <c r="A1749" s="3" t="e">
        <f ca="1"/>
        <v>#NAME?</v>
      </c>
      <c r="B1749" s="2" t="s">
        <v>12</v>
      </c>
      <c r="C1749" s="2" t="s">
        <v>12</v>
      </c>
      <c r="D1749" s="2" t="s">
        <v>12</v>
      </c>
      <c r="E1749" s="2" t="s">
        <v>12</v>
      </c>
      <c r="F1749" s="2" t="s">
        <v>12</v>
      </c>
      <c r="G1749" s="2" t="s">
        <v>12</v>
      </c>
      <c r="H1749" s="2" t="s">
        <v>12</v>
      </c>
      <c r="I1749" s="2" t="s">
        <v>12</v>
      </c>
      <c r="J1749" s="2" t="s">
        <v>12</v>
      </c>
      <c r="K1749" s="2" t="s">
        <v>12</v>
      </c>
    </row>
    <row r="1750" spans="1:11" ht="12.5" x14ac:dyDescent="0.25">
      <c r="A1750" s="3" t="e">
        <f ca="1"/>
        <v>#NAME?</v>
      </c>
      <c r="B1750" s="2" t="s">
        <v>12</v>
      </c>
      <c r="C1750" s="2" t="s">
        <v>12</v>
      </c>
      <c r="D1750" s="2" t="s">
        <v>12</v>
      </c>
      <c r="E1750" s="2" t="s">
        <v>12</v>
      </c>
      <c r="F1750" s="2" t="s">
        <v>12</v>
      </c>
      <c r="G1750" s="2" t="s">
        <v>12</v>
      </c>
      <c r="H1750" s="2" t="s">
        <v>12</v>
      </c>
      <c r="I1750" s="2" t="s">
        <v>12</v>
      </c>
      <c r="J1750" s="2" t="s">
        <v>12</v>
      </c>
      <c r="K1750" s="2" t="s">
        <v>12</v>
      </c>
    </row>
    <row r="1751" spans="1:11" ht="12.5" x14ac:dyDescent="0.25">
      <c r="A1751" s="3" t="e">
        <f ca="1"/>
        <v>#NAME?</v>
      </c>
      <c r="B1751" s="2" t="s">
        <v>12</v>
      </c>
      <c r="C1751" s="2" t="s">
        <v>12</v>
      </c>
      <c r="D1751" s="2" t="s">
        <v>12</v>
      </c>
      <c r="E1751" s="2" t="s">
        <v>12</v>
      </c>
      <c r="F1751" s="2" t="s">
        <v>12</v>
      </c>
      <c r="G1751" s="2" t="s">
        <v>12</v>
      </c>
      <c r="H1751" s="2" t="s">
        <v>12</v>
      </c>
      <c r="I1751" s="2" t="s">
        <v>12</v>
      </c>
      <c r="J1751" s="2" t="s">
        <v>12</v>
      </c>
      <c r="K1751" s="2" t="s">
        <v>12</v>
      </c>
    </row>
    <row r="1752" spans="1:11" ht="12.5" x14ac:dyDescent="0.25">
      <c r="A1752" s="3" t="e">
        <f ca="1"/>
        <v>#NAME?</v>
      </c>
      <c r="B1752" s="2" t="s">
        <v>12</v>
      </c>
      <c r="C1752" s="2" t="s">
        <v>12</v>
      </c>
      <c r="D1752" s="2" t="s">
        <v>12</v>
      </c>
      <c r="E1752" s="2" t="s">
        <v>12</v>
      </c>
      <c r="F1752" s="2" t="s">
        <v>12</v>
      </c>
      <c r="G1752" s="2" t="s">
        <v>12</v>
      </c>
      <c r="H1752" s="2" t="s">
        <v>12</v>
      </c>
      <c r="I1752" s="2" t="s">
        <v>12</v>
      </c>
      <c r="J1752" s="2" t="s">
        <v>12</v>
      </c>
      <c r="K1752" s="2" t="s">
        <v>12</v>
      </c>
    </row>
    <row r="1753" spans="1:11" ht="12.5" x14ac:dyDescent="0.25">
      <c r="A1753" s="3" t="e">
        <f ca="1"/>
        <v>#NAME?</v>
      </c>
      <c r="B1753" s="2" t="s">
        <v>12</v>
      </c>
      <c r="C1753" s="2" t="s">
        <v>12</v>
      </c>
      <c r="D1753" s="2" t="s">
        <v>12</v>
      </c>
      <c r="E1753" s="2" t="s">
        <v>12</v>
      </c>
      <c r="F1753" s="2" t="s">
        <v>12</v>
      </c>
      <c r="G1753" s="2" t="s">
        <v>12</v>
      </c>
      <c r="H1753" s="2" t="s">
        <v>12</v>
      </c>
      <c r="I1753" s="2" t="s">
        <v>12</v>
      </c>
      <c r="J1753" s="2" t="s">
        <v>12</v>
      </c>
      <c r="K1753" s="2" t="s">
        <v>12</v>
      </c>
    </row>
    <row r="1754" spans="1:11" ht="12.5" x14ac:dyDescent="0.25">
      <c r="A1754" s="3" t="e">
        <f ca="1"/>
        <v>#NAME?</v>
      </c>
      <c r="B1754" s="2" t="s">
        <v>12</v>
      </c>
      <c r="C1754" s="2" t="s">
        <v>12</v>
      </c>
      <c r="D1754" s="2" t="s">
        <v>12</v>
      </c>
      <c r="E1754" s="2" t="s">
        <v>12</v>
      </c>
      <c r="F1754" s="2" t="s">
        <v>12</v>
      </c>
      <c r="G1754" s="2" t="s">
        <v>12</v>
      </c>
      <c r="H1754" s="2" t="s">
        <v>12</v>
      </c>
      <c r="I1754" s="2" t="s">
        <v>12</v>
      </c>
      <c r="J1754" s="2" t="s">
        <v>12</v>
      </c>
      <c r="K1754" s="2" t="s">
        <v>12</v>
      </c>
    </row>
    <row r="1755" spans="1:11" ht="12.5" x14ac:dyDescent="0.25">
      <c r="A1755" s="3" t="e">
        <f ca="1"/>
        <v>#NAME?</v>
      </c>
      <c r="B1755" s="2" t="s">
        <v>12</v>
      </c>
      <c r="C1755" s="2" t="s">
        <v>12</v>
      </c>
      <c r="D1755" s="2" t="s">
        <v>12</v>
      </c>
      <c r="E1755" s="2" t="s">
        <v>12</v>
      </c>
      <c r="F1755" s="2" t="s">
        <v>12</v>
      </c>
      <c r="G1755" s="2" t="s">
        <v>12</v>
      </c>
      <c r="H1755" s="2" t="s">
        <v>12</v>
      </c>
      <c r="I1755" s="2" t="s">
        <v>12</v>
      </c>
      <c r="J1755" s="2" t="s">
        <v>12</v>
      </c>
      <c r="K1755" s="2" t="s">
        <v>12</v>
      </c>
    </row>
    <row r="1756" spans="1:11" ht="12.5" x14ac:dyDescent="0.25">
      <c r="A1756" s="3" t="e">
        <f ca="1"/>
        <v>#NAME?</v>
      </c>
      <c r="B1756" s="2" t="s">
        <v>12</v>
      </c>
      <c r="C1756" s="2" t="s">
        <v>12</v>
      </c>
      <c r="D1756" s="2" t="s">
        <v>12</v>
      </c>
      <c r="E1756" s="2" t="s">
        <v>12</v>
      </c>
      <c r="F1756" s="2" t="s">
        <v>12</v>
      </c>
      <c r="G1756" s="2" t="s">
        <v>12</v>
      </c>
      <c r="H1756" s="2" t="s">
        <v>12</v>
      </c>
      <c r="I1756" s="2" t="s">
        <v>12</v>
      </c>
      <c r="J1756" s="2" t="s">
        <v>12</v>
      </c>
      <c r="K1756" s="2" t="s">
        <v>12</v>
      </c>
    </row>
    <row r="1757" spans="1:11" ht="12.5" x14ac:dyDescent="0.25">
      <c r="A1757" s="3" t="e">
        <f ca="1"/>
        <v>#NAME?</v>
      </c>
      <c r="B1757" s="2" t="s">
        <v>12</v>
      </c>
      <c r="C1757" s="2" t="s">
        <v>12</v>
      </c>
      <c r="D1757" s="2" t="s">
        <v>12</v>
      </c>
      <c r="E1757" s="2" t="s">
        <v>12</v>
      </c>
      <c r="F1757" s="2" t="s">
        <v>12</v>
      </c>
      <c r="G1757" s="2" t="s">
        <v>12</v>
      </c>
      <c r="H1757" s="2" t="s">
        <v>12</v>
      </c>
      <c r="I1757" s="2" t="s">
        <v>12</v>
      </c>
      <c r="J1757" s="2" t="s">
        <v>12</v>
      </c>
      <c r="K1757" s="2" t="s">
        <v>12</v>
      </c>
    </row>
    <row r="1758" spans="1:11" ht="12.5" x14ac:dyDescent="0.25">
      <c r="A1758" s="3" t="e">
        <f ca="1"/>
        <v>#NAME?</v>
      </c>
      <c r="B1758" s="2" t="s">
        <v>12</v>
      </c>
      <c r="C1758" s="2" t="s">
        <v>12</v>
      </c>
      <c r="D1758" s="2" t="s">
        <v>12</v>
      </c>
      <c r="E1758" s="2" t="s">
        <v>12</v>
      </c>
      <c r="F1758" s="2" t="s">
        <v>12</v>
      </c>
      <c r="G1758" s="2" t="s">
        <v>12</v>
      </c>
      <c r="H1758" s="2" t="s">
        <v>12</v>
      </c>
      <c r="I1758" s="2" t="s">
        <v>12</v>
      </c>
      <c r="J1758" s="2" t="s">
        <v>12</v>
      </c>
      <c r="K1758" s="2" t="s">
        <v>12</v>
      </c>
    </row>
    <row r="1759" spans="1:11" ht="12.5" x14ac:dyDescent="0.25">
      <c r="A1759" s="3" t="e">
        <f ca="1"/>
        <v>#NAME?</v>
      </c>
      <c r="B1759" s="2" t="s">
        <v>12</v>
      </c>
      <c r="C1759" s="2" t="s">
        <v>12</v>
      </c>
      <c r="D1759" s="2" t="s">
        <v>12</v>
      </c>
      <c r="E1759" s="2" t="s">
        <v>12</v>
      </c>
      <c r="F1759" s="2" t="s">
        <v>12</v>
      </c>
      <c r="G1759" s="2" t="s">
        <v>12</v>
      </c>
      <c r="H1759" s="2" t="s">
        <v>12</v>
      </c>
      <c r="I1759" s="2" t="s">
        <v>12</v>
      </c>
      <c r="J1759" s="2" t="s">
        <v>12</v>
      </c>
      <c r="K1759" s="2" t="s">
        <v>12</v>
      </c>
    </row>
    <row r="1760" spans="1:11" ht="12.5" x14ac:dyDescent="0.25">
      <c r="A1760" s="3" t="e">
        <f ca="1"/>
        <v>#NAME?</v>
      </c>
      <c r="B1760" s="2" t="s">
        <v>12</v>
      </c>
      <c r="C1760" s="2" t="s">
        <v>12</v>
      </c>
      <c r="D1760" s="2" t="s">
        <v>12</v>
      </c>
      <c r="E1760" s="2" t="s">
        <v>12</v>
      </c>
      <c r="F1760" s="2" t="s">
        <v>12</v>
      </c>
      <c r="G1760" s="2" t="s">
        <v>12</v>
      </c>
      <c r="H1760" s="2" t="s">
        <v>12</v>
      </c>
      <c r="I1760" s="2" t="s">
        <v>12</v>
      </c>
      <c r="J1760" s="2" t="s">
        <v>12</v>
      </c>
      <c r="K1760" s="2" t="s">
        <v>12</v>
      </c>
    </row>
    <row r="1761" spans="1:11" ht="12.5" x14ac:dyDescent="0.25">
      <c r="A1761" s="3" t="e">
        <f ca="1"/>
        <v>#NAME?</v>
      </c>
      <c r="B1761" s="2" t="s">
        <v>12</v>
      </c>
      <c r="C1761" s="2" t="s">
        <v>12</v>
      </c>
      <c r="D1761" s="2" t="s">
        <v>12</v>
      </c>
      <c r="E1761" s="2" t="s">
        <v>12</v>
      </c>
      <c r="F1761" s="2" t="s">
        <v>12</v>
      </c>
      <c r="G1761" s="2" t="s">
        <v>12</v>
      </c>
      <c r="H1761" s="2" t="s">
        <v>12</v>
      </c>
      <c r="I1761" s="2" t="s">
        <v>12</v>
      </c>
      <c r="J1761" s="2" t="s">
        <v>12</v>
      </c>
      <c r="K1761" s="2" t="s">
        <v>12</v>
      </c>
    </row>
    <row r="1762" spans="1:11" ht="12.5" x14ac:dyDescent="0.25">
      <c r="A1762" s="3" t="e">
        <f ca="1"/>
        <v>#NAME?</v>
      </c>
      <c r="B1762" s="2" t="s">
        <v>12</v>
      </c>
      <c r="C1762" s="2" t="s">
        <v>12</v>
      </c>
      <c r="D1762" s="2" t="s">
        <v>12</v>
      </c>
      <c r="E1762" s="2" t="s">
        <v>12</v>
      </c>
      <c r="F1762" s="2" t="s">
        <v>12</v>
      </c>
      <c r="G1762" s="2" t="s">
        <v>12</v>
      </c>
      <c r="H1762" s="2" t="s">
        <v>12</v>
      </c>
      <c r="I1762" s="2" t="s">
        <v>12</v>
      </c>
      <c r="J1762" s="2" t="s">
        <v>12</v>
      </c>
      <c r="K1762" s="2" t="s">
        <v>12</v>
      </c>
    </row>
    <row r="1763" spans="1:11" ht="12.5" x14ac:dyDescent="0.25">
      <c r="A1763" s="3" t="e">
        <f ca="1"/>
        <v>#NAME?</v>
      </c>
      <c r="B1763" s="2" t="s">
        <v>12</v>
      </c>
      <c r="C1763" s="2" t="s">
        <v>12</v>
      </c>
      <c r="D1763" s="2" t="s">
        <v>12</v>
      </c>
      <c r="E1763" s="2" t="s">
        <v>12</v>
      </c>
      <c r="F1763" s="2" t="s">
        <v>12</v>
      </c>
      <c r="G1763" s="2" t="s">
        <v>12</v>
      </c>
      <c r="H1763" s="2" t="s">
        <v>12</v>
      </c>
      <c r="I1763" s="2" t="s">
        <v>12</v>
      </c>
      <c r="J1763" s="2" t="s">
        <v>12</v>
      </c>
      <c r="K1763" s="2" t="s">
        <v>12</v>
      </c>
    </row>
    <row r="1764" spans="1:11" ht="12.5" x14ac:dyDescent="0.25">
      <c r="A1764" s="3" t="e">
        <f ca="1"/>
        <v>#NAME?</v>
      </c>
      <c r="B1764" s="2" t="s">
        <v>12</v>
      </c>
      <c r="C1764" s="2" t="s">
        <v>12</v>
      </c>
      <c r="D1764" s="2" t="s">
        <v>12</v>
      </c>
      <c r="E1764" s="2" t="s">
        <v>12</v>
      </c>
      <c r="F1764" s="2" t="s">
        <v>12</v>
      </c>
      <c r="G1764" s="2" t="s">
        <v>12</v>
      </c>
      <c r="H1764" s="2" t="s">
        <v>12</v>
      </c>
      <c r="I1764" s="2" t="s">
        <v>12</v>
      </c>
      <c r="J1764" s="2" t="s">
        <v>12</v>
      </c>
      <c r="K1764" s="2" t="s">
        <v>12</v>
      </c>
    </row>
    <row r="1765" spans="1:11" ht="12.5" x14ac:dyDescent="0.25">
      <c r="A1765" s="3" t="e">
        <f ca="1"/>
        <v>#NAME?</v>
      </c>
      <c r="B1765" s="2" t="s">
        <v>12</v>
      </c>
      <c r="C1765" s="2" t="s">
        <v>12</v>
      </c>
      <c r="D1765" s="2" t="s">
        <v>12</v>
      </c>
      <c r="E1765" s="2" t="s">
        <v>12</v>
      </c>
      <c r="F1765" s="2" t="s">
        <v>12</v>
      </c>
      <c r="G1765" s="2" t="s">
        <v>12</v>
      </c>
      <c r="H1765" s="2" t="s">
        <v>12</v>
      </c>
      <c r="I1765" s="2" t="s">
        <v>12</v>
      </c>
      <c r="J1765" s="2" t="s">
        <v>12</v>
      </c>
      <c r="K1765" s="2" t="s">
        <v>12</v>
      </c>
    </row>
    <row r="1766" spans="1:11" ht="12.5" x14ac:dyDescent="0.25">
      <c r="A1766" s="3" t="e">
        <f ca="1"/>
        <v>#NAME?</v>
      </c>
      <c r="B1766" s="2" t="s">
        <v>12</v>
      </c>
      <c r="C1766" s="2" t="s">
        <v>12</v>
      </c>
      <c r="D1766" s="2" t="s">
        <v>12</v>
      </c>
      <c r="E1766" s="2" t="s">
        <v>12</v>
      </c>
      <c r="F1766" s="2" t="s">
        <v>12</v>
      </c>
      <c r="G1766" s="2" t="s">
        <v>12</v>
      </c>
      <c r="H1766" s="2" t="s">
        <v>12</v>
      </c>
      <c r="I1766" s="2" t="s">
        <v>12</v>
      </c>
      <c r="J1766" s="2" t="s">
        <v>12</v>
      </c>
      <c r="K1766" s="2" t="s">
        <v>12</v>
      </c>
    </row>
    <row r="1767" spans="1:11" ht="12.5" x14ac:dyDescent="0.25">
      <c r="A1767" s="3" t="e">
        <f ca="1"/>
        <v>#NAME?</v>
      </c>
      <c r="B1767" s="2" t="s">
        <v>12</v>
      </c>
      <c r="C1767" s="2" t="s">
        <v>12</v>
      </c>
      <c r="D1767" s="2" t="s">
        <v>12</v>
      </c>
      <c r="E1767" s="2" t="s">
        <v>12</v>
      </c>
      <c r="F1767" s="2" t="s">
        <v>12</v>
      </c>
      <c r="G1767" s="2" t="s">
        <v>12</v>
      </c>
      <c r="H1767" s="2" t="s">
        <v>12</v>
      </c>
      <c r="I1767" s="2" t="s">
        <v>12</v>
      </c>
      <c r="J1767" s="2" t="s">
        <v>12</v>
      </c>
      <c r="K1767" s="2" t="s">
        <v>12</v>
      </c>
    </row>
    <row r="1768" spans="1:11" ht="12.5" x14ac:dyDescent="0.25">
      <c r="A1768" s="3" t="e">
        <f ca="1"/>
        <v>#NAME?</v>
      </c>
      <c r="B1768" s="2" t="s">
        <v>12</v>
      </c>
      <c r="C1768" s="2" t="s">
        <v>12</v>
      </c>
      <c r="D1768" s="2" t="s">
        <v>12</v>
      </c>
      <c r="E1768" s="2" t="s">
        <v>12</v>
      </c>
      <c r="F1768" s="2" t="s">
        <v>12</v>
      </c>
      <c r="G1768" s="2" t="s">
        <v>12</v>
      </c>
      <c r="H1768" s="2" t="s">
        <v>12</v>
      </c>
      <c r="I1768" s="2" t="s">
        <v>12</v>
      </c>
      <c r="J1768" s="2" t="s">
        <v>12</v>
      </c>
      <c r="K1768" s="2" t="s">
        <v>12</v>
      </c>
    </row>
    <row r="1769" spans="1:11" ht="12.5" x14ac:dyDescent="0.25">
      <c r="A1769" s="3" t="e">
        <f ca="1"/>
        <v>#NAME?</v>
      </c>
      <c r="B1769" s="2" t="s">
        <v>12</v>
      </c>
      <c r="C1769" s="2" t="s">
        <v>12</v>
      </c>
      <c r="D1769" s="2" t="s">
        <v>12</v>
      </c>
      <c r="E1769" s="2" t="s">
        <v>12</v>
      </c>
      <c r="F1769" s="2" t="s">
        <v>12</v>
      </c>
      <c r="G1769" s="2" t="s">
        <v>12</v>
      </c>
      <c r="H1769" s="2" t="s">
        <v>12</v>
      </c>
      <c r="I1769" s="2" t="s">
        <v>12</v>
      </c>
      <c r="J1769" s="2" t="s">
        <v>12</v>
      </c>
      <c r="K1769" s="2" t="s">
        <v>12</v>
      </c>
    </row>
    <row r="1770" spans="1:11" ht="12.5" x14ac:dyDescent="0.25">
      <c r="A1770" s="3" t="e">
        <f ca="1"/>
        <v>#NAME?</v>
      </c>
      <c r="B1770" s="2" t="s">
        <v>12</v>
      </c>
      <c r="C1770" s="2" t="s">
        <v>12</v>
      </c>
      <c r="D1770" s="2" t="s">
        <v>12</v>
      </c>
      <c r="E1770" s="2" t="s">
        <v>12</v>
      </c>
      <c r="F1770" s="2" t="s">
        <v>12</v>
      </c>
      <c r="G1770" s="2" t="s">
        <v>12</v>
      </c>
      <c r="H1770" s="2" t="s">
        <v>12</v>
      </c>
      <c r="I1770" s="2" t="s">
        <v>12</v>
      </c>
      <c r="J1770" s="2" t="s">
        <v>12</v>
      </c>
      <c r="K1770" s="2" t="s">
        <v>12</v>
      </c>
    </row>
    <row r="1771" spans="1:11" ht="12.5" x14ac:dyDescent="0.25">
      <c r="A1771" s="3" t="e">
        <f ca="1"/>
        <v>#NAME?</v>
      </c>
      <c r="B1771" s="2" t="s">
        <v>12</v>
      </c>
      <c r="C1771" s="2" t="s">
        <v>12</v>
      </c>
      <c r="D1771" s="2" t="s">
        <v>12</v>
      </c>
      <c r="E1771" s="2" t="s">
        <v>12</v>
      </c>
      <c r="F1771" s="2" t="s">
        <v>12</v>
      </c>
      <c r="G1771" s="2" t="s">
        <v>12</v>
      </c>
      <c r="H1771" s="2" t="s">
        <v>12</v>
      </c>
      <c r="I1771" s="2" t="s">
        <v>12</v>
      </c>
      <c r="J1771" s="2" t="s">
        <v>12</v>
      </c>
      <c r="K1771" s="2" t="s">
        <v>12</v>
      </c>
    </row>
    <row r="1772" spans="1:11" ht="12.5" x14ac:dyDescent="0.25">
      <c r="A1772" s="3" t="e">
        <f ca="1"/>
        <v>#NAME?</v>
      </c>
      <c r="B1772" s="2" t="s">
        <v>12</v>
      </c>
      <c r="C1772" s="2" t="s">
        <v>12</v>
      </c>
      <c r="D1772" s="2" t="s">
        <v>12</v>
      </c>
      <c r="E1772" s="2" t="s">
        <v>12</v>
      </c>
      <c r="F1772" s="2" t="s">
        <v>12</v>
      </c>
      <c r="G1772" s="2" t="s">
        <v>12</v>
      </c>
      <c r="H1772" s="2" t="s">
        <v>12</v>
      </c>
      <c r="I1772" s="2" t="s">
        <v>12</v>
      </c>
      <c r="J1772" s="2" t="s">
        <v>12</v>
      </c>
      <c r="K1772" s="2" t="s">
        <v>12</v>
      </c>
    </row>
    <row r="1773" spans="1:11" ht="12.5" x14ac:dyDescent="0.25">
      <c r="A1773" s="3" t="e">
        <f ca="1"/>
        <v>#NAME?</v>
      </c>
      <c r="B1773" s="2" t="s">
        <v>12</v>
      </c>
      <c r="C1773" s="2" t="s">
        <v>12</v>
      </c>
      <c r="D1773" s="2" t="s">
        <v>12</v>
      </c>
      <c r="E1773" s="2" t="s">
        <v>12</v>
      </c>
      <c r="F1773" s="2" t="s">
        <v>12</v>
      </c>
      <c r="G1773" s="2" t="s">
        <v>12</v>
      </c>
      <c r="H1773" s="2" t="s">
        <v>12</v>
      </c>
      <c r="I1773" s="2" t="s">
        <v>12</v>
      </c>
      <c r="J1773" s="2" t="s">
        <v>12</v>
      </c>
      <c r="K1773" s="2" t="s">
        <v>12</v>
      </c>
    </row>
    <row r="1774" spans="1:11" ht="12.5" x14ac:dyDescent="0.25">
      <c r="A1774" s="3" t="e">
        <f ca="1"/>
        <v>#NAME?</v>
      </c>
      <c r="B1774" s="2" t="s">
        <v>12</v>
      </c>
      <c r="C1774" s="2" t="s">
        <v>12</v>
      </c>
      <c r="D1774" s="2" t="s">
        <v>12</v>
      </c>
      <c r="E1774" s="2" t="s">
        <v>12</v>
      </c>
      <c r="F1774" s="2" t="s">
        <v>12</v>
      </c>
      <c r="G1774" s="2" t="s">
        <v>12</v>
      </c>
      <c r="H1774" s="2" t="s">
        <v>12</v>
      </c>
      <c r="I1774" s="2" t="s">
        <v>12</v>
      </c>
      <c r="J1774" s="2" t="s">
        <v>12</v>
      </c>
      <c r="K1774" s="2" t="s">
        <v>12</v>
      </c>
    </row>
    <row r="1775" spans="1:11" ht="12.5" x14ac:dyDescent="0.25">
      <c r="A1775" s="3" t="e">
        <f ca="1"/>
        <v>#NAME?</v>
      </c>
      <c r="B1775" s="2" t="s">
        <v>12</v>
      </c>
      <c r="C1775" s="2" t="s">
        <v>12</v>
      </c>
      <c r="D1775" s="2" t="s">
        <v>12</v>
      </c>
      <c r="E1775" s="2" t="s">
        <v>12</v>
      </c>
      <c r="F1775" s="2" t="s">
        <v>12</v>
      </c>
      <c r="G1775" s="2" t="s">
        <v>12</v>
      </c>
      <c r="H1775" s="2" t="s">
        <v>12</v>
      </c>
      <c r="I1775" s="2" t="s">
        <v>12</v>
      </c>
      <c r="J1775" s="2" t="s">
        <v>12</v>
      </c>
      <c r="K1775" s="2" t="s">
        <v>12</v>
      </c>
    </row>
    <row r="1776" spans="1:11" ht="12.5" x14ac:dyDescent="0.25">
      <c r="A1776" s="3" t="e">
        <f ca="1"/>
        <v>#NAME?</v>
      </c>
      <c r="B1776" s="2" t="s">
        <v>12</v>
      </c>
      <c r="C1776" s="2" t="s">
        <v>12</v>
      </c>
      <c r="D1776" s="2" t="s">
        <v>12</v>
      </c>
      <c r="E1776" s="2" t="s">
        <v>12</v>
      </c>
      <c r="F1776" s="2" t="s">
        <v>12</v>
      </c>
      <c r="G1776" s="2" t="s">
        <v>12</v>
      </c>
      <c r="H1776" s="2" t="s">
        <v>12</v>
      </c>
      <c r="I1776" s="2" t="s">
        <v>12</v>
      </c>
      <c r="J1776" s="2" t="s">
        <v>12</v>
      </c>
      <c r="K1776" s="2" t="s">
        <v>12</v>
      </c>
    </row>
    <row r="1777" spans="1:11" ht="12.5" x14ac:dyDescent="0.25">
      <c r="A1777" s="3" t="e">
        <f ca="1"/>
        <v>#NAME?</v>
      </c>
      <c r="B1777" s="2" t="s">
        <v>12</v>
      </c>
      <c r="C1777" s="2" t="s">
        <v>12</v>
      </c>
      <c r="D1777" s="2" t="s">
        <v>12</v>
      </c>
      <c r="E1777" s="2" t="s">
        <v>12</v>
      </c>
      <c r="F1777" s="2" t="s">
        <v>12</v>
      </c>
      <c r="G1777" s="2" t="s">
        <v>12</v>
      </c>
      <c r="H1777" s="2" t="s">
        <v>12</v>
      </c>
      <c r="I1777" s="2" t="s">
        <v>12</v>
      </c>
      <c r="J1777" s="2" t="s">
        <v>12</v>
      </c>
      <c r="K1777" s="2" t="s">
        <v>12</v>
      </c>
    </row>
    <row r="1778" spans="1:11" ht="12.5" x14ac:dyDescent="0.25">
      <c r="A1778" s="3" t="e">
        <f ca="1"/>
        <v>#NAME?</v>
      </c>
      <c r="B1778" s="2" t="s">
        <v>12</v>
      </c>
      <c r="C1778" s="2" t="s">
        <v>12</v>
      </c>
      <c r="D1778" s="2" t="s">
        <v>12</v>
      </c>
      <c r="E1778" s="2" t="s">
        <v>12</v>
      </c>
      <c r="F1778" s="2" t="s">
        <v>12</v>
      </c>
      <c r="G1778" s="2" t="s">
        <v>12</v>
      </c>
      <c r="H1778" s="2" t="s">
        <v>12</v>
      </c>
      <c r="I1778" s="2" t="s">
        <v>12</v>
      </c>
      <c r="J1778" s="2" t="s">
        <v>12</v>
      </c>
      <c r="K1778" s="2" t="s">
        <v>12</v>
      </c>
    </row>
    <row r="1779" spans="1:11" ht="12.5" x14ac:dyDescent="0.25">
      <c r="A1779" s="3" t="e">
        <f ca="1"/>
        <v>#NAME?</v>
      </c>
      <c r="B1779" s="2" t="s">
        <v>12</v>
      </c>
      <c r="C1779" s="2" t="s">
        <v>12</v>
      </c>
      <c r="D1779" s="2" t="s">
        <v>12</v>
      </c>
      <c r="E1779" s="2" t="s">
        <v>12</v>
      </c>
      <c r="F1779" s="2" t="s">
        <v>12</v>
      </c>
      <c r="G1779" s="2" t="s">
        <v>12</v>
      </c>
      <c r="H1779" s="2" t="s">
        <v>12</v>
      </c>
      <c r="I1779" s="2" t="s">
        <v>12</v>
      </c>
      <c r="J1779" s="2" t="s">
        <v>12</v>
      </c>
      <c r="K1779" s="2" t="s">
        <v>12</v>
      </c>
    </row>
    <row r="1780" spans="1:11" ht="12.5" x14ac:dyDescent="0.25">
      <c r="A1780" s="3" t="e">
        <f ca="1"/>
        <v>#NAME?</v>
      </c>
      <c r="B1780" s="2" t="s">
        <v>12</v>
      </c>
      <c r="C1780" s="2" t="s">
        <v>12</v>
      </c>
      <c r="D1780" s="2" t="s">
        <v>12</v>
      </c>
      <c r="E1780" s="2" t="s">
        <v>12</v>
      </c>
      <c r="F1780" s="2" t="s">
        <v>12</v>
      </c>
      <c r="G1780" s="2" t="s">
        <v>12</v>
      </c>
      <c r="H1780" s="2" t="s">
        <v>12</v>
      </c>
      <c r="I1780" s="2" t="s">
        <v>12</v>
      </c>
      <c r="J1780" s="2" t="s">
        <v>12</v>
      </c>
      <c r="K1780" s="2" t="s">
        <v>12</v>
      </c>
    </row>
    <row r="1781" spans="1:11" ht="12.5" x14ac:dyDescent="0.25">
      <c r="A1781" s="3" t="e">
        <f ca="1"/>
        <v>#NAME?</v>
      </c>
      <c r="B1781" s="2" t="s">
        <v>12</v>
      </c>
      <c r="C1781" s="2" t="s">
        <v>12</v>
      </c>
      <c r="D1781" s="2" t="s">
        <v>12</v>
      </c>
      <c r="E1781" s="2" t="s">
        <v>12</v>
      </c>
      <c r="F1781" s="2" t="s">
        <v>12</v>
      </c>
      <c r="G1781" s="2" t="s">
        <v>12</v>
      </c>
      <c r="H1781" s="2" t="s">
        <v>12</v>
      </c>
      <c r="I1781" s="2" t="s">
        <v>12</v>
      </c>
      <c r="J1781" s="2" t="s">
        <v>12</v>
      </c>
      <c r="K1781" s="2" t="s">
        <v>12</v>
      </c>
    </row>
    <row r="1782" spans="1:11" ht="12.5" x14ac:dyDescent="0.25">
      <c r="A1782" s="3" t="e">
        <f ca="1"/>
        <v>#NAME?</v>
      </c>
      <c r="B1782" s="2" t="s">
        <v>12</v>
      </c>
      <c r="C1782" s="2" t="s">
        <v>12</v>
      </c>
      <c r="D1782" s="2" t="s">
        <v>12</v>
      </c>
      <c r="E1782" s="2" t="s">
        <v>12</v>
      </c>
      <c r="F1782" s="2" t="s">
        <v>12</v>
      </c>
      <c r="G1782" s="2" t="s">
        <v>12</v>
      </c>
      <c r="H1782" s="2" t="s">
        <v>12</v>
      </c>
      <c r="I1782" s="2" t="s">
        <v>12</v>
      </c>
      <c r="J1782" s="2" t="s">
        <v>12</v>
      </c>
      <c r="K1782" s="2" t="s">
        <v>12</v>
      </c>
    </row>
    <row r="1783" spans="1:11" ht="12.5" x14ac:dyDescent="0.25">
      <c r="A1783" s="3" t="e">
        <f ca="1"/>
        <v>#NAME?</v>
      </c>
      <c r="B1783" s="2" t="s">
        <v>12</v>
      </c>
      <c r="C1783" s="2" t="s">
        <v>12</v>
      </c>
      <c r="D1783" s="2" t="s">
        <v>12</v>
      </c>
      <c r="E1783" s="2" t="s">
        <v>12</v>
      </c>
      <c r="F1783" s="2" t="s">
        <v>12</v>
      </c>
      <c r="G1783" s="2" t="s">
        <v>12</v>
      </c>
      <c r="H1783" s="2" t="s">
        <v>12</v>
      </c>
      <c r="I1783" s="2" t="s">
        <v>12</v>
      </c>
      <c r="J1783" s="2" t="s">
        <v>12</v>
      </c>
      <c r="K1783" s="2" t="s">
        <v>12</v>
      </c>
    </row>
    <row r="1784" spans="1:11" ht="12.5" x14ac:dyDescent="0.25">
      <c r="A1784" s="3" t="e">
        <f ca="1"/>
        <v>#NAME?</v>
      </c>
      <c r="B1784" s="2" t="s">
        <v>12</v>
      </c>
      <c r="C1784" s="2" t="s">
        <v>12</v>
      </c>
      <c r="D1784" s="2" t="s">
        <v>12</v>
      </c>
      <c r="E1784" s="2" t="s">
        <v>12</v>
      </c>
      <c r="F1784" s="2" t="s">
        <v>12</v>
      </c>
      <c r="G1784" s="2" t="s">
        <v>12</v>
      </c>
      <c r="H1784" s="2" t="s">
        <v>12</v>
      </c>
      <c r="I1784" s="2" t="s">
        <v>12</v>
      </c>
      <c r="J1784" s="2" t="s">
        <v>12</v>
      </c>
      <c r="K1784" s="2" t="s">
        <v>12</v>
      </c>
    </row>
    <row r="1785" spans="1:11" ht="12.5" x14ac:dyDescent="0.25">
      <c r="A1785" s="3" t="e">
        <f ca="1"/>
        <v>#NAME?</v>
      </c>
      <c r="B1785" s="2" t="s">
        <v>12</v>
      </c>
      <c r="C1785" s="2" t="s">
        <v>12</v>
      </c>
      <c r="D1785" s="2" t="s">
        <v>12</v>
      </c>
      <c r="E1785" s="2" t="s">
        <v>12</v>
      </c>
      <c r="F1785" s="2" t="s">
        <v>12</v>
      </c>
      <c r="G1785" s="2" t="s">
        <v>12</v>
      </c>
      <c r="H1785" s="2" t="s">
        <v>12</v>
      </c>
      <c r="I1785" s="2" t="s">
        <v>12</v>
      </c>
      <c r="J1785" s="2" t="s">
        <v>12</v>
      </c>
      <c r="K1785" s="2" t="s">
        <v>12</v>
      </c>
    </row>
    <row r="1786" spans="1:11" ht="12.5" x14ac:dyDescent="0.25">
      <c r="A1786" s="3" t="e">
        <f ca="1"/>
        <v>#NAME?</v>
      </c>
      <c r="B1786" s="2" t="s">
        <v>12</v>
      </c>
      <c r="C1786" s="2" t="s">
        <v>12</v>
      </c>
      <c r="D1786" s="2" t="s">
        <v>12</v>
      </c>
      <c r="E1786" s="2" t="s">
        <v>12</v>
      </c>
      <c r="F1786" s="2" t="s">
        <v>12</v>
      </c>
      <c r="G1786" s="2" t="s">
        <v>12</v>
      </c>
      <c r="H1786" s="2" t="s">
        <v>12</v>
      </c>
      <c r="I1786" s="2" t="s">
        <v>12</v>
      </c>
      <c r="J1786" s="2" t="s">
        <v>12</v>
      </c>
      <c r="K1786" s="2" t="s">
        <v>12</v>
      </c>
    </row>
    <row r="1787" spans="1:11" ht="12.5" x14ac:dyDescent="0.25">
      <c r="A1787" s="3" t="e">
        <f ca="1"/>
        <v>#NAME?</v>
      </c>
      <c r="B1787" s="2" t="s">
        <v>12</v>
      </c>
      <c r="C1787" s="2" t="s">
        <v>12</v>
      </c>
      <c r="D1787" s="2" t="s">
        <v>12</v>
      </c>
      <c r="E1787" s="2" t="s">
        <v>12</v>
      </c>
      <c r="F1787" s="2" t="s">
        <v>12</v>
      </c>
      <c r="G1787" s="2" t="s">
        <v>12</v>
      </c>
      <c r="H1787" s="2" t="s">
        <v>12</v>
      </c>
      <c r="I1787" s="2" t="s">
        <v>12</v>
      </c>
      <c r="J1787" s="2" t="s">
        <v>12</v>
      </c>
      <c r="K1787" s="2" t="s">
        <v>12</v>
      </c>
    </row>
    <row r="1788" spans="1:11" ht="12.5" x14ac:dyDescent="0.25">
      <c r="A1788" s="3" t="e">
        <f ca="1"/>
        <v>#NAME?</v>
      </c>
      <c r="B1788" s="2" t="s">
        <v>12</v>
      </c>
      <c r="C1788" s="2" t="s">
        <v>12</v>
      </c>
      <c r="D1788" s="2" t="s">
        <v>12</v>
      </c>
      <c r="E1788" s="2" t="s">
        <v>12</v>
      </c>
      <c r="F1788" s="2" t="s">
        <v>12</v>
      </c>
      <c r="G1788" s="2" t="s">
        <v>12</v>
      </c>
      <c r="H1788" s="2" t="s">
        <v>12</v>
      </c>
      <c r="I1788" s="2" t="s">
        <v>12</v>
      </c>
      <c r="J1788" s="2" t="s">
        <v>12</v>
      </c>
      <c r="K1788" s="2" t="s">
        <v>12</v>
      </c>
    </row>
    <row r="1789" spans="1:11" ht="12.5" x14ac:dyDescent="0.25">
      <c r="A1789" s="3" t="e">
        <f ca="1"/>
        <v>#NAME?</v>
      </c>
      <c r="B1789" s="2" t="s">
        <v>12</v>
      </c>
      <c r="C1789" s="2" t="s">
        <v>12</v>
      </c>
      <c r="D1789" s="2" t="s">
        <v>12</v>
      </c>
      <c r="E1789" s="2" t="s">
        <v>12</v>
      </c>
      <c r="F1789" s="2" t="s">
        <v>12</v>
      </c>
      <c r="G1789" s="2" t="s">
        <v>12</v>
      </c>
      <c r="H1789" s="2" t="s">
        <v>12</v>
      </c>
      <c r="I1789" s="2" t="s">
        <v>12</v>
      </c>
      <c r="J1789" s="2" t="s">
        <v>12</v>
      </c>
      <c r="K1789" s="2" t="s">
        <v>12</v>
      </c>
    </row>
    <row r="1790" spans="1:11" ht="12.5" x14ac:dyDescent="0.25">
      <c r="A1790" s="3" t="e">
        <f ca="1"/>
        <v>#NAME?</v>
      </c>
      <c r="B1790" s="2" t="s">
        <v>12</v>
      </c>
      <c r="C1790" s="2" t="s">
        <v>12</v>
      </c>
      <c r="D1790" s="2" t="s">
        <v>12</v>
      </c>
      <c r="E1790" s="2" t="s">
        <v>12</v>
      </c>
      <c r="F1790" s="2" t="s">
        <v>12</v>
      </c>
      <c r="G1790" s="2" t="s">
        <v>12</v>
      </c>
      <c r="H1790" s="2" t="s">
        <v>12</v>
      </c>
      <c r="I1790" s="2" t="s">
        <v>12</v>
      </c>
      <c r="J1790" s="2" t="s">
        <v>12</v>
      </c>
      <c r="K1790" s="2" t="s">
        <v>12</v>
      </c>
    </row>
    <row r="1791" spans="1:11" ht="12.5" x14ac:dyDescent="0.25">
      <c r="A1791" s="3" t="e">
        <f ca="1"/>
        <v>#NAME?</v>
      </c>
      <c r="B1791" s="2" t="s">
        <v>12</v>
      </c>
      <c r="C1791" s="2" t="s">
        <v>12</v>
      </c>
      <c r="D1791" s="2" t="s">
        <v>12</v>
      </c>
      <c r="E1791" s="2" t="s">
        <v>12</v>
      </c>
      <c r="F1791" s="2" t="s">
        <v>12</v>
      </c>
      <c r="G1791" s="2" t="s">
        <v>12</v>
      </c>
      <c r="H1791" s="2" t="s">
        <v>12</v>
      </c>
      <c r="I1791" s="2" t="s">
        <v>12</v>
      </c>
      <c r="J1791" s="2" t="s">
        <v>12</v>
      </c>
      <c r="K1791" s="2" t="s">
        <v>12</v>
      </c>
    </row>
    <row r="1792" spans="1:11" ht="12.5" x14ac:dyDescent="0.25">
      <c r="A1792" s="3" t="e">
        <f ca="1"/>
        <v>#NAME?</v>
      </c>
      <c r="B1792" s="2" t="s">
        <v>12</v>
      </c>
      <c r="C1792" s="2" t="s">
        <v>12</v>
      </c>
      <c r="D1792" s="2" t="s">
        <v>12</v>
      </c>
      <c r="E1792" s="2" t="s">
        <v>12</v>
      </c>
      <c r="F1792" s="2" t="s">
        <v>12</v>
      </c>
      <c r="G1792" s="2" t="s">
        <v>12</v>
      </c>
      <c r="H1792" s="2" t="s">
        <v>12</v>
      </c>
      <c r="I1792" s="2" t="s">
        <v>12</v>
      </c>
      <c r="J1792" s="2" t="s">
        <v>12</v>
      </c>
      <c r="K1792" s="2" t="s">
        <v>12</v>
      </c>
    </row>
    <row r="1793" spans="1:11" ht="12.5" x14ac:dyDescent="0.25">
      <c r="A1793" s="3" t="e">
        <f ca="1"/>
        <v>#NAME?</v>
      </c>
      <c r="B1793" s="2" t="s">
        <v>12</v>
      </c>
      <c r="C1793" s="2" t="s">
        <v>12</v>
      </c>
      <c r="D1793" s="2" t="s">
        <v>12</v>
      </c>
      <c r="E1793" s="2" t="s">
        <v>12</v>
      </c>
      <c r="F1793" s="2" t="s">
        <v>12</v>
      </c>
      <c r="G1793" s="2" t="s">
        <v>12</v>
      </c>
      <c r="H1793" s="2" t="s">
        <v>12</v>
      </c>
      <c r="I1793" s="2" t="s">
        <v>12</v>
      </c>
      <c r="J1793" s="2" t="s">
        <v>12</v>
      </c>
      <c r="K1793" s="2" t="s">
        <v>12</v>
      </c>
    </row>
    <row r="1794" spans="1:11" ht="12.5" x14ac:dyDescent="0.25">
      <c r="A1794" s="3" t="e">
        <f ca="1"/>
        <v>#NAME?</v>
      </c>
      <c r="B1794" s="2" t="s">
        <v>12</v>
      </c>
      <c r="C1794" s="2" t="s">
        <v>12</v>
      </c>
      <c r="D1794" s="2" t="s">
        <v>12</v>
      </c>
      <c r="E1794" s="2" t="s">
        <v>12</v>
      </c>
      <c r="F1794" s="2" t="s">
        <v>12</v>
      </c>
      <c r="G1794" s="2" t="s">
        <v>12</v>
      </c>
      <c r="H1794" s="2" t="s">
        <v>12</v>
      </c>
      <c r="I1794" s="2" t="s">
        <v>12</v>
      </c>
      <c r="J1794" s="2" t="s">
        <v>12</v>
      </c>
      <c r="K1794" s="2" t="s">
        <v>12</v>
      </c>
    </row>
    <row r="1795" spans="1:11" ht="12.5" x14ac:dyDescent="0.25">
      <c r="A1795" s="3" t="e">
        <f ca="1"/>
        <v>#NAME?</v>
      </c>
      <c r="B1795" s="2" t="s">
        <v>12</v>
      </c>
      <c r="C1795" s="2" t="s">
        <v>12</v>
      </c>
      <c r="D1795" s="2" t="s">
        <v>12</v>
      </c>
      <c r="E1795" s="2" t="s">
        <v>12</v>
      </c>
      <c r="F1795" s="2" t="s">
        <v>12</v>
      </c>
      <c r="G1795" s="2" t="s">
        <v>12</v>
      </c>
      <c r="H1795" s="2" t="s">
        <v>12</v>
      </c>
      <c r="I1795" s="2" t="s">
        <v>12</v>
      </c>
      <c r="J1795" s="2" t="s">
        <v>12</v>
      </c>
      <c r="K1795" s="2" t="s">
        <v>12</v>
      </c>
    </row>
    <row r="1796" spans="1:11" ht="12.5" x14ac:dyDescent="0.25">
      <c r="A1796" s="3" t="e">
        <f ca="1"/>
        <v>#NAME?</v>
      </c>
      <c r="B1796" s="2" t="s">
        <v>12</v>
      </c>
      <c r="C1796" s="2" t="s">
        <v>12</v>
      </c>
      <c r="D1796" s="2" t="s">
        <v>12</v>
      </c>
      <c r="E1796" s="2" t="s">
        <v>12</v>
      </c>
      <c r="F1796" s="2" t="s">
        <v>12</v>
      </c>
      <c r="G1796" s="2" t="s">
        <v>12</v>
      </c>
      <c r="H1796" s="2" t="s">
        <v>12</v>
      </c>
      <c r="I1796" s="2" t="s">
        <v>12</v>
      </c>
      <c r="J1796" s="2" t="s">
        <v>12</v>
      </c>
      <c r="K1796" s="2" t="s">
        <v>12</v>
      </c>
    </row>
    <row r="1797" spans="1:11" ht="12.5" x14ac:dyDescent="0.25">
      <c r="A1797" s="3" t="e">
        <f ca="1"/>
        <v>#NAME?</v>
      </c>
      <c r="B1797" s="2" t="s">
        <v>12</v>
      </c>
      <c r="C1797" s="2" t="s">
        <v>12</v>
      </c>
      <c r="D1797" s="2" t="s">
        <v>12</v>
      </c>
      <c r="E1797" s="2" t="s">
        <v>12</v>
      </c>
      <c r="F1797" s="2" t="s">
        <v>12</v>
      </c>
      <c r="G1797" s="2" t="s">
        <v>12</v>
      </c>
      <c r="H1797" s="2" t="s">
        <v>12</v>
      </c>
      <c r="I1797" s="2" t="s">
        <v>12</v>
      </c>
      <c r="J1797" s="2" t="s">
        <v>12</v>
      </c>
      <c r="K1797" s="2" t="s">
        <v>12</v>
      </c>
    </row>
    <row r="1798" spans="1:11" ht="12.5" x14ac:dyDescent="0.25">
      <c r="A1798" s="3" t="e">
        <f ca="1"/>
        <v>#NAME?</v>
      </c>
      <c r="B1798" s="2" t="s">
        <v>12</v>
      </c>
      <c r="C1798" s="2" t="s">
        <v>12</v>
      </c>
      <c r="D1798" s="2" t="s">
        <v>12</v>
      </c>
      <c r="E1798" s="2" t="s">
        <v>12</v>
      </c>
      <c r="F1798" s="2" t="s">
        <v>12</v>
      </c>
      <c r="G1798" s="2" t="s">
        <v>12</v>
      </c>
      <c r="H1798" s="2" t="s">
        <v>12</v>
      </c>
      <c r="I1798" s="2" t="s">
        <v>12</v>
      </c>
      <c r="J1798" s="2" t="s">
        <v>12</v>
      </c>
      <c r="K1798" s="2" t="s">
        <v>12</v>
      </c>
    </row>
    <row r="1799" spans="1:11" ht="12.5" x14ac:dyDescent="0.25">
      <c r="A1799" s="3" t="e">
        <f ca="1"/>
        <v>#NAME?</v>
      </c>
      <c r="B1799" s="2" t="s">
        <v>12</v>
      </c>
      <c r="C1799" s="2" t="s">
        <v>12</v>
      </c>
      <c r="D1799" s="2" t="s">
        <v>12</v>
      </c>
      <c r="E1799" s="2" t="s">
        <v>12</v>
      </c>
      <c r="F1799" s="2" t="s">
        <v>12</v>
      </c>
      <c r="G1799" s="2" t="s">
        <v>12</v>
      </c>
      <c r="H1799" s="2" t="s">
        <v>12</v>
      </c>
      <c r="I1799" s="2" t="s">
        <v>12</v>
      </c>
      <c r="J1799" s="2" t="s">
        <v>12</v>
      </c>
      <c r="K1799" s="2" t="s">
        <v>12</v>
      </c>
    </row>
    <row r="1800" spans="1:11" ht="12.5" x14ac:dyDescent="0.25">
      <c r="A1800" s="3" t="e">
        <f ca="1"/>
        <v>#NAME?</v>
      </c>
      <c r="B1800" s="2" t="s">
        <v>12</v>
      </c>
      <c r="C1800" s="2" t="s">
        <v>12</v>
      </c>
      <c r="D1800" s="2" t="s">
        <v>12</v>
      </c>
      <c r="E1800" s="2" t="s">
        <v>12</v>
      </c>
      <c r="F1800" s="2" t="s">
        <v>12</v>
      </c>
      <c r="G1800" s="2" t="s">
        <v>12</v>
      </c>
      <c r="H1800" s="2" t="s">
        <v>12</v>
      </c>
      <c r="I1800" s="2" t="s">
        <v>12</v>
      </c>
      <c r="J1800" s="2" t="s">
        <v>12</v>
      </c>
      <c r="K1800" s="2" t="s">
        <v>12</v>
      </c>
    </row>
    <row r="1801" spans="1:11" ht="12.5" x14ac:dyDescent="0.25">
      <c r="A1801" s="3" t="e">
        <f ca="1"/>
        <v>#NAME?</v>
      </c>
      <c r="B1801" s="2" t="s">
        <v>12</v>
      </c>
      <c r="C1801" s="2" t="s">
        <v>12</v>
      </c>
      <c r="D1801" s="2" t="s">
        <v>12</v>
      </c>
      <c r="E1801" s="2" t="s">
        <v>12</v>
      </c>
      <c r="F1801" s="2" t="s">
        <v>12</v>
      </c>
      <c r="G1801" s="2" t="s">
        <v>12</v>
      </c>
      <c r="H1801" s="2" t="s">
        <v>12</v>
      </c>
      <c r="I1801" s="2" t="s">
        <v>12</v>
      </c>
      <c r="J1801" s="2" t="s">
        <v>12</v>
      </c>
      <c r="K1801" s="2" t="s">
        <v>12</v>
      </c>
    </row>
    <row r="1802" spans="1:11" ht="12.5" x14ac:dyDescent="0.25">
      <c r="A1802" s="3" t="e">
        <f ca="1"/>
        <v>#NAME?</v>
      </c>
      <c r="B1802" s="2" t="s">
        <v>12</v>
      </c>
      <c r="C1802" s="2" t="s">
        <v>12</v>
      </c>
      <c r="D1802" s="2" t="s">
        <v>12</v>
      </c>
      <c r="E1802" s="2" t="s">
        <v>12</v>
      </c>
      <c r="F1802" s="2" t="s">
        <v>12</v>
      </c>
      <c r="G1802" s="2" t="s">
        <v>12</v>
      </c>
      <c r="H1802" s="2" t="s">
        <v>12</v>
      </c>
      <c r="I1802" s="2" t="s">
        <v>12</v>
      </c>
      <c r="J1802" s="2" t="s">
        <v>12</v>
      </c>
      <c r="K1802" s="2" t="s">
        <v>12</v>
      </c>
    </row>
    <row r="1803" spans="1:11" ht="12.5" x14ac:dyDescent="0.25">
      <c r="A1803" s="3" t="e">
        <f ca="1"/>
        <v>#NAME?</v>
      </c>
      <c r="B1803" s="2" t="s">
        <v>12</v>
      </c>
      <c r="C1803" s="2" t="s">
        <v>12</v>
      </c>
      <c r="D1803" s="2" t="s">
        <v>12</v>
      </c>
      <c r="E1803" s="2" t="s">
        <v>12</v>
      </c>
      <c r="F1803" s="2" t="s">
        <v>12</v>
      </c>
      <c r="G1803" s="2" t="s">
        <v>12</v>
      </c>
      <c r="H1803" s="2" t="s">
        <v>12</v>
      </c>
      <c r="I1803" s="2" t="s">
        <v>12</v>
      </c>
      <c r="J1803" s="2" t="s">
        <v>12</v>
      </c>
      <c r="K1803" s="2" t="s">
        <v>12</v>
      </c>
    </row>
    <row r="1804" spans="1:11" ht="12.5" x14ac:dyDescent="0.25">
      <c r="A1804" s="3" t="e">
        <f ca="1"/>
        <v>#NAME?</v>
      </c>
      <c r="B1804" s="2" t="s">
        <v>12</v>
      </c>
      <c r="C1804" s="2" t="s">
        <v>12</v>
      </c>
      <c r="D1804" s="2" t="s">
        <v>12</v>
      </c>
      <c r="E1804" s="2" t="s">
        <v>12</v>
      </c>
      <c r="F1804" s="2" t="s">
        <v>12</v>
      </c>
      <c r="G1804" s="2" t="s">
        <v>12</v>
      </c>
      <c r="H1804" s="2" t="s">
        <v>12</v>
      </c>
      <c r="I1804" s="2" t="s">
        <v>12</v>
      </c>
      <c r="J1804" s="2" t="s">
        <v>12</v>
      </c>
      <c r="K1804" s="2" t="s">
        <v>12</v>
      </c>
    </row>
    <row r="1805" spans="1:11" ht="12.5" x14ac:dyDescent="0.25">
      <c r="A1805" s="3" t="e">
        <f ca="1"/>
        <v>#NAME?</v>
      </c>
      <c r="B1805" s="2" t="s">
        <v>12</v>
      </c>
      <c r="C1805" s="2" t="s">
        <v>12</v>
      </c>
      <c r="D1805" s="2" t="s">
        <v>12</v>
      </c>
      <c r="E1805" s="2" t="s">
        <v>12</v>
      </c>
      <c r="F1805" s="2" t="s">
        <v>12</v>
      </c>
      <c r="G1805" s="2" t="s">
        <v>12</v>
      </c>
      <c r="H1805" s="2" t="s">
        <v>12</v>
      </c>
      <c r="I1805" s="2" t="s">
        <v>12</v>
      </c>
      <c r="J1805" s="2" t="s">
        <v>12</v>
      </c>
      <c r="K1805" s="2" t="s">
        <v>12</v>
      </c>
    </row>
    <row r="1806" spans="1:11" ht="12.5" x14ac:dyDescent="0.25">
      <c r="A1806" s="3" t="e">
        <f ca="1"/>
        <v>#NAME?</v>
      </c>
      <c r="B1806" s="2" t="s">
        <v>12</v>
      </c>
      <c r="C1806" s="2" t="s">
        <v>12</v>
      </c>
      <c r="D1806" s="2" t="s">
        <v>12</v>
      </c>
      <c r="E1806" s="2" t="s">
        <v>12</v>
      </c>
      <c r="F1806" s="2" t="s">
        <v>12</v>
      </c>
      <c r="G1806" s="2" t="s">
        <v>12</v>
      </c>
      <c r="H1806" s="2" t="s">
        <v>12</v>
      </c>
      <c r="I1806" s="2" t="s">
        <v>12</v>
      </c>
      <c r="J1806" s="2" t="s">
        <v>12</v>
      </c>
      <c r="K1806" s="2" t="s">
        <v>12</v>
      </c>
    </row>
    <row r="1807" spans="1:11" ht="12.5" x14ac:dyDescent="0.25">
      <c r="A1807" s="3" t="e">
        <f ca="1"/>
        <v>#NAME?</v>
      </c>
      <c r="B1807" s="2" t="s">
        <v>12</v>
      </c>
      <c r="C1807" s="2" t="s">
        <v>12</v>
      </c>
      <c r="D1807" s="2" t="s">
        <v>12</v>
      </c>
      <c r="E1807" s="2" t="s">
        <v>12</v>
      </c>
      <c r="F1807" s="2" t="s">
        <v>12</v>
      </c>
      <c r="G1807" s="2" t="s">
        <v>12</v>
      </c>
      <c r="H1807" s="2" t="s">
        <v>12</v>
      </c>
      <c r="I1807" s="2" t="s">
        <v>12</v>
      </c>
      <c r="J1807" s="2" t="s">
        <v>12</v>
      </c>
      <c r="K1807" s="2" t="s">
        <v>12</v>
      </c>
    </row>
    <row r="1808" spans="1:11" ht="12.5" x14ac:dyDescent="0.25">
      <c r="A1808" s="3" t="e">
        <f ca="1"/>
        <v>#NAME?</v>
      </c>
      <c r="B1808" s="2" t="s">
        <v>12</v>
      </c>
      <c r="C1808" s="2" t="s">
        <v>12</v>
      </c>
      <c r="D1808" s="2" t="s">
        <v>12</v>
      </c>
      <c r="E1808" s="2" t="s">
        <v>12</v>
      </c>
      <c r="F1808" s="2" t="s">
        <v>12</v>
      </c>
      <c r="G1808" s="2" t="s">
        <v>12</v>
      </c>
      <c r="H1808" s="2" t="s">
        <v>12</v>
      </c>
      <c r="I1808" s="2" t="s">
        <v>12</v>
      </c>
      <c r="J1808" s="2" t="s">
        <v>12</v>
      </c>
      <c r="K1808" s="2" t="s">
        <v>12</v>
      </c>
    </row>
    <row r="1809" spans="1:11" ht="12.5" x14ac:dyDescent="0.25">
      <c r="A1809" s="3" t="e">
        <f ca="1"/>
        <v>#NAME?</v>
      </c>
      <c r="B1809" s="2" t="s">
        <v>12</v>
      </c>
      <c r="C1809" s="2" t="s">
        <v>12</v>
      </c>
      <c r="D1809" s="2" t="s">
        <v>12</v>
      </c>
      <c r="E1809" s="2" t="s">
        <v>12</v>
      </c>
      <c r="F1809" s="2" t="s">
        <v>12</v>
      </c>
      <c r="G1809" s="2" t="s">
        <v>12</v>
      </c>
      <c r="H1809" s="2" t="s">
        <v>12</v>
      </c>
      <c r="I1809" s="2" t="s">
        <v>12</v>
      </c>
      <c r="J1809" s="2" t="s">
        <v>12</v>
      </c>
      <c r="K1809" s="2" t="s">
        <v>12</v>
      </c>
    </row>
    <row r="1810" spans="1:11" ht="12.5" x14ac:dyDescent="0.25">
      <c r="A1810" s="3" t="e">
        <f ca="1"/>
        <v>#NAME?</v>
      </c>
      <c r="B1810" s="2" t="s">
        <v>12</v>
      </c>
      <c r="C1810" s="2" t="s">
        <v>12</v>
      </c>
      <c r="D1810" s="2" t="s">
        <v>12</v>
      </c>
      <c r="E1810" s="2" t="s">
        <v>12</v>
      </c>
      <c r="F1810" s="2" t="s">
        <v>12</v>
      </c>
      <c r="G1810" s="2" t="s">
        <v>12</v>
      </c>
      <c r="H1810" s="2" t="s">
        <v>12</v>
      </c>
      <c r="I1810" s="2" t="s">
        <v>12</v>
      </c>
      <c r="J1810" s="2" t="s">
        <v>12</v>
      </c>
      <c r="K1810" s="2" t="s">
        <v>12</v>
      </c>
    </row>
    <row r="1811" spans="1:11" ht="12.5" x14ac:dyDescent="0.25">
      <c r="A1811" s="3" t="e">
        <f ca="1"/>
        <v>#NAME?</v>
      </c>
      <c r="B1811" s="2" t="s">
        <v>12</v>
      </c>
      <c r="C1811" s="2" t="s">
        <v>12</v>
      </c>
      <c r="D1811" s="2" t="s">
        <v>12</v>
      </c>
      <c r="E1811" s="2" t="s">
        <v>12</v>
      </c>
      <c r="F1811" s="2" t="s">
        <v>12</v>
      </c>
      <c r="G1811" s="2" t="s">
        <v>12</v>
      </c>
      <c r="H1811" s="2" t="s">
        <v>12</v>
      </c>
      <c r="I1811" s="2" t="s">
        <v>12</v>
      </c>
      <c r="J1811" s="2" t="s">
        <v>12</v>
      </c>
      <c r="K1811" s="2" t="s">
        <v>12</v>
      </c>
    </row>
    <row r="1812" spans="1:11" ht="12.5" x14ac:dyDescent="0.25">
      <c r="A1812" s="3" t="e">
        <f ca="1"/>
        <v>#NAME?</v>
      </c>
      <c r="B1812" s="2" t="s">
        <v>12</v>
      </c>
      <c r="C1812" s="2" t="s">
        <v>12</v>
      </c>
      <c r="D1812" s="2" t="s">
        <v>12</v>
      </c>
      <c r="E1812" s="2" t="s">
        <v>12</v>
      </c>
      <c r="F1812" s="2" t="s">
        <v>12</v>
      </c>
      <c r="G1812" s="2" t="s">
        <v>12</v>
      </c>
      <c r="H1812" s="2" t="s">
        <v>12</v>
      </c>
      <c r="I1812" s="2" t="s">
        <v>12</v>
      </c>
      <c r="J1812" s="2" t="s">
        <v>12</v>
      </c>
      <c r="K1812" s="2" t="s">
        <v>12</v>
      </c>
    </row>
    <row r="1813" spans="1:11" ht="12.5" x14ac:dyDescent="0.25">
      <c r="A1813" s="3" t="e">
        <f ca="1"/>
        <v>#NAME?</v>
      </c>
      <c r="B1813" s="2" t="s">
        <v>12</v>
      </c>
      <c r="C1813" s="2" t="s">
        <v>12</v>
      </c>
      <c r="D1813" s="2" t="s">
        <v>12</v>
      </c>
      <c r="E1813" s="2" t="s">
        <v>12</v>
      </c>
      <c r="F1813" s="2" t="s">
        <v>12</v>
      </c>
      <c r="G1813" s="2" t="s">
        <v>12</v>
      </c>
      <c r="H1813" s="2" t="s">
        <v>12</v>
      </c>
      <c r="I1813" s="2" t="s">
        <v>12</v>
      </c>
      <c r="J1813" s="2" t="s">
        <v>12</v>
      </c>
      <c r="K1813" s="2" t="s">
        <v>12</v>
      </c>
    </row>
    <row r="1814" spans="1:11" ht="12.5" x14ac:dyDescent="0.25">
      <c r="A1814" s="3" t="e">
        <f ca="1"/>
        <v>#NAME?</v>
      </c>
      <c r="B1814" s="2" t="s">
        <v>12</v>
      </c>
      <c r="C1814" s="2" t="s">
        <v>12</v>
      </c>
      <c r="D1814" s="2" t="s">
        <v>12</v>
      </c>
      <c r="E1814" s="2" t="s">
        <v>12</v>
      </c>
      <c r="F1814" s="2" t="s">
        <v>12</v>
      </c>
      <c r="G1814" s="2" t="s">
        <v>12</v>
      </c>
      <c r="H1814" s="2" t="s">
        <v>12</v>
      </c>
      <c r="I1814" s="2" t="s">
        <v>12</v>
      </c>
      <c r="J1814" s="2" t="s">
        <v>12</v>
      </c>
      <c r="K1814" s="2" t="s">
        <v>12</v>
      </c>
    </row>
    <row r="1815" spans="1:11" ht="12.5" x14ac:dyDescent="0.25">
      <c r="A1815" s="3" t="e">
        <f ca="1"/>
        <v>#NAME?</v>
      </c>
      <c r="B1815" s="2" t="s">
        <v>12</v>
      </c>
      <c r="C1815" s="2" t="s">
        <v>12</v>
      </c>
      <c r="D1815" s="2" t="s">
        <v>12</v>
      </c>
      <c r="E1815" s="2" t="s">
        <v>12</v>
      </c>
      <c r="F1815" s="2" t="s">
        <v>12</v>
      </c>
      <c r="G1815" s="2" t="s">
        <v>12</v>
      </c>
      <c r="H1815" s="2" t="s">
        <v>12</v>
      </c>
      <c r="I1815" s="2" t="s">
        <v>12</v>
      </c>
      <c r="J1815" s="2" t="s">
        <v>12</v>
      </c>
      <c r="K1815" s="2" t="s">
        <v>12</v>
      </c>
    </row>
    <row r="1816" spans="1:11" ht="12.5" x14ac:dyDescent="0.25">
      <c r="A1816" s="3" t="e">
        <f ca="1"/>
        <v>#NAME?</v>
      </c>
      <c r="B1816" s="2" t="s">
        <v>12</v>
      </c>
      <c r="C1816" s="2" t="s">
        <v>12</v>
      </c>
      <c r="D1816" s="2" t="s">
        <v>12</v>
      </c>
      <c r="E1816" s="2" t="s">
        <v>12</v>
      </c>
      <c r="F1816" s="2" t="s">
        <v>12</v>
      </c>
      <c r="G1816" s="2" t="s">
        <v>12</v>
      </c>
      <c r="H1816" s="2" t="s">
        <v>12</v>
      </c>
      <c r="I1816" s="2" t="s">
        <v>12</v>
      </c>
      <c r="J1816" s="2" t="s">
        <v>12</v>
      </c>
      <c r="K1816" s="2" t="s">
        <v>12</v>
      </c>
    </row>
    <row r="1817" spans="1:11" ht="12.5" x14ac:dyDescent="0.25">
      <c r="A1817" s="3" t="e">
        <f ca="1"/>
        <v>#NAME?</v>
      </c>
      <c r="B1817" s="2" t="s">
        <v>12</v>
      </c>
      <c r="C1817" s="2" t="s">
        <v>12</v>
      </c>
      <c r="D1817" s="2" t="s">
        <v>12</v>
      </c>
      <c r="E1817" s="2" t="s">
        <v>12</v>
      </c>
      <c r="F1817" s="2" t="s">
        <v>12</v>
      </c>
      <c r="G1817" s="2" t="s">
        <v>12</v>
      </c>
      <c r="H1817" s="2" t="s">
        <v>12</v>
      </c>
      <c r="I1817" s="2" t="s">
        <v>12</v>
      </c>
      <c r="J1817" s="2" t="s">
        <v>12</v>
      </c>
      <c r="K1817" s="2" t="s">
        <v>12</v>
      </c>
    </row>
    <row r="1818" spans="1:11" ht="12.5" x14ac:dyDescent="0.25">
      <c r="A1818" s="3" t="e">
        <f ca="1"/>
        <v>#NAME?</v>
      </c>
      <c r="B1818" s="2" t="s">
        <v>12</v>
      </c>
      <c r="C1818" s="2" t="s">
        <v>12</v>
      </c>
      <c r="D1818" s="2" t="s">
        <v>12</v>
      </c>
      <c r="E1818" s="2" t="s">
        <v>12</v>
      </c>
      <c r="F1818" s="2" t="s">
        <v>12</v>
      </c>
      <c r="G1818" s="2" t="s">
        <v>12</v>
      </c>
      <c r="H1818" s="2" t="s">
        <v>12</v>
      </c>
      <c r="I1818" s="2" t="s">
        <v>12</v>
      </c>
      <c r="J1818" s="2" t="s">
        <v>12</v>
      </c>
      <c r="K1818" s="2" t="s">
        <v>12</v>
      </c>
    </row>
    <row r="1819" spans="1:11" ht="12.5" x14ac:dyDescent="0.25">
      <c r="A1819" s="3" t="e">
        <f ca="1"/>
        <v>#NAME?</v>
      </c>
      <c r="B1819" s="2" t="s">
        <v>12</v>
      </c>
      <c r="C1819" s="2" t="s">
        <v>12</v>
      </c>
      <c r="D1819" s="2" t="s">
        <v>12</v>
      </c>
      <c r="E1819" s="2" t="s">
        <v>12</v>
      </c>
      <c r="F1819" s="2" t="s">
        <v>12</v>
      </c>
      <c r="G1819" s="2" t="s">
        <v>12</v>
      </c>
      <c r="H1819" s="2" t="s">
        <v>12</v>
      </c>
      <c r="I1819" s="2" t="s">
        <v>12</v>
      </c>
      <c r="J1819" s="2" t="s">
        <v>12</v>
      </c>
      <c r="K1819" s="2" t="s">
        <v>12</v>
      </c>
    </row>
    <row r="1820" spans="1:11" ht="12.5" x14ac:dyDescent="0.25">
      <c r="A1820" s="3" t="e">
        <f ca="1"/>
        <v>#NAME?</v>
      </c>
      <c r="B1820" s="2" t="s">
        <v>12</v>
      </c>
      <c r="C1820" s="2" t="s">
        <v>12</v>
      </c>
      <c r="D1820" s="2" t="s">
        <v>12</v>
      </c>
      <c r="E1820" s="2" t="s">
        <v>12</v>
      </c>
      <c r="F1820" s="2" t="s">
        <v>12</v>
      </c>
      <c r="G1820" s="2" t="s">
        <v>12</v>
      </c>
      <c r="H1820" s="2" t="s">
        <v>12</v>
      </c>
      <c r="I1820" s="2" t="s">
        <v>12</v>
      </c>
      <c r="J1820" s="2" t="s">
        <v>12</v>
      </c>
      <c r="K1820" s="2" t="s">
        <v>12</v>
      </c>
    </row>
    <row r="1821" spans="1:11" ht="12.5" x14ac:dyDescent="0.25">
      <c r="A1821" s="3" t="e">
        <f ca="1"/>
        <v>#NAME?</v>
      </c>
      <c r="B1821" s="2" t="s">
        <v>12</v>
      </c>
      <c r="C1821" s="2" t="s">
        <v>12</v>
      </c>
      <c r="D1821" s="2" t="s">
        <v>12</v>
      </c>
      <c r="E1821" s="2" t="s">
        <v>12</v>
      </c>
      <c r="F1821" s="2" t="s">
        <v>12</v>
      </c>
      <c r="G1821" s="2" t="s">
        <v>12</v>
      </c>
      <c r="H1821" s="2" t="s">
        <v>12</v>
      </c>
      <c r="I1821" s="2" t="s">
        <v>12</v>
      </c>
      <c r="J1821" s="2" t="s">
        <v>12</v>
      </c>
      <c r="K1821" s="2" t="s">
        <v>12</v>
      </c>
    </row>
    <row r="1822" spans="1:11" ht="12.5" x14ac:dyDescent="0.25">
      <c r="A1822" s="3" t="e">
        <f ca="1"/>
        <v>#NAME?</v>
      </c>
      <c r="B1822" s="2" t="s">
        <v>12</v>
      </c>
      <c r="C1822" s="2" t="s">
        <v>12</v>
      </c>
      <c r="D1822" s="2" t="s">
        <v>12</v>
      </c>
      <c r="E1822" s="2" t="s">
        <v>12</v>
      </c>
      <c r="F1822" s="2" t="s">
        <v>12</v>
      </c>
      <c r="G1822" s="2" t="s">
        <v>12</v>
      </c>
      <c r="H1822" s="2" t="s">
        <v>12</v>
      </c>
      <c r="I1822" s="2" t="s">
        <v>12</v>
      </c>
      <c r="J1822" s="2" t="s">
        <v>12</v>
      </c>
      <c r="K1822" s="2" t="s">
        <v>12</v>
      </c>
    </row>
    <row r="1823" spans="1:11" ht="12.5" x14ac:dyDescent="0.25">
      <c r="A1823" s="3" t="e">
        <f ca="1"/>
        <v>#NAME?</v>
      </c>
      <c r="B1823" s="2" t="s">
        <v>12</v>
      </c>
      <c r="C1823" s="2" t="s">
        <v>12</v>
      </c>
      <c r="D1823" s="2" t="s">
        <v>12</v>
      </c>
      <c r="E1823" s="2" t="s">
        <v>12</v>
      </c>
      <c r="F1823" s="2" t="s">
        <v>12</v>
      </c>
      <c r="G1823" s="2" t="s">
        <v>12</v>
      </c>
      <c r="H1823" s="2" t="s">
        <v>12</v>
      </c>
      <c r="I1823" s="2" t="s">
        <v>12</v>
      </c>
      <c r="J1823" s="2" t="s">
        <v>12</v>
      </c>
      <c r="K1823" s="2" t="s">
        <v>12</v>
      </c>
    </row>
    <row r="1824" spans="1:11" ht="12.5" x14ac:dyDescent="0.25">
      <c r="A1824" s="3" t="e">
        <f ca="1"/>
        <v>#NAME?</v>
      </c>
      <c r="B1824" s="2" t="s">
        <v>12</v>
      </c>
      <c r="C1824" s="2" t="s">
        <v>12</v>
      </c>
      <c r="D1824" s="2" t="s">
        <v>12</v>
      </c>
      <c r="E1824" s="2" t="s">
        <v>12</v>
      </c>
      <c r="F1824" s="2" t="s">
        <v>12</v>
      </c>
      <c r="G1824" s="2" t="s">
        <v>12</v>
      </c>
      <c r="H1824" s="2" t="s">
        <v>12</v>
      </c>
      <c r="I1824" s="2" t="s">
        <v>12</v>
      </c>
      <c r="J1824" s="2" t="s">
        <v>12</v>
      </c>
      <c r="K1824" s="2" t="s">
        <v>12</v>
      </c>
    </row>
    <row r="1825" spans="1:11" ht="12.5" x14ac:dyDescent="0.25">
      <c r="A1825" s="3" t="e">
        <f ca="1"/>
        <v>#NAME?</v>
      </c>
      <c r="B1825" s="2" t="s">
        <v>12</v>
      </c>
      <c r="C1825" s="2" t="s">
        <v>12</v>
      </c>
      <c r="D1825" s="2" t="s">
        <v>12</v>
      </c>
      <c r="E1825" s="2" t="s">
        <v>12</v>
      </c>
      <c r="F1825" s="2" t="s">
        <v>12</v>
      </c>
      <c r="G1825" s="2" t="s">
        <v>12</v>
      </c>
      <c r="H1825" s="2" t="s">
        <v>12</v>
      </c>
      <c r="I1825" s="2" t="s">
        <v>12</v>
      </c>
      <c r="J1825" s="2" t="s">
        <v>12</v>
      </c>
      <c r="K1825" s="2" t="s">
        <v>12</v>
      </c>
    </row>
    <row r="1826" spans="1:11" ht="12.5" x14ac:dyDescent="0.25">
      <c r="A1826" s="3" t="e">
        <f ca="1"/>
        <v>#NAME?</v>
      </c>
      <c r="B1826" s="2" t="s">
        <v>12</v>
      </c>
      <c r="C1826" s="2" t="s">
        <v>12</v>
      </c>
      <c r="D1826" s="2" t="s">
        <v>12</v>
      </c>
      <c r="E1826" s="2" t="s">
        <v>12</v>
      </c>
      <c r="F1826" s="2" t="s">
        <v>12</v>
      </c>
      <c r="G1826" s="2" t="s">
        <v>12</v>
      </c>
      <c r="H1826" s="2" t="s">
        <v>12</v>
      </c>
      <c r="I1826" s="2" t="s">
        <v>12</v>
      </c>
      <c r="J1826" s="2" t="s">
        <v>12</v>
      </c>
      <c r="K1826" s="2" t="s">
        <v>12</v>
      </c>
    </row>
    <row r="1827" spans="1:11" ht="12.5" x14ac:dyDescent="0.25">
      <c r="A1827" s="3" t="e">
        <f ca="1"/>
        <v>#NAME?</v>
      </c>
      <c r="B1827" s="2" t="s">
        <v>12</v>
      </c>
      <c r="C1827" s="2" t="s">
        <v>12</v>
      </c>
      <c r="D1827" s="2" t="s">
        <v>12</v>
      </c>
      <c r="E1827" s="2" t="s">
        <v>12</v>
      </c>
      <c r="F1827" s="2" t="s">
        <v>12</v>
      </c>
      <c r="G1827" s="2" t="s">
        <v>12</v>
      </c>
      <c r="H1827" s="2" t="s">
        <v>12</v>
      </c>
      <c r="I1827" s="2" t="s">
        <v>12</v>
      </c>
      <c r="J1827" s="2" t="s">
        <v>12</v>
      </c>
      <c r="K1827" s="2" t="s">
        <v>12</v>
      </c>
    </row>
    <row r="1828" spans="1:11" ht="12.5" x14ac:dyDescent="0.25">
      <c r="A1828" s="3" t="e">
        <f ca="1"/>
        <v>#NAME?</v>
      </c>
      <c r="B1828" s="2" t="s">
        <v>12</v>
      </c>
      <c r="C1828" s="2" t="s">
        <v>12</v>
      </c>
      <c r="D1828" s="2" t="s">
        <v>12</v>
      </c>
      <c r="E1828" s="2" t="s">
        <v>12</v>
      </c>
      <c r="F1828" s="2" t="s">
        <v>12</v>
      </c>
      <c r="G1828" s="2" t="s">
        <v>12</v>
      </c>
      <c r="H1828" s="2" t="s">
        <v>12</v>
      </c>
      <c r="I1828" s="2" t="s">
        <v>12</v>
      </c>
      <c r="J1828" s="2" t="s">
        <v>12</v>
      </c>
      <c r="K1828" s="2" t="s">
        <v>12</v>
      </c>
    </row>
    <row r="1829" spans="1:11" ht="12.5" x14ac:dyDescent="0.25">
      <c r="A1829" s="3" t="e">
        <f ca="1"/>
        <v>#NAME?</v>
      </c>
      <c r="B1829" s="2" t="s">
        <v>12</v>
      </c>
      <c r="C1829" s="2" t="s">
        <v>12</v>
      </c>
      <c r="D1829" s="2" t="s">
        <v>12</v>
      </c>
      <c r="E1829" s="2" t="s">
        <v>12</v>
      </c>
      <c r="F1829" s="2" t="s">
        <v>12</v>
      </c>
      <c r="G1829" s="2" t="s">
        <v>12</v>
      </c>
      <c r="H1829" s="2" t="s">
        <v>12</v>
      </c>
      <c r="I1829" s="2" t="s">
        <v>12</v>
      </c>
      <c r="J1829" s="2" t="s">
        <v>12</v>
      </c>
      <c r="K1829" s="2" t="s">
        <v>12</v>
      </c>
    </row>
    <row r="1830" spans="1:11" ht="12.5" x14ac:dyDescent="0.25">
      <c r="A1830" s="3" t="e">
        <f ca="1"/>
        <v>#NAME?</v>
      </c>
      <c r="B1830" s="2" t="s">
        <v>12</v>
      </c>
      <c r="C1830" s="2" t="s">
        <v>12</v>
      </c>
      <c r="D1830" s="2" t="s">
        <v>12</v>
      </c>
      <c r="E1830" s="2" t="s">
        <v>12</v>
      </c>
      <c r="F1830" s="2" t="s">
        <v>12</v>
      </c>
      <c r="G1830" s="2" t="s">
        <v>12</v>
      </c>
      <c r="H1830" s="2" t="s">
        <v>12</v>
      </c>
      <c r="I1830" s="2" t="s">
        <v>12</v>
      </c>
      <c r="J1830" s="2" t="s">
        <v>12</v>
      </c>
      <c r="K1830" s="2" t="s">
        <v>12</v>
      </c>
    </row>
    <row r="1831" spans="1:11" ht="12.5" x14ac:dyDescent="0.25">
      <c r="A1831" s="3" t="e">
        <f ca="1"/>
        <v>#NAME?</v>
      </c>
      <c r="B1831" s="2" t="s">
        <v>12</v>
      </c>
      <c r="C1831" s="2" t="s">
        <v>12</v>
      </c>
      <c r="D1831" s="2" t="s">
        <v>12</v>
      </c>
      <c r="E1831" s="2" t="s">
        <v>12</v>
      </c>
      <c r="F1831" s="2" t="s">
        <v>12</v>
      </c>
      <c r="G1831" s="2" t="s">
        <v>12</v>
      </c>
      <c r="H1831" s="2" t="s">
        <v>12</v>
      </c>
      <c r="I1831" s="2" t="s">
        <v>12</v>
      </c>
      <c r="J1831" s="2" t="s">
        <v>12</v>
      </c>
      <c r="K1831" s="2" t="s">
        <v>12</v>
      </c>
    </row>
    <row r="1832" spans="1:11" ht="12.5" x14ac:dyDescent="0.25">
      <c r="A1832" s="3" t="e">
        <f ca="1"/>
        <v>#NAME?</v>
      </c>
      <c r="B1832" s="2" t="s">
        <v>12</v>
      </c>
      <c r="C1832" s="2" t="s">
        <v>12</v>
      </c>
      <c r="D1832" s="2" t="s">
        <v>12</v>
      </c>
      <c r="E1832" s="2" t="s">
        <v>12</v>
      </c>
      <c r="F1832" s="2" t="s">
        <v>12</v>
      </c>
      <c r="G1832" s="2" t="s">
        <v>12</v>
      </c>
      <c r="H1832" s="2" t="s">
        <v>12</v>
      </c>
      <c r="I1832" s="2" t="s">
        <v>12</v>
      </c>
      <c r="J1832" s="2" t="s">
        <v>12</v>
      </c>
      <c r="K1832" s="2" t="s">
        <v>12</v>
      </c>
    </row>
    <row r="1833" spans="1:11" ht="12.5" x14ac:dyDescent="0.25">
      <c r="A1833" s="3" t="e">
        <f ca="1"/>
        <v>#NAME?</v>
      </c>
      <c r="B1833" s="2" t="s">
        <v>12</v>
      </c>
      <c r="C1833" s="2" t="s">
        <v>12</v>
      </c>
      <c r="D1833" s="2" t="s">
        <v>12</v>
      </c>
      <c r="E1833" s="2" t="s">
        <v>12</v>
      </c>
      <c r="F1833" s="2" t="s">
        <v>12</v>
      </c>
      <c r="G1833" s="2" t="s">
        <v>12</v>
      </c>
      <c r="H1833" s="2" t="s">
        <v>12</v>
      </c>
      <c r="I1833" s="2" t="s">
        <v>12</v>
      </c>
      <c r="J1833" s="2" t="s">
        <v>12</v>
      </c>
      <c r="K1833" s="2" t="s">
        <v>12</v>
      </c>
    </row>
    <row r="1834" spans="1:11" ht="12.5" x14ac:dyDescent="0.25">
      <c r="A1834" s="3" t="e">
        <f ca="1"/>
        <v>#NAME?</v>
      </c>
      <c r="B1834" s="2" t="s">
        <v>12</v>
      </c>
      <c r="C1834" s="2" t="s">
        <v>12</v>
      </c>
      <c r="D1834" s="2" t="s">
        <v>12</v>
      </c>
      <c r="E1834" s="2" t="s">
        <v>12</v>
      </c>
      <c r="F1834" s="2" t="s">
        <v>12</v>
      </c>
      <c r="G1834" s="2" t="s">
        <v>12</v>
      </c>
      <c r="H1834" s="2" t="s">
        <v>12</v>
      </c>
      <c r="I1834" s="2" t="s">
        <v>12</v>
      </c>
      <c r="J1834" s="2" t="s">
        <v>12</v>
      </c>
      <c r="K1834" s="2" t="s">
        <v>12</v>
      </c>
    </row>
    <row r="1835" spans="1:11" ht="12.5" x14ac:dyDescent="0.25">
      <c r="A1835" s="3" t="e">
        <f ca="1"/>
        <v>#NAME?</v>
      </c>
      <c r="B1835" s="2" t="s">
        <v>12</v>
      </c>
      <c r="C1835" s="2" t="s">
        <v>12</v>
      </c>
      <c r="D1835" s="2" t="s">
        <v>12</v>
      </c>
      <c r="E1835" s="2" t="s">
        <v>12</v>
      </c>
      <c r="F1835" s="2" t="s">
        <v>12</v>
      </c>
      <c r="G1835" s="2" t="s">
        <v>12</v>
      </c>
      <c r="H1835" s="2" t="s">
        <v>12</v>
      </c>
      <c r="I1835" s="2" t="s">
        <v>12</v>
      </c>
      <c r="J1835" s="2" t="s">
        <v>12</v>
      </c>
      <c r="K1835" s="2" t="s">
        <v>12</v>
      </c>
    </row>
    <row r="1836" spans="1:11" ht="12.5" x14ac:dyDescent="0.25">
      <c r="A1836" s="3" t="e">
        <f ca="1"/>
        <v>#NAME?</v>
      </c>
      <c r="B1836" s="2" t="s">
        <v>12</v>
      </c>
      <c r="C1836" s="2" t="s">
        <v>12</v>
      </c>
      <c r="D1836" s="2" t="s">
        <v>12</v>
      </c>
      <c r="E1836" s="2" t="s">
        <v>12</v>
      </c>
      <c r="F1836" s="2" t="s">
        <v>12</v>
      </c>
      <c r="G1836" s="2" t="s">
        <v>12</v>
      </c>
      <c r="H1836" s="2" t="s">
        <v>12</v>
      </c>
      <c r="I1836" s="2" t="s">
        <v>12</v>
      </c>
      <c r="J1836" s="2" t="s">
        <v>12</v>
      </c>
      <c r="K1836" s="2" t="s">
        <v>12</v>
      </c>
    </row>
    <row r="1837" spans="1:11" ht="12.5" x14ac:dyDescent="0.25">
      <c r="A1837" s="3" t="e">
        <f ca="1"/>
        <v>#NAME?</v>
      </c>
      <c r="B1837" s="2" t="s">
        <v>12</v>
      </c>
      <c r="C1837" s="2" t="s">
        <v>12</v>
      </c>
      <c r="D1837" s="2" t="s">
        <v>12</v>
      </c>
      <c r="E1837" s="2" t="s">
        <v>12</v>
      </c>
      <c r="F1837" s="2" t="s">
        <v>12</v>
      </c>
      <c r="G1837" s="2" t="s">
        <v>12</v>
      </c>
      <c r="H1837" s="2" t="s">
        <v>12</v>
      </c>
      <c r="I1837" s="2" t="s">
        <v>12</v>
      </c>
      <c r="J1837" s="2" t="s">
        <v>12</v>
      </c>
      <c r="K1837" s="2" t="s">
        <v>12</v>
      </c>
    </row>
    <row r="1838" spans="1:11" ht="12.5" x14ac:dyDescent="0.25">
      <c r="A1838" s="3" t="e">
        <f ca="1"/>
        <v>#NAME?</v>
      </c>
      <c r="B1838" s="2" t="s">
        <v>12</v>
      </c>
      <c r="C1838" s="2" t="s">
        <v>12</v>
      </c>
      <c r="D1838" s="2" t="s">
        <v>12</v>
      </c>
      <c r="E1838" s="2" t="s">
        <v>12</v>
      </c>
      <c r="F1838" s="2" t="s">
        <v>12</v>
      </c>
      <c r="G1838" s="2" t="s">
        <v>12</v>
      </c>
      <c r="H1838" s="2" t="s">
        <v>12</v>
      </c>
      <c r="I1838" s="2" t="s">
        <v>12</v>
      </c>
      <c r="J1838" s="2" t="s">
        <v>12</v>
      </c>
      <c r="K1838" s="2" t="s">
        <v>12</v>
      </c>
    </row>
    <row r="1839" spans="1:11" ht="12.5" x14ac:dyDescent="0.25">
      <c r="A1839" s="3" t="e">
        <f ca="1"/>
        <v>#NAME?</v>
      </c>
      <c r="B1839" s="2" t="s">
        <v>12</v>
      </c>
      <c r="C1839" s="2" t="s">
        <v>12</v>
      </c>
      <c r="D1839" s="2" t="s">
        <v>12</v>
      </c>
      <c r="E1839" s="2" t="s">
        <v>12</v>
      </c>
      <c r="F1839" s="2" t="s">
        <v>12</v>
      </c>
      <c r="G1839" s="2" t="s">
        <v>12</v>
      </c>
      <c r="H1839" s="2" t="s">
        <v>12</v>
      </c>
      <c r="I1839" s="2" t="s">
        <v>12</v>
      </c>
      <c r="J1839" s="2" t="s">
        <v>12</v>
      </c>
      <c r="K1839" s="2" t="s">
        <v>12</v>
      </c>
    </row>
    <row r="1840" spans="1:11" ht="12.5" x14ac:dyDescent="0.25">
      <c r="A1840" s="3" t="e">
        <f ca="1"/>
        <v>#NAME?</v>
      </c>
      <c r="B1840" s="2" t="s">
        <v>12</v>
      </c>
      <c r="C1840" s="2" t="s">
        <v>12</v>
      </c>
      <c r="D1840" s="2" t="s">
        <v>12</v>
      </c>
      <c r="E1840" s="2" t="s">
        <v>12</v>
      </c>
      <c r="F1840" s="2" t="s">
        <v>12</v>
      </c>
      <c r="G1840" s="2" t="s">
        <v>12</v>
      </c>
      <c r="H1840" s="2" t="s">
        <v>12</v>
      </c>
      <c r="I1840" s="2" t="s">
        <v>12</v>
      </c>
      <c r="J1840" s="2" t="s">
        <v>12</v>
      </c>
      <c r="K1840" s="2" t="s">
        <v>12</v>
      </c>
    </row>
    <row r="1841" spans="1:11" ht="12.5" x14ac:dyDescent="0.25">
      <c r="A1841" s="3" t="e">
        <f ca="1"/>
        <v>#NAME?</v>
      </c>
      <c r="B1841" s="2" t="s">
        <v>12</v>
      </c>
      <c r="C1841" s="2" t="s">
        <v>12</v>
      </c>
      <c r="D1841" s="2" t="s">
        <v>12</v>
      </c>
      <c r="E1841" s="2" t="s">
        <v>12</v>
      </c>
      <c r="F1841" s="2" t="s">
        <v>12</v>
      </c>
      <c r="G1841" s="2" t="s">
        <v>12</v>
      </c>
      <c r="H1841" s="2" t="s">
        <v>12</v>
      </c>
      <c r="I1841" s="2" t="s">
        <v>12</v>
      </c>
      <c r="J1841" s="2" t="s">
        <v>12</v>
      </c>
      <c r="K1841" s="2" t="s">
        <v>12</v>
      </c>
    </row>
    <row r="1842" spans="1:11" ht="12.5" x14ac:dyDescent="0.25">
      <c r="A1842" s="3" t="e">
        <f ca="1"/>
        <v>#NAME?</v>
      </c>
      <c r="B1842" s="2" t="s">
        <v>12</v>
      </c>
      <c r="C1842" s="2" t="s">
        <v>12</v>
      </c>
      <c r="D1842" s="2" t="s">
        <v>12</v>
      </c>
      <c r="E1842" s="2" t="s">
        <v>12</v>
      </c>
      <c r="F1842" s="2" t="s">
        <v>12</v>
      </c>
      <c r="G1842" s="2" t="s">
        <v>12</v>
      </c>
      <c r="H1842" s="2" t="s">
        <v>12</v>
      </c>
      <c r="I1842" s="2" t="s">
        <v>12</v>
      </c>
      <c r="J1842" s="2" t="s">
        <v>12</v>
      </c>
      <c r="K1842" s="2" t="s">
        <v>12</v>
      </c>
    </row>
    <row r="1843" spans="1:11" ht="12.5" x14ac:dyDescent="0.25">
      <c r="A1843" s="3" t="e">
        <f ca="1"/>
        <v>#NAME?</v>
      </c>
      <c r="B1843" s="2" t="s">
        <v>12</v>
      </c>
      <c r="C1843" s="2" t="s">
        <v>12</v>
      </c>
      <c r="D1843" s="2" t="s">
        <v>12</v>
      </c>
      <c r="E1843" s="2" t="s">
        <v>12</v>
      </c>
      <c r="F1843" s="2" t="s">
        <v>12</v>
      </c>
      <c r="G1843" s="2" t="s">
        <v>12</v>
      </c>
      <c r="H1843" s="2" t="s">
        <v>12</v>
      </c>
      <c r="I1843" s="2" t="s">
        <v>12</v>
      </c>
      <c r="J1843" s="2" t="s">
        <v>12</v>
      </c>
      <c r="K1843" s="2" t="s">
        <v>12</v>
      </c>
    </row>
    <row r="1844" spans="1:11" ht="12.5" x14ac:dyDescent="0.25">
      <c r="A1844" s="3" t="e">
        <f ca="1"/>
        <v>#NAME?</v>
      </c>
      <c r="B1844" s="2" t="s">
        <v>12</v>
      </c>
      <c r="C1844" s="2" t="s">
        <v>12</v>
      </c>
      <c r="D1844" s="2" t="s">
        <v>12</v>
      </c>
      <c r="E1844" s="2" t="s">
        <v>12</v>
      </c>
      <c r="F1844" s="2" t="s">
        <v>12</v>
      </c>
      <c r="G1844" s="2" t="s">
        <v>12</v>
      </c>
      <c r="H1844" s="2" t="s">
        <v>12</v>
      </c>
      <c r="I1844" s="2" t="s">
        <v>12</v>
      </c>
      <c r="J1844" s="2" t="s">
        <v>12</v>
      </c>
      <c r="K1844" s="2" t="s">
        <v>12</v>
      </c>
    </row>
    <row r="1845" spans="1:11" ht="12.5" x14ac:dyDescent="0.25">
      <c r="A1845" s="3" t="e">
        <f ca="1"/>
        <v>#NAME?</v>
      </c>
      <c r="B1845" s="2" t="s">
        <v>12</v>
      </c>
      <c r="C1845" s="2" t="s">
        <v>12</v>
      </c>
      <c r="D1845" s="2" t="s">
        <v>12</v>
      </c>
      <c r="E1845" s="2" t="s">
        <v>12</v>
      </c>
      <c r="F1845" s="2" t="s">
        <v>12</v>
      </c>
      <c r="G1845" s="2" t="s">
        <v>12</v>
      </c>
      <c r="H1845" s="2" t="s">
        <v>12</v>
      </c>
      <c r="I1845" s="2" t="s">
        <v>12</v>
      </c>
      <c r="J1845" s="2" t="s">
        <v>12</v>
      </c>
      <c r="K1845" s="2" t="s">
        <v>12</v>
      </c>
    </row>
    <row r="1846" spans="1:11" ht="12.5" x14ac:dyDescent="0.25">
      <c r="A1846" s="3" t="e">
        <f ca="1"/>
        <v>#NAME?</v>
      </c>
      <c r="B1846" s="2" t="s">
        <v>12</v>
      </c>
      <c r="C1846" s="2" t="s">
        <v>12</v>
      </c>
      <c r="D1846" s="2" t="s">
        <v>12</v>
      </c>
      <c r="E1846" s="2" t="s">
        <v>12</v>
      </c>
      <c r="F1846" s="2" t="s">
        <v>12</v>
      </c>
      <c r="G1846" s="2" t="s">
        <v>12</v>
      </c>
      <c r="H1846" s="2" t="s">
        <v>12</v>
      </c>
      <c r="I1846" s="2" t="s">
        <v>12</v>
      </c>
      <c r="J1846" s="2" t="s">
        <v>12</v>
      </c>
      <c r="K1846" s="2" t="s">
        <v>12</v>
      </c>
    </row>
    <row r="1847" spans="1:11" ht="12.5" x14ac:dyDescent="0.25">
      <c r="A1847" s="3" t="e">
        <f ca="1"/>
        <v>#NAME?</v>
      </c>
      <c r="B1847" s="2" t="s">
        <v>12</v>
      </c>
      <c r="C1847" s="2" t="s">
        <v>12</v>
      </c>
      <c r="D1847" s="2" t="s">
        <v>12</v>
      </c>
      <c r="E1847" s="2" t="s">
        <v>12</v>
      </c>
      <c r="F1847" s="2" t="s">
        <v>12</v>
      </c>
      <c r="G1847" s="2" t="s">
        <v>12</v>
      </c>
      <c r="H1847" s="2" t="s">
        <v>12</v>
      </c>
      <c r="I1847" s="2" t="s">
        <v>12</v>
      </c>
      <c r="J1847" s="2" t="s">
        <v>12</v>
      </c>
      <c r="K1847" s="2" t="s">
        <v>12</v>
      </c>
    </row>
    <row r="1848" spans="1:11" ht="12.5" x14ac:dyDescent="0.25">
      <c r="A1848" s="3" t="e">
        <f ca="1"/>
        <v>#NAME?</v>
      </c>
      <c r="B1848" s="2" t="s">
        <v>12</v>
      </c>
      <c r="C1848" s="2" t="s">
        <v>12</v>
      </c>
      <c r="D1848" s="2" t="s">
        <v>12</v>
      </c>
      <c r="E1848" s="2" t="s">
        <v>12</v>
      </c>
      <c r="F1848" s="2" t="s">
        <v>12</v>
      </c>
      <c r="G1848" s="2" t="s">
        <v>12</v>
      </c>
      <c r="H1848" s="2" t="s">
        <v>12</v>
      </c>
      <c r="I1848" s="2" t="s">
        <v>12</v>
      </c>
      <c r="J1848" s="2" t="s">
        <v>12</v>
      </c>
      <c r="K1848" s="2" t="s">
        <v>12</v>
      </c>
    </row>
    <row r="1849" spans="1:11" ht="12.5" x14ac:dyDescent="0.25">
      <c r="A1849" s="3" t="e">
        <f ca="1"/>
        <v>#NAME?</v>
      </c>
      <c r="B1849" s="2" t="s">
        <v>12</v>
      </c>
      <c r="C1849" s="2" t="s">
        <v>12</v>
      </c>
      <c r="D1849" s="2" t="s">
        <v>12</v>
      </c>
      <c r="E1849" s="2" t="s">
        <v>12</v>
      </c>
      <c r="F1849" s="2" t="s">
        <v>12</v>
      </c>
      <c r="G1849" s="2" t="s">
        <v>12</v>
      </c>
      <c r="H1849" s="2" t="s">
        <v>12</v>
      </c>
      <c r="I1849" s="2" t="s">
        <v>12</v>
      </c>
      <c r="J1849" s="2" t="s">
        <v>12</v>
      </c>
      <c r="K1849" s="2" t="s">
        <v>12</v>
      </c>
    </row>
    <row r="1850" spans="1:11" ht="12.5" x14ac:dyDescent="0.25">
      <c r="A1850" s="3" t="e">
        <f ca="1"/>
        <v>#NAME?</v>
      </c>
      <c r="B1850" s="2" t="s">
        <v>12</v>
      </c>
      <c r="C1850" s="2" t="s">
        <v>12</v>
      </c>
      <c r="D1850" s="2" t="s">
        <v>12</v>
      </c>
      <c r="E1850" s="2" t="s">
        <v>12</v>
      </c>
      <c r="F1850" s="2" t="s">
        <v>12</v>
      </c>
      <c r="G1850" s="2" t="s">
        <v>12</v>
      </c>
      <c r="H1850" s="2" t="s">
        <v>12</v>
      </c>
      <c r="I1850" s="2" t="s">
        <v>12</v>
      </c>
      <c r="J1850" s="2" t="s">
        <v>12</v>
      </c>
      <c r="K1850" s="2" t="s">
        <v>12</v>
      </c>
    </row>
    <row r="1851" spans="1:11" ht="12.5" x14ac:dyDescent="0.25">
      <c r="A1851" s="3" t="e">
        <f ca="1"/>
        <v>#NAME?</v>
      </c>
      <c r="B1851" s="2" t="s">
        <v>12</v>
      </c>
      <c r="C1851" s="2" t="s">
        <v>12</v>
      </c>
      <c r="D1851" s="2" t="s">
        <v>12</v>
      </c>
      <c r="E1851" s="2" t="s">
        <v>12</v>
      </c>
      <c r="F1851" s="2" t="s">
        <v>12</v>
      </c>
      <c r="G1851" s="2" t="s">
        <v>12</v>
      </c>
      <c r="H1851" s="2" t="s">
        <v>12</v>
      </c>
      <c r="I1851" s="2" t="s">
        <v>12</v>
      </c>
      <c r="J1851" s="2" t="s">
        <v>12</v>
      </c>
      <c r="K1851" s="2" t="s">
        <v>12</v>
      </c>
    </row>
    <row r="1852" spans="1:11" ht="12.5" x14ac:dyDescent="0.25">
      <c r="A1852" s="3" t="e">
        <f ca="1"/>
        <v>#NAME?</v>
      </c>
      <c r="B1852" s="2" t="s">
        <v>12</v>
      </c>
      <c r="C1852" s="2" t="s">
        <v>12</v>
      </c>
      <c r="D1852" s="2" t="s">
        <v>12</v>
      </c>
      <c r="E1852" s="2" t="s">
        <v>12</v>
      </c>
      <c r="F1852" s="2" t="s">
        <v>12</v>
      </c>
      <c r="G1852" s="2" t="s">
        <v>12</v>
      </c>
      <c r="H1852" s="2" t="s">
        <v>12</v>
      </c>
      <c r="I1852" s="2" t="s">
        <v>12</v>
      </c>
      <c r="J1852" s="2" t="s">
        <v>12</v>
      </c>
      <c r="K1852" s="2" t="s">
        <v>12</v>
      </c>
    </row>
    <row r="1853" spans="1:11" ht="12.5" x14ac:dyDescent="0.25">
      <c r="A1853" s="3" t="e">
        <f ca="1"/>
        <v>#NAME?</v>
      </c>
      <c r="B1853" s="2" t="s">
        <v>12</v>
      </c>
      <c r="C1853" s="2" t="s">
        <v>12</v>
      </c>
      <c r="D1853" s="2" t="s">
        <v>12</v>
      </c>
      <c r="E1853" s="2" t="s">
        <v>12</v>
      </c>
      <c r="F1853" s="2" t="s">
        <v>12</v>
      </c>
      <c r="G1853" s="2" t="s">
        <v>12</v>
      </c>
      <c r="H1853" s="2" t="s">
        <v>12</v>
      </c>
      <c r="I1853" s="2" t="s">
        <v>12</v>
      </c>
      <c r="J1853" s="2" t="s">
        <v>12</v>
      </c>
      <c r="K1853" s="2" t="s">
        <v>12</v>
      </c>
    </row>
    <row r="1854" spans="1:11" ht="12.5" x14ac:dyDescent="0.25">
      <c r="A1854" s="3" t="e">
        <f ca="1"/>
        <v>#NAME?</v>
      </c>
      <c r="B1854" s="2" t="s">
        <v>12</v>
      </c>
      <c r="C1854" s="2" t="s">
        <v>12</v>
      </c>
      <c r="D1854" s="2" t="s">
        <v>12</v>
      </c>
      <c r="E1854" s="2" t="s">
        <v>12</v>
      </c>
      <c r="F1854" s="2" t="s">
        <v>12</v>
      </c>
      <c r="G1854" s="2" t="s">
        <v>12</v>
      </c>
      <c r="H1854" s="2" t="s">
        <v>12</v>
      </c>
      <c r="I1854" s="2" t="s">
        <v>12</v>
      </c>
      <c r="J1854" s="2" t="s">
        <v>12</v>
      </c>
      <c r="K1854" s="2" t="s">
        <v>12</v>
      </c>
    </row>
    <row r="1855" spans="1:11" ht="12.5" x14ac:dyDescent="0.25">
      <c r="A1855" s="3" t="e">
        <f ca="1"/>
        <v>#NAME?</v>
      </c>
      <c r="B1855" s="2" t="s">
        <v>12</v>
      </c>
      <c r="C1855" s="2" t="s">
        <v>12</v>
      </c>
      <c r="D1855" s="2" t="s">
        <v>12</v>
      </c>
      <c r="E1855" s="2" t="s">
        <v>12</v>
      </c>
      <c r="F1855" s="2" t="s">
        <v>12</v>
      </c>
      <c r="G1855" s="2" t="s">
        <v>12</v>
      </c>
      <c r="H1855" s="2" t="s">
        <v>12</v>
      </c>
      <c r="I1855" s="2" t="s">
        <v>12</v>
      </c>
      <c r="J1855" s="2" t="s">
        <v>12</v>
      </c>
      <c r="K1855" s="2" t="s">
        <v>12</v>
      </c>
    </row>
    <row r="1856" spans="1:11" ht="12.5" x14ac:dyDescent="0.25">
      <c r="A1856" s="3" t="e">
        <f ca="1"/>
        <v>#NAME?</v>
      </c>
      <c r="B1856" s="2" t="s">
        <v>12</v>
      </c>
      <c r="C1856" s="2" t="s">
        <v>12</v>
      </c>
      <c r="D1856" s="2" t="s">
        <v>12</v>
      </c>
      <c r="E1856" s="2" t="s">
        <v>12</v>
      </c>
      <c r="F1856" s="2" t="s">
        <v>12</v>
      </c>
      <c r="G1856" s="2" t="s">
        <v>12</v>
      </c>
      <c r="H1856" s="2" t="s">
        <v>12</v>
      </c>
      <c r="I1856" s="2" t="s">
        <v>12</v>
      </c>
      <c r="J1856" s="2" t="s">
        <v>12</v>
      </c>
      <c r="K1856" s="2" t="s">
        <v>12</v>
      </c>
    </row>
    <row r="1857" spans="1:11" ht="12.5" x14ac:dyDescent="0.25">
      <c r="A1857" s="3" t="e">
        <f ca="1"/>
        <v>#NAME?</v>
      </c>
      <c r="B1857" s="2" t="s">
        <v>12</v>
      </c>
      <c r="C1857" s="2" t="s">
        <v>12</v>
      </c>
      <c r="D1857" s="2" t="s">
        <v>12</v>
      </c>
      <c r="E1857" s="2" t="s">
        <v>12</v>
      </c>
      <c r="F1857" s="2" t="s">
        <v>12</v>
      </c>
      <c r="G1857" s="2" t="s">
        <v>12</v>
      </c>
      <c r="H1857" s="2" t="s">
        <v>12</v>
      </c>
      <c r="I1857" s="2" t="s">
        <v>12</v>
      </c>
      <c r="J1857" s="2" t="s">
        <v>12</v>
      </c>
      <c r="K1857" s="2" t="s">
        <v>12</v>
      </c>
    </row>
    <row r="1858" spans="1:11" ht="12.5" x14ac:dyDescent="0.25">
      <c r="A1858" s="3" t="e">
        <f ca="1"/>
        <v>#NAME?</v>
      </c>
      <c r="B1858" s="2" t="s">
        <v>12</v>
      </c>
      <c r="C1858" s="2" t="s">
        <v>12</v>
      </c>
      <c r="D1858" s="2" t="s">
        <v>12</v>
      </c>
      <c r="E1858" s="2" t="s">
        <v>12</v>
      </c>
      <c r="F1858" s="2" t="s">
        <v>12</v>
      </c>
      <c r="G1858" s="2" t="s">
        <v>12</v>
      </c>
      <c r="H1858" s="2" t="s">
        <v>12</v>
      </c>
      <c r="I1858" s="2" t="s">
        <v>12</v>
      </c>
      <c r="J1858" s="2" t="s">
        <v>12</v>
      </c>
      <c r="K1858" s="2" t="s">
        <v>12</v>
      </c>
    </row>
    <row r="1859" spans="1:11" ht="12.5" x14ac:dyDescent="0.25">
      <c r="A1859" s="3" t="e">
        <f ca="1"/>
        <v>#NAME?</v>
      </c>
      <c r="B1859" s="2" t="s">
        <v>12</v>
      </c>
      <c r="C1859" s="2" t="s">
        <v>12</v>
      </c>
      <c r="D1859" s="2" t="s">
        <v>12</v>
      </c>
      <c r="E1859" s="2" t="s">
        <v>12</v>
      </c>
      <c r="F1859" s="2" t="s">
        <v>12</v>
      </c>
      <c r="G1859" s="2" t="s">
        <v>12</v>
      </c>
      <c r="H1859" s="2" t="s">
        <v>12</v>
      </c>
      <c r="I1859" s="2" t="s">
        <v>12</v>
      </c>
      <c r="J1859" s="2" t="s">
        <v>12</v>
      </c>
      <c r="K1859" s="2" t="s">
        <v>12</v>
      </c>
    </row>
    <row r="1860" spans="1:11" ht="12.5" x14ac:dyDescent="0.25">
      <c r="A1860" s="3" t="e">
        <f ca="1"/>
        <v>#NAME?</v>
      </c>
      <c r="B1860" s="2" t="s">
        <v>12</v>
      </c>
      <c r="C1860" s="2" t="s">
        <v>12</v>
      </c>
      <c r="D1860" s="2" t="s">
        <v>12</v>
      </c>
      <c r="E1860" s="2" t="s">
        <v>12</v>
      </c>
      <c r="F1860" s="2" t="s">
        <v>12</v>
      </c>
      <c r="G1860" s="2" t="s">
        <v>12</v>
      </c>
      <c r="H1860" s="2" t="s">
        <v>12</v>
      </c>
      <c r="I1860" s="2" t="s">
        <v>12</v>
      </c>
      <c r="J1860" s="2" t="s">
        <v>12</v>
      </c>
      <c r="K1860" s="2" t="s">
        <v>12</v>
      </c>
    </row>
    <row r="1861" spans="1:11" ht="12.5" x14ac:dyDescent="0.25">
      <c r="A1861" s="3" t="e">
        <f ca="1"/>
        <v>#NAME?</v>
      </c>
      <c r="B1861" s="2" t="s">
        <v>12</v>
      </c>
      <c r="C1861" s="2" t="s">
        <v>12</v>
      </c>
      <c r="D1861" s="2" t="s">
        <v>12</v>
      </c>
      <c r="E1861" s="2" t="s">
        <v>12</v>
      </c>
      <c r="F1861" s="2" t="s">
        <v>12</v>
      </c>
      <c r="G1861" s="2" t="s">
        <v>12</v>
      </c>
      <c r="H1861" s="2" t="s">
        <v>12</v>
      </c>
      <c r="I1861" s="2" t="s">
        <v>12</v>
      </c>
      <c r="J1861" s="2" t="s">
        <v>12</v>
      </c>
      <c r="K1861" s="2" t="s">
        <v>12</v>
      </c>
    </row>
    <row r="1862" spans="1:11" ht="12.5" x14ac:dyDescent="0.25">
      <c r="A1862" s="3" t="e">
        <f ca="1"/>
        <v>#NAME?</v>
      </c>
      <c r="B1862" s="2" t="s">
        <v>12</v>
      </c>
      <c r="C1862" s="2" t="s">
        <v>12</v>
      </c>
      <c r="D1862" s="2" t="s">
        <v>12</v>
      </c>
      <c r="E1862" s="2" t="s">
        <v>12</v>
      </c>
      <c r="F1862" s="2" t="s">
        <v>12</v>
      </c>
      <c r="G1862" s="2" t="s">
        <v>12</v>
      </c>
      <c r="H1862" s="2" t="s">
        <v>12</v>
      </c>
      <c r="I1862" s="2" t="s">
        <v>12</v>
      </c>
      <c r="J1862" s="2" t="s">
        <v>12</v>
      </c>
      <c r="K1862" s="2" t="s">
        <v>12</v>
      </c>
    </row>
    <row r="1863" spans="1:11" ht="12.5" x14ac:dyDescent="0.25">
      <c r="A1863" s="3" t="e">
        <f ca="1"/>
        <v>#NAME?</v>
      </c>
      <c r="B1863" s="2" t="s">
        <v>12</v>
      </c>
      <c r="C1863" s="2" t="s">
        <v>12</v>
      </c>
      <c r="D1863" s="2" t="s">
        <v>12</v>
      </c>
      <c r="E1863" s="2" t="s">
        <v>12</v>
      </c>
      <c r="F1863" s="2" t="s">
        <v>12</v>
      </c>
      <c r="G1863" s="2" t="s">
        <v>12</v>
      </c>
      <c r="H1863" s="2" t="s">
        <v>12</v>
      </c>
      <c r="I1863" s="2" t="s">
        <v>12</v>
      </c>
      <c r="J1863" s="2" t="s">
        <v>12</v>
      </c>
      <c r="K1863" s="2" t="s">
        <v>12</v>
      </c>
    </row>
    <row r="1864" spans="1:11" ht="12.5" x14ac:dyDescent="0.25">
      <c r="A1864" s="3" t="e">
        <f ca="1"/>
        <v>#NAME?</v>
      </c>
      <c r="B1864" s="2" t="s">
        <v>12</v>
      </c>
      <c r="C1864" s="2" t="s">
        <v>12</v>
      </c>
      <c r="D1864" s="2" t="s">
        <v>12</v>
      </c>
      <c r="E1864" s="2" t="s">
        <v>12</v>
      </c>
      <c r="F1864" s="2" t="s">
        <v>12</v>
      </c>
      <c r="G1864" s="2" t="s">
        <v>12</v>
      </c>
      <c r="H1864" s="2" t="s">
        <v>12</v>
      </c>
      <c r="I1864" s="2" t="s">
        <v>12</v>
      </c>
      <c r="J1864" s="2" t="s">
        <v>12</v>
      </c>
      <c r="K1864" s="2" t="s">
        <v>12</v>
      </c>
    </row>
    <row r="1865" spans="1:11" ht="12.5" x14ac:dyDescent="0.25">
      <c r="A1865" s="3" t="e">
        <f ca="1"/>
        <v>#NAME?</v>
      </c>
      <c r="B1865" s="2" t="s">
        <v>12</v>
      </c>
      <c r="C1865" s="2" t="s">
        <v>12</v>
      </c>
      <c r="D1865" s="2" t="s">
        <v>12</v>
      </c>
      <c r="E1865" s="2" t="s">
        <v>12</v>
      </c>
      <c r="F1865" s="2" t="s">
        <v>12</v>
      </c>
      <c r="G1865" s="2" t="s">
        <v>12</v>
      </c>
      <c r="H1865" s="2" t="s">
        <v>12</v>
      </c>
      <c r="I1865" s="2" t="s">
        <v>12</v>
      </c>
      <c r="J1865" s="2" t="s">
        <v>12</v>
      </c>
      <c r="K1865" s="2" t="s">
        <v>12</v>
      </c>
    </row>
    <row r="1866" spans="1:11" ht="12.5" x14ac:dyDescent="0.25">
      <c r="A1866" s="3" t="e">
        <f ca="1"/>
        <v>#NAME?</v>
      </c>
      <c r="B1866" s="2" t="s">
        <v>12</v>
      </c>
      <c r="C1866" s="2" t="s">
        <v>12</v>
      </c>
      <c r="D1866" s="2" t="s">
        <v>12</v>
      </c>
      <c r="E1866" s="2" t="s">
        <v>12</v>
      </c>
      <c r="F1866" s="2" t="s">
        <v>12</v>
      </c>
      <c r="G1866" s="2" t="s">
        <v>12</v>
      </c>
      <c r="H1866" s="2" t="s">
        <v>12</v>
      </c>
      <c r="I1866" s="2" t="s">
        <v>12</v>
      </c>
      <c r="J1866" s="2" t="s">
        <v>12</v>
      </c>
      <c r="K1866" s="2" t="s">
        <v>12</v>
      </c>
    </row>
    <row r="1867" spans="1:11" ht="12.5" x14ac:dyDescent="0.25">
      <c r="A1867" s="3" t="e">
        <f ca="1"/>
        <v>#NAME?</v>
      </c>
      <c r="B1867" s="2" t="s">
        <v>12</v>
      </c>
      <c r="C1867" s="2" t="s">
        <v>12</v>
      </c>
      <c r="D1867" s="2" t="s">
        <v>12</v>
      </c>
      <c r="E1867" s="2" t="s">
        <v>12</v>
      </c>
      <c r="F1867" s="2" t="s">
        <v>12</v>
      </c>
      <c r="G1867" s="2" t="s">
        <v>12</v>
      </c>
      <c r="H1867" s="2" t="s">
        <v>12</v>
      </c>
      <c r="I1867" s="2" t="s">
        <v>12</v>
      </c>
      <c r="J1867" s="2" t="s">
        <v>12</v>
      </c>
      <c r="K1867" s="2" t="s">
        <v>12</v>
      </c>
    </row>
    <row r="1868" spans="1:11" ht="12.5" x14ac:dyDescent="0.25">
      <c r="A1868" s="3" t="e">
        <f ca="1"/>
        <v>#NAME?</v>
      </c>
      <c r="B1868" s="2" t="s">
        <v>12</v>
      </c>
      <c r="C1868" s="2" t="s">
        <v>12</v>
      </c>
      <c r="D1868" s="2" t="s">
        <v>12</v>
      </c>
      <c r="E1868" s="2" t="s">
        <v>12</v>
      </c>
      <c r="F1868" s="2" t="s">
        <v>12</v>
      </c>
      <c r="G1868" s="2" t="s">
        <v>12</v>
      </c>
      <c r="H1868" s="2" t="s">
        <v>12</v>
      </c>
      <c r="I1868" s="2" t="s">
        <v>12</v>
      </c>
      <c r="J1868" s="2" t="s">
        <v>12</v>
      </c>
      <c r="K1868" s="2" t="s">
        <v>12</v>
      </c>
    </row>
    <row r="1869" spans="1:11" ht="12.5" x14ac:dyDescent="0.25">
      <c r="A1869" s="3" t="e">
        <f ca="1"/>
        <v>#NAME?</v>
      </c>
      <c r="B1869" s="2" t="s">
        <v>12</v>
      </c>
      <c r="C1869" s="2" t="s">
        <v>12</v>
      </c>
      <c r="D1869" s="2" t="s">
        <v>12</v>
      </c>
      <c r="E1869" s="2" t="s">
        <v>12</v>
      </c>
      <c r="F1869" s="2" t="s">
        <v>12</v>
      </c>
      <c r="G1869" s="2" t="s">
        <v>12</v>
      </c>
      <c r="H1869" s="2" t="s">
        <v>12</v>
      </c>
      <c r="I1869" s="2" t="s">
        <v>12</v>
      </c>
      <c r="J1869" s="2" t="s">
        <v>12</v>
      </c>
      <c r="K1869" s="2" t="s">
        <v>12</v>
      </c>
    </row>
    <row r="1870" spans="1:11" ht="12.5" x14ac:dyDescent="0.25">
      <c r="A1870" s="3" t="e">
        <f ca="1"/>
        <v>#NAME?</v>
      </c>
      <c r="B1870" s="2" t="s">
        <v>12</v>
      </c>
      <c r="C1870" s="2" t="s">
        <v>12</v>
      </c>
      <c r="D1870" s="2" t="s">
        <v>12</v>
      </c>
      <c r="E1870" s="2" t="s">
        <v>12</v>
      </c>
      <c r="F1870" s="2" t="s">
        <v>12</v>
      </c>
      <c r="G1870" s="2" t="s">
        <v>12</v>
      </c>
      <c r="H1870" s="2" t="s">
        <v>12</v>
      </c>
      <c r="I1870" s="2" t="s">
        <v>12</v>
      </c>
      <c r="J1870" s="2" t="s">
        <v>12</v>
      </c>
      <c r="K1870" s="2" t="s">
        <v>12</v>
      </c>
    </row>
    <row r="1871" spans="1:11" ht="12.5" x14ac:dyDescent="0.25">
      <c r="A1871" s="3" t="e">
        <f ca="1"/>
        <v>#NAME?</v>
      </c>
      <c r="B1871" s="2" t="s">
        <v>12</v>
      </c>
      <c r="C1871" s="2" t="s">
        <v>12</v>
      </c>
      <c r="D1871" s="2" t="s">
        <v>12</v>
      </c>
      <c r="E1871" s="2" t="s">
        <v>12</v>
      </c>
      <c r="F1871" s="2" t="s">
        <v>12</v>
      </c>
      <c r="G1871" s="2" t="s">
        <v>12</v>
      </c>
      <c r="H1871" s="2" t="s">
        <v>12</v>
      </c>
      <c r="I1871" s="2" t="s">
        <v>12</v>
      </c>
      <c r="J1871" s="2" t="s">
        <v>12</v>
      </c>
      <c r="K1871" s="2" t="s">
        <v>12</v>
      </c>
    </row>
    <row r="1872" spans="1:11" ht="12.5" x14ac:dyDescent="0.25">
      <c r="A1872" s="3" t="e">
        <f ca="1"/>
        <v>#NAME?</v>
      </c>
      <c r="B1872" s="2" t="s">
        <v>12</v>
      </c>
      <c r="C1872" s="2" t="s">
        <v>12</v>
      </c>
      <c r="D1872" s="2" t="s">
        <v>12</v>
      </c>
      <c r="E1872" s="2" t="s">
        <v>12</v>
      </c>
      <c r="F1872" s="2" t="s">
        <v>12</v>
      </c>
      <c r="G1872" s="2" t="s">
        <v>12</v>
      </c>
      <c r="H1872" s="2" t="s">
        <v>12</v>
      </c>
      <c r="I1872" s="2" t="s">
        <v>12</v>
      </c>
      <c r="J1872" s="2" t="s">
        <v>12</v>
      </c>
      <c r="K1872" s="2" t="s">
        <v>12</v>
      </c>
    </row>
    <row r="1873" spans="1:11" ht="12.5" x14ac:dyDescent="0.25">
      <c r="A1873" s="3" t="e">
        <f ca="1"/>
        <v>#NAME?</v>
      </c>
      <c r="B1873" s="2" t="s">
        <v>12</v>
      </c>
      <c r="C1873" s="2" t="s">
        <v>12</v>
      </c>
      <c r="D1873" s="2" t="s">
        <v>12</v>
      </c>
      <c r="E1873" s="2" t="s">
        <v>12</v>
      </c>
      <c r="F1873" s="2" t="s">
        <v>12</v>
      </c>
      <c r="G1873" s="2" t="s">
        <v>12</v>
      </c>
      <c r="H1873" s="2" t="s">
        <v>12</v>
      </c>
      <c r="I1873" s="2" t="s">
        <v>12</v>
      </c>
      <c r="J1873" s="2" t="s">
        <v>12</v>
      </c>
      <c r="K1873" s="2" t="s">
        <v>12</v>
      </c>
    </row>
    <row r="1874" spans="1:11" ht="12.5" x14ac:dyDescent="0.25">
      <c r="A1874" s="3" t="e">
        <f ca="1"/>
        <v>#NAME?</v>
      </c>
      <c r="B1874" s="2" t="s">
        <v>12</v>
      </c>
      <c r="C1874" s="2" t="s">
        <v>12</v>
      </c>
      <c r="D1874" s="2" t="s">
        <v>12</v>
      </c>
      <c r="E1874" s="2" t="s">
        <v>12</v>
      </c>
      <c r="F1874" s="2" t="s">
        <v>12</v>
      </c>
      <c r="G1874" s="2" t="s">
        <v>12</v>
      </c>
      <c r="H1874" s="2" t="s">
        <v>12</v>
      </c>
      <c r="I1874" s="2" t="s">
        <v>12</v>
      </c>
      <c r="J1874" s="2" t="s">
        <v>12</v>
      </c>
      <c r="K1874" s="2" t="s">
        <v>12</v>
      </c>
    </row>
    <row r="1875" spans="1:11" ht="12.5" x14ac:dyDescent="0.25">
      <c r="A1875" s="3" t="e">
        <f ca="1"/>
        <v>#NAME?</v>
      </c>
      <c r="B1875" s="2" t="s">
        <v>12</v>
      </c>
      <c r="C1875" s="2" t="s">
        <v>12</v>
      </c>
      <c r="D1875" s="2" t="s">
        <v>12</v>
      </c>
      <c r="E1875" s="2" t="s">
        <v>12</v>
      </c>
      <c r="F1875" s="2" t="s">
        <v>12</v>
      </c>
      <c r="G1875" s="2" t="s">
        <v>12</v>
      </c>
      <c r="H1875" s="2" t="s">
        <v>12</v>
      </c>
      <c r="I1875" s="2" t="s">
        <v>12</v>
      </c>
      <c r="J1875" s="2" t="s">
        <v>12</v>
      </c>
      <c r="K1875" s="2" t="s">
        <v>12</v>
      </c>
    </row>
    <row r="1876" spans="1:11" ht="12.5" x14ac:dyDescent="0.25">
      <c r="A1876" s="3" t="e">
        <f ca="1"/>
        <v>#NAME?</v>
      </c>
      <c r="B1876" s="2" t="s">
        <v>12</v>
      </c>
      <c r="C1876" s="2" t="s">
        <v>12</v>
      </c>
      <c r="D1876" s="2" t="s">
        <v>12</v>
      </c>
      <c r="E1876" s="2" t="s">
        <v>12</v>
      </c>
      <c r="F1876" s="2" t="s">
        <v>12</v>
      </c>
      <c r="G1876" s="2" t="s">
        <v>12</v>
      </c>
      <c r="H1876" s="2" t="s">
        <v>12</v>
      </c>
      <c r="I1876" s="2" t="s">
        <v>12</v>
      </c>
      <c r="J1876" s="2" t="s">
        <v>12</v>
      </c>
      <c r="K1876" s="2" t="s">
        <v>12</v>
      </c>
    </row>
    <row r="1877" spans="1:11" ht="12.5" x14ac:dyDescent="0.25">
      <c r="A1877" s="3" t="e">
        <f ca="1"/>
        <v>#NAME?</v>
      </c>
      <c r="B1877" s="2" t="s">
        <v>12</v>
      </c>
      <c r="C1877" s="2" t="s">
        <v>12</v>
      </c>
      <c r="D1877" s="2" t="s">
        <v>12</v>
      </c>
      <c r="E1877" s="2" t="s">
        <v>12</v>
      </c>
      <c r="F1877" s="2" t="s">
        <v>12</v>
      </c>
      <c r="G1877" s="2" t="s">
        <v>12</v>
      </c>
      <c r="H1877" s="2" t="s">
        <v>12</v>
      </c>
      <c r="I1877" s="2" t="s">
        <v>12</v>
      </c>
      <c r="J1877" s="2" t="s">
        <v>12</v>
      </c>
      <c r="K1877" s="2" t="s">
        <v>12</v>
      </c>
    </row>
    <row r="1878" spans="1:11" ht="12.5" x14ac:dyDescent="0.25">
      <c r="A1878" s="3" t="e">
        <f ca="1"/>
        <v>#NAME?</v>
      </c>
      <c r="B1878" s="2" t="s">
        <v>12</v>
      </c>
      <c r="C1878" s="2" t="s">
        <v>12</v>
      </c>
      <c r="D1878" s="2" t="s">
        <v>12</v>
      </c>
      <c r="E1878" s="2" t="s">
        <v>12</v>
      </c>
      <c r="F1878" s="2" t="s">
        <v>12</v>
      </c>
      <c r="G1878" s="2" t="s">
        <v>12</v>
      </c>
      <c r="H1878" s="2" t="s">
        <v>12</v>
      </c>
      <c r="I1878" s="2" t="s">
        <v>12</v>
      </c>
      <c r="J1878" s="2" t="s">
        <v>12</v>
      </c>
      <c r="K1878" s="2" t="s">
        <v>12</v>
      </c>
    </row>
    <row r="1879" spans="1:11" ht="12.5" x14ac:dyDescent="0.25">
      <c r="A1879" s="3" t="e">
        <f ca="1"/>
        <v>#NAME?</v>
      </c>
      <c r="B1879" s="2" t="s">
        <v>12</v>
      </c>
      <c r="C1879" s="2" t="s">
        <v>12</v>
      </c>
      <c r="D1879" s="2" t="s">
        <v>12</v>
      </c>
      <c r="E1879" s="2" t="s">
        <v>12</v>
      </c>
      <c r="F1879" s="2" t="s">
        <v>12</v>
      </c>
      <c r="G1879" s="2" t="s">
        <v>12</v>
      </c>
      <c r="H1879" s="2" t="s">
        <v>12</v>
      </c>
      <c r="I1879" s="2" t="s">
        <v>12</v>
      </c>
      <c r="J1879" s="2" t="s">
        <v>12</v>
      </c>
      <c r="K1879" s="2" t="s">
        <v>12</v>
      </c>
    </row>
    <row r="1880" spans="1:11" ht="12.5" x14ac:dyDescent="0.25">
      <c r="A1880" s="3" t="e">
        <f ca="1"/>
        <v>#NAME?</v>
      </c>
      <c r="B1880" s="2" t="s">
        <v>12</v>
      </c>
      <c r="C1880" s="2" t="s">
        <v>12</v>
      </c>
      <c r="D1880" s="2" t="s">
        <v>12</v>
      </c>
      <c r="E1880" s="2" t="s">
        <v>12</v>
      </c>
      <c r="F1880" s="2" t="s">
        <v>12</v>
      </c>
      <c r="G1880" s="2" t="s">
        <v>12</v>
      </c>
      <c r="H1880" s="2" t="s">
        <v>12</v>
      </c>
      <c r="I1880" s="2" t="s">
        <v>12</v>
      </c>
      <c r="J1880" s="2" t="s">
        <v>12</v>
      </c>
      <c r="K1880" s="2" t="s">
        <v>12</v>
      </c>
    </row>
    <row r="1881" spans="1:11" ht="12.5" x14ac:dyDescent="0.25">
      <c r="A1881" s="3" t="e">
        <f ca="1"/>
        <v>#NAME?</v>
      </c>
      <c r="B1881" s="2" t="s">
        <v>12</v>
      </c>
      <c r="C1881" s="2" t="s">
        <v>12</v>
      </c>
      <c r="D1881" s="2" t="s">
        <v>12</v>
      </c>
      <c r="E1881" s="2" t="s">
        <v>12</v>
      </c>
      <c r="F1881" s="2" t="s">
        <v>12</v>
      </c>
      <c r="G1881" s="2" t="s">
        <v>12</v>
      </c>
      <c r="H1881" s="2" t="s">
        <v>12</v>
      </c>
      <c r="I1881" s="2" t="s">
        <v>12</v>
      </c>
      <c r="J1881" s="2" t="s">
        <v>12</v>
      </c>
      <c r="K1881" s="2" t="s">
        <v>12</v>
      </c>
    </row>
    <row r="1882" spans="1:11" ht="12.5" x14ac:dyDescent="0.25">
      <c r="A1882" s="3" t="e">
        <f ca="1"/>
        <v>#NAME?</v>
      </c>
      <c r="B1882" s="2" t="s">
        <v>12</v>
      </c>
      <c r="C1882" s="2" t="s">
        <v>12</v>
      </c>
      <c r="D1882" s="2" t="s">
        <v>12</v>
      </c>
      <c r="E1882" s="2" t="s">
        <v>12</v>
      </c>
      <c r="F1882" s="2" t="s">
        <v>12</v>
      </c>
      <c r="G1882" s="2" t="s">
        <v>12</v>
      </c>
      <c r="H1882" s="2" t="s">
        <v>12</v>
      </c>
      <c r="I1882" s="2" t="s">
        <v>12</v>
      </c>
      <c r="J1882" s="2" t="s">
        <v>12</v>
      </c>
      <c r="K1882" s="2" t="s">
        <v>12</v>
      </c>
    </row>
    <row r="1883" spans="1:11" ht="12.5" x14ac:dyDescent="0.25">
      <c r="A1883" s="3" t="e">
        <f ca="1"/>
        <v>#NAME?</v>
      </c>
      <c r="B1883" s="2" t="s">
        <v>12</v>
      </c>
      <c r="C1883" s="2" t="s">
        <v>12</v>
      </c>
      <c r="D1883" s="2" t="s">
        <v>12</v>
      </c>
      <c r="E1883" s="2" t="s">
        <v>12</v>
      </c>
      <c r="F1883" s="2" t="s">
        <v>12</v>
      </c>
      <c r="G1883" s="2" t="s">
        <v>12</v>
      </c>
      <c r="H1883" s="2" t="s">
        <v>12</v>
      </c>
      <c r="I1883" s="2" t="s">
        <v>12</v>
      </c>
      <c r="J1883" s="2" t="s">
        <v>12</v>
      </c>
      <c r="K1883" s="2" t="s">
        <v>12</v>
      </c>
    </row>
    <row r="1884" spans="1:11" ht="12.5" x14ac:dyDescent="0.25">
      <c r="A1884" s="3" t="e">
        <f ca="1"/>
        <v>#NAME?</v>
      </c>
      <c r="B1884" s="2" t="s">
        <v>12</v>
      </c>
      <c r="C1884" s="2" t="s">
        <v>12</v>
      </c>
      <c r="D1884" s="2" t="s">
        <v>12</v>
      </c>
      <c r="E1884" s="2" t="s">
        <v>12</v>
      </c>
      <c r="F1884" s="2" t="s">
        <v>12</v>
      </c>
      <c r="G1884" s="2" t="s">
        <v>12</v>
      </c>
      <c r="H1884" s="2" t="s">
        <v>12</v>
      </c>
      <c r="I1884" s="2" t="s">
        <v>12</v>
      </c>
      <c r="J1884" s="2" t="s">
        <v>12</v>
      </c>
      <c r="K1884" s="2" t="s">
        <v>12</v>
      </c>
    </row>
    <row r="1885" spans="1:11" ht="12.5" x14ac:dyDescent="0.25">
      <c r="A1885" s="3" t="e">
        <f ca="1"/>
        <v>#NAME?</v>
      </c>
      <c r="B1885" s="2" t="s">
        <v>12</v>
      </c>
      <c r="C1885" s="2" t="s">
        <v>12</v>
      </c>
      <c r="D1885" s="2" t="s">
        <v>12</v>
      </c>
      <c r="E1885" s="2" t="s">
        <v>12</v>
      </c>
      <c r="F1885" s="2" t="s">
        <v>12</v>
      </c>
      <c r="G1885" s="2" t="s">
        <v>12</v>
      </c>
      <c r="H1885" s="2" t="s">
        <v>12</v>
      </c>
      <c r="I1885" s="2" t="s">
        <v>12</v>
      </c>
      <c r="J1885" s="2" t="s">
        <v>12</v>
      </c>
      <c r="K1885" s="2" t="s">
        <v>12</v>
      </c>
    </row>
    <row r="1886" spans="1:11" ht="12.5" x14ac:dyDescent="0.25">
      <c r="A1886" s="3" t="e">
        <f ca="1"/>
        <v>#NAME?</v>
      </c>
      <c r="B1886" s="2" t="s">
        <v>12</v>
      </c>
      <c r="C1886" s="2" t="s">
        <v>12</v>
      </c>
      <c r="D1886" s="2" t="s">
        <v>12</v>
      </c>
      <c r="E1886" s="2" t="s">
        <v>12</v>
      </c>
      <c r="F1886" s="2" t="s">
        <v>12</v>
      </c>
      <c r="G1886" s="2" t="s">
        <v>12</v>
      </c>
      <c r="H1886" s="2" t="s">
        <v>12</v>
      </c>
      <c r="I1886" s="2" t="s">
        <v>12</v>
      </c>
      <c r="J1886" s="2" t="s">
        <v>12</v>
      </c>
      <c r="K1886" s="2" t="s">
        <v>12</v>
      </c>
    </row>
    <row r="1887" spans="1:11" ht="12.5" x14ac:dyDescent="0.25">
      <c r="A1887" s="3" t="e">
        <f ca="1"/>
        <v>#NAME?</v>
      </c>
      <c r="B1887" s="2" t="s">
        <v>12</v>
      </c>
      <c r="C1887" s="2" t="s">
        <v>12</v>
      </c>
      <c r="D1887" s="2" t="s">
        <v>12</v>
      </c>
      <c r="E1887" s="2" t="s">
        <v>12</v>
      </c>
      <c r="F1887" s="2" t="s">
        <v>12</v>
      </c>
      <c r="G1887" s="2" t="s">
        <v>12</v>
      </c>
      <c r="H1887" s="2" t="s">
        <v>12</v>
      </c>
      <c r="I1887" s="2" t="s">
        <v>12</v>
      </c>
      <c r="J1887" s="2" t="s">
        <v>12</v>
      </c>
      <c r="K1887" s="2" t="s">
        <v>12</v>
      </c>
    </row>
    <row r="1888" spans="1:11" ht="12.5" x14ac:dyDescent="0.25">
      <c r="A1888" s="3" t="e">
        <f ca="1"/>
        <v>#NAME?</v>
      </c>
      <c r="B1888" s="2" t="s">
        <v>12</v>
      </c>
      <c r="C1888" s="2" t="s">
        <v>12</v>
      </c>
      <c r="D1888" s="2" t="s">
        <v>12</v>
      </c>
      <c r="E1888" s="2" t="s">
        <v>12</v>
      </c>
      <c r="F1888" s="2" t="s">
        <v>12</v>
      </c>
      <c r="G1888" s="2" t="s">
        <v>12</v>
      </c>
      <c r="H1888" s="2" t="s">
        <v>12</v>
      </c>
      <c r="I1888" s="2" t="s">
        <v>12</v>
      </c>
      <c r="J1888" s="2" t="s">
        <v>12</v>
      </c>
      <c r="K1888" s="2" t="s">
        <v>12</v>
      </c>
    </row>
    <row r="1889" spans="1:11" ht="12.5" x14ac:dyDescent="0.25">
      <c r="A1889" s="3" t="e">
        <f ca="1"/>
        <v>#NAME?</v>
      </c>
      <c r="B1889" s="2" t="s">
        <v>12</v>
      </c>
      <c r="C1889" s="2" t="s">
        <v>12</v>
      </c>
      <c r="D1889" s="2" t="s">
        <v>12</v>
      </c>
      <c r="E1889" s="2" t="s">
        <v>12</v>
      </c>
      <c r="F1889" s="2" t="s">
        <v>12</v>
      </c>
      <c r="G1889" s="2" t="s">
        <v>12</v>
      </c>
      <c r="H1889" s="2" t="s">
        <v>12</v>
      </c>
      <c r="I1889" s="2" t="s">
        <v>12</v>
      </c>
      <c r="J1889" s="2" t="s">
        <v>12</v>
      </c>
      <c r="K1889" s="2" t="s">
        <v>12</v>
      </c>
    </row>
    <row r="1890" spans="1:11" ht="12.5" x14ac:dyDescent="0.25">
      <c r="A1890" s="3" t="e">
        <f ca="1"/>
        <v>#NAME?</v>
      </c>
      <c r="B1890" s="2" t="s">
        <v>12</v>
      </c>
      <c r="C1890" s="2" t="s">
        <v>12</v>
      </c>
      <c r="D1890" s="2" t="s">
        <v>12</v>
      </c>
      <c r="E1890" s="2" t="s">
        <v>12</v>
      </c>
      <c r="F1890" s="2" t="s">
        <v>12</v>
      </c>
      <c r="G1890" s="2" t="s">
        <v>12</v>
      </c>
      <c r="H1890" s="2" t="s">
        <v>12</v>
      </c>
      <c r="I1890" s="2" t="s">
        <v>12</v>
      </c>
      <c r="J1890" s="2" t="s">
        <v>12</v>
      </c>
      <c r="K1890" s="2" t="s">
        <v>12</v>
      </c>
    </row>
    <row r="1891" spans="1:11" ht="12.5" x14ac:dyDescent="0.25">
      <c r="A1891" s="3" t="e">
        <f ca="1"/>
        <v>#NAME?</v>
      </c>
      <c r="B1891" s="2" t="s">
        <v>12</v>
      </c>
      <c r="C1891" s="2" t="s">
        <v>12</v>
      </c>
      <c r="D1891" s="2" t="s">
        <v>12</v>
      </c>
      <c r="E1891" s="2" t="s">
        <v>12</v>
      </c>
      <c r="F1891" s="2" t="s">
        <v>12</v>
      </c>
      <c r="G1891" s="2" t="s">
        <v>12</v>
      </c>
      <c r="H1891" s="2" t="s">
        <v>12</v>
      </c>
      <c r="I1891" s="2" t="s">
        <v>12</v>
      </c>
      <c r="J1891" s="2" t="s">
        <v>12</v>
      </c>
      <c r="K1891" s="2" t="s">
        <v>12</v>
      </c>
    </row>
    <row r="1892" spans="1:11" ht="12.5" x14ac:dyDescent="0.25">
      <c r="A1892" s="3" t="e">
        <f ca="1"/>
        <v>#NAME?</v>
      </c>
      <c r="B1892" s="2" t="s">
        <v>12</v>
      </c>
      <c r="C1892" s="2" t="s">
        <v>12</v>
      </c>
      <c r="D1892" s="2" t="s">
        <v>12</v>
      </c>
      <c r="E1892" s="2" t="s">
        <v>12</v>
      </c>
      <c r="F1892" s="2" t="s">
        <v>12</v>
      </c>
      <c r="G1892" s="2" t="s">
        <v>12</v>
      </c>
      <c r="H1892" s="2" t="s">
        <v>12</v>
      </c>
      <c r="I1892" s="2" t="s">
        <v>12</v>
      </c>
      <c r="J1892" s="2" t="s">
        <v>12</v>
      </c>
      <c r="K1892" s="2" t="s">
        <v>12</v>
      </c>
    </row>
    <row r="1893" spans="1:11" ht="12.5" x14ac:dyDescent="0.25">
      <c r="A1893" s="3" t="e">
        <f ca="1"/>
        <v>#NAME?</v>
      </c>
      <c r="B1893" s="2" t="s">
        <v>12</v>
      </c>
      <c r="C1893" s="2" t="s">
        <v>12</v>
      </c>
      <c r="D1893" s="2" t="s">
        <v>12</v>
      </c>
      <c r="E1893" s="2" t="s">
        <v>12</v>
      </c>
      <c r="F1893" s="2" t="s">
        <v>12</v>
      </c>
      <c r="G1893" s="2" t="s">
        <v>12</v>
      </c>
      <c r="H1893" s="2" t="s">
        <v>12</v>
      </c>
      <c r="I1893" s="2" t="s">
        <v>12</v>
      </c>
      <c r="J1893" s="2" t="s">
        <v>12</v>
      </c>
      <c r="K1893" s="2" t="s">
        <v>12</v>
      </c>
    </row>
    <row r="1894" spans="1:11" ht="12.5" x14ac:dyDescent="0.25">
      <c r="A1894" s="3" t="e">
        <f ca="1"/>
        <v>#NAME?</v>
      </c>
      <c r="B1894" s="2" t="s">
        <v>12</v>
      </c>
      <c r="C1894" s="2" t="s">
        <v>12</v>
      </c>
      <c r="D1894" s="2" t="s">
        <v>12</v>
      </c>
      <c r="E1894" s="2" t="s">
        <v>12</v>
      </c>
      <c r="F1894" s="2" t="s">
        <v>12</v>
      </c>
      <c r="G1894" s="2" t="s">
        <v>12</v>
      </c>
      <c r="H1894" s="2" t="s">
        <v>12</v>
      </c>
      <c r="I1894" s="2" t="s">
        <v>12</v>
      </c>
      <c r="J1894" s="2" t="s">
        <v>12</v>
      </c>
      <c r="K1894" s="2" t="s">
        <v>12</v>
      </c>
    </row>
    <row r="1895" spans="1:11" ht="12.5" x14ac:dyDescent="0.25">
      <c r="A1895" s="3" t="e">
        <f ca="1"/>
        <v>#NAME?</v>
      </c>
      <c r="B1895" s="2" t="s">
        <v>12</v>
      </c>
      <c r="C1895" s="2" t="s">
        <v>12</v>
      </c>
      <c r="D1895" s="2" t="s">
        <v>12</v>
      </c>
      <c r="E1895" s="2" t="s">
        <v>12</v>
      </c>
      <c r="F1895" s="2" t="s">
        <v>12</v>
      </c>
      <c r="G1895" s="2" t="s">
        <v>12</v>
      </c>
      <c r="H1895" s="2" t="s">
        <v>12</v>
      </c>
      <c r="I1895" s="2" t="s">
        <v>12</v>
      </c>
      <c r="J1895" s="2" t="s">
        <v>12</v>
      </c>
      <c r="K1895" s="2" t="s">
        <v>12</v>
      </c>
    </row>
    <row r="1896" spans="1:11" ht="12.5" x14ac:dyDescent="0.25">
      <c r="A1896" s="3" t="e">
        <f ca="1"/>
        <v>#NAME?</v>
      </c>
      <c r="B1896" s="2" t="s">
        <v>12</v>
      </c>
      <c r="C1896" s="2" t="s">
        <v>12</v>
      </c>
      <c r="D1896" s="2" t="s">
        <v>12</v>
      </c>
      <c r="E1896" s="2" t="s">
        <v>12</v>
      </c>
      <c r="F1896" s="2" t="s">
        <v>12</v>
      </c>
      <c r="G1896" s="2" t="s">
        <v>12</v>
      </c>
      <c r="H1896" s="2" t="s">
        <v>12</v>
      </c>
      <c r="I1896" s="2" t="s">
        <v>12</v>
      </c>
      <c r="J1896" s="2" t="s">
        <v>12</v>
      </c>
      <c r="K1896" s="2" t="s">
        <v>12</v>
      </c>
    </row>
    <row r="1897" spans="1:11" ht="12.5" x14ac:dyDescent="0.25">
      <c r="A1897" s="3" t="e">
        <f ca="1"/>
        <v>#NAME?</v>
      </c>
      <c r="B1897" s="2" t="s">
        <v>12</v>
      </c>
      <c r="C1897" s="2" t="s">
        <v>12</v>
      </c>
      <c r="D1897" s="2" t="s">
        <v>12</v>
      </c>
      <c r="E1897" s="2" t="s">
        <v>12</v>
      </c>
      <c r="F1897" s="2" t="s">
        <v>12</v>
      </c>
      <c r="G1897" s="2" t="s">
        <v>12</v>
      </c>
      <c r="H1897" s="2" t="s">
        <v>12</v>
      </c>
      <c r="I1897" s="2" t="s">
        <v>12</v>
      </c>
      <c r="J1897" s="2" t="s">
        <v>12</v>
      </c>
      <c r="K1897" s="2" t="s">
        <v>12</v>
      </c>
    </row>
    <row r="1898" spans="1:11" ht="12.5" x14ac:dyDescent="0.25">
      <c r="A1898" s="3" t="e">
        <f ca="1"/>
        <v>#NAME?</v>
      </c>
      <c r="B1898" s="2" t="s">
        <v>12</v>
      </c>
      <c r="C1898" s="2" t="s">
        <v>12</v>
      </c>
      <c r="D1898" s="2" t="s">
        <v>12</v>
      </c>
      <c r="E1898" s="2" t="s">
        <v>12</v>
      </c>
      <c r="F1898" s="2" t="s">
        <v>12</v>
      </c>
      <c r="G1898" s="2" t="s">
        <v>12</v>
      </c>
      <c r="H1898" s="2" t="s">
        <v>12</v>
      </c>
      <c r="I1898" s="2" t="s">
        <v>12</v>
      </c>
      <c r="J1898" s="2" t="s">
        <v>12</v>
      </c>
      <c r="K1898" s="2" t="s">
        <v>12</v>
      </c>
    </row>
    <row r="1899" spans="1:11" ht="12.5" x14ac:dyDescent="0.25">
      <c r="A1899" s="3" t="e">
        <f ca="1"/>
        <v>#NAME?</v>
      </c>
      <c r="B1899" s="2" t="s">
        <v>12</v>
      </c>
      <c r="C1899" s="2" t="s">
        <v>12</v>
      </c>
      <c r="D1899" s="2" t="s">
        <v>12</v>
      </c>
      <c r="E1899" s="2" t="s">
        <v>12</v>
      </c>
      <c r="F1899" s="2" t="s">
        <v>12</v>
      </c>
      <c r="G1899" s="2" t="s">
        <v>12</v>
      </c>
      <c r="H1899" s="2" t="s">
        <v>12</v>
      </c>
      <c r="I1899" s="2" t="s">
        <v>12</v>
      </c>
      <c r="J1899" s="2" t="s">
        <v>12</v>
      </c>
      <c r="K1899" s="2" t="s">
        <v>12</v>
      </c>
    </row>
    <row r="1900" spans="1:11" ht="12.5" x14ac:dyDescent="0.25">
      <c r="A1900" s="3" t="e">
        <f ca="1"/>
        <v>#NAME?</v>
      </c>
      <c r="B1900" s="2" t="s">
        <v>12</v>
      </c>
      <c r="C1900" s="2" t="s">
        <v>12</v>
      </c>
      <c r="D1900" s="2" t="s">
        <v>12</v>
      </c>
      <c r="E1900" s="2" t="s">
        <v>12</v>
      </c>
      <c r="F1900" s="2" t="s">
        <v>12</v>
      </c>
      <c r="G1900" s="2" t="s">
        <v>12</v>
      </c>
      <c r="H1900" s="2" t="s">
        <v>12</v>
      </c>
      <c r="I1900" s="2" t="s">
        <v>12</v>
      </c>
      <c r="J1900" s="2" t="s">
        <v>12</v>
      </c>
      <c r="K1900" s="2" t="s">
        <v>12</v>
      </c>
    </row>
    <row r="1901" spans="1:11" ht="12.5" x14ac:dyDescent="0.25">
      <c r="A1901" s="3" t="e">
        <f ca="1"/>
        <v>#NAME?</v>
      </c>
      <c r="B1901" s="2" t="s">
        <v>12</v>
      </c>
      <c r="C1901" s="2" t="s">
        <v>12</v>
      </c>
      <c r="D1901" s="2" t="s">
        <v>12</v>
      </c>
      <c r="E1901" s="2" t="s">
        <v>12</v>
      </c>
      <c r="F1901" s="2" t="s">
        <v>12</v>
      </c>
      <c r="G1901" s="2" t="s">
        <v>12</v>
      </c>
      <c r="H1901" s="2" t="s">
        <v>12</v>
      </c>
      <c r="I1901" s="2" t="s">
        <v>12</v>
      </c>
      <c r="J1901" s="2" t="s">
        <v>12</v>
      </c>
      <c r="K1901" s="2" t="s">
        <v>12</v>
      </c>
    </row>
    <row r="1902" spans="1:11" ht="12.5" x14ac:dyDescent="0.25">
      <c r="A1902" s="3" t="e">
        <f ca="1"/>
        <v>#NAME?</v>
      </c>
      <c r="B1902" s="2" t="s">
        <v>12</v>
      </c>
      <c r="C1902" s="2" t="s">
        <v>12</v>
      </c>
      <c r="D1902" s="2" t="s">
        <v>12</v>
      </c>
      <c r="E1902" s="2" t="s">
        <v>12</v>
      </c>
      <c r="F1902" s="2" t="s">
        <v>12</v>
      </c>
      <c r="G1902" s="2" t="s">
        <v>12</v>
      </c>
      <c r="H1902" s="2" t="s">
        <v>12</v>
      </c>
      <c r="I1902" s="2" t="s">
        <v>12</v>
      </c>
      <c r="J1902" s="2" t="s">
        <v>12</v>
      </c>
      <c r="K1902" s="2" t="s">
        <v>12</v>
      </c>
    </row>
    <row r="1903" spans="1:11" ht="12.5" x14ac:dyDescent="0.25">
      <c r="A1903" s="3" t="e">
        <f ca="1"/>
        <v>#NAME?</v>
      </c>
      <c r="B1903" s="2" t="s">
        <v>12</v>
      </c>
      <c r="C1903" s="2" t="s">
        <v>12</v>
      </c>
      <c r="D1903" s="2" t="s">
        <v>12</v>
      </c>
      <c r="E1903" s="2" t="s">
        <v>12</v>
      </c>
      <c r="F1903" s="2" t="s">
        <v>12</v>
      </c>
      <c r="G1903" s="2" t="s">
        <v>12</v>
      </c>
      <c r="H1903" s="2" t="s">
        <v>12</v>
      </c>
      <c r="I1903" s="2" t="s">
        <v>12</v>
      </c>
      <c r="J1903" s="2" t="s">
        <v>12</v>
      </c>
      <c r="K1903" s="2" t="s">
        <v>12</v>
      </c>
    </row>
    <row r="1904" spans="1:11" ht="12.5" x14ac:dyDescent="0.25">
      <c r="A1904" s="3" t="e">
        <f ca="1"/>
        <v>#NAME?</v>
      </c>
      <c r="B1904" s="2" t="s">
        <v>12</v>
      </c>
      <c r="C1904" s="2" t="s">
        <v>12</v>
      </c>
      <c r="D1904" s="2" t="s">
        <v>12</v>
      </c>
      <c r="E1904" s="2" t="s">
        <v>12</v>
      </c>
      <c r="F1904" s="2" t="s">
        <v>12</v>
      </c>
      <c r="G1904" s="2" t="s">
        <v>12</v>
      </c>
      <c r="H1904" s="2" t="s">
        <v>12</v>
      </c>
      <c r="I1904" s="2" t="s">
        <v>12</v>
      </c>
      <c r="J1904" s="2" t="s">
        <v>12</v>
      </c>
      <c r="K1904" s="2" t="s">
        <v>12</v>
      </c>
    </row>
    <row r="1905" spans="1:11" ht="12.5" x14ac:dyDescent="0.25">
      <c r="A1905" s="3" t="e">
        <f ca="1"/>
        <v>#NAME?</v>
      </c>
      <c r="B1905" s="2" t="s">
        <v>12</v>
      </c>
      <c r="C1905" s="2" t="s">
        <v>12</v>
      </c>
      <c r="D1905" s="2" t="s">
        <v>12</v>
      </c>
      <c r="E1905" s="2" t="s">
        <v>12</v>
      </c>
      <c r="F1905" s="2" t="s">
        <v>12</v>
      </c>
      <c r="G1905" s="2" t="s">
        <v>12</v>
      </c>
      <c r="H1905" s="2" t="s">
        <v>12</v>
      </c>
      <c r="I1905" s="2" t="s">
        <v>12</v>
      </c>
      <c r="J1905" s="2" t="s">
        <v>12</v>
      </c>
      <c r="K1905" s="2" t="s">
        <v>12</v>
      </c>
    </row>
    <row r="1906" spans="1:11" ht="12.5" x14ac:dyDescent="0.25">
      <c r="A1906" s="3" t="e">
        <f ca="1"/>
        <v>#NAME?</v>
      </c>
      <c r="B1906" s="2" t="s">
        <v>12</v>
      </c>
      <c r="C1906" s="2" t="s">
        <v>12</v>
      </c>
      <c r="D1906" s="2" t="s">
        <v>12</v>
      </c>
      <c r="E1906" s="2" t="s">
        <v>12</v>
      </c>
      <c r="F1906" s="2" t="s">
        <v>12</v>
      </c>
      <c r="G1906" s="2" t="s">
        <v>12</v>
      </c>
      <c r="H1906" s="2" t="s">
        <v>12</v>
      </c>
      <c r="I1906" s="2" t="s">
        <v>12</v>
      </c>
      <c r="J1906" s="2" t="s">
        <v>12</v>
      </c>
      <c r="K1906" s="2" t="s">
        <v>12</v>
      </c>
    </row>
    <row r="1907" spans="1:11" ht="12.5" x14ac:dyDescent="0.25">
      <c r="A1907" s="3" t="e">
        <f ca="1"/>
        <v>#NAME?</v>
      </c>
      <c r="B1907" s="2" t="s">
        <v>12</v>
      </c>
      <c r="C1907" s="2" t="s">
        <v>12</v>
      </c>
      <c r="D1907" s="2" t="s">
        <v>12</v>
      </c>
      <c r="E1907" s="2" t="s">
        <v>12</v>
      </c>
      <c r="F1907" s="2" t="s">
        <v>12</v>
      </c>
      <c r="G1907" s="2" t="s">
        <v>12</v>
      </c>
      <c r="H1907" s="2" t="s">
        <v>12</v>
      </c>
      <c r="I1907" s="2" t="s">
        <v>12</v>
      </c>
      <c r="J1907" s="2" t="s">
        <v>12</v>
      </c>
      <c r="K1907" s="2" t="s">
        <v>12</v>
      </c>
    </row>
    <row r="1908" spans="1:11" ht="12.5" x14ac:dyDescent="0.25">
      <c r="A1908" s="3" t="e">
        <f ca="1"/>
        <v>#NAME?</v>
      </c>
      <c r="B1908" s="2" t="s">
        <v>12</v>
      </c>
      <c r="C1908" s="2" t="s">
        <v>12</v>
      </c>
      <c r="D1908" s="2" t="s">
        <v>12</v>
      </c>
      <c r="E1908" s="2" t="s">
        <v>12</v>
      </c>
      <c r="F1908" s="2" t="s">
        <v>12</v>
      </c>
      <c r="G1908" s="2" t="s">
        <v>12</v>
      </c>
      <c r="H1908" s="2" t="s">
        <v>12</v>
      </c>
      <c r="I1908" s="2" t="s">
        <v>12</v>
      </c>
      <c r="J1908" s="2" t="s">
        <v>12</v>
      </c>
      <c r="K1908" s="2" t="s">
        <v>12</v>
      </c>
    </row>
    <row r="1909" spans="1:11" ht="12.5" x14ac:dyDescent="0.25">
      <c r="A1909" s="3" t="e">
        <f ca="1"/>
        <v>#NAME?</v>
      </c>
      <c r="B1909" s="2" t="s">
        <v>12</v>
      </c>
      <c r="C1909" s="2" t="s">
        <v>12</v>
      </c>
      <c r="D1909" s="2" t="s">
        <v>12</v>
      </c>
      <c r="E1909" s="2" t="s">
        <v>12</v>
      </c>
      <c r="F1909" s="2" t="s">
        <v>12</v>
      </c>
      <c r="G1909" s="2" t="s">
        <v>12</v>
      </c>
      <c r="H1909" s="2" t="s">
        <v>12</v>
      </c>
      <c r="I1909" s="2" t="s">
        <v>12</v>
      </c>
      <c r="J1909" s="2" t="s">
        <v>12</v>
      </c>
      <c r="K1909" s="2" t="s">
        <v>12</v>
      </c>
    </row>
    <row r="1910" spans="1:11" ht="12.5" x14ac:dyDescent="0.25">
      <c r="A1910" s="3" t="e">
        <f ca="1"/>
        <v>#NAME?</v>
      </c>
      <c r="B1910" s="2" t="s">
        <v>12</v>
      </c>
      <c r="C1910" s="2" t="s">
        <v>12</v>
      </c>
      <c r="D1910" s="2" t="s">
        <v>12</v>
      </c>
      <c r="E1910" s="2" t="s">
        <v>12</v>
      </c>
      <c r="F1910" s="2" t="s">
        <v>12</v>
      </c>
      <c r="G1910" s="2" t="s">
        <v>12</v>
      </c>
      <c r="H1910" s="2" t="s">
        <v>12</v>
      </c>
      <c r="I1910" s="2" t="s">
        <v>12</v>
      </c>
      <c r="J1910" s="2" t="s">
        <v>12</v>
      </c>
      <c r="K1910" s="2" t="s">
        <v>12</v>
      </c>
    </row>
    <row r="1911" spans="1:11" ht="12.5" x14ac:dyDescent="0.25">
      <c r="A1911" s="3" t="e">
        <f ca="1"/>
        <v>#NAME?</v>
      </c>
      <c r="B1911" s="2" t="s">
        <v>12</v>
      </c>
      <c r="C1911" s="2" t="s">
        <v>12</v>
      </c>
      <c r="D1911" s="2" t="s">
        <v>12</v>
      </c>
      <c r="E1911" s="2" t="s">
        <v>12</v>
      </c>
      <c r="F1911" s="2" t="s">
        <v>12</v>
      </c>
      <c r="G1911" s="2" t="s">
        <v>12</v>
      </c>
      <c r="H1911" s="2" t="s">
        <v>12</v>
      </c>
      <c r="I1911" s="2" t="s">
        <v>12</v>
      </c>
      <c r="J1911" s="2" t="s">
        <v>12</v>
      </c>
      <c r="K1911" s="2" t="s">
        <v>12</v>
      </c>
    </row>
    <row r="1912" spans="1:11" ht="12.5" x14ac:dyDescent="0.25">
      <c r="A1912" s="3" t="e">
        <f ca="1"/>
        <v>#NAME?</v>
      </c>
      <c r="B1912" s="2" t="s">
        <v>12</v>
      </c>
      <c r="C1912" s="2" t="s">
        <v>12</v>
      </c>
      <c r="D1912" s="2" t="s">
        <v>12</v>
      </c>
      <c r="E1912" s="2" t="s">
        <v>12</v>
      </c>
      <c r="F1912" s="2" t="s">
        <v>12</v>
      </c>
      <c r="G1912" s="2" t="s">
        <v>12</v>
      </c>
      <c r="H1912" s="2" t="s">
        <v>12</v>
      </c>
      <c r="I1912" s="2" t="s">
        <v>12</v>
      </c>
      <c r="J1912" s="2" t="s">
        <v>12</v>
      </c>
      <c r="K1912" s="2" t="s">
        <v>12</v>
      </c>
    </row>
    <row r="1913" spans="1:11" ht="12.5" x14ac:dyDescent="0.25">
      <c r="A1913" s="3" t="e">
        <f ca="1"/>
        <v>#NAME?</v>
      </c>
      <c r="B1913" s="2" t="s">
        <v>12</v>
      </c>
      <c r="C1913" s="2" t="s">
        <v>12</v>
      </c>
      <c r="D1913" s="2" t="s">
        <v>12</v>
      </c>
      <c r="E1913" s="2" t="s">
        <v>12</v>
      </c>
      <c r="F1913" s="2" t="s">
        <v>12</v>
      </c>
      <c r="G1913" s="2" t="s">
        <v>12</v>
      </c>
      <c r="H1913" s="2" t="s">
        <v>12</v>
      </c>
      <c r="I1913" s="2" t="s">
        <v>12</v>
      </c>
      <c r="J1913" s="2" t="s">
        <v>12</v>
      </c>
      <c r="K1913" s="2" t="s">
        <v>12</v>
      </c>
    </row>
    <row r="1914" spans="1:11" ht="12.5" x14ac:dyDescent="0.25">
      <c r="A1914" s="3" t="e">
        <f ca="1"/>
        <v>#NAME?</v>
      </c>
      <c r="B1914" s="2" t="s">
        <v>12</v>
      </c>
      <c r="C1914" s="2" t="s">
        <v>12</v>
      </c>
      <c r="D1914" s="2" t="s">
        <v>12</v>
      </c>
      <c r="E1914" s="2" t="s">
        <v>12</v>
      </c>
      <c r="F1914" s="2" t="s">
        <v>12</v>
      </c>
      <c r="G1914" s="2" t="s">
        <v>12</v>
      </c>
      <c r="H1914" s="2" t="s">
        <v>12</v>
      </c>
      <c r="I1914" s="2" t="s">
        <v>12</v>
      </c>
      <c r="J1914" s="2" t="s">
        <v>12</v>
      </c>
      <c r="K1914" s="2" t="s">
        <v>12</v>
      </c>
    </row>
    <row r="1915" spans="1:11" ht="12.5" x14ac:dyDescent="0.25">
      <c r="A1915" s="3" t="e">
        <f ca="1"/>
        <v>#NAME?</v>
      </c>
      <c r="B1915" s="2" t="s">
        <v>12</v>
      </c>
      <c r="C1915" s="2" t="s">
        <v>12</v>
      </c>
      <c r="D1915" s="2" t="s">
        <v>12</v>
      </c>
      <c r="E1915" s="2" t="s">
        <v>12</v>
      </c>
      <c r="F1915" s="2" t="s">
        <v>12</v>
      </c>
      <c r="G1915" s="2" t="s">
        <v>12</v>
      </c>
      <c r="H1915" s="2" t="s">
        <v>12</v>
      </c>
      <c r="I1915" s="2" t="s">
        <v>12</v>
      </c>
      <c r="J1915" s="2" t="s">
        <v>12</v>
      </c>
      <c r="K1915" s="2" t="s">
        <v>12</v>
      </c>
    </row>
    <row r="1916" spans="1:11" ht="12.5" x14ac:dyDescent="0.25">
      <c r="A1916" s="3" t="e">
        <f ca="1"/>
        <v>#NAME?</v>
      </c>
      <c r="B1916" s="2" t="s">
        <v>12</v>
      </c>
      <c r="C1916" s="2" t="s">
        <v>12</v>
      </c>
      <c r="D1916" s="2" t="s">
        <v>12</v>
      </c>
      <c r="E1916" s="2" t="s">
        <v>12</v>
      </c>
      <c r="F1916" s="2" t="s">
        <v>12</v>
      </c>
      <c r="G1916" s="2" t="s">
        <v>12</v>
      </c>
      <c r="H1916" s="2" t="s">
        <v>12</v>
      </c>
      <c r="I1916" s="2" t="s">
        <v>12</v>
      </c>
      <c r="J1916" s="2" t="s">
        <v>12</v>
      </c>
      <c r="K1916" s="2" t="s">
        <v>12</v>
      </c>
    </row>
    <row r="1917" spans="1:11" ht="12.5" x14ac:dyDescent="0.25">
      <c r="A1917" s="3" t="e">
        <f ca="1"/>
        <v>#NAME?</v>
      </c>
      <c r="B1917" s="2" t="s">
        <v>12</v>
      </c>
      <c r="C1917" s="2" t="s">
        <v>12</v>
      </c>
      <c r="D1917" s="2" t="s">
        <v>12</v>
      </c>
      <c r="E1917" s="2" t="s">
        <v>12</v>
      </c>
      <c r="F1917" s="2" t="s">
        <v>12</v>
      </c>
      <c r="G1917" s="2" t="s">
        <v>12</v>
      </c>
      <c r="H1917" s="2" t="s">
        <v>12</v>
      </c>
      <c r="I1917" s="2" t="s">
        <v>12</v>
      </c>
      <c r="J1917" s="2" t="s">
        <v>12</v>
      </c>
      <c r="K1917" s="2" t="s">
        <v>12</v>
      </c>
    </row>
    <row r="1918" spans="1:11" ht="12.5" x14ac:dyDescent="0.25">
      <c r="A1918" s="3" t="e">
        <f ca="1"/>
        <v>#NAME?</v>
      </c>
      <c r="B1918" s="2" t="s">
        <v>12</v>
      </c>
      <c r="C1918" s="2" t="s">
        <v>12</v>
      </c>
      <c r="D1918" s="2" t="s">
        <v>12</v>
      </c>
      <c r="E1918" s="2" t="s">
        <v>12</v>
      </c>
      <c r="F1918" s="2" t="s">
        <v>12</v>
      </c>
      <c r="G1918" s="2" t="s">
        <v>12</v>
      </c>
      <c r="H1918" s="2" t="s">
        <v>12</v>
      </c>
      <c r="I1918" s="2" t="s">
        <v>12</v>
      </c>
      <c r="J1918" s="2" t="s">
        <v>12</v>
      </c>
      <c r="K1918" s="2" t="s">
        <v>12</v>
      </c>
    </row>
    <row r="1919" spans="1:11" ht="12.5" x14ac:dyDescent="0.25">
      <c r="A1919" s="3" t="e">
        <f ca="1"/>
        <v>#NAME?</v>
      </c>
      <c r="B1919" s="2" t="s">
        <v>12</v>
      </c>
      <c r="C1919" s="2" t="s">
        <v>12</v>
      </c>
      <c r="D1919" s="2" t="s">
        <v>12</v>
      </c>
      <c r="E1919" s="2" t="s">
        <v>12</v>
      </c>
      <c r="F1919" s="2" t="s">
        <v>12</v>
      </c>
      <c r="G1919" s="2" t="s">
        <v>12</v>
      </c>
      <c r="H1919" s="2" t="s">
        <v>12</v>
      </c>
      <c r="I1919" s="2" t="s">
        <v>12</v>
      </c>
      <c r="J1919" s="2" t="s">
        <v>12</v>
      </c>
      <c r="K1919" s="2" t="s">
        <v>12</v>
      </c>
    </row>
    <row r="1920" spans="1:11" ht="12.5" x14ac:dyDescent="0.25">
      <c r="A1920" s="3" t="e">
        <f ca="1"/>
        <v>#NAME?</v>
      </c>
      <c r="B1920" s="2" t="s">
        <v>12</v>
      </c>
      <c r="C1920" s="2" t="s">
        <v>12</v>
      </c>
      <c r="D1920" s="2" t="s">
        <v>12</v>
      </c>
      <c r="E1920" s="2" t="s">
        <v>12</v>
      </c>
      <c r="F1920" s="2" t="s">
        <v>12</v>
      </c>
      <c r="G1920" s="2" t="s">
        <v>12</v>
      </c>
      <c r="H1920" s="2" t="s">
        <v>12</v>
      </c>
      <c r="I1920" s="2" t="s">
        <v>12</v>
      </c>
      <c r="J1920" s="2" t="s">
        <v>12</v>
      </c>
      <c r="K1920" s="2" t="s">
        <v>12</v>
      </c>
    </row>
    <row r="1921" spans="1:11" ht="12.5" x14ac:dyDescent="0.25">
      <c r="A1921" s="3" t="e">
        <f ca="1"/>
        <v>#NAME?</v>
      </c>
      <c r="B1921" s="2" t="s">
        <v>12</v>
      </c>
      <c r="C1921" s="2" t="s">
        <v>12</v>
      </c>
      <c r="D1921" s="2" t="s">
        <v>12</v>
      </c>
      <c r="E1921" s="2" t="s">
        <v>12</v>
      </c>
      <c r="F1921" s="2" t="s">
        <v>12</v>
      </c>
      <c r="G1921" s="2" t="s">
        <v>12</v>
      </c>
      <c r="H1921" s="2" t="s">
        <v>12</v>
      </c>
      <c r="I1921" s="2" t="s">
        <v>12</v>
      </c>
      <c r="J1921" s="2" t="s">
        <v>12</v>
      </c>
      <c r="K1921" s="2" t="s">
        <v>12</v>
      </c>
    </row>
    <row r="1922" spans="1:11" ht="12.5" x14ac:dyDescent="0.25">
      <c r="A1922" s="3" t="e">
        <f ca="1"/>
        <v>#NAME?</v>
      </c>
      <c r="B1922" s="2" t="s">
        <v>12</v>
      </c>
      <c r="C1922" s="2" t="s">
        <v>12</v>
      </c>
      <c r="D1922" s="2" t="s">
        <v>12</v>
      </c>
      <c r="E1922" s="2" t="s">
        <v>12</v>
      </c>
      <c r="F1922" s="2" t="s">
        <v>12</v>
      </c>
      <c r="G1922" s="2" t="s">
        <v>12</v>
      </c>
      <c r="H1922" s="2" t="s">
        <v>12</v>
      </c>
      <c r="I1922" s="2" t="s">
        <v>12</v>
      </c>
      <c r="J1922" s="2" t="s">
        <v>12</v>
      </c>
      <c r="K1922" s="2" t="s">
        <v>12</v>
      </c>
    </row>
    <row r="1923" spans="1:11" ht="12.5" x14ac:dyDescent="0.25">
      <c r="A1923" s="3" t="e">
        <f ca="1"/>
        <v>#NAME?</v>
      </c>
      <c r="B1923" s="2" t="s">
        <v>12</v>
      </c>
      <c r="C1923" s="2" t="s">
        <v>12</v>
      </c>
      <c r="D1923" s="2" t="s">
        <v>12</v>
      </c>
      <c r="E1923" s="2" t="s">
        <v>12</v>
      </c>
      <c r="F1923" s="2" t="s">
        <v>12</v>
      </c>
      <c r="G1923" s="2" t="s">
        <v>12</v>
      </c>
      <c r="H1923" s="2" t="s">
        <v>12</v>
      </c>
      <c r="I1923" s="2" t="s">
        <v>12</v>
      </c>
      <c r="J1923" s="2" t="s">
        <v>12</v>
      </c>
      <c r="K1923" s="2" t="s">
        <v>12</v>
      </c>
    </row>
    <row r="1924" spans="1:11" ht="12.5" x14ac:dyDescent="0.25">
      <c r="A1924" s="3" t="e">
        <f ca="1"/>
        <v>#NAME?</v>
      </c>
      <c r="B1924" s="2" t="s">
        <v>12</v>
      </c>
      <c r="C1924" s="2" t="s">
        <v>12</v>
      </c>
      <c r="D1924" s="2" t="s">
        <v>12</v>
      </c>
      <c r="E1924" s="2" t="s">
        <v>12</v>
      </c>
      <c r="F1924" s="2" t="s">
        <v>12</v>
      </c>
      <c r="G1924" s="2" t="s">
        <v>12</v>
      </c>
      <c r="H1924" s="2" t="s">
        <v>12</v>
      </c>
      <c r="I1924" s="2" t="s">
        <v>12</v>
      </c>
      <c r="J1924" s="2" t="s">
        <v>12</v>
      </c>
      <c r="K1924" s="2" t="s">
        <v>12</v>
      </c>
    </row>
    <row r="1925" spans="1:11" ht="12.5" x14ac:dyDescent="0.25">
      <c r="A1925" s="3" t="e">
        <f ca="1"/>
        <v>#NAME?</v>
      </c>
      <c r="B1925" s="2" t="s">
        <v>12</v>
      </c>
      <c r="C1925" s="2" t="s">
        <v>12</v>
      </c>
      <c r="D1925" s="2" t="s">
        <v>12</v>
      </c>
      <c r="E1925" s="2" t="s">
        <v>12</v>
      </c>
      <c r="F1925" s="2" t="s">
        <v>12</v>
      </c>
      <c r="G1925" s="2" t="s">
        <v>12</v>
      </c>
      <c r="H1925" s="2" t="s">
        <v>12</v>
      </c>
      <c r="I1925" s="2" t="s">
        <v>12</v>
      </c>
      <c r="J1925" s="2" t="s">
        <v>12</v>
      </c>
      <c r="K1925" s="2" t="s">
        <v>12</v>
      </c>
    </row>
    <row r="1926" spans="1:11" ht="12.5" x14ac:dyDescent="0.25">
      <c r="A1926" s="3" t="e">
        <f ca="1"/>
        <v>#NAME?</v>
      </c>
      <c r="B1926" s="2" t="s">
        <v>12</v>
      </c>
      <c r="C1926" s="2" t="s">
        <v>12</v>
      </c>
      <c r="D1926" s="2" t="s">
        <v>12</v>
      </c>
      <c r="E1926" s="2" t="s">
        <v>12</v>
      </c>
      <c r="F1926" s="2" t="s">
        <v>12</v>
      </c>
      <c r="G1926" s="2" t="s">
        <v>12</v>
      </c>
      <c r="H1926" s="2" t="s">
        <v>12</v>
      </c>
      <c r="I1926" s="2" t="s">
        <v>12</v>
      </c>
      <c r="J1926" s="2" t="s">
        <v>12</v>
      </c>
      <c r="K1926" s="2" t="s">
        <v>12</v>
      </c>
    </row>
    <row r="1927" spans="1:11" ht="12.5" x14ac:dyDescent="0.25">
      <c r="A1927" s="3" t="e">
        <f ca="1"/>
        <v>#NAME?</v>
      </c>
      <c r="B1927" s="2" t="s">
        <v>12</v>
      </c>
      <c r="C1927" s="2" t="s">
        <v>12</v>
      </c>
      <c r="D1927" s="2" t="s">
        <v>12</v>
      </c>
      <c r="E1927" s="2" t="s">
        <v>12</v>
      </c>
      <c r="F1927" s="2" t="s">
        <v>12</v>
      </c>
      <c r="G1927" s="2" t="s">
        <v>12</v>
      </c>
      <c r="H1927" s="2" t="s">
        <v>12</v>
      </c>
      <c r="I1927" s="2" t="s">
        <v>12</v>
      </c>
      <c r="J1927" s="2" t="s">
        <v>12</v>
      </c>
      <c r="K1927" s="2" t="s">
        <v>12</v>
      </c>
    </row>
    <row r="1928" spans="1:11" ht="12.5" x14ac:dyDescent="0.25">
      <c r="A1928" s="3" t="e">
        <f ca="1"/>
        <v>#NAME?</v>
      </c>
      <c r="B1928" s="2" t="s">
        <v>12</v>
      </c>
      <c r="C1928" s="2" t="s">
        <v>12</v>
      </c>
      <c r="D1928" s="2" t="s">
        <v>12</v>
      </c>
      <c r="E1928" s="2" t="s">
        <v>12</v>
      </c>
      <c r="F1928" s="2" t="s">
        <v>12</v>
      </c>
      <c r="G1928" s="2" t="s">
        <v>12</v>
      </c>
      <c r="H1928" s="2" t="s">
        <v>12</v>
      </c>
      <c r="I1928" s="2" t="s">
        <v>12</v>
      </c>
      <c r="J1928" s="2" t="s">
        <v>12</v>
      </c>
      <c r="K1928" s="2" t="s">
        <v>12</v>
      </c>
    </row>
    <row r="1929" spans="1:11" ht="12.5" x14ac:dyDescent="0.25">
      <c r="A1929" s="3" t="e">
        <f ca="1"/>
        <v>#NAME?</v>
      </c>
      <c r="B1929" s="2" t="s">
        <v>12</v>
      </c>
      <c r="C1929" s="2" t="s">
        <v>12</v>
      </c>
      <c r="D1929" s="2" t="s">
        <v>12</v>
      </c>
      <c r="E1929" s="2" t="s">
        <v>12</v>
      </c>
      <c r="F1929" s="2" t="s">
        <v>12</v>
      </c>
      <c r="G1929" s="2" t="s">
        <v>12</v>
      </c>
      <c r="H1929" s="2" t="s">
        <v>12</v>
      </c>
      <c r="I1929" s="2" t="s">
        <v>12</v>
      </c>
      <c r="J1929" s="2" t="s">
        <v>12</v>
      </c>
      <c r="K1929" s="2" t="s">
        <v>12</v>
      </c>
    </row>
    <row r="1930" spans="1:11" ht="12.5" x14ac:dyDescent="0.25">
      <c r="A1930" s="3" t="e">
        <f ca="1"/>
        <v>#NAME?</v>
      </c>
      <c r="B1930" s="2" t="s">
        <v>12</v>
      </c>
      <c r="C1930" s="2" t="s">
        <v>12</v>
      </c>
      <c r="D1930" s="2" t="s">
        <v>12</v>
      </c>
      <c r="E1930" s="2" t="s">
        <v>12</v>
      </c>
      <c r="F1930" s="2" t="s">
        <v>12</v>
      </c>
      <c r="G1930" s="2" t="s">
        <v>12</v>
      </c>
      <c r="H1930" s="2" t="s">
        <v>12</v>
      </c>
      <c r="I1930" s="2" t="s">
        <v>12</v>
      </c>
      <c r="J1930" s="2" t="s">
        <v>12</v>
      </c>
      <c r="K1930" s="2" t="s">
        <v>12</v>
      </c>
    </row>
    <row r="1931" spans="1:11" ht="12.5" x14ac:dyDescent="0.25">
      <c r="A1931" s="3" t="e">
        <f ca="1"/>
        <v>#NAME?</v>
      </c>
      <c r="B1931" s="2" t="s">
        <v>12</v>
      </c>
      <c r="C1931" s="2" t="s">
        <v>12</v>
      </c>
      <c r="D1931" s="2" t="s">
        <v>12</v>
      </c>
      <c r="E1931" s="2" t="s">
        <v>12</v>
      </c>
      <c r="F1931" s="2" t="s">
        <v>12</v>
      </c>
      <c r="G1931" s="2" t="s">
        <v>12</v>
      </c>
      <c r="H1931" s="2" t="s">
        <v>12</v>
      </c>
      <c r="I1931" s="2" t="s">
        <v>12</v>
      </c>
      <c r="J1931" s="2" t="s">
        <v>12</v>
      </c>
      <c r="K1931" s="2" t="s">
        <v>12</v>
      </c>
    </row>
    <row r="1932" spans="1:11" ht="12.5" x14ac:dyDescent="0.25">
      <c r="A1932" s="3" t="e">
        <f ca="1"/>
        <v>#NAME?</v>
      </c>
      <c r="B1932" s="2" t="s">
        <v>12</v>
      </c>
      <c r="C1932" s="2" t="s">
        <v>12</v>
      </c>
      <c r="D1932" s="2" t="s">
        <v>12</v>
      </c>
      <c r="E1932" s="2" t="s">
        <v>12</v>
      </c>
      <c r="F1932" s="2" t="s">
        <v>12</v>
      </c>
      <c r="G1932" s="2" t="s">
        <v>12</v>
      </c>
      <c r="H1932" s="2" t="s">
        <v>12</v>
      </c>
      <c r="I1932" s="2" t="s">
        <v>12</v>
      </c>
      <c r="J1932" s="2" t="s">
        <v>12</v>
      </c>
      <c r="K1932" s="2" t="s">
        <v>12</v>
      </c>
    </row>
    <row r="1933" spans="1:11" ht="12.5" x14ac:dyDescent="0.25">
      <c r="A1933" s="3" t="e">
        <f ca="1"/>
        <v>#NAME?</v>
      </c>
      <c r="B1933" s="2" t="s">
        <v>12</v>
      </c>
      <c r="C1933" s="2" t="s">
        <v>12</v>
      </c>
      <c r="D1933" s="2" t="s">
        <v>12</v>
      </c>
      <c r="E1933" s="2" t="s">
        <v>12</v>
      </c>
      <c r="F1933" s="2" t="s">
        <v>12</v>
      </c>
      <c r="G1933" s="2" t="s">
        <v>12</v>
      </c>
      <c r="H1933" s="2" t="s">
        <v>12</v>
      </c>
      <c r="I1933" s="2" t="s">
        <v>12</v>
      </c>
      <c r="J1933" s="2" t="s">
        <v>12</v>
      </c>
      <c r="K1933" s="2" t="s">
        <v>12</v>
      </c>
    </row>
    <row r="1934" spans="1:11" ht="12.5" x14ac:dyDescent="0.25">
      <c r="A1934" s="3" t="e">
        <f ca="1"/>
        <v>#NAME?</v>
      </c>
      <c r="B1934" s="2" t="s">
        <v>12</v>
      </c>
      <c r="C1934" s="2" t="s">
        <v>12</v>
      </c>
      <c r="D1934" s="2" t="s">
        <v>12</v>
      </c>
      <c r="E1934" s="2" t="s">
        <v>12</v>
      </c>
      <c r="F1934" s="2" t="s">
        <v>12</v>
      </c>
      <c r="G1934" s="2" t="s">
        <v>12</v>
      </c>
      <c r="H1934" s="2" t="s">
        <v>12</v>
      </c>
      <c r="I1934" s="2" t="s">
        <v>12</v>
      </c>
      <c r="J1934" s="2" t="s">
        <v>12</v>
      </c>
      <c r="K1934" s="2" t="s">
        <v>12</v>
      </c>
    </row>
    <row r="1935" spans="1:11" ht="12.5" x14ac:dyDescent="0.25">
      <c r="A1935" s="3" t="e">
        <f ca="1"/>
        <v>#NAME?</v>
      </c>
      <c r="B1935" s="2" t="s">
        <v>12</v>
      </c>
      <c r="C1935" s="2" t="s">
        <v>12</v>
      </c>
      <c r="D1935" s="2" t="s">
        <v>12</v>
      </c>
      <c r="E1935" s="2" t="s">
        <v>12</v>
      </c>
      <c r="F1935" s="2" t="s">
        <v>12</v>
      </c>
      <c r="G1935" s="2" t="s">
        <v>12</v>
      </c>
      <c r="H1935" s="2" t="s">
        <v>12</v>
      </c>
      <c r="I1935" s="2" t="s">
        <v>12</v>
      </c>
      <c r="J1935" s="2" t="s">
        <v>12</v>
      </c>
      <c r="K1935" s="2" t="s">
        <v>12</v>
      </c>
    </row>
    <row r="1936" spans="1:11" ht="12.5" x14ac:dyDescent="0.25">
      <c r="A1936" s="3" t="e">
        <f ca="1"/>
        <v>#NAME?</v>
      </c>
      <c r="B1936" s="2" t="s">
        <v>12</v>
      </c>
      <c r="C1936" s="2" t="s">
        <v>12</v>
      </c>
      <c r="D1936" s="2" t="s">
        <v>12</v>
      </c>
      <c r="E1936" s="2" t="s">
        <v>12</v>
      </c>
      <c r="F1936" s="2" t="s">
        <v>12</v>
      </c>
      <c r="G1936" s="2" t="s">
        <v>12</v>
      </c>
      <c r="H1936" s="2" t="s">
        <v>12</v>
      </c>
      <c r="I1936" s="2" t="s">
        <v>12</v>
      </c>
      <c r="J1936" s="2" t="s">
        <v>12</v>
      </c>
      <c r="K1936" s="2" t="s">
        <v>12</v>
      </c>
    </row>
    <row r="1937" spans="1:11" ht="12.5" x14ac:dyDescent="0.25">
      <c r="A1937" s="3" t="e">
        <f ca="1"/>
        <v>#NAME?</v>
      </c>
      <c r="B1937" s="2" t="s">
        <v>12</v>
      </c>
      <c r="C1937" s="2" t="s">
        <v>12</v>
      </c>
      <c r="D1937" s="2" t="s">
        <v>12</v>
      </c>
      <c r="E1937" s="2" t="s">
        <v>12</v>
      </c>
      <c r="F1937" s="2" t="s">
        <v>12</v>
      </c>
      <c r="G1937" s="2" t="s">
        <v>12</v>
      </c>
      <c r="H1937" s="2" t="s">
        <v>12</v>
      </c>
      <c r="I1937" s="2" t="s">
        <v>12</v>
      </c>
      <c r="J1937" s="2" t="s">
        <v>12</v>
      </c>
      <c r="K1937" s="2" t="s">
        <v>12</v>
      </c>
    </row>
    <row r="1938" spans="1:11" ht="12.5" x14ac:dyDescent="0.25">
      <c r="A1938" s="3" t="e">
        <f ca="1"/>
        <v>#NAME?</v>
      </c>
      <c r="B1938" s="2" t="s">
        <v>12</v>
      </c>
      <c r="C1938" s="2" t="s">
        <v>12</v>
      </c>
      <c r="D1938" s="2" t="s">
        <v>12</v>
      </c>
      <c r="E1938" s="2" t="s">
        <v>12</v>
      </c>
      <c r="F1938" s="2" t="s">
        <v>12</v>
      </c>
      <c r="G1938" s="2" t="s">
        <v>12</v>
      </c>
      <c r="H1938" s="2" t="s">
        <v>12</v>
      </c>
      <c r="I1938" s="2" t="s">
        <v>12</v>
      </c>
      <c r="J1938" s="2" t="s">
        <v>12</v>
      </c>
      <c r="K1938" s="2" t="s">
        <v>12</v>
      </c>
    </row>
    <row r="1939" spans="1:11" ht="12.5" x14ac:dyDescent="0.25">
      <c r="A1939" s="3" t="e">
        <f ca="1"/>
        <v>#NAME?</v>
      </c>
      <c r="B1939" s="2" t="s">
        <v>12</v>
      </c>
      <c r="C1939" s="2" t="s">
        <v>12</v>
      </c>
      <c r="D1939" s="2" t="s">
        <v>12</v>
      </c>
      <c r="E1939" s="2" t="s">
        <v>12</v>
      </c>
      <c r="F1939" s="2" t="s">
        <v>12</v>
      </c>
      <c r="G1939" s="2" t="s">
        <v>12</v>
      </c>
      <c r="H1939" s="2" t="s">
        <v>12</v>
      </c>
      <c r="I1939" s="2" t="s">
        <v>12</v>
      </c>
      <c r="J1939" s="2" t="s">
        <v>12</v>
      </c>
      <c r="K1939" s="2" t="s">
        <v>12</v>
      </c>
    </row>
    <row r="1940" spans="1:11" ht="12.5" x14ac:dyDescent="0.25">
      <c r="A1940" s="3" t="e">
        <f ca="1"/>
        <v>#NAME?</v>
      </c>
      <c r="B1940" s="2" t="s">
        <v>12</v>
      </c>
      <c r="C1940" s="2" t="s">
        <v>12</v>
      </c>
      <c r="D1940" s="2" t="s">
        <v>12</v>
      </c>
      <c r="E1940" s="2" t="s">
        <v>12</v>
      </c>
      <c r="F1940" s="2" t="s">
        <v>12</v>
      </c>
      <c r="G1940" s="2" t="s">
        <v>12</v>
      </c>
      <c r="H1940" s="2" t="s">
        <v>12</v>
      </c>
      <c r="I1940" s="2" t="s">
        <v>12</v>
      </c>
      <c r="J1940" s="2" t="s">
        <v>12</v>
      </c>
      <c r="K1940" s="2" t="s">
        <v>12</v>
      </c>
    </row>
    <row r="1941" spans="1:11" ht="12.5" x14ac:dyDescent="0.25">
      <c r="A1941" s="3" t="e">
        <f ca="1"/>
        <v>#NAME?</v>
      </c>
      <c r="B1941" s="2" t="s">
        <v>12</v>
      </c>
      <c r="C1941" s="2" t="s">
        <v>12</v>
      </c>
      <c r="D1941" s="2" t="s">
        <v>12</v>
      </c>
      <c r="E1941" s="2" t="s">
        <v>12</v>
      </c>
      <c r="F1941" s="2" t="s">
        <v>12</v>
      </c>
      <c r="G1941" s="2" t="s">
        <v>12</v>
      </c>
      <c r="H1941" s="2" t="s">
        <v>12</v>
      </c>
      <c r="I1941" s="2" t="s">
        <v>12</v>
      </c>
      <c r="J1941" s="2" t="s">
        <v>12</v>
      </c>
      <c r="K1941" s="2" t="s">
        <v>12</v>
      </c>
    </row>
    <row r="1942" spans="1:11" ht="12.5" x14ac:dyDescent="0.25">
      <c r="A1942" s="3" t="e">
        <f ca="1"/>
        <v>#NAME?</v>
      </c>
      <c r="B1942" s="2" t="s">
        <v>12</v>
      </c>
      <c r="C1942" s="2" t="s">
        <v>12</v>
      </c>
      <c r="D1942" s="2" t="s">
        <v>12</v>
      </c>
      <c r="E1942" s="2" t="s">
        <v>12</v>
      </c>
      <c r="F1942" s="2" t="s">
        <v>12</v>
      </c>
      <c r="G1942" s="2" t="s">
        <v>12</v>
      </c>
      <c r="H1942" s="2" t="s">
        <v>12</v>
      </c>
      <c r="I1942" s="2" t="s">
        <v>12</v>
      </c>
      <c r="J1942" s="2" t="s">
        <v>12</v>
      </c>
      <c r="K1942" s="2" t="s">
        <v>12</v>
      </c>
    </row>
    <row r="1943" spans="1:11" ht="12.5" x14ac:dyDescent="0.25">
      <c r="A1943" s="3" t="e">
        <f ca="1"/>
        <v>#NAME?</v>
      </c>
      <c r="B1943" s="2" t="s">
        <v>12</v>
      </c>
      <c r="C1943" s="2" t="s">
        <v>12</v>
      </c>
      <c r="D1943" s="2" t="s">
        <v>12</v>
      </c>
      <c r="E1943" s="2" t="s">
        <v>12</v>
      </c>
      <c r="F1943" s="2" t="s">
        <v>12</v>
      </c>
      <c r="G1943" s="2" t="s">
        <v>12</v>
      </c>
      <c r="H1943" s="2" t="s">
        <v>12</v>
      </c>
      <c r="I1943" s="2" t="s">
        <v>12</v>
      </c>
      <c r="J1943" s="2" t="s">
        <v>12</v>
      </c>
      <c r="K1943" s="2" t="s">
        <v>12</v>
      </c>
    </row>
    <row r="1944" spans="1:11" ht="12.5" x14ac:dyDescent="0.25">
      <c r="A1944" s="3" t="e">
        <f ca="1"/>
        <v>#NAME?</v>
      </c>
      <c r="B1944" s="2" t="s">
        <v>12</v>
      </c>
      <c r="C1944" s="2" t="s">
        <v>12</v>
      </c>
      <c r="D1944" s="2" t="s">
        <v>12</v>
      </c>
      <c r="E1944" s="2" t="s">
        <v>12</v>
      </c>
      <c r="F1944" s="2" t="s">
        <v>12</v>
      </c>
      <c r="G1944" s="2" t="s">
        <v>12</v>
      </c>
      <c r="H1944" s="2" t="s">
        <v>12</v>
      </c>
      <c r="I1944" s="2" t="s">
        <v>12</v>
      </c>
      <c r="J1944" s="2" t="s">
        <v>12</v>
      </c>
      <c r="K1944" s="2" t="s">
        <v>12</v>
      </c>
    </row>
    <row r="1945" spans="1:11" ht="12.5" x14ac:dyDescent="0.25">
      <c r="A1945" s="3" t="e">
        <f ca="1"/>
        <v>#NAME?</v>
      </c>
      <c r="B1945" s="2" t="s">
        <v>12</v>
      </c>
      <c r="C1945" s="2" t="s">
        <v>12</v>
      </c>
      <c r="D1945" s="2" t="s">
        <v>12</v>
      </c>
      <c r="E1945" s="2" t="s">
        <v>12</v>
      </c>
      <c r="F1945" s="2" t="s">
        <v>12</v>
      </c>
      <c r="G1945" s="2" t="s">
        <v>12</v>
      </c>
      <c r="H1945" s="2" t="s">
        <v>12</v>
      </c>
      <c r="I1945" s="2" t="s">
        <v>12</v>
      </c>
      <c r="J1945" s="2" t="s">
        <v>12</v>
      </c>
      <c r="K1945" s="2" t="s">
        <v>12</v>
      </c>
    </row>
    <row r="1946" spans="1:11" ht="12.5" x14ac:dyDescent="0.25">
      <c r="A1946" s="3" t="e">
        <f ca="1"/>
        <v>#NAME?</v>
      </c>
      <c r="B1946" s="2" t="s">
        <v>12</v>
      </c>
      <c r="C1946" s="2" t="s">
        <v>12</v>
      </c>
      <c r="D1946" s="2" t="s">
        <v>12</v>
      </c>
      <c r="E1946" s="2" t="s">
        <v>12</v>
      </c>
      <c r="F1946" s="2" t="s">
        <v>12</v>
      </c>
      <c r="G1946" s="2" t="s">
        <v>12</v>
      </c>
      <c r="H1946" s="2" t="s">
        <v>12</v>
      </c>
      <c r="I1946" s="2" t="s">
        <v>12</v>
      </c>
      <c r="J1946" s="2" t="s">
        <v>12</v>
      </c>
      <c r="K1946" s="2" t="s">
        <v>12</v>
      </c>
    </row>
    <row r="1947" spans="1:11" ht="12.5" x14ac:dyDescent="0.25">
      <c r="A1947" s="3" t="e">
        <f ca="1"/>
        <v>#NAME?</v>
      </c>
      <c r="B1947" s="2" t="s">
        <v>12</v>
      </c>
      <c r="C1947" s="2" t="s">
        <v>12</v>
      </c>
      <c r="D1947" s="2" t="s">
        <v>12</v>
      </c>
      <c r="E1947" s="2" t="s">
        <v>12</v>
      </c>
      <c r="F1947" s="2" t="s">
        <v>12</v>
      </c>
      <c r="G1947" s="2" t="s">
        <v>12</v>
      </c>
      <c r="H1947" s="2" t="s">
        <v>12</v>
      </c>
      <c r="I1947" s="2" t="s">
        <v>12</v>
      </c>
      <c r="J1947" s="2" t="s">
        <v>12</v>
      </c>
      <c r="K1947" s="2" t="s">
        <v>12</v>
      </c>
    </row>
    <row r="1948" spans="1:11" ht="12.5" x14ac:dyDescent="0.25">
      <c r="A1948" s="3" t="e">
        <f ca="1"/>
        <v>#NAME?</v>
      </c>
      <c r="B1948" s="2" t="s">
        <v>12</v>
      </c>
      <c r="C1948" s="2" t="s">
        <v>12</v>
      </c>
      <c r="D1948" s="2" t="s">
        <v>12</v>
      </c>
      <c r="E1948" s="2" t="s">
        <v>12</v>
      </c>
      <c r="F1948" s="2" t="s">
        <v>12</v>
      </c>
      <c r="G1948" s="2" t="s">
        <v>12</v>
      </c>
      <c r="H1948" s="2" t="s">
        <v>12</v>
      </c>
      <c r="I1948" s="2" t="s">
        <v>12</v>
      </c>
      <c r="J1948" s="2" t="s">
        <v>12</v>
      </c>
      <c r="K1948" s="2" t="s">
        <v>12</v>
      </c>
    </row>
    <row r="1949" spans="1:11" ht="12.5" x14ac:dyDescent="0.25">
      <c r="A1949" s="3" t="e">
        <f ca="1"/>
        <v>#NAME?</v>
      </c>
      <c r="B1949" s="2" t="s">
        <v>12</v>
      </c>
      <c r="C1949" s="2" t="s">
        <v>12</v>
      </c>
      <c r="D1949" s="2" t="s">
        <v>12</v>
      </c>
      <c r="E1949" s="2" t="s">
        <v>12</v>
      </c>
      <c r="F1949" s="2" t="s">
        <v>12</v>
      </c>
      <c r="G1949" s="2" t="s">
        <v>12</v>
      </c>
      <c r="H1949" s="2" t="s">
        <v>12</v>
      </c>
      <c r="I1949" s="2" t="s">
        <v>12</v>
      </c>
      <c r="J1949" s="2" t="s">
        <v>12</v>
      </c>
      <c r="K1949" s="2" t="s">
        <v>12</v>
      </c>
    </row>
    <row r="1950" spans="1:11" ht="12.5" x14ac:dyDescent="0.25">
      <c r="A1950" s="3" t="e">
        <f ca="1"/>
        <v>#NAME?</v>
      </c>
      <c r="B1950" s="2" t="s">
        <v>12</v>
      </c>
      <c r="C1950" s="2" t="s">
        <v>12</v>
      </c>
      <c r="D1950" s="2" t="s">
        <v>12</v>
      </c>
      <c r="E1950" s="2" t="s">
        <v>12</v>
      </c>
      <c r="F1950" s="2" t="s">
        <v>12</v>
      </c>
      <c r="G1950" s="2" t="s">
        <v>12</v>
      </c>
      <c r="H1950" s="2" t="s">
        <v>12</v>
      </c>
      <c r="I1950" s="2" t="s">
        <v>12</v>
      </c>
      <c r="J1950" s="2" t="s">
        <v>12</v>
      </c>
      <c r="K1950" s="2" t="s">
        <v>12</v>
      </c>
    </row>
    <row r="1951" spans="1:11" ht="12.5" x14ac:dyDescent="0.25">
      <c r="A1951" s="3" t="e">
        <f ca="1"/>
        <v>#NAME?</v>
      </c>
      <c r="B1951" s="2" t="s">
        <v>12</v>
      </c>
      <c r="C1951" s="2" t="s">
        <v>12</v>
      </c>
      <c r="D1951" s="2" t="s">
        <v>12</v>
      </c>
      <c r="E1951" s="2" t="s">
        <v>12</v>
      </c>
      <c r="F1951" s="2" t="s">
        <v>12</v>
      </c>
      <c r="G1951" s="2" t="s">
        <v>12</v>
      </c>
      <c r="H1951" s="2" t="s">
        <v>12</v>
      </c>
      <c r="I1951" s="2" t="s">
        <v>12</v>
      </c>
      <c r="J1951" s="2" t="s">
        <v>12</v>
      </c>
      <c r="K1951" s="2" t="s">
        <v>12</v>
      </c>
    </row>
    <row r="1952" spans="1:11" ht="12.5" x14ac:dyDescent="0.25">
      <c r="A1952" s="3" t="e">
        <f ca="1"/>
        <v>#NAME?</v>
      </c>
      <c r="B1952" s="2" t="s">
        <v>12</v>
      </c>
      <c r="C1952" s="2" t="s">
        <v>12</v>
      </c>
      <c r="D1952" s="2" t="s">
        <v>12</v>
      </c>
      <c r="E1952" s="2" t="s">
        <v>12</v>
      </c>
      <c r="F1952" s="2" t="s">
        <v>12</v>
      </c>
      <c r="G1952" s="2" t="s">
        <v>12</v>
      </c>
      <c r="H1952" s="2" t="s">
        <v>12</v>
      </c>
      <c r="I1952" s="2" t="s">
        <v>12</v>
      </c>
      <c r="J1952" s="2" t="s">
        <v>12</v>
      </c>
      <c r="K1952" s="2" t="s">
        <v>12</v>
      </c>
    </row>
    <row r="1953" spans="1:11" ht="12.5" x14ac:dyDescent="0.25">
      <c r="A1953" s="3" t="e">
        <f ca="1"/>
        <v>#NAME?</v>
      </c>
      <c r="B1953" s="2" t="s">
        <v>12</v>
      </c>
      <c r="C1953" s="2" t="s">
        <v>12</v>
      </c>
      <c r="D1953" s="2" t="s">
        <v>12</v>
      </c>
      <c r="E1953" s="2" t="s">
        <v>12</v>
      </c>
      <c r="F1953" s="2" t="s">
        <v>12</v>
      </c>
      <c r="G1953" s="2" t="s">
        <v>12</v>
      </c>
      <c r="H1953" s="2" t="s">
        <v>12</v>
      </c>
      <c r="I1953" s="2" t="s">
        <v>12</v>
      </c>
      <c r="J1953" s="2" t="s">
        <v>12</v>
      </c>
      <c r="K1953" s="2" t="s">
        <v>12</v>
      </c>
    </row>
    <row r="1954" spans="1:11" ht="12.5" x14ac:dyDescent="0.25">
      <c r="A1954" s="3" t="e">
        <f ca="1"/>
        <v>#NAME?</v>
      </c>
      <c r="B1954" s="2" t="s">
        <v>12</v>
      </c>
      <c r="C1954" s="2" t="s">
        <v>12</v>
      </c>
      <c r="D1954" s="2" t="s">
        <v>12</v>
      </c>
      <c r="E1954" s="2" t="s">
        <v>12</v>
      </c>
      <c r="F1954" s="2" t="s">
        <v>12</v>
      </c>
      <c r="G1954" s="2" t="s">
        <v>12</v>
      </c>
      <c r="H1954" s="2" t="s">
        <v>12</v>
      </c>
      <c r="I1954" s="2" t="s">
        <v>12</v>
      </c>
      <c r="J1954" s="2" t="s">
        <v>12</v>
      </c>
      <c r="K1954" s="2" t="s">
        <v>12</v>
      </c>
    </row>
    <row r="1955" spans="1:11" ht="12.5" x14ac:dyDescent="0.25">
      <c r="A1955" s="3" t="e">
        <f ca="1"/>
        <v>#NAME?</v>
      </c>
      <c r="B1955" s="2" t="s">
        <v>12</v>
      </c>
      <c r="C1955" s="2" t="s">
        <v>12</v>
      </c>
      <c r="D1955" s="2" t="s">
        <v>12</v>
      </c>
      <c r="E1955" s="2" t="s">
        <v>12</v>
      </c>
      <c r="F1955" s="2" t="s">
        <v>12</v>
      </c>
      <c r="G1955" s="2" t="s">
        <v>12</v>
      </c>
      <c r="H1955" s="2" t="s">
        <v>12</v>
      </c>
      <c r="I1955" s="2" t="s">
        <v>12</v>
      </c>
      <c r="J1955" s="2" t="s">
        <v>12</v>
      </c>
      <c r="K1955" s="2" t="s">
        <v>12</v>
      </c>
    </row>
    <row r="1956" spans="1:11" ht="12.5" x14ac:dyDescent="0.25">
      <c r="A1956" s="3" t="e">
        <f ca="1"/>
        <v>#NAME?</v>
      </c>
      <c r="B1956" s="2" t="s">
        <v>12</v>
      </c>
      <c r="C1956" s="2" t="s">
        <v>12</v>
      </c>
      <c r="D1956" s="2" t="s">
        <v>12</v>
      </c>
      <c r="E1956" s="2" t="s">
        <v>12</v>
      </c>
      <c r="F1956" s="2" t="s">
        <v>12</v>
      </c>
      <c r="G1956" s="2" t="s">
        <v>12</v>
      </c>
      <c r="H1956" s="2" t="s">
        <v>12</v>
      </c>
      <c r="I1956" s="2" t="s">
        <v>12</v>
      </c>
      <c r="J1956" s="2" t="s">
        <v>12</v>
      </c>
      <c r="K1956" s="2" t="s">
        <v>12</v>
      </c>
    </row>
    <row r="1957" spans="1:11" ht="12.5" x14ac:dyDescent="0.25">
      <c r="A1957" s="3" t="e">
        <f ca="1"/>
        <v>#NAME?</v>
      </c>
      <c r="B1957" s="2" t="s">
        <v>12</v>
      </c>
      <c r="C1957" s="2" t="s">
        <v>12</v>
      </c>
      <c r="D1957" s="2" t="s">
        <v>12</v>
      </c>
      <c r="E1957" s="2" t="s">
        <v>12</v>
      </c>
      <c r="F1957" s="2" t="s">
        <v>12</v>
      </c>
      <c r="G1957" s="2" t="s">
        <v>12</v>
      </c>
      <c r="H1957" s="2" t="s">
        <v>12</v>
      </c>
      <c r="I1957" s="2" t="s">
        <v>12</v>
      </c>
      <c r="J1957" s="2" t="s">
        <v>12</v>
      </c>
      <c r="K1957" s="2" t="s">
        <v>12</v>
      </c>
    </row>
    <row r="1958" spans="1:11" ht="12.5" x14ac:dyDescent="0.25">
      <c r="A1958" s="3" t="e">
        <f ca="1"/>
        <v>#NAME?</v>
      </c>
      <c r="B1958" s="2" t="s">
        <v>12</v>
      </c>
      <c r="C1958" s="2" t="s">
        <v>12</v>
      </c>
      <c r="D1958" s="2" t="s">
        <v>12</v>
      </c>
      <c r="E1958" s="2" t="s">
        <v>12</v>
      </c>
      <c r="F1958" s="2" t="s">
        <v>12</v>
      </c>
      <c r="G1958" s="2" t="s">
        <v>12</v>
      </c>
      <c r="H1958" s="2" t="s">
        <v>12</v>
      </c>
      <c r="I1958" s="2" t="s">
        <v>12</v>
      </c>
      <c r="J1958" s="2" t="s">
        <v>12</v>
      </c>
      <c r="K1958" s="2" t="s">
        <v>12</v>
      </c>
    </row>
    <row r="1959" spans="1:11" ht="12.5" x14ac:dyDescent="0.25">
      <c r="A1959" s="3" t="e">
        <f ca="1"/>
        <v>#NAME?</v>
      </c>
      <c r="B1959" s="2" t="s">
        <v>12</v>
      </c>
      <c r="C1959" s="2" t="s">
        <v>12</v>
      </c>
      <c r="D1959" s="2" t="s">
        <v>12</v>
      </c>
      <c r="E1959" s="2" t="s">
        <v>12</v>
      </c>
      <c r="F1959" s="2" t="s">
        <v>12</v>
      </c>
      <c r="G1959" s="2" t="s">
        <v>12</v>
      </c>
      <c r="H1959" s="2" t="s">
        <v>12</v>
      </c>
      <c r="I1959" s="2" t="s">
        <v>12</v>
      </c>
      <c r="J1959" s="2" t="s">
        <v>12</v>
      </c>
      <c r="K1959" s="2" t="s">
        <v>12</v>
      </c>
    </row>
    <row r="1960" spans="1:11" ht="12.5" x14ac:dyDescent="0.25">
      <c r="A1960" s="3" t="e">
        <f ca="1"/>
        <v>#NAME?</v>
      </c>
      <c r="B1960" s="2" t="s">
        <v>12</v>
      </c>
      <c r="C1960" s="2" t="s">
        <v>12</v>
      </c>
      <c r="D1960" s="2" t="s">
        <v>12</v>
      </c>
      <c r="E1960" s="2" t="s">
        <v>12</v>
      </c>
      <c r="F1960" s="2" t="s">
        <v>12</v>
      </c>
      <c r="G1960" s="2" t="s">
        <v>12</v>
      </c>
      <c r="H1960" s="2" t="s">
        <v>12</v>
      </c>
      <c r="I1960" s="2" t="s">
        <v>12</v>
      </c>
      <c r="J1960" s="2" t="s">
        <v>12</v>
      </c>
      <c r="K1960" s="2" t="s">
        <v>12</v>
      </c>
    </row>
    <row r="1961" spans="1:11" ht="12.5" x14ac:dyDescent="0.25">
      <c r="A1961" s="3" t="e">
        <f ca="1"/>
        <v>#NAME?</v>
      </c>
      <c r="B1961" s="2" t="s">
        <v>12</v>
      </c>
      <c r="C1961" s="2" t="s">
        <v>12</v>
      </c>
      <c r="D1961" s="2" t="s">
        <v>12</v>
      </c>
      <c r="E1961" s="2" t="s">
        <v>12</v>
      </c>
      <c r="F1961" s="2" t="s">
        <v>12</v>
      </c>
      <c r="G1961" s="2" t="s">
        <v>12</v>
      </c>
      <c r="H1961" s="2" t="s">
        <v>12</v>
      </c>
      <c r="I1961" s="2" t="s">
        <v>12</v>
      </c>
      <c r="J1961" s="2" t="s">
        <v>12</v>
      </c>
      <c r="K1961" s="2" t="s">
        <v>12</v>
      </c>
    </row>
    <row r="1962" spans="1:11" ht="12.5" x14ac:dyDescent="0.25">
      <c r="A1962" s="3" t="e">
        <f ca="1"/>
        <v>#NAME?</v>
      </c>
      <c r="B1962" s="2" t="s">
        <v>12</v>
      </c>
      <c r="C1962" s="2" t="s">
        <v>12</v>
      </c>
      <c r="D1962" s="2" t="s">
        <v>12</v>
      </c>
      <c r="E1962" s="2" t="s">
        <v>12</v>
      </c>
      <c r="F1962" s="2" t="s">
        <v>12</v>
      </c>
      <c r="G1962" s="2" t="s">
        <v>12</v>
      </c>
      <c r="H1962" s="2" t="s">
        <v>12</v>
      </c>
      <c r="I1962" s="2" t="s">
        <v>12</v>
      </c>
      <c r="J1962" s="2" t="s">
        <v>12</v>
      </c>
      <c r="K1962" s="2" t="s">
        <v>12</v>
      </c>
    </row>
    <row r="1963" spans="1:11" ht="12.5" x14ac:dyDescent="0.25">
      <c r="A1963" s="3" t="e">
        <f ca="1"/>
        <v>#NAME?</v>
      </c>
      <c r="B1963" s="2" t="s">
        <v>12</v>
      </c>
      <c r="C1963" s="2" t="s">
        <v>12</v>
      </c>
      <c r="D1963" s="2" t="s">
        <v>12</v>
      </c>
      <c r="E1963" s="2" t="s">
        <v>12</v>
      </c>
      <c r="F1963" s="2" t="s">
        <v>12</v>
      </c>
      <c r="G1963" s="2" t="s">
        <v>12</v>
      </c>
      <c r="H1963" s="2" t="s">
        <v>12</v>
      </c>
      <c r="I1963" s="2" t="s">
        <v>12</v>
      </c>
      <c r="J1963" s="2" t="s">
        <v>12</v>
      </c>
      <c r="K1963" s="2" t="s">
        <v>12</v>
      </c>
    </row>
    <row r="1964" spans="1:11" ht="12.5" x14ac:dyDescent="0.25">
      <c r="A1964" s="3" t="e">
        <f ca="1"/>
        <v>#NAME?</v>
      </c>
      <c r="B1964" s="2" t="s">
        <v>12</v>
      </c>
      <c r="C1964" s="2" t="s">
        <v>12</v>
      </c>
      <c r="D1964" s="2" t="s">
        <v>12</v>
      </c>
      <c r="E1964" s="2" t="s">
        <v>12</v>
      </c>
      <c r="F1964" s="2" t="s">
        <v>12</v>
      </c>
      <c r="G1964" s="2" t="s">
        <v>12</v>
      </c>
      <c r="H1964" s="2" t="s">
        <v>12</v>
      </c>
      <c r="I1964" s="2" t="s">
        <v>12</v>
      </c>
      <c r="J1964" s="2" t="s">
        <v>12</v>
      </c>
      <c r="K1964" s="2" t="s">
        <v>12</v>
      </c>
    </row>
    <row r="1965" spans="1:11" ht="12.5" x14ac:dyDescent="0.25">
      <c r="A1965" s="3" t="e">
        <f ca="1"/>
        <v>#NAME?</v>
      </c>
      <c r="B1965" s="2" t="s">
        <v>12</v>
      </c>
      <c r="C1965" s="2" t="s">
        <v>12</v>
      </c>
      <c r="D1965" s="2" t="s">
        <v>12</v>
      </c>
      <c r="E1965" s="2" t="s">
        <v>12</v>
      </c>
      <c r="F1965" s="2" t="s">
        <v>12</v>
      </c>
      <c r="G1965" s="2" t="s">
        <v>12</v>
      </c>
      <c r="H1965" s="2" t="s">
        <v>12</v>
      </c>
      <c r="I1965" s="2" t="s">
        <v>12</v>
      </c>
      <c r="J1965" s="2" t="s">
        <v>12</v>
      </c>
      <c r="K1965" s="2" t="s">
        <v>12</v>
      </c>
    </row>
    <row r="1966" spans="1:11" ht="12.5" x14ac:dyDescent="0.25">
      <c r="A1966" s="3" t="e">
        <f ca="1"/>
        <v>#NAME?</v>
      </c>
      <c r="B1966" s="2" t="s">
        <v>12</v>
      </c>
      <c r="C1966" s="2" t="s">
        <v>12</v>
      </c>
      <c r="D1966" s="2" t="s">
        <v>12</v>
      </c>
      <c r="E1966" s="2" t="s">
        <v>12</v>
      </c>
      <c r="F1966" s="2" t="s">
        <v>12</v>
      </c>
      <c r="G1966" s="2" t="s">
        <v>12</v>
      </c>
      <c r="H1966" s="2" t="s">
        <v>12</v>
      </c>
      <c r="I1966" s="2" t="s">
        <v>12</v>
      </c>
      <c r="J1966" s="2" t="s">
        <v>12</v>
      </c>
      <c r="K1966" s="2" t="s">
        <v>12</v>
      </c>
    </row>
    <row r="1967" spans="1:11" ht="12.5" x14ac:dyDescent="0.25">
      <c r="A1967" s="3" t="e">
        <f ca="1"/>
        <v>#NAME?</v>
      </c>
      <c r="B1967" s="2" t="s">
        <v>12</v>
      </c>
      <c r="C1967" s="2" t="s">
        <v>12</v>
      </c>
      <c r="D1967" s="2" t="s">
        <v>12</v>
      </c>
      <c r="E1967" s="2" t="s">
        <v>12</v>
      </c>
      <c r="F1967" s="2" t="s">
        <v>12</v>
      </c>
      <c r="G1967" s="2" t="s">
        <v>12</v>
      </c>
      <c r="H1967" s="2" t="s">
        <v>12</v>
      </c>
      <c r="I1967" s="2" t="s">
        <v>12</v>
      </c>
      <c r="J1967" s="2" t="s">
        <v>12</v>
      </c>
      <c r="K1967" s="2" t="s">
        <v>12</v>
      </c>
    </row>
    <row r="1968" spans="1:11" ht="12.5" x14ac:dyDescent="0.25">
      <c r="A1968" s="3" t="e">
        <f ca="1"/>
        <v>#NAME?</v>
      </c>
      <c r="B1968" s="2" t="s">
        <v>12</v>
      </c>
      <c r="C1968" s="2" t="s">
        <v>12</v>
      </c>
      <c r="D1968" s="2" t="s">
        <v>12</v>
      </c>
      <c r="E1968" s="2" t="s">
        <v>12</v>
      </c>
      <c r="F1968" s="2" t="s">
        <v>12</v>
      </c>
      <c r="G1968" s="2" t="s">
        <v>12</v>
      </c>
      <c r="H1968" s="2" t="s">
        <v>12</v>
      </c>
      <c r="I1968" s="2" t="s">
        <v>12</v>
      </c>
      <c r="J1968" s="2" t="s">
        <v>12</v>
      </c>
      <c r="K1968" s="2" t="s">
        <v>12</v>
      </c>
    </row>
    <row r="1969" spans="1:11" ht="12.5" x14ac:dyDescent="0.25">
      <c r="A1969" s="3" t="e">
        <f ca="1"/>
        <v>#NAME?</v>
      </c>
      <c r="B1969" s="2" t="s">
        <v>12</v>
      </c>
      <c r="C1969" s="2" t="s">
        <v>12</v>
      </c>
      <c r="D1969" s="2" t="s">
        <v>12</v>
      </c>
      <c r="E1969" s="2" t="s">
        <v>12</v>
      </c>
      <c r="F1969" s="2" t="s">
        <v>12</v>
      </c>
      <c r="G1969" s="2" t="s">
        <v>12</v>
      </c>
      <c r="H1969" s="2" t="s">
        <v>12</v>
      </c>
      <c r="I1969" s="2" t="s">
        <v>12</v>
      </c>
      <c r="J1969" s="2" t="s">
        <v>12</v>
      </c>
      <c r="K1969" s="2" t="s">
        <v>12</v>
      </c>
    </row>
    <row r="1970" spans="1:11" ht="12.5" x14ac:dyDescent="0.25">
      <c r="A1970" s="3" t="e">
        <f ca="1"/>
        <v>#NAME?</v>
      </c>
      <c r="B1970" s="2" t="s">
        <v>12</v>
      </c>
      <c r="C1970" s="2" t="s">
        <v>12</v>
      </c>
      <c r="D1970" s="2" t="s">
        <v>12</v>
      </c>
      <c r="E1970" s="2" t="s">
        <v>12</v>
      </c>
      <c r="F1970" s="2" t="s">
        <v>12</v>
      </c>
      <c r="G1970" s="2" t="s">
        <v>12</v>
      </c>
      <c r="H1970" s="2" t="s">
        <v>12</v>
      </c>
      <c r="I1970" s="2" t="s">
        <v>12</v>
      </c>
      <c r="J1970" s="2" t="s">
        <v>12</v>
      </c>
      <c r="K1970" s="2" t="s">
        <v>12</v>
      </c>
    </row>
    <row r="1971" spans="1:11" ht="12.5" x14ac:dyDescent="0.25">
      <c r="A1971" s="3" t="e">
        <f ca="1"/>
        <v>#NAME?</v>
      </c>
      <c r="B1971" s="2" t="s">
        <v>12</v>
      </c>
      <c r="C1971" s="2" t="s">
        <v>12</v>
      </c>
      <c r="D1971" s="2" t="s">
        <v>12</v>
      </c>
      <c r="E1971" s="2" t="s">
        <v>12</v>
      </c>
      <c r="F1971" s="2" t="s">
        <v>12</v>
      </c>
      <c r="G1971" s="2" t="s">
        <v>12</v>
      </c>
      <c r="H1971" s="2" t="s">
        <v>12</v>
      </c>
      <c r="I1971" s="2" t="s">
        <v>12</v>
      </c>
      <c r="J1971" s="2" t="s">
        <v>12</v>
      </c>
      <c r="K1971" s="2" t="s">
        <v>12</v>
      </c>
    </row>
    <row r="1972" spans="1:11" ht="12.5" x14ac:dyDescent="0.25">
      <c r="A1972" s="3" t="e">
        <f ca="1"/>
        <v>#NAME?</v>
      </c>
      <c r="B1972" s="2" t="s">
        <v>12</v>
      </c>
      <c r="C1972" s="2" t="s">
        <v>12</v>
      </c>
      <c r="D1972" s="2" t="s">
        <v>12</v>
      </c>
      <c r="E1972" s="2" t="s">
        <v>12</v>
      </c>
      <c r="F1972" s="2" t="s">
        <v>12</v>
      </c>
      <c r="G1972" s="2" t="s">
        <v>12</v>
      </c>
      <c r="H1972" s="2" t="s">
        <v>12</v>
      </c>
      <c r="I1972" s="2" t="s">
        <v>12</v>
      </c>
      <c r="J1972" s="2" t="s">
        <v>12</v>
      </c>
      <c r="K1972" s="2" t="s">
        <v>12</v>
      </c>
    </row>
    <row r="1973" spans="1:11" ht="12.5" x14ac:dyDescent="0.25">
      <c r="A1973" s="3" t="e">
        <f ca="1"/>
        <v>#NAME?</v>
      </c>
      <c r="B1973" s="2" t="s">
        <v>12</v>
      </c>
      <c r="C1973" s="2" t="s">
        <v>12</v>
      </c>
      <c r="D1973" s="2" t="s">
        <v>12</v>
      </c>
      <c r="E1973" s="2" t="s">
        <v>12</v>
      </c>
      <c r="F1973" s="2" t="s">
        <v>12</v>
      </c>
      <c r="G1973" s="2" t="s">
        <v>12</v>
      </c>
      <c r="H1973" s="2" t="s">
        <v>12</v>
      </c>
      <c r="I1973" s="2" t="s">
        <v>12</v>
      </c>
      <c r="J1973" s="2" t="s">
        <v>12</v>
      </c>
      <c r="K1973" s="2" t="s">
        <v>12</v>
      </c>
    </row>
    <row r="1974" spans="1:11" ht="12.5" x14ac:dyDescent="0.25">
      <c r="A1974" s="3" t="e">
        <f ca="1"/>
        <v>#NAME?</v>
      </c>
      <c r="B1974" s="2" t="s">
        <v>12</v>
      </c>
      <c r="C1974" s="2" t="s">
        <v>12</v>
      </c>
      <c r="D1974" s="2" t="s">
        <v>12</v>
      </c>
      <c r="E1974" s="2" t="s">
        <v>12</v>
      </c>
      <c r="F1974" s="2" t="s">
        <v>12</v>
      </c>
      <c r="G1974" s="2" t="s">
        <v>12</v>
      </c>
      <c r="H1974" s="2" t="s">
        <v>12</v>
      </c>
      <c r="I1974" s="2" t="s">
        <v>12</v>
      </c>
      <c r="J1974" s="2" t="s">
        <v>12</v>
      </c>
      <c r="K1974" s="2" t="s">
        <v>12</v>
      </c>
    </row>
    <row r="1975" spans="1:11" ht="12.5" x14ac:dyDescent="0.25">
      <c r="A1975" s="3" t="e">
        <f ca="1"/>
        <v>#NAME?</v>
      </c>
      <c r="B1975" s="2" t="s">
        <v>12</v>
      </c>
      <c r="C1975" s="2" t="s">
        <v>12</v>
      </c>
      <c r="D1975" s="2" t="s">
        <v>12</v>
      </c>
      <c r="E1975" s="2" t="s">
        <v>12</v>
      </c>
      <c r="F1975" s="2" t="s">
        <v>12</v>
      </c>
      <c r="G1975" s="2" t="s">
        <v>12</v>
      </c>
      <c r="H1975" s="2" t="s">
        <v>12</v>
      </c>
      <c r="I1975" s="2" t="s">
        <v>12</v>
      </c>
      <c r="J1975" s="2" t="s">
        <v>12</v>
      </c>
      <c r="K1975" s="2" t="s">
        <v>12</v>
      </c>
    </row>
    <row r="1976" spans="1:11" ht="12.5" x14ac:dyDescent="0.25">
      <c r="A1976" s="3" t="e">
        <f ca="1"/>
        <v>#NAME?</v>
      </c>
      <c r="B1976" s="2" t="s">
        <v>12</v>
      </c>
      <c r="C1976" s="2" t="s">
        <v>12</v>
      </c>
      <c r="D1976" s="2" t="s">
        <v>12</v>
      </c>
      <c r="E1976" s="2" t="s">
        <v>12</v>
      </c>
      <c r="F1976" s="2" t="s">
        <v>12</v>
      </c>
      <c r="G1976" s="2" t="s">
        <v>12</v>
      </c>
      <c r="H1976" s="2" t="s">
        <v>12</v>
      </c>
      <c r="I1976" s="2" t="s">
        <v>12</v>
      </c>
      <c r="J1976" s="2" t="s">
        <v>12</v>
      </c>
      <c r="K1976" s="2" t="s">
        <v>12</v>
      </c>
    </row>
    <row r="1977" spans="1:11" ht="12.5" x14ac:dyDescent="0.25">
      <c r="A1977" s="3" t="e">
        <f ca="1"/>
        <v>#NAME?</v>
      </c>
      <c r="B1977" s="2" t="s">
        <v>12</v>
      </c>
      <c r="C1977" s="2" t="s">
        <v>12</v>
      </c>
      <c r="D1977" s="2" t="s">
        <v>12</v>
      </c>
      <c r="E1977" s="2" t="s">
        <v>12</v>
      </c>
      <c r="F1977" s="2" t="s">
        <v>12</v>
      </c>
      <c r="G1977" s="2" t="s">
        <v>12</v>
      </c>
      <c r="H1977" s="2" t="s">
        <v>12</v>
      </c>
      <c r="I1977" s="2" t="s">
        <v>12</v>
      </c>
      <c r="J1977" s="2" t="s">
        <v>12</v>
      </c>
      <c r="K1977" s="2" t="s">
        <v>12</v>
      </c>
    </row>
    <row r="1978" spans="1:11" ht="12.5" x14ac:dyDescent="0.25">
      <c r="A1978" s="3" t="e">
        <f ca="1"/>
        <v>#NAME?</v>
      </c>
      <c r="B1978" s="2" t="s">
        <v>12</v>
      </c>
      <c r="C1978" s="2" t="s">
        <v>12</v>
      </c>
      <c r="D1978" s="2" t="s">
        <v>12</v>
      </c>
      <c r="E1978" s="2" t="s">
        <v>12</v>
      </c>
      <c r="F1978" s="2" t="s">
        <v>12</v>
      </c>
      <c r="G1978" s="2" t="s">
        <v>12</v>
      </c>
      <c r="H1978" s="2" t="s">
        <v>12</v>
      </c>
      <c r="I1978" s="2" t="s">
        <v>12</v>
      </c>
      <c r="J1978" s="2" t="s">
        <v>12</v>
      </c>
      <c r="K1978" s="2" t="s">
        <v>12</v>
      </c>
    </row>
    <row r="1979" spans="1:11" ht="12.5" x14ac:dyDescent="0.25">
      <c r="A1979" s="3" t="e">
        <f ca="1"/>
        <v>#NAME?</v>
      </c>
      <c r="B1979" s="2" t="s">
        <v>12</v>
      </c>
      <c r="C1979" s="2" t="s">
        <v>12</v>
      </c>
      <c r="D1979" s="2" t="s">
        <v>12</v>
      </c>
      <c r="E1979" s="2" t="s">
        <v>12</v>
      </c>
      <c r="F1979" s="2" t="s">
        <v>12</v>
      </c>
      <c r="G1979" s="2" t="s">
        <v>12</v>
      </c>
      <c r="H1979" s="2" t="s">
        <v>12</v>
      </c>
      <c r="I1979" s="2" t="s">
        <v>12</v>
      </c>
      <c r="J1979" s="2" t="s">
        <v>12</v>
      </c>
      <c r="K1979" s="2" t="s">
        <v>12</v>
      </c>
    </row>
    <row r="1980" spans="1:11" ht="12.5" x14ac:dyDescent="0.25">
      <c r="A1980" s="3" t="e">
        <f ca="1"/>
        <v>#NAME?</v>
      </c>
      <c r="B1980" s="2" t="s">
        <v>12</v>
      </c>
      <c r="C1980" s="2" t="s">
        <v>12</v>
      </c>
      <c r="D1980" s="2" t="s">
        <v>12</v>
      </c>
      <c r="E1980" s="2" t="s">
        <v>12</v>
      </c>
      <c r="F1980" s="2" t="s">
        <v>12</v>
      </c>
      <c r="G1980" s="2" t="s">
        <v>12</v>
      </c>
      <c r="H1980" s="2" t="s">
        <v>12</v>
      </c>
      <c r="I1980" s="2" t="s">
        <v>12</v>
      </c>
      <c r="J1980" s="2" t="s">
        <v>12</v>
      </c>
      <c r="K1980" s="2" t="s">
        <v>12</v>
      </c>
    </row>
    <row r="1981" spans="1:11" ht="12.5" x14ac:dyDescent="0.25">
      <c r="A1981" s="3" t="e">
        <f ca="1"/>
        <v>#NAME?</v>
      </c>
      <c r="B1981" s="2" t="s">
        <v>12</v>
      </c>
      <c r="C1981" s="2" t="s">
        <v>12</v>
      </c>
      <c r="D1981" s="2" t="s">
        <v>12</v>
      </c>
      <c r="E1981" s="2" t="s">
        <v>12</v>
      </c>
      <c r="F1981" s="2" t="s">
        <v>12</v>
      </c>
      <c r="G1981" s="2" t="s">
        <v>12</v>
      </c>
      <c r="H1981" s="2" t="s">
        <v>12</v>
      </c>
      <c r="I1981" s="2" t="s">
        <v>12</v>
      </c>
      <c r="J1981" s="2" t="s">
        <v>12</v>
      </c>
      <c r="K1981" s="2" t="s">
        <v>12</v>
      </c>
    </row>
    <row r="1982" spans="1:11" ht="12.5" x14ac:dyDescent="0.25">
      <c r="A1982" s="3" t="e">
        <f ca="1"/>
        <v>#NAME?</v>
      </c>
      <c r="B1982" s="2" t="s">
        <v>12</v>
      </c>
      <c r="C1982" s="2" t="s">
        <v>12</v>
      </c>
      <c r="D1982" s="2" t="s">
        <v>12</v>
      </c>
      <c r="E1982" s="2" t="s">
        <v>12</v>
      </c>
      <c r="F1982" s="2" t="s">
        <v>12</v>
      </c>
      <c r="G1982" s="2" t="s">
        <v>12</v>
      </c>
      <c r="H1982" s="2" t="s">
        <v>12</v>
      </c>
      <c r="I1982" s="2" t="s">
        <v>12</v>
      </c>
      <c r="J1982" s="2" t="s">
        <v>12</v>
      </c>
      <c r="K1982" s="2" t="s">
        <v>12</v>
      </c>
    </row>
    <row r="1983" spans="1:11" ht="12.5" x14ac:dyDescent="0.25">
      <c r="A1983" s="3" t="e">
        <f ca="1"/>
        <v>#NAME?</v>
      </c>
      <c r="B1983" s="2" t="s">
        <v>12</v>
      </c>
      <c r="C1983" s="2" t="s">
        <v>12</v>
      </c>
      <c r="D1983" s="2" t="s">
        <v>12</v>
      </c>
      <c r="E1983" s="2" t="s">
        <v>12</v>
      </c>
      <c r="F1983" s="2" t="s">
        <v>12</v>
      </c>
      <c r="G1983" s="2" t="s">
        <v>12</v>
      </c>
      <c r="H1983" s="2" t="s">
        <v>12</v>
      </c>
      <c r="I1983" s="2" t="s">
        <v>12</v>
      </c>
      <c r="J1983" s="2" t="s">
        <v>12</v>
      </c>
      <c r="K1983" s="2" t="s">
        <v>12</v>
      </c>
    </row>
    <row r="1984" spans="1:11" ht="12.5" x14ac:dyDescent="0.25">
      <c r="A1984" s="3" t="e">
        <f ca="1"/>
        <v>#NAME?</v>
      </c>
      <c r="B1984" s="2" t="s">
        <v>12</v>
      </c>
      <c r="C1984" s="2" t="s">
        <v>12</v>
      </c>
      <c r="D1984" s="2" t="s">
        <v>12</v>
      </c>
      <c r="E1984" s="2" t="s">
        <v>12</v>
      </c>
      <c r="F1984" s="2" t="s">
        <v>12</v>
      </c>
      <c r="G1984" s="2" t="s">
        <v>12</v>
      </c>
      <c r="H1984" s="2" t="s">
        <v>12</v>
      </c>
      <c r="I1984" s="2" t="s">
        <v>12</v>
      </c>
      <c r="J1984" s="2" t="s">
        <v>12</v>
      </c>
      <c r="K1984" s="2" t="s">
        <v>12</v>
      </c>
    </row>
    <row r="1985" spans="1:11" ht="12.5" x14ac:dyDescent="0.25">
      <c r="A1985" s="3" t="e">
        <f ca="1"/>
        <v>#NAME?</v>
      </c>
      <c r="B1985" s="2" t="s">
        <v>12</v>
      </c>
      <c r="C1985" s="2" t="s">
        <v>12</v>
      </c>
      <c r="D1985" s="2" t="s">
        <v>12</v>
      </c>
      <c r="E1985" s="2" t="s">
        <v>12</v>
      </c>
      <c r="F1985" s="2" t="s">
        <v>12</v>
      </c>
      <c r="G1985" s="2" t="s">
        <v>12</v>
      </c>
      <c r="H1985" s="2" t="s">
        <v>12</v>
      </c>
      <c r="I1985" s="2" t="s">
        <v>12</v>
      </c>
      <c r="J1985" s="2" t="s">
        <v>12</v>
      </c>
      <c r="K1985" s="2" t="s">
        <v>12</v>
      </c>
    </row>
    <row r="1986" spans="1:11" ht="12.5" x14ac:dyDescent="0.25">
      <c r="A1986" s="3" t="e">
        <f ca="1"/>
        <v>#NAME?</v>
      </c>
      <c r="B1986" s="2" t="s">
        <v>12</v>
      </c>
      <c r="C1986" s="2" t="s">
        <v>12</v>
      </c>
      <c r="D1986" s="2" t="s">
        <v>12</v>
      </c>
      <c r="E1986" s="2" t="s">
        <v>12</v>
      </c>
      <c r="F1986" s="2" t="s">
        <v>12</v>
      </c>
      <c r="G1986" s="2" t="s">
        <v>12</v>
      </c>
      <c r="H1986" s="2" t="s">
        <v>12</v>
      </c>
      <c r="I1986" s="2" t="s">
        <v>12</v>
      </c>
      <c r="J1986" s="2" t="s">
        <v>12</v>
      </c>
      <c r="K1986" s="2" t="s">
        <v>12</v>
      </c>
    </row>
    <row r="1987" spans="1:11" ht="12.5" x14ac:dyDescent="0.25">
      <c r="A1987" s="3" t="e">
        <f ca="1"/>
        <v>#NAME?</v>
      </c>
      <c r="B1987" s="2" t="s">
        <v>12</v>
      </c>
      <c r="C1987" s="2" t="s">
        <v>12</v>
      </c>
      <c r="D1987" s="2" t="s">
        <v>12</v>
      </c>
      <c r="E1987" s="2" t="s">
        <v>12</v>
      </c>
      <c r="F1987" s="2" t="s">
        <v>12</v>
      </c>
      <c r="G1987" s="2" t="s">
        <v>12</v>
      </c>
      <c r="H1987" s="2" t="s">
        <v>12</v>
      </c>
      <c r="I1987" s="2" t="s">
        <v>12</v>
      </c>
      <c r="J1987" s="2" t="s">
        <v>12</v>
      </c>
      <c r="K1987" s="2" t="s">
        <v>12</v>
      </c>
    </row>
    <row r="1988" spans="1:11" ht="12.5" x14ac:dyDescent="0.25">
      <c r="A1988" s="3" t="e">
        <f ca="1"/>
        <v>#NAME?</v>
      </c>
      <c r="B1988" s="2" t="s">
        <v>12</v>
      </c>
      <c r="C1988" s="2" t="s">
        <v>12</v>
      </c>
      <c r="D1988" s="2" t="s">
        <v>12</v>
      </c>
      <c r="E1988" s="2" t="s">
        <v>12</v>
      </c>
      <c r="F1988" s="2" t="s">
        <v>12</v>
      </c>
      <c r="G1988" s="2" t="s">
        <v>12</v>
      </c>
      <c r="H1988" s="2" t="s">
        <v>12</v>
      </c>
      <c r="I1988" s="2" t="s">
        <v>12</v>
      </c>
      <c r="J1988" s="2" t="s">
        <v>12</v>
      </c>
      <c r="K1988" s="2" t="s">
        <v>12</v>
      </c>
    </row>
    <row r="1989" spans="1:11" ht="12.5" x14ac:dyDescent="0.25">
      <c r="A1989" s="3" t="e">
        <f ca="1"/>
        <v>#NAME?</v>
      </c>
      <c r="B1989" s="2" t="s">
        <v>12</v>
      </c>
      <c r="C1989" s="2" t="s">
        <v>12</v>
      </c>
      <c r="D1989" s="2" t="s">
        <v>12</v>
      </c>
      <c r="E1989" s="2" t="s">
        <v>12</v>
      </c>
      <c r="F1989" s="2" t="s">
        <v>12</v>
      </c>
      <c r="G1989" s="2" t="s">
        <v>12</v>
      </c>
      <c r="H1989" s="2" t="s">
        <v>12</v>
      </c>
      <c r="I1989" s="2" t="s">
        <v>12</v>
      </c>
      <c r="J1989" s="2" t="s">
        <v>12</v>
      </c>
      <c r="K1989" s="2" t="s">
        <v>12</v>
      </c>
    </row>
    <row r="1990" spans="1:11" ht="12.5" x14ac:dyDescent="0.25">
      <c r="A1990" s="3" t="e">
        <f ca="1"/>
        <v>#NAME?</v>
      </c>
      <c r="B1990" s="2" t="s">
        <v>12</v>
      </c>
      <c r="C1990" s="2" t="s">
        <v>12</v>
      </c>
      <c r="D1990" s="2" t="s">
        <v>12</v>
      </c>
      <c r="E1990" s="2" t="s">
        <v>12</v>
      </c>
      <c r="F1990" s="2" t="s">
        <v>12</v>
      </c>
      <c r="G1990" s="2" t="s">
        <v>12</v>
      </c>
      <c r="H1990" s="2" t="s">
        <v>12</v>
      </c>
      <c r="I1990" s="2" t="s">
        <v>12</v>
      </c>
      <c r="J1990" s="2" t="s">
        <v>12</v>
      </c>
      <c r="K1990" s="2" t="s">
        <v>12</v>
      </c>
    </row>
    <row r="1991" spans="1:11" ht="12.5" x14ac:dyDescent="0.25">
      <c r="A1991" s="3" t="e">
        <f ca="1"/>
        <v>#NAME?</v>
      </c>
      <c r="B1991" s="2" t="s">
        <v>12</v>
      </c>
      <c r="C1991" s="2" t="s">
        <v>12</v>
      </c>
      <c r="D1991" s="2" t="s">
        <v>12</v>
      </c>
      <c r="E1991" s="2" t="s">
        <v>12</v>
      </c>
      <c r="F1991" s="2" t="s">
        <v>12</v>
      </c>
      <c r="G1991" s="2" t="s">
        <v>12</v>
      </c>
      <c r="H1991" s="2" t="s">
        <v>12</v>
      </c>
      <c r="I1991" s="2" t="s">
        <v>12</v>
      </c>
      <c r="J1991" s="2" t="s">
        <v>12</v>
      </c>
      <c r="K1991" s="2" t="s">
        <v>12</v>
      </c>
    </row>
    <row r="1992" spans="1:11" ht="12.5" x14ac:dyDescent="0.25">
      <c r="A1992" s="3" t="e">
        <f ca="1"/>
        <v>#NAME?</v>
      </c>
      <c r="B1992" s="2" t="s">
        <v>12</v>
      </c>
      <c r="C1992" s="2" t="s">
        <v>12</v>
      </c>
      <c r="D1992" s="2" t="s">
        <v>12</v>
      </c>
      <c r="E1992" s="2" t="s">
        <v>12</v>
      </c>
      <c r="F1992" s="2" t="s">
        <v>12</v>
      </c>
      <c r="G1992" s="2" t="s">
        <v>12</v>
      </c>
      <c r="H1992" s="2" t="s">
        <v>12</v>
      </c>
      <c r="I1992" s="2" t="s">
        <v>12</v>
      </c>
      <c r="J1992" s="2" t="s">
        <v>12</v>
      </c>
      <c r="K1992" s="2" t="s">
        <v>12</v>
      </c>
    </row>
    <row r="1993" spans="1:11" ht="12.5" x14ac:dyDescent="0.25">
      <c r="A1993" s="3" t="e">
        <f ca="1"/>
        <v>#NAME?</v>
      </c>
      <c r="B1993" s="2" t="s">
        <v>12</v>
      </c>
      <c r="C1993" s="2" t="s">
        <v>12</v>
      </c>
      <c r="D1993" s="2" t="s">
        <v>12</v>
      </c>
      <c r="E1993" s="2" t="s">
        <v>12</v>
      </c>
      <c r="F1993" s="2" t="s">
        <v>12</v>
      </c>
      <c r="G1993" s="2" t="s">
        <v>12</v>
      </c>
      <c r="H1993" s="2" t="s">
        <v>12</v>
      </c>
      <c r="I1993" s="2" t="s">
        <v>12</v>
      </c>
      <c r="J1993" s="2" t="s">
        <v>12</v>
      </c>
      <c r="K1993" s="2" t="s">
        <v>12</v>
      </c>
    </row>
    <row r="1994" spans="1:11" ht="12.5" x14ac:dyDescent="0.25">
      <c r="A1994" s="3" t="e">
        <f ca="1"/>
        <v>#NAME?</v>
      </c>
      <c r="B1994" s="2" t="s">
        <v>12</v>
      </c>
      <c r="C1994" s="2" t="s">
        <v>12</v>
      </c>
      <c r="D1994" s="2" t="s">
        <v>12</v>
      </c>
      <c r="E1994" s="2" t="s">
        <v>12</v>
      </c>
      <c r="F1994" s="2" t="s">
        <v>12</v>
      </c>
      <c r="G1994" s="2" t="s">
        <v>12</v>
      </c>
      <c r="H1994" s="2" t="s">
        <v>12</v>
      </c>
      <c r="I1994" s="2" t="s">
        <v>12</v>
      </c>
      <c r="J1994" s="2" t="s">
        <v>12</v>
      </c>
      <c r="K1994" s="2" t="s">
        <v>12</v>
      </c>
    </row>
    <row r="1995" spans="1:11" ht="12.5" x14ac:dyDescent="0.25">
      <c r="A1995" s="3" t="e">
        <f ca="1"/>
        <v>#NAME?</v>
      </c>
      <c r="B1995" s="2" t="s">
        <v>12</v>
      </c>
      <c r="C1995" s="2" t="s">
        <v>12</v>
      </c>
      <c r="D1995" s="2" t="s">
        <v>12</v>
      </c>
      <c r="E1995" s="2" t="s">
        <v>12</v>
      </c>
      <c r="F1995" s="2" t="s">
        <v>12</v>
      </c>
      <c r="G1995" s="2" t="s">
        <v>12</v>
      </c>
      <c r="H1995" s="2" t="s">
        <v>12</v>
      </c>
      <c r="I1995" s="2" t="s">
        <v>12</v>
      </c>
      <c r="J1995" s="2" t="s">
        <v>12</v>
      </c>
      <c r="K1995" s="2" t="s">
        <v>12</v>
      </c>
    </row>
    <row r="1996" spans="1:11" ht="12.5" x14ac:dyDescent="0.25">
      <c r="A1996" s="3" t="e">
        <f ca="1"/>
        <v>#NAME?</v>
      </c>
      <c r="B1996" s="2" t="s">
        <v>12</v>
      </c>
      <c r="C1996" s="2" t="s">
        <v>12</v>
      </c>
      <c r="D1996" s="2" t="s">
        <v>12</v>
      </c>
      <c r="E1996" s="2" t="s">
        <v>12</v>
      </c>
      <c r="F1996" s="2" t="s">
        <v>12</v>
      </c>
      <c r="G1996" s="2" t="s">
        <v>12</v>
      </c>
      <c r="H1996" s="2" t="s">
        <v>12</v>
      </c>
      <c r="I1996" s="2" t="s">
        <v>12</v>
      </c>
      <c r="J1996" s="2" t="s">
        <v>12</v>
      </c>
      <c r="K1996" s="2" t="s">
        <v>12</v>
      </c>
    </row>
    <row r="1997" spans="1:11" ht="12.5" x14ac:dyDescent="0.25">
      <c r="A1997" s="3" t="e">
        <f ca="1"/>
        <v>#NAME?</v>
      </c>
      <c r="B1997" s="2" t="s">
        <v>12</v>
      </c>
      <c r="C1997" s="2" t="s">
        <v>12</v>
      </c>
      <c r="D1997" s="2" t="s">
        <v>12</v>
      </c>
      <c r="E1997" s="2" t="s">
        <v>12</v>
      </c>
      <c r="F1997" s="2" t="s">
        <v>12</v>
      </c>
      <c r="G1997" s="2" t="s">
        <v>12</v>
      </c>
      <c r="H1997" s="2" t="s">
        <v>12</v>
      </c>
      <c r="I1997" s="2" t="s">
        <v>12</v>
      </c>
      <c r="J1997" s="2" t="s">
        <v>12</v>
      </c>
      <c r="K1997" s="2" t="s">
        <v>12</v>
      </c>
    </row>
    <row r="1998" spans="1:11" ht="12.5" x14ac:dyDescent="0.25">
      <c r="A1998" s="3" t="e">
        <f ca="1"/>
        <v>#NAME?</v>
      </c>
      <c r="B1998" s="2" t="s">
        <v>12</v>
      </c>
      <c r="C1998" s="2" t="s">
        <v>12</v>
      </c>
      <c r="D1998" s="2" t="s">
        <v>12</v>
      </c>
      <c r="E1998" s="2" t="s">
        <v>12</v>
      </c>
      <c r="F1998" s="2" t="s">
        <v>12</v>
      </c>
      <c r="G1998" s="2" t="s">
        <v>12</v>
      </c>
      <c r="H1998" s="2" t="s">
        <v>12</v>
      </c>
      <c r="I1998" s="2" t="s">
        <v>12</v>
      </c>
      <c r="J1998" s="2" t="s">
        <v>12</v>
      </c>
      <c r="K1998" s="2" t="s">
        <v>12</v>
      </c>
    </row>
    <row r="1999" spans="1:11" ht="12.5" x14ac:dyDescent="0.25">
      <c r="A1999" s="3" t="e">
        <f ca="1"/>
        <v>#NAME?</v>
      </c>
      <c r="B1999" s="2" t="s">
        <v>12</v>
      </c>
      <c r="C1999" s="2" t="s">
        <v>12</v>
      </c>
      <c r="D1999" s="2" t="s">
        <v>12</v>
      </c>
      <c r="E1999" s="2" t="s">
        <v>12</v>
      </c>
      <c r="F1999" s="2" t="s">
        <v>12</v>
      </c>
      <c r="G1999" s="2" t="s">
        <v>12</v>
      </c>
      <c r="H1999" s="2" t="s">
        <v>12</v>
      </c>
      <c r="I1999" s="2" t="s">
        <v>12</v>
      </c>
      <c r="J1999" s="2" t="s">
        <v>12</v>
      </c>
      <c r="K1999" s="2" t="s">
        <v>12</v>
      </c>
    </row>
    <row r="2000" spans="1:11" ht="12.5" x14ac:dyDescent="0.25">
      <c r="A2000" s="3" t="e">
        <f ca="1"/>
        <v>#NAME?</v>
      </c>
      <c r="B2000" s="2" t="s">
        <v>12</v>
      </c>
      <c r="C2000" s="2" t="s">
        <v>12</v>
      </c>
      <c r="D2000" s="2" t="s">
        <v>12</v>
      </c>
      <c r="E2000" s="2" t="s">
        <v>12</v>
      </c>
      <c r="F2000" s="2" t="s">
        <v>12</v>
      </c>
      <c r="G2000" s="2" t="s">
        <v>12</v>
      </c>
      <c r="H2000" s="2" t="s">
        <v>12</v>
      </c>
      <c r="I2000" s="2" t="s">
        <v>12</v>
      </c>
      <c r="J2000" s="2" t="s">
        <v>12</v>
      </c>
      <c r="K2000" s="2" t="s">
        <v>12</v>
      </c>
    </row>
    <row r="2001" spans="1:11" ht="12.5" x14ac:dyDescent="0.25">
      <c r="A2001" s="3" t="e">
        <f ca="1"/>
        <v>#NAME?</v>
      </c>
      <c r="B2001" s="2" t="s">
        <v>12</v>
      </c>
      <c r="C2001" s="2" t="s">
        <v>12</v>
      </c>
      <c r="D2001" s="2" t="s">
        <v>12</v>
      </c>
      <c r="E2001" s="2" t="s">
        <v>12</v>
      </c>
      <c r="F2001" s="2" t="s">
        <v>12</v>
      </c>
      <c r="G2001" s="2" t="s">
        <v>12</v>
      </c>
      <c r="H2001" s="2" t="s">
        <v>12</v>
      </c>
      <c r="I2001" s="2" t="s">
        <v>12</v>
      </c>
      <c r="J2001" s="2" t="s">
        <v>12</v>
      </c>
      <c r="K2001" s="2" t="s">
        <v>12</v>
      </c>
    </row>
    <row r="2002" spans="1:11" ht="12.5" x14ac:dyDescent="0.25">
      <c r="A2002" s="3" t="e">
        <f ca="1"/>
        <v>#NAME?</v>
      </c>
      <c r="B2002" s="2" t="s">
        <v>12</v>
      </c>
      <c r="C2002" s="2" t="s">
        <v>12</v>
      </c>
      <c r="D2002" s="2" t="s">
        <v>12</v>
      </c>
      <c r="E2002" s="2" t="s">
        <v>12</v>
      </c>
      <c r="F2002" s="2" t="s">
        <v>12</v>
      </c>
      <c r="G2002" s="2" t="s">
        <v>12</v>
      </c>
      <c r="H2002" s="2" t="s">
        <v>12</v>
      </c>
      <c r="I2002" s="2" t="s">
        <v>12</v>
      </c>
      <c r="J2002" s="2" t="s">
        <v>12</v>
      </c>
      <c r="K2002" s="2" t="s">
        <v>12</v>
      </c>
    </row>
    <row r="2003" spans="1:11" ht="12.5" x14ac:dyDescent="0.25">
      <c r="A2003" s="3" t="e">
        <f ca="1"/>
        <v>#NAME?</v>
      </c>
      <c r="B2003" s="2" t="s">
        <v>12</v>
      </c>
      <c r="C2003" s="2" t="s">
        <v>12</v>
      </c>
      <c r="D2003" s="2" t="s">
        <v>12</v>
      </c>
      <c r="E2003" s="2" t="s">
        <v>12</v>
      </c>
      <c r="F2003" s="2" t="s">
        <v>12</v>
      </c>
      <c r="G2003" s="2" t="s">
        <v>12</v>
      </c>
      <c r="H2003" s="2" t="s">
        <v>12</v>
      </c>
      <c r="I2003" s="2" t="s">
        <v>12</v>
      </c>
      <c r="J2003" s="2" t="s">
        <v>12</v>
      </c>
      <c r="K2003" s="2" t="s">
        <v>12</v>
      </c>
    </row>
    <row r="2004" spans="1:11" ht="12.5" x14ac:dyDescent="0.25">
      <c r="A2004" s="3" t="e">
        <f ca="1"/>
        <v>#NAME?</v>
      </c>
      <c r="B2004" s="2" t="s">
        <v>12</v>
      </c>
      <c r="C2004" s="2" t="s">
        <v>12</v>
      </c>
      <c r="D2004" s="2" t="s">
        <v>12</v>
      </c>
      <c r="E2004" s="2" t="s">
        <v>12</v>
      </c>
      <c r="F2004" s="2" t="s">
        <v>12</v>
      </c>
      <c r="G2004" s="2" t="s">
        <v>12</v>
      </c>
      <c r="H2004" s="2" t="s">
        <v>12</v>
      </c>
      <c r="I2004" s="2" t="s">
        <v>12</v>
      </c>
      <c r="J2004" s="2" t="s">
        <v>12</v>
      </c>
      <c r="K2004" s="2" t="s">
        <v>12</v>
      </c>
    </row>
    <row r="2005" spans="1:11" ht="12.5" x14ac:dyDescent="0.25">
      <c r="A2005" s="3" t="e">
        <f ca="1"/>
        <v>#NAME?</v>
      </c>
      <c r="B2005" s="2" t="s">
        <v>12</v>
      </c>
      <c r="C2005" s="2" t="s">
        <v>12</v>
      </c>
      <c r="D2005" s="2" t="s">
        <v>12</v>
      </c>
      <c r="E2005" s="2" t="s">
        <v>12</v>
      </c>
      <c r="F2005" s="2" t="s">
        <v>12</v>
      </c>
      <c r="G2005" s="2" t="s">
        <v>12</v>
      </c>
      <c r="H2005" s="2" t="s">
        <v>12</v>
      </c>
      <c r="I2005" s="2" t="s">
        <v>12</v>
      </c>
      <c r="J2005" s="2" t="s">
        <v>12</v>
      </c>
      <c r="K2005" s="2" t="s">
        <v>12</v>
      </c>
    </row>
    <row r="2006" spans="1:11" ht="12.5" x14ac:dyDescent="0.25">
      <c r="A2006" s="3" t="e">
        <f ca="1"/>
        <v>#NAME?</v>
      </c>
      <c r="B2006" s="2" t="s">
        <v>12</v>
      </c>
      <c r="C2006" s="2" t="s">
        <v>12</v>
      </c>
      <c r="D2006" s="2" t="s">
        <v>12</v>
      </c>
      <c r="E2006" s="2" t="s">
        <v>12</v>
      </c>
      <c r="F2006" s="2" t="s">
        <v>12</v>
      </c>
      <c r="G2006" s="2" t="s">
        <v>12</v>
      </c>
      <c r="H2006" s="2" t="s">
        <v>12</v>
      </c>
      <c r="I2006" s="2" t="s">
        <v>12</v>
      </c>
      <c r="J2006" s="2" t="s">
        <v>12</v>
      </c>
      <c r="K2006" s="2" t="s">
        <v>12</v>
      </c>
    </row>
    <row r="2007" spans="1:11" ht="12.5" x14ac:dyDescent="0.25">
      <c r="A2007" s="3" t="e">
        <f ca="1"/>
        <v>#NAME?</v>
      </c>
      <c r="B2007" s="2" t="s">
        <v>12</v>
      </c>
      <c r="C2007" s="2" t="s">
        <v>12</v>
      </c>
      <c r="D2007" s="2" t="s">
        <v>12</v>
      </c>
      <c r="E2007" s="2" t="s">
        <v>12</v>
      </c>
      <c r="F2007" s="2" t="s">
        <v>12</v>
      </c>
      <c r="G2007" s="2" t="s">
        <v>12</v>
      </c>
      <c r="H2007" s="2" t="s">
        <v>12</v>
      </c>
      <c r="I2007" s="2" t="s">
        <v>12</v>
      </c>
      <c r="J2007" s="2" t="s">
        <v>12</v>
      </c>
      <c r="K2007" s="2" t="s">
        <v>12</v>
      </c>
    </row>
    <row r="2008" spans="1:11" ht="12.5" x14ac:dyDescent="0.25">
      <c r="A2008" s="3" t="e">
        <f ca="1"/>
        <v>#NAME?</v>
      </c>
      <c r="B2008" s="2" t="s">
        <v>12</v>
      </c>
      <c r="C2008" s="2" t="s">
        <v>12</v>
      </c>
      <c r="D2008" s="2" t="s">
        <v>12</v>
      </c>
      <c r="E2008" s="2" t="s">
        <v>12</v>
      </c>
      <c r="F2008" s="2" t="s">
        <v>12</v>
      </c>
      <c r="G2008" s="2" t="s">
        <v>12</v>
      </c>
      <c r="H2008" s="2" t="s">
        <v>12</v>
      </c>
      <c r="I2008" s="2" t="s">
        <v>12</v>
      </c>
      <c r="J2008" s="2" t="s">
        <v>12</v>
      </c>
      <c r="K2008" s="2" t="s">
        <v>12</v>
      </c>
    </row>
    <row r="2009" spans="1:11" ht="12.5" x14ac:dyDescent="0.25">
      <c r="A2009" s="3" t="e">
        <f ca="1"/>
        <v>#NAME?</v>
      </c>
      <c r="B2009" s="2" t="s">
        <v>12</v>
      </c>
      <c r="C2009" s="2" t="s">
        <v>12</v>
      </c>
      <c r="D2009" s="2" t="s">
        <v>12</v>
      </c>
      <c r="E2009" s="2" t="s">
        <v>12</v>
      </c>
      <c r="F2009" s="2" t="s">
        <v>12</v>
      </c>
      <c r="G2009" s="2" t="s">
        <v>12</v>
      </c>
      <c r="H2009" s="2" t="s">
        <v>12</v>
      </c>
      <c r="I2009" s="2" t="s">
        <v>12</v>
      </c>
      <c r="J2009" s="2" t="s">
        <v>12</v>
      </c>
      <c r="K2009" s="2" t="s">
        <v>12</v>
      </c>
    </row>
    <row r="2010" spans="1:11" ht="12.5" x14ac:dyDescent="0.25">
      <c r="A2010" s="3" t="e">
        <f ca="1"/>
        <v>#NAME?</v>
      </c>
      <c r="B2010" s="2" t="s">
        <v>12</v>
      </c>
      <c r="C2010" s="2" t="s">
        <v>12</v>
      </c>
      <c r="D2010" s="2" t="s">
        <v>12</v>
      </c>
      <c r="E2010" s="2" t="s">
        <v>12</v>
      </c>
      <c r="F2010" s="2" t="s">
        <v>12</v>
      </c>
      <c r="G2010" s="2" t="s">
        <v>12</v>
      </c>
      <c r="H2010" s="2" t="s">
        <v>12</v>
      </c>
      <c r="I2010" s="2" t="s">
        <v>12</v>
      </c>
      <c r="J2010" s="2" t="s">
        <v>12</v>
      </c>
      <c r="K2010" s="2" t="s">
        <v>12</v>
      </c>
    </row>
    <row r="2011" spans="1:11" ht="12.5" x14ac:dyDescent="0.25">
      <c r="A2011" s="3" t="e">
        <f ca="1"/>
        <v>#NAME?</v>
      </c>
      <c r="B2011" s="2" t="s">
        <v>12</v>
      </c>
      <c r="C2011" s="2" t="s">
        <v>12</v>
      </c>
      <c r="D2011" s="2" t="s">
        <v>12</v>
      </c>
      <c r="E2011" s="2" t="s">
        <v>12</v>
      </c>
      <c r="F2011" s="2" t="s">
        <v>12</v>
      </c>
      <c r="G2011" s="2" t="s">
        <v>12</v>
      </c>
      <c r="H2011" s="2" t="s">
        <v>12</v>
      </c>
      <c r="I2011" s="2" t="s">
        <v>12</v>
      </c>
      <c r="J2011" s="2" t="s">
        <v>12</v>
      </c>
      <c r="K2011" s="2" t="s">
        <v>12</v>
      </c>
    </row>
    <row r="2012" spans="1:11" ht="12.5" x14ac:dyDescent="0.25">
      <c r="A2012" s="3" t="e">
        <f ca="1"/>
        <v>#NAME?</v>
      </c>
      <c r="B2012" s="2" t="s">
        <v>12</v>
      </c>
      <c r="C2012" s="2" t="s">
        <v>12</v>
      </c>
      <c r="D2012" s="2" t="s">
        <v>12</v>
      </c>
      <c r="E2012" s="2" t="s">
        <v>12</v>
      </c>
      <c r="F2012" s="2" t="s">
        <v>12</v>
      </c>
      <c r="G2012" s="2" t="s">
        <v>12</v>
      </c>
      <c r="H2012" s="2" t="s">
        <v>12</v>
      </c>
      <c r="I2012" s="2" t="s">
        <v>12</v>
      </c>
      <c r="J2012" s="2" t="s">
        <v>12</v>
      </c>
      <c r="K2012" s="2" t="s">
        <v>12</v>
      </c>
    </row>
    <row r="2013" spans="1:11" ht="12.5" x14ac:dyDescent="0.25">
      <c r="A2013" s="3" t="e">
        <f ca="1"/>
        <v>#NAME?</v>
      </c>
      <c r="B2013" s="2" t="s">
        <v>12</v>
      </c>
      <c r="C2013" s="2" t="s">
        <v>12</v>
      </c>
      <c r="D2013" s="2" t="s">
        <v>12</v>
      </c>
      <c r="E2013" s="2" t="s">
        <v>12</v>
      </c>
      <c r="F2013" s="2" t="s">
        <v>12</v>
      </c>
      <c r="G2013" s="2" t="s">
        <v>12</v>
      </c>
      <c r="H2013" s="2" t="s">
        <v>12</v>
      </c>
      <c r="I2013" s="2" t="s">
        <v>12</v>
      </c>
      <c r="J2013" s="2" t="s">
        <v>12</v>
      </c>
      <c r="K2013" s="2" t="s">
        <v>12</v>
      </c>
    </row>
    <row r="2014" spans="1:11" ht="12.5" x14ac:dyDescent="0.25">
      <c r="A2014" s="3" t="e">
        <f ca="1"/>
        <v>#NAME?</v>
      </c>
      <c r="B2014" s="2" t="s">
        <v>12</v>
      </c>
      <c r="C2014" s="2" t="s">
        <v>12</v>
      </c>
      <c r="D2014" s="2" t="s">
        <v>12</v>
      </c>
      <c r="E2014" s="2" t="s">
        <v>12</v>
      </c>
      <c r="F2014" s="2" t="s">
        <v>12</v>
      </c>
      <c r="G2014" s="2" t="s">
        <v>12</v>
      </c>
      <c r="H2014" s="2" t="s">
        <v>12</v>
      </c>
      <c r="I2014" s="2" t="s">
        <v>12</v>
      </c>
      <c r="J2014" s="2" t="s">
        <v>12</v>
      </c>
      <c r="K2014" s="2" t="s">
        <v>12</v>
      </c>
    </row>
    <row r="2015" spans="1:11" ht="12.5" x14ac:dyDescent="0.25">
      <c r="A2015" s="3" t="e">
        <f ca="1"/>
        <v>#NAME?</v>
      </c>
      <c r="B2015" s="2" t="s">
        <v>12</v>
      </c>
      <c r="C2015" s="2" t="s">
        <v>12</v>
      </c>
      <c r="D2015" s="2" t="s">
        <v>12</v>
      </c>
      <c r="E2015" s="2" t="s">
        <v>12</v>
      </c>
      <c r="F2015" s="2" t="s">
        <v>12</v>
      </c>
      <c r="G2015" s="2" t="s">
        <v>12</v>
      </c>
      <c r="H2015" s="2" t="s">
        <v>12</v>
      </c>
      <c r="I2015" s="2" t="s">
        <v>12</v>
      </c>
      <c r="J2015" s="2" t="s">
        <v>12</v>
      </c>
      <c r="K2015" s="2" t="s">
        <v>12</v>
      </c>
    </row>
    <row r="2016" spans="1:11" ht="12.5" x14ac:dyDescent="0.25">
      <c r="A2016" s="3" t="e">
        <f ca="1"/>
        <v>#NAME?</v>
      </c>
      <c r="B2016" s="2" t="s">
        <v>12</v>
      </c>
      <c r="C2016" s="2" t="s">
        <v>12</v>
      </c>
      <c r="D2016" s="2" t="s">
        <v>12</v>
      </c>
      <c r="E2016" s="2" t="s">
        <v>12</v>
      </c>
      <c r="F2016" s="2" t="s">
        <v>12</v>
      </c>
      <c r="G2016" s="2" t="s">
        <v>12</v>
      </c>
      <c r="H2016" s="2" t="s">
        <v>12</v>
      </c>
      <c r="I2016" s="2" t="s">
        <v>12</v>
      </c>
      <c r="J2016" s="2" t="s">
        <v>12</v>
      </c>
      <c r="K2016" s="2" t="s">
        <v>12</v>
      </c>
    </row>
    <row r="2017" spans="1:11" ht="12.5" x14ac:dyDescent="0.25">
      <c r="A2017" s="3" t="e">
        <f ca="1"/>
        <v>#NAME?</v>
      </c>
      <c r="B2017" s="2" t="s">
        <v>12</v>
      </c>
      <c r="C2017" s="2" t="s">
        <v>12</v>
      </c>
      <c r="D2017" s="2" t="s">
        <v>12</v>
      </c>
      <c r="E2017" s="2" t="s">
        <v>12</v>
      </c>
      <c r="F2017" s="2" t="s">
        <v>12</v>
      </c>
      <c r="G2017" s="2" t="s">
        <v>12</v>
      </c>
      <c r="H2017" s="2" t="s">
        <v>12</v>
      </c>
      <c r="I2017" s="2" t="s">
        <v>12</v>
      </c>
      <c r="J2017" s="2" t="s">
        <v>12</v>
      </c>
      <c r="K2017" s="2" t="s">
        <v>12</v>
      </c>
    </row>
    <row r="2018" spans="1:11" ht="12.5" x14ac:dyDescent="0.25">
      <c r="A2018" s="3" t="e">
        <f ca="1"/>
        <v>#NAME?</v>
      </c>
      <c r="B2018" s="2" t="s">
        <v>12</v>
      </c>
      <c r="C2018" s="2" t="s">
        <v>12</v>
      </c>
      <c r="D2018" s="2" t="s">
        <v>12</v>
      </c>
      <c r="E2018" s="2" t="s">
        <v>12</v>
      </c>
      <c r="F2018" s="2" t="s">
        <v>12</v>
      </c>
      <c r="G2018" s="2" t="s">
        <v>12</v>
      </c>
      <c r="H2018" s="2" t="s">
        <v>12</v>
      </c>
      <c r="I2018" s="2" t="s">
        <v>12</v>
      </c>
      <c r="J2018" s="2" t="s">
        <v>12</v>
      </c>
      <c r="K2018" s="2" t="s">
        <v>12</v>
      </c>
    </row>
    <row r="2019" spans="1:11" ht="12.5" x14ac:dyDescent="0.25">
      <c r="A2019" s="3" t="e">
        <f ca="1"/>
        <v>#NAME?</v>
      </c>
      <c r="B2019" s="2" t="s">
        <v>12</v>
      </c>
      <c r="C2019" s="2" t="s">
        <v>12</v>
      </c>
      <c r="D2019" s="2" t="s">
        <v>12</v>
      </c>
      <c r="E2019" s="2" t="s">
        <v>12</v>
      </c>
      <c r="F2019" s="2" t="s">
        <v>12</v>
      </c>
      <c r="G2019" s="2" t="s">
        <v>12</v>
      </c>
      <c r="H2019" s="2" t="s">
        <v>12</v>
      </c>
      <c r="I2019" s="2" t="s">
        <v>12</v>
      </c>
      <c r="J2019" s="2" t="s">
        <v>12</v>
      </c>
      <c r="K2019" s="2" t="s">
        <v>12</v>
      </c>
    </row>
    <row r="2020" spans="1:11" ht="12.5" x14ac:dyDescent="0.25">
      <c r="A2020" s="3" t="e">
        <f ca="1"/>
        <v>#NAME?</v>
      </c>
      <c r="B2020" s="2" t="s">
        <v>12</v>
      </c>
      <c r="C2020" s="2" t="s">
        <v>12</v>
      </c>
      <c r="D2020" s="2" t="s">
        <v>12</v>
      </c>
      <c r="E2020" s="2" t="s">
        <v>12</v>
      </c>
      <c r="F2020" s="2" t="s">
        <v>12</v>
      </c>
      <c r="G2020" s="2" t="s">
        <v>12</v>
      </c>
      <c r="H2020" s="2" t="s">
        <v>12</v>
      </c>
      <c r="I2020" s="2" t="s">
        <v>12</v>
      </c>
      <c r="J2020" s="2" t="s">
        <v>12</v>
      </c>
      <c r="K2020" s="2" t="s">
        <v>12</v>
      </c>
    </row>
    <row r="2021" spans="1:11" ht="12.5" x14ac:dyDescent="0.25">
      <c r="A2021" s="3" t="e">
        <f ca="1"/>
        <v>#NAME?</v>
      </c>
      <c r="B2021" s="2" t="s">
        <v>12</v>
      </c>
      <c r="C2021" s="2" t="s">
        <v>12</v>
      </c>
      <c r="D2021" s="2" t="s">
        <v>12</v>
      </c>
      <c r="E2021" s="2" t="s">
        <v>12</v>
      </c>
      <c r="F2021" s="2" t="s">
        <v>12</v>
      </c>
      <c r="G2021" s="2" t="s">
        <v>12</v>
      </c>
      <c r="H2021" s="2" t="s">
        <v>12</v>
      </c>
      <c r="I2021" s="2" t="s">
        <v>12</v>
      </c>
      <c r="J2021" s="2" t="s">
        <v>12</v>
      </c>
      <c r="K2021" s="2" t="s">
        <v>12</v>
      </c>
    </row>
    <row r="2022" spans="1:11" ht="12.5" x14ac:dyDescent="0.25">
      <c r="A2022" s="3" t="e">
        <f ca="1"/>
        <v>#NAME?</v>
      </c>
      <c r="B2022" s="2" t="s">
        <v>12</v>
      </c>
      <c r="C2022" s="2" t="s">
        <v>12</v>
      </c>
      <c r="D2022" s="2" t="s">
        <v>12</v>
      </c>
      <c r="E2022" s="2" t="s">
        <v>12</v>
      </c>
      <c r="F2022" s="2" t="s">
        <v>12</v>
      </c>
      <c r="G2022" s="2" t="s">
        <v>12</v>
      </c>
      <c r="H2022" s="2" t="s">
        <v>12</v>
      </c>
      <c r="I2022" s="2" t="s">
        <v>12</v>
      </c>
      <c r="J2022" s="2" t="s">
        <v>12</v>
      </c>
      <c r="K2022" s="2" t="s">
        <v>12</v>
      </c>
    </row>
    <row r="2023" spans="1:11" ht="12.5" x14ac:dyDescent="0.25">
      <c r="A2023" s="3" t="e">
        <f ca="1"/>
        <v>#NAME?</v>
      </c>
      <c r="B2023" s="2" t="s">
        <v>12</v>
      </c>
      <c r="C2023" s="2" t="s">
        <v>12</v>
      </c>
      <c r="D2023" s="2" t="s">
        <v>12</v>
      </c>
      <c r="E2023" s="2" t="s">
        <v>12</v>
      </c>
      <c r="F2023" s="2" t="s">
        <v>12</v>
      </c>
      <c r="G2023" s="2" t="s">
        <v>12</v>
      </c>
      <c r="H2023" s="2" t="s">
        <v>12</v>
      </c>
      <c r="I2023" s="2" t="s">
        <v>12</v>
      </c>
      <c r="J2023" s="2" t="s">
        <v>12</v>
      </c>
      <c r="K2023" s="2" t="s">
        <v>12</v>
      </c>
    </row>
    <row r="2024" spans="1:11" ht="12.5" x14ac:dyDescent="0.25">
      <c r="A2024" s="3" t="e">
        <f ca="1"/>
        <v>#NAME?</v>
      </c>
      <c r="B2024" s="2" t="s">
        <v>12</v>
      </c>
      <c r="C2024" s="2" t="s">
        <v>12</v>
      </c>
      <c r="D2024" s="2" t="s">
        <v>12</v>
      </c>
      <c r="E2024" s="2" t="s">
        <v>12</v>
      </c>
      <c r="F2024" s="2" t="s">
        <v>12</v>
      </c>
      <c r="G2024" s="2" t="s">
        <v>12</v>
      </c>
      <c r="H2024" s="2" t="s">
        <v>12</v>
      </c>
      <c r="I2024" s="2" t="s">
        <v>12</v>
      </c>
      <c r="J2024" s="2" t="s">
        <v>12</v>
      </c>
      <c r="K2024" s="2" t="s">
        <v>12</v>
      </c>
    </row>
    <row r="2025" spans="1:11" ht="12.5" x14ac:dyDescent="0.25">
      <c r="A2025" s="3" t="e">
        <f ca="1"/>
        <v>#NAME?</v>
      </c>
      <c r="B2025" s="2" t="s">
        <v>12</v>
      </c>
      <c r="C2025" s="2" t="s">
        <v>12</v>
      </c>
      <c r="D2025" s="2" t="s">
        <v>12</v>
      </c>
      <c r="E2025" s="2" t="s">
        <v>12</v>
      </c>
      <c r="F2025" s="2" t="s">
        <v>12</v>
      </c>
      <c r="G2025" s="2" t="s">
        <v>12</v>
      </c>
      <c r="H2025" s="2" t="s">
        <v>12</v>
      </c>
      <c r="I2025" s="2" t="s">
        <v>12</v>
      </c>
      <c r="J2025" s="2" t="s">
        <v>12</v>
      </c>
      <c r="K2025" s="2" t="s">
        <v>12</v>
      </c>
    </row>
    <row r="2026" spans="1:11" ht="12.5" x14ac:dyDescent="0.25">
      <c r="A2026" s="3" t="e">
        <f ca="1"/>
        <v>#NAME?</v>
      </c>
      <c r="B2026" s="2" t="s">
        <v>12</v>
      </c>
      <c r="C2026" s="2" t="s">
        <v>12</v>
      </c>
      <c r="D2026" s="2" t="s">
        <v>12</v>
      </c>
      <c r="E2026" s="2" t="s">
        <v>12</v>
      </c>
      <c r="F2026" s="2" t="s">
        <v>12</v>
      </c>
      <c r="G2026" s="2" t="s">
        <v>12</v>
      </c>
      <c r="H2026" s="2" t="s">
        <v>12</v>
      </c>
      <c r="I2026" s="2" t="s">
        <v>12</v>
      </c>
      <c r="J2026" s="2" t="s">
        <v>12</v>
      </c>
      <c r="K2026" s="2" t="s">
        <v>12</v>
      </c>
    </row>
    <row r="2027" spans="1:11" ht="12.5" x14ac:dyDescent="0.25">
      <c r="A2027" s="3" t="e">
        <f ca="1"/>
        <v>#NAME?</v>
      </c>
      <c r="B2027" s="2" t="s">
        <v>12</v>
      </c>
      <c r="C2027" s="2" t="s">
        <v>12</v>
      </c>
      <c r="D2027" s="2" t="s">
        <v>12</v>
      </c>
      <c r="E2027" s="2" t="s">
        <v>12</v>
      </c>
      <c r="F2027" s="2" t="s">
        <v>12</v>
      </c>
      <c r="G2027" s="2" t="s">
        <v>12</v>
      </c>
      <c r="H2027" s="2" t="s">
        <v>12</v>
      </c>
      <c r="I2027" s="2" t="s">
        <v>12</v>
      </c>
      <c r="J2027" s="2" t="s">
        <v>12</v>
      </c>
      <c r="K2027" s="2" t="s">
        <v>12</v>
      </c>
    </row>
    <row r="2028" spans="1:11" ht="12.5" x14ac:dyDescent="0.25">
      <c r="A2028" s="3" t="e">
        <f ca="1"/>
        <v>#NAME?</v>
      </c>
      <c r="B2028" s="2" t="s">
        <v>12</v>
      </c>
      <c r="C2028" s="2" t="s">
        <v>12</v>
      </c>
      <c r="D2028" s="2" t="s">
        <v>12</v>
      </c>
      <c r="E2028" s="2" t="s">
        <v>12</v>
      </c>
      <c r="F2028" s="2" t="s">
        <v>12</v>
      </c>
      <c r="G2028" s="2" t="s">
        <v>12</v>
      </c>
      <c r="H2028" s="2" t="s">
        <v>12</v>
      </c>
      <c r="I2028" s="2" t="s">
        <v>12</v>
      </c>
      <c r="J2028" s="2" t="s">
        <v>12</v>
      </c>
      <c r="K2028" s="2" t="s">
        <v>12</v>
      </c>
    </row>
    <row r="2029" spans="1:11" ht="12.5" x14ac:dyDescent="0.25">
      <c r="A2029" s="3" t="e">
        <f ca="1"/>
        <v>#NAME?</v>
      </c>
      <c r="B2029" s="2" t="s">
        <v>12</v>
      </c>
      <c r="C2029" s="2" t="s">
        <v>12</v>
      </c>
      <c r="D2029" s="2" t="s">
        <v>12</v>
      </c>
      <c r="E2029" s="2" t="s">
        <v>12</v>
      </c>
      <c r="F2029" s="2" t="s">
        <v>12</v>
      </c>
      <c r="G2029" s="2" t="s">
        <v>12</v>
      </c>
      <c r="H2029" s="2" t="s">
        <v>12</v>
      </c>
      <c r="I2029" s="2" t="s">
        <v>12</v>
      </c>
      <c r="J2029" s="2" t="s">
        <v>12</v>
      </c>
      <c r="K2029" s="2" t="s">
        <v>12</v>
      </c>
    </row>
    <row r="2030" spans="1:11" ht="12.5" x14ac:dyDescent="0.25">
      <c r="A2030" s="3" t="e">
        <f ca="1"/>
        <v>#NAME?</v>
      </c>
      <c r="B2030" s="2" t="s">
        <v>12</v>
      </c>
      <c r="C2030" s="2" t="s">
        <v>12</v>
      </c>
      <c r="D2030" s="2" t="s">
        <v>12</v>
      </c>
      <c r="E2030" s="2" t="s">
        <v>12</v>
      </c>
      <c r="F2030" s="2" t="s">
        <v>12</v>
      </c>
      <c r="G2030" s="2" t="s">
        <v>12</v>
      </c>
      <c r="H2030" s="2" t="s">
        <v>12</v>
      </c>
      <c r="I2030" s="2" t="s">
        <v>12</v>
      </c>
      <c r="J2030" s="2" t="s">
        <v>12</v>
      </c>
      <c r="K2030" s="2" t="s">
        <v>12</v>
      </c>
    </row>
    <row r="2031" spans="1:11" ht="12.5" x14ac:dyDescent="0.25">
      <c r="A2031" s="3" t="e">
        <f ca="1"/>
        <v>#NAME?</v>
      </c>
      <c r="B2031" s="2" t="s">
        <v>12</v>
      </c>
      <c r="C2031" s="2" t="s">
        <v>12</v>
      </c>
      <c r="D2031" s="2" t="s">
        <v>12</v>
      </c>
      <c r="E2031" s="2" t="s">
        <v>12</v>
      </c>
      <c r="F2031" s="2" t="s">
        <v>12</v>
      </c>
      <c r="G2031" s="2" t="s">
        <v>12</v>
      </c>
      <c r="H2031" s="2" t="s">
        <v>12</v>
      </c>
      <c r="I2031" s="2" t="s">
        <v>12</v>
      </c>
      <c r="J2031" s="2" t="s">
        <v>12</v>
      </c>
      <c r="K2031" s="2" t="s">
        <v>12</v>
      </c>
    </row>
    <row r="2032" spans="1:11" ht="12.5" x14ac:dyDescent="0.25">
      <c r="A2032" s="3" t="e">
        <f ca="1"/>
        <v>#NAME?</v>
      </c>
      <c r="B2032" s="2" t="s">
        <v>12</v>
      </c>
      <c r="C2032" s="2" t="s">
        <v>12</v>
      </c>
      <c r="D2032" s="2" t="s">
        <v>12</v>
      </c>
      <c r="E2032" s="2" t="s">
        <v>12</v>
      </c>
      <c r="F2032" s="2" t="s">
        <v>12</v>
      </c>
      <c r="G2032" s="2" t="s">
        <v>12</v>
      </c>
      <c r="H2032" s="2" t="s">
        <v>12</v>
      </c>
      <c r="I2032" s="2" t="s">
        <v>12</v>
      </c>
      <c r="J2032" s="2" t="s">
        <v>12</v>
      </c>
      <c r="K2032" s="2" t="s">
        <v>12</v>
      </c>
    </row>
    <row r="2033" spans="1:11" ht="12.5" x14ac:dyDescent="0.25">
      <c r="A2033" s="3" t="e">
        <f ca="1"/>
        <v>#NAME?</v>
      </c>
      <c r="B2033" s="2" t="s">
        <v>12</v>
      </c>
      <c r="C2033" s="2" t="s">
        <v>12</v>
      </c>
      <c r="D2033" s="2" t="s">
        <v>12</v>
      </c>
      <c r="E2033" s="2" t="s">
        <v>12</v>
      </c>
      <c r="F2033" s="2" t="s">
        <v>12</v>
      </c>
      <c r="G2033" s="2" t="s">
        <v>12</v>
      </c>
      <c r="H2033" s="2" t="s">
        <v>12</v>
      </c>
      <c r="I2033" s="2" t="s">
        <v>12</v>
      </c>
      <c r="J2033" s="2" t="s">
        <v>12</v>
      </c>
      <c r="K2033" s="2" t="s">
        <v>12</v>
      </c>
    </row>
    <row r="2034" spans="1:11" ht="12.5" x14ac:dyDescent="0.25">
      <c r="A2034" s="3" t="e">
        <f ca="1"/>
        <v>#NAME?</v>
      </c>
      <c r="B2034" s="2" t="s">
        <v>12</v>
      </c>
      <c r="C2034" s="2" t="s">
        <v>12</v>
      </c>
      <c r="D2034" s="2" t="s">
        <v>12</v>
      </c>
      <c r="E2034" s="2" t="s">
        <v>12</v>
      </c>
      <c r="F2034" s="2" t="s">
        <v>12</v>
      </c>
      <c r="G2034" s="2" t="s">
        <v>12</v>
      </c>
      <c r="H2034" s="2" t="s">
        <v>12</v>
      </c>
      <c r="I2034" s="2" t="s">
        <v>12</v>
      </c>
      <c r="J2034" s="2" t="s">
        <v>12</v>
      </c>
      <c r="K2034" s="2" t="s">
        <v>12</v>
      </c>
    </row>
    <row r="2035" spans="1:11" ht="12.5" x14ac:dyDescent="0.25">
      <c r="A2035" s="3" t="e">
        <f ca="1"/>
        <v>#NAME?</v>
      </c>
      <c r="B2035" s="2" t="s">
        <v>12</v>
      </c>
      <c r="C2035" s="2" t="s">
        <v>12</v>
      </c>
      <c r="D2035" s="2" t="s">
        <v>12</v>
      </c>
      <c r="E2035" s="2" t="s">
        <v>12</v>
      </c>
      <c r="F2035" s="2" t="s">
        <v>12</v>
      </c>
      <c r="G2035" s="2" t="s">
        <v>12</v>
      </c>
      <c r="H2035" s="2" t="s">
        <v>12</v>
      </c>
      <c r="I2035" s="2" t="s">
        <v>12</v>
      </c>
      <c r="J2035" s="2" t="s">
        <v>12</v>
      </c>
      <c r="K2035" s="2" t="s">
        <v>12</v>
      </c>
    </row>
    <row r="2036" spans="1:11" ht="12.5" x14ac:dyDescent="0.25">
      <c r="A2036" s="3" t="e">
        <f ca="1"/>
        <v>#NAME?</v>
      </c>
      <c r="B2036" s="2" t="s">
        <v>12</v>
      </c>
      <c r="C2036" s="2" t="s">
        <v>12</v>
      </c>
      <c r="D2036" s="2" t="s">
        <v>12</v>
      </c>
      <c r="E2036" s="2" t="s">
        <v>12</v>
      </c>
      <c r="F2036" s="2" t="s">
        <v>12</v>
      </c>
      <c r="G2036" s="2" t="s">
        <v>12</v>
      </c>
      <c r="H2036" s="2" t="s">
        <v>12</v>
      </c>
      <c r="I2036" s="2" t="s">
        <v>12</v>
      </c>
      <c r="J2036" s="2" t="s">
        <v>12</v>
      </c>
      <c r="K2036" s="2" t="s">
        <v>12</v>
      </c>
    </row>
    <row r="2037" spans="1:11" ht="12.5" x14ac:dyDescent="0.25">
      <c r="A2037" s="3" t="e">
        <f ca="1"/>
        <v>#NAME?</v>
      </c>
      <c r="B2037" s="2" t="s">
        <v>12</v>
      </c>
      <c r="C2037" s="2" t="s">
        <v>12</v>
      </c>
      <c r="D2037" s="2" t="s">
        <v>12</v>
      </c>
      <c r="E2037" s="2" t="s">
        <v>12</v>
      </c>
      <c r="F2037" s="2" t="s">
        <v>12</v>
      </c>
      <c r="G2037" s="2" t="s">
        <v>12</v>
      </c>
      <c r="H2037" s="2" t="s">
        <v>12</v>
      </c>
      <c r="I2037" s="2" t="s">
        <v>12</v>
      </c>
      <c r="J2037" s="2" t="s">
        <v>12</v>
      </c>
      <c r="K2037" s="2" t="s">
        <v>12</v>
      </c>
    </row>
    <row r="2038" spans="1:11" ht="12.5" x14ac:dyDescent="0.25">
      <c r="A2038" s="3" t="e">
        <f ca="1"/>
        <v>#NAME?</v>
      </c>
      <c r="B2038" s="2" t="s">
        <v>12</v>
      </c>
      <c r="C2038" s="2" t="s">
        <v>12</v>
      </c>
      <c r="D2038" s="2" t="s">
        <v>12</v>
      </c>
      <c r="E2038" s="2" t="s">
        <v>12</v>
      </c>
      <c r="F2038" s="2" t="s">
        <v>12</v>
      </c>
      <c r="G2038" s="2" t="s">
        <v>12</v>
      </c>
      <c r="H2038" s="2" t="s">
        <v>12</v>
      </c>
      <c r="I2038" s="2" t="s">
        <v>12</v>
      </c>
      <c r="J2038" s="2" t="s">
        <v>12</v>
      </c>
      <c r="K2038" s="2" t="s">
        <v>12</v>
      </c>
    </row>
    <row r="2039" spans="1:11" ht="12.5" x14ac:dyDescent="0.25">
      <c r="A2039" s="3" t="e">
        <f ca="1"/>
        <v>#NAME?</v>
      </c>
      <c r="B2039" s="2" t="s">
        <v>12</v>
      </c>
      <c r="C2039" s="2" t="s">
        <v>12</v>
      </c>
      <c r="D2039" s="2" t="s">
        <v>12</v>
      </c>
      <c r="E2039" s="2" t="s">
        <v>12</v>
      </c>
      <c r="F2039" s="2" t="s">
        <v>12</v>
      </c>
      <c r="G2039" s="2" t="s">
        <v>12</v>
      </c>
      <c r="H2039" s="2" t="s">
        <v>12</v>
      </c>
      <c r="I2039" s="2" t="s">
        <v>12</v>
      </c>
      <c r="J2039" s="2" t="s">
        <v>12</v>
      </c>
      <c r="K2039" s="2" t="s">
        <v>12</v>
      </c>
    </row>
    <row r="2040" spans="1:11" ht="12.5" x14ac:dyDescent="0.25">
      <c r="A2040" s="3" t="e">
        <f ca="1"/>
        <v>#NAME?</v>
      </c>
      <c r="B2040" s="2" t="s">
        <v>12</v>
      </c>
      <c r="C2040" s="2" t="s">
        <v>12</v>
      </c>
      <c r="D2040" s="2" t="s">
        <v>12</v>
      </c>
      <c r="E2040" s="2" t="s">
        <v>12</v>
      </c>
      <c r="F2040" s="2" t="s">
        <v>12</v>
      </c>
      <c r="G2040" s="2" t="s">
        <v>12</v>
      </c>
      <c r="H2040" s="2" t="s">
        <v>12</v>
      </c>
      <c r="I2040" s="2" t="s">
        <v>12</v>
      </c>
      <c r="J2040" s="2" t="s">
        <v>12</v>
      </c>
      <c r="K2040" s="2" t="s">
        <v>12</v>
      </c>
    </row>
    <row r="2041" spans="1:11" ht="12.5" x14ac:dyDescent="0.25">
      <c r="A2041" s="3" t="e">
        <f ca="1"/>
        <v>#NAME?</v>
      </c>
      <c r="B2041" s="2" t="s">
        <v>12</v>
      </c>
      <c r="C2041" s="2" t="s">
        <v>12</v>
      </c>
      <c r="D2041" s="2" t="s">
        <v>12</v>
      </c>
      <c r="E2041" s="2" t="s">
        <v>12</v>
      </c>
      <c r="F2041" s="2" t="s">
        <v>12</v>
      </c>
      <c r="G2041" s="2" t="s">
        <v>12</v>
      </c>
      <c r="H2041" s="2" t="s">
        <v>12</v>
      </c>
      <c r="I2041" s="2" t="s">
        <v>12</v>
      </c>
      <c r="J2041" s="2" t="s">
        <v>12</v>
      </c>
      <c r="K2041" s="2" t="s">
        <v>12</v>
      </c>
    </row>
    <row r="2042" spans="1:11" ht="12.5" x14ac:dyDescent="0.25">
      <c r="A2042" s="3" t="e">
        <f ca="1"/>
        <v>#NAME?</v>
      </c>
      <c r="B2042" s="2" t="s">
        <v>12</v>
      </c>
      <c r="C2042" s="2" t="s">
        <v>12</v>
      </c>
      <c r="D2042" s="2" t="s">
        <v>12</v>
      </c>
      <c r="E2042" s="2" t="s">
        <v>12</v>
      </c>
      <c r="F2042" s="2" t="s">
        <v>12</v>
      </c>
      <c r="G2042" s="2" t="s">
        <v>12</v>
      </c>
      <c r="H2042" s="2" t="s">
        <v>12</v>
      </c>
      <c r="I2042" s="2" t="s">
        <v>12</v>
      </c>
      <c r="J2042" s="2" t="s">
        <v>12</v>
      </c>
      <c r="K2042" s="2" t="s">
        <v>12</v>
      </c>
    </row>
    <row r="2043" spans="1:11" ht="12.5" x14ac:dyDescent="0.25">
      <c r="A2043" s="3" t="e">
        <f ca="1"/>
        <v>#NAME?</v>
      </c>
      <c r="B2043" s="2" t="s">
        <v>12</v>
      </c>
      <c r="C2043" s="2" t="s">
        <v>12</v>
      </c>
      <c r="D2043" s="2" t="s">
        <v>12</v>
      </c>
      <c r="E2043" s="2" t="s">
        <v>12</v>
      </c>
      <c r="F2043" s="2" t="s">
        <v>12</v>
      </c>
      <c r="G2043" s="2" t="s">
        <v>12</v>
      </c>
      <c r="H2043" s="2" t="s">
        <v>12</v>
      </c>
      <c r="I2043" s="2" t="s">
        <v>12</v>
      </c>
      <c r="J2043" s="2" t="s">
        <v>12</v>
      </c>
      <c r="K2043" s="2" t="s">
        <v>12</v>
      </c>
    </row>
    <row r="2044" spans="1:11" ht="12.5" x14ac:dyDescent="0.25">
      <c r="A2044" s="3" t="e">
        <f ca="1"/>
        <v>#NAME?</v>
      </c>
      <c r="B2044" s="2" t="s">
        <v>12</v>
      </c>
      <c r="C2044" s="2" t="s">
        <v>12</v>
      </c>
      <c r="D2044" s="2" t="s">
        <v>12</v>
      </c>
      <c r="E2044" s="2" t="s">
        <v>12</v>
      </c>
      <c r="F2044" s="2" t="s">
        <v>12</v>
      </c>
      <c r="G2044" s="2" t="s">
        <v>12</v>
      </c>
      <c r="H2044" s="2" t="s">
        <v>12</v>
      </c>
      <c r="I2044" s="2" t="s">
        <v>12</v>
      </c>
      <c r="J2044" s="2" t="s">
        <v>12</v>
      </c>
      <c r="K2044" s="2" t="s">
        <v>12</v>
      </c>
    </row>
    <row r="2045" spans="1:11" ht="12.5" x14ac:dyDescent="0.25">
      <c r="A2045" s="3" t="e">
        <f ca="1"/>
        <v>#NAME?</v>
      </c>
      <c r="B2045" s="2" t="s">
        <v>12</v>
      </c>
      <c r="C2045" s="2" t="s">
        <v>12</v>
      </c>
      <c r="D2045" s="2" t="s">
        <v>12</v>
      </c>
      <c r="E2045" s="2" t="s">
        <v>12</v>
      </c>
      <c r="F2045" s="2" t="s">
        <v>12</v>
      </c>
      <c r="G2045" s="2" t="s">
        <v>12</v>
      </c>
      <c r="H2045" s="2" t="s">
        <v>12</v>
      </c>
      <c r="I2045" s="2" t="s">
        <v>12</v>
      </c>
      <c r="J2045" s="2" t="s">
        <v>12</v>
      </c>
      <c r="K2045" s="2" t="s">
        <v>12</v>
      </c>
    </row>
    <row r="2046" spans="1:11" ht="12.5" x14ac:dyDescent="0.25">
      <c r="A2046" s="3" t="e">
        <f ca="1"/>
        <v>#NAME?</v>
      </c>
      <c r="B2046" s="2" t="s">
        <v>12</v>
      </c>
      <c r="C2046" s="2" t="s">
        <v>12</v>
      </c>
      <c r="D2046" s="2" t="s">
        <v>12</v>
      </c>
      <c r="E2046" s="2" t="s">
        <v>12</v>
      </c>
      <c r="F2046" s="2" t="s">
        <v>12</v>
      </c>
      <c r="G2046" s="2" t="s">
        <v>12</v>
      </c>
      <c r="H2046" s="2" t="s">
        <v>12</v>
      </c>
      <c r="I2046" s="2" t="s">
        <v>12</v>
      </c>
      <c r="J2046" s="2" t="s">
        <v>12</v>
      </c>
      <c r="K2046" s="2" t="s">
        <v>12</v>
      </c>
    </row>
    <row r="2047" spans="1:11" ht="12.5" x14ac:dyDescent="0.25">
      <c r="A2047" s="3" t="e">
        <f ca="1"/>
        <v>#NAME?</v>
      </c>
      <c r="B2047" s="2" t="s">
        <v>12</v>
      </c>
      <c r="C2047" s="2" t="s">
        <v>12</v>
      </c>
      <c r="D2047" s="2" t="s">
        <v>12</v>
      </c>
      <c r="E2047" s="2" t="s">
        <v>12</v>
      </c>
      <c r="F2047" s="2" t="s">
        <v>12</v>
      </c>
      <c r="G2047" s="2" t="s">
        <v>12</v>
      </c>
      <c r="H2047" s="2" t="s">
        <v>12</v>
      </c>
      <c r="I2047" s="2" t="s">
        <v>12</v>
      </c>
      <c r="J2047" s="2" t="s">
        <v>12</v>
      </c>
      <c r="K2047" s="2" t="s">
        <v>12</v>
      </c>
    </row>
    <row r="2048" spans="1:11" ht="12.5" x14ac:dyDescent="0.25">
      <c r="A2048" s="3" t="e">
        <f ca="1"/>
        <v>#NAME?</v>
      </c>
      <c r="B2048" s="2" t="s">
        <v>12</v>
      </c>
      <c r="C2048" s="2" t="s">
        <v>12</v>
      </c>
      <c r="D2048" s="2" t="s">
        <v>12</v>
      </c>
      <c r="E2048" s="2" t="s">
        <v>12</v>
      </c>
      <c r="F2048" s="2" t="s">
        <v>12</v>
      </c>
      <c r="G2048" s="2" t="s">
        <v>12</v>
      </c>
      <c r="H2048" s="2" t="s">
        <v>12</v>
      </c>
      <c r="I2048" s="2" t="s">
        <v>12</v>
      </c>
      <c r="J2048" s="2" t="s">
        <v>12</v>
      </c>
      <c r="K2048" s="2" t="s">
        <v>12</v>
      </c>
    </row>
    <row r="2049" spans="1:11" ht="12.5" x14ac:dyDescent="0.25">
      <c r="A2049" s="3" t="e">
        <f ca="1"/>
        <v>#NAME?</v>
      </c>
      <c r="B2049" s="2" t="s">
        <v>12</v>
      </c>
      <c r="C2049" s="2" t="s">
        <v>12</v>
      </c>
      <c r="D2049" s="2" t="s">
        <v>12</v>
      </c>
      <c r="E2049" s="2" t="s">
        <v>12</v>
      </c>
      <c r="F2049" s="2" t="s">
        <v>12</v>
      </c>
      <c r="G2049" s="2" t="s">
        <v>12</v>
      </c>
      <c r="H2049" s="2" t="s">
        <v>12</v>
      </c>
      <c r="I2049" s="2" t="s">
        <v>12</v>
      </c>
      <c r="J2049" s="2" t="s">
        <v>12</v>
      </c>
      <c r="K2049" s="2" t="s">
        <v>12</v>
      </c>
    </row>
    <row r="2050" spans="1:11" ht="12.5" x14ac:dyDescent="0.25">
      <c r="A2050" s="3" t="e">
        <f ca="1"/>
        <v>#NAME?</v>
      </c>
      <c r="B2050" s="2" t="s">
        <v>12</v>
      </c>
      <c r="C2050" s="2" t="s">
        <v>12</v>
      </c>
      <c r="D2050" s="2" t="s">
        <v>12</v>
      </c>
      <c r="E2050" s="2" t="s">
        <v>12</v>
      </c>
      <c r="F2050" s="2" t="s">
        <v>12</v>
      </c>
      <c r="G2050" s="2" t="s">
        <v>12</v>
      </c>
      <c r="H2050" s="2" t="s">
        <v>12</v>
      </c>
      <c r="I2050" s="2" t="s">
        <v>12</v>
      </c>
      <c r="J2050" s="2" t="s">
        <v>12</v>
      </c>
      <c r="K2050" s="2" t="s">
        <v>12</v>
      </c>
    </row>
    <row r="2051" spans="1:11" ht="12.5" x14ac:dyDescent="0.25">
      <c r="A2051" s="3" t="e">
        <f ca="1"/>
        <v>#NAME?</v>
      </c>
      <c r="B2051" s="2" t="s">
        <v>12</v>
      </c>
      <c r="C2051" s="2" t="s">
        <v>12</v>
      </c>
      <c r="D2051" s="2" t="s">
        <v>12</v>
      </c>
      <c r="E2051" s="2" t="s">
        <v>12</v>
      </c>
      <c r="F2051" s="2" t="s">
        <v>12</v>
      </c>
      <c r="G2051" s="2" t="s">
        <v>12</v>
      </c>
      <c r="H2051" s="2" t="s">
        <v>12</v>
      </c>
      <c r="I2051" s="2" t="s">
        <v>12</v>
      </c>
      <c r="J2051" s="2" t="s">
        <v>12</v>
      </c>
      <c r="K2051" s="2" t="s">
        <v>12</v>
      </c>
    </row>
    <row r="2052" spans="1:11" ht="12.5" x14ac:dyDescent="0.25">
      <c r="A2052" s="3" t="e">
        <f ca="1"/>
        <v>#NAME?</v>
      </c>
      <c r="B2052" s="2" t="s">
        <v>12</v>
      </c>
      <c r="C2052" s="2" t="s">
        <v>12</v>
      </c>
      <c r="D2052" s="2" t="s">
        <v>12</v>
      </c>
      <c r="E2052" s="2" t="s">
        <v>12</v>
      </c>
      <c r="F2052" s="2" t="s">
        <v>12</v>
      </c>
      <c r="G2052" s="2" t="s">
        <v>12</v>
      </c>
      <c r="H2052" s="2" t="s">
        <v>12</v>
      </c>
      <c r="I2052" s="2" t="s">
        <v>12</v>
      </c>
      <c r="J2052" s="2" t="s">
        <v>12</v>
      </c>
      <c r="K2052" s="2" t="s">
        <v>12</v>
      </c>
    </row>
    <row r="2053" spans="1:11" ht="12.5" x14ac:dyDescent="0.25">
      <c r="A2053" s="3" t="e">
        <f ca="1"/>
        <v>#NAME?</v>
      </c>
      <c r="B2053" s="2" t="s">
        <v>12</v>
      </c>
      <c r="C2053" s="2" t="s">
        <v>12</v>
      </c>
      <c r="D2053" s="2" t="s">
        <v>12</v>
      </c>
      <c r="E2053" s="2" t="s">
        <v>12</v>
      </c>
      <c r="F2053" s="2" t="s">
        <v>12</v>
      </c>
      <c r="G2053" s="2" t="s">
        <v>12</v>
      </c>
      <c r="H2053" s="2" t="s">
        <v>12</v>
      </c>
      <c r="I2053" s="2" t="s">
        <v>12</v>
      </c>
      <c r="J2053" s="2" t="s">
        <v>12</v>
      </c>
      <c r="K2053" s="2" t="s">
        <v>12</v>
      </c>
    </row>
    <row r="2054" spans="1:11" ht="12.5" x14ac:dyDescent="0.25">
      <c r="A2054" s="3" t="e">
        <f ca="1"/>
        <v>#NAME?</v>
      </c>
      <c r="B2054" s="2" t="s">
        <v>12</v>
      </c>
      <c r="C2054" s="2" t="s">
        <v>12</v>
      </c>
      <c r="D2054" s="2" t="s">
        <v>12</v>
      </c>
      <c r="E2054" s="2" t="s">
        <v>12</v>
      </c>
      <c r="F2054" s="2" t="s">
        <v>12</v>
      </c>
      <c r="G2054" s="2" t="s">
        <v>12</v>
      </c>
      <c r="H2054" s="2" t="s">
        <v>12</v>
      </c>
      <c r="I2054" s="2" t="s">
        <v>12</v>
      </c>
      <c r="J2054" s="2" t="s">
        <v>12</v>
      </c>
      <c r="K2054" s="2" t="s">
        <v>12</v>
      </c>
    </row>
    <row r="2055" spans="1:11" ht="12.5" x14ac:dyDescent="0.25">
      <c r="A2055" s="3" t="e">
        <f ca="1"/>
        <v>#NAME?</v>
      </c>
      <c r="B2055" s="2" t="s">
        <v>12</v>
      </c>
      <c r="C2055" s="2" t="s">
        <v>12</v>
      </c>
      <c r="D2055" s="2" t="s">
        <v>12</v>
      </c>
      <c r="E2055" s="2" t="s">
        <v>12</v>
      </c>
      <c r="F2055" s="2" t="s">
        <v>12</v>
      </c>
      <c r="G2055" s="2" t="s">
        <v>12</v>
      </c>
      <c r="H2055" s="2" t="s">
        <v>12</v>
      </c>
      <c r="I2055" s="2" t="s">
        <v>12</v>
      </c>
      <c r="J2055" s="2" t="s">
        <v>12</v>
      </c>
      <c r="K2055" s="2" t="s">
        <v>12</v>
      </c>
    </row>
    <row r="2056" spans="1:11" ht="12.5" x14ac:dyDescent="0.25">
      <c r="A2056" s="3" t="e">
        <f ca="1"/>
        <v>#NAME?</v>
      </c>
      <c r="B2056" s="2" t="s">
        <v>12</v>
      </c>
      <c r="C2056" s="2" t="s">
        <v>12</v>
      </c>
      <c r="D2056" s="2" t="s">
        <v>12</v>
      </c>
      <c r="E2056" s="2" t="s">
        <v>12</v>
      </c>
      <c r="F2056" s="2" t="s">
        <v>12</v>
      </c>
      <c r="G2056" s="2" t="s">
        <v>12</v>
      </c>
      <c r="H2056" s="2" t="s">
        <v>12</v>
      </c>
      <c r="I2056" s="2" t="s">
        <v>12</v>
      </c>
      <c r="J2056" s="2" t="s">
        <v>12</v>
      </c>
      <c r="K2056" s="2" t="s">
        <v>12</v>
      </c>
    </row>
    <row r="2057" spans="1:11" ht="12.5" x14ac:dyDescent="0.25">
      <c r="A2057" s="3" t="e">
        <f ca="1"/>
        <v>#NAME?</v>
      </c>
      <c r="B2057" s="2" t="s">
        <v>12</v>
      </c>
      <c r="C2057" s="2" t="s">
        <v>12</v>
      </c>
      <c r="D2057" s="2" t="s">
        <v>12</v>
      </c>
      <c r="E2057" s="2" t="s">
        <v>12</v>
      </c>
      <c r="F2057" s="2" t="s">
        <v>12</v>
      </c>
      <c r="G2057" s="2" t="s">
        <v>12</v>
      </c>
      <c r="H2057" s="2" t="s">
        <v>12</v>
      </c>
      <c r="I2057" s="2" t="s">
        <v>12</v>
      </c>
      <c r="J2057" s="2" t="s">
        <v>12</v>
      </c>
      <c r="K2057" s="2" t="s">
        <v>12</v>
      </c>
    </row>
    <row r="2058" spans="1:11" ht="12.5" x14ac:dyDescent="0.25">
      <c r="A2058" s="3" t="e">
        <f ca="1"/>
        <v>#NAME?</v>
      </c>
      <c r="B2058" s="2" t="s">
        <v>12</v>
      </c>
      <c r="C2058" s="2" t="s">
        <v>12</v>
      </c>
      <c r="D2058" s="2" t="s">
        <v>12</v>
      </c>
      <c r="E2058" s="2" t="s">
        <v>12</v>
      </c>
      <c r="F2058" s="2" t="s">
        <v>12</v>
      </c>
      <c r="G2058" s="2" t="s">
        <v>12</v>
      </c>
      <c r="H2058" s="2" t="s">
        <v>12</v>
      </c>
      <c r="I2058" s="2" t="s">
        <v>12</v>
      </c>
      <c r="J2058" s="2" t="s">
        <v>12</v>
      </c>
      <c r="K2058" s="2" t="s">
        <v>12</v>
      </c>
    </row>
    <row r="2059" spans="1:11" ht="12.5" x14ac:dyDescent="0.25">
      <c r="A2059" s="3" t="e">
        <f ca="1"/>
        <v>#NAME?</v>
      </c>
      <c r="B2059" s="2" t="s">
        <v>12</v>
      </c>
      <c r="C2059" s="2" t="s">
        <v>12</v>
      </c>
      <c r="D2059" s="2" t="s">
        <v>12</v>
      </c>
      <c r="E2059" s="2" t="s">
        <v>12</v>
      </c>
      <c r="F2059" s="2" t="s">
        <v>12</v>
      </c>
      <c r="G2059" s="2" t="s">
        <v>12</v>
      </c>
      <c r="H2059" s="2" t="s">
        <v>12</v>
      </c>
      <c r="I2059" s="2" t="s">
        <v>12</v>
      </c>
      <c r="J2059" s="2" t="s">
        <v>12</v>
      </c>
      <c r="K2059" s="2" t="s">
        <v>12</v>
      </c>
    </row>
    <row r="2060" spans="1:11" ht="12.5" x14ac:dyDescent="0.25">
      <c r="A2060" s="3" t="e">
        <f ca="1"/>
        <v>#NAME?</v>
      </c>
      <c r="B2060" s="2" t="s">
        <v>12</v>
      </c>
      <c r="C2060" s="2" t="s">
        <v>12</v>
      </c>
      <c r="D2060" s="2" t="s">
        <v>12</v>
      </c>
      <c r="E2060" s="2" t="s">
        <v>12</v>
      </c>
      <c r="F2060" s="2" t="s">
        <v>12</v>
      </c>
      <c r="G2060" s="2" t="s">
        <v>12</v>
      </c>
      <c r="H2060" s="2" t="s">
        <v>12</v>
      </c>
      <c r="I2060" s="2" t="s">
        <v>12</v>
      </c>
      <c r="J2060" s="2" t="s">
        <v>12</v>
      </c>
      <c r="K2060" s="2" t="s">
        <v>12</v>
      </c>
    </row>
    <row r="2061" spans="1:11" ht="12.5" x14ac:dyDescent="0.25">
      <c r="A2061" s="3" t="e">
        <f ca="1"/>
        <v>#NAME?</v>
      </c>
      <c r="B2061" s="2" t="s">
        <v>12</v>
      </c>
      <c r="C2061" s="2" t="s">
        <v>12</v>
      </c>
      <c r="D2061" s="2" t="s">
        <v>12</v>
      </c>
      <c r="E2061" s="2" t="s">
        <v>12</v>
      </c>
      <c r="F2061" s="2" t="s">
        <v>12</v>
      </c>
      <c r="G2061" s="2" t="s">
        <v>12</v>
      </c>
      <c r="H2061" s="2" t="s">
        <v>12</v>
      </c>
      <c r="I2061" s="2" t="s">
        <v>12</v>
      </c>
      <c r="J2061" s="2" t="s">
        <v>12</v>
      </c>
      <c r="K2061" s="2" t="s">
        <v>12</v>
      </c>
    </row>
    <row r="2062" spans="1:11" ht="12.5" x14ac:dyDescent="0.25">
      <c r="A2062" s="3" t="e">
        <f ca="1"/>
        <v>#NAME?</v>
      </c>
      <c r="B2062" s="2" t="s">
        <v>12</v>
      </c>
      <c r="C2062" s="2" t="s">
        <v>12</v>
      </c>
      <c r="D2062" s="2" t="s">
        <v>12</v>
      </c>
      <c r="E2062" s="2" t="s">
        <v>12</v>
      </c>
      <c r="F2062" s="2" t="s">
        <v>12</v>
      </c>
      <c r="G2062" s="2" t="s">
        <v>12</v>
      </c>
      <c r="H2062" s="2" t="s">
        <v>12</v>
      </c>
      <c r="I2062" s="2" t="s">
        <v>12</v>
      </c>
      <c r="J2062" s="2" t="s">
        <v>12</v>
      </c>
      <c r="K2062" s="2" t="s">
        <v>12</v>
      </c>
    </row>
    <row r="2063" spans="1:11" ht="12.5" x14ac:dyDescent="0.25">
      <c r="A2063" s="3" t="e">
        <f ca="1"/>
        <v>#NAME?</v>
      </c>
      <c r="B2063" s="2" t="s">
        <v>12</v>
      </c>
      <c r="C2063" s="2" t="s">
        <v>12</v>
      </c>
      <c r="D2063" s="2" t="s">
        <v>12</v>
      </c>
      <c r="E2063" s="2" t="s">
        <v>12</v>
      </c>
      <c r="F2063" s="2" t="s">
        <v>12</v>
      </c>
      <c r="G2063" s="2" t="s">
        <v>12</v>
      </c>
      <c r="H2063" s="2" t="s">
        <v>12</v>
      </c>
      <c r="I2063" s="2" t="s">
        <v>12</v>
      </c>
      <c r="J2063" s="2" t="s">
        <v>12</v>
      </c>
      <c r="K2063" s="2" t="s">
        <v>12</v>
      </c>
    </row>
    <row r="2064" spans="1:11" ht="12.5" x14ac:dyDescent="0.25">
      <c r="A2064" s="3" t="e">
        <f ca="1"/>
        <v>#NAME?</v>
      </c>
      <c r="B2064" s="2" t="s">
        <v>12</v>
      </c>
      <c r="C2064" s="2" t="s">
        <v>12</v>
      </c>
      <c r="D2064" s="2" t="s">
        <v>12</v>
      </c>
      <c r="E2064" s="2" t="s">
        <v>12</v>
      </c>
      <c r="F2064" s="2" t="s">
        <v>12</v>
      </c>
      <c r="G2064" s="2" t="s">
        <v>12</v>
      </c>
      <c r="H2064" s="2" t="s">
        <v>12</v>
      </c>
      <c r="I2064" s="2" t="s">
        <v>12</v>
      </c>
      <c r="J2064" s="2" t="s">
        <v>12</v>
      </c>
      <c r="K2064" s="2" t="s">
        <v>12</v>
      </c>
    </row>
    <row r="2065" spans="1:11" ht="12.5" x14ac:dyDescent="0.25">
      <c r="A2065" s="3" t="e">
        <f ca="1"/>
        <v>#NAME?</v>
      </c>
      <c r="B2065" s="2" t="s">
        <v>12</v>
      </c>
      <c r="C2065" s="2" t="s">
        <v>12</v>
      </c>
      <c r="D2065" s="2" t="s">
        <v>12</v>
      </c>
      <c r="E2065" s="2" t="s">
        <v>12</v>
      </c>
      <c r="F2065" s="2" t="s">
        <v>12</v>
      </c>
      <c r="G2065" s="2" t="s">
        <v>12</v>
      </c>
      <c r="H2065" s="2" t="s">
        <v>12</v>
      </c>
      <c r="I2065" s="2" t="s">
        <v>12</v>
      </c>
      <c r="J2065" s="2" t="s">
        <v>12</v>
      </c>
      <c r="K2065" s="2" t="s">
        <v>12</v>
      </c>
    </row>
    <row r="2066" spans="1:11" ht="12.5" x14ac:dyDescent="0.25">
      <c r="A2066" s="3" t="e">
        <f ca="1"/>
        <v>#NAME?</v>
      </c>
      <c r="B2066" s="2" t="s">
        <v>12</v>
      </c>
      <c r="C2066" s="2" t="s">
        <v>12</v>
      </c>
      <c r="D2066" s="2" t="s">
        <v>12</v>
      </c>
      <c r="E2066" s="2" t="s">
        <v>12</v>
      </c>
      <c r="F2066" s="2" t="s">
        <v>12</v>
      </c>
      <c r="G2066" s="2" t="s">
        <v>12</v>
      </c>
      <c r="H2066" s="2" t="s">
        <v>12</v>
      </c>
      <c r="I2066" s="2" t="s">
        <v>12</v>
      </c>
      <c r="J2066" s="2" t="s">
        <v>12</v>
      </c>
      <c r="K2066" s="2" t="s">
        <v>12</v>
      </c>
    </row>
    <row r="2067" spans="1:11" ht="12.5" x14ac:dyDescent="0.25">
      <c r="A2067" s="3" t="e">
        <f ca="1"/>
        <v>#NAME?</v>
      </c>
      <c r="B2067" s="2" t="s">
        <v>12</v>
      </c>
      <c r="C2067" s="2" t="s">
        <v>12</v>
      </c>
      <c r="D2067" s="2" t="s">
        <v>12</v>
      </c>
      <c r="E2067" s="2" t="s">
        <v>12</v>
      </c>
      <c r="F2067" s="2" t="s">
        <v>12</v>
      </c>
      <c r="G2067" s="2" t="s">
        <v>12</v>
      </c>
      <c r="H2067" s="2" t="s">
        <v>12</v>
      </c>
      <c r="I2067" s="2" t="s">
        <v>12</v>
      </c>
      <c r="J2067" s="2" t="s">
        <v>12</v>
      </c>
      <c r="K2067" s="2" t="s">
        <v>12</v>
      </c>
    </row>
    <row r="2068" spans="1:11" ht="12.5" x14ac:dyDescent="0.25">
      <c r="A2068" s="3" t="e">
        <f ca="1"/>
        <v>#NAME?</v>
      </c>
      <c r="B2068" s="2" t="s">
        <v>12</v>
      </c>
      <c r="C2068" s="2" t="s">
        <v>12</v>
      </c>
      <c r="D2068" s="2" t="s">
        <v>12</v>
      </c>
      <c r="E2068" s="2" t="s">
        <v>12</v>
      </c>
      <c r="F2068" s="2" t="s">
        <v>12</v>
      </c>
      <c r="G2068" s="2" t="s">
        <v>12</v>
      </c>
      <c r="H2068" s="2" t="s">
        <v>12</v>
      </c>
      <c r="I2068" s="2" t="s">
        <v>12</v>
      </c>
      <c r="J2068" s="2" t="s">
        <v>12</v>
      </c>
      <c r="K2068" s="2" t="s">
        <v>12</v>
      </c>
    </row>
    <row r="2069" spans="1:11" ht="12.5" x14ac:dyDescent="0.25">
      <c r="A2069" s="3" t="e">
        <f ca="1"/>
        <v>#NAME?</v>
      </c>
      <c r="B2069" s="2" t="s">
        <v>12</v>
      </c>
      <c r="C2069" s="2" t="s">
        <v>12</v>
      </c>
      <c r="D2069" s="2" t="s">
        <v>12</v>
      </c>
      <c r="E2069" s="2" t="s">
        <v>12</v>
      </c>
      <c r="F2069" s="2" t="s">
        <v>12</v>
      </c>
      <c r="G2069" s="2" t="s">
        <v>12</v>
      </c>
      <c r="H2069" s="2" t="s">
        <v>12</v>
      </c>
      <c r="I2069" s="2" t="s">
        <v>12</v>
      </c>
      <c r="J2069" s="2" t="s">
        <v>12</v>
      </c>
      <c r="K2069" s="2" t="s">
        <v>12</v>
      </c>
    </row>
    <row r="2070" spans="1:11" ht="12.5" x14ac:dyDescent="0.25">
      <c r="A2070" s="3" t="e">
        <f ca="1"/>
        <v>#NAME?</v>
      </c>
      <c r="B2070" s="2" t="s">
        <v>12</v>
      </c>
      <c r="C2070" s="2" t="s">
        <v>12</v>
      </c>
      <c r="D2070" s="2" t="s">
        <v>12</v>
      </c>
      <c r="E2070" s="2" t="s">
        <v>12</v>
      </c>
      <c r="F2070" s="2" t="s">
        <v>12</v>
      </c>
      <c r="G2070" s="2" t="s">
        <v>12</v>
      </c>
      <c r="H2070" s="2" t="s">
        <v>12</v>
      </c>
      <c r="I2070" s="2" t="s">
        <v>12</v>
      </c>
      <c r="J2070" s="2" t="s">
        <v>12</v>
      </c>
      <c r="K2070" s="2" t="s">
        <v>12</v>
      </c>
    </row>
    <row r="2071" spans="1:11" ht="12.5" x14ac:dyDescent="0.25">
      <c r="A2071" s="3" t="e">
        <f ca="1"/>
        <v>#NAME?</v>
      </c>
      <c r="B2071" s="2" t="s">
        <v>12</v>
      </c>
      <c r="C2071" s="2" t="s">
        <v>12</v>
      </c>
      <c r="D2071" s="2" t="s">
        <v>12</v>
      </c>
      <c r="E2071" s="2" t="s">
        <v>12</v>
      </c>
      <c r="F2071" s="2" t="s">
        <v>12</v>
      </c>
      <c r="G2071" s="2" t="s">
        <v>12</v>
      </c>
      <c r="H2071" s="2" t="s">
        <v>12</v>
      </c>
      <c r="I2071" s="2" t="s">
        <v>12</v>
      </c>
      <c r="J2071" s="2" t="s">
        <v>12</v>
      </c>
      <c r="K2071" s="2" t="s">
        <v>12</v>
      </c>
    </row>
    <row r="2072" spans="1:11" ht="12.5" x14ac:dyDescent="0.25">
      <c r="A2072" s="3" t="e">
        <f ca="1"/>
        <v>#NAME?</v>
      </c>
      <c r="B2072" s="2" t="s">
        <v>12</v>
      </c>
      <c r="C2072" s="2" t="s">
        <v>12</v>
      </c>
      <c r="D2072" s="2" t="s">
        <v>12</v>
      </c>
      <c r="E2072" s="2" t="s">
        <v>12</v>
      </c>
      <c r="F2072" s="2" t="s">
        <v>12</v>
      </c>
      <c r="G2072" s="2" t="s">
        <v>12</v>
      </c>
      <c r="H2072" s="2" t="s">
        <v>12</v>
      </c>
      <c r="I2072" s="2" t="s">
        <v>12</v>
      </c>
      <c r="J2072" s="2" t="s">
        <v>12</v>
      </c>
      <c r="K2072" s="2" t="s">
        <v>12</v>
      </c>
    </row>
    <row r="2073" spans="1:11" ht="12.5" x14ac:dyDescent="0.25">
      <c r="A2073" s="3" t="e">
        <f ca="1"/>
        <v>#NAME?</v>
      </c>
      <c r="B2073" s="2" t="s">
        <v>12</v>
      </c>
      <c r="C2073" s="2" t="s">
        <v>12</v>
      </c>
      <c r="D2073" s="2" t="s">
        <v>12</v>
      </c>
      <c r="E2073" s="2" t="s">
        <v>12</v>
      </c>
      <c r="F2073" s="2" t="s">
        <v>12</v>
      </c>
      <c r="G2073" s="2" t="s">
        <v>12</v>
      </c>
      <c r="H2073" s="2" t="s">
        <v>12</v>
      </c>
      <c r="I2073" s="2" t="s">
        <v>12</v>
      </c>
      <c r="J2073" s="2" t="s">
        <v>12</v>
      </c>
      <c r="K2073" s="2" t="s">
        <v>12</v>
      </c>
    </row>
    <row r="2074" spans="1:11" ht="12.5" x14ac:dyDescent="0.25">
      <c r="A2074" s="3" t="e">
        <f ca="1"/>
        <v>#NAME?</v>
      </c>
      <c r="B2074" s="2" t="s">
        <v>12</v>
      </c>
      <c r="C2074" s="2" t="s">
        <v>12</v>
      </c>
      <c r="D2074" s="2" t="s">
        <v>12</v>
      </c>
      <c r="E2074" s="2" t="s">
        <v>12</v>
      </c>
      <c r="F2074" s="2" t="s">
        <v>12</v>
      </c>
      <c r="G2074" s="2" t="s">
        <v>12</v>
      </c>
      <c r="H2074" s="2" t="s">
        <v>12</v>
      </c>
      <c r="I2074" s="2" t="s">
        <v>12</v>
      </c>
      <c r="J2074" s="2" t="s">
        <v>12</v>
      </c>
      <c r="K2074" s="2" t="s">
        <v>12</v>
      </c>
    </row>
    <row r="2075" spans="1:11" ht="12.5" x14ac:dyDescent="0.25">
      <c r="A2075" s="3" t="e">
        <f ca="1"/>
        <v>#NAME?</v>
      </c>
      <c r="B2075" s="2" t="s">
        <v>12</v>
      </c>
      <c r="C2075" s="2" t="s">
        <v>12</v>
      </c>
      <c r="D2075" s="2" t="s">
        <v>12</v>
      </c>
      <c r="E2075" s="2" t="s">
        <v>12</v>
      </c>
      <c r="F2075" s="2" t="s">
        <v>12</v>
      </c>
      <c r="G2075" s="2" t="s">
        <v>12</v>
      </c>
      <c r="H2075" s="2" t="s">
        <v>12</v>
      </c>
      <c r="I2075" s="2" t="s">
        <v>12</v>
      </c>
      <c r="J2075" s="2" t="s">
        <v>12</v>
      </c>
      <c r="K2075" s="2" t="s">
        <v>12</v>
      </c>
    </row>
    <row r="2076" spans="1:11" ht="12.5" x14ac:dyDescent="0.25">
      <c r="A2076" s="3" t="e">
        <f ca="1"/>
        <v>#NAME?</v>
      </c>
      <c r="B2076" s="2" t="s">
        <v>12</v>
      </c>
      <c r="C2076" s="2" t="s">
        <v>12</v>
      </c>
      <c r="D2076" s="2" t="s">
        <v>12</v>
      </c>
      <c r="E2076" s="2" t="s">
        <v>12</v>
      </c>
      <c r="F2076" s="2" t="s">
        <v>12</v>
      </c>
      <c r="G2076" s="2" t="s">
        <v>12</v>
      </c>
      <c r="H2076" s="2" t="s">
        <v>12</v>
      </c>
      <c r="I2076" s="2" t="s">
        <v>12</v>
      </c>
      <c r="J2076" s="2" t="s">
        <v>12</v>
      </c>
      <c r="K2076" s="2" t="s">
        <v>12</v>
      </c>
    </row>
    <row r="2077" spans="1:11" ht="12.5" x14ac:dyDescent="0.25">
      <c r="A2077" s="3" t="e">
        <f ca="1"/>
        <v>#NAME?</v>
      </c>
      <c r="B2077" s="2" t="s">
        <v>12</v>
      </c>
      <c r="C2077" s="2" t="s">
        <v>12</v>
      </c>
      <c r="D2077" s="2" t="s">
        <v>12</v>
      </c>
      <c r="E2077" s="2" t="s">
        <v>12</v>
      </c>
      <c r="F2077" s="2" t="s">
        <v>12</v>
      </c>
      <c r="G2077" s="2" t="s">
        <v>12</v>
      </c>
      <c r="H2077" s="2" t="s">
        <v>12</v>
      </c>
      <c r="I2077" s="2" t="s">
        <v>12</v>
      </c>
      <c r="J2077" s="2" t="s">
        <v>12</v>
      </c>
      <c r="K2077" s="2" t="s">
        <v>12</v>
      </c>
    </row>
    <row r="2078" spans="1:11" ht="12.5" x14ac:dyDescent="0.25">
      <c r="A2078" s="3" t="e">
        <f ca="1"/>
        <v>#NAME?</v>
      </c>
      <c r="B2078" s="2" t="s">
        <v>12</v>
      </c>
      <c r="C2078" s="2" t="s">
        <v>12</v>
      </c>
      <c r="D2078" s="2" t="s">
        <v>12</v>
      </c>
      <c r="E2078" s="2" t="s">
        <v>12</v>
      </c>
      <c r="F2078" s="2" t="s">
        <v>12</v>
      </c>
      <c r="G2078" s="2" t="s">
        <v>12</v>
      </c>
      <c r="H2078" s="2" t="s">
        <v>12</v>
      </c>
      <c r="I2078" s="2" t="s">
        <v>12</v>
      </c>
      <c r="J2078" s="2" t="s">
        <v>12</v>
      </c>
      <c r="K2078" s="2" t="s">
        <v>12</v>
      </c>
    </row>
    <row r="2079" spans="1:11" ht="12.5" x14ac:dyDescent="0.25">
      <c r="A2079" s="3" t="e">
        <f ca="1"/>
        <v>#NAME?</v>
      </c>
      <c r="B2079" s="2" t="s">
        <v>12</v>
      </c>
      <c r="C2079" s="2" t="s">
        <v>12</v>
      </c>
      <c r="D2079" s="2" t="s">
        <v>12</v>
      </c>
      <c r="E2079" s="2" t="s">
        <v>12</v>
      </c>
      <c r="F2079" s="2" t="s">
        <v>12</v>
      </c>
      <c r="G2079" s="2" t="s">
        <v>12</v>
      </c>
      <c r="H2079" s="2" t="s">
        <v>12</v>
      </c>
      <c r="I2079" s="2" t="s">
        <v>12</v>
      </c>
      <c r="J2079" s="2" t="s">
        <v>12</v>
      </c>
      <c r="K2079" s="2" t="s">
        <v>12</v>
      </c>
    </row>
    <row r="2080" spans="1:11" ht="12.5" x14ac:dyDescent="0.25">
      <c r="A2080" s="3" t="e">
        <f ca="1"/>
        <v>#NAME?</v>
      </c>
      <c r="B2080" s="2" t="s">
        <v>12</v>
      </c>
      <c r="C2080" s="2" t="s">
        <v>12</v>
      </c>
      <c r="D2080" s="2" t="s">
        <v>12</v>
      </c>
      <c r="E2080" s="2" t="s">
        <v>12</v>
      </c>
      <c r="F2080" s="2" t="s">
        <v>12</v>
      </c>
      <c r="G2080" s="2" t="s">
        <v>12</v>
      </c>
      <c r="H2080" s="2" t="s">
        <v>12</v>
      </c>
      <c r="I2080" s="2" t="s">
        <v>12</v>
      </c>
      <c r="J2080" s="2" t="s">
        <v>12</v>
      </c>
      <c r="K2080" s="2" t="s">
        <v>12</v>
      </c>
    </row>
    <row r="2081" spans="1:11" ht="12.5" x14ac:dyDescent="0.25">
      <c r="A2081" s="3" t="e">
        <f ca="1"/>
        <v>#NAME?</v>
      </c>
      <c r="B2081" s="2" t="s">
        <v>12</v>
      </c>
      <c r="C2081" s="2" t="s">
        <v>12</v>
      </c>
      <c r="D2081" s="2" t="s">
        <v>12</v>
      </c>
      <c r="E2081" s="2" t="s">
        <v>12</v>
      </c>
      <c r="F2081" s="2" t="s">
        <v>12</v>
      </c>
      <c r="G2081" s="2" t="s">
        <v>12</v>
      </c>
      <c r="H2081" s="2" t="s">
        <v>12</v>
      </c>
      <c r="I2081" s="2" t="s">
        <v>12</v>
      </c>
      <c r="J2081" s="2" t="s">
        <v>12</v>
      </c>
      <c r="K2081" s="2" t="s">
        <v>12</v>
      </c>
    </row>
    <row r="2082" spans="1:11" ht="12.5" x14ac:dyDescent="0.25">
      <c r="A2082" s="3" t="e">
        <f ca="1"/>
        <v>#NAME?</v>
      </c>
      <c r="B2082" s="2" t="s">
        <v>12</v>
      </c>
      <c r="C2082" s="2" t="s">
        <v>12</v>
      </c>
      <c r="D2082" s="2" t="s">
        <v>12</v>
      </c>
      <c r="E2082" s="2" t="s">
        <v>12</v>
      </c>
      <c r="F2082" s="2" t="s">
        <v>12</v>
      </c>
      <c r="G2082" s="2" t="s">
        <v>12</v>
      </c>
      <c r="H2082" s="2" t="s">
        <v>12</v>
      </c>
      <c r="I2082" s="2" t="s">
        <v>12</v>
      </c>
      <c r="J2082" s="2" t="s">
        <v>12</v>
      </c>
      <c r="K2082" s="2" t="s">
        <v>12</v>
      </c>
    </row>
    <row r="2083" spans="1:11" ht="12.5" x14ac:dyDescent="0.25">
      <c r="A2083" s="3" t="e">
        <f ca="1"/>
        <v>#NAME?</v>
      </c>
      <c r="B2083" s="2" t="s">
        <v>12</v>
      </c>
      <c r="C2083" s="2" t="s">
        <v>12</v>
      </c>
      <c r="D2083" s="2" t="s">
        <v>12</v>
      </c>
      <c r="E2083" s="2" t="s">
        <v>12</v>
      </c>
      <c r="F2083" s="2" t="s">
        <v>12</v>
      </c>
      <c r="G2083" s="2" t="s">
        <v>12</v>
      </c>
      <c r="H2083" s="2" t="s">
        <v>12</v>
      </c>
      <c r="I2083" s="2" t="s">
        <v>12</v>
      </c>
      <c r="J2083" s="2" t="s">
        <v>12</v>
      </c>
      <c r="K2083" s="2" t="s">
        <v>12</v>
      </c>
    </row>
    <row r="2084" spans="1:11" ht="12.5" x14ac:dyDescent="0.25">
      <c r="A2084" s="3" t="e">
        <f ca="1"/>
        <v>#NAME?</v>
      </c>
      <c r="B2084" s="2" t="s">
        <v>12</v>
      </c>
      <c r="C2084" s="2" t="s">
        <v>12</v>
      </c>
      <c r="D2084" s="2" t="s">
        <v>12</v>
      </c>
      <c r="E2084" s="2" t="s">
        <v>12</v>
      </c>
      <c r="F2084" s="2" t="s">
        <v>12</v>
      </c>
      <c r="G2084" s="2" t="s">
        <v>12</v>
      </c>
      <c r="H2084" s="2" t="s">
        <v>12</v>
      </c>
      <c r="I2084" s="2" t="s">
        <v>12</v>
      </c>
      <c r="J2084" s="2" t="s">
        <v>12</v>
      </c>
      <c r="K2084" s="2" t="s">
        <v>12</v>
      </c>
    </row>
    <row r="2085" spans="1:11" ht="12.5" x14ac:dyDescent="0.25">
      <c r="A2085" s="3" t="e">
        <f ca="1"/>
        <v>#NAME?</v>
      </c>
      <c r="B2085" s="2" t="s">
        <v>12</v>
      </c>
      <c r="C2085" s="2" t="s">
        <v>12</v>
      </c>
      <c r="D2085" s="2" t="s">
        <v>12</v>
      </c>
      <c r="E2085" s="2" t="s">
        <v>12</v>
      </c>
      <c r="F2085" s="2" t="s">
        <v>12</v>
      </c>
      <c r="G2085" s="2" t="s">
        <v>12</v>
      </c>
      <c r="H2085" s="2" t="s">
        <v>12</v>
      </c>
      <c r="I2085" s="2" t="s">
        <v>12</v>
      </c>
      <c r="J2085" s="2" t="s">
        <v>12</v>
      </c>
      <c r="K2085" s="2" t="s">
        <v>12</v>
      </c>
    </row>
    <row r="2086" spans="1:11" ht="12.5" x14ac:dyDescent="0.25">
      <c r="A2086" s="3" t="e">
        <f ca="1"/>
        <v>#NAME?</v>
      </c>
      <c r="B2086" s="2" t="s">
        <v>12</v>
      </c>
      <c r="C2086" s="2" t="s">
        <v>12</v>
      </c>
      <c r="D2086" s="2" t="s">
        <v>12</v>
      </c>
      <c r="E2086" s="2" t="s">
        <v>12</v>
      </c>
      <c r="F2086" s="2" t="s">
        <v>12</v>
      </c>
      <c r="G2086" s="2" t="s">
        <v>12</v>
      </c>
      <c r="H2086" s="2" t="s">
        <v>12</v>
      </c>
      <c r="I2086" s="2" t="s">
        <v>12</v>
      </c>
      <c r="J2086" s="2" t="s">
        <v>12</v>
      </c>
      <c r="K2086" s="2" t="s">
        <v>12</v>
      </c>
    </row>
    <row r="2087" spans="1:11" ht="12.5" x14ac:dyDescent="0.25">
      <c r="A2087" s="3" t="e">
        <f ca="1"/>
        <v>#NAME?</v>
      </c>
      <c r="B2087" s="2" t="s">
        <v>12</v>
      </c>
      <c r="C2087" s="2" t="s">
        <v>12</v>
      </c>
      <c r="D2087" s="2" t="s">
        <v>12</v>
      </c>
      <c r="E2087" s="2" t="s">
        <v>12</v>
      </c>
      <c r="F2087" s="2" t="s">
        <v>12</v>
      </c>
      <c r="G2087" s="2" t="s">
        <v>12</v>
      </c>
      <c r="H2087" s="2" t="s">
        <v>12</v>
      </c>
      <c r="I2087" s="2" t="s">
        <v>12</v>
      </c>
      <c r="J2087" s="2" t="s">
        <v>12</v>
      </c>
      <c r="K2087" s="2" t="s">
        <v>12</v>
      </c>
    </row>
    <row r="2088" spans="1:11" ht="12.5" x14ac:dyDescent="0.25">
      <c r="A2088" s="3" t="e">
        <f ca="1"/>
        <v>#NAME?</v>
      </c>
      <c r="B2088" s="2" t="s">
        <v>12</v>
      </c>
      <c r="C2088" s="2" t="s">
        <v>12</v>
      </c>
      <c r="D2088" s="2" t="s">
        <v>12</v>
      </c>
      <c r="E2088" s="2" t="s">
        <v>12</v>
      </c>
      <c r="F2088" s="2" t="s">
        <v>12</v>
      </c>
      <c r="G2088" s="2" t="s">
        <v>12</v>
      </c>
      <c r="H2088" s="2" t="s">
        <v>12</v>
      </c>
      <c r="I2088" s="2" t="s">
        <v>12</v>
      </c>
      <c r="J2088" s="2" t="s">
        <v>12</v>
      </c>
      <c r="K2088" s="2" t="s">
        <v>12</v>
      </c>
    </row>
    <row r="2089" spans="1:11" ht="12.5" x14ac:dyDescent="0.25">
      <c r="A2089" s="3" t="e">
        <f ca="1"/>
        <v>#NAME?</v>
      </c>
      <c r="B2089" s="2" t="s">
        <v>12</v>
      </c>
      <c r="C2089" s="2" t="s">
        <v>12</v>
      </c>
      <c r="D2089" s="2" t="s">
        <v>12</v>
      </c>
      <c r="E2089" s="2" t="s">
        <v>12</v>
      </c>
      <c r="F2089" s="2" t="s">
        <v>12</v>
      </c>
      <c r="G2089" s="2" t="s">
        <v>12</v>
      </c>
      <c r="H2089" s="2" t="s">
        <v>12</v>
      </c>
      <c r="I2089" s="2" t="s">
        <v>12</v>
      </c>
      <c r="J2089" s="2" t="s">
        <v>12</v>
      </c>
      <c r="K2089" s="2" t="s">
        <v>12</v>
      </c>
    </row>
    <row r="2090" spans="1:11" ht="12.5" x14ac:dyDescent="0.25">
      <c r="A2090" s="3" t="e">
        <f ca="1"/>
        <v>#NAME?</v>
      </c>
      <c r="B2090" s="2" t="s">
        <v>12</v>
      </c>
      <c r="C2090" s="2" t="s">
        <v>12</v>
      </c>
      <c r="D2090" s="2" t="s">
        <v>12</v>
      </c>
      <c r="E2090" s="2" t="s">
        <v>12</v>
      </c>
      <c r="F2090" s="2" t="s">
        <v>12</v>
      </c>
      <c r="G2090" s="2" t="s">
        <v>12</v>
      </c>
      <c r="H2090" s="2" t="s">
        <v>12</v>
      </c>
      <c r="I2090" s="2" t="s">
        <v>12</v>
      </c>
      <c r="J2090" s="2" t="s">
        <v>12</v>
      </c>
      <c r="K2090" s="2" t="s">
        <v>12</v>
      </c>
    </row>
    <row r="2091" spans="1:11" ht="12.5" x14ac:dyDescent="0.25">
      <c r="A2091" s="3" t="e">
        <f ca="1"/>
        <v>#NAME?</v>
      </c>
      <c r="B2091" s="2" t="s">
        <v>12</v>
      </c>
      <c r="C2091" s="2" t="s">
        <v>12</v>
      </c>
      <c r="D2091" s="2" t="s">
        <v>12</v>
      </c>
      <c r="E2091" s="2" t="s">
        <v>12</v>
      </c>
      <c r="F2091" s="2" t="s">
        <v>12</v>
      </c>
      <c r="G2091" s="2" t="s">
        <v>12</v>
      </c>
      <c r="H2091" s="2" t="s">
        <v>12</v>
      </c>
      <c r="I2091" s="2" t="s">
        <v>12</v>
      </c>
      <c r="J2091" s="2" t="s">
        <v>12</v>
      </c>
      <c r="K2091" s="2" t="s">
        <v>12</v>
      </c>
    </row>
    <row r="2092" spans="1:11" ht="12.5" x14ac:dyDescent="0.25">
      <c r="A2092" s="3" t="e">
        <f ca="1"/>
        <v>#NAME?</v>
      </c>
      <c r="B2092" s="2" t="s">
        <v>12</v>
      </c>
      <c r="C2092" s="2" t="s">
        <v>12</v>
      </c>
      <c r="D2092" s="2" t="s">
        <v>12</v>
      </c>
      <c r="E2092" s="2" t="s">
        <v>12</v>
      </c>
      <c r="F2092" s="2" t="s">
        <v>12</v>
      </c>
      <c r="G2092" s="2" t="s">
        <v>12</v>
      </c>
      <c r="H2092" s="2" t="s">
        <v>12</v>
      </c>
      <c r="I2092" s="2" t="s">
        <v>12</v>
      </c>
      <c r="J2092" s="2" t="s">
        <v>12</v>
      </c>
      <c r="K2092" s="2" t="s">
        <v>12</v>
      </c>
    </row>
    <row r="2093" spans="1:11" ht="12.5" x14ac:dyDescent="0.25">
      <c r="A2093" s="3" t="e">
        <f ca="1"/>
        <v>#NAME?</v>
      </c>
      <c r="B2093" s="2" t="s">
        <v>12</v>
      </c>
      <c r="C2093" s="2" t="s">
        <v>12</v>
      </c>
      <c r="D2093" s="2" t="s">
        <v>12</v>
      </c>
      <c r="E2093" s="2" t="s">
        <v>12</v>
      </c>
      <c r="F2093" s="2" t="s">
        <v>12</v>
      </c>
      <c r="G2093" s="2" t="s">
        <v>12</v>
      </c>
      <c r="H2093" s="2" t="s">
        <v>12</v>
      </c>
      <c r="I2093" s="2" t="s">
        <v>12</v>
      </c>
      <c r="J2093" s="2" t="s">
        <v>12</v>
      </c>
      <c r="K2093" s="2" t="s">
        <v>12</v>
      </c>
    </row>
    <row r="2094" spans="1:11" ht="12.5" x14ac:dyDescent="0.25">
      <c r="A2094" s="3" t="e">
        <f ca="1"/>
        <v>#NAME?</v>
      </c>
      <c r="B2094" s="2" t="s">
        <v>12</v>
      </c>
      <c r="C2094" s="2" t="s">
        <v>12</v>
      </c>
      <c r="D2094" s="2" t="s">
        <v>12</v>
      </c>
      <c r="E2094" s="2" t="s">
        <v>12</v>
      </c>
      <c r="F2094" s="2" t="s">
        <v>12</v>
      </c>
      <c r="G2094" s="2" t="s">
        <v>12</v>
      </c>
      <c r="H2094" s="2" t="s">
        <v>12</v>
      </c>
      <c r="I2094" s="2" t="s">
        <v>12</v>
      </c>
      <c r="J2094" s="2" t="s">
        <v>12</v>
      </c>
      <c r="K2094" s="2" t="s">
        <v>12</v>
      </c>
    </row>
    <row r="2095" spans="1:11" ht="12.5" x14ac:dyDescent="0.25">
      <c r="A2095" s="3" t="e">
        <f ca="1"/>
        <v>#NAME?</v>
      </c>
      <c r="B2095" s="2" t="s">
        <v>12</v>
      </c>
      <c r="C2095" s="2" t="s">
        <v>12</v>
      </c>
      <c r="D2095" s="2" t="s">
        <v>12</v>
      </c>
      <c r="E2095" s="2" t="s">
        <v>12</v>
      </c>
      <c r="F2095" s="2" t="s">
        <v>12</v>
      </c>
      <c r="G2095" s="2" t="s">
        <v>12</v>
      </c>
      <c r="H2095" s="2" t="s">
        <v>12</v>
      </c>
      <c r="I2095" s="2" t="s">
        <v>12</v>
      </c>
      <c r="J2095" s="2" t="s">
        <v>12</v>
      </c>
      <c r="K2095" s="2" t="s">
        <v>12</v>
      </c>
    </row>
    <row r="2096" spans="1:11" ht="12.5" x14ac:dyDescent="0.25">
      <c r="A2096" s="3" t="e">
        <f ca="1"/>
        <v>#NAME?</v>
      </c>
      <c r="B2096" s="2" t="s">
        <v>12</v>
      </c>
      <c r="C2096" s="2" t="s">
        <v>12</v>
      </c>
      <c r="D2096" s="2" t="s">
        <v>12</v>
      </c>
      <c r="E2096" s="2" t="s">
        <v>12</v>
      </c>
      <c r="F2096" s="2" t="s">
        <v>12</v>
      </c>
      <c r="G2096" s="2" t="s">
        <v>12</v>
      </c>
      <c r="H2096" s="2" t="s">
        <v>12</v>
      </c>
      <c r="I2096" s="2" t="s">
        <v>12</v>
      </c>
      <c r="J2096" s="2" t="s">
        <v>12</v>
      </c>
      <c r="K2096" s="2" t="s">
        <v>12</v>
      </c>
    </row>
    <row r="2097" spans="1:11" ht="12.5" x14ac:dyDescent="0.25">
      <c r="A2097" s="3" t="e">
        <f ca="1"/>
        <v>#NAME?</v>
      </c>
      <c r="B2097" s="2" t="s">
        <v>12</v>
      </c>
      <c r="C2097" s="2" t="s">
        <v>12</v>
      </c>
      <c r="D2097" s="2" t="s">
        <v>12</v>
      </c>
      <c r="E2097" s="2" t="s">
        <v>12</v>
      </c>
      <c r="F2097" s="2" t="s">
        <v>12</v>
      </c>
      <c r="G2097" s="2" t="s">
        <v>12</v>
      </c>
      <c r="H2097" s="2" t="s">
        <v>12</v>
      </c>
      <c r="I2097" s="2" t="s">
        <v>12</v>
      </c>
      <c r="J2097" s="2" t="s">
        <v>12</v>
      </c>
      <c r="K2097" s="2" t="s">
        <v>12</v>
      </c>
    </row>
    <row r="2098" spans="1:11" ht="12.5" x14ac:dyDescent="0.25">
      <c r="A2098" s="3" t="e">
        <f ca="1"/>
        <v>#NAME?</v>
      </c>
      <c r="B2098" s="2" t="s">
        <v>12</v>
      </c>
      <c r="C2098" s="2" t="s">
        <v>12</v>
      </c>
      <c r="D2098" s="2" t="s">
        <v>12</v>
      </c>
      <c r="E2098" s="2" t="s">
        <v>12</v>
      </c>
      <c r="F2098" s="2" t="s">
        <v>12</v>
      </c>
      <c r="G2098" s="2" t="s">
        <v>12</v>
      </c>
      <c r="H2098" s="2" t="s">
        <v>12</v>
      </c>
      <c r="I2098" s="2" t="s">
        <v>12</v>
      </c>
      <c r="J2098" s="2" t="s">
        <v>12</v>
      </c>
      <c r="K2098" s="2" t="s">
        <v>12</v>
      </c>
    </row>
    <row r="2099" spans="1:11" ht="12.5" x14ac:dyDescent="0.25">
      <c r="A2099" s="3" t="e">
        <f ca="1"/>
        <v>#NAME?</v>
      </c>
      <c r="B2099" s="2" t="s">
        <v>12</v>
      </c>
      <c r="C2099" s="2" t="s">
        <v>12</v>
      </c>
      <c r="D2099" s="2" t="s">
        <v>12</v>
      </c>
      <c r="E2099" s="2" t="s">
        <v>12</v>
      </c>
      <c r="F2099" s="2" t="s">
        <v>12</v>
      </c>
      <c r="G2099" s="2" t="s">
        <v>12</v>
      </c>
      <c r="H2099" s="2" t="s">
        <v>12</v>
      </c>
      <c r="I2099" s="2" t="s">
        <v>12</v>
      </c>
      <c r="J2099" s="2" t="s">
        <v>12</v>
      </c>
      <c r="K2099" s="2" t="s">
        <v>12</v>
      </c>
    </row>
    <row r="2100" spans="1:11" ht="12.5" x14ac:dyDescent="0.25">
      <c r="A2100" s="3" t="e">
        <f ca="1"/>
        <v>#NAME?</v>
      </c>
      <c r="B2100" s="2" t="s">
        <v>12</v>
      </c>
      <c r="C2100" s="2" t="s">
        <v>12</v>
      </c>
      <c r="D2100" s="2" t="s">
        <v>12</v>
      </c>
      <c r="E2100" s="2" t="s">
        <v>12</v>
      </c>
      <c r="F2100" s="2" t="s">
        <v>12</v>
      </c>
      <c r="G2100" s="2" t="s">
        <v>12</v>
      </c>
      <c r="H2100" s="2" t="s">
        <v>12</v>
      </c>
      <c r="I2100" s="2" t="s">
        <v>12</v>
      </c>
      <c r="J2100" s="2" t="s">
        <v>12</v>
      </c>
      <c r="K2100" s="2" t="s">
        <v>12</v>
      </c>
    </row>
    <row r="2101" spans="1:11" ht="12.5" x14ac:dyDescent="0.25">
      <c r="A2101" s="3" t="e">
        <f ca="1"/>
        <v>#NAME?</v>
      </c>
      <c r="B2101" s="2" t="s">
        <v>12</v>
      </c>
      <c r="C2101" s="2" t="s">
        <v>12</v>
      </c>
      <c r="D2101" s="2" t="s">
        <v>12</v>
      </c>
      <c r="E2101" s="2" t="s">
        <v>12</v>
      </c>
      <c r="F2101" s="2" t="s">
        <v>12</v>
      </c>
      <c r="G2101" s="2" t="s">
        <v>12</v>
      </c>
      <c r="H2101" s="2" t="s">
        <v>12</v>
      </c>
      <c r="I2101" s="2" t="s">
        <v>12</v>
      </c>
      <c r="J2101" s="2" t="s">
        <v>12</v>
      </c>
      <c r="K2101" s="2" t="s">
        <v>12</v>
      </c>
    </row>
    <row r="2102" spans="1:11" ht="12.5" x14ac:dyDescent="0.25">
      <c r="A2102" s="3" t="e">
        <f ca="1"/>
        <v>#NAME?</v>
      </c>
      <c r="B2102" s="2" t="s">
        <v>12</v>
      </c>
      <c r="C2102" s="2" t="s">
        <v>12</v>
      </c>
      <c r="D2102" s="2" t="s">
        <v>12</v>
      </c>
      <c r="E2102" s="2" t="s">
        <v>12</v>
      </c>
      <c r="F2102" s="2" t="s">
        <v>12</v>
      </c>
      <c r="G2102" s="2" t="s">
        <v>12</v>
      </c>
      <c r="H2102" s="2" t="s">
        <v>12</v>
      </c>
      <c r="I2102" s="2" t="s">
        <v>12</v>
      </c>
      <c r="J2102" s="2" t="s">
        <v>12</v>
      </c>
      <c r="K2102" s="2" t="s">
        <v>12</v>
      </c>
    </row>
    <row r="2103" spans="1:11" ht="12.5" x14ac:dyDescent="0.25">
      <c r="A2103" s="3" t="e">
        <f ca="1"/>
        <v>#NAME?</v>
      </c>
      <c r="B2103" s="2" t="s">
        <v>12</v>
      </c>
      <c r="C2103" s="2" t="s">
        <v>12</v>
      </c>
      <c r="D2103" s="2" t="s">
        <v>12</v>
      </c>
      <c r="E2103" s="2" t="s">
        <v>12</v>
      </c>
      <c r="F2103" s="2" t="s">
        <v>12</v>
      </c>
      <c r="G2103" s="2" t="s">
        <v>12</v>
      </c>
      <c r="H2103" s="2" t="s">
        <v>12</v>
      </c>
      <c r="I2103" s="2" t="s">
        <v>12</v>
      </c>
      <c r="J2103" s="2" t="s">
        <v>12</v>
      </c>
      <c r="K2103" s="2" t="s">
        <v>12</v>
      </c>
    </row>
    <row r="2104" spans="1:11" ht="12.5" x14ac:dyDescent="0.25">
      <c r="A2104" s="3" t="e">
        <f ca="1"/>
        <v>#NAME?</v>
      </c>
      <c r="B2104" s="2" t="s">
        <v>12</v>
      </c>
      <c r="C2104" s="2" t="s">
        <v>12</v>
      </c>
      <c r="D2104" s="2" t="s">
        <v>12</v>
      </c>
      <c r="E2104" s="2" t="s">
        <v>12</v>
      </c>
      <c r="F2104" s="2" t="s">
        <v>12</v>
      </c>
      <c r="G2104" s="2" t="s">
        <v>12</v>
      </c>
      <c r="H2104" s="2" t="s">
        <v>12</v>
      </c>
      <c r="I2104" s="2" t="s">
        <v>12</v>
      </c>
      <c r="J2104" s="2" t="s">
        <v>12</v>
      </c>
      <c r="K2104" s="2" t="s">
        <v>12</v>
      </c>
    </row>
    <row r="2105" spans="1:11" ht="12.5" x14ac:dyDescent="0.25">
      <c r="A2105" s="3" t="e">
        <f ca="1"/>
        <v>#NAME?</v>
      </c>
      <c r="B2105" s="2" t="s">
        <v>12</v>
      </c>
      <c r="C2105" s="2" t="s">
        <v>12</v>
      </c>
      <c r="D2105" s="2" t="s">
        <v>12</v>
      </c>
      <c r="E2105" s="2" t="s">
        <v>12</v>
      </c>
      <c r="F2105" s="2" t="s">
        <v>12</v>
      </c>
      <c r="G2105" s="2" t="s">
        <v>12</v>
      </c>
      <c r="H2105" s="2" t="s">
        <v>12</v>
      </c>
      <c r="I2105" s="2" t="s">
        <v>12</v>
      </c>
      <c r="J2105" s="2" t="s">
        <v>12</v>
      </c>
      <c r="K2105" s="2" t="s">
        <v>12</v>
      </c>
    </row>
    <row r="2106" spans="1:11" ht="12.5" x14ac:dyDescent="0.25">
      <c r="A2106" s="3" t="e">
        <f ca="1"/>
        <v>#NAME?</v>
      </c>
      <c r="B2106" s="2" t="s">
        <v>12</v>
      </c>
      <c r="C2106" s="2" t="s">
        <v>12</v>
      </c>
      <c r="D2106" s="2" t="s">
        <v>12</v>
      </c>
      <c r="E2106" s="2" t="s">
        <v>12</v>
      </c>
      <c r="F2106" s="2" t="s">
        <v>12</v>
      </c>
      <c r="G2106" s="2" t="s">
        <v>12</v>
      </c>
      <c r="H2106" s="2" t="s">
        <v>12</v>
      </c>
      <c r="I2106" s="2" t="s">
        <v>12</v>
      </c>
      <c r="J2106" s="2" t="s">
        <v>12</v>
      </c>
      <c r="K2106" s="2" t="s">
        <v>12</v>
      </c>
    </row>
    <row r="2107" spans="1:11" ht="12.5" x14ac:dyDescent="0.25">
      <c r="A2107" s="3" t="e">
        <f ca="1"/>
        <v>#NAME?</v>
      </c>
      <c r="B2107" s="2" t="s">
        <v>12</v>
      </c>
      <c r="C2107" s="2" t="s">
        <v>12</v>
      </c>
      <c r="D2107" s="2" t="s">
        <v>12</v>
      </c>
      <c r="E2107" s="2" t="s">
        <v>12</v>
      </c>
      <c r="F2107" s="2" t="s">
        <v>12</v>
      </c>
      <c r="G2107" s="2" t="s">
        <v>12</v>
      </c>
      <c r="H2107" s="2" t="s">
        <v>12</v>
      </c>
      <c r="I2107" s="2" t="s">
        <v>12</v>
      </c>
      <c r="J2107" s="2" t="s">
        <v>12</v>
      </c>
      <c r="K2107" s="2" t="s">
        <v>12</v>
      </c>
    </row>
    <row r="2108" spans="1:11" ht="12.5" x14ac:dyDescent="0.25">
      <c r="A2108" s="3" t="e">
        <f ca="1"/>
        <v>#NAME?</v>
      </c>
      <c r="B2108" s="2" t="s">
        <v>12</v>
      </c>
      <c r="C2108" s="2" t="s">
        <v>12</v>
      </c>
      <c r="D2108" s="2" t="s">
        <v>12</v>
      </c>
      <c r="E2108" s="2" t="s">
        <v>12</v>
      </c>
      <c r="F2108" s="2" t="s">
        <v>12</v>
      </c>
      <c r="G2108" s="2" t="s">
        <v>12</v>
      </c>
      <c r="H2108" s="2" t="s">
        <v>12</v>
      </c>
      <c r="I2108" s="2" t="s">
        <v>12</v>
      </c>
      <c r="J2108" s="2" t="s">
        <v>12</v>
      </c>
      <c r="K2108" s="2" t="s">
        <v>12</v>
      </c>
    </row>
    <row r="2109" spans="1:11" ht="12.5" x14ac:dyDescent="0.25">
      <c r="A2109" s="3" t="e">
        <f ca="1"/>
        <v>#NAME?</v>
      </c>
      <c r="B2109" s="2" t="s">
        <v>12</v>
      </c>
      <c r="C2109" s="2" t="s">
        <v>12</v>
      </c>
      <c r="D2109" s="2" t="s">
        <v>12</v>
      </c>
      <c r="E2109" s="2" t="s">
        <v>12</v>
      </c>
      <c r="F2109" s="2" t="s">
        <v>12</v>
      </c>
      <c r="G2109" s="2" t="s">
        <v>12</v>
      </c>
      <c r="H2109" s="2" t="s">
        <v>12</v>
      </c>
      <c r="I2109" s="2" t="s">
        <v>12</v>
      </c>
      <c r="J2109" s="2" t="s">
        <v>12</v>
      </c>
      <c r="K2109" s="2" t="s">
        <v>12</v>
      </c>
    </row>
    <row r="2110" spans="1:11" ht="12.5" x14ac:dyDescent="0.25">
      <c r="A2110" s="3" t="e">
        <f ca="1"/>
        <v>#NAME?</v>
      </c>
      <c r="B2110" s="2" t="s">
        <v>12</v>
      </c>
      <c r="C2110" s="2" t="s">
        <v>12</v>
      </c>
      <c r="D2110" s="2" t="s">
        <v>12</v>
      </c>
      <c r="E2110" s="2" t="s">
        <v>12</v>
      </c>
      <c r="F2110" s="2" t="s">
        <v>12</v>
      </c>
      <c r="G2110" s="2" t="s">
        <v>12</v>
      </c>
      <c r="H2110" s="2" t="s">
        <v>12</v>
      </c>
      <c r="I2110" s="2" t="s">
        <v>12</v>
      </c>
      <c r="J2110" s="2" t="s">
        <v>12</v>
      </c>
      <c r="K2110" s="2" t="s">
        <v>12</v>
      </c>
    </row>
    <row r="2111" spans="1:11" ht="12.5" x14ac:dyDescent="0.25">
      <c r="A2111" s="3" t="e">
        <f ca="1"/>
        <v>#NAME?</v>
      </c>
      <c r="B2111" s="2" t="s">
        <v>12</v>
      </c>
      <c r="C2111" s="2" t="s">
        <v>12</v>
      </c>
      <c r="D2111" s="2" t="s">
        <v>12</v>
      </c>
      <c r="E2111" s="2" t="s">
        <v>12</v>
      </c>
      <c r="F2111" s="2" t="s">
        <v>12</v>
      </c>
      <c r="G2111" s="2" t="s">
        <v>12</v>
      </c>
      <c r="H2111" s="2" t="s">
        <v>12</v>
      </c>
      <c r="I2111" s="2" t="s">
        <v>12</v>
      </c>
      <c r="J2111" s="2" t="s">
        <v>12</v>
      </c>
      <c r="K2111" s="2" t="s">
        <v>12</v>
      </c>
    </row>
    <row r="2112" spans="1:11" ht="12.5" x14ac:dyDescent="0.25">
      <c r="A2112" s="3" t="e">
        <f ca="1"/>
        <v>#NAME?</v>
      </c>
      <c r="B2112" s="2" t="s">
        <v>12</v>
      </c>
      <c r="C2112" s="2" t="s">
        <v>12</v>
      </c>
      <c r="D2112" s="2" t="s">
        <v>12</v>
      </c>
      <c r="E2112" s="2" t="s">
        <v>12</v>
      </c>
      <c r="F2112" s="2" t="s">
        <v>12</v>
      </c>
      <c r="G2112" s="2" t="s">
        <v>12</v>
      </c>
      <c r="H2112" s="2" t="s">
        <v>12</v>
      </c>
      <c r="I2112" s="2" t="s">
        <v>12</v>
      </c>
      <c r="J2112" s="2" t="s">
        <v>12</v>
      </c>
      <c r="K2112" s="2" t="s">
        <v>12</v>
      </c>
    </row>
    <row r="2113" spans="1:11" ht="12.5" x14ac:dyDescent="0.25">
      <c r="A2113" s="3" t="e">
        <f ca="1"/>
        <v>#NAME?</v>
      </c>
      <c r="B2113" s="2" t="s">
        <v>12</v>
      </c>
      <c r="C2113" s="2" t="s">
        <v>12</v>
      </c>
      <c r="D2113" s="2" t="s">
        <v>12</v>
      </c>
      <c r="E2113" s="2" t="s">
        <v>12</v>
      </c>
      <c r="F2113" s="2" t="s">
        <v>12</v>
      </c>
      <c r="G2113" s="2" t="s">
        <v>12</v>
      </c>
      <c r="H2113" s="2" t="s">
        <v>12</v>
      </c>
      <c r="I2113" s="2" t="s">
        <v>12</v>
      </c>
      <c r="J2113" s="2" t="s">
        <v>12</v>
      </c>
      <c r="K2113" s="2" t="s">
        <v>12</v>
      </c>
    </row>
    <row r="2114" spans="1:11" ht="12.5" x14ac:dyDescent="0.25">
      <c r="A2114" s="3" t="e">
        <f ca="1"/>
        <v>#NAME?</v>
      </c>
      <c r="B2114" s="2" t="s">
        <v>12</v>
      </c>
      <c r="C2114" s="2" t="s">
        <v>12</v>
      </c>
      <c r="D2114" s="2" t="s">
        <v>12</v>
      </c>
      <c r="E2114" s="2" t="s">
        <v>12</v>
      </c>
      <c r="F2114" s="2" t="s">
        <v>12</v>
      </c>
      <c r="G2114" s="2" t="s">
        <v>12</v>
      </c>
      <c r="H2114" s="2" t="s">
        <v>12</v>
      </c>
      <c r="I2114" s="2" t="s">
        <v>12</v>
      </c>
      <c r="J2114" s="2" t="s">
        <v>12</v>
      </c>
      <c r="K2114" s="2" t="s">
        <v>12</v>
      </c>
    </row>
    <row r="2115" spans="1:11" ht="12.5" x14ac:dyDescent="0.25">
      <c r="A2115" s="3" t="e">
        <f ca="1"/>
        <v>#NAME?</v>
      </c>
      <c r="B2115" s="2" t="s">
        <v>12</v>
      </c>
      <c r="C2115" s="2" t="s">
        <v>12</v>
      </c>
      <c r="D2115" s="2" t="s">
        <v>12</v>
      </c>
      <c r="E2115" s="2" t="s">
        <v>12</v>
      </c>
      <c r="F2115" s="2" t="s">
        <v>12</v>
      </c>
      <c r="G2115" s="2" t="s">
        <v>12</v>
      </c>
      <c r="H2115" s="2" t="s">
        <v>12</v>
      </c>
      <c r="I2115" s="2" t="s">
        <v>12</v>
      </c>
      <c r="J2115" s="2" t="s">
        <v>12</v>
      </c>
      <c r="K2115" s="2" t="s">
        <v>12</v>
      </c>
    </row>
    <row r="2116" spans="1:11" ht="12.5" x14ac:dyDescent="0.25">
      <c r="A2116" s="3" t="e">
        <f ca="1"/>
        <v>#NAME?</v>
      </c>
      <c r="B2116" s="2" t="s">
        <v>12</v>
      </c>
      <c r="C2116" s="2" t="s">
        <v>12</v>
      </c>
      <c r="D2116" s="2" t="s">
        <v>12</v>
      </c>
      <c r="E2116" s="2" t="s">
        <v>12</v>
      </c>
      <c r="F2116" s="2" t="s">
        <v>12</v>
      </c>
      <c r="G2116" s="2" t="s">
        <v>12</v>
      </c>
      <c r="H2116" s="2" t="s">
        <v>12</v>
      </c>
      <c r="I2116" s="2" t="s">
        <v>12</v>
      </c>
      <c r="J2116" s="2" t="s">
        <v>12</v>
      </c>
      <c r="K2116" s="2" t="s">
        <v>12</v>
      </c>
    </row>
    <row r="2117" spans="1:11" ht="12.5" x14ac:dyDescent="0.25">
      <c r="A2117" s="3" t="e">
        <f ca="1"/>
        <v>#NAME?</v>
      </c>
      <c r="B2117" s="2" t="s">
        <v>12</v>
      </c>
      <c r="C2117" s="2" t="s">
        <v>12</v>
      </c>
      <c r="D2117" s="2" t="s">
        <v>12</v>
      </c>
      <c r="E2117" s="2" t="s">
        <v>12</v>
      </c>
      <c r="F2117" s="2" t="s">
        <v>12</v>
      </c>
      <c r="G2117" s="2" t="s">
        <v>12</v>
      </c>
      <c r="H2117" s="2" t="s">
        <v>12</v>
      </c>
      <c r="I2117" s="2" t="s">
        <v>12</v>
      </c>
      <c r="J2117" s="2" t="s">
        <v>12</v>
      </c>
      <c r="K2117" s="2" t="s">
        <v>12</v>
      </c>
    </row>
    <row r="2118" spans="1:11" ht="12.5" x14ac:dyDescent="0.25">
      <c r="A2118" s="3" t="e">
        <f ca="1"/>
        <v>#NAME?</v>
      </c>
      <c r="B2118" s="2" t="s">
        <v>12</v>
      </c>
      <c r="C2118" s="2" t="s">
        <v>12</v>
      </c>
      <c r="D2118" s="2" t="s">
        <v>12</v>
      </c>
      <c r="E2118" s="2" t="s">
        <v>12</v>
      </c>
      <c r="F2118" s="2" t="s">
        <v>12</v>
      </c>
      <c r="G2118" s="2" t="s">
        <v>12</v>
      </c>
      <c r="H2118" s="2" t="s">
        <v>12</v>
      </c>
      <c r="I2118" s="2" t="s">
        <v>12</v>
      </c>
      <c r="J2118" s="2" t="s">
        <v>12</v>
      </c>
      <c r="K2118" s="2" t="s">
        <v>12</v>
      </c>
    </row>
    <row r="2119" spans="1:11" ht="12.5" x14ac:dyDescent="0.25">
      <c r="A2119" s="3" t="e">
        <f ca="1"/>
        <v>#NAME?</v>
      </c>
      <c r="B2119" s="2" t="s">
        <v>12</v>
      </c>
      <c r="C2119" s="2" t="s">
        <v>12</v>
      </c>
      <c r="D2119" s="2" t="s">
        <v>12</v>
      </c>
      <c r="E2119" s="2" t="s">
        <v>12</v>
      </c>
      <c r="F2119" s="2" t="s">
        <v>12</v>
      </c>
      <c r="G2119" s="2" t="s">
        <v>12</v>
      </c>
      <c r="H2119" s="2" t="s">
        <v>12</v>
      </c>
      <c r="I2119" s="2" t="s">
        <v>12</v>
      </c>
      <c r="J2119" s="2" t="s">
        <v>12</v>
      </c>
      <c r="K2119" s="2" t="s">
        <v>12</v>
      </c>
    </row>
    <row r="2120" spans="1:11" ht="12.5" x14ac:dyDescent="0.25">
      <c r="A2120" s="3" t="e">
        <f ca="1"/>
        <v>#NAME?</v>
      </c>
      <c r="B2120" s="2" t="s">
        <v>12</v>
      </c>
      <c r="C2120" s="2" t="s">
        <v>12</v>
      </c>
      <c r="D2120" s="2" t="s">
        <v>12</v>
      </c>
      <c r="E2120" s="2" t="s">
        <v>12</v>
      </c>
      <c r="F2120" s="2" t="s">
        <v>12</v>
      </c>
      <c r="G2120" s="2" t="s">
        <v>12</v>
      </c>
      <c r="H2120" s="2" t="s">
        <v>12</v>
      </c>
      <c r="I2120" s="2" t="s">
        <v>12</v>
      </c>
      <c r="J2120" s="2" t="s">
        <v>12</v>
      </c>
      <c r="K2120" s="2" t="s">
        <v>12</v>
      </c>
    </row>
    <row r="2121" spans="1:11" ht="12.5" x14ac:dyDescent="0.25">
      <c r="A2121" s="3" t="e">
        <f ca="1"/>
        <v>#NAME?</v>
      </c>
      <c r="B2121" s="2" t="s">
        <v>12</v>
      </c>
      <c r="C2121" s="2" t="s">
        <v>12</v>
      </c>
      <c r="D2121" s="2" t="s">
        <v>12</v>
      </c>
      <c r="E2121" s="2" t="s">
        <v>12</v>
      </c>
      <c r="F2121" s="2" t="s">
        <v>12</v>
      </c>
      <c r="G2121" s="2" t="s">
        <v>12</v>
      </c>
      <c r="H2121" s="2" t="s">
        <v>12</v>
      </c>
      <c r="I2121" s="2" t="s">
        <v>12</v>
      </c>
      <c r="J2121" s="2" t="s">
        <v>12</v>
      </c>
      <c r="K2121" s="2" t="s">
        <v>12</v>
      </c>
    </row>
    <row r="2122" spans="1:11" ht="12.5" x14ac:dyDescent="0.25">
      <c r="A2122" s="3" t="e">
        <f ca="1"/>
        <v>#NAME?</v>
      </c>
      <c r="B2122" s="2" t="s">
        <v>12</v>
      </c>
      <c r="C2122" s="2" t="s">
        <v>12</v>
      </c>
      <c r="D2122" s="2" t="s">
        <v>12</v>
      </c>
      <c r="E2122" s="2" t="s">
        <v>12</v>
      </c>
      <c r="F2122" s="2" t="s">
        <v>12</v>
      </c>
      <c r="G2122" s="2" t="s">
        <v>12</v>
      </c>
      <c r="H2122" s="2" t="s">
        <v>12</v>
      </c>
      <c r="I2122" s="2" t="s">
        <v>12</v>
      </c>
      <c r="J2122" s="2" t="s">
        <v>12</v>
      </c>
      <c r="K2122" s="2" t="s">
        <v>12</v>
      </c>
    </row>
    <row r="2123" spans="1:11" ht="12.5" x14ac:dyDescent="0.25">
      <c r="A2123" s="3" t="e">
        <f ca="1"/>
        <v>#NAME?</v>
      </c>
      <c r="B2123" s="2" t="s">
        <v>12</v>
      </c>
      <c r="C2123" s="2" t="s">
        <v>12</v>
      </c>
      <c r="D2123" s="2" t="s">
        <v>12</v>
      </c>
      <c r="E2123" s="2" t="s">
        <v>12</v>
      </c>
      <c r="F2123" s="2" t="s">
        <v>12</v>
      </c>
      <c r="G2123" s="2" t="s">
        <v>12</v>
      </c>
      <c r="H2123" s="2" t="s">
        <v>12</v>
      </c>
      <c r="I2123" s="2" t="s">
        <v>12</v>
      </c>
      <c r="J2123" s="2" t="s">
        <v>12</v>
      </c>
      <c r="K2123" s="2" t="s">
        <v>12</v>
      </c>
    </row>
    <row r="2124" spans="1:11" ht="12.5" x14ac:dyDescent="0.25">
      <c r="A2124" s="3" t="e">
        <f ca="1"/>
        <v>#NAME?</v>
      </c>
      <c r="B2124" s="2" t="s">
        <v>12</v>
      </c>
      <c r="C2124" s="2" t="s">
        <v>12</v>
      </c>
      <c r="D2124" s="2" t="s">
        <v>12</v>
      </c>
      <c r="E2124" s="2" t="s">
        <v>12</v>
      </c>
      <c r="F2124" s="2" t="s">
        <v>12</v>
      </c>
      <c r="G2124" s="2" t="s">
        <v>12</v>
      </c>
      <c r="H2124" s="2" t="s">
        <v>12</v>
      </c>
      <c r="I2124" s="2" t="s">
        <v>12</v>
      </c>
      <c r="J2124" s="2" t="s">
        <v>12</v>
      </c>
      <c r="K2124" s="2" t="s">
        <v>12</v>
      </c>
    </row>
    <row r="2125" spans="1:11" ht="12.5" x14ac:dyDescent="0.25">
      <c r="A2125" s="3" t="e">
        <f ca="1"/>
        <v>#NAME?</v>
      </c>
      <c r="B2125" s="2" t="s">
        <v>12</v>
      </c>
      <c r="C2125" s="2" t="s">
        <v>12</v>
      </c>
      <c r="D2125" s="2" t="s">
        <v>12</v>
      </c>
      <c r="E2125" s="2" t="s">
        <v>12</v>
      </c>
      <c r="F2125" s="2" t="s">
        <v>12</v>
      </c>
      <c r="G2125" s="2" t="s">
        <v>12</v>
      </c>
      <c r="H2125" s="2" t="s">
        <v>12</v>
      </c>
      <c r="I2125" s="2" t="s">
        <v>12</v>
      </c>
      <c r="J2125" s="2" t="s">
        <v>12</v>
      </c>
      <c r="K2125" s="2" t="s">
        <v>12</v>
      </c>
    </row>
    <row r="2126" spans="1:11" ht="12.5" x14ac:dyDescent="0.25">
      <c r="A2126" s="3" t="e">
        <f ca="1"/>
        <v>#NAME?</v>
      </c>
      <c r="B2126" s="2" t="s">
        <v>12</v>
      </c>
      <c r="C2126" s="2" t="s">
        <v>12</v>
      </c>
      <c r="D2126" s="2" t="s">
        <v>12</v>
      </c>
      <c r="E2126" s="2" t="s">
        <v>12</v>
      </c>
      <c r="F2126" s="2" t="s">
        <v>12</v>
      </c>
      <c r="G2126" s="2" t="s">
        <v>12</v>
      </c>
      <c r="H2126" s="2" t="s">
        <v>12</v>
      </c>
      <c r="I2126" s="2" t="s">
        <v>12</v>
      </c>
      <c r="J2126" s="2" t="s">
        <v>12</v>
      </c>
      <c r="K2126" s="2" t="s">
        <v>12</v>
      </c>
    </row>
    <row r="2127" spans="1:11" ht="12.5" x14ac:dyDescent="0.25">
      <c r="A2127" s="3" t="e">
        <f ca="1"/>
        <v>#NAME?</v>
      </c>
      <c r="B2127" s="2" t="s">
        <v>12</v>
      </c>
      <c r="C2127" s="2" t="s">
        <v>12</v>
      </c>
      <c r="D2127" s="2" t="s">
        <v>12</v>
      </c>
      <c r="E2127" s="2" t="s">
        <v>12</v>
      </c>
      <c r="F2127" s="2" t="s">
        <v>12</v>
      </c>
      <c r="G2127" s="2" t="s">
        <v>12</v>
      </c>
      <c r="H2127" s="2" t="s">
        <v>12</v>
      </c>
      <c r="I2127" s="2" t="s">
        <v>12</v>
      </c>
      <c r="J2127" s="2" t="s">
        <v>12</v>
      </c>
      <c r="K2127" s="2" t="s">
        <v>12</v>
      </c>
    </row>
    <row r="2128" spans="1:11" ht="12.5" x14ac:dyDescent="0.25">
      <c r="A2128" s="3" t="e">
        <f ca="1"/>
        <v>#NAME?</v>
      </c>
      <c r="B2128" s="2" t="s">
        <v>12</v>
      </c>
      <c r="C2128" s="2" t="s">
        <v>12</v>
      </c>
      <c r="D2128" s="2" t="s">
        <v>12</v>
      </c>
      <c r="E2128" s="2" t="s">
        <v>12</v>
      </c>
      <c r="F2128" s="2" t="s">
        <v>12</v>
      </c>
      <c r="G2128" s="2" t="s">
        <v>12</v>
      </c>
      <c r="H2128" s="2" t="s">
        <v>12</v>
      </c>
      <c r="I2128" s="2" t="s">
        <v>12</v>
      </c>
      <c r="J2128" s="2" t="s">
        <v>12</v>
      </c>
      <c r="K2128" s="2" t="s">
        <v>12</v>
      </c>
    </row>
    <row r="2129" spans="1:11" ht="12.5" x14ac:dyDescent="0.25">
      <c r="A2129" s="3" t="e">
        <f ca="1"/>
        <v>#NAME?</v>
      </c>
      <c r="B2129" s="2" t="s">
        <v>12</v>
      </c>
      <c r="C2129" s="2" t="s">
        <v>12</v>
      </c>
      <c r="D2129" s="2" t="s">
        <v>12</v>
      </c>
      <c r="E2129" s="2" t="s">
        <v>12</v>
      </c>
      <c r="F2129" s="2" t="s">
        <v>12</v>
      </c>
      <c r="G2129" s="2" t="s">
        <v>12</v>
      </c>
      <c r="H2129" s="2" t="s">
        <v>12</v>
      </c>
      <c r="I2129" s="2" t="s">
        <v>12</v>
      </c>
      <c r="J2129" s="2" t="s">
        <v>12</v>
      </c>
      <c r="K2129" s="2" t="s">
        <v>12</v>
      </c>
    </row>
    <row r="2130" spans="1:11" ht="12.5" x14ac:dyDescent="0.25">
      <c r="A2130" s="3" t="e">
        <f ca="1"/>
        <v>#NAME?</v>
      </c>
      <c r="B2130" s="2" t="s">
        <v>12</v>
      </c>
      <c r="C2130" s="2" t="s">
        <v>12</v>
      </c>
      <c r="D2130" s="2" t="s">
        <v>12</v>
      </c>
      <c r="E2130" s="2" t="s">
        <v>12</v>
      </c>
      <c r="F2130" s="2" t="s">
        <v>12</v>
      </c>
      <c r="G2130" s="2" t="s">
        <v>12</v>
      </c>
      <c r="H2130" s="2" t="s">
        <v>12</v>
      </c>
      <c r="I2130" s="2" t="s">
        <v>12</v>
      </c>
      <c r="J2130" s="2" t="s">
        <v>12</v>
      </c>
      <c r="K2130" s="2" t="s">
        <v>12</v>
      </c>
    </row>
    <row r="2131" spans="1:11" ht="12.5" x14ac:dyDescent="0.25">
      <c r="A2131" s="3" t="e">
        <f ca="1"/>
        <v>#NAME?</v>
      </c>
      <c r="B2131" s="2" t="s">
        <v>12</v>
      </c>
      <c r="C2131" s="2" t="s">
        <v>12</v>
      </c>
      <c r="D2131" s="2" t="s">
        <v>12</v>
      </c>
      <c r="E2131" s="2" t="s">
        <v>12</v>
      </c>
      <c r="F2131" s="2" t="s">
        <v>12</v>
      </c>
      <c r="G2131" s="2" t="s">
        <v>12</v>
      </c>
      <c r="H2131" s="2" t="s">
        <v>12</v>
      </c>
      <c r="I2131" s="2" t="s">
        <v>12</v>
      </c>
      <c r="J2131" s="2" t="s">
        <v>12</v>
      </c>
      <c r="K2131" s="2" t="s">
        <v>12</v>
      </c>
    </row>
    <row r="2132" spans="1:11" ht="12.5" x14ac:dyDescent="0.25">
      <c r="A2132" s="3" t="e">
        <f ca="1"/>
        <v>#NAME?</v>
      </c>
      <c r="B2132" s="2" t="s">
        <v>12</v>
      </c>
      <c r="C2132" s="2" t="s">
        <v>12</v>
      </c>
      <c r="D2132" s="2" t="s">
        <v>12</v>
      </c>
      <c r="E2132" s="2" t="s">
        <v>12</v>
      </c>
      <c r="F2132" s="2" t="s">
        <v>12</v>
      </c>
      <c r="G2132" s="2" t="s">
        <v>12</v>
      </c>
      <c r="H2132" s="2" t="s">
        <v>12</v>
      </c>
      <c r="I2132" s="2" t="s">
        <v>12</v>
      </c>
      <c r="J2132" s="2" t="s">
        <v>12</v>
      </c>
      <c r="K2132" s="2" t="s">
        <v>12</v>
      </c>
    </row>
    <row r="2133" spans="1:11" ht="12.5" x14ac:dyDescent="0.25">
      <c r="A2133" s="3" t="e">
        <f ca="1"/>
        <v>#NAME?</v>
      </c>
      <c r="B2133" s="2" t="s">
        <v>12</v>
      </c>
      <c r="C2133" s="2" t="s">
        <v>12</v>
      </c>
      <c r="D2133" s="2" t="s">
        <v>12</v>
      </c>
      <c r="E2133" s="2" t="s">
        <v>12</v>
      </c>
      <c r="F2133" s="2" t="s">
        <v>12</v>
      </c>
      <c r="G2133" s="2" t="s">
        <v>12</v>
      </c>
      <c r="H2133" s="2" t="s">
        <v>12</v>
      </c>
      <c r="I2133" s="2" t="s">
        <v>12</v>
      </c>
      <c r="J2133" s="2" t="s">
        <v>12</v>
      </c>
      <c r="K2133" s="2" t="s">
        <v>12</v>
      </c>
    </row>
    <row r="2134" spans="1:11" ht="12.5" x14ac:dyDescent="0.25">
      <c r="A2134" s="3" t="e">
        <f ca="1"/>
        <v>#NAME?</v>
      </c>
      <c r="B2134" s="2" t="s">
        <v>12</v>
      </c>
      <c r="C2134" s="2" t="s">
        <v>12</v>
      </c>
      <c r="D2134" s="2" t="s">
        <v>12</v>
      </c>
      <c r="E2134" s="2" t="s">
        <v>12</v>
      </c>
      <c r="F2134" s="2" t="s">
        <v>12</v>
      </c>
      <c r="G2134" s="2" t="s">
        <v>12</v>
      </c>
      <c r="H2134" s="2" t="s">
        <v>12</v>
      </c>
      <c r="I2134" s="2" t="s">
        <v>12</v>
      </c>
      <c r="J2134" s="2" t="s">
        <v>12</v>
      </c>
      <c r="K2134" s="2" t="s">
        <v>12</v>
      </c>
    </row>
    <row r="2135" spans="1:11" ht="12.5" x14ac:dyDescent="0.25">
      <c r="A2135" s="3" t="e">
        <f ca="1"/>
        <v>#NAME?</v>
      </c>
      <c r="B2135" s="2" t="s">
        <v>12</v>
      </c>
      <c r="C2135" s="2" t="s">
        <v>12</v>
      </c>
      <c r="D2135" s="2" t="s">
        <v>12</v>
      </c>
      <c r="E2135" s="2" t="s">
        <v>12</v>
      </c>
      <c r="F2135" s="2" t="s">
        <v>12</v>
      </c>
      <c r="G2135" s="2" t="s">
        <v>12</v>
      </c>
      <c r="H2135" s="2" t="s">
        <v>12</v>
      </c>
      <c r="I2135" s="2" t="s">
        <v>12</v>
      </c>
      <c r="J2135" s="2" t="s">
        <v>12</v>
      </c>
      <c r="K2135" s="2" t="s">
        <v>12</v>
      </c>
    </row>
    <row r="2136" spans="1:11" ht="12.5" x14ac:dyDescent="0.25">
      <c r="A2136" s="3" t="e">
        <f ca="1"/>
        <v>#NAME?</v>
      </c>
      <c r="B2136" s="2" t="s">
        <v>12</v>
      </c>
      <c r="C2136" s="2" t="s">
        <v>12</v>
      </c>
      <c r="D2136" s="2" t="s">
        <v>12</v>
      </c>
      <c r="E2136" s="2" t="s">
        <v>12</v>
      </c>
      <c r="F2136" s="2" t="s">
        <v>12</v>
      </c>
      <c r="G2136" s="2" t="s">
        <v>12</v>
      </c>
      <c r="H2136" s="2" t="s">
        <v>12</v>
      </c>
      <c r="I2136" s="2" t="s">
        <v>12</v>
      </c>
      <c r="J2136" s="2" t="s">
        <v>12</v>
      </c>
      <c r="K2136" s="2" t="s">
        <v>12</v>
      </c>
    </row>
    <row r="2137" spans="1:11" ht="12.5" x14ac:dyDescent="0.25">
      <c r="A2137" s="3" t="e">
        <f ca="1"/>
        <v>#NAME?</v>
      </c>
      <c r="B2137" s="2" t="s">
        <v>12</v>
      </c>
      <c r="C2137" s="2" t="s">
        <v>12</v>
      </c>
      <c r="D2137" s="2" t="s">
        <v>12</v>
      </c>
      <c r="E2137" s="2" t="s">
        <v>12</v>
      </c>
      <c r="F2137" s="2" t="s">
        <v>12</v>
      </c>
      <c r="G2137" s="2" t="s">
        <v>12</v>
      </c>
      <c r="H2137" s="2" t="s">
        <v>12</v>
      </c>
      <c r="I2137" s="2" t="s">
        <v>12</v>
      </c>
      <c r="J2137" s="2" t="s">
        <v>12</v>
      </c>
      <c r="K2137" s="2" t="s">
        <v>12</v>
      </c>
    </row>
    <row r="2138" spans="1:11" ht="12.5" x14ac:dyDescent="0.25">
      <c r="A2138" s="3" t="e">
        <f ca="1"/>
        <v>#NAME?</v>
      </c>
      <c r="B2138" s="2" t="s">
        <v>12</v>
      </c>
      <c r="C2138" s="2" t="s">
        <v>12</v>
      </c>
      <c r="D2138" s="2" t="s">
        <v>12</v>
      </c>
      <c r="E2138" s="2" t="s">
        <v>12</v>
      </c>
      <c r="F2138" s="2" t="s">
        <v>12</v>
      </c>
      <c r="G2138" s="2" t="s">
        <v>12</v>
      </c>
      <c r="H2138" s="2" t="s">
        <v>12</v>
      </c>
      <c r="I2138" s="2" t="s">
        <v>12</v>
      </c>
      <c r="J2138" s="2" t="s">
        <v>12</v>
      </c>
      <c r="K2138" s="2" t="s">
        <v>12</v>
      </c>
    </row>
    <row r="2139" spans="1:11" ht="12.5" x14ac:dyDescent="0.25">
      <c r="A2139" s="3" t="e">
        <f ca="1"/>
        <v>#NAME?</v>
      </c>
      <c r="B2139" s="2" t="s">
        <v>12</v>
      </c>
      <c r="C2139" s="2" t="s">
        <v>12</v>
      </c>
      <c r="D2139" s="2" t="s">
        <v>12</v>
      </c>
      <c r="E2139" s="2" t="s">
        <v>12</v>
      </c>
      <c r="F2139" s="2" t="s">
        <v>12</v>
      </c>
      <c r="G2139" s="2" t="s">
        <v>12</v>
      </c>
      <c r="H2139" s="2" t="s">
        <v>12</v>
      </c>
      <c r="I2139" s="2" t="s">
        <v>12</v>
      </c>
      <c r="J2139" s="2" t="s">
        <v>12</v>
      </c>
      <c r="K2139" s="2" t="s">
        <v>12</v>
      </c>
    </row>
    <row r="2140" spans="1:11" ht="12.5" x14ac:dyDescent="0.25">
      <c r="A2140" s="3" t="e">
        <f ca="1"/>
        <v>#NAME?</v>
      </c>
      <c r="B2140" s="2" t="s">
        <v>12</v>
      </c>
      <c r="C2140" s="2" t="s">
        <v>12</v>
      </c>
      <c r="D2140" s="2" t="s">
        <v>12</v>
      </c>
      <c r="E2140" s="2" t="s">
        <v>12</v>
      </c>
      <c r="F2140" s="2" t="s">
        <v>12</v>
      </c>
      <c r="G2140" s="2" t="s">
        <v>12</v>
      </c>
      <c r="H2140" s="2" t="s">
        <v>12</v>
      </c>
      <c r="I2140" s="2" t="s">
        <v>12</v>
      </c>
      <c r="J2140" s="2" t="s">
        <v>12</v>
      </c>
      <c r="K2140" s="2" t="s">
        <v>12</v>
      </c>
    </row>
    <row r="2141" spans="1:11" ht="12.5" x14ac:dyDescent="0.25">
      <c r="A2141" s="3" t="e">
        <f ca="1"/>
        <v>#NAME?</v>
      </c>
      <c r="B2141" s="2" t="s">
        <v>12</v>
      </c>
      <c r="C2141" s="2" t="s">
        <v>12</v>
      </c>
      <c r="D2141" s="2" t="s">
        <v>12</v>
      </c>
      <c r="E2141" s="2" t="s">
        <v>12</v>
      </c>
      <c r="F2141" s="2" t="s">
        <v>12</v>
      </c>
      <c r="G2141" s="2" t="s">
        <v>12</v>
      </c>
      <c r="H2141" s="2" t="s">
        <v>12</v>
      </c>
      <c r="I2141" s="2" t="s">
        <v>12</v>
      </c>
      <c r="J2141" s="2" t="s">
        <v>12</v>
      </c>
      <c r="K2141" s="2" t="s">
        <v>12</v>
      </c>
    </row>
    <row r="2142" spans="1:11" ht="12.5" x14ac:dyDescent="0.25">
      <c r="A2142" s="3" t="e">
        <f ca="1"/>
        <v>#NAME?</v>
      </c>
      <c r="B2142" s="2" t="s">
        <v>12</v>
      </c>
      <c r="C2142" s="2" t="s">
        <v>12</v>
      </c>
      <c r="D2142" s="2" t="s">
        <v>12</v>
      </c>
      <c r="E2142" s="2" t="s">
        <v>12</v>
      </c>
      <c r="F2142" s="2" t="s">
        <v>12</v>
      </c>
      <c r="G2142" s="2" t="s">
        <v>12</v>
      </c>
      <c r="H2142" s="2" t="s">
        <v>12</v>
      </c>
      <c r="I2142" s="2" t="s">
        <v>12</v>
      </c>
      <c r="J2142" s="2" t="s">
        <v>12</v>
      </c>
      <c r="K2142" s="2" t="s">
        <v>12</v>
      </c>
    </row>
    <row r="2143" spans="1:11" ht="12.5" x14ac:dyDescent="0.25">
      <c r="A2143" s="3" t="e">
        <f ca="1"/>
        <v>#NAME?</v>
      </c>
      <c r="B2143" s="2" t="s">
        <v>12</v>
      </c>
      <c r="C2143" s="2" t="s">
        <v>12</v>
      </c>
      <c r="D2143" s="2" t="s">
        <v>12</v>
      </c>
      <c r="E2143" s="2" t="s">
        <v>12</v>
      </c>
      <c r="F2143" s="2" t="s">
        <v>12</v>
      </c>
      <c r="G2143" s="2" t="s">
        <v>12</v>
      </c>
      <c r="H2143" s="2" t="s">
        <v>12</v>
      </c>
      <c r="I2143" s="2" t="s">
        <v>12</v>
      </c>
      <c r="J2143" s="2" t="s">
        <v>12</v>
      </c>
      <c r="K2143" s="2" t="s">
        <v>12</v>
      </c>
    </row>
    <row r="2144" spans="1:11" ht="12.5" x14ac:dyDescent="0.25">
      <c r="A2144" s="3" t="e">
        <f ca="1"/>
        <v>#NAME?</v>
      </c>
      <c r="B2144" s="2" t="s">
        <v>12</v>
      </c>
      <c r="C2144" s="2" t="s">
        <v>12</v>
      </c>
      <c r="D2144" s="2" t="s">
        <v>12</v>
      </c>
      <c r="E2144" s="2" t="s">
        <v>12</v>
      </c>
      <c r="F2144" s="2" t="s">
        <v>12</v>
      </c>
      <c r="G2144" s="2" t="s">
        <v>12</v>
      </c>
      <c r="H2144" s="2" t="s">
        <v>12</v>
      </c>
      <c r="I2144" s="2" t="s">
        <v>12</v>
      </c>
      <c r="J2144" s="2" t="s">
        <v>12</v>
      </c>
      <c r="K2144" s="2" t="s">
        <v>12</v>
      </c>
    </row>
    <row r="2145" spans="1:11" ht="12.5" x14ac:dyDescent="0.25">
      <c r="A2145" s="3" t="e">
        <f ca="1"/>
        <v>#NAME?</v>
      </c>
      <c r="B2145" s="2" t="s">
        <v>12</v>
      </c>
      <c r="C2145" s="2" t="s">
        <v>12</v>
      </c>
      <c r="D2145" s="2" t="s">
        <v>12</v>
      </c>
      <c r="E2145" s="2" t="s">
        <v>12</v>
      </c>
      <c r="F2145" s="2" t="s">
        <v>12</v>
      </c>
      <c r="G2145" s="2" t="s">
        <v>12</v>
      </c>
      <c r="H2145" s="2" t="s">
        <v>12</v>
      </c>
      <c r="I2145" s="2" t="s">
        <v>12</v>
      </c>
      <c r="J2145" s="2" t="s">
        <v>12</v>
      </c>
      <c r="K2145" s="2" t="s">
        <v>12</v>
      </c>
    </row>
    <row r="2146" spans="1:11" ht="12.5" x14ac:dyDescent="0.25">
      <c r="A2146" s="3" t="e">
        <f ca="1"/>
        <v>#NAME?</v>
      </c>
      <c r="B2146" s="2" t="s">
        <v>12</v>
      </c>
      <c r="C2146" s="2" t="s">
        <v>12</v>
      </c>
      <c r="D2146" s="2" t="s">
        <v>12</v>
      </c>
      <c r="E2146" s="2" t="s">
        <v>12</v>
      </c>
      <c r="F2146" s="2" t="s">
        <v>12</v>
      </c>
      <c r="G2146" s="2" t="s">
        <v>12</v>
      </c>
      <c r="H2146" s="2" t="s">
        <v>12</v>
      </c>
      <c r="I2146" s="2" t="s">
        <v>12</v>
      </c>
      <c r="J2146" s="2" t="s">
        <v>12</v>
      </c>
      <c r="K2146" s="2" t="s">
        <v>12</v>
      </c>
    </row>
    <row r="2147" spans="1:11" ht="12.5" x14ac:dyDescent="0.25">
      <c r="A2147" s="3" t="e">
        <f ca="1"/>
        <v>#NAME?</v>
      </c>
      <c r="B2147" s="2" t="s">
        <v>12</v>
      </c>
      <c r="C2147" s="2" t="s">
        <v>12</v>
      </c>
      <c r="D2147" s="2" t="s">
        <v>12</v>
      </c>
      <c r="E2147" s="2" t="s">
        <v>12</v>
      </c>
      <c r="F2147" s="2" t="s">
        <v>12</v>
      </c>
      <c r="G2147" s="2" t="s">
        <v>12</v>
      </c>
      <c r="H2147" s="2" t="s">
        <v>12</v>
      </c>
      <c r="I2147" s="2" t="s">
        <v>12</v>
      </c>
      <c r="J2147" s="2" t="s">
        <v>12</v>
      </c>
      <c r="K2147" s="2" t="s">
        <v>12</v>
      </c>
    </row>
    <row r="2148" spans="1:11" ht="12.5" x14ac:dyDescent="0.25">
      <c r="A2148" s="3" t="e">
        <f ca="1"/>
        <v>#NAME?</v>
      </c>
      <c r="B2148" s="2" t="s">
        <v>12</v>
      </c>
      <c r="C2148" s="2" t="s">
        <v>12</v>
      </c>
      <c r="D2148" s="2" t="s">
        <v>12</v>
      </c>
      <c r="E2148" s="2" t="s">
        <v>12</v>
      </c>
      <c r="F2148" s="2" t="s">
        <v>12</v>
      </c>
      <c r="G2148" s="2" t="s">
        <v>12</v>
      </c>
      <c r="H2148" s="2" t="s">
        <v>12</v>
      </c>
      <c r="I2148" s="2" t="s">
        <v>12</v>
      </c>
      <c r="J2148" s="2" t="s">
        <v>12</v>
      </c>
      <c r="K2148" s="2" t="s">
        <v>12</v>
      </c>
    </row>
    <row r="2149" spans="1:11" ht="12.5" x14ac:dyDescent="0.25">
      <c r="A2149" s="3" t="e">
        <f ca="1"/>
        <v>#NAME?</v>
      </c>
      <c r="B2149" s="2" t="s">
        <v>12</v>
      </c>
      <c r="C2149" s="2" t="s">
        <v>12</v>
      </c>
      <c r="D2149" s="2" t="s">
        <v>12</v>
      </c>
      <c r="E2149" s="2" t="s">
        <v>12</v>
      </c>
      <c r="F2149" s="2" t="s">
        <v>12</v>
      </c>
      <c r="G2149" s="2" t="s">
        <v>12</v>
      </c>
      <c r="H2149" s="2" t="s">
        <v>12</v>
      </c>
      <c r="I2149" s="2" t="s">
        <v>12</v>
      </c>
      <c r="J2149" s="2" t="s">
        <v>12</v>
      </c>
      <c r="K2149" s="2" t="s">
        <v>12</v>
      </c>
    </row>
    <row r="2150" spans="1:11" ht="12.5" x14ac:dyDescent="0.25">
      <c r="A2150" s="3" t="e">
        <f ca="1"/>
        <v>#NAME?</v>
      </c>
      <c r="B2150" s="2" t="s">
        <v>12</v>
      </c>
      <c r="C2150" s="2" t="s">
        <v>12</v>
      </c>
      <c r="D2150" s="2" t="s">
        <v>12</v>
      </c>
      <c r="E2150" s="2" t="s">
        <v>12</v>
      </c>
      <c r="F2150" s="2" t="s">
        <v>12</v>
      </c>
      <c r="G2150" s="2" t="s">
        <v>12</v>
      </c>
      <c r="H2150" s="2" t="s">
        <v>12</v>
      </c>
      <c r="I2150" s="2" t="s">
        <v>12</v>
      </c>
      <c r="J2150" s="2" t="s">
        <v>12</v>
      </c>
      <c r="K2150" s="2" t="s">
        <v>12</v>
      </c>
    </row>
    <row r="2151" spans="1:11" ht="12.5" x14ac:dyDescent="0.25">
      <c r="A2151" s="3" t="e">
        <f ca="1"/>
        <v>#NAME?</v>
      </c>
      <c r="B2151" s="2" t="s">
        <v>12</v>
      </c>
      <c r="C2151" s="2" t="s">
        <v>12</v>
      </c>
      <c r="D2151" s="2" t="s">
        <v>12</v>
      </c>
      <c r="E2151" s="2" t="s">
        <v>12</v>
      </c>
      <c r="F2151" s="2" t="s">
        <v>12</v>
      </c>
      <c r="G2151" s="2" t="s">
        <v>12</v>
      </c>
      <c r="H2151" s="2" t="s">
        <v>12</v>
      </c>
      <c r="I2151" s="2" t="s">
        <v>12</v>
      </c>
      <c r="J2151" s="2" t="s">
        <v>12</v>
      </c>
      <c r="K2151" s="2" t="s">
        <v>12</v>
      </c>
    </row>
    <row r="2152" spans="1:11" ht="12.5" x14ac:dyDescent="0.25">
      <c r="A2152" s="3" t="e">
        <f ca="1"/>
        <v>#NAME?</v>
      </c>
      <c r="B2152" s="2" t="s">
        <v>12</v>
      </c>
      <c r="C2152" s="2" t="s">
        <v>12</v>
      </c>
      <c r="D2152" s="2" t="s">
        <v>12</v>
      </c>
      <c r="E2152" s="2" t="s">
        <v>12</v>
      </c>
      <c r="F2152" s="2" t="s">
        <v>12</v>
      </c>
      <c r="G2152" s="2" t="s">
        <v>12</v>
      </c>
      <c r="H2152" s="2" t="s">
        <v>12</v>
      </c>
      <c r="I2152" s="2" t="s">
        <v>12</v>
      </c>
      <c r="J2152" s="2" t="s">
        <v>12</v>
      </c>
      <c r="K2152" s="2" t="s">
        <v>12</v>
      </c>
    </row>
    <row r="2153" spans="1:11" ht="12.5" x14ac:dyDescent="0.25">
      <c r="A2153" s="3" t="e">
        <f ca="1"/>
        <v>#NAME?</v>
      </c>
      <c r="B2153" s="2" t="s">
        <v>12</v>
      </c>
      <c r="C2153" s="2" t="s">
        <v>12</v>
      </c>
      <c r="D2153" s="2" t="s">
        <v>12</v>
      </c>
      <c r="E2153" s="2" t="s">
        <v>12</v>
      </c>
      <c r="F2153" s="2" t="s">
        <v>12</v>
      </c>
      <c r="G2153" s="2" t="s">
        <v>12</v>
      </c>
      <c r="H2153" s="2" t="s">
        <v>12</v>
      </c>
      <c r="I2153" s="2" t="s">
        <v>12</v>
      </c>
      <c r="J2153" s="2" t="s">
        <v>12</v>
      </c>
      <c r="K2153" s="2" t="s">
        <v>12</v>
      </c>
    </row>
    <row r="2154" spans="1:11" ht="12.5" x14ac:dyDescent="0.25">
      <c r="A2154" s="3" t="e">
        <f ca="1"/>
        <v>#NAME?</v>
      </c>
      <c r="B2154" s="2" t="s">
        <v>12</v>
      </c>
      <c r="C2154" s="2" t="s">
        <v>12</v>
      </c>
      <c r="D2154" s="2" t="s">
        <v>12</v>
      </c>
      <c r="E2154" s="2" t="s">
        <v>12</v>
      </c>
      <c r="F2154" s="2" t="s">
        <v>12</v>
      </c>
      <c r="G2154" s="2" t="s">
        <v>12</v>
      </c>
      <c r="H2154" s="2" t="s">
        <v>12</v>
      </c>
      <c r="I2154" s="2" t="s">
        <v>12</v>
      </c>
      <c r="J2154" s="2" t="s">
        <v>12</v>
      </c>
      <c r="K2154" s="2" t="s">
        <v>12</v>
      </c>
    </row>
    <row r="2155" spans="1:11" ht="12.5" x14ac:dyDescent="0.25">
      <c r="A2155" s="3" t="e">
        <f ca="1"/>
        <v>#NAME?</v>
      </c>
      <c r="B2155" s="2" t="s">
        <v>12</v>
      </c>
      <c r="C2155" s="2" t="s">
        <v>12</v>
      </c>
      <c r="D2155" s="2" t="s">
        <v>12</v>
      </c>
      <c r="E2155" s="2" t="s">
        <v>12</v>
      </c>
      <c r="F2155" s="2" t="s">
        <v>12</v>
      </c>
      <c r="G2155" s="2" t="s">
        <v>12</v>
      </c>
      <c r="H2155" s="2" t="s">
        <v>12</v>
      </c>
      <c r="I2155" s="2" t="s">
        <v>12</v>
      </c>
      <c r="J2155" s="2" t="s">
        <v>12</v>
      </c>
      <c r="K2155" s="2" t="s">
        <v>12</v>
      </c>
    </row>
    <row r="2156" spans="1:11" ht="12.5" x14ac:dyDescent="0.25">
      <c r="A2156" s="3" t="e">
        <f ca="1"/>
        <v>#NAME?</v>
      </c>
      <c r="B2156" s="2" t="s">
        <v>12</v>
      </c>
      <c r="C2156" s="2" t="s">
        <v>12</v>
      </c>
      <c r="D2156" s="2" t="s">
        <v>12</v>
      </c>
      <c r="E2156" s="2" t="s">
        <v>12</v>
      </c>
      <c r="F2156" s="2" t="s">
        <v>12</v>
      </c>
      <c r="G2156" s="2" t="s">
        <v>12</v>
      </c>
      <c r="H2156" s="2" t="s">
        <v>12</v>
      </c>
      <c r="I2156" s="2" t="s">
        <v>12</v>
      </c>
      <c r="J2156" s="2" t="s">
        <v>12</v>
      </c>
      <c r="K2156" s="2" t="s">
        <v>12</v>
      </c>
    </row>
    <row r="2157" spans="1:11" ht="12.5" x14ac:dyDescent="0.25">
      <c r="A2157" s="3" t="e">
        <f ca="1"/>
        <v>#NAME?</v>
      </c>
      <c r="B2157" s="2" t="s">
        <v>12</v>
      </c>
      <c r="C2157" s="2" t="s">
        <v>12</v>
      </c>
      <c r="D2157" s="2" t="s">
        <v>12</v>
      </c>
      <c r="E2157" s="2" t="s">
        <v>12</v>
      </c>
      <c r="F2157" s="2" t="s">
        <v>12</v>
      </c>
      <c r="G2157" s="2" t="s">
        <v>12</v>
      </c>
      <c r="H2157" s="2" t="s">
        <v>12</v>
      </c>
      <c r="I2157" s="2" t="s">
        <v>12</v>
      </c>
      <c r="J2157" s="2" t="s">
        <v>12</v>
      </c>
      <c r="K2157" s="2" t="s">
        <v>12</v>
      </c>
    </row>
    <row r="2158" spans="1:11" ht="12.5" x14ac:dyDescent="0.25">
      <c r="A2158" s="3" t="e">
        <f ca="1"/>
        <v>#NAME?</v>
      </c>
      <c r="B2158" s="2" t="s">
        <v>12</v>
      </c>
      <c r="C2158" s="2" t="s">
        <v>12</v>
      </c>
      <c r="D2158" s="2" t="s">
        <v>12</v>
      </c>
      <c r="E2158" s="2" t="s">
        <v>12</v>
      </c>
      <c r="F2158" s="2" t="s">
        <v>12</v>
      </c>
      <c r="G2158" s="2" t="s">
        <v>12</v>
      </c>
      <c r="H2158" s="2" t="s">
        <v>12</v>
      </c>
      <c r="I2158" s="2" t="s">
        <v>12</v>
      </c>
      <c r="J2158" s="2" t="s">
        <v>12</v>
      </c>
      <c r="K2158" s="2" t="s">
        <v>12</v>
      </c>
    </row>
    <row r="2159" spans="1:11" ht="12.5" x14ac:dyDescent="0.25">
      <c r="A2159" s="3" t="e">
        <f ca="1"/>
        <v>#NAME?</v>
      </c>
      <c r="B2159" s="2" t="s">
        <v>12</v>
      </c>
      <c r="C2159" s="2" t="s">
        <v>12</v>
      </c>
      <c r="D2159" s="2" t="s">
        <v>12</v>
      </c>
      <c r="E2159" s="2" t="s">
        <v>12</v>
      </c>
      <c r="F2159" s="2" t="s">
        <v>12</v>
      </c>
      <c r="G2159" s="2" t="s">
        <v>12</v>
      </c>
      <c r="H2159" s="2" t="s">
        <v>12</v>
      </c>
      <c r="I2159" s="2" t="s">
        <v>12</v>
      </c>
      <c r="J2159" s="2" t="s">
        <v>12</v>
      </c>
      <c r="K2159" s="2" t="s">
        <v>12</v>
      </c>
    </row>
    <row r="2160" spans="1:11" ht="12.5" x14ac:dyDescent="0.25">
      <c r="A2160" s="3" t="e">
        <f ca="1"/>
        <v>#NAME?</v>
      </c>
      <c r="B2160" s="2" t="s">
        <v>12</v>
      </c>
      <c r="C2160" s="2" t="s">
        <v>12</v>
      </c>
      <c r="D2160" s="2" t="s">
        <v>12</v>
      </c>
      <c r="E2160" s="2" t="s">
        <v>12</v>
      </c>
      <c r="F2160" s="2" t="s">
        <v>12</v>
      </c>
      <c r="G2160" s="2" t="s">
        <v>12</v>
      </c>
      <c r="H2160" s="2" t="s">
        <v>12</v>
      </c>
      <c r="I2160" s="2" t="s">
        <v>12</v>
      </c>
      <c r="J2160" s="2" t="s">
        <v>12</v>
      </c>
      <c r="K2160" s="2" t="s">
        <v>12</v>
      </c>
    </row>
    <row r="2161" spans="1:11" ht="12.5" x14ac:dyDescent="0.25">
      <c r="A2161" s="3" t="e">
        <f ca="1"/>
        <v>#NAME?</v>
      </c>
      <c r="B2161" s="2" t="s">
        <v>12</v>
      </c>
      <c r="C2161" s="2" t="s">
        <v>12</v>
      </c>
      <c r="D2161" s="2" t="s">
        <v>12</v>
      </c>
      <c r="E2161" s="2" t="s">
        <v>12</v>
      </c>
      <c r="F2161" s="2" t="s">
        <v>12</v>
      </c>
      <c r="G2161" s="2" t="s">
        <v>12</v>
      </c>
      <c r="H2161" s="2" t="s">
        <v>12</v>
      </c>
      <c r="I2161" s="2" t="s">
        <v>12</v>
      </c>
      <c r="J2161" s="2" t="s">
        <v>12</v>
      </c>
      <c r="K2161" s="2" t="s">
        <v>12</v>
      </c>
    </row>
    <row r="2162" spans="1:11" ht="12.5" x14ac:dyDescent="0.25">
      <c r="A2162" s="3" t="e">
        <f ca="1"/>
        <v>#NAME?</v>
      </c>
      <c r="B2162" s="2" t="s">
        <v>12</v>
      </c>
      <c r="C2162" s="2" t="s">
        <v>12</v>
      </c>
      <c r="D2162" s="2" t="s">
        <v>12</v>
      </c>
      <c r="E2162" s="2" t="s">
        <v>12</v>
      </c>
      <c r="F2162" s="2" t="s">
        <v>12</v>
      </c>
      <c r="G2162" s="2" t="s">
        <v>12</v>
      </c>
      <c r="H2162" s="2" t="s">
        <v>12</v>
      </c>
      <c r="I2162" s="2" t="s">
        <v>12</v>
      </c>
      <c r="J2162" s="2" t="s">
        <v>12</v>
      </c>
      <c r="K2162" s="2" t="s">
        <v>12</v>
      </c>
    </row>
    <row r="2163" spans="1:11" ht="12.5" x14ac:dyDescent="0.25">
      <c r="A2163" s="3" t="e">
        <f ca="1"/>
        <v>#NAME?</v>
      </c>
      <c r="B2163" s="2" t="s">
        <v>12</v>
      </c>
      <c r="C2163" s="2" t="s">
        <v>12</v>
      </c>
      <c r="D2163" s="2" t="s">
        <v>12</v>
      </c>
      <c r="E2163" s="2" t="s">
        <v>12</v>
      </c>
      <c r="F2163" s="2" t="s">
        <v>12</v>
      </c>
      <c r="G2163" s="2" t="s">
        <v>12</v>
      </c>
      <c r="H2163" s="2" t="s">
        <v>12</v>
      </c>
      <c r="I2163" s="2" t="s">
        <v>12</v>
      </c>
      <c r="J2163" s="2" t="s">
        <v>12</v>
      </c>
      <c r="K2163" s="2" t="s">
        <v>12</v>
      </c>
    </row>
    <row r="2164" spans="1:11" ht="12.5" x14ac:dyDescent="0.25">
      <c r="A2164" s="3" t="e">
        <f ca="1"/>
        <v>#NAME?</v>
      </c>
      <c r="B2164" s="2" t="s">
        <v>12</v>
      </c>
      <c r="C2164" s="2" t="s">
        <v>12</v>
      </c>
      <c r="D2164" s="2" t="s">
        <v>12</v>
      </c>
      <c r="E2164" s="2" t="s">
        <v>12</v>
      </c>
      <c r="F2164" s="2" t="s">
        <v>12</v>
      </c>
      <c r="G2164" s="2" t="s">
        <v>12</v>
      </c>
      <c r="H2164" s="2" t="s">
        <v>12</v>
      </c>
      <c r="I2164" s="2" t="s">
        <v>12</v>
      </c>
      <c r="J2164" s="2" t="s">
        <v>12</v>
      </c>
      <c r="K2164" s="2" t="s">
        <v>12</v>
      </c>
    </row>
    <row r="2165" spans="1:11" ht="12.5" x14ac:dyDescent="0.25">
      <c r="A2165" s="3" t="e">
        <f ca="1"/>
        <v>#NAME?</v>
      </c>
      <c r="B2165" s="2" t="s">
        <v>12</v>
      </c>
      <c r="C2165" s="2" t="s">
        <v>12</v>
      </c>
      <c r="D2165" s="2" t="s">
        <v>12</v>
      </c>
      <c r="E2165" s="2" t="s">
        <v>12</v>
      </c>
      <c r="F2165" s="2" t="s">
        <v>12</v>
      </c>
      <c r="G2165" s="2" t="s">
        <v>12</v>
      </c>
      <c r="H2165" s="2" t="s">
        <v>12</v>
      </c>
      <c r="I2165" s="2" t="s">
        <v>12</v>
      </c>
      <c r="J2165" s="2" t="s">
        <v>12</v>
      </c>
      <c r="K2165" s="2" t="s">
        <v>12</v>
      </c>
    </row>
    <row r="2166" spans="1:11" ht="12.5" x14ac:dyDescent="0.25">
      <c r="A2166" s="3" t="e">
        <f ca="1"/>
        <v>#NAME?</v>
      </c>
      <c r="B2166" s="2" t="s">
        <v>12</v>
      </c>
      <c r="C2166" s="2" t="s">
        <v>12</v>
      </c>
      <c r="D2166" s="2" t="s">
        <v>12</v>
      </c>
      <c r="E2166" s="2" t="s">
        <v>12</v>
      </c>
      <c r="F2166" s="2" t="s">
        <v>12</v>
      </c>
      <c r="G2166" s="2" t="s">
        <v>12</v>
      </c>
      <c r="H2166" s="2" t="s">
        <v>12</v>
      </c>
      <c r="I2166" s="2" t="s">
        <v>12</v>
      </c>
      <c r="J2166" s="2" t="s">
        <v>12</v>
      </c>
      <c r="K2166" s="2" t="s">
        <v>12</v>
      </c>
    </row>
    <row r="2167" spans="1:11" ht="12.5" x14ac:dyDescent="0.25">
      <c r="A2167" s="3" t="e">
        <f ca="1"/>
        <v>#NAME?</v>
      </c>
      <c r="B2167" s="2" t="s">
        <v>12</v>
      </c>
      <c r="C2167" s="2" t="s">
        <v>12</v>
      </c>
      <c r="D2167" s="2" t="s">
        <v>12</v>
      </c>
      <c r="E2167" s="2" t="s">
        <v>12</v>
      </c>
      <c r="F2167" s="2" t="s">
        <v>12</v>
      </c>
      <c r="G2167" s="2" t="s">
        <v>12</v>
      </c>
      <c r="H2167" s="2" t="s">
        <v>12</v>
      </c>
      <c r="I2167" s="2" t="s">
        <v>12</v>
      </c>
      <c r="J2167" s="2" t="s">
        <v>12</v>
      </c>
      <c r="K2167" s="2" t="s">
        <v>12</v>
      </c>
    </row>
    <row r="2168" spans="1:11" ht="12.5" x14ac:dyDescent="0.25">
      <c r="A2168" s="3" t="e">
        <f ca="1"/>
        <v>#NAME?</v>
      </c>
      <c r="B2168" s="2" t="s">
        <v>12</v>
      </c>
      <c r="C2168" s="2" t="s">
        <v>12</v>
      </c>
      <c r="D2168" s="2" t="s">
        <v>12</v>
      </c>
      <c r="E2168" s="2" t="s">
        <v>12</v>
      </c>
      <c r="F2168" s="2" t="s">
        <v>12</v>
      </c>
      <c r="G2168" s="2" t="s">
        <v>12</v>
      </c>
      <c r="H2168" s="2" t="s">
        <v>12</v>
      </c>
      <c r="I2168" s="2" t="s">
        <v>12</v>
      </c>
      <c r="J2168" s="2" t="s">
        <v>12</v>
      </c>
      <c r="K2168" s="2" t="s">
        <v>12</v>
      </c>
    </row>
    <row r="2169" spans="1:11" ht="12.5" x14ac:dyDescent="0.25">
      <c r="A2169" s="3" t="e">
        <f ca="1"/>
        <v>#NAME?</v>
      </c>
      <c r="B2169" s="2" t="s">
        <v>12</v>
      </c>
      <c r="C2169" s="2" t="s">
        <v>12</v>
      </c>
      <c r="D2169" s="2" t="s">
        <v>12</v>
      </c>
      <c r="E2169" s="2" t="s">
        <v>12</v>
      </c>
      <c r="F2169" s="2" t="s">
        <v>12</v>
      </c>
      <c r="G2169" s="2" t="s">
        <v>12</v>
      </c>
      <c r="H2169" s="2" t="s">
        <v>12</v>
      </c>
      <c r="I2169" s="2" t="s">
        <v>12</v>
      </c>
      <c r="J2169" s="2" t="s">
        <v>12</v>
      </c>
      <c r="K2169" s="2" t="s">
        <v>12</v>
      </c>
    </row>
    <row r="2170" spans="1:11" ht="12.5" x14ac:dyDescent="0.25">
      <c r="A2170" s="3" t="e">
        <f ca="1"/>
        <v>#NAME?</v>
      </c>
      <c r="B2170" s="2" t="s">
        <v>12</v>
      </c>
      <c r="C2170" s="2" t="s">
        <v>12</v>
      </c>
      <c r="D2170" s="2" t="s">
        <v>12</v>
      </c>
      <c r="E2170" s="2" t="s">
        <v>12</v>
      </c>
      <c r="F2170" s="2" t="s">
        <v>12</v>
      </c>
      <c r="G2170" s="2" t="s">
        <v>12</v>
      </c>
      <c r="H2170" s="2" t="s">
        <v>12</v>
      </c>
      <c r="I2170" s="2" t="s">
        <v>12</v>
      </c>
      <c r="J2170" s="2" t="s">
        <v>12</v>
      </c>
      <c r="K2170" s="2" t="s">
        <v>12</v>
      </c>
    </row>
    <row r="2171" spans="1:11" ht="12.5" x14ac:dyDescent="0.25">
      <c r="A2171" s="3" t="e">
        <f ca="1"/>
        <v>#NAME?</v>
      </c>
      <c r="B2171" s="2" t="s">
        <v>12</v>
      </c>
      <c r="C2171" s="2" t="s">
        <v>12</v>
      </c>
      <c r="D2171" s="2" t="s">
        <v>12</v>
      </c>
      <c r="E2171" s="2" t="s">
        <v>12</v>
      </c>
      <c r="F2171" s="2" t="s">
        <v>12</v>
      </c>
      <c r="G2171" s="2" t="s">
        <v>12</v>
      </c>
      <c r="H2171" s="2" t="s">
        <v>12</v>
      </c>
      <c r="I2171" s="2" t="s">
        <v>12</v>
      </c>
      <c r="J2171" s="2" t="s">
        <v>12</v>
      </c>
      <c r="K2171" s="2" t="s">
        <v>12</v>
      </c>
    </row>
    <row r="2172" spans="1:11" ht="12.5" x14ac:dyDescent="0.25">
      <c r="A2172" s="3" t="e">
        <f ca="1"/>
        <v>#NAME?</v>
      </c>
      <c r="B2172" s="2" t="s">
        <v>12</v>
      </c>
      <c r="C2172" s="2" t="s">
        <v>12</v>
      </c>
      <c r="D2172" s="2" t="s">
        <v>12</v>
      </c>
      <c r="E2172" s="2" t="s">
        <v>12</v>
      </c>
      <c r="F2172" s="2" t="s">
        <v>12</v>
      </c>
      <c r="G2172" s="2" t="s">
        <v>12</v>
      </c>
      <c r="H2172" s="2" t="s">
        <v>12</v>
      </c>
      <c r="I2172" s="2" t="s">
        <v>12</v>
      </c>
      <c r="J2172" s="2" t="s">
        <v>12</v>
      </c>
      <c r="K2172" s="2" t="s">
        <v>12</v>
      </c>
    </row>
    <row r="2173" spans="1:11" ht="12.5" x14ac:dyDescent="0.25">
      <c r="A2173" s="3" t="e">
        <f ca="1"/>
        <v>#NAME?</v>
      </c>
      <c r="B2173" s="2" t="s">
        <v>12</v>
      </c>
      <c r="C2173" s="2" t="s">
        <v>12</v>
      </c>
      <c r="D2173" s="2" t="s">
        <v>12</v>
      </c>
      <c r="E2173" s="2" t="s">
        <v>12</v>
      </c>
      <c r="F2173" s="2" t="s">
        <v>12</v>
      </c>
      <c r="G2173" s="2" t="s">
        <v>12</v>
      </c>
      <c r="H2173" s="2" t="s">
        <v>12</v>
      </c>
      <c r="I2173" s="2" t="s">
        <v>12</v>
      </c>
      <c r="J2173" s="2" t="s">
        <v>12</v>
      </c>
      <c r="K2173" s="2" t="s">
        <v>12</v>
      </c>
    </row>
    <row r="2174" spans="1:11" ht="12.5" x14ac:dyDescent="0.25">
      <c r="A2174" s="3" t="e">
        <f ca="1"/>
        <v>#NAME?</v>
      </c>
      <c r="B2174" s="2" t="s">
        <v>12</v>
      </c>
      <c r="C2174" s="2" t="s">
        <v>12</v>
      </c>
      <c r="D2174" s="2" t="s">
        <v>12</v>
      </c>
      <c r="E2174" s="2" t="s">
        <v>12</v>
      </c>
      <c r="F2174" s="2" t="s">
        <v>12</v>
      </c>
      <c r="G2174" s="2" t="s">
        <v>12</v>
      </c>
      <c r="H2174" s="2" t="s">
        <v>12</v>
      </c>
      <c r="I2174" s="2" t="s">
        <v>12</v>
      </c>
      <c r="J2174" s="2" t="s">
        <v>12</v>
      </c>
      <c r="K2174" s="2" t="s">
        <v>12</v>
      </c>
    </row>
    <row r="2175" spans="1:11" ht="12.5" x14ac:dyDescent="0.25">
      <c r="A2175" s="3" t="e">
        <f ca="1"/>
        <v>#NAME?</v>
      </c>
      <c r="B2175" s="2" t="s">
        <v>12</v>
      </c>
      <c r="C2175" s="2" t="s">
        <v>12</v>
      </c>
      <c r="D2175" s="2" t="s">
        <v>12</v>
      </c>
      <c r="E2175" s="2" t="s">
        <v>12</v>
      </c>
      <c r="F2175" s="2" t="s">
        <v>12</v>
      </c>
      <c r="G2175" s="2" t="s">
        <v>12</v>
      </c>
      <c r="H2175" s="2" t="s">
        <v>12</v>
      </c>
      <c r="I2175" s="2" t="s">
        <v>12</v>
      </c>
      <c r="J2175" s="2" t="s">
        <v>12</v>
      </c>
      <c r="K2175" s="2" t="s">
        <v>12</v>
      </c>
    </row>
    <row r="2176" spans="1:11" ht="12.5" x14ac:dyDescent="0.25">
      <c r="A2176" s="3" t="e">
        <f ca="1"/>
        <v>#NAME?</v>
      </c>
      <c r="B2176" s="2" t="s">
        <v>12</v>
      </c>
      <c r="C2176" s="2" t="s">
        <v>12</v>
      </c>
      <c r="D2176" s="2" t="s">
        <v>12</v>
      </c>
      <c r="E2176" s="2" t="s">
        <v>12</v>
      </c>
      <c r="F2176" s="2" t="s">
        <v>12</v>
      </c>
      <c r="G2176" s="2" t="s">
        <v>12</v>
      </c>
      <c r="H2176" s="2" t="s">
        <v>12</v>
      </c>
      <c r="I2176" s="2" t="s">
        <v>12</v>
      </c>
      <c r="J2176" s="2" t="s">
        <v>12</v>
      </c>
      <c r="K2176" s="2" t="s">
        <v>12</v>
      </c>
    </row>
    <row r="2177" spans="1:11" ht="12.5" x14ac:dyDescent="0.25">
      <c r="A2177" s="3" t="e">
        <f ca="1"/>
        <v>#NAME?</v>
      </c>
      <c r="B2177" s="2" t="s">
        <v>12</v>
      </c>
      <c r="C2177" s="2" t="s">
        <v>12</v>
      </c>
      <c r="D2177" s="2" t="s">
        <v>12</v>
      </c>
      <c r="E2177" s="2" t="s">
        <v>12</v>
      </c>
      <c r="F2177" s="2" t="s">
        <v>12</v>
      </c>
      <c r="G2177" s="2" t="s">
        <v>12</v>
      </c>
      <c r="H2177" s="2" t="s">
        <v>12</v>
      </c>
      <c r="I2177" s="2" t="s">
        <v>12</v>
      </c>
      <c r="J2177" s="2" t="s">
        <v>12</v>
      </c>
      <c r="K2177" s="2" t="s">
        <v>12</v>
      </c>
    </row>
    <row r="2178" spans="1:11" ht="12.5" x14ac:dyDescent="0.25">
      <c r="A2178" s="3" t="e">
        <f ca="1"/>
        <v>#NAME?</v>
      </c>
      <c r="B2178" s="2" t="s">
        <v>12</v>
      </c>
      <c r="C2178" s="2" t="s">
        <v>12</v>
      </c>
      <c r="D2178" s="2" t="s">
        <v>12</v>
      </c>
      <c r="E2178" s="2" t="s">
        <v>12</v>
      </c>
      <c r="F2178" s="2" t="s">
        <v>12</v>
      </c>
      <c r="G2178" s="2" t="s">
        <v>12</v>
      </c>
      <c r="H2178" s="2" t="s">
        <v>12</v>
      </c>
      <c r="I2178" s="2" t="s">
        <v>12</v>
      </c>
      <c r="J2178" s="2" t="s">
        <v>12</v>
      </c>
      <c r="K2178" s="2" t="s">
        <v>12</v>
      </c>
    </row>
    <row r="2179" spans="1:11" ht="12.5" x14ac:dyDescent="0.25">
      <c r="A2179" s="3" t="e">
        <f ca="1"/>
        <v>#NAME?</v>
      </c>
      <c r="B2179" s="2" t="s">
        <v>12</v>
      </c>
      <c r="C2179" s="2" t="s">
        <v>12</v>
      </c>
      <c r="D2179" s="2" t="s">
        <v>12</v>
      </c>
      <c r="E2179" s="2" t="s">
        <v>12</v>
      </c>
      <c r="F2179" s="2" t="s">
        <v>12</v>
      </c>
      <c r="G2179" s="2" t="s">
        <v>12</v>
      </c>
      <c r="H2179" s="2" t="s">
        <v>12</v>
      </c>
      <c r="I2179" s="2" t="s">
        <v>12</v>
      </c>
      <c r="J2179" s="2" t="s">
        <v>12</v>
      </c>
      <c r="K2179" s="2" t="s">
        <v>12</v>
      </c>
    </row>
    <row r="2180" spans="1:11" ht="12.5" x14ac:dyDescent="0.25">
      <c r="A2180" s="3" t="e">
        <f ca="1"/>
        <v>#NAME?</v>
      </c>
      <c r="B2180" s="2" t="s">
        <v>12</v>
      </c>
      <c r="C2180" s="2" t="s">
        <v>12</v>
      </c>
      <c r="D2180" s="2" t="s">
        <v>12</v>
      </c>
      <c r="E2180" s="2" t="s">
        <v>12</v>
      </c>
      <c r="F2180" s="2" t="s">
        <v>12</v>
      </c>
      <c r="G2180" s="2" t="s">
        <v>12</v>
      </c>
      <c r="H2180" s="2" t="s">
        <v>12</v>
      </c>
      <c r="I2180" s="2" t="s">
        <v>12</v>
      </c>
      <c r="J2180" s="2" t="s">
        <v>12</v>
      </c>
      <c r="K2180" s="2" t="s">
        <v>12</v>
      </c>
    </row>
    <row r="2181" spans="1:11" ht="12.5" x14ac:dyDescent="0.25">
      <c r="A2181" s="3" t="e">
        <f ca="1"/>
        <v>#NAME?</v>
      </c>
      <c r="B2181" s="2" t="s">
        <v>12</v>
      </c>
      <c r="C2181" s="2" t="s">
        <v>12</v>
      </c>
      <c r="D2181" s="2" t="s">
        <v>12</v>
      </c>
      <c r="E2181" s="2" t="s">
        <v>12</v>
      </c>
      <c r="F2181" s="2" t="s">
        <v>12</v>
      </c>
      <c r="G2181" s="2" t="s">
        <v>12</v>
      </c>
      <c r="H2181" s="2" t="s">
        <v>12</v>
      </c>
      <c r="I2181" s="2" t="s">
        <v>12</v>
      </c>
      <c r="J2181" s="2" t="s">
        <v>12</v>
      </c>
      <c r="K2181" s="2" t="s">
        <v>12</v>
      </c>
    </row>
    <row r="2182" spans="1:11" ht="12.5" x14ac:dyDescent="0.25">
      <c r="A2182" s="3" t="e">
        <f ca="1"/>
        <v>#NAME?</v>
      </c>
      <c r="B2182" s="2" t="s">
        <v>12</v>
      </c>
      <c r="C2182" s="2" t="s">
        <v>12</v>
      </c>
      <c r="D2182" s="2" t="s">
        <v>12</v>
      </c>
      <c r="E2182" s="2" t="s">
        <v>12</v>
      </c>
      <c r="F2182" s="2" t="s">
        <v>12</v>
      </c>
      <c r="G2182" s="2" t="s">
        <v>12</v>
      </c>
      <c r="H2182" s="2" t="s">
        <v>12</v>
      </c>
      <c r="I2182" s="2" t="s">
        <v>12</v>
      </c>
      <c r="J2182" s="2" t="s">
        <v>12</v>
      </c>
      <c r="K2182" s="2" t="s">
        <v>12</v>
      </c>
    </row>
    <row r="2183" spans="1:11" ht="12.5" x14ac:dyDescent="0.25">
      <c r="A2183" s="3" t="e">
        <f ca="1"/>
        <v>#NAME?</v>
      </c>
      <c r="B2183" s="2" t="s">
        <v>12</v>
      </c>
      <c r="C2183" s="2" t="s">
        <v>12</v>
      </c>
      <c r="D2183" s="2" t="s">
        <v>12</v>
      </c>
      <c r="E2183" s="2" t="s">
        <v>12</v>
      </c>
      <c r="F2183" s="2" t="s">
        <v>12</v>
      </c>
      <c r="G2183" s="2" t="s">
        <v>12</v>
      </c>
      <c r="H2183" s="2" t="s">
        <v>12</v>
      </c>
      <c r="I2183" s="2" t="s">
        <v>12</v>
      </c>
      <c r="J2183" s="2" t="s">
        <v>12</v>
      </c>
      <c r="K2183" s="2" t="s">
        <v>12</v>
      </c>
    </row>
    <row r="2184" spans="1:11" ht="12.5" x14ac:dyDescent="0.25">
      <c r="A2184" s="3" t="e">
        <f ca="1"/>
        <v>#NAME?</v>
      </c>
      <c r="B2184" s="2" t="s">
        <v>12</v>
      </c>
      <c r="C2184" s="2" t="s">
        <v>12</v>
      </c>
      <c r="D2184" s="2" t="s">
        <v>12</v>
      </c>
      <c r="E2184" s="2" t="s">
        <v>12</v>
      </c>
      <c r="F2184" s="2" t="s">
        <v>12</v>
      </c>
      <c r="G2184" s="2" t="s">
        <v>12</v>
      </c>
      <c r="H2184" s="2" t="s">
        <v>12</v>
      </c>
      <c r="I2184" s="2" t="s">
        <v>12</v>
      </c>
      <c r="J2184" s="2" t="s">
        <v>12</v>
      </c>
      <c r="K2184" s="2" t="s">
        <v>12</v>
      </c>
    </row>
    <row r="2185" spans="1:11" ht="12.5" x14ac:dyDescent="0.25">
      <c r="A2185" s="3" t="e">
        <f ca="1"/>
        <v>#NAME?</v>
      </c>
      <c r="B2185" s="2" t="s">
        <v>12</v>
      </c>
      <c r="C2185" s="2" t="s">
        <v>12</v>
      </c>
      <c r="D2185" s="2" t="s">
        <v>12</v>
      </c>
      <c r="E2185" s="2" t="s">
        <v>12</v>
      </c>
      <c r="F2185" s="2" t="s">
        <v>12</v>
      </c>
      <c r="G2185" s="2" t="s">
        <v>12</v>
      </c>
      <c r="H2185" s="2" t="s">
        <v>12</v>
      </c>
      <c r="I2185" s="2" t="s">
        <v>12</v>
      </c>
      <c r="J2185" s="2" t="s">
        <v>12</v>
      </c>
      <c r="K2185" s="2" t="s">
        <v>12</v>
      </c>
    </row>
    <row r="2186" spans="1:11" ht="12.5" x14ac:dyDescent="0.25">
      <c r="A2186" s="3" t="e">
        <f ca="1"/>
        <v>#NAME?</v>
      </c>
      <c r="B2186" s="2" t="s">
        <v>12</v>
      </c>
      <c r="C2186" s="2" t="s">
        <v>12</v>
      </c>
      <c r="D2186" s="2" t="s">
        <v>12</v>
      </c>
      <c r="E2186" s="2" t="s">
        <v>12</v>
      </c>
      <c r="F2186" s="2" t="s">
        <v>12</v>
      </c>
      <c r="G2186" s="2" t="s">
        <v>12</v>
      </c>
      <c r="H2186" s="2" t="s">
        <v>12</v>
      </c>
      <c r="I2186" s="2" t="s">
        <v>12</v>
      </c>
      <c r="J2186" s="2" t="s">
        <v>12</v>
      </c>
      <c r="K2186" s="2" t="s">
        <v>12</v>
      </c>
    </row>
    <row r="2187" spans="1:11" ht="12.5" x14ac:dyDescent="0.25">
      <c r="A2187" s="3" t="e">
        <f ca="1"/>
        <v>#NAME?</v>
      </c>
      <c r="B2187" s="2" t="s">
        <v>12</v>
      </c>
      <c r="C2187" s="2" t="s">
        <v>12</v>
      </c>
      <c r="D2187" s="2" t="s">
        <v>12</v>
      </c>
      <c r="E2187" s="2" t="s">
        <v>12</v>
      </c>
      <c r="F2187" s="2" t="s">
        <v>12</v>
      </c>
      <c r="G2187" s="2" t="s">
        <v>12</v>
      </c>
      <c r="H2187" s="2" t="s">
        <v>12</v>
      </c>
      <c r="I2187" s="2" t="s">
        <v>12</v>
      </c>
      <c r="J2187" s="2" t="s">
        <v>12</v>
      </c>
      <c r="K2187" s="2" t="s">
        <v>12</v>
      </c>
    </row>
    <row r="2188" spans="1:11" ht="12.5" x14ac:dyDescent="0.25">
      <c r="A2188" s="3" t="e">
        <f ca="1"/>
        <v>#NAME?</v>
      </c>
      <c r="B2188" s="2" t="s">
        <v>12</v>
      </c>
      <c r="C2188" s="2" t="s">
        <v>12</v>
      </c>
      <c r="D2188" s="2" t="s">
        <v>12</v>
      </c>
      <c r="E2188" s="2" t="s">
        <v>12</v>
      </c>
      <c r="F2188" s="2" t="s">
        <v>12</v>
      </c>
      <c r="G2188" s="2" t="s">
        <v>12</v>
      </c>
      <c r="H2188" s="2" t="s">
        <v>12</v>
      </c>
      <c r="I2188" s="2" t="s">
        <v>12</v>
      </c>
      <c r="J2188" s="2" t="s">
        <v>12</v>
      </c>
      <c r="K2188" s="2" t="s">
        <v>12</v>
      </c>
    </row>
    <row r="2189" spans="1:11" ht="12.5" x14ac:dyDescent="0.25">
      <c r="A2189" s="3" t="e">
        <f ca="1"/>
        <v>#NAME?</v>
      </c>
      <c r="B2189" s="2" t="s">
        <v>12</v>
      </c>
      <c r="C2189" s="2" t="s">
        <v>12</v>
      </c>
      <c r="D2189" s="2" t="s">
        <v>12</v>
      </c>
      <c r="E2189" s="2" t="s">
        <v>12</v>
      </c>
      <c r="F2189" s="2" t="s">
        <v>12</v>
      </c>
      <c r="G2189" s="2" t="s">
        <v>12</v>
      </c>
      <c r="H2189" s="2" t="s">
        <v>12</v>
      </c>
      <c r="I2189" s="2" t="s">
        <v>12</v>
      </c>
      <c r="J2189" s="2" t="s">
        <v>12</v>
      </c>
      <c r="K2189" s="2" t="s">
        <v>12</v>
      </c>
    </row>
    <row r="2190" spans="1:11" ht="12.5" x14ac:dyDescent="0.25">
      <c r="A2190" s="3" t="e">
        <f ca="1"/>
        <v>#NAME?</v>
      </c>
      <c r="B2190" s="2" t="s">
        <v>12</v>
      </c>
      <c r="C2190" s="2" t="s">
        <v>12</v>
      </c>
      <c r="D2190" s="2" t="s">
        <v>12</v>
      </c>
      <c r="E2190" s="2" t="s">
        <v>12</v>
      </c>
      <c r="F2190" s="2" t="s">
        <v>12</v>
      </c>
      <c r="G2190" s="2" t="s">
        <v>12</v>
      </c>
      <c r="H2190" s="2" t="s">
        <v>12</v>
      </c>
      <c r="I2190" s="2" t="s">
        <v>12</v>
      </c>
      <c r="J2190" s="2" t="s">
        <v>12</v>
      </c>
      <c r="K2190" s="2" t="s">
        <v>12</v>
      </c>
    </row>
    <row r="2191" spans="1:11" ht="12.5" x14ac:dyDescent="0.25">
      <c r="A2191" s="3" t="e">
        <f ca="1"/>
        <v>#NAME?</v>
      </c>
      <c r="B2191" s="2" t="s">
        <v>12</v>
      </c>
      <c r="C2191" s="2" t="s">
        <v>12</v>
      </c>
      <c r="D2191" s="2" t="s">
        <v>12</v>
      </c>
      <c r="E2191" s="2" t="s">
        <v>12</v>
      </c>
      <c r="F2191" s="2" t="s">
        <v>12</v>
      </c>
      <c r="G2191" s="2" t="s">
        <v>12</v>
      </c>
      <c r="H2191" s="2" t="s">
        <v>12</v>
      </c>
      <c r="I2191" s="2" t="s">
        <v>12</v>
      </c>
      <c r="J2191" s="2" t="s">
        <v>12</v>
      </c>
      <c r="K2191" s="2" t="s">
        <v>12</v>
      </c>
    </row>
    <row r="2192" spans="1:11" ht="12.5" x14ac:dyDescent="0.25">
      <c r="A2192" s="3" t="e">
        <f ca="1"/>
        <v>#NAME?</v>
      </c>
      <c r="B2192" s="2" t="s">
        <v>12</v>
      </c>
      <c r="C2192" s="2" t="s">
        <v>12</v>
      </c>
      <c r="D2192" s="2" t="s">
        <v>12</v>
      </c>
      <c r="E2192" s="2" t="s">
        <v>12</v>
      </c>
      <c r="F2192" s="2" t="s">
        <v>12</v>
      </c>
      <c r="G2192" s="2" t="s">
        <v>12</v>
      </c>
      <c r="H2192" s="2" t="s">
        <v>12</v>
      </c>
      <c r="I2192" s="2" t="s">
        <v>12</v>
      </c>
      <c r="J2192" s="2" t="s">
        <v>12</v>
      </c>
      <c r="K2192" s="2" t="s">
        <v>12</v>
      </c>
    </row>
    <row r="2193" spans="1:11" ht="12.5" x14ac:dyDescent="0.25">
      <c r="A2193" s="3" t="e">
        <f ca="1"/>
        <v>#NAME?</v>
      </c>
      <c r="B2193" s="2" t="s">
        <v>12</v>
      </c>
      <c r="C2193" s="2" t="s">
        <v>12</v>
      </c>
      <c r="D2193" s="2" t="s">
        <v>12</v>
      </c>
      <c r="E2193" s="2" t="s">
        <v>12</v>
      </c>
      <c r="F2193" s="2" t="s">
        <v>12</v>
      </c>
      <c r="G2193" s="2" t="s">
        <v>12</v>
      </c>
      <c r="H2193" s="2" t="s">
        <v>12</v>
      </c>
      <c r="I2193" s="2" t="s">
        <v>12</v>
      </c>
      <c r="J2193" s="2" t="s">
        <v>12</v>
      </c>
      <c r="K2193" s="2" t="s">
        <v>12</v>
      </c>
    </row>
    <row r="2194" spans="1:11" ht="12.5" x14ac:dyDescent="0.25">
      <c r="A2194" s="3" t="e">
        <f ca="1"/>
        <v>#NAME?</v>
      </c>
      <c r="B2194" s="2" t="s">
        <v>12</v>
      </c>
      <c r="C2194" s="2" t="s">
        <v>12</v>
      </c>
      <c r="D2194" s="2" t="s">
        <v>12</v>
      </c>
      <c r="E2194" s="2" t="s">
        <v>12</v>
      </c>
      <c r="F2194" s="2" t="s">
        <v>12</v>
      </c>
      <c r="G2194" s="2" t="s">
        <v>12</v>
      </c>
      <c r="H2194" s="2" t="s">
        <v>12</v>
      </c>
      <c r="I2194" s="2" t="s">
        <v>12</v>
      </c>
      <c r="J2194" s="2" t="s">
        <v>12</v>
      </c>
      <c r="K2194" s="2" t="s">
        <v>12</v>
      </c>
    </row>
    <row r="2195" spans="1:11" ht="12.5" x14ac:dyDescent="0.25">
      <c r="A2195" s="3" t="e">
        <f ca="1"/>
        <v>#NAME?</v>
      </c>
      <c r="B2195" s="2" t="s">
        <v>12</v>
      </c>
      <c r="C2195" s="2" t="s">
        <v>12</v>
      </c>
      <c r="D2195" s="2" t="s">
        <v>12</v>
      </c>
      <c r="E2195" s="2" t="s">
        <v>12</v>
      </c>
      <c r="F2195" s="2" t="s">
        <v>12</v>
      </c>
      <c r="G2195" s="2" t="s">
        <v>12</v>
      </c>
      <c r="H2195" s="2" t="s">
        <v>12</v>
      </c>
      <c r="I2195" s="2" t="s">
        <v>12</v>
      </c>
      <c r="J2195" s="2" t="s">
        <v>12</v>
      </c>
      <c r="K2195" s="2" t="s">
        <v>12</v>
      </c>
    </row>
    <row r="2196" spans="1:11" ht="12.5" x14ac:dyDescent="0.25">
      <c r="A2196" s="3" t="e">
        <f ca="1"/>
        <v>#NAME?</v>
      </c>
      <c r="B2196" s="2" t="s">
        <v>12</v>
      </c>
      <c r="C2196" s="2" t="s">
        <v>12</v>
      </c>
      <c r="D2196" s="2" t="s">
        <v>12</v>
      </c>
      <c r="E2196" s="2" t="s">
        <v>12</v>
      </c>
      <c r="F2196" s="2" t="s">
        <v>12</v>
      </c>
      <c r="G2196" s="2" t="s">
        <v>12</v>
      </c>
      <c r="H2196" s="2" t="s">
        <v>12</v>
      </c>
      <c r="I2196" s="2" t="s">
        <v>12</v>
      </c>
      <c r="J2196" s="2" t="s">
        <v>12</v>
      </c>
      <c r="K2196" s="2" t="s">
        <v>12</v>
      </c>
    </row>
    <row r="2197" spans="1:11" ht="12.5" x14ac:dyDescent="0.25">
      <c r="A2197" s="3" t="e">
        <f ca="1"/>
        <v>#NAME?</v>
      </c>
      <c r="B2197" s="2" t="s">
        <v>12</v>
      </c>
      <c r="C2197" s="2" t="s">
        <v>12</v>
      </c>
      <c r="D2197" s="2" t="s">
        <v>12</v>
      </c>
      <c r="E2197" s="2" t="s">
        <v>12</v>
      </c>
      <c r="F2197" s="2" t="s">
        <v>12</v>
      </c>
      <c r="G2197" s="2" t="s">
        <v>12</v>
      </c>
      <c r="H2197" s="2" t="s">
        <v>12</v>
      </c>
      <c r="I2197" s="2" t="s">
        <v>12</v>
      </c>
      <c r="J2197" s="2" t="s">
        <v>12</v>
      </c>
      <c r="K2197" s="2" t="s">
        <v>12</v>
      </c>
    </row>
    <row r="2198" spans="1:11" ht="12.5" x14ac:dyDescent="0.25">
      <c r="A2198" s="3" t="e">
        <f ca="1"/>
        <v>#NAME?</v>
      </c>
      <c r="B2198" s="2" t="s">
        <v>12</v>
      </c>
      <c r="C2198" s="2" t="s">
        <v>12</v>
      </c>
      <c r="D2198" s="2" t="s">
        <v>12</v>
      </c>
      <c r="E2198" s="2" t="s">
        <v>12</v>
      </c>
      <c r="F2198" s="2" t="s">
        <v>12</v>
      </c>
      <c r="G2198" s="2" t="s">
        <v>12</v>
      </c>
      <c r="H2198" s="2" t="s">
        <v>12</v>
      </c>
      <c r="I2198" s="2" t="s">
        <v>12</v>
      </c>
      <c r="J2198" s="2" t="s">
        <v>12</v>
      </c>
      <c r="K2198" s="2" t="s">
        <v>12</v>
      </c>
    </row>
    <row r="2199" spans="1:11" ht="12.5" x14ac:dyDescent="0.25">
      <c r="A2199" s="3" t="e">
        <f ca="1"/>
        <v>#NAME?</v>
      </c>
      <c r="B2199" s="2" t="s">
        <v>12</v>
      </c>
      <c r="C2199" s="2" t="s">
        <v>12</v>
      </c>
      <c r="D2199" s="2" t="s">
        <v>12</v>
      </c>
      <c r="E2199" s="2" t="s">
        <v>12</v>
      </c>
      <c r="F2199" s="2" t="s">
        <v>12</v>
      </c>
      <c r="G2199" s="2" t="s">
        <v>12</v>
      </c>
      <c r="H2199" s="2" t="s">
        <v>12</v>
      </c>
      <c r="I2199" s="2" t="s">
        <v>12</v>
      </c>
      <c r="J2199" s="2" t="s">
        <v>12</v>
      </c>
      <c r="K2199" s="2" t="s">
        <v>12</v>
      </c>
    </row>
    <row r="2200" spans="1:11" ht="12.5" x14ac:dyDescent="0.25">
      <c r="A2200" s="3" t="e">
        <f ca="1"/>
        <v>#NAME?</v>
      </c>
      <c r="B2200" s="2" t="s">
        <v>12</v>
      </c>
      <c r="C2200" s="2" t="s">
        <v>12</v>
      </c>
      <c r="D2200" s="2" t="s">
        <v>12</v>
      </c>
      <c r="E2200" s="2" t="s">
        <v>12</v>
      </c>
      <c r="F2200" s="2" t="s">
        <v>12</v>
      </c>
      <c r="G2200" s="2" t="s">
        <v>12</v>
      </c>
      <c r="H2200" s="2" t="s">
        <v>12</v>
      </c>
      <c r="I2200" s="2" t="s">
        <v>12</v>
      </c>
      <c r="J2200" s="2" t="s">
        <v>12</v>
      </c>
      <c r="K2200" s="2" t="s">
        <v>12</v>
      </c>
    </row>
    <row r="2201" spans="1:11" ht="12.5" x14ac:dyDescent="0.25">
      <c r="A2201" s="3" t="e">
        <f ca="1"/>
        <v>#NAME?</v>
      </c>
      <c r="B2201" s="2" t="s">
        <v>12</v>
      </c>
      <c r="C2201" s="2" t="s">
        <v>12</v>
      </c>
      <c r="D2201" s="2" t="s">
        <v>12</v>
      </c>
      <c r="E2201" s="2" t="s">
        <v>12</v>
      </c>
      <c r="F2201" s="2" t="s">
        <v>12</v>
      </c>
      <c r="G2201" s="2" t="s">
        <v>12</v>
      </c>
      <c r="H2201" s="2" t="s">
        <v>12</v>
      </c>
      <c r="I2201" s="2" t="s">
        <v>12</v>
      </c>
      <c r="J2201" s="2" t="s">
        <v>12</v>
      </c>
      <c r="K2201" s="2" t="s">
        <v>12</v>
      </c>
    </row>
    <row r="2202" spans="1:11" ht="12.5" x14ac:dyDescent="0.25">
      <c r="A2202" s="3" t="e">
        <f ca="1"/>
        <v>#NAME?</v>
      </c>
      <c r="B2202" s="2" t="s">
        <v>12</v>
      </c>
      <c r="C2202" s="2" t="s">
        <v>12</v>
      </c>
      <c r="D2202" s="2" t="s">
        <v>12</v>
      </c>
      <c r="E2202" s="2" t="s">
        <v>12</v>
      </c>
      <c r="F2202" s="2" t="s">
        <v>12</v>
      </c>
      <c r="G2202" s="2" t="s">
        <v>12</v>
      </c>
      <c r="H2202" s="2" t="s">
        <v>12</v>
      </c>
      <c r="I2202" s="2" t="s">
        <v>12</v>
      </c>
      <c r="J2202" s="2" t="s">
        <v>12</v>
      </c>
      <c r="K2202" s="2" t="s">
        <v>12</v>
      </c>
    </row>
    <row r="2203" spans="1:11" ht="12.5" x14ac:dyDescent="0.25">
      <c r="A2203" s="3" t="e">
        <f ca="1"/>
        <v>#NAME?</v>
      </c>
      <c r="B2203" s="2" t="s">
        <v>12</v>
      </c>
      <c r="C2203" s="2" t="s">
        <v>12</v>
      </c>
      <c r="D2203" s="2" t="s">
        <v>12</v>
      </c>
      <c r="E2203" s="2" t="s">
        <v>12</v>
      </c>
      <c r="F2203" s="2" t="s">
        <v>12</v>
      </c>
      <c r="G2203" s="2" t="s">
        <v>12</v>
      </c>
      <c r="H2203" s="2" t="s">
        <v>12</v>
      </c>
      <c r="I2203" s="2" t="s">
        <v>12</v>
      </c>
      <c r="J2203" s="2" t="s">
        <v>12</v>
      </c>
      <c r="K2203" s="2" t="s">
        <v>12</v>
      </c>
    </row>
    <row r="2204" spans="1:11" ht="12.5" x14ac:dyDescent="0.25">
      <c r="A2204" s="3" t="e">
        <f ca="1"/>
        <v>#NAME?</v>
      </c>
      <c r="B2204" s="2" t="s">
        <v>12</v>
      </c>
      <c r="C2204" s="2" t="s">
        <v>12</v>
      </c>
      <c r="D2204" s="2" t="s">
        <v>12</v>
      </c>
      <c r="E2204" s="2" t="s">
        <v>12</v>
      </c>
      <c r="F2204" s="2" t="s">
        <v>12</v>
      </c>
      <c r="G2204" s="2" t="s">
        <v>12</v>
      </c>
      <c r="H2204" s="2" t="s">
        <v>12</v>
      </c>
      <c r="I2204" s="2" t="s">
        <v>12</v>
      </c>
      <c r="J2204" s="2" t="s">
        <v>12</v>
      </c>
      <c r="K2204" s="2" t="s">
        <v>12</v>
      </c>
    </row>
    <row r="2205" spans="1:11" ht="12.5" x14ac:dyDescent="0.25">
      <c r="A2205" s="3" t="e">
        <f ca="1"/>
        <v>#NAME?</v>
      </c>
      <c r="B2205" s="2" t="s">
        <v>12</v>
      </c>
      <c r="C2205" s="2" t="s">
        <v>12</v>
      </c>
      <c r="D2205" s="2" t="s">
        <v>12</v>
      </c>
      <c r="E2205" s="2" t="s">
        <v>12</v>
      </c>
      <c r="F2205" s="2" t="s">
        <v>12</v>
      </c>
      <c r="G2205" s="2" t="s">
        <v>12</v>
      </c>
      <c r="H2205" s="2" t="s">
        <v>12</v>
      </c>
      <c r="I2205" s="2" t="s">
        <v>12</v>
      </c>
      <c r="J2205" s="2" t="s">
        <v>12</v>
      </c>
      <c r="K2205" s="2" t="s">
        <v>12</v>
      </c>
    </row>
    <row r="2206" spans="1:11" ht="12.5" x14ac:dyDescent="0.25">
      <c r="A2206" s="3" t="e">
        <f ca="1"/>
        <v>#NAME?</v>
      </c>
      <c r="B2206" s="2" t="s">
        <v>12</v>
      </c>
      <c r="C2206" s="2" t="s">
        <v>12</v>
      </c>
      <c r="D2206" s="2" t="s">
        <v>12</v>
      </c>
      <c r="E2206" s="2" t="s">
        <v>12</v>
      </c>
      <c r="F2206" s="2" t="s">
        <v>12</v>
      </c>
      <c r="G2206" s="2" t="s">
        <v>12</v>
      </c>
      <c r="H2206" s="2" t="s">
        <v>12</v>
      </c>
      <c r="I2206" s="2" t="s">
        <v>12</v>
      </c>
      <c r="J2206" s="2" t="s">
        <v>12</v>
      </c>
      <c r="K2206" s="2" t="s">
        <v>12</v>
      </c>
    </row>
    <row r="2207" spans="1:11" ht="12.5" x14ac:dyDescent="0.25">
      <c r="A2207" s="3" t="e">
        <f ca="1"/>
        <v>#NAME?</v>
      </c>
      <c r="B2207" s="2" t="s">
        <v>12</v>
      </c>
      <c r="C2207" s="2" t="s">
        <v>12</v>
      </c>
      <c r="D2207" s="2" t="s">
        <v>12</v>
      </c>
      <c r="E2207" s="2" t="s">
        <v>12</v>
      </c>
      <c r="F2207" s="2" t="s">
        <v>12</v>
      </c>
      <c r="G2207" s="2" t="s">
        <v>12</v>
      </c>
      <c r="H2207" s="2" t="s">
        <v>12</v>
      </c>
      <c r="I2207" s="2" t="s">
        <v>12</v>
      </c>
      <c r="J2207" s="2" t="s">
        <v>12</v>
      </c>
      <c r="K2207" s="2" t="s">
        <v>12</v>
      </c>
    </row>
    <row r="2208" spans="1:11" ht="12.5" x14ac:dyDescent="0.25">
      <c r="A2208" s="3" t="e">
        <f ca="1"/>
        <v>#NAME?</v>
      </c>
      <c r="B2208" s="2" t="s">
        <v>12</v>
      </c>
      <c r="C2208" s="2" t="s">
        <v>12</v>
      </c>
      <c r="D2208" s="2" t="s">
        <v>12</v>
      </c>
      <c r="E2208" s="2" t="s">
        <v>12</v>
      </c>
      <c r="F2208" s="2" t="s">
        <v>12</v>
      </c>
      <c r="G2208" s="2" t="s">
        <v>12</v>
      </c>
      <c r="H2208" s="2" t="s">
        <v>12</v>
      </c>
      <c r="I2208" s="2" t="s">
        <v>12</v>
      </c>
      <c r="J2208" s="2" t="s">
        <v>12</v>
      </c>
      <c r="K2208" s="2" t="s">
        <v>12</v>
      </c>
    </row>
    <row r="2209" spans="1:11" ht="12.5" x14ac:dyDescent="0.25">
      <c r="A2209" s="3" t="e">
        <f ca="1"/>
        <v>#NAME?</v>
      </c>
      <c r="B2209" s="2" t="s">
        <v>12</v>
      </c>
      <c r="C2209" s="2" t="s">
        <v>12</v>
      </c>
      <c r="D2209" s="2" t="s">
        <v>12</v>
      </c>
      <c r="E2209" s="2" t="s">
        <v>12</v>
      </c>
      <c r="F2209" s="2" t="s">
        <v>12</v>
      </c>
      <c r="G2209" s="2" t="s">
        <v>12</v>
      </c>
      <c r="H2209" s="2" t="s">
        <v>12</v>
      </c>
      <c r="I2209" s="2" t="s">
        <v>12</v>
      </c>
      <c r="J2209" s="2" t="s">
        <v>12</v>
      </c>
      <c r="K2209" s="2" t="s">
        <v>12</v>
      </c>
    </row>
    <row r="2210" spans="1:11" ht="12.5" x14ac:dyDescent="0.25">
      <c r="A2210" s="3" t="e">
        <f ca="1"/>
        <v>#NAME?</v>
      </c>
      <c r="B2210" s="2" t="s">
        <v>12</v>
      </c>
      <c r="C2210" s="2" t="s">
        <v>12</v>
      </c>
      <c r="D2210" s="2" t="s">
        <v>12</v>
      </c>
      <c r="E2210" s="2" t="s">
        <v>12</v>
      </c>
      <c r="F2210" s="2" t="s">
        <v>12</v>
      </c>
      <c r="G2210" s="2" t="s">
        <v>12</v>
      </c>
      <c r="H2210" s="2" t="s">
        <v>12</v>
      </c>
      <c r="I2210" s="2" t="s">
        <v>12</v>
      </c>
      <c r="J2210" s="2" t="s">
        <v>12</v>
      </c>
      <c r="K2210" s="2" t="s">
        <v>12</v>
      </c>
    </row>
    <row r="2211" spans="1:11" ht="12.5" x14ac:dyDescent="0.25">
      <c r="A2211" s="3" t="e">
        <f ca="1"/>
        <v>#NAME?</v>
      </c>
      <c r="B2211" s="2" t="s">
        <v>12</v>
      </c>
      <c r="C2211" s="2" t="s">
        <v>12</v>
      </c>
      <c r="D2211" s="2" t="s">
        <v>12</v>
      </c>
      <c r="E2211" s="2" t="s">
        <v>12</v>
      </c>
      <c r="F2211" s="2" t="s">
        <v>12</v>
      </c>
      <c r="G2211" s="2" t="s">
        <v>12</v>
      </c>
      <c r="H2211" s="2" t="s">
        <v>12</v>
      </c>
      <c r="I2211" s="2" t="s">
        <v>12</v>
      </c>
      <c r="J2211" s="2" t="s">
        <v>12</v>
      </c>
      <c r="K2211" s="2" t="s">
        <v>12</v>
      </c>
    </row>
    <row r="2212" spans="1:11" ht="12.5" x14ac:dyDescent="0.25">
      <c r="A2212" s="3" t="e">
        <f ca="1"/>
        <v>#NAME?</v>
      </c>
      <c r="B2212" s="2" t="s">
        <v>12</v>
      </c>
      <c r="C2212" s="2" t="s">
        <v>12</v>
      </c>
      <c r="D2212" s="2" t="s">
        <v>12</v>
      </c>
      <c r="E2212" s="2" t="s">
        <v>12</v>
      </c>
      <c r="F2212" s="2" t="s">
        <v>12</v>
      </c>
      <c r="G2212" s="2" t="s">
        <v>12</v>
      </c>
      <c r="H2212" s="2" t="s">
        <v>12</v>
      </c>
      <c r="I2212" s="2" t="s">
        <v>12</v>
      </c>
      <c r="J2212" s="2" t="s">
        <v>12</v>
      </c>
      <c r="K2212" s="2" t="s">
        <v>12</v>
      </c>
    </row>
    <row r="2213" spans="1:11" ht="12.5" x14ac:dyDescent="0.25">
      <c r="A2213" s="3" t="e">
        <f ca="1"/>
        <v>#NAME?</v>
      </c>
      <c r="B2213" s="2" t="s">
        <v>12</v>
      </c>
      <c r="C2213" s="2" t="s">
        <v>12</v>
      </c>
      <c r="D2213" s="2" t="s">
        <v>12</v>
      </c>
      <c r="E2213" s="2" t="s">
        <v>12</v>
      </c>
      <c r="F2213" s="2" t="s">
        <v>12</v>
      </c>
      <c r="G2213" s="2" t="s">
        <v>12</v>
      </c>
      <c r="H2213" s="2" t="s">
        <v>12</v>
      </c>
      <c r="I2213" s="2" t="s">
        <v>12</v>
      </c>
      <c r="J2213" s="2" t="s">
        <v>12</v>
      </c>
      <c r="K2213" s="2" t="s">
        <v>12</v>
      </c>
    </row>
    <row r="2214" spans="1:11" ht="12.5" x14ac:dyDescent="0.25">
      <c r="A2214" s="3" t="e">
        <f ca="1"/>
        <v>#NAME?</v>
      </c>
      <c r="B2214" s="2" t="s">
        <v>12</v>
      </c>
      <c r="C2214" s="2" t="s">
        <v>12</v>
      </c>
      <c r="D2214" s="2" t="s">
        <v>12</v>
      </c>
      <c r="E2214" s="2" t="s">
        <v>12</v>
      </c>
      <c r="F2214" s="2" t="s">
        <v>12</v>
      </c>
      <c r="G2214" s="2" t="s">
        <v>12</v>
      </c>
      <c r="H2214" s="2" t="s">
        <v>12</v>
      </c>
      <c r="I2214" s="2" t="s">
        <v>12</v>
      </c>
      <c r="J2214" s="2" t="s">
        <v>12</v>
      </c>
      <c r="K2214" s="2" t="s">
        <v>12</v>
      </c>
    </row>
    <row r="2215" spans="1:11" ht="12.5" x14ac:dyDescent="0.25">
      <c r="A2215" s="3" t="e">
        <f ca="1"/>
        <v>#NAME?</v>
      </c>
      <c r="B2215" s="2" t="s">
        <v>12</v>
      </c>
      <c r="C2215" s="2" t="s">
        <v>12</v>
      </c>
      <c r="D2215" s="2" t="s">
        <v>12</v>
      </c>
      <c r="E2215" s="2" t="s">
        <v>12</v>
      </c>
      <c r="F2215" s="2" t="s">
        <v>12</v>
      </c>
      <c r="G2215" s="2" t="s">
        <v>12</v>
      </c>
      <c r="H2215" s="2" t="s">
        <v>12</v>
      </c>
      <c r="I2215" s="2" t="s">
        <v>12</v>
      </c>
      <c r="J2215" s="2" t="s">
        <v>12</v>
      </c>
      <c r="K2215" s="2" t="s">
        <v>12</v>
      </c>
    </row>
    <row r="2216" spans="1:11" ht="12.5" x14ac:dyDescent="0.25">
      <c r="A2216" s="3" t="e">
        <f ca="1"/>
        <v>#NAME?</v>
      </c>
      <c r="B2216" s="2" t="s">
        <v>12</v>
      </c>
      <c r="C2216" s="2" t="s">
        <v>12</v>
      </c>
      <c r="D2216" s="2" t="s">
        <v>12</v>
      </c>
      <c r="E2216" s="2" t="s">
        <v>12</v>
      </c>
      <c r="F2216" s="2" t="s">
        <v>12</v>
      </c>
      <c r="G2216" s="2" t="s">
        <v>12</v>
      </c>
      <c r="H2216" s="2" t="s">
        <v>12</v>
      </c>
      <c r="I2216" s="2" t="s">
        <v>12</v>
      </c>
      <c r="J2216" s="2" t="s">
        <v>12</v>
      </c>
      <c r="K2216" s="2" t="s">
        <v>12</v>
      </c>
    </row>
    <row r="2217" spans="1:11" ht="12.5" x14ac:dyDescent="0.25">
      <c r="A2217" s="3" t="e">
        <f ca="1"/>
        <v>#NAME?</v>
      </c>
      <c r="B2217" s="2" t="s">
        <v>12</v>
      </c>
      <c r="C2217" s="2" t="s">
        <v>12</v>
      </c>
      <c r="D2217" s="2" t="s">
        <v>12</v>
      </c>
      <c r="E2217" s="2" t="s">
        <v>12</v>
      </c>
      <c r="F2217" s="2" t="s">
        <v>12</v>
      </c>
      <c r="G2217" s="2" t="s">
        <v>12</v>
      </c>
      <c r="H2217" s="2" t="s">
        <v>12</v>
      </c>
      <c r="I2217" s="2" t="s">
        <v>12</v>
      </c>
      <c r="J2217" s="2" t="s">
        <v>12</v>
      </c>
      <c r="K2217" s="2" t="s">
        <v>12</v>
      </c>
    </row>
    <row r="2218" spans="1:11" ht="12.5" x14ac:dyDescent="0.25">
      <c r="A2218" s="3" t="e">
        <f ca="1"/>
        <v>#NAME?</v>
      </c>
      <c r="B2218" s="2" t="s">
        <v>12</v>
      </c>
      <c r="C2218" s="2" t="s">
        <v>12</v>
      </c>
      <c r="D2218" s="2" t="s">
        <v>12</v>
      </c>
      <c r="E2218" s="2" t="s">
        <v>12</v>
      </c>
      <c r="F2218" s="2" t="s">
        <v>12</v>
      </c>
      <c r="G2218" s="2" t="s">
        <v>12</v>
      </c>
      <c r="H2218" s="2" t="s">
        <v>12</v>
      </c>
      <c r="I2218" s="2" t="s">
        <v>12</v>
      </c>
      <c r="J2218" s="2" t="s">
        <v>12</v>
      </c>
      <c r="K2218" s="2" t="s">
        <v>12</v>
      </c>
    </row>
    <row r="2219" spans="1:11" ht="12.5" x14ac:dyDescent="0.25">
      <c r="A2219" s="3" t="e">
        <f ca="1"/>
        <v>#NAME?</v>
      </c>
      <c r="B2219" s="2" t="s">
        <v>12</v>
      </c>
      <c r="C2219" s="2" t="s">
        <v>12</v>
      </c>
      <c r="D2219" s="2" t="s">
        <v>12</v>
      </c>
      <c r="E2219" s="2" t="s">
        <v>12</v>
      </c>
      <c r="F2219" s="2" t="s">
        <v>12</v>
      </c>
      <c r="G2219" s="2" t="s">
        <v>12</v>
      </c>
      <c r="H2219" s="2" t="s">
        <v>12</v>
      </c>
      <c r="I2219" s="2" t="s">
        <v>12</v>
      </c>
      <c r="J2219" s="2" t="s">
        <v>12</v>
      </c>
      <c r="K2219" s="2" t="s">
        <v>12</v>
      </c>
    </row>
    <row r="2220" spans="1:11" ht="12.5" x14ac:dyDescent="0.25">
      <c r="A2220" s="3" t="e">
        <f ca="1"/>
        <v>#NAME?</v>
      </c>
      <c r="B2220" s="2" t="s">
        <v>12</v>
      </c>
      <c r="C2220" s="2" t="s">
        <v>12</v>
      </c>
      <c r="D2220" s="2" t="s">
        <v>12</v>
      </c>
      <c r="E2220" s="2" t="s">
        <v>12</v>
      </c>
      <c r="F2220" s="2" t="s">
        <v>12</v>
      </c>
      <c r="G2220" s="2" t="s">
        <v>12</v>
      </c>
      <c r="H2220" s="2" t="s">
        <v>12</v>
      </c>
      <c r="I2220" s="2" t="s">
        <v>12</v>
      </c>
      <c r="J2220" s="2" t="s">
        <v>12</v>
      </c>
      <c r="K2220" s="2" t="s">
        <v>12</v>
      </c>
    </row>
    <row r="2221" spans="1:11" ht="12.5" x14ac:dyDescent="0.25">
      <c r="A2221" s="3" t="e">
        <f ca="1"/>
        <v>#NAME?</v>
      </c>
      <c r="B2221" s="2" t="s">
        <v>12</v>
      </c>
      <c r="C2221" s="2" t="s">
        <v>12</v>
      </c>
      <c r="D2221" s="2" t="s">
        <v>12</v>
      </c>
      <c r="E2221" s="2" t="s">
        <v>12</v>
      </c>
      <c r="F2221" s="2" t="s">
        <v>12</v>
      </c>
      <c r="G2221" s="2" t="s">
        <v>12</v>
      </c>
      <c r="H2221" s="2" t="s">
        <v>12</v>
      </c>
      <c r="I2221" s="2" t="s">
        <v>12</v>
      </c>
      <c r="J2221" s="2" t="s">
        <v>12</v>
      </c>
      <c r="K2221" s="2" t="s">
        <v>12</v>
      </c>
    </row>
    <row r="2222" spans="1:11" ht="12.5" x14ac:dyDescent="0.25">
      <c r="A2222" s="3" t="e">
        <f ca="1"/>
        <v>#NAME?</v>
      </c>
      <c r="B2222" s="2" t="s">
        <v>12</v>
      </c>
      <c r="C2222" s="2" t="s">
        <v>12</v>
      </c>
      <c r="D2222" s="2" t="s">
        <v>12</v>
      </c>
      <c r="E2222" s="2" t="s">
        <v>12</v>
      </c>
      <c r="F2222" s="2" t="s">
        <v>12</v>
      </c>
      <c r="G2222" s="2" t="s">
        <v>12</v>
      </c>
      <c r="H2222" s="2" t="s">
        <v>12</v>
      </c>
      <c r="I2222" s="2" t="s">
        <v>12</v>
      </c>
      <c r="J2222" s="2" t="s">
        <v>12</v>
      </c>
      <c r="K2222" s="2" t="s">
        <v>12</v>
      </c>
    </row>
    <row r="2223" spans="1:11" ht="12.5" x14ac:dyDescent="0.25">
      <c r="A2223" s="3" t="e">
        <f ca="1"/>
        <v>#NAME?</v>
      </c>
      <c r="B2223" s="2" t="s">
        <v>12</v>
      </c>
      <c r="C2223" s="2" t="s">
        <v>12</v>
      </c>
      <c r="D2223" s="2" t="s">
        <v>12</v>
      </c>
      <c r="E2223" s="2" t="s">
        <v>12</v>
      </c>
      <c r="F2223" s="2" t="s">
        <v>12</v>
      </c>
      <c r="G2223" s="2" t="s">
        <v>12</v>
      </c>
      <c r="H2223" s="2" t="s">
        <v>12</v>
      </c>
      <c r="I2223" s="2" t="s">
        <v>12</v>
      </c>
      <c r="J2223" s="2" t="s">
        <v>12</v>
      </c>
      <c r="K2223" s="2" t="s">
        <v>12</v>
      </c>
    </row>
    <row r="2224" spans="1:11" ht="12.5" x14ac:dyDescent="0.25">
      <c r="A2224" s="3" t="e">
        <f ca="1"/>
        <v>#NAME?</v>
      </c>
      <c r="B2224" s="2" t="s">
        <v>12</v>
      </c>
      <c r="C2224" s="2" t="s">
        <v>12</v>
      </c>
      <c r="D2224" s="2" t="s">
        <v>12</v>
      </c>
      <c r="E2224" s="2" t="s">
        <v>12</v>
      </c>
      <c r="F2224" s="2" t="s">
        <v>12</v>
      </c>
      <c r="G2224" s="2" t="s">
        <v>12</v>
      </c>
      <c r="H2224" s="2" t="s">
        <v>12</v>
      </c>
      <c r="I2224" s="2" t="s">
        <v>12</v>
      </c>
      <c r="J2224" s="2" t="s">
        <v>12</v>
      </c>
      <c r="K2224" s="2" t="s">
        <v>12</v>
      </c>
    </row>
    <row r="2225" spans="1:11" ht="12.5" x14ac:dyDescent="0.25">
      <c r="A2225" s="3" t="e">
        <f ca="1"/>
        <v>#NAME?</v>
      </c>
      <c r="B2225" s="2" t="s">
        <v>12</v>
      </c>
      <c r="C2225" s="2" t="s">
        <v>12</v>
      </c>
      <c r="D2225" s="2" t="s">
        <v>12</v>
      </c>
      <c r="E2225" s="2" t="s">
        <v>12</v>
      </c>
      <c r="F2225" s="2" t="s">
        <v>12</v>
      </c>
      <c r="G2225" s="2" t="s">
        <v>12</v>
      </c>
      <c r="H2225" s="2" t="s">
        <v>12</v>
      </c>
      <c r="I2225" s="2" t="s">
        <v>12</v>
      </c>
      <c r="J2225" s="2" t="s">
        <v>12</v>
      </c>
      <c r="K2225" s="2" t="s">
        <v>12</v>
      </c>
    </row>
    <row r="2226" spans="1:11" ht="12.5" x14ac:dyDescent="0.25">
      <c r="A2226" s="3" t="e">
        <f ca="1"/>
        <v>#NAME?</v>
      </c>
      <c r="B2226" s="2" t="s">
        <v>12</v>
      </c>
      <c r="C2226" s="2" t="s">
        <v>12</v>
      </c>
      <c r="D2226" s="2" t="s">
        <v>12</v>
      </c>
      <c r="E2226" s="2" t="s">
        <v>12</v>
      </c>
      <c r="F2226" s="2" t="s">
        <v>12</v>
      </c>
      <c r="G2226" s="2" t="s">
        <v>12</v>
      </c>
      <c r="H2226" s="2" t="s">
        <v>12</v>
      </c>
      <c r="I2226" s="2" t="s">
        <v>12</v>
      </c>
      <c r="J2226" s="2" t="s">
        <v>12</v>
      </c>
      <c r="K2226" s="2" t="s">
        <v>12</v>
      </c>
    </row>
    <row r="2227" spans="1:11" ht="12.5" x14ac:dyDescent="0.25">
      <c r="A2227" s="3" t="e">
        <f ca="1"/>
        <v>#NAME?</v>
      </c>
      <c r="B2227" s="2" t="s">
        <v>12</v>
      </c>
      <c r="C2227" s="2" t="s">
        <v>12</v>
      </c>
      <c r="D2227" s="2" t="s">
        <v>12</v>
      </c>
      <c r="E2227" s="2" t="s">
        <v>12</v>
      </c>
      <c r="F2227" s="2" t="s">
        <v>12</v>
      </c>
      <c r="G2227" s="2" t="s">
        <v>12</v>
      </c>
      <c r="H2227" s="2" t="s">
        <v>12</v>
      </c>
      <c r="I2227" s="2" t="s">
        <v>12</v>
      </c>
      <c r="J2227" s="2" t="s">
        <v>12</v>
      </c>
      <c r="K2227" s="2" t="s">
        <v>12</v>
      </c>
    </row>
    <row r="2228" spans="1:11" ht="12.5" x14ac:dyDescent="0.25">
      <c r="A2228" s="3" t="e">
        <f ca="1"/>
        <v>#NAME?</v>
      </c>
      <c r="B2228" s="2" t="s">
        <v>12</v>
      </c>
      <c r="C2228" s="2" t="s">
        <v>12</v>
      </c>
      <c r="D2228" s="2" t="s">
        <v>12</v>
      </c>
      <c r="E2228" s="2" t="s">
        <v>12</v>
      </c>
      <c r="F2228" s="2" t="s">
        <v>12</v>
      </c>
      <c r="G2228" s="2" t="s">
        <v>12</v>
      </c>
      <c r="H2228" s="2" t="s">
        <v>12</v>
      </c>
      <c r="I2228" s="2" t="s">
        <v>12</v>
      </c>
      <c r="J2228" s="2" t="s">
        <v>12</v>
      </c>
      <c r="K2228" s="2" t="s">
        <v>12</v>
      </c>
    </row>
    <row r="2229" spans="1:11" ht="12.5" x14ac:dyDescent="0.25">
      <c r="A2229" s="3" t="e">
        <f ca="1"/>
        <v>#NAME?</v>
      </c>
      <c r="B2229" s="2" t="s">
        <v>12</v>
      </c>
      <c r="C2229" s="2" t="s">
        <v>12</v>
      </c>
      <c r="D2229" s="2" t="s">
        <v>12</v>
      </c>
      <c r="E2229" s="2" t="s">
        <v>12</v>
      </c>
      <c r="F2229" s="2" t="s">
        <v>12</v>
      </c>
      <c r="G2229" s="2" t="s">
        <v>12</v>
      </c>
      <c r="H2229" s="2" t="s">
        <v>12</v>
      </c>
      <c r="I2229" s="2" t="s">
        <v>12</v>
      </c>
      <c r="J2229" s="2" t="s">
        <v>12</v>
      </c>
      <c r="K2229" s="2" t="s">
        <v>12</v>
      </c>
    </row>
    <row r="2230" spans="1:11" ht="12.5" x14ac:dyDescent="0.25">
      <c r="A2230" s="3" t="e">
        <f ca="1"/>
        <v>#NAME?</v>
      </c>
      <c r="B2230" s="2" t="s">
        <v>12</v>
      </c>
      <c r="C2230" s="2" t="s">
        <v>12</v>
      </c>
      <c r="D2230" s="2" t="s">
        <v>12</v>
      </c>
      <c r="E2230" s="2" t="s">
        <v>12</v>
      </c>
      <c r="F2230" s="2" t="s">
        <v>12</v>
      </c>
      <c r="G2230" s="2" t="s">
        <v>12</v>
      </c>
      <c r="H2230" s="2" t="s">
        <v>12</v>
      </c>
      <c r="I2230" s="2" t="s">
        <v>12</v>
      </c>
      <c r="J2230" s="2" t="s">
        <v>12</v>
      </c>
      <c r="K2230" s="2" t="s">
        <v>12</v>
      </c>
    </row>
    <row r="2231" spans="1:11" ht="12.5" x14ac:dyDescent="0.25">
      <c r="A2231" s="3" t="e">
        <f ca="1"/>
        <v>#NAME?</v>
      </c>
      <c r="B2231" s="2" t="s">
        <v>12</v>
      </c>
      <c r="C2231" s="2" t="s">
        <v>12</v>
      </c>
      <c r="D2231" s="2" t="s">
        <v>12</v>
      </c>
      <c r="E2231" s="2" t="s">
        <v>12</v>
      </c>
      <c r="F2231" s="2" t="s">
        <v>12</v>
      </c>
      <c r="G2231" s="2" t="s">
        <v>12</v>
      </c>
      <c r="H2231" s="2" t="s">
        <v>12</v>
      </c>
      <c r="I2231" s="2" t="s">
        <v>12</v>
      </c>
      <c r="J2231" s="2" t="s">
        <v>12</v>
      </c>
      <c r="K2231" s="2" t="s">
        <v>12</v>
      </c>
    </row>
    <row r="2232" spans="1:11" ht="12.5" x14ac:dyDescent="0.25">
      <c r="A2232" s="3" t="e">
        <f ca="1"/>
        <v>#NAME?</v>
      </c>
      <c r="B2232" s="2" t="s">
        <v>12</v>
      </c>
      <c r="C2232" s="2" t="s">
        <v>12</v>
      </c>
      <c r="D2232" s="2" t="s">
        <v>12</v>
      </c>
      <c r="E2232" s="2" t="s">
        <v>12</v>
      </c>
      <c r="F2232" s="2" t="s">
        <v>12</v>
      </c>
      <c r="G2232" s="2" t="s">
        <v>12</v>
      </c>
      <c r="H2232" s="2" t="s">
        <v>12</v>
      </c>
      <c r="I2232" s="2" t="s">
        <v>12</v>
      </c>
      <c r="J2232" s="2" t="s">
        <v>12</v>
      </c>
      <c r="K2232" s="2" t="s">
        <v>12</v>
      </c>
    </row>
    <row r="2233" spans="1:11" ht="12.5" x14ac:dyDescent="0.25">
      <c r="A2233" s="3" t="e">
        <f ca="1"/>
        <v>#NAME?</v>
      </c>
      <c r="B2233" s="2" t="s">
        <v>12</v>
      </c>
      <c r="C2233" s="2" t="s">
        <v>12</v>
      </c>
      <c r="D2233" s="2" t="s">
        <v>12</v>
      </c>
      <c r="E2233" s="2" t="s">
        <v>12</v>
      </c>
      <c r="F2233" s="2" t="s">
        <v>12</v>
      </c>
      <c r="G2233" s="2" t="s">
        <v>12</v>
      </c>
      <c r="H2233" s="2" t="s">
        <v>12</v>
      </c>
      <c r="I2233" s="2" t="s">
        <v>12</v>
      </c>
      <c r="J2233" s="2" t="s">
        <v>12</v>
      </c>
      <c r="K2233" s="2" t="s">
        <v>12</v>
      </c>
    </row>
    <row r="2234" spans="1:11" ht="12.5" x14ac:dyDescent="0.25">
      <c r="A2234" s="3" t="e">
        <f ca="1"/>
        <v>#NAME?</v>
      </c>
      <c r="B2234" s="2" t="s">
        <v>12</v>
      </c>
      <c r="C2234" s="2" t="s">
        <v>12</v>
      </c>
      <c r="D2234" s="2" t="s">
        <v>12</v>
      </c>
      <c r="E2234" s="2" t="s">
        <v>12</v>
      </c>
      <c r="F2234" s="2" t="s">
        <v>12</v>
      </c>
      <c r="G2234" s="2" t="s">
        <v>12</v>
      </c>
      <c r="H2234" s="2" t="s">
        <v>12</v>
      </c>
      <c r="I2234" s="2" t="s">
        <v>12</v>
      </c>
      <c r="J2234" s="2" t="s">
        <v>12</v>
      </c>
      <c r="K2234" s="2" t="s">
        <v>12</v>
      </c>
    </row>
    <row r="2235" spans="1:11" ht="12.5" x14ac:dyDescent="0.25">
      <c r="A2235" s="3" t="e">
        <f ca="1"/>
        <v>#NAME?</v>
      </c>
      <c r="B2235" s="2" t="s">
        <v>12</v>
      </c>
      <c r="C2235" s="2" t="s">
        <v>12</v>
      </c>
      <c r="D2235" s="2" t="s">
        <v>12</v>
      </c>
      <c r="E2235" s="2" t="s">
        <v>12</v>
      </c>
      <c r="F2235" s="2" t="s">
        <v>12</v>
      </c>
      <c r="G2235" s="2" t="s">
        <v>12</v>
      </c>
      <c r="H2235" s="2" t="s">
        <v>12</v>
      </c>
      <c r="I2235" s="2" t="s">
        <v>12</v>
      </c>
      <c r="J2235" s="2" t="s">
        <v>12</v>
      </c>
      <c r="K2235" s="2" t="s">
        <v>12</v>
      </c>
    </row>
    <row r="2236" spans="1:11" ht="12.5" x14ac:dyDescent="0.25">
      <c r="A2236" s="3" t="e">
        <f ca="1"/>
        <v>#NAME?</v>
      </c>
      <c r="B2236" s="2" t="s">
        <v>12</v>
      </c>
      <c r="C2236" s="2" t="s">
        <v>12</v>
      </c>
      <c r="D2236" s="2" t="s">
        <v>12</v>
      </c>
      <c r="E2236" s="2" t="s">
        <v>12</v>
      </c>
      <c r="F2236" s="2" t="s">
        <v>12</v>
      </c>
      <c r="G2236" s="2" t="s">
        <v>12</v>
      </c>
      <c r="H2236" s="2" t="s">
        <v>12</v>
      </c>
      <c r="I2236" s="2" t="s">
        <v>12</v>
      </c>
      <c r="J2236" s="2" t="s">
        <v>12</v>
      </c>
      <c r="K2236" s="2" t="s">
        <v>12</v>
      </c>
    </row>
    <row r="2237" spans="1:11" ht="12.5" x14ac:dyDescent="0.25">
      <c r="A2237" s="3" t="e">
        <f ca="1"/>
        <v>#NAME?</v>
      </c>
      <c r="B2237" s="2" t="s">
        <v>12</v>
      </c>
      <c r="C2237" s="2" t="s">
        <v>12</v>
      </c>
      <c r="D2237" s="2" t="s">
        <v>12</v>
      </c>
      <c r="E2237" s="2" t="s">
        <v>12</v>
      </c>
      <c r="F2237" s="2" t="s">
        <v>12</v>
      </c>
      <c r="G2237" s="2" t="s">
        <v>12</v>
      </c>
      <c r="H2237" s="2" t="s">
        <v>12</v>
      </c>
      <c r="I2237" s="2" t="s">
        <v>12</v>
      </c>
      <c r="J2237" s="2" t="s">
        <v>12</v>
      </c>
      <c r="K2237" s="2" t="s">
        <v>12</v>
      </c>
    </row>
    <row r="2238" spans="1:11" ht="12.5" x14ac:dyDescent="0.25">
      <c r="A2238" s="3" t="e">
        <f ca="1"/>
        <v>#NAME?</v>
      </c>
      <c r="B2238" s="2" t="s">
        <v>12</v>
      </c>
      <c r="C2238" s="2" t="s">
        <v>12</v>
      </c>
      <c r="D2238" s="2" t="s">
        <v>12</v>
      </c>
      <c r="E2238" s="2" t="s">
        <v>12</v>
      </c>
      <c r="F2238" s="2" t="s">
        <v>12</v>
      </c>
      <c r="G2238" s="2" t="s">
        <v>12</v>
      </c>
      <c r="H2238" s="2" t="s">
        <v>12</v>
      </c>
      <c r="I2238" s="2" t="s">
        <v>12</v>
      </c>
      <c r="J2238" s="2" t="s">
        <v>12</v>
      </c>
      <c r="K2238" s="2" t="s">
        <v>12</v>
      </c>
    </row>
    <row r="2239" spans="1:11" ht="12.5" x14ac:dyDescent="0.25">
      <c r="A2239" s="3" t="e">
        <f ca="1"/>
        <v>#NAME?</v>
      </c>
      <c r="B2239" s="2" t="s">
        <v>12</v>
      </c>
      <c r="C2239" s="2" t="s">
        <v>12</v>
      </c>
      <c r="D2239" s="2" t="s">
        <v>12</v>
      </c>
      <c r="E2239" s="2" t="s">
        <v>12</v>
      </c>
      <c r="F2239" s="2" t="s">
        <v>12</v>
      </c>
      <c r="G2239" s="2" t="s">
        <v>12</v>
      </c>
      <c r="H2239" s="2" t="s">
        <v>12</v>
      </c>
      <c r="I2239" s="2" t="s">
        <v>12</v>
      </c>
      <c r="J2239" s="2" t="s">
        <v>12</v>
      </c>
      <c r="K2239" s="2" t="s">
        <v>12</v>
      </c>
    </row>
    <row r="2240" spans="1:11" ht="12.5" x14ac:dyDescent="0.25">
      <c r="A2240" s="3" t="e">
        <f ca="1"/>
        <v>#NAME?</v>
      </c>
      <c r="B2240" s="2" t="s">
        <v>12</v>
      </c>
      <c r="C2240" s="2" t="s">
        <v>12</v>
      </c>
      <c r="D2240" s="2" t="s">
        <v>12</v>
      </c>
      <c r="E2240" s="2" t="s">
        <v>12</v>
      </c>
      <c r="F2240" s="2" t="s">
        <v>12</v>
      </c>
      <c r="G2240" s="2" t="s">
        <v>12</v>
      </c>
      <c r="H2240" s="2" t="s">
        <v>12</v>
      </c>
      <c r="I2240" s="2" t="s">
        <v>12</v>
      </c>
      <c r="J2240" s="2" t="s">
        <v>12</v>
      </c>
      <c r="K2240" s="2" t="s">
        <v>12</v>
      </c>
    </row>
    <row r="2241" spans="1:11" ht="12.5" x14ac:dyDescent="0.25">
      <c r="A2241" s="3" t="e">
        <f ca="1"/>
        <v>#NAME?</v>
      </c>
      <c r="B2241" s="2" t="s">
        <v>12</v>
      </c>
      <c r="C2241" s="2" t="s">
        <v>12</v>
      </c>
      <c r="D2241" s="2" t="s">
        <v>12</v>
      </c>
      <c r="E2241" s="2" t="s">
        <v>12</v>
      </c>
      <c r="F2241" s="2" t="s">
        <v>12</v>
      </c>
      <c r="G2241" s="2" t="s">
        <v>12</v>
      </c>
      <c r="H2241" s="2" t="s">
        <v>12</v>
      </c>
      <c r="I2241" s="2" t="s">
        <v>12</v>
      </c>
      <c r="J2241" s="2" t="s">
        <v>12</v>
      </c>
      <c r="K2241" s="2" t="s">
        <v>12</v>
      </c>
    </row>
    <row r="2242" spans="1:11" ht="12.5" x14ac:dyDescent="0.25">
      <c r="A2242" s="3" t="e">
        <f ca="1"/>
        <v>#NAME?</v>
      </c>
      <c r="B2242" s="2" t="s">
        <v>12</v>
      </c>
      <c r="C2242" s="2" t="s">
        <v>12</v>
      </c>
      <c r="D2242" s="2" t="s">
        <v>12</v>
      </c>
      <c r="E2242" s="2" t="s">
        <v>12</v>
      </c>
      <c r="F2242" s="2" t="s">
        <v>12</v>
      </c>
      <c r="G2242" s="2" t="s">
        <v>12</v>
      </c>
      <c r="H2242" s="2" t="s">
        <v>12</v>
      </c>
      <c r="I2242" s="2" t="s">
        <v>12</v>
      </c>
      <c r="J2242" s="2" t="s">
        <v>12</v>
      </c>
      <c r="K2242" s="2" t="s">
        <v>12</v>
      </c>
    </row>
    <row r="2243" spans="1:11" ht="12.5" x14ac:dyDescent="0.25">
      <c r="A2243" s="3" t="e">
        <f ca="1"/>
        <v>#NAME?</v>
      </c>
      <c r="B2243" s="2" t="s">
        <v>12</v>
      </c>
      <c r="C2243" s="2" t="s">
        <v>12</v>
      </c>
      <c r="D2243" s="2" t="s">
        <v>12</v>
      </c>
      <c r="E2243" s="2" t="s">
        <v>12</v>
      </c>
      <c r="F2243" s="2" t="s">
        <v>12</v>
      </c>
      <c r="G2243" s="2" t="s">
        <v>12</v>
      </c>
      <c r="H2243" s="2" t="s">
        <v>12</v>
      </c>
      <c r="I2243" s="2" t="s">
        <v>12</v>
      </c>
      <c r="J2243" s="2" t="s">
        <v>12</v>
      </c>
      <c r="K2243" s="2" t="s">
        <v>12</v>
      </c>
    </row>
    <row r="2244" spans="1:11" ht="12.5" x14ac:dyDescent="0.25">
      <c r="A2244" s="3" t="e">
        <f ca="1"/>
        <v>#NAME?</v>
      </c>
      <c r="B2244" s="2" t="s">
        <v>12</v>
      </c>
      <c r="C2244" s="2" t="s">
        <v>12</v>
      </c>
      <c r="D2244" s="2" t="s">
        <v>12</v>
      </c>
      <c r="E2244" s="2" t="s">
        <v>12</v>
      </c>
      <c r="F2244" s="2" t="s">
        <v>12</v>
      </c>
      <c r="G2244" s="2" t="s">
        <v>12</v>
      </c>
      <c r="H2244" s="2" t="s">
        <v>12</v>
      </c>
      <c r="I2244" s="2" t="s">
        <v>12</v>
      </c>
      <c r="J2244" s="2" t="s">
        <v>12</v>
      </c>
      <c r="K2244" s="2" t="s">
        <v>12</v>
      </c>
    </row>
    <row r="2245" spans="1:11" ht="12.5" x14ac:dyDescent="0.25">
      <c r="A2245" s="3" t="e">
        <f ca="1"/>
        <v>#NAME?</v>
      </c>
      <c r="B2245" s="2" t="s">
        <v>12</v>
      </c>
      <c r="C2245" s="2" t="s">
        <v>12</v>
      </c>
      <c r="D2245" s="2" t="s">
        <v>12</v>
      </c>
      <c r="E2245" s="2" t="s">
        <v>12</v>
      </c>
      <c r="F2245" s="2" t="s">
        <v>12</v>
      </c>
      <c r="G2245" s="2" t="s">
        <v>12</v>
      </c>
      <c r="H2245" s="2" t="s">
        <v>12</v>
      </c>
      <c r="I2245" s="2" t="s">
        <v>12</v>
      </c>
      <c r="J2245" s="2" t="s">
        <v>12</v>
      </c>
      <c r="K2245" s="2" t="s">
        <v>12</v>
      </c>
    </row>
    <row r="2246" spans="1:11" ht="12.5" x14ac:dyDescent="0.25">
      <c r="A2246" s="3" t="e">
        <f ca="1"/>
        <v>#NAME?</v>
      </c>
      <c r="B2246" s="2" t="s">
        <v>12</v>
      </c>
      <c r="C2246" s="2" t="s">
        <v>12</v>
      </c>
      <c r="D2246" s="2" t="s">
        <v>12</v>
      </c>
      <c r="E2246" s="2" t="s">
        <v>12</v>
      </c>
      <c r="F2246" s="2" t="s">
        <v>12</v>
      </c>
      <c r="G2246" s="2" t="s">
        <v>12</v>
      </c>
      <c r="H2246" s="2" t="s">
        <v>12</v>
      </c>
      <c r="I2246" s="2" t="s">
        <v>12</v>
      </c>
      <c r="J2246" s="2" t="s">
        <v>12</v>
      </c>
      <c r="K2246" s="2" t="s">
        <v>12</v>
      </c>
    </row>
    <row r="2247" spans="1:11" ht="12.5" x14ac:dyDescent="0.25">
      <c r="A2247" s="3" t="e">
        <f ca="1"/>
        <v>#NAME?</v>
      </c>
      <c r="B2247" s="2" t="s">
        <v>12</v>
      </c>
      <c r="C2247" s="2" t="s">
        <v>12</v>
      </c>
      <c r="D2247" s="2" t="s">
        <v>12</v>
      </c>
      <c r="E2247" s="2" t="s">
        <v>12</v>
      </c>
      <c r="F2247" s="2" t="s">
        <v>12</v>
      </c>
      <c r="G2247" s="2" t="s">
        <v>12</v>
      </c>
      <c r="H2247" s="2" t="s">
        <v>12</v>
      </c>
      <c r="I2247" s="2" t="s">
        <v>12</v>
      </c>
      <c r="J2247" s="2" t="s">
        <v>12</v>
      </c>
      <c r="K2247" s="2" t="s">
        <v>12</v>
      </c>
    </row>
    <row r="2248" spans="1:11" ht="12.5" x14ac:dyDescent="0.25">
      <c r="A2248" s="3" t="e">
        <f ca="1"/>
        <v>#NAME?</v>
      </c>
      <c r="B2248" s="2" t="s">
        <v>12</v>
      </c>
      <c r="C2248" s="2" t="s">
        <v>12</v>
      </c>
      <c r="D2248" s="2" t="s">
        <v>12</v>
      </c>
      <c r="E2248" s="2" t="s">
        <v>12</v>
      </c>
      <c r="F2248" s="2" t="s">
        <v>12</v>
      </c>
      <c r="G2248" s="2" t="s">
        <v>12</v>
      </c>
      <c r="H2248" s="2" t="s">
        <v>12</v>
      </c>
      <c r="I2248" s="2" t="s">
        <v>12</v>
      </c>
      <c r="J2248" s="2" t="s">
        <v>12</v>
      </c>
      <c r="K2248" s="2" t="s">
        <v>12</v>
      </c>
    </row>
    <row r="2249" spans="1:11" ht="12.5" x14ac:dyDescent="0.25">
      <c r="A2249" s="3" t="e">
        <f ca="1"/>
        <v>#NAME?</v>
      </c>
      <c r="B2249" s="2" t="s">
        <v>12</v>
      </c>
      <c r="C2249" s="2" t="s">
        <v>12</v>
      </c>
      <c r="D2249" s="2" t="s">
        <v>12</v>
      </c>
      <c r="E2249" s="2" t="s">
        <v>12</v>
      </c>
      <c r="F2249" s="2" t="s">
        <v>12</v>
      </c>
      <c r="G2249" s="2" t="s">
        <v>12</v>
      </c>
      <c r="H2249" s="2" t="s">
        <v>12</v>
      </c>
      <c r="I2249" s="2" t="s">
        <v>12</v>
      </c>
      <c r="J2249" s="2" t="s">
        <v>12</v>
      </c>
      <c r="K2249" s="2" t="s">
        <v>12</v>
      </c>
    </row>
    <row r="2250" spans="1:11" ht="12.5" x14ac:dyDescent="0.25">
      <c r="A2250" s="3" t="e">
        <f ca="1"/>
        <v>#NAME?</v>
      </c>
      <c r="B2250" s="2" t="s">
        <v>12</v>
      </c>
      <c r="C2250" s="2" t="s">
        <v>12</v>
      </c>
      <c r="D2250" s="2" t="s">
        <v>12</v>
      </c>
      <c r="E2250" s="2" t="s">
        <v>12</v>
      </c>
      <c r="F2250" s="2" t="s">
        <v>12</v>
      </c>
      <c r="G2250" s="2" t="s">
        <v>12</v>
      </c>
      <c r="H2250" s="2" t="s">
        <v>12</v>
      </c>
      <c r="I2250" s="2" t="s">
        <v>12</v>
      </c>
      <c r="J2250" s="2" t="s">
        <v>12</v>
      </c>
      <c r="K2250" s="2" t="s">
        <v>12</v>
      </c>
    </row>
    <row r="2251" spans="1:11" ht="12.5" x14ac:dyDescent="0.25">
      <c r="A2251" s="3" t="e">
        <f ca="1"/>
        <v>#NAME?</v>
      </c>
      <c r="B2251" s="2" t="s">
        <v>12</v>
      </c>
      <c r="C2251" s="2" t="s">
        <v>12</v>
      </c>
      <c r="D2251" s="2" t="s">
        <v>12</v>
      </c>
      <c r="E2251" s="2" t="s">
        <v>12</v>
      </c>
      <c r="F2251" s="2" t="s">
        <v>12</v>
      </c>
      <c r="G2251" s="2" t="s">
        <v>12</v>
      </c>
      <c r="H2251" s="2" t="s">
        <v>12</v>
      </c>
      <c r="I2251" s="2" t="s">
        <v>12</v>
      </c>
      <c r="J2251" s="2" t="s">
        <v>12</v>
      </c>
      <c r="K2251" s="2" t="s">
        <v>12</v>
      </c>
    </row>
    <row r="2252" spans="1:11" ht="12.5" x14ac:dyDescent="0.25">
      <c r="A2252" s="3" t="e">
        <f ca="1"/>
        <v>#NAME?</v>
      </c>
      <c r="B2252" s="2" t="s">
        <v>12</v>
      </c>
      <c r="C2252" s="2" t="s">
        <v>12</v>
      </c>
      <c r="D2252" s="2" t="s">
        <v>12</v>
      </c>
      <c r="E2252" s="2" t="s">
        <v>12</v>
      </c>
      <c r="F2252" s="2" t="s">
        <v>12</v>
      </c>
      <c r="G2252" s="2" t="s">
        <v>12</v>
      </c>
      <c r="H2252" s="2" t="s">
        <v>12</v>
      </c>
      <c r="I2252" s="2" t="s">
        <v>12</v>
      </c>
      <c r="J2252" s="2" t="s">
        <v>12</v>
      </c>
      <c r="K2252" s="2" t="s">
        <v>12</v>
      </c>
    </row>
    <row r="2253" spans="1:11" ht="12.5" x14ac:dyDescent="0.25">
      <c r="A2253" s="3" t="e">
        <f ca="1"/>
        <v>#NAME?</v>
      </c>
      <c r="B2253" s="2" t="s">
        <v>12</v>
      </c>
      <c r="C2253" s="2" t="s">
        <v>12</v>
      </c>
      <c r="D2253" s="2" t="s">
        <v>12</v>
      </c>
      <c r="E2253" s="2" t="s">
        <v>12</v>
      </c>
      <c r="F2253" s="2" t="s">
        <v>12</v>
      </c>
      <c r="G2253" s="2" t="s">
        <v>12</v>
      </c>
      <c r="H2253" s="2" t="s">
        <v>12</v>
      </c>
      <c r="I2253" s="2" t="s">
        <v>12</v>
      </c>
      <c r="J2253" s="2" t="s">
        <v>12</v>
      </c>
      <c r="K2253" s="2" t="s">
        <v>12</v>
      </c>
    </row>
    <row r="2254" spans="1:11" ht="12.5" x14ac:dyDescent="0.25">
      <c r="A2254" s="3" t="e">
        <f ca="1"/>
        <v>#NAME?</v>
      </c>
      <c r="B2254" s="2" t="s">
        <v>12</v>
      </c>
      <c r="C2254" s="2" t="s">
        <v>12</v>
      </c>
      <c r="D2254" s="2" t="s">
        <v>12</v>
      </c>
      <c r="E2254" s="2" t="s">
        <v>12</v>
      </c>
      <c r="F2254" s="2" t="s">
        <v>12</v>
      </c>
      <c r="G2254" s="2" t="s">
        <v>12</v>
      </c>
      <c r="H2254" s="2" t="s">
        <v>12</v>
      </c>
      <c r="I2254" s="2" t="s">
        <v>12</v>
      </c>
      <c r="J2254" s="2" t="s">
        <v>12</v>
      </c>
      <c r="K2254" s="2" t="s">
        <v>12</v>
      </c>
    </row>
    <row r="2255" spans="1:11" ht="12.5" x14ac:dyDescent="0.25">
      <c r="A2255" s="3" t="e">
        <f ca="1"/>
        <v>#NAME?</v>
      </c>
      <c r="B2255" s="2" t="s">
        <v>12</v>
      </c>
      <c r="C2255" s="2" t="s">
        <v>12</v>
      </c>
      <c r="D2255" s="2" t="s">
        <v>12</v>
      </c>
      <c r="E2255" s="2" t="s">
        <v>12</v>
      </c>
      <c r="F2255" s="2" t="s">
        <v>12</v>
      </c>
      <c r="G2255" s="2" t="s">
        <v>12</v>
      </c>
      <c r="H2255" s="2" t="s">
        <v>12</v>
      </c>
      <c r="I2255" s="2" t="s">
        <v>12</v>
      </c>
      <c r="J2255" s="2" t="s">
        <v>12</v>
      </c>
      <c r="K2255" s="2" t="s">
        <v>12</v>
      </c>
    </row>
    <row r="2256" spans="1:11" ht="12.5" x14ac:dyDescent="0.25">
      <c r="A2256" s="3" t="e">
        <f ca="1"/>
        <v>#NAME?</v>
      </c>
      <c r="B2256" s="2" t="s">
        <v>12</v>
      </c>
      <c r="C2256" s="2" t="s">
        <v>12</v>
      </c>
      <c r="D2256" s="2" t="s">
        <v>12</v>
      </c>
      <c r="E2256" s="2" t="s">
        <v>12</v>
      </c>
      <c r="F2256" s="2" t="s">
        <v>12</v>
      </c>
      <c r="G2256" s="2" t="s">
        <v>12</v>
      </c>
      <c r="H2256" s="2" t="s">
        <v>12</v>
      </c>
      <c r="I2256" s="2" t="s">
        <v>12</v>
      </c>
      <c r="J2256" s="2" t="s">
        <v>12</v>
      </c>
      <c r="K2256" s="2" t="s">
        <v>12</v>
      </c>
    </row>
    <row r="2257" spans="1:11" ht="12.5" x14ac:dyDescent="0.25">
      <c r="A2257" s="3" t="e">
        <f ca="1"/>
        <v>#NAME?</v>
      </c>
      <c r="B2257" s="2" t="s">
        <v>12</v>
      </c>
      <c r="C2257" s="2" t="s">
        <v>12</v>
      </c>
      <c r="D2257" s="2" t="s">
        <v>12</v>
      </c>
      <c r="E2257" s="2" t="s">
        <v>12</v>
      </c>
      <c r="F2257" s="2" t="s">
        <v>12</v>
      </c>
      <c r="G2257" s="2" t="s">
        <v>12</v>
      </c>
      <c r="H2257" s="2" t="s">
        <v>12</v>
      </c>
      <c r="I2257" s="2" t="s">
        <v>12</v>
      </c>
      <c r="J2257" s="2" t="s">
        <v>12</v>
      </c>
      <c r="K2257" s="2" t="s">
        <v>12</v>
      </c>
    </row>
    <row r="2258" spans="1:11" ht="12.5" x14ac:dyDescent="0.25">
      <c r="A2258" s="3" t="e">
        <f ca="1"/>
        <v>#NAME?</v>
      </c>
      <c r="B2258" s="2" t="s">
        <v>12</v>
      </c>
      <c r="C2258" s="2" t="s">
        <v>12</v>
      </c>
      <c r="D2258" s="2" t="s">
        <v>12</v>
      </c>
      <c r="E2258" s="2" t="s">
        <v>12</v>
      </c>
      <c r="F2258" s="2" t="s">
        <v>12</v>
      </c>
      <c r="G2258" s="2" t="s">
        <v>12</v>
      </c>
      <c r="H2258" s="2" t="s">
        <v>12</v>
      </c>
      <c r="I2258" s="2" t="s">
        <v>12</v>
      </c>
      <c r="J2258" s="2" t="s">
        <v>12</v>
      </c>
      <c r="K2258" s="2" t="s">
        <v>12</v>
      </c>
    </row>
    <row r="2259" spans="1:11" ht="12.5" x14ac:dyDescent="0.25">
      <c r="A2259" s="3" t="e">
        <f ca="1"/>
        <v>#NAME?</v>
      </c>
      <c r="B2259" s="2" t="s">
        <v>12</v>
      </c>
      <c r="C2259" s="2" t="s">
        <v>12</v>
      </c>
      <c r="D2259" s="2" t="s">
        <v>12</v>
      </c>
      <c r="E2259" s="2" t="s">
        <v>12</v>
      </c>
      <c r="F2259" s="2" t="s">
        <v>12</v>
      </c>
      <c r="G2259" s="2" t="s">
        <v>12</v>
      </c>
      <c r="H2259" s="2" t="s">
        <v>12</v>
      </c>
      <c r="I2259" s="2" t="s">
        <v>12</v>
      </c>
      <c r="J2259" s="2" t="s">
        <v>12</v>
      </c>
      <c r="K2259" s="2" t="s">
        <v>12</v>
      </c>
    </row>
    <row r="2260" spans="1:11" ht="12.5" x14ac:dyDescent="0.25">
      <c r="A2260" s="3" t="e">
        <f ca="1"/>
        <v>#NAME?</v>
      </c>
      <c r="B2260" s="2" t="s">
        <v>12</v>
      </c>
      <c r="C2260" s="2" t="s">
        <v>12</v>
      </c>
      <c r="D2260" s="2" t="s">
        <v>12</v>
      </c>
      <c r="E2260" s="2" t="s">
        <v>12</v>
      </c>
      <c r="F2260" s="2" t="s">
        <v>12</v>
      </c>
      <c r="G2260" s="2" t="s">
        <v>12</v>
      </c>
      <c r="H2260" s="2" t="s">
        <v>12</v>
      </c>
      <c r="I2260" s="2" t="s">
        <v>12</v>
      </c>
      <c r="J2260" s="2" t="s">
        <v>12</v>
      </c>
      <c r="K2260" s="2" t="s">
        <v>12</v>
      </c>
    </row>
    <row r="2261" spans="1:11" ht="12.5" x14ac:dyDescent="0.25">
      <c r="A2261" s="3" t="e">
        <f ca="1"/>
        <v>#NAME?</v>
      </c>
      <c r="B2261" s="2" t="s">
        <v>12</v>
      </c>
      <c r="C2261" s="2" t="s">
        <v>12</v>
      </c>
      <c r="D2261" s="2" t="s">
        <v>12</v>
      </c>
      <c r="E2261" s="2" t="s">
        <v>12</v>
      </c>
      <c r="F2261" s="2" t="s">
        <v>12</v>
      </c>
      <c r="G2261" s="2" t="s">
        <v>12</v>
      </c>
      <c r="H2261" s="2" t="s">
        <v>12</v>
      </c>
      <c r="I2261" s="2" t="s">
        <v>12</v>
      </c>
      <c r="J2261" s="2" t="s">
        <v>12</v>
      </c>
      <c r="K2261" s="2" t="s">
        <v>12</v>
      </c>
    </row>
    <row r="2262" spans="1:11" ht="12.5" x14ac:dyDescent="0.25">
      <c r="A2262" s="3" t="e">
        <f ca="1"/>
        <v>#NAME?</v>
      </c>
      <c r="B2262" s="2" t="s">
        <v>12</v>
      </c>
      <c r="C2262" s="2" t="s">
        <v>12</v>
      </c>
      <c r="D2262" s="2" t="s">
        <v>12</v>
      </c>
      <c r="E2262" s="2" t="s">
        <v>12</v>
      </c>
      <c r="F2262" s="2" t="s">
        <v>12</v>
      </c>
      <c r="G2262" s="2" t="s">
        <v>12</v>
      </c>
      <c r="H2262" s="2" t="s">
        <v>12</v>
      </c>
      <c r="I2262" s="2" t="s">
        <v>12</v>
      </c>
      <c r="J2262" s="2" t="s">
        <v>12</v>
      </c>
      <c r="K2262" s="2" t="s">
        <v>12</v>
      </c>
    </row>
    <row r="2263" spans="1:11" ht="12.5" x14ac:dyDescent="0.25">
      <c r="A2263" s="3" t="e">
        <f ca="1"/>
        <v>#NAME?</v>
      </c>
      <c r="B2263" s="2" t="s">
        <v>12</v>
      </c>
      <c r="C2263" s="2" t="s">
        <v>12</v>
      </c>
      <c r="D2263" s="2" t="s">
        <v>12</v>
      </c>
      <c r="E2263" s="2" t="s">
        <v>12</v>
      </c>
      <c r="F2263" s="2" t="s">
        <v>12</v>
      </c>
      <c r="G2263" s="2" t="s">
        <v>12</v>
      </c>
      <c r="H2263" s="2" t="s">
        <v>12</v>
      </c>
      <c r="I2263" s="2" t="s">
        <v>12</v>
      </c>
      <c r="J2263" s="2" t="s">
        <v>12</v>
      </c>
      <c r="K2263" s="2" t="s">
        <v>12</v>
      </c>
    </row>
    <row r="2264" spans="1:11" ht="12.5" x14ac:dyDescent="0.25">
      <c r="A2264" s="3" t="e">
        <f ca="1"/>
        <v>#NAME?</v>
      </c>
      <c r="B2264" s="2" t="s">
        <v>12</v>
      </c>
      <c r="C2264" s="2" t="s">
        <v>12</v>
      </c>
      <c r="D2264" s="2" t="s">
        <v>12</v>
      </c>
      <c r="E2264" s="2" t="s">
        <v>12</v>
      </c>
      <c r="F2264" s="2" t="s">
        <v>12</v>
      </c>
      <c r="G2264" s="2" t="s">
        <v>12</v>
      </c>
      <c r="H2264" s="2" t="s">
        <v>12</v>
      </c>
      <c r="I2264" s="2" t="s">
        <v>12</v>
      </c>
      <c r="J2264" s="2" t="s">
        <v>12</v>
      </c>
      <c r="K2264" s="2" t="s">
        <v>12</v>
      </c>
    </row>
    <row r="2265" spans="1:11" ht="12.5" x14ac:dyDescent="0.25">
      <c r="A2265" s="3" t="e">
        <f ca="1"/>
        <v>#NAME?</v>
      </c>
      <c r="B2265" s="2" t="s">
        <v>12</v>
      </c>
      <c r="C2265" s="2" t="s">
        <v>12</v>
      </c>
      <c r="D2265" s="2" t="s">
        <v>12</v>
      </c>
      <c r="E2265" s="2" t="s">
        <v>12</v>
      </c>
      <c r="F2265" s="2" t="s">
        <v>12</v>
      </c>
      <c r="G2265" s="2" t="s">
        <v>12</v>
      </c>
      <c r="H2265" s="2" t="s">
        <v>12</v>
      </c>
      <c r="I2265" s="2" t="s">
        <v>12</v>
      </c>
      <c r="J2265" s="2" t="s">
        <v>12</v>
      </c>
      <c r="K2265" s="2" t="s">
        <v>12</v>
      </c>
    </row>
    <row r="2266" spans="1:11" ht="12.5" x14ac:dyDescent="0.25">
      <c r="A2266" s="3" t="e">
        <f ca="1"/>
        <v>#NAME?</v>
      </c>
      <c r="B2266" s="2" t="s">
        <v>12</v>
      </c>
      <c r="C2266" s="2" t="s">
        <v>12</v>
      </c>
      <c r="D2266" s="2" t="s">
        <v>12</v>
      </c>
      <c r="E2266" s="2" t="s">
        <v>12</v>
      </c>
      <c r="F2266" s="2" t="s">
        <v>12</v>
      </c>
      <c r="G2266" s="2" t="s">
        <v>12</v>
      </c>
      <c r="H2266" s="2" t="s">
        <v>12</v>
      </c>
      <c r="I2266" s="2" t="s">
        <v>12</v>
      </c>
      <c r="J2266" s="2" t="s">
        <v>12</v>
      </c>
      <c r="K2266" s="2" t="s">
        <v>12</v>
      </c>
    </row>
    <row r="2267" spans="1:11" ht="12.5" x14ac:dyDescent="0.25">
      <c r="A2267" s="3" t="e">
        <f ca="1"/>
        <v>#NAME?</v>
      </c>
      <c r="B2267" s="2" t="s">
        <v>12</v>
      </c>
      <c r="C2267" s="2" t="s">
        <v>12</v>
      </c>
      <c r="D2267" s="2" t="s">
        <v>12</v>
      </c>
      <c r="E2267" s="2" t="s">
        <v>12</v>
      </c>
      <c r="F2267" s="2" t="s">
        <v>12</v>
      </c>
      <c r="G2267" s="2" t="s">
        <v>12</v>
      </c>
      <c r="H2267" s="2" t="s">
        <v>12</v>
      </c>
      <c r="I2267" s="2" t="s">
        <v>12</v>
      </c>
      <c r="J2267" s="2" t="s">
        <v>12</v>
      </c>
      <c r="K2267" s="2" t="s">
        <v>12</v>
      </c>
    </row>
    <row r="2268" spans="1:11" ht="12.5" x14ac:dyDescent="0.25">
      <c r="A2268" s="3" t="e">
        <f ca="1"/>
        <v>#NAME?</v>
      </c>
      <c r="B2268" s="2" t="s">
        <v>12</v>
      </c>
      <c r="C2268" s="2" t="s">
        <v>12</v>
      </c>
      <c r="D2268" s="2" t="s">
        <v>12</v>
      </c>
      <c r="E2268" s="2" t="s">
        <v>12</v>
      </c>
      <c r="F2268" s="2" t="s">
        <v>12</v>
      </c>
      <c r="G2268" s="2" t="s">
        <v>12</v>
      </c>
      <c r="H2268" s="2" t="s">
        <v>12</v>
      </c>
      <c r="I2268" s="2" t="s">
        <v>12</v>
      </c>
      <c r="J2268" s="2" t="s">
        <v>12</v>
      </c>
      <c r="K2268" s="2" t="s">
        <v>12</v>
      </c>
    </row>
    <row r="2269" spans="1:11" ht="12.5" x14ac:dyDescent="0.25">
      <c r="A2269" s="3" t="e">
        <f ca="1"/>
        <v>#NAME?</v>
      </c>
      <c r="B2269" s="2" t="s">
        <v>12</v>
      </c>
      <c r="C2269" s="2" t="s">
        <v>12</v>
      </c>
      <c r="D2269" s="2" t="s">
        <v>12</v>
      </c>
      <c r="E2269" s="2" t="s">
        <v>12</v>
      </c>
      <c r="F2269" s="2" t="s">
        <v>12</v>
      </c>
      <c r="G2269" s="2" t="s">
        <v>12</v>
      </c>
      <c r="H2269" s="2" t="s">
        <v>12</v>
      </c>
      <c r="I2269" s="2" t="s">
        <v>12</v>
      </c>
      <c r="J2269" s="2" t="s">
        <v>12</v>
      </c>
      <c r="K2269" s="2" t="s">
        <v>12</v>
      </c>
    </row>
    <row r="2270" spans="1:11" ht="12.5" x14ac:dyDescent="0.25">
      <c r="A2270" s="3" t="e">
        <f ca="1"/>
        <v>#NAME?</v>
      </c>
      <c r="B2270" s="2" t="s">
        <v>12</v>
      </c>
      <c r="C2270" s="2" t="s">
        <v>12</v>
      </c>
      <c r="D2270" s="2" t="s">
        <v>12</v>
      </c>
      <c r="E2270" s="2" t="s">
        <v>12</v>
      </c>
      <c r="F2270" s="2" t="s">
        <v>12</v>
      </c>
      <c r="G2270" s="2" t="s">
        <v>12</v>
      </c>
      <c r="H2270" s="2" t="s">
        <v>12</v>
      </c>
      <c r="I2270" s="2" t="s">
        <v>12</v>
      </c>
      <c r="J2270" s="2" t="s">
        <v>12</v>
      </c>
      <c r="K2270" s="2" t="s">
        <v>12</v>
      </c>
    </row>
    <row r="2271" spans="1:11" ht="12.5" x14ac:dyDescent="0.25">
      <c r="A2271" s="3" t="e">
        <f ca="1"/>
        <v>#NAME?</v>
      </c>
      <c r="B2271" s="2" t="s">
        <v>12</v>
      </c>
      <c r="C2271" s="2" t="s">
        <v>12</v>
      </c>
      <c r="D2271" s="2" t="s">
        <v>12</v>
      </c>
      <c r="E2271" s="2" t="s">
        <v>12</v>
      </c>
      <c r="F2271" s="2" t="s">
        <v>12</v>
      </c>
      <c r="G2271" s="2" t="s">
        <v>12</v>
      </c>
      <c r="H2271" s="2" t="s">
        <v>12</v>
      </c>
      <c r="I2271" s="2" t="s">
        <v>12</v>
      </c>
      <c r="J2271" s="2" t="s">
        <v>12</v>
      </c>
      <c r="K2271" s="2" t="s">
        <v>12</v>
      </c>
    </row>
    <row r="2272" spans="1:11" ht="12.5" x14ac:dyDescent="0.25">
      <c r="A2272" s="3" t="e">
        <f ca="1"/>
        <v>#NAME?</v>
      </c>
      <c r="B2272" s="2" t="s">
        <v>12</v>
      </c>
      <c r="C2272" s="2" t="s">
        <v>12</v>
      </c>
      <c r="D2272" s="2" t="s">
        <v>12</v>
      </c>
      <c r="E2272" s="2" t="s">
        <v>12</v>
      </c>
      <c r="F2272" s="2" t="s">
        <v>12</v>
      </c>
      <c r="G2272" s="2" t="s">
        <v>12</v>
      </c>
      <c r="H2272" s="2" t="s">
        <v>12</v>
      </c>
      <c r="I2272" s="2" t="s">
        <v>12</v>
      </c>
      <c r="J2272" s="2" t="s">
        <v>12</v>
      </c>
      <c r="K2272" s="2" t="s">
        <v>12</v>
      </c>
    </row>
    <row r="2273" spans="1:11" ht="12.5" x14ac:dyDescent="0.25">
      <c r="A2273" s="3" t="e">
        <f ca="1"/>
        <v>#NAME?</v>
      </c>
      <c r="B2273" s="2" t="s">
        <v>12</v>
      </c>
      <c r="C2273" s="2" t="s">
        <v>12</v>
      </c>
      <c r="D2273" s="2" t="s">
        <v>12</v>
      </c>
      <c r="E2273" s="2" t="s">
        <v>12</v>
      </c>
      <c r="F2273" s="2" t="s">
        <v>12</v>
      </c>
      <c r="G2273" s="2" t="s">
        <v>12</v>
      </c>
      <c r="H2273" s="2" t="s">
        <v>12</v>
      </c>
      <c r="I2273" s="2" t="s">
        <v>12</v>
      </c>
      <c r="J2273" s="2" t="s">
        <v>12</v>
      </c>
      <c r="K2273" s="2" t="s">
        <v>12</v>
      </c>
    </row>
    <row r="2274" spans="1:11" ht="12.5" x14ac:dyDescent="0.25">
      <c r="A2274" s="3" t="e">
        <f ca="1"/>
        <v>#NAME?</v>
      </c>
      <c r="B2274" s="2" t="s">
        <v>12</v>
      </c>
      <c r="C2274" s="2" t="s">
        <v>12</v>
      </c>
      <c r="D2274" s="2" t="s">
        <v>12</v>
      </c>
      <c r="E2274" s="2" t="s">
        <v>12</v>
      </c>
      <c r="F2274" s="2" t="s">
        <v>12</v>
      </c>
      <c r="G2274" s="2" t="s">
        <v>12</v>
      </c>
      <c r="H2274" s="2" t="s">
        <v>12</v>
      </c>
      <c r="I2274" s="2" t="s">
        <v>12</v>
      </c>
      <c r="J2274" s="2" t="s">
        <v>12</v>
      </c>
      <c r="K2274" s="2" t="s">
        <v>12</v>
      </c>
    </row>
    <row r="2275" spans="1:11" ht="12.5" x14ac:dyDescent="0.25">
      <c r="A2275" s="3" t="e">
        <f ca="1"/>
        <v>#NAME?</v>
      </c>
      <c r="B2275" s="2" t="s">
        <v>12</v>
      </c>
      <c r="C2275" s="2" t="s">
        <v>12</v>
      </c>
      <c r="D2275" s="2" t="s">
        <v>12</v>
      </c>
      <c r="E2275" s="2" t="s">
        <v>12</v>
      </c>
      <c r="F2275" s="2" t="s">
        <v>12</v>
      </c>
      <c r="G2275" s="2" t="s">
        <v>12</v>
      </c>
      <c r="H2275" s="2" t="s">
        <v>12</v>
      </c>
      <c r="I2275" s="2" t="s">
        <v>12</v>
      </c>
      <c r="J2275" s="2" t="s">
        <v>12</v>
      </c>
      <c r="K2275" s="2" t="s">
        <v>12</v>
      </c>
    </row>
    <row r="2276" spans="1:11" ht="12.5" x14ac:dyDescent="0.25">
      <c r="A2276" s="3" t="e">
        <f ca="1"/>
        <v>#NAME?</v>
      </c>
      <c r="B2276" s="2" t="s">
        <v>12</v>
      </c>
      <c r="C2276" s="2" t="s">
        <v>12</v>
      </c>
      <c r="D2276" s="2" t="s">
        <v>12</v>
      </c>
      <c r="E2276" s="2" t="s">
        <v>12</v>
      </c>
      <c r="F2276" s="2" t="s">
        <v>12</v>
      </c>
      <c r="G2276" s="2" t="s">
        <v>12</v>
      </c>
      <c r="H2276" s="2" t="s">
        <v>12</v>
      </c>
      <c r="I2276" s="2" t="s">
        <v>12</v>
      </c>
      <c r="J2276" s="2" t="s">
        <v>12</v>
      </c>
      <c r="K2276" s="2" t="s">
        <v>12</v>
      </c>
    </row>
    <row r="2277" spans="1:11" ht="12.5" x14ac:dyDescent="0.25">
      <c r="A2277" s="3" t="e">
        <f ca="1"/>
        <v>#NAME?</v>
      </c>
      <c r="B2277" s="2" t="s">
        <v>12</v>
      </c>
      <c r="C2277" s="2" t="s">
        <v>12</v>
      </c>
      <c r="D2277" s="2" t="s">
        <v>12</v>
      </c>
      <c r="E2277" s="2" t="s">
        <v>12</v>
      </c>
      <c r="F2277" s="2" t="s">
        <v>12</v>
      </c>
      <c r="G2277" s="2" t="s">
        <v>12</v>
      </c>
      <c r="H2277" s="2" t="s">
        <v>12</v>
      </c>
      <c r="I2277" s="2" t="s">
        <v>12</v>
      </c>
      <c r="J2277" s="2" t="s">
        <v>12</v>
      </c>
      <c r="K2277" s="2" t="s">
        <v>12</v>
      </c>
    </row>
    <row r="2278" spans="1:11" ht="12.5" x14ac:dyDescent="0.25">
      <c r="A2278" s="3" t="e">
        <f ca="1"/>
        <v>#NAME?</v>
      </c>
      <c r="B2278" s="2" t="s">
        <v>12</v>
      </c>
      <c r="C2278" s="2" t="s">
        <v>12</v>
      </c>
      <c r="D2278" s="2" t="s">
        <v>12</v>
      </c>
      <c r="E2278" s="2" t="s">
        <v>12</v>
      </c>
      <c r="F2278" s="2" t="s">
        <v>12</v>
      </c>
      <c r="G2278" s="2" t="s">
        <v>12</v>
      </c>
      <c r="H2278" s="2" t="s">
        <v>12</v>
      </c>
      <c r="I2278" s="2" t="s">
        <v>12</v>
      </c>
      <c r="J2278" s="2" t="s">
        <v>12</v>
      </c>
      <c r="K2278" s="2" t="s">
        <v>12</v>
      </c>
    </row>
    <row r="2279" spans="1:11" ht="12.5" x14ac:dyDescent="0.25">
      <c r="A2279" s="3" t="e">
        <f ca="1"/>
        <v>#NAME?</v>
      </c>
      <c r="B2279" s="2" t="s">
        <v>12</v>
      </c>
      <c r="C2279" s="2" t="s">
        <v>12</v>
      </c>
      <c r="D2279" s="2" t="s">
        <v>12</v>
      </c>
      <c r="E2279" s="2" t="s">
        <v>12</v>
      </c>
      <c r="F2279" s="2" t="s">
        <v>12</v>
      </c>
      <c r="G2279" s="2" t="s">
        <v>12</v>
      </c>
      <c r="H2279" s="2" t="s">
        <v>12</v>
      </c>
      <c r="I2279" s="2" t="s">
        <v>12</v>
      </c>
      <c r="J2279" s="2" t="s">
        <v>12</v>
      </c>
      <c r="K2279" s="2" t="s">
        <v>12</v>
      </c>
    </row>
    <row r="2280" spans="1:11" ht="12.5" x14ac:dyDescent="0.25">
      <c r="A2280" s="3" t="e">
        <f ca="1"/>
        <v>#NAME?</v>
      </c>
      <c r="B2280" s="2" t="s">
        <v>12</v>
      </c>
      <c r="C2280" s="2" t="s">
        <v>12</v>
      </c>
      <c r="D2280" s="2" t="s">
        <v>12</v>
      </c>
      <c r="E2280" s="2" t="s">
        <v>12</v>
      </c>
      <c r="F2280" s="2" t="s">
        <v>12</v>
      </c>
      <c r="G2280" s="2" t="s">
        <v>12</v>
      </c>
      <c r="H2280" s="2" t="s">
        <v>12</v>
      </c>
      <c r="I2280" s="2" t="s">
        <v>12</v>
      </c>
      <c r="J2280" s="2" t="s">
        <v>12</v>
      </c>
      <c r="K2280" s="2" t="s">
        <v>12</v>
      </c>
    </row>
    <row r="2281" spans="1:11" ht="12.5" x14ac:dyDescent="0.25">
      <c r="A2281" s="3" t="e">
        <f ca="1"/>
        <v>#NAME?</v>
      </c>
      <c r="B2281" s="2" t="s">
        <v>12</v>
      </c>
      <c r="C2281" s="2" t="s">
        <v>12</v>
      </c>
      <c r="D2281" s="2" t="s">
        <v>12</v>
      </c>
      <c r="E2281" s="2" t="s">
        <v>12</v>
      </c>
      <c r="F2281" s="2" t="s">
        <v>12</v>
      </c>
      <c r="G2281" s="2" t="s">
        <v>12</v>
      </c>
      <c r="H2281" s="2" t="s">
        <v>12</v>
      </c>
      <c r="I2281" s="2" t="s">
        <v>12</v>
      </c>
      <c r="J2281" s="2" t="s">
        <v>12</v>
      </c>
      <c r="K2281" s="2" t="s">
        <v>12</v>
      </c>
    </row>
    <row r="2282" spans="1:11" ht="12.5" x14ac:dyDescent="0.25">
      <c r="A2282" s="3" t="e">
        <f ca="1"/>
        <v>#NAME?</v>
      </c>
      <c r="B2282" s="2" t="s">
        <v>12</v>
      </c>
      <c r="C2282" s="2" t="s">
        <v>12</v>
      </c>
      <c r="D2282" s="2" t="s">
        <v>12</v>
      </c>
      <c r="E2282" s="2" t="s">
        <v>12</v>
      </c>
      <c r="F2282" s="2" t="s">
        <v>12</v>
      </c>
      <c r="G2282" s="2" t="s">
        <v>12</v>
      </c>
      <c r="H2282" s="2" t="s">
        <v>12</v>
      </c>
      <c r="I2282" s="2" t="s">
        <v>12</v>
      </c>
      <c r="J2282" s="2" t="s">
        <v>12</v>
      </c>
      <c r="K2282" s="2" t="s">
        <v>12</v>
      </c>
    </row>
    <row r="2283" spans="1:11" ht="12.5" x14ac:dyDescent="0.25">
      <c r="A2283" s="3" t="e">
        <f ca="1"/>
        <v>#NAME?</v>
      </c>
      <c r="B2283" s="2" t="s">
        <v>12</v>
      </c>
      <c r="C2283" s="2" t="s">
        <v>12</v>
      </c>
      <c r="D2283" s="2" t="s">
        <v>12</v>
      </c>
      <c r="E2283" s="2" t="s">
        <v>12</v>
      </c>
      <c r="F2283" s="2" t="s">
        <v>12</v>
      </c>
      <c r="G2283" s="2" t="s">
        <v>12</v>
      </c>
      <c r="H2283" s="2" t="s">
        <v>12</v>
      </c>
      <c r="I2283" s="2" t="s">
        <v>12</v>
      </c>
      <c r="J2283" s="2" t="s">
        <v>12</v>
      </c>
      <c r="K2283" s="2" t="s">
        <v>12</v>
      </c>
    </row>
    <row r="2284" spans="1:11" ht="12.5" x14ac:dyDescent="0.25">
      <c r="A2284" s="3" t="e">
        <f ca="1"/>
        <v>#NAME?</v>
      </c>
      <c r="B2284" s="2" t="s">
        <v>12</v>
      </c>
      <c r="C2284" s="2" t="s">
        <v>12</v>
      </c>
      <c r="D2284" s="2" t="s">
        <v>12</v>
      </c>
      <c r="E2284" s="2" t="s">
        <v>12</v>
      </c>
      <c r="F2284" s="2" t="s">
        <v>12</v>
      </c>
      <c r="G2284" s="2" t="s">
        <v>12</v>
      </c>
      <c r="H2284" s="2" t="s">
        <v>12</v>
      </c>
      <c r="I2284" s="2" t="s">
        <v>12</v>
      </c>
      <c r="J2284" s="2" t="s">
        <v>12</v>
      </c>
      <c r="K2284" s="2" t="s">
        <v>12</v>
      </c>
    </row>
    <row r="2285" spans="1:11" ht="12.5" x14ac:dyDescent="0.25">
      <c r="A2285" s="3" t="e">
        <f ca="1"/>
        <v>#NAME?</v>
      </c>
      <c r="B2285" s="2" t="s">
        <v>12</v>
      </c>
      <c r="C2285" s="2" t="s">
        <v>12</v>
      </c>
      <c r="D2285" s="2" t="s">
        <v>12</v>
      </c>
      <c r="E2285" s="2" t="s">
        <v>12</v>
      </c>
      <c r="F2285" s="2" t="s">
        <v>12</v>
      </c>
      <c r="G2285" s="2" t="s">
        <v>12</v>
      </c>
      <c r="H2285" s="2" t="s">
        <v>12</v>
      </c>
      <c r="I2285" s="2" t="s">
        <v>12</v>
      </c>
      <c r="J2285" s="2" t="s">
        <v>12</v>
      </c>
      <c r="K2285" s="2" t="s">
        <v>12</v>
      </c>
    </row>
    <row r="2286" spans="1:11" ht="12.5" x14ac:dyDescent="0.25">
      <c r="A2286" s="3" t="e">
        <f ca="1"/>
        <v>#NAME?</v>
      </c>
      <c r="B2286" s="2" t="s">
        <v>12</v>
      </c>
      <c r="C2286" s="2" t="s">
        <v>12</v>
      </c>
      <c r="D2286" s="2" t="s">
        <v>12</v>
      </c>
      <c r="E2286" s="2" t="s">
        <v>12</v>
      </c>
      <c r="F2286" s="2" t="s">
        <v>12</v>
      </c>
      <c r="G2286" s="2" t="s">
        <v>12</v>
      </c>
      <c r="H2286" s="2" t="s">
        <v>12</v>
      </c>
      <c r="I2286" s="2" t="s">
        <v>12</v>
      </c>
      <c r="J2286" s="2" t="s">
        <v>12</v>
      </c>
      <c r="K2286" s="2" t="s">
        <v>12</v>
      </c>
    </row>
    <row r="2287" spans="1:11" ht="12.5" x14ac:dyDescent="0.25">
      <c r="A2287" s="3" t="e">
        <f ca="1"/>
        <v>#NAME?</v>
      </c>
      <c r="B2287" s="2" t="s">
        <v>12</v>
      </c>
      <c r="C2287" s="2" t="s">
        <v>12</v>
      </c>
      <c r="D2287" s="2" t="s">
        <v>12</v>
      </c>
      <c r="E2287" s="2" t="s">
        <v>12</v>
      </c>
      <c r="F2287" s="2" t="s">
        <v>12</v>
      </c>
      <c r="G2287" s="2" t="s">
        <v>12</v>
      </c>
      <c r="H2287" s="2" t="s">
        <v>12</v>
      </c>
      <c r="I2287" s="2" t="s">
        <v>12</v>
      </c>
      <c r="J2287" s="2" t="s">
        <v>12</v>
      </c>
      <c r="K2287" s="2" t="s">
        <v>12</v>
      </c>
    </row>
    <row r="2288" spans="1:11" ht="12.5" x14ac:dyDescent="0.25">
      <c r="A2288" s="3" t="e">
        <f ca="1"/>
        <v>#NAME?</v>
      </c>
      <c r="B2288" s="2" t="s">
        <v>12</v>
      </c>
      <c r="C2288" s="2" t="s">
        <v>12</v>
      </c>
      <c r="D2288" s="2" t="s">
        <v>12</v>
      </c>
      <c r="E2288" s="2" t="s">
        <v>12</v>
      </c>
      <c r="F2288" s="2" t="s">
        <v>12</v>
      </c>
      <c r="G2288" s="2" t="s">
        <v>12</v>
      </c>
      <c r="H2288" s="2" t="s">
        <v>12</v>
      </c>
      <c r="I2288" s="2" t="s">
        <v>12</v>
      </c>
      <c r="J2288" s="2" t="s">
        <v>12</v>
      </c>
      <c r="K2288" s="2" t="s">
        <v>12</v>
      </c>
    </row>
    <row r="2289" spans="1:11" ht="12.5" x14ac:dyDescent="0.25">
      <c r="A2289" s="3" t="e">
        <f ca="1"/>
        <v>#NAME?</v>
      </c>
      <c r="B2289" s="2" t="s">
        <v>12</v>
      </c>
      <c r="C2289" s="2" t="s">
        <v>12</v>
      </c>
      <c r="D2289" s="2" t="s">
        <v>12</v>
      </c>
      <c r="E2289" s="2" t="s">
        <v>12</v>
      </c>
      <c r="F2289" s="2" t="s">
        <v>12</v>
      </c>
      <c r="G2289" s="2" t="s">
        <v>12</v>
      </c>
      <c r="H2289" s="2" t="s">
        <v>12</v>
      </c>
      <c r="I2289" s="2" t="s">
        <v>12</v>
      </c>
      <c r="J2289" s="2" t="s">
        <v>12</v>
      </c>
      <c r="K2289" s="2" t="s">
        <v>12</v>
      </c>
    </row>
    <row r="2290" spans="1:11" ht="12.5" x14ac:dyDescent="0.25">
      <c r="A2290" s="3" t="e">
        <f ca="1"/>
        <v>#NAME?</v>
      </c>
      <c r="B2290" s="2" t="s">
        <v>12</v>
      </c>
      <c r="C2290" s="2" t="s">
        <v>12</v>
      </c>
      <c r="D2290" s="2" t="s">
        <v>12</v>
      </c>
      <c r="E2290" s="2" t="s">
        <v>12</v>
      </c>
      <c r="F2290" s="2" t="s">
        <v>12</v>
      </c>
      <c r="G2290" s="2" t="s">
        <v>12</v>
      </c>
      <c r="H2290" s="2" t="s">
        <v>12</v>
      </c>
      <c r="I2290" s="2" t="s">
        <v>12</v>
      </c>
      <c r="J2290" s="2" t="s">
        <v>12</v>
      </c>
      <c r="K2290" s="2" t="s">
        <v>12</v>
      </c>
    </row>
    <row r="2291" spans="1:11" ht="12.5" x14ac:dyDescent="0.25">
      <c r="A2291" s="3" t="e">
        <f ca="1"/>
        <v>#NAME?</v>
      </c>
      <c r="B2291" s="2" t="s">
        <v>12</v>
      </c>
      <c r="C2291" s="2" t="s">
        <v>12</v>
      </c>
      <c r="D2291" s="2" t="s">
        <v>12</v>
      </c>
      <c r="E2291" s="2" t="s">
        <v>12</v>
      </c>
      <c r="F2291" s="2" t="s">
        <v>12</v>
      </c>
      <c r="G2291" s="2" t="s">
        <v>12</v>
      </c>
      <c r="H2291" s="2" t="s">
        <v>12</v>
      </c>
      <c r="I2291" s="2" t="s">
        <v>12</v>
      </c>
      <c r="J2291" s="2" t="s">
        <v>12</v>
      </c>
      <c r="K2291" s="2" t="s">
        <v>12</v>
      </c>
    </row>
    <row r="2292" spans="1:11" ht="12.5" x14ac:dyDescent="0.25">
      <c r="A2292" s="3" t="e">
        <f ca="1"/>
        <v>#NAME?</v>
      </c>
      <c r="B2292" s="2" t="s">
        <v>12</v>
      </c>
      <c r="C2292" s="2" t="s">
        <v>12</v>
      </c>
      <c r="D2292" s="2" t="s">
        <v>12</v>
      </c>
      <c r="E2292" s="2" t="s">
        <v>12</v>
      </c>
      <c r="F2292" s="2" t="s">
        <v>12</v>
      </c>
      <c r="G2292" s="2" t="s">
        <v>12</v>
      </c>
      <c r="H2292" s="2" t="s">
        <v>12</v>
      </c>
      <c r="I2292" s="2" t="s">
        <v>12</v>
      </c>
      <c r="J2292" s="2" t="s">
        <v>12</v>
      </c>
      <c r="K2292" s="2" t="s">
        <v>12</v>
      </c>
    </row>
    <row r="2293" spans="1:11" ht="12.5" x14ac:dyDescent="0.25">
      <c r="A2293" s="3" t="e">
        <f ca="1"/>
        <v>#NAME?</v>
      </c>
      <c r="B2293" s="2" t="s">
        <v>12</v>
      </c>
      <c r="C2293" s="2" t="s">
        <v>12</v>
      </c>
      <c r="D2293" s="2" t="s">
        <v>12</v>
      </c>
      <c r="E2293" s="2" t="s">
        <v>12</v>
      </c>
      <c r="F2293" s="2" t="s">
        <v>12</v>
      </c>
      <c r="G2293" s="2" t="s">
        <v>12</v>
      </c>
      <c r="H2293" s="2" t="s">
        <v>12</v>
      </c>
      <c r="I2293" s="2" t="s">
        <v>12</v>
      </c>
      <c r="J2293" s="2" t="s">
        <v>12</v>
      </c>
      <c r="K2293" s="2" t="s">
        <v>12</v>
      </c>
    </row>
    <row r="2294" spans="1:11" ht="12.5" x14ac:dyDescent="0.25">
      <c r="A2294" s="3" t="e">
        <f ca="1"/>
        <v>#NAME?</v>
      </c>
      <c r="B2294" s="2" t="s">
        <v>12</v>
      </c>
      <c r="C2294" s="2" t="s">
        <v>12</v>
      </c>
      <c r="D2294" s="2" t="s">
        <v>12</v>
      </c>
      <c r="E2294" s="2" t="s">
        <v>12</v>
      </c>
      <c r="F2294" s="2" t="s">
        <v>12</v>
      </c>
      <c r="G2294" s="2" t="s">
        <v>12</v>
      </c>
      <c r="H2294" s="2" t="s">
        <v>12</v>
      </c>
      <c r="I2294" s="2" t="s">
        <v>12</v>
      </c>
      <c r="J2294" s="2" t="s">
        <v>12</v>
      </c>
      <c r="K2294" s="2" t="s">
        <v>12</v>
      </c>
    </row>
    <row r="2295" spans="1:11" ht="12.5" x14ac:dyDescent="0.25">
      <c r="A2295" s="3" t="e">
        <f ca="1"/>
        <v>#NAME?</v>
      </c>
      <c r="B2295" s="2" t="s">
        <v>12</v>
      </c>
      <c r="C2295" s="2" t="s">
        <v>12</v>
      </c>
      <c r="D2295" s="2" t="s">
        <v>12</v>
      </c>
      <c r="E2295" s="2" t="s">
        <v>12</v>
      </c>
      <c r="F2295" s="2" t="s">
        <v>12</v>
      </c>
      <c r="G2295" s="2" t="s">
        <v>12</v>
      </c>
      <c r="H2295" s="2" t="s">
        <v>12</v>
      </c>
      <c r="I2295" s="2" t="s">
        <v>12</v>
      </c>
      <c r="J2295" s="2" t="s">
        <v>12</v>
      </c>
      <c r="K2295" s="2" t="s">
        <v>12</v>
      </c>
    </row>
    <row r="2296" spans="1:11" ht="12.5" x14ac:dyDescent="0.25">
      <c r="A2296" s="3" t="e">
        <f ca="1"/>
        <v>#NAME?</v>
      </c>
      <c r="B2296" s="2" t="s">
        <v>12</v>
      </c>
      <c r="C2296" s="2" t="s">
        <v>12</v>
      </c>
      <c r="D2296" s="2" t="s">
        <v>12</v>
      </c>
      <c r="E2296" s="2" t="s">
        <v>12</v>
      </c>
      <c r="F2296" s="2" t="s">
        <v>12</v>
      </c>
      <c r="G2296" s="2" t="s">
        <v>12</v>
      </c>
      <c r="H2296" s="2" t="s">
        <v>12</v>
      </c>
      <c r="I2296" s="2" t="s">
        <v>12</v>
      </c>
      <c r="J2296" s="2" t="s">
        <v>12</v>
      </c>
      <c r="K2296" s="2" t="s">
        <v>12</v>
      </c>
    </row>
    <row r="2297" spans="1:11" ht="12.5" x14ac:dyDescent="0.25">
      <c r="A2297" s="3" t="e">
        <f ca="1"/>
        <v>#NAME?</v>
      </c>
      <c r="B2297" s="2" t="s">
        <v>12</v>
      </c>
      <c r="C2297" s="2" t="s">
        <v>12</v>
      </c>
      <c r="D2297" s="2" t="s">
        <v>12</v>
      </c>
      <c r="E2297" s="2" t="s">
        <v>12</v>
      </c>
      <c r="F2297" s="2" t="s">
        <v>12</v>
      </c>
      <c r="G2297" s="2" t="s">
        <v>12</v>
      </c>
      <c r="H2297" s="2" t="s">
        <v>12</v>
      </c>
      <c r="I2297" s="2" t="s">
        <v>12</v>
      </c>
      <c r="J2297" s="2" t="s">
        <v>12</v>
      </c>
      <c r="K2297" s="2" t="s">
        <v>12</v>
      </c>
    </row>
    <row r="2298" spans="1:11" ht="12.5" x14ac:dyDescent="0.25">
      <c r="A2298" s="3" t="e">
        <f ca="1"/>
        <v>#NAME?</v>
      </c>
      <c r="B2298" s="2" t="s">
        <v>12</v>
      </c>
      <c r="C2298" s="2" t="s">
        <v>12</v>
      </c>
      <c r="D2298" s="2" t="s">
        <v>12</v>
      </c>
      <c r="E2298" s="2" t="s">
        <v>12</v>
      </c>
      <c r="F2298" s="2" t="s">
        <v>12</v>
      </c>
      <c r="G2298" s="2" t="s">
        <v>12</v>
      </c>
      <c r="H2298" s="2" t="s">
        <v>12</v>
      </c>
      <c r="I2298" s="2" t="s">
        <v>12</v>
      </c>
      <c r="J2298" s="2" t="s">
        <v>12</v>
      </c>
      <c r="K2298" s="2" t="s">
        <v>12</v>
      </c>
    </row>
    <row r="2299" spans="1:11" ht="12.5" x14ac:dyDescent="0.25">
      <c r="A2299" s="3" t="e">
        <f ca="1"/>
        <v>#NAME?</v>
      </c>
      <c r="B2299" s="2" t="s">
        <v>12</v>
      </c>
      <c r="C2299" s="2" t="s">
        <v>12</v>
      </c>
      <c r="D2299" s="2" t="s">
        <v>12</v>
      </c>
      <c r="E2299" s="2" t="s">
        <v>12</v>
      </c>
      <c r="F2299" s="2" t="s">
        <v>12</v>
      </c>
      <c r="G2299" s="2" t="s">
        <v>12</v>
      </c>
      <c r="H2299" s="2" t="s">
        <v>12</v>
      </c>
      <c r="I2299" s="2" t="s">
        <v>12</v>
      </c>
      <c r="J2299" s="2" t="s">
        <v>12</v>
      </c>
      <c r="K2299" s="2" t="s">
        <v>12</v>
      </c>
    </row>
    <row r="2300" spans="1:11" ht="12.5" x14ac:dyDescent="0.25">
      <c r="A2300" s="3" t="e">
        <f ca="1"/>
        <v>#NAME?</v>
      </c>
      <c r="B2300" s="2" t="s">
        <v>12</v>
      </c>
      <c r="C2300" s="2" t="s">
        <v>12</v>
      </c>
      <c r="D2300" s="2" t="s">
        <v>12</v>
      </c>
      <c r="E2300" s="2" t="s">
        <v>12</v>
      </c>
      <c r="F2300" s="2" t="s">
        <v>12</v>
      </c>
      <c r="G2300" s="2" t="s">
        <v>12</v>
      </c>
      <c r="H2300" s="2" t="s">
        <v>12</v>
      </c>
      <c r="I2300" s="2" t="s">
        <v>12</v>
      </c>
      <c r="J2300" s="2" t="s">
        <v>12</v>
      </c>
      <c r="K2300" s="2" t="s">
        <v>12</v>
      </c>
    </row>
    <row r="2301" spans="1:11" ht="12.5" x14ac:dyDescent="0.25">
      <c r="A2301" s="3" t="e">
        <f ca="1"/>
        <v>#NAME?</v>
      </c>
      <c r="B2301" s="2" t="s">
        <v>12</v>
      </c>
      <c r="C2301" s="2" t="s">
        <v>12</v>
      </c>
      <c r="D2301" s="2" t="s">
        <v>12</v>
      </c>
      <c r="E2301" s="2" t="s">
        <v>12</v>
      </c>
      <c r="F2301" s="2" t="s">
        <v>12</v>
      </c>
      <c r="G2301" s="2" t="s">
        <v>12</v>
      </c>
      <c r="H2301" s="2" t="s">
        <v>12</v>
      </c>
      <c r="I2301" s="2" t="s">
        <v>12</v>
      </c>
      <c r="J2301" s="2" t="s">
        <v>12</v>
      </c>
      <c r="K2301" s="2" t="s">
        <v>12</v>
      </c>
    </row>
    <row r="2302" spans="1:11" ht="12.5" x14ac:dyDescent="0.25">
      <c r="A2302" s="3" t="e">
        <f ca="1"/>
        <v>#NAME?</v>
      </c>
      <c r="B2302" s="2" t="s">
        <v>12</v>
      </c>
      <c r="C2302" s="2" t="s">
        <v>12</v>
      </c>
      <c r="D2302" s="2" t="s">
        <v>12</v>
      </c>
      <c r="E2302" s="2" t="s">
        <v>12</v>
      </c>
      <c r="F2302" s="2" t="s">
        <v>12</v>
      </c>
      <c r="G2302" s="2" t="s">
        <v>12</v>
      </c>
      <c r="H2302" s="2" t="s">
        <v>12</v>
      </c>
      <c r="I2302" s="2" t="s">
        <v>12</v>
      </c>
      <c r="J2302" s="2" t="s">
        <v>12</v>
      </c>
      <c r="K2302" s="2" t="s">
        <v>12</v>
      </c>
    </row>
    <row r="2303" spans="1:11" ht="12.5" x14ac:dyDescent="0.25">
      <c r="A2303" s="3" t="e">
        <f ca="1"/>
        <v>#NAME?</v>
      </c>
      <c r="B2303" s="2" t="s">
        <v>12</v>
      </c>
      <c r="C2303" s="2" t="s">
        <v>12</v>
      </c>
      <c r="D2303" s="2" t="s">
        <v>12</v>
      </c>
      <c r="E2303" s="2" t="s">
        <v>12</v>
      </c>
      <c r="F2303" s="2" t="s">
        <v>12</v>
      </c>
      <c r="G2303" s="2" t="s">
        <v>12</v>
      </c>
      <c r="H2303" s="2" t="s">
        <v>12</v>
      </c>
      <c r="I2303" s="2" t="s">
        <v>12</v>
      </c>
      <c r="J2303" s="2" t="s">
        <v>12</v>
      </c>
      <c r="K2303" s="2" t="s">
        <v>12</v>
      </c>
    </row>
    <row r="2304" spans="1:11" ht="12.5" x14ac:dyDescent="0.25">
      <c r="A2304" s="3" t="e">
        <f ca="1"/>
        <v>#NAME?</v>
      </c>
      <c r="B2304" s="2" t="s">
        <v>12</v>
      </c>
      <c r="C2304" s="2" t="s">
        <v>12</v>
      </c>
      <c r="D2304" s="2" t="s">
        <v>12</v>
      </c>
      <c r="E2304" s="2" t="s">
        <v>12</v>
      </c>
      <c r="F2304" s="2" t="s">
        <v>12</v>
      </c>
      <c r="G2304" s="2" t="s">
        <v>12</v>
      </c>
      <c r="H2304" s="2" t="s">
        <v>12</v>
      </c>
      <c r="I2304" s="2" t="s">
        <v>12</v>
      </c>
      <c r="J2304" s="2" t="s">
        <v>12</v>
      </c>
      <c r="K2304" s="2" t="s">
        <v>12</v>
      </c>
    </row>
    <row r="2305" spans="1:11" ht="12.5" x14ac:dyDescent="0.25">
      <c r="A2305" s="3" t="e">
        <f ca="1"/>
        <v>#NAME?</v>
      </c>
      <c r="B2305" s="2" t="s">
        <v>12</v>
      </c>
      <c r="C2305" s="2" t="s">
        <v>12</v>
      </c>
      <c r="D2305" s="2" t="s">
        <v>12</v>
      </c>
      <c r="E2305" s="2" t="s">
        <v>12</v>
      </c>
      <c r="F2305" s="2" t="s">
        <v>12</v>
      </c>
      <c r="G2305" s="2" t="s">
        <v>12</v>
      </c>
      <c r="H2305" s="2" t="s">
        <v>12</v>
      </c>
      <c r="I2305" s="2" t="s">
        <v>12</v>
      </c>
      <c r="J2305" s="2" t="s">
        <v>12</v>
      </c>
      <c r="K2305" s="2" t="s">
        <v>12</v>
      </c>
    </row>
    <row r="2306" spans="1:11" ht="12.5" x14ac:dyDescent="0.25">
      <c r="A2306" s="3" t="e">
        <f ca="1"/>
        <v>#NAME?</v>
      </c>
      <c r="B2306" s="2" t="s">
        <v>12</v>
      </c>
      <c r="C2306" s="2" t="s">
        <v>12</v>
      </c>
      <c r="D2306" s="2" t="s">
        <v>12</v>
      </c>
      <c r="E2306" s="2" t="s">
        <v>12</v>
      </c>
      <c r="F2306" s="2" t="s">
        <v>12</v>
      </c>
      <c r="G2306" s="2" t="s">
        <v>12</v>
      </c>
      <c r="H2306" s="2" t="s">
        <v>12</v>
      </c>
      <c r="I2306" s="2" t="s">
        <v>12</v>
      </c>
      <c r="J2306" s="2" t="s">
        <v>12</v>
      </c>
      <c r="K2306" s="2" t="s">
        <v>12</v>
      </c>
    </row>
    <row r="2307" spans="1:11" ht="12.5" x14ac:dyDescent="0.25">
      <c r="A2307" s="3" t="e">
        <f ca="1"/>
        <v>#NAME?</v>
      </c>
      <c r="B2307" s="2" t="s">
        <v>12</v>
      </c>
      <c r="C2307" s="2" t="s">
        <v>12</v>
      </c>
      <c r="D2307" s="2" t="s">
        <v>12</v>
      </c>
      <c r="E2307" s="2" t="s">
        <v>12</v>
      </c>
      <c r="F2307" s="2" t="s">
        <v>12</v>
      </c>
      <c r="G2307" s="2" t="s">
        <v>12</v>
      </c>
      <c r="H2307" s="2" t="s">
        <v>12</v>
      </c>
      <c r="I2307" s="2" t="s">
        <v>12</v>
      </c>
      <c r="J2307" s="2" t="s">
        <v>12</v>
      </c>
      <c r="K2307" s="2" t="s">
        <v>12</v>
      </c>
    </row>
    <row r="2308" spans="1:11" ht="12.5" x14ac:dyDescent="0.25">
      <c r="A2308" s="3" t="e">
        <f ca="1"/>
        <v>#NAME?</v>
      </c>
      <c r="B2308" s="2" t="s">
        <v>12</v>
      </c>
      <c r="C2308" s="2" t="s">
        <v>12</v>
      </c>
      <c r="D2308" s="2" t="s">
        <v>12</v>
      </c>
      <c r="E2308" s="2" t="s">
        <v>12</v>
      </c>
      <c r="F2308" s="2" t="s">
        <v>12</v>
      </c>
      <c r="G2308" s="2" t="s">
        <v>12</v>
      </c>
      <c r="H2308" s="2" t="s">
        <v>12</v>
      </c>
      <c r="I2308" s="2" t="s">
        <v>12</v>
      </c>
      <c r="J2308" s="2" t="s">
        <v>12</v>
      </c>
      <c r="K2308" s="2" t="s">
        <v>12</v>
      </c>
    </row>
    <row r="2309" spans="1:11" ht="12.5" x14ac:dyDescent="0.25">
      <c r="A2309" s="3" t="e">
        <f ca="1"/>
        <v>#NAME?</v>
      </c>
      <c r="B2309" s="2" t="s">
        <v>12</v>
      </c>
      <c r="C2309" s="2" t="s">
        <v>12</v>
      </c>
      <c r="D2309" s="2" t="s">
        <v>12</v>
      </c>
      <c r="E2309" s="2" t="s">
        <v>12</v>
      </c>
      <c r="F2309" s="2" t="s">
        <v>12</v>
      </c>
      <c r="G2309" s="2" t="s">
        <v>12</v>
      </c>
      <c r="H2309" s="2" t="s">
        <v>12</v>
      </c>
      <c r="I2309" s="2" t="s">
        <v>12</v>
      </c>
      <c r="J2309" s="2" t="s">
        <v>12</v>
      </c>
      <c r="K2309" s="2" t="s">
        <v>12</v>
      </c>
    </row>
    <row r="2310" spans="1:11" ht="12.5" x14ac:dyDescent="0.25">
      <c r="A2310" s="3" t="e">
        <f ca="1"/>
        <v>#NAME?</v>
      </c>
      <c r="B2310" s="2" t="s">
        <v>12</v>
      </c>
      <c r="C2310" s="2" t="s">
        <v>12</v>
      </c>
      <c r="D2310" s="2" t="s">
        <v>12</v>
      </c>
      <c r="E2310" s="2" t="s">
        <v>12</v>
      </c>
      <c r="F2310" s="2" t="s">
        <v>12</v>
      </c>
      <c r="G2310" s="2" t="s">
        <v>12</v>
      </c>
      <c r="H2310" s="2" t="s">
        <v>12</v>
      </c>
      <c r="I2310" s="2" t="s">
        <v>12</v>
      </c>
      <c r="J2310" s="2" t="s">
        <v>12</v>
      </c>
      <c r="K2310" s="2" t="s">
        <v>12</v>
      </c>
    </row>
    <row r="2311" spans="1:11" ht="12.5" x14ac:dyDescent="0.25">
      <c r="A2311" s="3" t="e">
        <f ca="1"/>
        <v>#NAME?</v>
      </c>
      <c r="B2311" s="2" t="s">
        <v>12</v>
      </c>
      <c r="C2311" s="2" t="s">
        <v>12</v>
      </c>
      <c r="D2311" s="2" t="s">
        <v>12</v>
      </c>
      <c r="E2311" s="2" t="s">
        <v>12</v>
      </c>
      <c r="F2311" s="2" t="s">
        <v>12</v>
      </c>
      <c r="G2311" s="2" t="s">
        <v>12</v>
      </c>
      <c r="H2311" s="2" t="s">
        <v>12</v>
      </c>
      <c r="I2311" s="2" t="s">
        <v>12</v>
      </c>
      <c r="J2311" s="2" t="s">
        <v>12</v>
      </c>
      <c r="K2311" s="2" t="s">
        <v>12</v>
      </c>
    </row>
    <row r="2312" spans="1:11" ht="12.5" x14ac:dyDescent="0.25">
      <c r="A2312" s="3" t="e">
        <f ca="1"/>
        <v>#NAME?</v>
      </c>
      <c r="B2312" s="2" t="s">
        <v>12</v>
      </c>
      <c r="C2312" s="2" t="s">
        <v>12</v>
      </c>
      <c r="D2312" s="2" t="s">
        <v>12</v>
      </c>
      <c r="E2312" s="2" t="s">
        <v>12</v>
      </c>
      <c r="F2312" s="2" t="s">
        <v>12</v>
      </c>
      <c r="G2312" s="2" t="s">
        <v>12</v>
      </c>
      <c r="H2312" s="2" t="s">
        <v>12</v>
      </c>
      <c r="I2312" s="2" t="s">
        <v>12</v>
      </c>
      <c r="J2312" s="2" t="s">
        <v>12</v>
      </c>
      <c r="K2312" s="2" t="s">
        <v>12</v>
      </c>
    </row>
    <row r="2313" spans="1:11" ht="12.5" x14ac:dyDescent="0.25">
      <c r="A2313" s="3" t="e">
        <f ca="1"/>
        <v>#NAME?</v>
      </c>
      <c r="B2313" s="2" t="s">
        <v>12</v>
      </c>
      <c r="C2313" s="2" t="s">
        <v>12</v>
      </c>
      <c r="D2313" s="2" t="s">
        <v>12</v>
      </c>
      <c r="E2313" s="2" t="s">
        <v>12</v>
      </c>
      <c r="F2313" s="2" t="s">
        <v>12</v>
      </c>
      <c r="G2313" s="2" t="s">
        <v>12</v>
      </c>
      <c r="H2313" s="2" t="s">
        <v>12</v>
      </c>
      <c r="I2313" s="2" t="s">
        <v>12</v>
      </c>
      <c r="J2313" s="2" t="s">
        <v>12</v>
      </c>
      <c r="K2313" s="2" t="s">
        <v>12</v>
      </c>
    </row>
    <row r="2314" spans="1:11" ht="12.5" x14ac:dyDescent="0.25">
      <c r="A2314" s="3" t="e">
        <f ca="1"/>
        <v>#NAME?</v>
      </c>
      <c r="B2314" s="2" t="s">
        <v>12</v>
      </c>
      <c r="C2314" s="2" t="s">
        <v>12</v>
      </c>
      <c r="D2314" s="2" t="s">
        <v>12</v>
      </c>
      <c r="E2314" s="2" t="s">
        <v>12</v>
      </c>
      <c r="F2314" s="2" t="s">
        <v>12</v>
      </c>
      <c r="G2314" s="2" t="s">
        <v>12</v>
      </c>
      <c r="H2314" s="2" t="s">
        <v>12</v>
      </c>
      <c r="I2314" s="2" t="s">
        <v>12</v>
      </c>
      <c r="J2314" s="2" t="s">
        <v>12</v>
      </c>
      <c r="K2314" s="2" t="s">
        <v>12</v>
      </c>
    </row>
    <row r="2315" spans="1:11" ht="12.5" x14ac:dyDescent="0.25">
      <c r="A2315" s="3" t="e">
        <f ca="1"/>
        <v>#NAME?</v>
      </c>
      <c r="B2315" s="2" t="s">
        <v>12</v>
      </c>
      <c r="C2315" s="2" t="s">
        <v>12</v>
      </c>
      <c r="D2315" s="2" t="s">
        <v>12</v>
      </c>
      <c r="E2315" s="2" t="s">
        <v>12</v>
      </c>
      <c r="F2315" s="2" t="s">
        <v>12</v>
      </c>
      <c r="G2315" s="2" t="s">
        <v>12</v>
      </c>
      <c r="H2315" s="2" t="s">
        <v>12</v>
      </c>
      <c r="I2315" s="2" t="s">
        <v>12</v>
      </c>
      <c r="J2315" s="2" t="s">
        <v>12</v>
      </c>
      <c r="K2315" s="2" t="s">
        <v>12</v>
      </c>
    </row>
    <row r="2316" spans="1:11" ht="12.5" x14ac:dyDescent="0.25">
      <c r="A2316" s="3" t="e">
        <f ca="1"/>
        <v>#NAME?</v>
      </c>
      <c r="B2316" s="2" t="s">
        <v>12</v>
      </c>
      <c r="C2316" s="2" t="s">
        <v>12</v>
      </c>
      <c r="D2316" s="2" t="s">
        <v>12</v>
      </c>
      <c r="E2316" s="2" t="s">
        <v>12</v>
      </c>
      <c r="F2316" s="2" t="s">
        <v>12</v>
      </c>
      <c r="G2316" s="2" t="s">
        <v>12</v>
      </c>
      <c r="H2316" s="2" t="s">
        <v>12</v>
      </c>
      <c r="I2316" s="2" t="s">
        <v>12</v>
      </c>
      <c r="J2316" s="2" t="s">
        <v>12</v>
      </c>
      <c r="K2316" s="2" t="s">
        <v>12</v>
      </c>
    </row>
    <row r="2317" spans="1:11" ht="12.5" x14ac:dyDescent="0.25">
      <c r="A2317" s="3" t="e">
        <f ca="1"/>
        <v>#NAME?</v>
      </c>
      <c r="B2317" s="2" t="s">
        <v>12</v>
      </c>
      <c r="C2317" s="2" t="s">
        <v>12</v>
      </c>
      <c r="D2317" s="2" t="s">
        <v>12</v>
      </c>
      <c r="E2317" s="2" t="s">
        <v>12</v>
      </c>
      <c r="F2317" s="2" t="s">
        <v>12</v>
      </c>
      <c r="G2317" s="2" t="s">
        <v>12</v>
      </c>
      <c r="H2317" s="2" t="s">
        <v>12</v>
      </c>
      <c r="I2317" s="2" t="s">
        <v>12</v>
      </c>
      <c r="J2317" s="2" t="s">
        <v>12</v>
      </c>
      <c r="K2317" s="2" t="s">
        <v>12</v>
      </c>
    </row>
    <row r="2318" spans="1:11" ht="12.5" x14ac:dyDescent="0.25">
      <c r="A2318" s="3" t="e">
        <f ca="1"/>
        <v>#NAME?</v>
      </c>
      <c r="B2318" s="2" t="s">
        <v>12</v>
      </c>
      <c r="C2318" s="2" t="s">
        <v>12</v>
      </c>
      <c r="D2318" s="2" t="s">
        <v>12</v>
      </c>
      <c r="E2318" s="2" t="s">
        <v>12</v>
      </c>
      <c r="F2318" s="2" t="s">
        <v>12</v>
      </c>
      <c r="G2318" s="2" t="s">
        <v>12</v>
      </c>
      <c r="H2318" s="2" t="s">
        <v>12</v>
      </c>
      <c r="I2318" s="2" t="s">
        <v>12</v>
      </c>
      <c r="J2318" s="2" t="s">
        <v>12</v>
      </c>
      <c r="K2318" s="2" t="s">
        <v>12</v>
      </c>
    </row>
    <row r="2319" spans="1:11" ht="12.5" x14ac:dyDescent="0.25">
      <c r="A2319" s="3" t="e">
        <f ca="1"/>
        <v>#NAME?</v>
      </c>
      <c r="B2319" s="2" t="s">
        <v>12</v>
      </c>
      <c r="C2319" s="2" t="s">
        <v>12</v>
      </c>
      <c r="D2319" s="2" t="s">
        <v>12</v>
      </c>
      <c r="E2319" s="2" t="s">
        <v>12</v>
      </c>
      <c r="F2319" s="2" t="s">
        <v>12</v>
      </c>
      <c r="G2319" s="2" t="s">
        <v>12</v>
      </c>
      <c r="H2319" s="2" t="s">
        <v>12</v>
      </c>
      <c r="I2319" s="2" t="s">
        <v>12</v>
      </c>
      <c r="J2319" s="2" t="s">
        <v>12</v>
      </c>
      <c r="K2319" s="2" t="s">
        <v>12</v>
      </c>
    </row>
    <row r="2320" spans="1:11" ht="12.5" x14ac:dyDescent="0.25">
      <c r="A2320" s="3" t="e">
        <f ca="1"/>
        <v>#NAME?</v>
      </c>
      <c r="B2320" s="2" t="s">
        <v>12</v>
      </c>
      <c r="C2320" s="2" t="s">
        <v>12</v>
      </c>
      <c r="D2320" s="2" t="s">
        <v>12</v>
      </c>
      <c r="E2320" s="2" t="s">
        <v>12</v>
      </c>
      <c r="F2320" s="2" t="s">
        <v>12</v>
      </c>
      <c r="G2320" s="2" t="s">
        <v>12</v>
      </c>
      <c r="H2320" s="2" t="s">
        <v>12</v>
      </c>
      <c r="I2320" s="2" t="s">
        <v>12</v>
      </c>
      <c r="J2320" s="2" t="s">
        <v>12</v>
      </c>
      <c r="K2320" s="2" t="s">
        <v>12</v>
      </c>
    </row>
    <row r="2321" spans="1:11" ht="12.5" x14ac:dyDescent="0.25">
      <c r="A2321" s="3" t="e">
        <f ca="1"/>
        <v>#NAME?</v>
      </c>
      <c r="B2321" s="2" t="s">
        <v>12</v>
      </c>
      <c r="C2321" s="2" t="s">
        <v>12</v>
      </c>
      <c r="D2321" s="2" t="s">
        <v>12</v>
      </c>
      <c r="E2321" s="2" t="s">
        <v>12</v>
      </c>
      <c r="F2321" s="2" t="s">
        <v>12</v>
      </c>
      <c r="G2321" s="2" t="s">
        <v>12</v>
      </c>
      <c r="H2321" s="2" t="s">
        <v>12</v>
      </c>
      <c r="I2321" s="2" t="s">
        <v>12</v>
      </c>
      <c r="J2321" s="2" t="s">
        <v>12</v>
      </c>
      <c r="K2321" s="2" t="s">
        <v>12</v>
      </c>
    </row>
    <row r="2322" spans="1:11" ht="12.5" x14ac:dyDescent="0.25">
      <c r="A2322" s="3" t="e">
        <f ca="1"/>
        <v>#NAME?</v>
      </c>
      <c r="B2322" s="2" t="s">
        <v>12</v>
      </c>
      <c r="C2322" s="2" t="s">
        <v>12</v>
      </c>
      <c r="D2322" s="2" t="s">
        <v>12</v>
      </c>
      <c r="E2322" s="2" t="s">
        <v>12</v>
      </c>
      <c r="F2322" s="2" t="s">
        <v>12</v>
      </c>
      <c r="G2322" s="2" t="s">
        <v>12</v>
      </c>
      <c r="H2322" s="2" t="s">
        <v>12</v>
      </c>
      <c r="I2322" s="2" t="s">
        <v>12</v>
      </c>
      <c r="J2322" s="2" t="s">
        <v>12</v>
      </c>
      <c r="K2322" s="2" t="s">
        <v>12</v>
      </c>
    </row>
    <row r="2323" spans="1:11" ht="12.5" x14ac:dyDescent="0.25">
      <c r="A2323" s="3" t="e">
        <f ca="1"/>
        <v>#NAME?</v>
      </c>
      <c r="B2323" s="2" t="s">
        <v>12</v>
      </c>
      <c r="C2323" s="2" t="s">
        <v>12</v>
      </c>
      <c r="D2323" s="2" t="s">
        <v>12</v>
      </c>
      <c r="E2323" s="2" t="s">
        <v>12</v>
      </c>
      <c r="F2323" s="2" t="s">
        <v>12</v>
      </c>
      <c r="G2323" s="2" t="s">
        <v>12</v>
      </c>
      <c r="H2323" s="2" t="s">
        <v>12</v>
      </c>
      <c r="I2323" s="2" t="s">
        <v>12</v>
      </c>
      <c r="J2323" s="2" t="s">
        <v>12</v>
      </c>
      <c r="K2323" s="2" t="s">
        <v>12</v>
      </c>
    </row>
    <row r="2324" spans="1:11" ht="12.5" x14ac:dyDescent="0.25">
      <c r="A2324" s="3" t="e">
        <f ca="1"/>
        <v>#NAME?</v>
      </c>
      <c r="B2324" s="2" t="s">
        <v>12</v>
      </c>
      <c r="C2324" s="2" t="s">
        <v>12</v>
      </c>
      <c r="D2324" s="2" t="s">
        <v>12</v>
      </c>
      <c r="E2324" s="2" t="s">
        <v>12</v>
      </c>
      <c r="F2324" s="2" t="s">
        <v>12</v>
      </c>
      <c r="G2324" s="2" t="s">
        <v>12</v>
      </c>
      <c r="H2324" s="2" t="s">
        <v>12</v>
      </c>
      <c r="I2324" s="2" t="s">
        <v>12</v>
      </c>
      <c r="J2324" s="2" t="s">
        <v>12</v>
      </c>
      <c r="K2324" s="2" t="s">
        <v>12</v>
      </c>
    </row>
    <row r="2325" spans="1:11" ht="12.5" x14ac:dyDescent="0.25">
      <c r="A2325" s="3" t="e">
        <f ca="1"/>
        <v>#NAME?</v>
      </c>
      <c r="B2325" s="2" t="s">
        <v>12</v>
      </c>
      <c r="C2325" s="2" t="s">
        <v>12</v>
      </c>
      <c r="D2325" s="2" t="s">
        <v>12</v>
      </c>
      <c r="E2325" s="2" t="s">
        <v>12</v>
      </c>
      <c r="F2325" s="2" t="s">
        <v>12</v>
      </c>
      <c r="G2325" s="2" t="s">
        <v>12</v>
      </c>
      <c r="H2325" s="2" t="s">
        <v>12</v>
      </c>
      <c r="I2325" s="2" t="s">
        <v>12</v>
      </c>
      <c r="J2325" s="2" t="s">
        <v>12</v>
      </c>
      <c r="K2325" s="2" t="s">
        <v>12</v>
      </c>
    </row>
    <row r="2326" spans="1:11" ht="12.5" x14ac:dyDescent="0.25">
      <c r="A2326" s="3" t="e">
        <f ca="1"/>
        <v>#NAME?</v>
      </c>
      <c r="B2326" s="2" t="s">
        <v>12</v>
      </c>
      <c r="C2326" s="2" t="s">
        <v>12</v>
      </c>
      <c r="D2326" s="2" t="s">
        <v>12</v>
      </c>
      <c r="E2326" s="2" t="s">
        <v>12</v>
      </c>
      <c r="F2326" s="2" t="s">
        <v>12</v>
      </c>
      <c r="G2326" s="2" t="s">
        <v>12</v>
      </c>
      <c r="H2326" s="2" t="s">
        <v>12</v>
      </c>
      <c r="I2326" s="2" t="s">
        <v>12</v>
      </c>
      <c r="J2326" s="2" t="s">
        <v>12</v>
      </c>
      <c r="K2326" s="2" t="s">
        <v>12</v>
      </c>
    </row>
    <row r="2327" spans="1:11" ht="12.5" x14ac:dyDescent="0.25">
      <c r="A2327" s="3" t="e">
        <f ca="1"/>
        <v>#NAME?</v>
      </c>
      <c r="B2327" s="2" t="s">
        <v>12</v>
      </c>
      <c r="C2327" s="2" t="s">
        <v>12</v>
      </c>
      <c r="D2327" s="2" t="s">
        <v>12</v>
      </c>
      <c r="E2327" s="2" t="s">
        <v>12</v>
      </c>
      <c r="F2327" s="2" t="s">
        <v>12</v>
      </c>
      <c r="G2327" s="2" t="s">
        <v>12</v>
      </c>
      <c r="H2327" s="2" t="s">
        <v>12</v>
      </c>
      <c r="I2327" s="2" t="s">
        <v>12</v>
      </c>
      <c r="J2327" s="2" t="s">
        <v>12</v>
      </c>
      <c r="K2327" s="2" t="s">
        <v>12</v>
      </c>
    </row>
    <row r="2328" spans="1:11" ht="12.5" x14ac:dyDescent="0.25">
      <c r="A2328" s="3" t="e">
        <f ca="1"/>
        <v>#NAME?</v>
      </c>
      <c r="B2328" s="2" t="s">
        <v>12</v>
      </c>
      <c r="C2328" s="2" t="s">
        <v>12</v>
      </c>
      <c r="D2328" s="2" t="s">
        <v>12</v>
      </c>
      <c r="E2328" s="2" t="s">
        <v>12</v>
      </c>
      <c r="F2328" s="2" t="s">
        <v>12</v>
      </c>
      <c r="G2328" s="2" t="s">
        <v>12</v>
      </c>
      <c r="H2328" s="2" t="s">
        <v>12</v>
      </c>
      <c r="I2328" s="2" t="s">
        <v>12</v>
      </c>
      <c r="J2328" s="2" t="s">
        <v>12</v>
      </c>
      <c r="K2328" s="2" t="s">
        <v>12</v>
      </c>
    </row>
    <row r="2329" spans="1:11" ht="12.5" x14ac:dyDescent="0.25">
      <c r="A2329" s="3" t="e">
        <f ca="1"/>
        <v>#NAME?</v>
      </c>
      <c r="B2329" s="2" t="s">
        <v>12</v>
      </c>
      <c r="C2329" s="2" t="s">
        <v>12</v>
      </c>
      <c r="D2329" s="2" t="s">
        <v>12</v>
      </c>
      <c r="E2329" s="2" t="s">
        <v>12</v>
      </c>
      <c r="F2329" s="2" t="s">
        <v>12</v>
      </c>
      <c r="G2329" s="2" t="s">
        <v>12</v>
      </c>
      <c r="H2329" s="2" t="s">
        <v>12</v>
      </c>
      <c r="I2329" s="2" t="s">
        <v>12</v>
      </c>
      <c r="J2329" s="2" t="s">
        <v>12</v>
      </c>
      <c r="K2329" s="2" t="s">
        <v>12</v>
      </c>
    </row>
    <row r="2330" spans="1:11" ht="12.5" x14ac:dyDescent="0.25">
      <c r="A2330" s="3" t="e">
        <f ca="1"/>
        <v>#NAME?</v>
      </c>
      <c r="B2330" s="2" t="s">
        <v>12</v>
      </c>
      <c r="C2330" s="2" t="s">
        <v>12</v>
      </c>
      <c r="D2330" s="2" t="s">
        <v>12</v>
      </c>
      <c r="E2330" s="2" t="s">
        <v>12</v>
      </c>
      <c r="F2330" s="2" t="s">
        <v>12</v>
      </c>
      <c r="G2330" s="2" t="s">
        <v>12</v>
      </c>
      <c r="H2330" s="2" t="s">
        <v>12</v>
      </c>
      <c r="I2330" s="2" t="s">
        <v>12</v>
      </c>
      <c r="J2330" s="2" t="s">
        <v>12</v>
      </c>
      <c r="K2330" s="2" t="s">
        <v>12</v>
      </c>
    </row>
    <row r="2331" spans="1:11" ht="12.5" x14ac:dyDescent="0.25">
      <c r="A2331" s="3" t="e">
        <f ca="1"/>
        <v>#NAME?</v>
      </c>
      <c r="B2331" s="2" t="s">
        <v>12</v>
      </c>
      <c r="C2331" s="2" t="s">
        <v>12</v>
      </c>
      <c r="D2331" s="2" t="s">
        <v>12</v>
      </c>
      <c r="E2331" s="2" t="s">
        <v>12</v>
      </c>
      <c r="F2331" s="2" t="s">
        <v>12</v>
      </c>
      <c r="G2331" s="2" t="s">
        <v>12</v>
      </c>
      <c r="H2331" s="2" t="s">
        <v>12</v>
      </c>
      <c r="I2331" s="2" t="s">
        <v>12</v>
      </c>
      <c r="J2331" s="2" t="s">
        <v>12</v>
      </c>
      <c r="K2331" s="2" t="s">
        <v>12</v>
      </c>
    </row>
    <row r="2332" spans="1:11" ht="12.5" x14ac:dyDescent="0.25">
      <c r="A2332" s="3" t="e">
        <f ca="1"/>
        <v>#NAME?</v>
      </c>
      <c r="B2332" s="2" t="s">
        <v>12</v>
      </c>
      <c r="C2332" s="2" t="s">
        <v>12</v>
      </c>
      <c r="D2332" s="2" t="s">
        <v>12</v>
      </c>
      <c r="E2332" s="2" t="s">
        <v>12</v>
      </c>
      <c r="F2332" s="2" t="s">
        <v>12</v>
      </c>
      <c r="G2332" s="2" t="s">
        <v>12</v>
      </c>
      <c r="H2332" s="2" t="s">
        <v>12</v>
      </c>
      <c r="I2332" s="2" t="s">
        <v>12</v>
      </c>
      <c r="J2332" s="2" t="s">
        <v>12</v>
      </c>
      <c r="K2332" s="2" t="s">
        <v>12</v>
      </c>
    </row>
    <row r="2333" spans="1:11" ht="12.5" x14ac:dyDescent="0.25">
      <c r="A2333" s="3" t="e">
        <f ca="1"/>
        <v>#NAME?</v>
      </c>
      <c r="B2333" s="2" t="s">
        <v>12</v>
      </c>
      <c r="C2333" s="2" t="s">
        <v>12</v>
      </c>
      <c r="D2333" s="2" t="s">
        <v>12</v>
      </c>
      <c r="E2333" s="2" t="s">
        <v>12</v>
      </c>
      <c r="F2333" s="2" t="s">
        <v>12</v>
      </c>
      <c r="G2333" s="2" t="s">
        <v>12</v>
      </c>
      <c r="H2333" s="2" t="s">
        <v>12</v>
      </c>
      <c r="I2333" s="2" t="s">
        <v>12</v>
      </c>
      <c r="J2333" s="2" t="s">
        <v>12</v>
      </c>
      <c r="K2333" s="2" t="s">
        <v>12</v>
      </c>
    </row>
    <row r="2334" spans="1:11" ht="12.5" x14ac:dyDescent="0.25">
      <c r="A2334" s="3" t="e">
        <f ca="1"/>
        <v>#NAME?</v>
      </c>
      <c r="B2334" s="2" t="s">
        <v>12</v>
      </c>
      <c r="C2334" s="2" t="s">
        <v>12</v>
      </c>
      <c r="D2334" s="2" t="s">
        <v>12</v>
      </c>
      <c r="E2334" s="2" t="s">
        <v>12</v>
      </c>
      <c r="F2334" s="2" t="s">
        <v>12</v>
      </c>
      <c r="G2334" s="2" t="s">
        <v>12</v>
      </c>
      <c r="H2334" s="2" t="s">
        <v>12</v>
      </c>
      <c r="I2334" s="2" t="s">
        <v>12</v>
      </c>
      <c r="J2334" s="2" t="s">
        <v>12</v>
      </c>
      <c r="K2334" s="2" t="s">
        <v>12</v>
      </c>
    </row>
    <row r="2335" spans="1:11" ht="12.5" x14ac:dyDescent="0.25">
      <c r="A2335" s="3" t="e">
        <f ca="1"/>
        <v>#NAME?</v>
      </c>
      <c r="B2335" s="2" t="s">
        <v>12</v>
      </c>
      <c r="C2335" s="2" t="s">
        <v>12</v>
      </c>
      <c r="D2335" s="2" t="s">
        <v>12</v>
      </c>
      <c r="E2335" s="2" t="s">
        <v>12</v>
      </c>
      <c r="F2335" s="2" t="s">
        <v>12</v>
      </c>
      <c r="G2335" s="2" t="s">
        <v>12</v>
      </c>
      <c r="H2335" s="2" t="s">
        <v>12</v>
      </c>
      <c r="I2335" s="2" t="s">
        <v>12</v>
      </c>
      <c r="J2335" s="2" t="s">
        <v>12</v>
      </c>
      <c r="K2335" s="2" t="s">
        <v>12</v>
      </c>
    </row>
    <row r="2336" spans="1:11" ht="12.5" x14ac:dyDescent="0.25">
      <c r="A2336" s="3" t="e">
        <f ca="1"/>
        <v>#NAME?</v>
      </c>
      <c r="B2336" s="2" t="s">
        <v>12</v>
      </c>
      <c r="C2336" s="2" t="s">
        <v>12</v>
      </c>
      <c r="D2336" s="2" t="s">
        <v>12</v>
      </c>
      <c r="E2336" s="2" t="s">
        <v>12</v>
      </c>
      <c r="F2336" s="2" t="s">
        <v>12</v>
      </c>
      <c r="G2336" s="2" t="s">
        <v>12</v>
      </c>
      <c r="H2336" s="2" t="s">
        <v>12</v>
      </c>
      <c r="I2336" s="2" t="s">
        <v>12</v>
      </c>
      <c r="J2336" s="2" t="s">
        <v>12</v>
      </c>
      <c r="K2336" s="2" t="s">
        <v>12</v>
      </c>
    </row>
    <row r="2337" spans="1:11" ht="12.5" x14ac:dyDescent="0.25">
      <c r="A2337" s="3" t="e">
        <f ca="1"/>
        <v>#NAME?</v>
      </c>
      <c r="B2337" s="2" t="s">
        <v>12</v>
      </c>
      <c r="C2337" s="2" t="s">
        <v>12</v>
      </c>
      <c r="D2337" s="2" t="s">
        <v>12</v>
      </c>
      <c r="E2337" s="2" t="s">
        <v>12</v>
      </c>
      <c r="F2337" s="2" t="s">
        <v>12</v>
      </c>
      <c r="G2337" s="2" t="s">
        <v>12</v>
      </c>
      <c r="H2337" s="2" t="s">
        <v>12</v>
      </c>
      <c r="I2337" s="2" t="s">
        <v>12</v>
      </c>
      <c r="J2337" s="2" t="s">
        <v>12</v>
      </c>
      <c r="K2337" s="2" t="s">
        <v>12</v>
      </c>
    </row>
    <row r="2338" spans="1:11" ht="12.5" x14ac:dyDescent="0.25">
      <c r="A2338" s="3" t="e">
        <f ca="1"/>
        <v>#NAME?</v>
      </c>
      <c r="B2338" s="2" t="s">
        <v>12</v>
      </c>
      <c r="C2338" s="2" t="s">
        <v>12</v>
      </c>
      <c r="D2338" s="2" t="s">
        <v>12</v>
      </c>
      <c r="E2338" s="2" t="s">
        <v>12</v>
      </c>
      <c r="F2338" s="2" t="s">
        <v>12</v>
      </c>
      <c r="G2338" s="2" t="s">
        <v>12</v>
      </c>
      <c r="H2338" s="2" t="s">
        <v>12</v>
      </c>
      <c r="I2338" s="2" t="s">
        <v>12</v>
      </c>
      <c r="J2338" s="2" t="s">
        <v>12</v>
      </c>
      <c r="K2338" s="2" t="s">
        <v>12</v>
      </c>
    </row>
    <row r="2339" spans="1:11" ht="12.5" x14ac:dyDescent="0.25">
      <c r="A2339" s="3" t="e">
        <f ca="1"/>
        <v>#NAME?</v>
      </c>
      <c r="B2339" s="2" t="s">
        <v>12</v>
      </c>
      <c r="C2339" s="2" t="s">
        <v>12</v>
      </c>
      <c r="D2339" s="2" t="s">
        <v>12</v>
      </c>
      <c r="E2339" s="2" t="s">
        <v>12</v>
      </c>
      <c r="F2339" s="2" t="s">
        <v>12</v>
      </c>
      <c r="G2339" s="2" t="s">
        <v>12</v>
      </c>
      <c r="H2339" s="2" t="s">
        <v>12</v>
      </c>
      <c r="I2339" s="2" t="s">
        <v>12</v>
      </c>
      <c r="J2339" s="2" t="s">
        <v>12</v>
      </c>
      <c r="K2339" s="2" t="s">
        <v>12</v>
      </c>
    </row>
    <row r="2340" spans="1:11" ht="12.5" x14ac:dyDescent="0.25">
      <c r="A2340" s="3" t="e">
        <f ca="1"/>
        <v>#NAME?</v>
      </c>
      <c r="B2340" s="2" t="s">
        <v>12</v>
      </c>
      <c r="C2340" s="2" t="s">
        <v>12</v>
      </c>
      <c r="D2340" s="2" t="s">
        <v>12</v>
      </c>
      <c r="E2340" s="2" t="s">
        <v>12</v>
      </c>
      <c r="F2340" s="2" t="s">
        <v>12</v>
      </c>
      <c r="G2340" s="2" t="s">
        <v>12</v>
      </c>
      <c r="H2340" s="2" t="s">
        <v>12</v>
      </c>
      <c r="I2340" s="2" t="s">
        <v>12</v>
      </c>
      <c r="J2340" s="2" t="s">
        <v>12</v>
      </c>
      <c r="K2340" s="2" t="s">
        <v>12</v>
      </c>
    </row>
    <row r="2341" spans="1:11" ht="12.5" x14ac:dyDescent="0.25">
      <c r="A2341" s="3" t="e">
        <f ca="1"/>
        <v>#NAME?</v>
      </c>
      <c r="B2341" s="2" t="s">
        <v>12</v>
      </c>
      <c r="C2341" s="2" t="s">
        <v>12</v>
      </c>
      <c r="D2341" s="2" t="s">
        <v>12</v>
      </c>
      <c r="E2341" s="2" t="s">
        <v>12</v>
      </c>
      <c r="F2341" s="2" t="s">
        <v>12</v>
      </c>
      <c r="G2341" s="2" t="s">
        <v>12</v>
      </c>
      <c r="H2341" s="2" t="s">
        <v>12</v>
      </c>
      <c r="I2341" s="2" t="s">
        <v>12</v>
      </c>
      <c r="J2341" s="2" t="s">
        <v>12</v>
      </c>
      <c r="K2341" s="2" t="s">
        <v>12</v>
      </c>
    </row>
    <row r="2342" spans="1:11" ht="12.5" x14ac:dyDescent="0.25">
      <c r="A2342" s="3" t="e">
        <f ca="1"/>
        <v>#NAME?</v>
      </c>
      <c r="B2342" s="2" t="s">
        <v>12</v>
      </c>
      <c r="C2342" s="2" t="s">
        <v>12</v>
      </c>
      <c r="D2342" s="2" t="s">
        <v>12</v>
      </c>
      <c r="E2342" s="2" t="s">
        <v>12</v>
      </c>
      <c r="F2342" s="2" t="s">
        <v>12</v>
      </c>
      <c r="G2342" s="2" t="s">
        <v>12</v>
      </c>
      <c r="H2342" s="2" t="s">
        <v>12</v>
      </c>
      <c r="I2342" s="2" t="s">
        <v>12</v>
      </c>
      <c r="J2342" s="2" t="s">
        <v>12</v>
      </c>
      <c r="K2342" s="2" t="s">
        <v>12</v>
      </c>
    </row>
    <row r="2343" spans="1:11" ht="12.5" x14ac:dyDescent="0.25">
      <c r="A2343" s="3" t="e">
        <f ca="1"/>
        <v>#NAME?</v>
      </c>
      <c r="B2343" s="2" t="s">
        <v>12</v>
      </c>
      <c r="C2343" s="2" t="s">
        <v>12</v>
      </c>
      <c r="D2343" s="2" t="s">
        <v>12</v>
      </c>
      <c r="E2343" s="2" t="s">
        <v>12</v>
      </c>
      <c r="F2343" s="2" t="s">
        <v>12</v>
      </c>
      <c r="G2343" s="2" t="s">
        <v>12</v>
      </c>
      <c r="H2343" s="2" t="s">
        <v>12</v>
      </c>
      <c r="I2343" s="2" t="s">
        <v>12</v>
      </c>
      <c r="J2343" s="2" t="s">
        <v>12</v>
      </c>
      <c r="K2343" s="2" t="s">
        <v>12</v>
      </c>
    </row>
    <row r="2344" spans="1:11" ht="12.5" x14ac:dyDescent="0.25">
      <c r="A2344" s="3" t="e">
        <f ca="1"/>
        <v>#NAME?</v>
      </c>
      <c r="B2344" s="2" t="s">
        <v>12</v>
      </c>
      <c r="C2344" s="2" t="s">
        <v>12</v>
      </c>
      <c r="D2344" s="2" t="s">
        <v>12</v>
      </c>
      <c r="E2344" s="2" t="s">
        <v>12</v>
      </c>
      <c r="F2344" s="2" t="s">
        <v>12</v>
      </c>
      <c r="G2344" s="2" t="s">
        <v>12</v>
      </c>
      <c r="H2344" s="2" t="s">
        <v>12</v>
      </c>
      <c r="I2344" s="2" t="s">
        <v>12</v>
      </c>
      <c r="J2344" s="2" t="s">
        <v>12</v>
      </c>
      <c r="K2344" s="2" t="s">
        <v>12</v>
      </c>
    </row>
    <row r="2345" spans="1:11" ht="12.5" x14ac:dyDescent="0.25">
      <c r="A2345" s="3" t="e">
        <f ca="1"/>
        <v>#NAME?</v>
      </c>
      <c r="B2345" s="2" t="s">
        <v>12</v>
      </c>
      <c r="C2345" s="2" t="s">
        <v>12</v>
      </c>
      <c r="D2345" s="2" t="s">
        <v>12</v>
      </c>
      <c r="E2345" s="2" t="s">
        <v>12</v>
      </c>
      <c r="F2345" s="2" t="s">
        <v>12</v>
      </c>
      <c r="G2345" s="2" t="s">
        <v>12</v>
      </c>
      <c r="H2345" s="2" t="s">
        <v>12</v>
      </c>
      <c r="I2345" s="2" t="s">
        <v>12</v>
      </c>
      <c r="J2345" s="2" t="s">
        <v>12</v>
      </c>
      <c r="K2345" s="2" t="s">
        <v>12</v>
      </c>
    </row>
    <row r="2346" spans="1:11" ht="12.5" x14ac:dyDescent="0.25">
      <c r="A2346" s="3" t="e">
        <f ca="1"/>
        <v>#NAME?</v>
      </c>
      <c r="B2346" s="2" t="s">
        <v>12</v>
      </c>
      <c r="C2346" s="2" t="s">
        <v>12</v>
      </c>
      <c r="D2346" s="2" t="s">
        <v>12</v>
      </c>
      <c r="E2346" s="2" t="s">
        <v>12</v>
      </c>
      <c r="F2346" s="2" t="s">
        <v>12</v>
      </c>
      <c r="G2346" s="2" t="s">
        <v>12</v>
      </c>
      <c r="H2346" s="2" t="s">
        <v>12</v>
      </c>
      <c r="I2346" s="2" t="s">
        <v>12</v>
      </c>
      <c r="J2346" s="2" t="s">
        <v>12</v>
      </c>
      <c r="K2346" s="2" t="s">
        <v>12</v>
      </c>
    </row>
    <row r="2347" spans="1:11" ht="12.5" x14ac:dyDescent="0.25">
      <c r="A2347" s="3" t="e">
        <f ca="1"/>
        <v>#NAME?</v>
      </c>
      <c r="B2347" s="2" t="s">
        <v>12</v>
      </c>
      <c r="C2347" s="2" t="s">
        <v>12</v>
      </c>
      <c r="D2347" s="2" t="s">
        <v>12</v>
      </c>
      <c r="E2347" s="2" t="s">
        <v>12</v>
      </c>
      <c r="F2347" s="2" t="s">
        <v>12</v>
      </c>
      <c r="G2347" s="2" t="s">
        <v>12</v>
      </c>
      <c r="H2347" s="2" t="s">
        <v>12</v>
      </c>
      <c r="I2347" s="2" t="s">
        <v>12</v>
      </c>
      <c r="J2347" s="2" t="s">
        <v>12</v>
      </c>
      <c r="K2347" s="2" t="s">
        <v>12</v>
      </c>
    </row>
    <row r="2348" spans="1:11" ht="12.5" x14ac:dyDescent="0.25">
      <c r="A2348" s="3" t="e">
        <f ca="1"/>
        <v>#NAME?</v>
      </c>
      <c r="B2348" s="2" t="s">
        <v>12</v>
      </c>
      <c r="C2348" s="2" t="s">
        <v>12</v>
      </c>
      <c r="D2348" s="2" t="s">
        <v>12</v>
      </c>
      <c r="E2348" s="2" t="s">
        <v>12</v>
      </c>
      <c r="F2348" s="2" t="s">
        <v>12</v>
      </c>
      <c r="G2348" s="2" t="s">
        <v>12</v>
      </c>
      <c r="H2348" s="2" t="s">
        <v>12</v>
      </c>
      <c r="I2348" s="2" t="s">
        <v>12</v>
      </c>
      <c r="J2348" s="2" t="s">
        <v>12</v>
      </c>
      <c r="K2348" s="2" t="s">
        <v>12</v>
      </c>
    </row>
    <row r="2349" spans="1:11" ht="12.5" x14ac:dyDescent="0.25">
      <c r="A2349" s="3" t="e">
        <f ca="1"/>
        <v>#NAME?</v>
      </c>
      <c r="B2349" s="2" t="s">
        <v>12</v>
      </c>
      <c r="C2349" s="2" t="s">
        <v>12</v>
      </c>
      <c r="D2349" s="2" t="s">
        <v>12</v>
      </c>
      <c r="E2349" s="2" t="s">
        <v>12</v>
      </c>
      <c r="F2349" s="2" t="s">
        <v>12</v>
      </c>
      <c r="G2349" s="2" t="s">
        <v>12</v>
      </c>
      <c r="H2349" s="2" t="s">
        <v>12</v>
      </c>
      <c r="I2349" s="2" t="s">
        <v>12</v>
      </c>
      <c r="J2349" s="2" t="s">
        <v>12</v>
      </c>
      <c r="K2349" s="2" t="s">
        <v>12</v>
      </c>
    </row>
    <row r="2350" spans="1:11" ht="12.5" x14ac:dyDescent="0.25">
      <c r="A2350" s="3" t="e">
        <f ca="1"/>
        <v>#NAME?</v>
      </c>
      <c r="B2350" s="2" t="s">
        <v>12</v>
      </c>
      <c r="C2350" s="2" t="s">
        <v>12</v>
      </c>
      <c r="D2350" s="2" t="s">
        <v>12</v>
      </c>
      <c r="E2350" s="2" t="s">
        <v>12</v>
      </c>
      <c r="F2350" s="2" t="s">
        <v>12</v>
      </c>
      <c r="G2350" s="2" t="s">
        <v>12</v>
      </c>
      <c r="H2350" s="2" t="s">
        <v>12</v>
      </c>
      <c r="I2350" s="2" t="s">
        <v>12</v>
      </c>
      <c r="J2350" s="2" t="s">
        <v>12</v>
      </c>
      <c r="K2350" s="2" t="s">
        <v>12</v>
      </c>
    </row>
    <row r="2351" spans="1:11" ht="12.5" x14ac:dyDescent="0.25">
      <c r="A2351" s="3" t="e">
        <f ca="1"/>
        <v>#NAME?</v>
      </c>
      <c r="B2351" s="2" t="s">
        <v>12</v>
      </c>
      <c r="C2351" s="2" t="s">
        <v>12</v>
      </c>
      <c r="D2351" s="2" t="s">
        <v>12</v>
      </c>
      <c r="E2351" s="2" t="s">
        <v>12</v>
      </c>
      <c r="F2351" s="2" t="s">
        <v>12</v>
      </c>
      <c r="G2351" s="2" t="s">
        <v>12</v>
      </c>
      <c r="H2351" s="2" t="s">
        <v>12</v>
      </c>
      <c r="I2351" s="2" t="s">
        <v>12</v>
      </c>
      <c r="J2351" s="2" t="s">
        <v>12</v>
      </c>
      <c r="K2351" s="2" t="s">
        <v>12</v>
      </c>
    </row>
    <row r="2352" spans="1:11" ht="12.5" x14ac:dyDescent="0.25">
      <c r="A2352" s="3" t="e">
        <f ca="1"/>
        <v>#NAME?</v>
      </c>
      <c r="B2352" s="2" t="s">
        <v>12</v>
      </c>
      <c r="C2352" s="2" t="s">
        <v>12</v>
      </c>
      <c r="D2352" s="2" t="s">
        <v>12</v>
      </c>
      <c r="E2352" s="2" t="s">
        <v>12</v>
      </c>
      <c r="F2352" s="2" t="s">
        <v>12</v>
      </c>
      <c r="G2352" s="2" t="s">
        <v>12</v>
      </c>
      <c r="H2352" s="2" t="s">
        <v>12</v>
      </c>
      <c r="I2352" s="2" t="s">
        <v>12</v>
      </c>
      <c r="J2352" s="2" t="s">
        <v>12</v>
      </c>
      <c r="K2352" s="2" t="s">
        <v>12</v>
      </c>
    </row>
    <row r="2353" spans="1:11" ht="12.5" x14ac:dyDescent="0.25">
      <c r="A2353" s="3" t="e">
        <f ca="1"/>
        <v>#NAME?</v>
      </c>
      <c r="B2353" s="2" t="s">
        <v>12</v>
      </c>
      <c r="C2353" s="2" t="s">
        <v>12</v>
      </c>
      <c r="D2353" s="2" t="s">
        <v>12</v>
      </c>
      <c r="E2353" s="2" t="s">
        <v>12</v>
      </c>
      <c r="F2353" s="2" t="s">
        <v>12</v>
      </c>
      <c r="G2353" s="2" t="s">
        <v>12</v>
      </c>
      <c r="H2353" s="2" t="s">
        <v>12</v>
      </c>
      <c r="I2353" s="2" t="s">
        <v>12</v>
      </c>
      <c r="J2353" s="2" t="s">
        <v>12</v>
      </c>
      <c r="K2353" s="2" t="s">
        <v>12</v>
      </c>
    </row>
    <row r="2354" spans="1:11" ht="12.5" x14ac:dyDescent="0.25">
      <c r="A2354" s="3" t="e">
        <f ca="1"/>
        <v>#NAME?</v>
      </c>
      <c r="B2354" s="2" t="s">
        <v>12</v>
      </c>
      <c r="C2354" s="2" t="s">
        <v>12</v>
      </c>
      <c r="D2354" s="2" t="s">
        <v>12</v>
      </c>
      <c r="E2354" s="2" t="s">
        <v>12</v>
      </c>
      <c r="F2354" s="2" t="s">
        <v>12</v>
      </c>
      <c r="G2354" s="2" t="s">
        <v>12</v>
      </c>
      <c r="H2354" s="2" t="s">
        <v>12</v>
      </c>
      <c r="I2354" s="2" t="s">
        <v>12</v>
      </c>
      <c r="J2354" s="2" t="s">
        <v>12</v>
      </c>
      <c r="K2354" s="2" t="s">
        <v>12</v>
      </c>
    </row>
    <row r="2355" spans="1:11" ht="12.5" x14ac:dyDescent="0.25">
      <c r="A2355" s="3" t="e">
        <f ca="1"/>
        <v>#NAME?</v>
      </c>
      <c r="B2355" s="2" t="s">
        <v>12</v>
      </c>
      <c r="C2355" s="2" t="s">
        <v>12</v>
      </c>
      <c r="D2355" s="2" t="s">
        <v>12</v>
      </c>
      <c r="E2355" s="2" t="s">
        <v>12</v>
      </c>
      <c r="F2355" s="2" t="s">
        <v>12</v>
      </c>
      <c r="G2355" s="2" t="s">
        <v>12</v>
      </c>
      <c r="H2355" s="2" t="s">
        <v>12</v>
      </c>
      <c r="I2355" s="2" t="s">
        <v>12</v>
      </c>
      <c r="J2355" s="2" t="s">
        <v>12</v>
      </c>
      <c r="K2355" s="2" t="s">
        <v>12</v>
      </c>
    </row>
    <row r="2356" spans="1:11" ht="12.5" x14ac:dyDescent="0.25">
      <c r="A2356" s="3" t="e">
        <f ca="1"/>
        <v>#NAME?</v>
      </c>
      <c r="B2356" s="2" t="s">
        <v>12</v>
      </c>
      <c r="C2356" s="2" t="s">
        <v>12</v>
      </c>
      <c r="D2356" s="2" t="s">
        <v>12</v>
      </c>
      <c r="E2356" s="2" t="s">
        <v>12</v>
      </c>
      <c r="F2356" s="2" t="s">
        <v>12</v>
      </c>
      <c r="G2356" s="2" t="s">
        <v>12</v>
      </c>
      <c r="H2356" s="2" t="s">
        <v>12</v>
      </c>
      <c r="I2356" s="2" t="s">
        <v>12</v>
      </c>
      <c r="J2356" s="2" t="s">
        <v>12</v>
      </c>
      <c r="K2356" s="2" t="s">
        <v>12</v>
      </c>
    </row>
    <row r="2357" spans="1:11" ht="12.5" x14ac:dyDescent="0.25">
      <c r="A2357" s="3" t="e">
        <f ca="1"/>
        <v>#NAME?</v>
      </c>
      <c r="B2357" s="2" t="s">
        <v>12</v>
      </c>
      <c r="C2357" s="2" t="s">
        <v>12</v>
      </c>
      <c r="D2357" s="2" t="s">
        <v>12</v>
      </c>
      <c r="E2357" s="2" t="s">
        <v>12</v>
      </c>
      <c r="F2357" s="2" t="s">
        <v>12</v>
      </c>
      <c r="G2357" s="2" t="s">
        <v>12</v>
      </c>
      <c r="H2357" s="2" t="s">
        <v>12</v>
      </c>
      <c r="I2357" s="2" t="s">
        <v>12</v>
      </c>
      <c r="J2357" s="2" t="s">
        <v>12</v>
      </c>
      <c r="K2357" s="2" t="s">
        <v>12</v>
      </c>
    </row>
    <row r="2358" spans="1:11" ht="12.5" x14ac:dyDescent="0.25">
      <c r="A2358" s="3" t="e">
        <f ca="1"/>
        <v>#NAME?</v>
      </c>
      <c r="B2358" s="2" t="s">
        <v>12</v>
      </c>
      <c r="C2358" s="2" t="s">
        <v>12</v>
      </c>
      <c r="D2358" s="2" t="s">
        <v>12</v>
      </c>
      <c r="E2358" s="2" t="s">
        <v>12</v>
      </c>
      <c r="F2358" s="2" t="s">
        <v>12</v>
      </c>
      <c r="G2358" s="2" t="s">
        <v>12</v>
      </c>
      <c r="H2358" s="2" t="s">
        <v>12</v>
      </c>
      <c r="I2358" s="2" t="s">
        <v>12</v>
      </c>
      <c r="J2358" s="2" t="s">
        <v>12</v>
      </c>
      <c r="K2358" s="2" t="s">
        <v>12</v>
      </c>
    </row>
    <row r="2359" spans="1:11" ht="12.5" x14ac:dyDescent="0.25">
      <c r="A2359" s="3" t="e">
        <f ca="1"/>
        <v>#NAME?</v>
      </c>
      <c r="B2359" s="2" t="s">
        <v>12</v>
      </c>
      <c r="C2359" s="2" t="s">
        <v>12</v>
      </c>
      <c r="D2359" s="2" t="s">
        <v>12</v>
      </c>
      <c r="E2359" s="2" t="s">
        <v>12</v>
      </c>
      <c r="F2359" s="2" t="s">
        <v>12</v>
      </c>
      <c r="G2359" s="2" t="s">
        <v>12</v>
      </c>
      <c r="H2359" s="2" t="s">
        <v>12</v>
      </c>
      <c r="I2359" s="2" t="s">
        <v>12</v>
      </c>
      <c r="J2359" s="2" t="s">
        <v>12</v>
      </c>
      <c r="K2359" s="2" t="s">
        <v>12</v>
      </c>
    </row>
    <row r="2360" spans="1:11" ht="12.5" x14ac:dyDescent="0.25">
      <c r="A2360" s="3" t="e">
        <f ca="1"/>
        <v>#NAME?</v>
      </c>
      <c r="B2360" s="2" t="s">
        <v>12</v>
      </c>
      <c r="C2360" s="2" t="s">
        <v>12</v>
      </c>
      <c r="D2360" s="2" t="s">
        <v>12</v>
      </c>
      <c r="E2360" s="2" t="s">
        <v>12</v>
      </c>
      <c r="F2360" s="2" t="s">
        <v>12</v>
      </c>
      <c r="G2360" s="2" t="s">
        <v>12</v>
      </c>
      <c r="H2360" s="2" t="s">
        <v>12</v>
      </c>
      <c r="I2360" s="2" t="s">
        <v>12</v>
      </c>
      <c r="J2360" s="2" t="s">
        <v>12</v>
      </c>
      <c r="K2360" s="2" t="s">
        <v>12</v>
      </c>
    </row>
    <row r="2361" spans="1:11" ht="12.5" x14ac:dyDescent="0.25">
      <c r="A2361" s="3" t="e">
        <f ca="1"/>
        <v>#NAME?</v>
      </c>
      <c r="B2361" s="2" t="s">
        <v>12</v>
      </c>
      <c r="C2361" s="2" t="s">
        <v>12</v>
      </c>
      <c r="D2361" s="2" t="s">
        <v>12</v>
      </c>
      <c r="E2361" s="2" t="s">
        <v>12</v>
      </c>
      <c r="F2361" s="2" t="s">
        <v>12</v>
      </c>
      <c r="G2361" s="2" t="s">
        <v>12</v>
      </c>
      <c r="H2361" s="2" t="s">
        <v>12</v>
      </c>
      <c r="I2361" s="2" t="s">
        <v>12</v>
      </c>
      <c r="J2361" s="2" t="s">
        <v>12</v>
      </c>
      <c r="K2361" s="2" t="s">
        <v>12</v>
      </c>
    </row>
    <row r="2362" spans="1:11" ht="12.5" x14ac:dyDescent="0.25">
      <c r="A2362" s="3" t="e">
        <f ca="1"/>
        <v>#NAME?</v>
      </c>
      <c r="B2362" s="2" t="s">
        <v>12</v>
      </c>
      <c r="C2362" s="2" t="s">
        <v>12</v>
      </c>
      <c r="D2362" s="2" t="s">
        <v>12</v>
      </c>
      <c r="E2362" s="2" t="s">
        <v>12</v>
      </c>
      <c r="F2362" s="2" t="s">
        <v>12</v>
      </c>
      <c r="G2362" s="2" t="s">
        <v>12</v>
      </c>
      <c r="H2362" s="2" t="s">
        <v>12</v>
      </c>
      <c r="I2362" s="2" t="s">
        <v>12</v>
      </c>
      <c r="J2362" s="2" t="s">
        <v>12</v>
      </c>
      <c r="K2362" s="2" t="s">
        <v>12</v>
      </c>
    </row>
    <row r="2363" spans="1:11" ht="12.5" x14ac:dyDescent="0.25">
      <c r="A2363" s="3" t="e">
        <f ca="1"/>
        <v>#NAME?</v>
      </c>
      <c r="B2363" s="2" t="s">
        <v>12</v>
      </c>
      <c r="C2363" s="2" t="s">
        <v>12</v>
      </c>
      <c r="D2363" s="2" t="s">
        <v>12</v>
      </c>
      <c r="E2363" s="2" t="s">
        <v>12</v>
      </c>
      <c r="F2363" s="2" t="s">
        <v>12</v>
      </c>
      <c r="G2363" s="2" t="s">
        <v>12</v>
      </c>
      <c r="H2363" s="2" t="s">
        <v>12</v>
      </c>
      <c r="I2363" s="2" t="s">
        <v>12</v>
      </c>
      <c r="J2363" s="2" t="s">
        <v>12</v>
      </c>
      <c r="K2363" s="2" t="s">
        <v>12</v>
      </c>
    </row>
    <row r="2364" spans="1:11" ht="12.5" x14ac:dyDescent="0.25">
      <c r="A2364" s="3" t="e">
        <f ca="1"/>
        <v>#NAME?</v>
      </c>
      <c r="B2364" s="2" t="s">
        <v>12</v>
      </c>
      <c r="C2364" s="2" t="s">
        <v>12</v>
      </c>
      <c r="D2364" s="2" t="s">
        <v>12</v>
      </c>
      <c r="E2364" s="2" t="s">
        <v>12</v>
      </c>
      <c r="F2364" s="2" t="s">
        <v>12</v>
      </c>
      <c r="G2364" s="2" t="s">
        <v>12</v>
      </c>
      <c r="H2364" s="2" t="s">
        <v>12</v>
      </c>
      <c r="I2364" s="2" t="s">
        <v>12</v>
      </c>
      <c r="J2364" s="2" t="s">
        <v>12</v>
      </c>
      <c r="K2364" s="2" t="s">
        <v>12</v>
      </c>
    </row>
    <row r="2365" spans="1:11" ht="12.5" x14ac:dyDescent="0.25">
      <c r="A2365" s="3" t="e">
        <f ca="1"/>
        <v>#NAME?</v>
      </c>
      <c r="B2365" s="2" t="s">
        <v>12</v>
      </c>
      <c r="C2365" s="2" t="s">
        <v>12</v>
      </c>
      <c r="D2365" s="2" t="s">
        <v>12</v>
      </c>
      <c r="E2365" s="2" t="s">
        <v>12</v>
      </c>
      <c r="F2365" s="2" t="s">
        <v>12</v>
      </c>
      <c r="G2365" s="2" t="s">
        <v>12</v>
      </c>
      <c r="H2365" s="2" t="s">
        <v>12</v>
      </c>
      <c r="I2365" s="2" t="s">
        <v>12</v>
      </c>
      <c r="J2365" s="2" t="s">
        <v>12</v>
      </c>
      <c r="K2365" s="2" t="s">
        <v>12</v>
      </c>
    </row>
    <row r="2366" spans="1:11" ht="12.5" x14ac:dyDescent="0.25">
      <c r="A2366" s="3" t="e">
        <f ca="1"/>
        <v>#NAME?</v>
      </c>
      <c r="B2366" s="2" t="s">
        <v>12</v>
      </c>
      <c r="C2366" s="2" t="s">
        <v>12</v>
      </c>
      <c r="D2366" s="2" t="s">
        <v>12</v>
      </c>
      <c r="E2366" s="2" t="s">
        <v>12</v>
      </c>
      <c r="F2366" s="2" t="s">
        <v>12</v>
      </c>
      <c r="G2366" s="2" t="s">
        <v>12</v>
      </c>
      <c r="H2366" s="2" t="s">
        <v>12</v>
      </c>
      <c r="I2366" s="2" t="s">
        <v>12</v>
      </c>
      <c r="J2366" s="2" t="s">
        <v>12</v>
      </c>
      <c r="K2366" s="2" t="s">
        <v>12</v>
      </c>
    </row>
    <row r="2367" spans="1:11" ht="12.5" x14ac:dyDescent="0.25">
      <c r="A2367" s="3" t="e">
        <f ca="1"/>
        <v>#NAME?</v>
      </c>
      <c r="B2367" s="2" t="s">
        <v>12</v>
      </c>
      <c r="C2367" s="2" t="s">
        <v>12</v>
      </c>
      <c r="D2367" s="2" t="s">
        <v>12</v>
      </c>
      <c r="E2367" s="2" t="s">
        <v>12</v>
      </c>
      <c r="F2367" s="2" t="s">
        <v>12</v>
      </c>
      <c r="G2367" s="2" t="s">
        <v>12</v>
      </c>
      <c r="H2367" s="2" t="s">
        <v>12</v>
      </c>
      <c r="I2367" s="2" t="s">
        <v>12</v>
      </c>
      <c r="J2367" s="2" t="s">
        <v>12</v>
      </c>
      <c r="K2367" s="2" t="s">
        <v>12</v>
      </c>
    </row>
    <row r="2368" spans="1:11" ht="12.5" x14ac:dyDescent="0.25">
      <c r="A2368" s="3" t="e">
        <f ca="1"/>
        <v>#NAME?</v>
      </c>
      <c r="B2368" s="2" t="s">
        <v>12</v>
      </c>
      <c r="C2368" s="2" t="s">
        <v>12</v>
      </c>
      <c r="D2368" s="2" t="s">
        <v>12</v>
      </c>
      <c r="E2368" s="2" t="s">
        <v>12</v>
      </c>
      <c r="F2368" s="2" t="s">
        <v>12</v>
      </c>
      <c r="G2368" s="2" t="s">
        <v>12</v>
      </c>
      <c r="H2368" s="2" t="s">
        <v>12</v>
      </c>
      <c r="I2368" s="2" t="s">
        <v>12</v>
      </c>
      <c r="J2368" s="2" t="s">
        <v>12</v>
      </c>
      <c r="K2368" s="2" t="s">
        <v>12</v>
      </c>
    </row>
    <row r="2369" spans="1:11" ht="12.5" x14ac:dyDescent="0.25">
      <c r="A2369" s="3" t="e">
        <f ca="1"/>
        <v>#NAME?</v>
      </c>
      <c r="B2369" s="2" t="s">
        <v>12</v>
      </c>
      <c r="C2369" s="2" t="s">
        <v>12</v>
      </c>
      <c r="D2369" s="2" t="s">
        <v>12</v>
      </c>
      <c r="E2369" s="2" t="s">
        <v>12</v>
      </c>
      <c r="F2369" s="2" t="s">
        <v>12</v>
      </c>
      <c r="G2369" s="2" t="s">
        <v>12</v>
      </c>
      <c r="H2369" s="2" t="s">
        <v>12</v>
      </c>
      <c r="I2369" s="2" t="s">
        <v>12</v>
      </c>
      <c r="J2369" s="2" t="s">
        <v>12</v>
      </c>
      <c r="K2369" s="2" t="s">
        <v>12</v>
      </c>
    </row>
    <row r="2370" spans="1:11" ht="12.5" x14ac:dyDescent="0.25">
      <c r="A2370" s="3" t="e">
        <f ca="1"/>
        <v>#NAME?</v>
      </c>
      <c r="B2370" s="2" t="s">
        <v>12</v>
      </c>
      <c r="C2370" s="2" t="s">
        <v>12</v>
      </c>
      <c r="D2370" s="2" t="s">
        <v>12</v>
      </c>
      <c r="E2370" s="2" t="s">
        <v>12</v>
      </c>
      <c r="F2370" s="2" t="s">
        <v>12</v>
      </c>
      <c r="G2370" s="2" t="s">
        <v>12</v>
      </c>
      <c r="H2370" s="2" t="s">
        <v>12</v>
      </c>
      <c r="I2370" s="2" t="s">
        <v>12</v>
      </c>
      <c r="J2370" s="2" t="s">
        <v>12</v>
      </c>
      <c r="K2370" s="2" t="s">
        <v>12</v>
      </c>
    </row>
    <row r="2371" spans="1:11" ht="12.5" x14ac:dyDescent="0.25">
      <c r="A2371" s="3" t="e">
        <f ca="1"/>
        <v>#NAME?</v>
      </c>
      <c r="B2371" s="2" t="s">
        <v>12</v>
      </c>
      <c r="C2371" s="2" t="s">
        <v>12</v>
      </c>
      <c r="D2371" s="2" t="s">
        <v>12</v>
      </c>
      <c r="E2371" s="2" t="s">
        <v>12</v>
      </c>
      <c r="F2371" s="2" t="s">
        <v>12</v>
      </c>
      <c r="G2371" s="2" t="s">
        <v>12</v>
      </c>
      <c r="H2371" s="2" t="s">
        <v>12</v>
      </c>
      <c r="I2371" s="2" t="s">
        <v>12</v>
      </c>
      <c r="J2371" s="2" t="s">
        <v>12</v>
      </c>
      <c r="K2371" s="2" t="s">
        <v>12</v>
      </c>
    </row>
    <row r="2372" spans="1:11" ht="12.5" x14ac:dyDescent="0.25">
      <c r="A2372" s="3" t="e">
        <f ca="1"/>
        <v>#NAME?</v>
      </c>
      <c r="B2372" s="2" t="s">
        <v>12</v>
      </c>
      <c r="C2372" s="2" t="s">
        <v>12</v>
      </c>
      <c r="D2372" s="2" t="s">
        <v>12</v>
      </c>
      <c r="E2372" s="2" t="s">
        <v>12</v>
      </c>
      <c r="F2372" s="2" t="s">
        <v>12</v>
      </c>
      <c r="G2372" s="2" t="s">
        <v>12</v>
      </c>
      <c r="H2372" s="2" t="s">
        <v>12</v>
      </c>
      <c r="I2372" s="2" t="s">
        <v>12</v>
      </c>
      <c r="J2372" s="2" t="s">
        <v>12</v>
      </c>
      <c r="K2372" s="2" t="s">
        <v>12</v>
      </c>
    </row>
    <row r="2373" spans="1:11" ht="12.5" x14ac:dyDescent="0.25">
      <c r="A2373" s="3" t="e">
        <f ca="1"/>
        <v>#NAME?</v>
      </c>
      <c r="B2373" s="2" t="s">
        <v>12</v>
      </c>
      <c r="C2373" s="2" t="s">
        <v>12</v>
      </c>
      <c r="D2373" s="2" t="s">
        <v>12</v>
      </c>
      <c r="E2373" s="2" t="s">
        <v>12</v>
      </c>
      <c r="F2373" s="2" t="s">
        <v>12</v>
      </c>
      <c r="G2373" s="2" t="s">
        <v>12</v>
      </c>
      <c r="H2373" s="2" t="s">
        <v>12</v>
      </c>
      <c r="I2373" s="2" t="s">
        <v>12</v>
      </c>
      <c r="J2373" s="2" t="s">
        <v>12</v>
      </c>
      <c r="K2373" s="2" t="s">
        <v>12</v>
      </c>
    </row>
    <row r="2374" spans="1:11" ht="12.5" x14ac:dyDescent="0.25">
      <c r="A2374" s="3" t="e">
        <f ca="1"/>
        <v>#NAME?</v>
      </c>
      <c r="B2374" s="2" t="s">
        <v>12</v>
      </c>
      <c r="C2374" s="2" t="s">
        <v>12</v>
      </c>
      <c r="D2374" s="2" t="s">
        <v>12</v>
      </c>
      <c r="E2374" s="2" t="s">
        <v>12</v>
      </c>
      <c r="F2374" s="2" t="s">
        <v>12</v>
      </c>
      <c r="G2374" s="2" t="s">
        <v>12</v>
      </c>
      <c r="H2374" s="2" t="s">
        <v>12</v>
      </c>
      <c r="I2374" s="2" t="s">
        <v>12</v>
      </c>
      <c r="J2374" s="2" t="s">
        <v>12</v>
      </c>
      <c r="K2374" s="2" t="s">
        <v>12</v>
      </c>
    </row>
    <row r="2375" spans="1:11" ht="12.5" x14ac:dyDescent="0.25">
      <c r="A2375" s="3" t="e">
        <f ca="1"/>
        <v>#NAME?</v>
      </c>
      <c r="B2375" s="2" t="s">
        <v>12</v>
      </c>
      <c r="C2375" s="2" t="s">
        <v>12</v>
      </c>
      <c r="D2375" s="2" t="s">
        <v>12</v>
      </c>
      <c r="E2375" s="2" t="s">
        <v>12</v>
      </c>
      <c r="F2375" s="2" t="s">
        <v>12</v>
      </c>
      <c r="G2375" s="2" t="s">
        <v>12</v>
      </c>
      <c r="H2375" s="2" t="s">
        <v>12</v>
      </c>
      <c r="I2375" s="2" t="s">
        <v>12</v>
      </c>
      <c r="J2375" s="2" t="s">
        <v>12</v>
      </c>
      <c r="K2375" s="2" t="s">
        <v>12</v>
      </c>
    </row>
    <row r="2376" spans="1:11" ht="12.5" x14ac:dyDescent="0.25">
      <c r="A2376" s="3" t="e">
        <f ca="1"/>
        <v>#NAME?</v>
      </c>
      <c r="B2376" s="2" t="s">
        <v>12</v>
      </c>
      <c r="C2376" s="2" t="s">
        <v>12</v>
      </c>
      <c r="D2376" s="2" t="s">
        <v>12</v>
      </c>
      <c r="E2376" s="2" t="s">
        <v>12</v>
      </c>
      <c r="F2376" s="2" t="s">
        <v>12</v>
      </c>
      <c r="G2376" s="2" t="s">
        <v>12</v>
      </c>
      <c r="H2376" s="2" t="s">
        <v>12</v>
      </c>
      <c r="I2376" s="2" t="s">
        <v>12</v>
      </c>
      <c r="J2376" s="2" t="s">
        <v>12</v>
      </c>
      <c r="K2376" s="2" t="s">
        <v>12</v>
      </c>
    </row>
    <row r="2377" spans="1:11" ht="12.5" x14ac:dyDescent="0.25">
      <c r="A2377" s="3" t="e">
        <f ca="1"/>
        <v>#NAME?</v>
      </c>
      <c r="B2377" s="2" t="s">
        <v>12</v>
      </c>
      <c r="C2377" s="2" t="s">
        <v>12</v>
      </c>
      <c r="D2377" s="2" t="s">
        <v>12</v>
      </c>
      <c r="E2377" s="2" t="s">
        <v>12</v>
      </c>
      <c r="F2377" s="2" t="s">
        <v>12</v>
      </c>
      <c r="G2377" s="2" t="s">
        <v>12</v>
      </c>
      <c r="H2377" s="2" t="s">
        <v>12</v>
      </c>
      <c r="I2377" s="2" t="s">
        <v>12</v>
      </c>
      <c r="J2377" s="2" t="s">
        <v>12</v>
      </c>
      <c r="K2377" s="2" t="s">
        <v>12</v>
      </c>
    </row>
    <row r="2378" spans="1:11" ht="12.5" x14ac:dyDescent="0.25">
      <c r="A2378" s="3" t="e">
        <f ca="1"/>
        <v>#NAME?</v>
      </c>
      <c r="B2378" s="2" t="s">
        <v>12</v>
      </c>
      <c r="C2378" s="2" t="s">
        <v>12</v>
      </c>
      <c r="D2378" s="2" t="s">
        <v>12</v>
      </c>
      <c r="E2378" s="2" t="s">
        <v>12</v>
      </c>
      <c r="F2378" s="2" t="s">
        <v>12</v>
      </c>
      <c r="G2378" s="2" t="s">
        <v>12</v>
      </c>
      <c r="H2378" s="2" t="s">
        <v>12</v>
      </c>
      <c r="I2378" s="2" t="s">
        <v>12</v>
      </c>
      <c r="J2378" s="2" t="s">
        <v>12</v>
      </c>
      <c r="K2378" s="2" t="s">
        <v>12</v>
      </c>
    </row>
    <row r="2379" spans="1:11" ht="12.5" x14ac:dyDescent="0.25">
      <c r="A2379" s="3" t="e">
        <f ca="1"/>
        <v>#NAME?</v>
      </c>
      <c r="B2379" s="2" t="s">
        <v>12</v>
      </c>
      <c r="C2379" s="2" t="s">
        <v>12</v>
      </c>
      <c r="D2379" s="2" t="s">
        <v>12</v>
      </c>
      <c r="E2379" s="2" t="s">
        <v>12</v>
      </c>
      <c r="F2379" s="2" t="s">
        <v>12</v>
      </c>
      <c r="G2379" s="2" t="s">
        <v>12</v>
      </c>
      <c r="H2379" s="2" t="s">
        <v>12</v>
      </c>
      <c r="I2379" s="2" t="s">
        <v>12</v>
      </c>
      <c r="J2379" s="2" t="s">
        <v>12</v>
      </c>
      <c r="K2379" s="2" t="s">
        <v>12</v>
      </c>
    </row>
    <row r="2380" spans="1:11" ht="12.5" x14ac:dyDescent="0.25">
      <c r="A2380" s="3" t="e">
        <f ca="1"/>
        <v>#NAME?</v>
      </c>
      <c r="B2380" s="2" t="s">
        <v>12</v>
      </c>
      <c r="C2380" s="2" t="s">
        <v>12</v>
      </c>
      <c r="D2380" s="2" t="s">
        <v>12</v>
      </c>
      <c r="E2380" s="2" t="s">
        <v>12</v>
      </c>
      <c r="F2380" s="2" t="s">
        <v>12</v>
      </c>
      <c r="G2380" s="2" t="s">
        <v>12</v>
      </c>
      <c r="H2380" s="2" t="s">
        <v>12</v>
      </c>
      <c r="I2380" s="2" t="s">
        <v>12</v>
      </c>
      <c r="J2380" s="2" t="s">
        <v>12</v>
      </c>
      <c r="K2380" s="2" t="s">
        <v>12</v>
      </c>
    </row>
    <row r="2381" spans="1:11" ht="12.5" x14ac:dyDescent="0.25">
      <c r="A2381" s="3" t="e">
        <f ca="1"/>
        <v>#NAME?</v>
      </c>
      <c r="B2381" s="2" t="s">
        <v>12</v>
      </c>
      <c r="C2381" s="2" t="s">
        <v>12</v>
      </c>
      <c r="D2381" s="2" t="s">
        <v>12</v>
      </c>
      <c r="E2381" s="2" t="s">
        <v>12</v>
      </c>
      <c r="F2381" s="2" t="s">
        <v>12</v>
      </c>
      <c r="G2381" s="2" t="s">
        <v>12</v>
      </c>
      <c r="H2381" s="2" t="s">
        <v>12</v>
      </c>
      <c r="I2381" s="2" t="s">
        <v>12</v>
      </c>
      <c r="J2381" s="2" t="s">
        <v>12</v>
      </c>
      <c r="K2381" s="2" t="s">
        <v>12</v>
      </c>
    </row>
    <row r="2382" spans="1:11" ht="12.5" x14ac:dyDescent="0.25">
      <c r="A2382" s="3" t="e">
        <f ca="1"/>
        <v>#NAME?</v>
      </c>
      <c r="B2382" s="2" t="s">
        <v>12</v>
      </c>
      <c r="C2382" s="2" t="s">
        <v>12</v>
      </c>
      <c r="D2382" s="2" t="s">
        <v>12</v>
      </c>
      <c r="E2382" s="2" t="s">
        <v>12</v>
      </c>
      <c r="F2382" s="2" t="s">
        <v>12</v>
      </c>
      <c r="G2382" s="2" t="s">
        <v>12</v>
      </c>
      <c r="H2382" s="2" t="s">
        <v>12</v>
      </c>
      <c r="I2382" s="2" t="s">
        <v>12</v>
      </c>
      <c r="J2382" s="2" t="s">
        <v>12</v>
      </c>
      <c r="K2382" s="2" t="s">
        <v>12</v>
      </c>
    </row>
    <row r="2383" spans="1:11" ht="12.5" x14ac:dyDescent="0.25">
      <c r="A2383" s="3" t="e">
        <f ca="1"/>
        <v>#NAME?</v>
      </c>
      <c r="B2383" s="2" t="s">
        <v>12</v>
      </c>
      <c r="C2383" s="2" t="s">
        <v>12</v>
      </c>
      <c r="D2383" s="2" t="s">
        <v>12</v>
      </c>
      <c r="E2383" s="2" t="s">
        <v>12</v>
      </c>
      <c r="F2383" s="2" t="s">
        <v>12</v>
      </c>
      <c r="G2383" s="2" t="s">
        <v>12</v>
      </c>
      <c r="H2383" s="2" t="s">
        <v>12</v>
      </c>
      <c r="I2383" s="2" t="s">
        <v>12</v>
      </c>
      <c r="J2383" s="2" t="s">
        <v>12</v>
      </c>
      <c r="K2383" s="2" t="s">
        <v>12</v>
      </c>
    </row>
    <row r="2384" spans="1:11" ht="12.5" x14ac:dyDescent="0.25">
      <c r="A2384" s="3" t="e">
        <f ca="1"/>
        <v>#NAME?</v>
      </c>
      <c r="B2384" s="2" t="s">
        <v>12</v>
      </c>
      <c r="C2384" s="2" t="s">
        <v>12</v>
      </c>
      <c r="D2384" s="2" t="s">
        <v>12</v>
      </c>
      <c r="E2384" s="2" t="s">
        <v>12</v>
      </c>
      <c r="F2384" s="2" t="s">
        <v>12</v>
      </c>
      <c r="G2384" s="2" t="s">
        <v>12</v>
      </c>
      <c r="H2384" s="2" t="s">
        <v>12</v>
      </c>
      <c r="I2384" s="2" t="s">
        <v>12</v>
      </c>
      <c r="J2384" s="2" t="s">
        <v>12</v>
      </c>
      <c r="K2384" s="2" t="s">
        <v>12</v>
      </c>
    </row>
    <row r="2385" spans="1:11" ht="12.5" x14ac:dyDescent="0.25">
      <c r="A2385" s="3" t="e">
        <f ca="1"/>
        <v>#NAME?</v>
      </c>
      <c r="B2385" s="2" t="s">
        <v>12</v>
      </c>
      <c r="C2385" s="2" t="s">
        <v>12</v>
      </c>
      <c r="D2385" s="2" t="s">
        <v>12</v>
      </c>
      <c r="E2385" s="2" t="s">
        <v>12</v>
      </c>
      <c r="F2385" s="2" t="s">
        <v>12</v>
      </c>
      <c r="G2385" s="2" t="s">
        <v>12</v>
      </c>
      <c r="H2385" s="2" t="s">
        <v>12</v>
      </c>
      <c r="I2385" s="2" t="s">
        <v>12</v>
      </c>
      <c r="J2385" s="2" t="s">
        <v>12</v>
      </c>
      <c r="K2385" s="2" t="s">
        <v>12</v>
      </c>
    </row>
    <row r="2386" spans="1:11" ht="12.5" x14ac:dyDescent="0.25">
      <c r="A2386" s="3" t="e">
        <f ca="1"/>
        <v>#NAME?</v>
      </c>
      <c r="B2386" s="2" t="s">
        <v>12</v>
      </c>
      <c r="C2386" s="2" t="s">
        <v>12</v>
      </c>
      <c r="D2386" s="2" t="s">
        <v>12</v>
      </c>
      <c r="E2386" s="2" t="s">
        <v>12</v>
      </c>
      <c r="F2386" s="2" t="s">
        <v>12</v>
      </c>
      <c r="G2386" s="2" t="s">
        <v>12</v>
      </c>
      <c r="H2386" s="2" t="s">
        <v>12</v>
      </c>
      <c r="I2386" s="2" t="s">
        <v>12</v>
      </c>
      <c r="J2386" s="2" t="s">
        <v>12</v>
      </c>
      <c r="K2386" s="2" t="s">
        <v>12</v>
      </c>
    </row>
    <row r="2387" spans="1:11" ht="12.5" x14ac:dyDescent="0.25">
      <c r="A2387" s="3" t="e">
        <f ca="1"/>
        <v>#NAME?</v>
      </c>
      <c r="B2387" s="2" t="s">
        <v>12</v>
      </c>
      <c r="C2387" s="2" t="s">
        <v>12</v>
      </c>
      <c r="D2387" s="2" t="s">
        <v>12</v>
      </c>
      <c r="E2387" s="2" t="s">
        <v>12</v>
      </c>
      <c r="F2387" s="2" t="s">
        <v>12</v>
      </c>
      <c r="G2387" s="2" t="s">
        <v>12</v>
      </c>
      <c r="H2387" s="2" t="s">
        <v>12</v>
      </c>
      <c r="I2387" s="2" t="s">
        <v>12</v>
      </c>
      <c r="J2387" s="2" t="s">
        <v>12</v>
      </c>
      <c r="K2387" s="2" t="s">
        <v>12</v>
      </c>
    </row>
    <row r="2388" spans="1:11" ht="12.5" x14ac:dyDescent="0.25">
      <c r="A2388" s="3" t="e">
        <f ca="1"/>
        <v>#NAME?</v>
      </c>
      <c r="B2388" s="2" t="s">
        <v>12</v>
      </c>
      <c r="C2388" s="2" t="s">
        <v>12</v>
      </c>
      <c r="D2388" s="2" t="s">
        <v>12</v>
      </c>
      <c r="E2388" s="2" t="s">
        <v>12</v>
      </c>
      <c r="F2388" s="2" t="s">
        <v>12</v>
      </c>
      <c r="G2388" s="2" t="s">
        <v>12</v>
      </c>
      <c r="H2388" s="2" t="s">
        <v>12</v>
      </c>
      <c r="I2388" s="2" t="s">
        <v>12</v>
      </c>
      <c r="J2388" s="2" t="s">
        <v>12</v>
      </c>
      <c r="K2388" s="2" t="s">
        <v>12</v>
      </c>
    </row>
    <row r="2389" spans="1:11" ht="12.5" x14ac:dyDescent="0.25">
      <c r="A2389" s="3" t="e">
        <f ca="1"/>
        <v>#NAME?</v>
      </c>
      <c r="B2389" s="2" t="s">
        <v>12</v>
      </c>
      <c r="C2389" s="2" t="s">
        <v>12</v>
      </c>
      <c r="D2389" s="2" t="s">
        <v>12</v>
      </c>
      <c r="E2389" s="2" t="s">
        <v>12</v>
      </c>
      <c r="F2389" s="2" t="s">
        <v>12</v>
      </c>
      <c r="G2389" s="2" t="s">
        <v>12</v>
      </c>
      <c r="H2389" s="2" t="s">
        <v>12</v>
      </c>
      <c r="I2389" s="2" t="s">
        <v>12</v>
      </c>
      <c r="J2389" s="2" t="s">
        <v>12</v>
      </c>
      <c r="K2389" s="2" t="s">
        <v>12</v>
      </c>
    </row>
    <row r="2390" spans="1:11" ht="12.5" x14ac:dyDescent="0.25">
      <c r="A2390" s="3" t="e">
        <f ca="1"/>
        <v>#NAME?</v>
      </c>
      <c r="B2390" s="2" t="s">
        <v>12</v>
      </c>
      <c r="C2390" s="2" t="s">
        <v>12</v>
      </c>
      <c r="D2390" s="2" t="s">
        <v>12</v>
      </c>
      <c r="E2390" s="2" t="s">
        <v>12</v>
      </c>
      <c r="F2390" s="2" t="s">
        <v>12</v>
      </c>
      <c r="G2390" s="2" t="s">
        <v>12</v>
      </c>
      <c r="H2390" s="2" t="s">
        <v>12</v>
      </c>
      <c r="I2390" s="2" t="s">
        <v>12</v>
      </c>
      <c r="J2390" s="2" t="s">
        <v>12</v>
      </c>
      <c r="K2390" s="2" t="s">
        <v>12</v>
      </c>
    </row>
    <row r="2391" spans="1:11" ht="12.5" x14ac:dyDescent="0.25">
      <c r="A2391" s="3" t="e">
        <f ca="1"/>
        <v>#NAME?</v>
      </c>
      <c r="B2391" s="2" t="s">
        <v>12</v>
      </c>
      <c r="C2391" s="2" t="s">
        <v>12</v>
      </c>
      <c r="D2391" s="2" t="s">
        <v>12</v>
      </c>
      <c r="E2391" s="2" t="s">
        <v>12</v>
      </c>
      <c r="F2391" s="2" t="s">
        <v>12</v>
      </c>
      <c r="G2391" s="2" t="s">
        <v>12</v>
      </c>
      <c r="H2391" s="2" t="s">
        <v>12</v>
      </c>
      <c r="I2391" s="2" t="s">
        <v>12</v>
      </c>
      <c r="J2391" s="2" t="s">
        <v>12</v>
      </c>
      <c r="K2391" s="2" t="s">
        <v>12</v>
      </c>
    </row>
    <row r="2392" spans="1:11" ht="12.5" x14ac:dyDescent="0.25">
      <c r="A2392" s="3" t="e">
        <f ca="1"/>
        <v>#NAME?</v>
      </c>
      <c r="B2392" s="2" t="s">
        <v>12</v>
      </c>
      <c r="C2392" s="2" t="s">
        <v>12</v>
      </c>
      <c r="D2392" s="2" t="s">
        <v>12</v>
      </c>
      <c r="E2392" s="2" t="s">
        <v>12</v>
      </c>
      <c r="F2392" s="2" t="s">
        <v>12</v>
      </c>
      <c r="G2392" s="2" t="s">
        <v>12</v>
      </c>
      <c r="H2392" s="2" t="s">
        <v>12</v>
      </c>
      <c r="I2392" s="2" t="s">
        <v>12</v>
      </c>
      <c r="J2392" s="2" t="s">
        <v>12</v>
      </c>
      <c r="K2392" s="2" t="s">
        <v>12</v>
      </c>
    </row>
    <row r="2393" spans="1:11" ht="12.5" x14ac:dyDescent="0.25">
      <c r="A2393" s="3" t="e">
        <f ca="1"/>
        <v>#NAME?</v>
      </c>
      <c r="B2393" s="2" t="s">
        <v>12</v>
      </c>
      <c r="C2393" s="2" t="s">
        <v>12</v>
      </c>
      <c r="D2393" s="2" t="s">
        <v>12</v>
      </c>
      <c r="E2393" s="2" t="s">
        <v>12</v>
      </c>
      <c r="F2393" s="2" t="s">
        <v>12</v>
      </c>
      <c r="G2393" s="2" t="s">
        <v>12</v>
      </c>
      <c r="H2393" s="2" t="s">
        <v>12</v>
      </c>
      <c r="I2393" s="2" t="s">
        <v>12</v>
      </c>
      <c r="J2393" s="2" t="s">
        <v>12</v>
      </c>
      <c r="K2393" s="2" t="s">
        <v>12</v>
      </c>
    </row>
    <row r="2394" spans="1:11" ht="12.5" x14ac:dyDescent="0.25">
      <c r="A2394" s="3" t="e">
        <f ca="1"/>
        <v>#NAME?</v>
      </c>
      <c r="B2394" s="2" t="s">
        <v>12</v>
      </c>
      <c r="C2394" s="2" t="s">
        <v>12</v>
      </c>
      <c r="D2394" s="2" t="s">
        <v>12</v>
      </c>
      <c r="E2394" s="2" t="s">
        <v>12</v>
      </c>
      <c r="F2394" s="2" t="s">
        <v>12</v>
      </c>
      <c r="G2394" s="2" t="s">
        <v>12</v>
      </c>
      <c r="H2394" s="2" t="s">
        <v>12</v>
      </c>
      <c r="I2394" s="2" t="s">
        <v>12</v>
      </c>
      <c r="J2394" s="2" t="s">
        <v>12</v>
      </c>
      <c r="K2394" s="2" t="s">
        <v>12</v>
      </c>
    </row>
    <row r="2395" spans="1:11" ht="12.5" x14ac:dyDescent="0.25">
      <c r="A2395" s="3" t="e">
        <f ca="1"/>
        <v>#NAME?</v>
      </c>
      <c r="B2395" s="2" t="s">
        <v>12</v>
      </c>
      <c r="C2395" s="2" t="s">
        <v>12</v>
      </c>
      <c r="D2395" s="2" t="s">
        <v>12</v>
      </c>
      <c r="E2395" s="2" t="s">
        <v>12</v>
      </c>
      <c r="F2395" s="2" t="s">
        <v>12</v>
      </c>
      <c r="G2395" s="2" t="s">
        <v>12</v>
      </c>
      <c r="H2395" s="2" t="s">
        <v>12</v>
      </c>
      <c r="I2395" s="2" t="s">
        <v>12</v>
      </c>
      <c r="J2395" s="2" t="s">
        <v>12</v>
      </c>
      <c r="K2395" s="2" t="s">
        <v>12</v>
      </c>
    </row>
    <row r="2396" spans="1:11" ht="12.5" x14ac:dyDescent="0.25">
      <c r="A2396" s="3" t="e">
        <f ca="1"/>
        <v>#NAME?</v>
      </c>
      <c r="B2396" s="2" t="s">
        <v>12</v>
      </c>
      <c r="C2396" s="2" t="s">
        <v>12</v>
      </c>
      <c r="D2396" s="2" t="s">
        <v>12</v>
      </c>
      <c r="E2396" s="2" t="s">
        <v>12</v>
      </c>
      <c r="F2396" s="2" t="s">
        <v>12</v>
      </c>
      <c r="G2396" s="2" t="s">
        <v>12</v>
      </c>
      <c r="H2396" s="2" t="s">
        <v>12</v>
      </c>
      <c r="I2396" s="2" t="s">
        <v>12</v>
      </c>
      <c r="J2396" s="2" t="s">
        <v>12</v>
      </c>
      <c r="K2396" s="2" t="s">
        <v>12</v>
      </c>
    </row>
    <row r="2397" spans="1:11" ht="12.5" x14ac:dyDescent="0.25">
      <c r="A2397" s="3" t="e">
        <f ca="1"/>
        <v>#NAME?</v>
      </c>
      <c r="B2397" s="2" t="s">
        <v>12</v>
      </c>
      <c r="C2397" s="2" t="s">
        <v>12</v>
      </c>
      <c r="D2397" s="2" t="s">
        <v>12</v>
      </c>
      <c r="E2397" s="2" t="s">
        <v>12</v>
      </c>
      <c r="F2397" s="2" t="s">
        <v>12</v>
      </c>
      <c r="G2397" s="2" t="s">
        <v>12</v>
      </c>
      <c r="H2397" s="2" t="s">
        <v>12</v>
      </c>
      <c r="I2397" s="2" t="s">
        <v>12</v>
      </c>
      <c r="J2397" s="2" t="s">
        <v>12</v>
      </c>
      <c r="K2397" s="2" t="s">
        <v>12</v>
      </c>
    </row>
    <row r="2398" spans="1:11" ht="12.5" x14ac:dyDescent="0.25">
      <c r="A2398" s="3" t="e">
        <f ca="1"/>
        <v>#NAME?</v>
      </c>
      <c r="B2398" s="2" t="s">
        <v>12</v>
      </c>
      <c r="C2398" s="2" t="s">
        <v>12</v>
      </c>
      <c r="D2398" s="2" t="s">
        <v>12</v>
      </c>
      <c r="E2398" s="2" t="s">
        <v>12</v>
      </c>
      <c r="F2398" s="2" t="s">
        <v>12</v>
      </c>
      <c r="G2398" s="2" t="s">
        <v>12</v>
      </c>
      <c r="H2398" s="2" t="s">
        <v>12</v>
      </c>
      <c r="I2398" s="2" t="s">
        <v>12</v>
      </c>
      <c r="J2398" s="2" t="s">
        <v>12</v>
      </c>
      <c r="K2398" s="2" t="s">
        <v>12</v>
      </c>
    </row>
    <row r="2399" spans="1:11" ht="12.5" x14ac:dyDescent="0.25">
      <c r="A2399" s="3" t="e">
        <f ca="1"/>
        <v>#NAME?</v>
      </c>
      <c r="B2399" s="2" t="s">
        <v>12</v>
      </c>
      <c r="C2399" s="2" t="s">
        <v>12</v>
      </c>
      <c r="D2399" s="2" t="s">
        <v>12</v>
      </c>
      <c r="E2399" s="2" t="s">
        <v>12</v>
      </c>
      <c r="F2399" s="2" t="s">
        <v>12</v>
      </c>
      <c r="G2399" s="2" t="s">
        <v>12</v>
      </c>
      <c r="H2399" s="2" t="s">
        <v>12</v>
      </c>
      <c r="I2399" s="2" t="s">
        <v>12</v>
      </c>
      <c r="J2399" s="2" t="s">
        <v>12</v>
      </c>
      <c r="K2399" s="2" t="s">
        <v>12</v>
      </c>
    </row>
    <row r="2400" spans="1:11" ht="12.5" x14ac:dyDescent="0.25">
      <c r="A2400" s="3" t="e">
        <f ca="1"/>
        <v>#NAME?</v>
      </c>
      <c r="B2400" s="2" t="s">
        <v>12</v>
      </c>
      <c r="C2400" s="2" t="s">
        <v>12</v>
      </c>
      <c r="D2400" s="2" t="s">
        <v>12</v>
      </c>
      <c r="E2400" s="2" t="s">
        <v>12</v>
      </c>
      <c r="F2400" s="2" t="s">
        <v>12</v>
      </c>
      <c r="G2400" s="2" t="s">
        <v>12</v>
      </c>
      <c r="H2400" s="2" t="s">
        <v>12</v>
      </c>
      <c r="I2400" s="2" t="s">
        <v>12</v>
      </c>
      <c r="J2400" s="2" t="s">
        <v>12</v>
      </c>
      <c r="K2400" s="2" t="s">
        <v>12</v>
      </c>
    </row>
    <row r="2401" spans="1:11" ht="12.5" x14ac:dyDescent="0.25">
      <c r="A2401" s="3" t="e">
        <f ca="1"/>
        <v>#NAME?</v>
      </c>
      <c r="B2401" s="2" t="s">
        <v>12</v>
      </c>
      <c r="C2401" s="2" t="s">
        <v>12</v>
      </c>
      <c r="D2401" s="2" t="s">
        <v>12</v>
      </c>
      <c r="E2401" s="2" t="s">
        <v>12</v>
      </c>
      <c r="F2401" s="2" t="s">
        <v>12</v>
      </c>
      <c r="G2401" s="2" t="s">
        <v>12</v>
      </c>
      <c r="H2401" s="2" t="s">
        <v>12</v>
      </c>
      <c r="I2401" s="2" t="s">
        <v>12</v>
      </c>
      <c r="J2401" s="2" t="s">
        <v>12</v>
      </c>
      <c r="K2401" s="2" t="s">
        <v>12</v>
      </c>
    </row>
    <row r="2402" spans="1:11" ht="12.5" x14ac:dyDescent="0.25">
      <c r="A2402" s="3" t="e">
        <f ca="1"/>
        <v>#NAME?</v>
      </c>
      <c r="B2402" s="2" t="s">
        <v>12</v>
      </c>
      <c r="C2402" s="2" t="s">
        <v>12</v>
      </c>
      <c r="D2402" s="2" t="s">
        <v>12</v>
      </c>
      <c r="E2402" s="2" t="s">
        <v>12</v>
      </c>
      <c r="F2402" s="2" t="s">
        <v>12</v>
      </c>
      <c r="G2402" s="2" t="s">
        <v>12</v>
      </c>
      <c r="H2402" s="2" t="s">
        <v>12</v>
      </c>
      <c r="I2402" s="2" t="s">
        <v>12</v>
      </c>
      <c r="J2402" s="2" t="s">
        <v>12</v>
      </c>
      <c r="K2402" s="2" t="s">
        <v>12</v>
      </c>
    </row>
    <row r="2403" spans="1:11" ht="12.5" x14ac:dyDescent="0.25">
      <c r="A2403" s="3" t="e">
        <f ca="1"/>
        <v>#NAME?</v>
      </c>
      <c r="B2403" s="2" t="s">
        <v>12</v>
      </c>
      <c r="C2403" s="2" t="s">
        <v>12</v>
      </c>
      <c r="D2403" s="2" t="s">
        <v>12</v>
      </c>
      <c r="E2403" s="2" t="s">
        <v>12</v>
      </c>
      <c r="F2403" s="2" t="s">
        <v>12</v>
      </c>
      <c r="G2403" s="2" t="s">
        <v>12</v>
      </c>
      <c r="H2403" s="2" t="s">
        <v>12</v>
      </c>
      <c r="I2403" s="2" t="s">
        <v>12</v>
      </c>
      <c r="J2403" s="2" t="s">
        <v>12</v>
      </c>
      <c r="K2403" s="2" t="s">
        <v>12</v>
      </c>
    </row>
    <row r="2404" spans="1:11" ht="12.5" x14ac:dyDescent="0.25">
      <c r="A2404" s="3" t="e">
        <f ca="1"/>
        <v>#NAME?</v>
      </c>
      <c r="B2404" s="2" t="s">
        <v>12</v>
      </c>
      <c r="C2404" s="2" t="s">
        <v>12</v>
      </c>
      <c r="D2404" s="2" t="s">
        <v>12</v>
      </c>
      <c r="E2404" s="2" t="s">
        <v>12</v>
      </c>
      <c r="F2404" s="2" t="s">
        <v>12</v>
      </c>
      <c r="G2404" s="2" t="s">
        <v>12</v>
      </c>
      <c r="H2404" s="2" t="s">
        <v>12</v>
      </c>
      <c r="I2404" s="2" t="s">
        <v>12</v>
      </c>
      <c r="J2404" s="2" t="s">
        <v>12</v>
      </c>
      <c r="K2404" s="2" t="s">
        <v>12</v>
      </c>
    </row>
    <row r="2405" spans="1:11" ht="12.5" x14ac:dyDescent="0.25">
      <c r="A2405" s="3" t="e">
        <f ca="1"/>
        <v>#NAME?</v>
      </c>
      <c r="B2405" s="2" t="s">
        <v>12</v>
      </c>
      <c r="C2405" s="2" t="s">
        <v>12</v>
      </c>
      <c r="D2405" s="2" t="s">
        <v>12</v>
      </c>
      <c r="E2405" s="2" t="s">
        <v>12</v>
      </c>
      <c r="F2405" s="2" t="s">
        <v>12</v>
      </c>
      <c r="G2405" s="2" t="s">
        <v>12</v>
      </c>
      <c r="H2405" s="2" t="s">
        <v>12</v>
      </c>
      <c r="I2405" s="2" t="s">
        <v>12</v>
      </c>
      <c r="J2405" s="2" t="s">
        <v>12</v>
      </c>
      <c r="K2405" s="2" t="s">
        <v>12</v>
      </c>
    </row>
    <row r="2406" spans="1:11" ht="12.5" x14ac:dyDescent="0.25">
      <c r="A2406" s="3" t="e">
        <f ca="1"/>
        <v>#NAME?</v>
      </c>
      <c r="B2406" s="2" t="s">
        <v>12</v>
      </c>
      <c r="C2406" s="2" t="s">
        <v>12</v>
      </c>
      <c r="D2406" s="2" t="s">
        <v>12</v>
      </c>
      <c r="E2406" s="2" t="s">
        <v>12</v>
      </c>
      <c r="F2406" s="2" t="s">
        <v>12</v>
      </c>
      <c r="G2406" s="2" t="s">
        <v>12</v>
      </c>
      <c r="H2406" s="2" t="s">
        <v>12</v>
      </c>
      <c r="I2406" s="2" t="s">
        <v>12</v>
      </c>
      <c r="J2406" s="2" t="s">
        <v>12</v>
      </c>
      <c r="K2406" s="2" t="s">
        <v>12</v>
      </c>
    </row>
    <row r="2407" spans="1:11" ht="12.5" x14ac:dyDescent="0.25">
      <c r="A2407" s="3" t="e">
        <f ca="1"/>
        <v>#NAME?</v>
      </c>
      <c r="B2407" s="2" t="s">
        <v>12</v>
      </c>
      <c r="C2407" s="2" t="s">
        <v>12</v>
      </c>
      <c r="D2407" s="2" t="s">
        <v>12</v>
      </c>
      <c r="E2407" s="2" t="s">
        <v>12</v>
      </c>
      <c r="F2407" s="2" t="s">
        <v>12</v>
      </c>
      <c r="G2407" s="2" t="s">
        <v>12</v>
      </c>
      <c r="H2407" s="2" t="s">
        <v>12</v>
      </c>
      <c r="I2407" s="2" t="s">
        <v>12</v>
      </c>
      <c r="J2407" s="2" t="s">
        <v>12</v>
      </c>
      <c r="K2407" s="2" t="s">
        <v>12</v>
      </c>
    </row>
    <row r="2408" spans="1:11" ht="12.5" x14ac:dyDescent="0.25">
      <c r="A2408" s="3" t="e">
        <f ca="1"/>
        <v>#NAME?</v>
      </c>
      <c r="B2408" s="2" t="s">
        <v>12</v>
      </c>
      <c r="C2408" s="2" t="s">
        <v>12</v>
      </c>
      <c r="D2408" s="2" t="s">
        <v>12</v>
      </c>
      <c r="E2408" s="2" t="s">
        <v>12</v>
      </c>
      <c r="F2408" s="2" t="s">
        <v>12</v>
      </c>
      <c r="G2408" s="2" t="s">
        <v>12</v>
      </c>
      <c r="H2408" s="2" t="s">
        <v>12</v>
      </c>
      <c r="I2408" s="2" t="s">
        <v>12</v>
      </c>
      <c r="J2408" s="2" t="s">
        <v>12</v>
      </c>
      <c r="K2408" s="2" t="s">
        <v>12</v>
      </c>
    </row>
    <row r="2409" spans="1:11" ht="12.5" x14ac:dyDescent="0.25">
      <c r="A2409" s="3" t="e">
        <f ca="1"/>
        <v>#NAME?</v>
      </c>
      <c r="B2409" s="2" t="s">
        <v>12</v>
      </c>
      <c r="C2409" s="2" t="s">
        <v>12</v>
      </c>
      <c r="D2409" s="2" t="s">
        <v>12</v>
      </c>
      <c r="E2409" s="2" t="s">
        <v>12</v>
      </c>
      <c r="F2409" s="2" t="s">
        <v>12</v>
      </c>
      <c r="G2409" s="2" t="s">
        <v>12</v>
      </c>
      <c r="H2409" s="2" t="s">
        <v>12</v>
      </c>
      <c r="I2409" s="2" t="s">
        <v>12</v>
      </c>
      <c r="J2409" s="2" t="s">
        <v>12</v>
      </c>
      <c r="K2409" s="2" t="s">
        <v>12</v>
      </c>
    </row>
    <row r="2410" spans="1:11" ht="12.5" x14ac:dyDescent="0.25">
      <c r="A2410" s="3" t="e">
        <f ca="1"/>
        <v>#NAME?</v>
      </c>
      <c r="B2410" s="2" t="s">
        <v>12</v>
      </c>
      <c r="C2410" s="2" t="s">
        <v>12</v>
      </c>
      <c r="D2410" s="2" t="s">
        <v>12</v>
      </c>
      <c r="E2410" s="2" t="s">
        <v>12</v>
      </c>
      <c r="F2410" s="2" t="s">
        <v>12</v>
      </c>
      <c r="G2410" s="2" t="s">
        <v>12</v>
      </c>
      <c r="H2410" s="2" t="s">
        <v>12</v>
      </c>
      <c r="I2410" s="2" t="s">
        <v>12</v>
      </c>
      <c r="J2410" s="2" t="s">
        <v>12</v>
      </c>
      <c r="K2410" s="2" t="s">
        <v>12</v>
      </c>
    </row>
    <row r="2411" spans="1:11" ht="12.5" x14ac:dyDescent="0.25">
      <c r="A2411" s="3" t="e">
        <f ca="1"/>
        <v>#NAME?</v>
      </c>
      <c r="B2411" s="2" t="s">
        <v>12</v>
      </c>
      <c r="C2411" s="2" t="s">
        <v>12</v>
      </c>
      <c r="D2411" s="2" t="s">
        <v>12</v>
      </c>
      <c r="E2411" s="2" t="s">
        <v>12</v>
      </c>
      <c r="F2411" s="2" t="s">
        <v>12</v>
      </c>
      <c r="G2411" s="2" t="s">
        <v>12</v>
      </c>
      <c r="H2411" s="2" t="s">
        <v>12</v>
      </c>
      <c r="I2411" s="2" t="s">
        <v>12</v>
      </c>
      <c r="J2411" s="2" t="s">
        <v>12</v>
      </c>
      <c r="K2411" s="2" t="s">
        <v>12</v>
      </c>
    </row>
    <row r="2412" spans="1:11" ht="12.5" x14ac:dyDescent="0.25">
      <c r="A2412" s="3" t="e">
        <f ca="1"/>
        <v>#NAME?</v>
      </c>
      <c r="B2412" s="2" t="s">
        <v>12</v>
      </c>
      <c r="C2412" s="2" t="s">
        <v>12</v>
      </c>
      <c r="D2412" s="2" t="s">
        <v>12</v>
      </c>
      <c r="E2412" s="2" t="s">
        <v>12</v>
      </c>
      <c r="F2412" s="2" t="s">
        <v>12</v>
      </c>
      <c r="G2412" s="2" t="s">
        <v>12</v>
      </c>
      <c r="H2412" s="2" t="s">
        <v>12</v>
      </c>
      <c r="I2412" s="2" t="s">
        <v>12</v>
      </c>
      <c r="J2412" s="2" t="s">
        <v>12</v>
      </c>
      <c r="K2412" s="2" t="s">
        <v>12</v>
      </c>
    </row>
    <row r="2413" spans="1:11" ht="12.5" x14ac:dyDescent="0.25">
      <c r="A2413" s="3" t="e">
        <f ca="1"/>
        <v>#NAME?</v>
      </c>
      <c r="B2413" s="2" t="s">
        <v>12</v>
      </c>
      <c r="C2413" s="2" t="s">
        <v>12</v>
      </c>
      <c r="D2413" s="2" t="s">
        <v>12</v>
      </c>
      <c r="E2413" s="2" t="s">
        <v>12</v>
      </c>
      <c r="F2413" s="2" t="s">
        <v>12</v>
      </c>
      <c r="G2413" s="2" t="s">
        <v>12</v>
      </c>
      <c r="H2413" s="2" t="s">
        <v>12</v>
      </c>
      <c r="I2413" s="2" t="s">
        <v>12</v>
      </c>
      <c r="J2413" s="2" t="s">
        <v>12</v>
      </c>
      <c r="K2413" s="2" t="s">
        <v>12</v>
      </c>
    </row>
    <row r="2414" spans="1:11" ht="12.5" x14ac:dyDescent="0.25">
      <c r="A2414" s="3" t="e">
        <f ca="1"/>
        <v>#NAME?</v>
      </c>
      <c r="B2414" s="2" t="s">
        <v>12</v>
      </c>
      <c r="C2414" s="2" t="s">
        <v>12</v>
      </c>
      <c r="D2414" s="2" t="s">
        <v>12</v>
      </c>
      <c r="E2414" s="2" t="s">
        <v>12</v>
      </c>
      <c r="F2414" s="2" t="s">
        <v>12</v>
      </c>
      <c r="G2414" s="2" t="s">
        <v>12</v>
      </c>
      <c r="H2414" s="2" t="s">
        <v>12</v>
      </c>
      <c r="I2414" s="2" t="s">
        <v>12</v>
      </c>
      <c r="J2414" s="2" t="s">
        <v>12</v>
      </c>
      <c r="K2414" s="2" t="s">
        <v>12</v>
      </c>
    </row>
    <row r="2415" spans="1:11" ht="12.5" x14ac:dyDescent="0.25">
      <c r="A2415" s="3" t="e">
        <f ca="1"/>
        <v>#NAME?</v>
      </c>
      <c r="B2415" s="2" t="s">
        <v>12</v>
      </c>
      <c r="C2415" s="2" t="s">
        <v>12</v>
      </c>
      <c r="D2415" s="2" t="s">
        <v>12</v>
      </c>
      <c r="E2415" s="2" t="s">
        <v>12</v>
      </c>
      <c r="F2415" s="2" t="s">
        <v>12</v>
      </c>
      <c r="G2415" s="2" t="s">
        <v>12</v>
      </c>
      <c r="H2415" s="2" t="s">
        <v>12</v>
      </c>
      <c r="I2415" s="2" t="s">
        <v>12</v>
      </c>
      <c r="J2415" s="2" t="s">
        <v>12</v>
      </c>
      <c r="K2415" s="2" t="s">
        <v>12</v>
      </c>
    </row>
    <row r="2416" spans="1:11" ht="12.5" x14ac:dyDescent="0.25">
      <c r="A2416" s="3" t="e">
        <f ca="1"/>
        <v>#NAME?</v>
      </c>
      <c r="B2416" s="2" t="s">
        <v>12</v>
      </c>
      <c r="C2416" s="2" t="s">
        <v>12</v>
      </c>
      <c r="D2416" s="2" t="s">
        <v>12</v>
      </c>
      <c r="E2416" s="2" t="s">
        <v>12</v>
      </c>
      <c r="F2416" s="2" t="s">
        <v>12</v>
      </c>
      <c r="G2416" s="2" t="s">
        <v>12</v>
      </c>
      <c r="H2416" s="2" t="s">
        <v>12</v>
      </c>
      <c r="I2416" s="2" t="s">
        <v>12</v>
      </c>
      <c r="J2416" s="2" t="s">
        <v>12</v>
      </c>
      <c r="K2416" s="2" t="s">
        <v>12</v>
      </c>
    </row>
    <row r="2417" spans="1:11" ht="12.5" x14ac:dyDescent="0.25">
      <c r="A2417" s="3" t="e">
        <f ca="1"/>
        <v>#NAME?</v>
      </c>
      <c r="B2417" s="2" t="s">
        <v>12</v>
      </c>
      <c r="C2417" s="2" t="s">
        <v>12</v>
      </c>
      <c r="D2417" s="2" t="s">
        <v>12</v>
      </c>
      <c r="E2417" s="2" t="s">
        <v>12</v>
      </c>
      <c r="F2417" s="2" t="s">
        <v>12</v>
      </c>
      <c r="G2417" s="2" t="s">
        <v>12</v>
      </c>
      <c r="H2417" s="2" t="s">
        <v>12</v>
      </c>
      <c r="I2417" s="2" t="s">
        <v>12</v>
      </c>
      <c r="J2417" s="2" t="s">
        <v>12</v>
      </c>
      <c r="K2417" s="2" t="s">
        <v>12</v>
      </c>
    </row>
    <row r="2418" spans="1:11" ht="12.5" x14ac:dyDescent="0.25">
      <c r="A2418" s="3" t="e">
        <f ca="1"/>
        <v>#NAME?</v>
      </c>
      <c r="B2418" s="2" t="s">
        <v>12</v>
      </c>
      <c r="C2418" s="2" t="s">
        <v>12</v>
      </c>
      <c r="D2418" s="2" t="s">
        <v>12</v>
      </c>
      <c r="E2418" s="2" t="s">
        <v>12</v>
      </c>
      <c r="F2418" s="2" t="s">
        <v>12</v>
      </c>
      <c r="G2418" s="2" t="s">
        <v>12</v>
      </c>
      <c r="H2418" s="2" t="s">
        <v>12</v>
      </c>
      <c r="I2418" s="2" t="s">
        <v>12</v>
      </c>
      <c r="J2418" s="2" t="s">
        <v>12</v>
      </c>
      <c r="K2418" s="2" t="s">
        <v>12</v>
      </c>
    </row>
    <row r="2419" spans="1:11" ht="12.5" x14ac:dyDescent="0.25">
      <c r="A2419" s="3" t="e">
        <f ca="1"/>
        <v>#NAME?</v>
      </c>
      <c r="B2419" s="2" t="s">
        <v>12</v>
      </c>
      <c r="C2419" s="2" t="s">
        <v>12</v>
      </c>
      <c r="D2419" s="2" t="s">
        <v>12</v>
      </c>
      <c r="E2419" s="2" t="s">
        <v>12</v>
      </c>
      <c r="F2419" s="2" t="s">
        <v>12</v>
      </c>
      <c r="G2419" s="2" t="s">
        <v>12</v>
      </c>
      <c r="H2419" s="2" t="s">
        <v>12</v>
      </c>
      <c r="I2419" s="2" t="s">
        <v>12</v>
      </c>
      <c r="J2419" s="2" t="s">
        <v>12</v>
      </c>
      <c r="K2419" s="2" t="s">
        <v>12</v>
      </c>
    </row>
    <row r="2420" spans="1:11" ht="12.5" x14ac:dyDescent="0.25">
      <c r="A2420" s="3" t="e">
        <f ca="1"/>
        <v>#NAME?</v>
      </c>
      <c r="B2420" s="2" t="s">
        <v>12</v>
      </c>
      <c r="C2420" s="2" t="s">
        <v>12</v>
      </c>
      <c r="D2420" s="2" t="s">
        <v>12</v>
      </c>
      <c r="E2420" s="2" t="s">
        <v>12</v>
      </c>
      <c r="F2420" s="2" t="s">
        <v>12</v>
      </c>
      <c r="G2420" s="2" t="s">
        <v>12</v>
      </c>
      <c r="H2420" s="2" t="s">
        <v>12</v>
      </c>
      <c r="I2420" s="2" t="s">
        <v>12</v>
      </c>
      <c r="J2420" s="2" t="s">
        <v>12</v>
      </c>
      <c r="K2420" s="2" t="s">
        <v>12</v>
      </c>
    </row>
    <row r="2421" spans="1:11" ht="12.5" x14ac:dyDescent="0.25">
      <c r="A2421" s="3" t="e">
        <f ca="1"/>
        <v>#NAME?</v>
      </c>
      <c r="B2421" s="2" t="s">
        <v>12</v>
      </c>
      <c r="C2421" s="2" t="s">
        <v>12</v>
      </c>
      <c r="D2421" s="2" t="s">
        <v>12</v>
      </c>
      <c r="E2421" s="2" t="s">
        <v>12</v>
      </c>
      <c r="F2421" s="2" t="s">
        <v>12</v>
      </c>
      <c r="G2421" s="2" t="s">
        <v>12</v>
      </c>
      <c r="H2421" s="2" t="s">
        <v>12</v>
      </c>
      <c r="I2421" s="2" t="s">
        <v>12</v>
      </c>
      <c r="J2421" s="2" t="s">
        <v>12</v>
      </c>
      <c r="K2421" s="2" t="s">
        <v>12</v>
      </c>
    </row>
    <row r="2422" spans="1:11" ht="12.5" x14ac:dyDescent="0.25">
      <c r="A2422" s="3" t="e">
        <f ca="1"/>
        <v>#NAME?</v>
      </c>
      <c r="B2422" s="2" t="s">
        <v>12</v>
      </c>
      <c r="C2422" s="2" t="s">
        <v>12</v>
      </c>
      <c r="D2422" s="2" t="s">
        <v>12</v>
      </c>
      <c r="E2422" s="2" t="s">
        <v>12</v>
      </c>
      <c r="F2422" s="2" t="s">
        <v>12</v>
      </c>
      <c r="G2422" s="2" t="s">
        <v>12</v>
      </c>
      <c r="H2422" s="2" t="s">
        <v>12</v>
      </c>
      <c r="I2422" s="2" t="s">
        <v>12</v>
      </c>
      <c r="J2422" s="2" t="s">
        <v>12</v>
      </c>
      <c r="K2422" s="2" t="s">
        <v>12</v>
      </c>
    </row>
    <row r="2423" spans="1:11" ht="12.5" x14ac:dyDescent="0.25">
      <c r="A2423" s="3" t="e">
        <f ca="1"/>
        <v>#NAME?</v>
      </c>
      <c r="B2423" s="2" t="s">
        <v>12</v>
      </c>
      <c r="C2423" s="2" t="s">
        <v>12</v>
      </c>
      <c r="D2423" s="2" t="s">
        <v>12</v>
      </c>
      <c r="E2423" s="2" t="s">
        <v>12</v>
      </c>
      <c r="F2423" s="2" t="s">
        <v>12</v>
      </c>
      <c r="G2423" s="2" t="s">
        <v>12</v>
      </c>
      <c r="H2423" s="2" t="s">
        <v>12</v>
      </c>
      <c r="I2423" s="2" t="s">
        <v>12</v>
      </c>
      <c r="J2423" s="2" t="s">
        <v>12</v>
      </c>
      <c r="K2423" s="2" t="s">
        <v>12</v>
      </c>
    </row>
    <row r="2424" spans="1:11" ht="12.5" x14ac:dyDescent="0.25">
      <c r="A2424" s="3" t="e">
        <f ca="1"/>
        <v>#NAME?</v>
      </c>
      <c r="B2424" s="2" t="s">
        <v>12</v>
      </c>
      <c r="C2424" s="2" t="s">
        <v>12</v>
      </c>
      <c r="D2424" s="2" t="s">
        <v>12</v>
      </c>
      <c r="E2424" s="2" t="s">
        <v>12</v>
      </c>
      <c r="F2424" s="2" t="s">
        <v>12</v>
      </c>
      <c r="G2424" s="2" t="s">
        <v>12</v>
      </c>
      <c r="H2424" s="2" t="s">
        <v>12</v>
      </c>
      <c r="I2424" s="2" t="s">
        <v>12</v>
      </c>
      <c r="J2424" s="2" t="s">
        <v>12</v>
      </c>
      <c r="K2424" s="2" t="s">
        <v>12</v>
      </c>
    </row>
    <row r="2425" spans="1:11" ht="12.5" x14ac:dyDescent="0.25">
      <c r="A2425" s="3" t="e">
        <f ca="1"/>
        <v>#NAME?</v>
      </c>
      <c r="B2425" s="2" t="s">
        <v>12</v>
      </c>
      <c r="C2425" s="2" t="s">
        <v>12</v>
      </c>
      <c r="D2425" s="2" t="s">
        <v>12</v>
      </c>
      <c r="E2425" s="2" t="s">
        <v>12</v>
      </c>
      <c r="F2425" s="2" t="s">
        <v>12</v>
      </c>
      <c r="G2425" s="2" t="s">
        <v>12</v>
      </c>
      <c r="H2425" s="2" t="s">
        <v>12</v>
      </c>
      <c r="I2425" s="2" t="s">
        <v>12</v>
      </c>
      <c r="J2425" s="2" t="s">
        <v>12</v>
      </c>
      <c r="K2425" s="2" t="s">
        <v>12</v>
      </c>
    </row>
    <row r="2426" spans="1:11" ht="12.5" x14ac:dyDescent="0.25">
      <c r="A2426" s="3" t="e">
        <f ca="1"/>
        <v>#NAME?</v>
      </c>
      <c r="B2426" s="2" t="s">
        <v>12</v>
      </c>
      <c r="C2426" s="2" t="s">
        <v>12</v>
      </c>
      <c r="D2426" s="2" t="s">
        <v>12</v>
      </c>
      <c r="E2426" s="2" t="s">
        <v>12</v>
      </c>
      <c r="F2426" s="2" t="s">
        <v>12</v>
      </c>
      <c r="G2426" s="2" t="s">
        <v>12</v>
      </c>
      <c r="H2426" s="2" t="s">
        <v>12</v>
      </c>
      <c r="I2426" s="2" t="s">
        <v>12</v>
      </c>
      <c r="J2426" s="2" t="s">
        <v>12</v>
      </c>
      <c r="K2426" s="2" t="s">
        <v>12</v>
      </c>
    </row>
    <row r="2427" spans="1:11" ht="12.5" x14ac:dyDescent="0.25">
      <c r="A2427" s="3" t="e">
        <f ca="1"/>
        <v>#NAME?</v>
      </c>
      <c r="B2427" s="2" t="s">
        <v>12</v>
      </c>
      <c r="C2427" s="2" t="s">
        <v>12</v>
      </c>
      <c r="D2427" s="2" t="s">
        <v>12</v>
      </c>
      <c r="E2427" s="2" t="s">
        <v>12</v>
      </c>
      <c r="F2427" s="2" t="s">
        <v>12</v>
      </c>
      <c r="G2427" s="2" t="s">
        <v>12</v>
      </c>
      <c r="H2427" s="2" t="s">
        <v>12</v>
      </c>
      <c r="I2427" s="2" t="s">
        <v>12</v>
      </c>
      <c r="J2427" s="2" t="s">
        <v>12</v>
      </c>
      <c r="K2427" s="2" t="s">
        <v>12</v>
      </c>
    </row>
    <row r="2428" spans="1:11" ht="12.5" x14ac:dyDescent="0.25">
      <c r="A2428" s="3" t="e">
        <f ca="1"/>
        <v>#NAME?</v>
      </c>
      <c r="B2428" s="2" t="s">
        <v>12</v>
      </c>
      <c r="C2428" s="2" t="s">
        <v>12</v>
      </c>
      <c r="D2428" s="2" t="s">
        <v>12</v>
      </c>
      <c r="E2428" s="2" t="s">
        <v>12</v>
      </c>
      <c r="F2428" s="2" t="s">
        <v>12</v>
      </c>
      <c r="G2428" s="2" t="s">
        <v>12</v>
      </c>
      <c r="H2428" s="2" t="s">
        <v>12</v>
      </c>
      <c r="I2428" s="2" t="s">
        <v>12</v>
      </c>
      <c r="J2428" s="2" t="s">
        <v>12</v>
      </c>
      <c r="K2428" s="2" t="s">
        <v>12</v>
      </c>
    </row>
    <row r="2429" spans="1:11" ht="12.5" x14ac:dyDescent="0.25">
      <c r="A2429" s="3" t="e">
        <f ca="1"/>
        <v>#NAME?</v>
      </c>
      <c r="B2429" s="2" t="s">
        <v>12</v>
      </c>
      <c r="C2429" s="2" t="s">
        <v>12</v>
      </c>
      <c r="D2429" s="2" t="s">
        <v>12</v>
      </c>
      <c r="E2429" s="2" t="s">
        <v>12</v>
      </c>
      <c r="F2429" s="2" t="s">
        <v>12</v>
      </c>
      <c r="G2429" s="2" t="s">
        <v>12</v>
      </c>
      <c r="H2429" s="2" t="s">
        <v>12</v>
      </c>
      <c r="I2429" s="2" t="s">
        <v>12</v>
      </c>
      <c r="J2429" s="2" t="s">
        <v>12</v>
      </c>
      <c r="K2429" s="2" t="s">
        <v>12</v>
      </c>
    </row>
    <row r="2430" spans="1:11" ht="12.5" x14ac:dyDescent="0.25">
      <c r="A2430" s="3" t="e">
        <f ca="1"/>
        <v>#NAME?</v>
      </c>
      <c r="B2430" s="2" t="s">
        <v>12</v>
      </c>
      <c r="C2430" s="2" t="s">
        <v>12</v>
      </c>
      <c r="D2430" s="2" t="s">
        <v>12</v>
      </c>
      <c r="E2430" s="2" t="s">
        <v>12</v>
      </c>
      <c r="F2430" s="2" t="s">
        <v>12</v>
      </c>
      <c r="G2430" s="2" t="s">
        <v>12</v>
      </c>
      <c r="H2430" s="2" t="s">
        <v>12</v>
      </c>
      <c r="I2430" s="2" t="s">
        <v>12</v>
      </c>
      <c r="J2430" s="2" t="s">
        <v>12</v>
      </c>
      <c r="K2430" s="2" t="s">
        <v>12</v>
      </c>
    </row>
    <row r="2431" spans="1:11" ht="12.5" x14ac:dyDescent="0.25">
      <c r="A2431" s="3" t="e">
        <f ca="1"/>
        <v>#NAME?</v>
      </c>
      <c r="B2431" s="2" t="s">
        <v>12</v>
      </c>
      <c r="C2431" s="2" t="s">
        <v>12</v>
      </c>
      <c r="D2431" s="2" t="s">
        <v>12</v>
      </c>
      <c r="E2431" s="2" t="s">
        <v>12</v>
      </c>
      <c r="F2431" s="2" t="s">
        <v>12</v>
      </c>
      <c r="G2431" s="2" t="s">
        <v>12</v>
      </c>
      <c r="H2431" s="2" t="s">
        <v>12</v>
      </c>
      <c r="I2431" s="2" t="s">
        <v>12</v>
      </c>
      <c r="J2431" s="2" t="s">
        <v>12</v>
      </c>
      <c r="K2431" s="2" t="s">
        <v>12</v>
      </c>
    </row>
    <row r="2432" spans="1:11" ht="12.5" x14ac:dyDescent="0.25">
      <c r="A2432" s="3" t="e">
        <f ca="1"/>
        <v>#NAME?</v>
      </c>
      <c r="B2432" s="2" t="s">
        <v>12</v>
      </c>
      <c r="C2432" s="2" t="s">
        <v>12</v>
      </c>
      <c r="D2432" s="2" t="s">
        <v>12</v>
      </c>
      <c r="E2432" s="2" t="s">
        <v>12</v>
      </c>
      <c r="F2432" s="2" t="s">
        <v>12</v>
      </c>
      <c r="G2432" s="2" t="s">
        <v>12</v>
      </c>
      <c r="H2432" s="2" t="s">
        <v>12</v>
      </c>
      <c r="I2432" s="2" t="s">
        <v>12</v>
      </c>
      <c r="J2432" s="2" t="s">
        <v>12</v>
      </c>
      <c r="K2432" s="2" t="s">
        <v>12</v>
      </c>
    </row>
    <row r="2433" spans="1:11" ht="12.5" x14ac:dyDescent="0.25">
      <c r="A2433" s="3" t="e">
        <f ca="1"/>
        <v>#NAME?</v>
      </c>
      <c r="B2433" s="2" t="s">
        <v>12</v>
      </c>
      <c r="C2433" s="2" t="s">
        <v>12</v>
      </c>
      <c r="D2433" s="2" t="s">
        <v>12</v>
      </c>
      <c r="E2433" s="2" t="s">
        <v>12</v>
      </c>
      <c r="F2433" s="2" t="s">
        <v>12</v>
      </c>
      <c r="G2433" s="2" t="s">
        <v>12</v>
      </c>
      <c r="H2433" s="2" t="s">
        <v>12</v>
      </c>
      <c r="I2433" s="2" t="s">
        <v>12</v>
      </c>
      <c r="J2433" s="2" t="s">
        <v>12</v>
      </c>
      <c r="K2433" s="2" t="s">
        <v>12</v>
      </c>
    </row>
    <row r="2434" spans="1:11" ht="12.5" x14ac:dyDescent="0.25">
      <c r="A2434" s="3" t="e">
        <f ca="1"/>
        <v>#NAME?</v>
      </c>
      <c r="B2434" s="2" t="s">
        <v>12</v>
      </c>
      <c r="C2434" s="2" t="s">
        <v>12</v>
      </c>
      <c r="D2434" s="2" t="s">
        <v>12</v>
      </c>
      <c r="E2434" s="2" t="s">
        <v>12</v>
      </c>
      <c r="F2434" s="2" t="s">
        <v>12</v>
      </c>
      <c r="G2434" s="2" t="s">
        <v>12</v>
      </c>
      <c r="H2434" s="2" t="s">
        <v>12</v>
      </c>
      <c r="I2434" s="2" t="s">
        <v>12</v>
      </c>
      <c r="J2434" s="2" t="s">
        <v>12</v>
      </c>
      <c r="K2434" s="2" t="s">
        <v>12</v>
      </c>
    </row>
    <row r="2435" spans="1:11" ht="12.5" x14ac:dyDescent="0.25">
      <c r="A2435" s="3" t="e">
        <f ca="1"/>
        <v>#NAME?</v>
      </c>
      <c r="B2435" s="2" t="s">
        <v>12</v>
      </c>
      <c r="C2435" s="2" t="s">
        <v>12</v>
      </c>
      <c r="D2435" s="2" t="s">
        <v>12</v>
      </c>
      <c r="E2435" s="2" t="s">
        <v>12</v>
      </c>
      <c r="F2435" s="2" t="s">
        <v>12</v>
      </c>
      <c r="G2435" s="2" t="s">
        <v>12</v>
      </c>
      <c r="H2435" s="2" t="s">
        <v>12</v>
      </c>
      <c r="I2435" s="2" t="s">
        <v>12</v>
      </c>
      <c r="J2435" s="2" t="s">
        <v>12</v>
      </c>
      <c r="K2435" s="2" t="s">
        <v>12</v>
      </c>
    </row>
    <row r="2436" spans="1:11" ht="12.5" x14ac:dyDescent="0.25">
      <c r="A2436" s="3" t="e">
        <f ca="1"/>
        <v>#NAME?</v>
      </c>
      <c r="B2436" s="2" t="s">
        <v>12</v>
      </c>
      <c r="C2436" s="2" t="s">
        <v>12</v>
      </c>
      <c r="D2436" s="2" t="s">
        <v>12</v>
      </c>
      <c r="E2436" s="2" t="s">
        <v>12</v>
      </c>
      <c r="F2436" s="2" t="s">
        <v>12</v>
      </c>
      <c r="G2436" s="2" t="s">
        <v>12</v>
      </c>
      <c r="H2436" s="2" t="s">
        <v>12</v>
      </c>
      <c r="I2436" s="2" t="s">
        <v>12</v>
      </c>
      <c r="J2436" s="2" t="s">
        <v>12</v>
      </c>
      <c r="K2436" s="2" t="s">
        <v>12</v>
      </c>
    </row>
    <row r="2437" spans="1:11" ht="12.5" x14ac:dyDescent="0.25">
      <c r="A2437" s="3" t="e">
        <f ca="1"/>
        <v>#NAME?</v>
      </c>
      <c r="B2437" s="2" t="s">
        <v>12</v>
      </c>
      <c r="C2437" s="2" t="s">
        <v>12</v>
      </c>
      <c r="D2437" s="2" t="s">
        <v>12</v>
      </c>
      <c r="E2437" s="2" t="s">
        <v>12</v>
      </c>
      <c r="F2437" s="2" t="s">
        <v>12</v>
      </c>
      <c r="G2437" s="2" t="s">
        <v>12</v>
      </c>
      <c r="H2437" s="2" t="s">
        <v>12</v>
      </c>
      <c r="I2437" s="2" t="s">
        <v>12</v>
      </c>
      <c r="J2437" s="2" t="s">
        <v>12</v>
      </c>
      <c r="K2437" s="2" t="s">
        <v>12</v>
      </c>
    </row>
    <row r="2438" spans="1:11" ht="12.5" x14ac:dyDescent="0.25">
      <c r="A2438" s="3" t="e">
        <f ca="1"/>
        <v>#NAME?</v>
      </c>
      <c r="B2438" s="2" t="s">
        <v>12</v>
      </c>
      <c r="C2438" s="2" t="s">
        <v>12</v>
      </c>
      <c r="D2438" s="2" t="s">
        <v>12</v>
      </c>
      <c r="E2438" s="2" t="s">
        <v>12</v>
      </c>
      <c r="F2438" s="2" t="s">
        <v>12</v>
      </c>
      <c r="G2438" s="2" t="s">
        <v>12</v>
      </c>
      <c r="H2438" s="2" t="s">
        <v>12</v>
      </c>
      <c r="I2438" s="2" t="s">
        <v>12</v>
      </c>
      <c r="J2438" s="2" t="s">
        <v>12</v>
      </c>
      <c r="K2438" s="2" t="s">
        <v>12</v>
      </c>
    </row>
    <row r="2439" spans="1:11" ht="12.5" x14ac:dyDescent="0.25">
      <c r="A2439" s="3" t="e">
        <f ca="1"/>
        <v>#NAME?</v>
      </c>
      <c r="B2439" s="2" t="s">
        <v>12</v>
      </c>
      <c r="C2439" s="2" t="s">
        <v>12</v>
      </c>
      <c r="D2439" s="2" t="s">
        <v>12</v>
      </c>
      <c r="E2439" s="2" t="s">
        <v>12</v>
      </c>
      <c r="F2439" s="2" t="s">
        <v>12</v>
      </c>
      <c r="G2439" s="2" t="s">
        <v>12</v>
      </c>
      <c r="H2439" s="2" t="s">
        <v>12</v>
      </c>
      <c r="I2439" s="2" t="s">
        <v>12</v>
      </c>
      <c r="J2439" s="2" t="s">
        <v>12</v>
      </c>
      <c r="K2439" s="2" t="s">
        <v>12</v>
      </c>
    </row>
    <row r="2440" spans="1:11" ht="12.5" x14ac:dyDescent="0.25">
      <c r="A2440" s="3" t="e">
        <f ca="1"/>
        <v>#NAME?</v>
      </c>
      <c r="B2440" s="2" t="s">
        <v>12</v>
      </c>
      <c r="C2440" s="2" t="s">
        <v>12</v>
      </c>
      <c r="D2440" s="2" t="s">
        <v>12</v>
      </c>
      <c r="E2440" s="2" t="s">
        <v>12</v>
      </c>
      <c r="F2440" s="2" t="s">
        <v>12</v>
      </c>
      <c r="G2440" s="2" t="s">
        <v>12</v>
      </c>
      <c r="H2440" s="2" t="s">
        <v>12</v>
      </c>
      <c r="I2440" s="2" t="s">
        <v>12</v>
      </c>
      <c r="J2440" s="2" t="s">
        <v>12</v>
      </c>
      <c r="K2440" s="2" t="s">
        <v>12</v>
      </c>
    </row>
    <row r="2441" spans="1:11" ht="12.5" x14ac:dyDescent="0.25">
      <c r="A2441" s="3" t="e">
        <f ca="1"/>
        <v>#NAME?</v>
      </c>
      <c r="B2441" s="2" t="s">
        <v>12</v>
      </c>
      <c r="C2441" s="2" t="s">
        <v>12</v>
      </c>
      <c r="D2441" s="2" t="s">
        <v>12</v>
      </c>
      <c r="E2441" s="2" t="s">
        <v>12</v>
      </c>
      <c r="F2441" s="2" t="s">
        <v>12</v>
      </c>
      <c r="G2441" s="2" t="s">
        <v>12</v>
      </c>
      <c r="H2441" s="2" t="s">
        <v>12</v>
      </c>
      <c r="I2441" s="2" t="s">
        <v>12</v>
      </c>
      <c r="J2441" s="2" t="s">
        <v>12</v>
      </c>
      <c r="K2441" s="2" t="s">
        <v>12</v>
      </c>
    </row>
    <row r="2442" spans="1:11" ht="12.5" x14ac:dyDescent="0.25">
      <c r="A2442" s="3" t="e">
        <f ca="1"/>
        <v>#NAME?</v>
      </c>
      <c r="B2442" s="2" t="s">
        <v>12</v>
      </c>
      <c r="C2442" s="2" t="s">
        <v>12</v>
      </c>
      <c r="D2442" s="2" t="s">
        <v>12</v>
      </c>
      <c r="E2442" s="2" t="s">
        <v>12</v>
      </c>
      <c r="F2442" s="2" t="s">
        <v>12</v>
      </c>
      <c r="G2442" s="2" t="s">
        <v>12</v>
      </c>
      <c r="H2442" s="2" t="s">
        <v>12</v>
      </c>
      <c r="I2442" s="2" t="s">
        <v>12</v>
      </c>
      <c r="J2442" s="2" t="s">
        <v>12</v>
      </c>
      <c r="K2442" s="2" t="s">
        <v>12</v>
      </c>
    </row>
    <row r="2443" spans="1:11" ht="12.5" x14ac:dyDescent="0.25">
      <c r="A2443" s="3" t="e">
        <f ca="1"/>
        <v>#NAME?</v>
      </c>
      <c r="B2443" s="2" t="s">
        <v>12</v>
      </c>
      <c r="C2443" s="2" t="s">
        <v>12</v>
      </c>
      <c r="D2443" s="2" t="s">
        <v>12</v>
      </c>
      <c r="E2443" s="2" t="s">
        <v>12</v>
      </c>
      <c r="F2443" s="2" t="s">
        <v>12</v>
      </c>
      <c r="G2443" s="2" t="s">
        <v>12</v>
      </c>
      <c r="H2443" s="2" t="s">
        <v>12</v>
      </c>
      <c r="I2443" s="2" t="s">
        <v>12</v>
      </c>
      <c r="J2443" s="2" t="s">
        <v>12</v>
      </c>
      <c r="K2443" s="2" t="s">
        <v>12</v>
      </c>
    </row>
    <row r="2444" spans="1:11" ht="12.5" x14ac:dyDescent="0.25">
      <c r="A2444" s="3" t="e">
        <f ca="1"/>
        <v>#NAME?</v>
      </c>
      <c r="B2444" s="2" t="s">
        <v>12</v>
      </c>
      <c r="C2444" s="2" t="s">
        <v>12</v>
      </c>
      <c r="D2444" s="2" t="s">
        <v>12</v>
      </c>
      <c r="E2444" s="2" t="s">
        <v>12</v>
      </c>
      <c r="F2444" s="2" t="s">
        <v>12</v>
      </c>
      <c r="G2444" s="2" t="s">
        <v>12</v>
      </c>
      <c r="H2444" s="2" t="s">
        <v>12</v>
      </c>
      <c r="I2444" s="2" t="s">
        <v>12</v>
      </c>
      <c r="J2444" s="2" t="s">
        <v>12</v>
      </c>
      <c r="K2444" s="2" t="s">
        <v>12</v>
      </c>
    </row>
    <row r="2445" spans="1:11" ht="12.5" x14ac:dyDescent="0.25">
      <c r="A2445" s="3" t="e">
        <f ca="1"/>
        <v>#NAME?</v>
      </c>
      <c r="B2445" s="2" t="s">
        <v>12</v>
      </c>
      <c r="C2445" s="2" t="s">
        <v>12</v>
      </c>
      <c r="D2445" s="2" t="s">
        <v>12</v>
      </c>
      <c r="E2445" s="2" t="s">
        <v>12</v>
      </c>
      <c r="F2445" s="2" t="s">
        <v>12</v>
      </c>
      <c r="G2445" s="2" t="s">
        <v>12</v>
      </c>
      <c r="H2445" s="2" t="s">
        <v>12</v>
      </c>
      <c r="I2445" s="2" t="s">
        <v>12</v>
      </c>
      <c r="J2445" s="2" t="s">
        <v>12</v>
      </c>
      <c r="K2445" s="2" t="s">
        <v>12</v>
      </c>
    </row>
    <row r="2446" spans="1:11" ht="12.5" x14ac:dyDescent="0.25">
      <c r="A2446" s="3" t="e">
        <f ca="1"/>
        <v>#NAME?</v>
      </c>
      <c r="B2446" s="2" t="s">
        <v>12</v>
      </c>
      <c r="C2446" s="2" t="s">
        <v>12</v>
      </c>
      <c r="D2446" s="2" t="s">
        <v>12</v>
      </c>
      <c r="E2446" s="2" t="s">
        <v>12</v>
      </c>
      <c r="F2446" s="2" t="s">
        <v>12</v>
      </c>
      <c r="G2446" s="2" t="s">
        <v>12</v>
      </c>
      <c r="H2446" s="2" t="s">
        <v>12</v>
      </c>
      <c r="I2446" s="2" t="s">
        <v>12</v>
      </c>
      <c r="J2446" s="2" t="s">
        <v>12</v>
      </c>
      <c r="K2446" s="2" t="s">
        <v>12</v>
      </c>
    </row>
    <row r="2447" spans="1:11" ht="12.5" x14ac:dyDescent="0.25">
      <c r="A2447" s="3" t="e">
        <f ca="1"/>
        <v>#NAME?</v>
      </c>
      <c r="B2447" s="2" t="s">
        <v>12</v>
      </c>
      <c r="C2447" s="2" t="s">
        <v>12</v>
      </c>
      <c r="D2447" s="2" t="s">
        <v>12</v>
      </c>
      <c r="E2447" s="2" t="s">
        <v>12</v>
      </c>
      <c r="F2447" s="2" t="s">
        <v>12</v>
      </c>
      <c r="G2447" s="2" t="s">
        <v>12</v>
      </c>
      <c r="H2447" s="2" t="s">
        <v>12</v>
      </c>
      <c r="I2447" s="2" t="s">
        <v>12</v>
      </c>
      <c r="J2447" s="2" t="s">
        <v>12</v>
      </c>
      <c r="K2447" s="2" t="s">
        <v>12</v>
      </c>
    </row>
    <row r="2448" spans="1:11" ht="12.5" x14ac:dyDescent="0.25">
      <c r="A2448" s="3" t="e">
        <f ca="1"/>
        <v>#NAME?</v>
      </c>
      <c r="B2448" s="2" t="s">
        <v>12</v>
      </c>
      <c r="C2448" s="2" t="s">
        <v>12</v>
      </c>
      <c r="D2448" s="2" t="s">
        <v>12</v>
      </c>
      <c r="E2448" s="2" t="s">
        <v>12</v>
      </c>
      <c r="F2448" s="2" t="s">
        <v>12</v>
      </c>
      <c r="G2448" s="2" t="s">
        <v>12</v>
      </c>
      <c r="H2448" s="2" t="s">
        <v>12</v>
      </c>
      <c r="I2448" s="2" t="s">
        <v>12</v>
      </c>
      <c r="J2448" s="2" t="s">
        <v>12</v>
      </c>
      <c r="K2448" s="2" t="s">
        <v>12</v>
      </c>
    </row>
    <row r="2449" spans="1:11" ht="12.5" x14ac:dyDescent="0.25">
      <c r="A2449" s="3" t="e">
        <f ca="1"/>
        <v>#NAME?</v>
      </c>
      <c r="B2449" s="2" t="s">
        <v>12</v>
      </c>
      <c r="C2449" s="2" t="s">
        <v>12</v>
      </c>
      <c r="D2449" s="2" t="s">
        <v>12</v>
      </c>
      <c r="E2449" s="2" t="s">
        <v>12</v>
      </c>
      <c r="F2449" s="2" t="s">
        <v>12</v>
      </c>
      <c r="G2449" s="2" t="s">
        <v>12</v>
      </c>
      <c r="H2449" s="2" t="s">
        <v>12</v>
      </c>
      <c r="I2449" s="2" t="s">
        <v>12</v>
      </c>
      <c r="J2449" s="2" t="s">
        <v>12</v>
      </c>
      <c r="K2449" s="2" t="s">
        <v>12</v>
      </c>
    </row>
    <row r="2450" spans="1:11" ht="12.5" x14ac:dyDescent="0.25">
      <c r="A2450" s="3" t="e">
        <f ca="1"/>
        <v>#NAME?</v>
      </c>
      <c r="B2450" s="2" t="s">
        <v>12</v>
      </c>
      <c r="C2450" s="2" t="s">
        <v>12</v>
      </c>
      <c r="D2450" s="2" t="s">
        <v>12</v>
      </c>
      <c r="E2450" s="2" t="s">
        <v>12</v>
      </c>
      <c r="F2450" s="2" t="s">
        <v>12</v>
      </c>
      <c r="G2450" s="2" t="s">
        <v>12</v>
      </c>
      <c r="H2450" s="2" t="s">
        <v>12</v>
      </c>
      <c r="I2450" s="2" t="s">
        <v>12</v>
      </c>
      <c r="J2450" s="2" t="s">
        <v>12</v>
      </c>
      <c r="K2450" s="2" t="s">
        <v>12</v>
      </c>
    </row>
    <row r="2451" spans="1:11" ht="12.5" x14ac:dyDescent="0.25">
      <c r="A2451" s="3" t="e">
        <f ca="1"/>
        <v>#NAME?</v>
      </c>
      <c r="B2451" s="2" t="s">
        <v>12</v>
      </c>
      <c r="C2451" s="2" t="s">
        <v>12</v>
      </c>
      <c r="D2451" s="2" t="s">
        <v>12</v>
      </c>
      <c r="E2451" s="2" t="s">
        <v>12</v>
      </c>
      <c r="F2451" s="2" t="s">
        <v>12</v>
      </c>
      <c r="G2451" s="2" t="s">
        <v>12</v>
      </c>
      <c r="H2451" s="2" t="s">
        <v>12</v>
      </c>
      <c r="I2451" s="2" t="s">
        <v>12</v>
      </c>
      <c r="J2451" s="2" t="s">
        <v>12</v>
      </c>
      <c r="K2451" s="2" t="s">
        <v>12</v>
      </c>
    </row>
    <row r="2452" spans="1:11" ht="12.5" x14ac:dyDescent="0.25">
      <c r="A2452" s="3" t="e">
        <f ca="1"/>
        <v>#NAME?</v>
      </c>
      <c r="B2452" s="2" t="s">
        <v>12</v>
      </c>
      <c r="C2452" s="2" t="s">
        <v>12</v>
      </c>
      <c r="D2452" s="2" t="s">
        <v>12</v>
      </c>
      <c r="E2452" s="2" t="s">
        <v>12</v>
      </c>
      <c r="F2452" s="2" t="s">
        <v>12</v>
      </c>
      <c r="G2452" s="2" t="s">
        <v>12</v>
      </c>
      <c r="H2452" s="2" t="s">
        <v>12</v>
      </c>
      <c r="I2452" s="2" t="s">
        <v>12</v>
      </c>
      <c r="J2452" s="2" t="s">
        <v>12</v>
      </c>
      <c r="K2452" s="2" t="s">
        <v>12</v>
      </c>
    </row>
    <row r="2453" spans="1:11" ht="12.5" x14ac:dyDescent="0.25">
      <c r="A2453" s="3" t="e">
        <f ca="1"/>
        <v>#NAME?</v>
      </c>
      <c r="B2453" s="2" t="s">
        <v>12</v>
      </c>
      <c r="C2453" s="2" t="s">
        <v>12</v>
      </c>
      <c r="D2453" s="2" t="s">
        <v>12</v>
      </c>
      <c r="E2453" s="2" t="s">
        <v>12</v>
      </c>
      <c r="F2453" s="2" t="s">
        <v>12</v>
      </c>
      <c r="G2453" s="2" t="s">
        <v>12</v>
      </c>
      <c r="H2453" s="2" t="s">
        <v>12</v>
      </c>
      <c r="I2453" s="2" t="s">
        <v>12</v>
      </c>
      <c r="J2453" s="2" t="s">
        <v>12</v>
      </c>
      <c r="K2453" s="2" t="s">
        <v>12</v>
      </c>
    </row>
    <row r="2454" spans="1:11" ht="12.5" x14ac:dyDescent="0.25">
      <c r="A2454" s="3" t="e">
        <f ca="1"/>
        <v>#NAME?</v>
      </c>
      <c r="B2454" s="2" t="s">
        <v>12</v>
      </c>
      <c r="C2454" s="2" t="s">
        <v>12</v>
      </c>
      <c r="D2454" s="2" t="s">
        <v>12</v>
      </c>
      <c r="E2454" s="2" t="s">
        <v>12</v>
      </c>
      <c r="F2454" s="2" t="s">
        <v>12</v>
      </c>
      <c r="G2454" s="2" t="s">
        <v>12</v>
      </c>
      <c r="H2454" s="2" t="s">
        <v>12</v>
      </c>
      <c r="I2454" s="2" t="s">
        <v>12</v>
      </c>
      <c r="J2454" s="2" t="s">
        <v>12</v>
      </c>
      <c r="K2454" s="2" t="s">
        <v>12</v>
      </c>
    </row>
    <row r="2455" spans="1:11" ht="12.5" x14ac:dyDescent="0.25">
      <c r="A2455" s="3" t="e">
        <f ca="1"/>
        <v>#NAME?</v>
      </c>
      <c r="B2455" s="2" t="s">
        <v>12</v>
      </c>
      <c r="C2455" s="2" t="s">
        <v>12</v>
      </c>
      <c r="D2455" s="2" t="s">
        <v>12</v>
      </c>
      <c r="E2455" s="2" t="s">
        <v>12</v>
      </c>
      <c r="F2455" s="2" t="s">
        <v>12</v>
      </c>
      <c r="G2455" s="2" t="s">
        <v>12</v>
      </c>
      <c r="H2455" s="2" t="s">
        <v>12</v>
      </c>
      <c r="I2455" s="2" t="s">
        <v>12</v>
      </c>
      <c r="J2455" s="2" t="s">
        <v>12</v>
      </c>
      <c r="K2455" s="2" t="s">
        <v>12</v>
      </c>
    </row>
    <row r="2456" spans="1:11" ht="12.5" x14ac:dyDescent="0.25">
      <c r="A2456" s="3" t="e">
        <f ca="1"/>
        <v>#NAME?</v>
      </c>
      <c r="B2456" s="2" t="s">
        <v>12</v>
      </c>
      <c r="C2456" s="2" t="s">
        <v>12</v>
      </c>
      <c r="D2456" s="2" t="s">
        <v>12</v>
      </c>
      <c r="E2456" s="2" t="s">
        <v>12</v>
      </c>
      <c r="F2456" s="2" t="s">
        <v>12</v>
      </c>
      <c r="G2456" s="2" t="s">
        <v>12</v>
      </c>
      <c r="H2456" s="2" t="s">
        <v>12</v>
      </c>
      <c r="I2456" s="2" t="s">
        <v>12</v>
      </c>
      <c r="J2456" s="2" t="s">
        <v>12</v>
      </c>
      <c r="K2456" s="2" t="s">
        <v>12</v>
      </c>
    </row>
    <row r="2457" spans="1:11" ht="12.5" x14ac:dyDescent="0.25">
      <c r="A2457" s="3" t="e">
        <f ca="1"/>
        <v>#NAME?</v>
      </c>
      <c r="B2457" s="2" t="s">
        <v>12</v>
      </c>
      <c r="C2457" s="2" t="s">
        <v>12</v>
      </c>
      <c r="D2457" s="2" t="s">
        <v>12</v>
      </c>
      <c r="E2457" s="2" t="s">
        <v>12</v>
      </c>
      <c r="F2457" s="2" t="s">
        <v>12</v>
      </c>
      <c r="G2457" s="2" t="s">
        <v>12</v>
      </c>
      <c r="H2457" s="2" t="s">
        <v>12</v>
      </c>
      <c r="I2457" s="2" t="s">
        <v>12</v>
      </c>
      <c r="J2457" s="2" t="s">
        <v>12</v>
      </c>
      <c r="K2457" s="2" t="s">
        <v>12</v>
      </c>
    </row>
    <row r="2458" spans="1:11" ht="12.5" x14ac:dyDescent="0.25">
      <c r="A2458" s="3" t="e">
        <f ca="1"/>
        <v>#NAME?</v>
      </c>
      <c r="B2458" s="2" t="s">
        <v>12</v>
      </c>
      <c r="C2458" s="2" t="s">
        <v>12</v>
      </c>
      <c r="D2458" s="2" t="s">
        <v>12</v>
      </c>
      <c r="E2458" s="2" t="s">
        <v>12</v>
      </c>
      <c r="F2458" s="2" t="s">
        <v>12</v>
      </c>
      <c r="G2458" s="2" t="s">
        <v>12</v>
      </c>
      <c r="H2458" s="2" t="s">
        <v>12</v>
      </c>
      <c r="I2458" s="2" t="s">
        <v>12</v>
      </c>
      <c r="J2458" s="2" t="s">
        <v>12</v>
      </c>
      <c r="K2458" s="2" t="s">
        <v>12</v>
      </c>
    </row>
    <row r="2459" spans="1:11" ht="12.5" x14ac:dyDescent="0.25">
      <c r="A2459" s="3" t="e">
        <f ca="1"/>
        <v>#NAME?</v>
      </c>
      <c r="B2459" s="2" t="s">
        <v>12</v>
      </c>
      <c r="C2459" s="2" t="s">
        <v>12</v>
      </c>
      <c r="D2459" s="2" t="s">
        <v>12</v>
      </c>
      <c r="E2459" s="2" t="s">
        <v>12</v>
      </c>
      <c r="F2459" s="2" t="s">
        <v>12</v>
      </c>
      <c r="G2459" s="2" t="s">
        <v>12</v>
      </c>
      <c r="H2459" s="2" t="s">
        <v>12</v>
      </c>
      <c r="I2459" s="2" t="s">
        <v>12</v>
      </c>
      <c r="J2459" s="2" t="s">
        <v>12</v>
      </c>
      <c r="K2459" s="2" t="s">
        <v>12</v>
      </c>
    </row>
    <row r="2460" spans="1:11" ht="12.5" x14ac:dyDescent="0.25">
      <c r="A2460" s="3" t="e">
        <f ca="1"/>
        <v>#NAME?</v>
      </c>
      <c r="B2460" s="2" t="s">
        <v>12</v>
      </c>
      <c r="C2460" s="2" t="s">
        <v>12</v>
      </c>
      <c r="D2460" s="2" t="s">
        <v>12</v>
      </c>
      <c r="E2460" s="2" t="s">
        <v>12</v>
      </c>
      <c r="F2460" s="2" t="s">
        <v>12</v>
      </c>
      <c r="G2460" s="2" t="s">
        <v>12</v>
      </c>
      <c r="H2460" s="2" t="s">
        <v>12</v>
      </c>
      <c r="I2460" s="2" t="s">
        <v>12</v>
      </c>
      <c r="J2460" s="2" t="s">
        <v>12</v>
      </c>
      <c r="K2460" s="2" t="s">
        <v>12</v>
      </c>
    </row>
    <row r="2461" spans="1:11" ht="12.5" x14ac:dyDescent="0.25">
      <c r="A2461" s="3" t="e">
        <f ca="1"/>
        <v>#NAME?</v>
      </c>
      <c r="B2461" s="2" t="s">
        <v>12</v>
      </c>
      <c r="C2461" s="2" t="s">
        <v>12</v>
      </c>
      <c r="D2461" s="2" t="s">
        <v>12</v>
      </c>
      <c r="E2461" s="2" t="s">
        <v>12</v>
      </c>
      <c r="F2461" s="2" t="s">
        <v>12</v>
      </c>
      <c r="G2461" s="2" t="s">
        <v>12</v>
      </c>
      <c r="H2461" s="2" t="s">
        <v>12</v>
      </c>
      <c r="I2461" s="2" t="s">
        <v>12</v>
      </c>
      <c r="J2461" s="2" t="s">
        <v>12</v>
      </c>
      <c r="K2461" s="2" t="s">
        <v>12</v>
      </c>
    </row>
    <row r="2462" spans="1:11" ht="12.5" x14ac:dyDescent="0.25">
      <c r="A2462" s="3" t="e">
        <f ca="1"/>
        <v>#NAME?</v>
      </c>
      <c r="B2462" s="2" t="s">
        <v>12</v>
      </c>
      <c r="C2462" s="2" t="s">
        <v>12</v>
      </c>
      <c r="D2462" s="2" t="s">
        <v>12</v>
      </c>
      <c r="E2462" s="2" t="s">
        <v>12</v>
      </c>
      <c r="F2462" s="2" t="s">
        <v>12</v>
      </c>
      <c r="G2462" s="2" t="s">
        <v>12</v>
      </c>
      <c r="H2462" s="2" t="s">
        <v>12</v>
      </c>
      <c r="I2462" s="2" t="s">
        <v>12</v>
      </c>
      <c r="J2462" s="2" t="s">
        <v>12</v>
      </c>
      <c r="K2462" s="2" t="s">
        <v>12</v>
      </c>
    </row>
    <row r="2463" spans="1:11" ht="12.5" x14ac:dyDescent="0.25">
      <c r="A2463" s="3" t="e">
        <f ca="1"/>
        <v>#NAME?</v>
      </c>
      <c r="B2463" s="2" t="s">
        <v>12</v>
      </c>
      <c r="C2463" s="2" t="s">
        <v>12</v>
      </c>
      <c r="D2463" s="2" t="s">
        <v>12</v>
      </c>
      <c r="E2463" s="2" t="s">
        <v>12</v>
      </c>
      <c r="F2463" s="2" t="s">
        <v>12</v>
      </c>
      <c r="G2463" s="2" t="s">
        <v>12</v>
      </c>
      <c r="H2463" s="2" t="s">
        <v>12</v>
      </c>
      <c r="I2463" s="2" t="s">
        <v>12</v>
      </c>
      <c r="J2463" s="2" t="s">
        <v>12</v>
      </c>
      <c r="K2463" s="2" t="s">
        <v>12</v>
      </c>
    </row>
    <row r="2464" spans="1:11" ht="12.5" x14ac:dyDescent="0.25">
      <c r="A2464" s="3" t="e">
        <f ca="1"/>
        <v>#NAME?</v>
      </c>
      <c r="B2464" s="2" t="s">
        <v>12</v>
      </c>
      <c r="C2464" s="2" t="s">
        <v>12</v>
      </c>
      <c r="D2464" s="2" t="s">
        <v>12</v>
      </c>
      <c r="E2464" s="2" t="s">
        <v>12</v>
      </c>
      <c r="F2464" s="2" t="s">
        <v>12</v>
      </c>
      <c r="G2464" s="2" t="s">
        <v>12</v>
      </c>
      <c r="H2464" s="2" t="s">
        <v>12</v>
      </c>
      <c r="I2464" s="2" t="s">
        <v>12</v>
      </c>
      <c r="J2464" s="2" t="s">
        <v>12</v>
      </c>
      <c r="K2464" s="2" t="s">
        <v>12</v>
      </c>
    </row>
    <row r="2465" spans="1:11" ht="12.5" x14ac:dyDescent="0.25">
      <c r="A2465" s="3" t="e">
        <f ca="1"/>
        <v>#NAME?</v>
      </c>
      <c r="B2465" s="2" t="s">
        <v>12</v>
      </c>
      <c r="C2465" s="2" t="s">
        <v>12</v>
      </c>
      <c r="D2465" s="2" t="s">
        <v>12</v>
      </c>
      <c r="E2465" s="2" t="s">
        <v>12</v>
      </c>
      <c r="F2465" s="2" t="s">
        <v>12</v>
      </c>
      <c r="G2465" s="2" t="s">
        <v>12</v>
      </c>
      <c r="H2465" s="2" t="s">
        <v>12</v>
      </c>
      <c r="I2465" s="2" t="s">
        <v>12</v>
      </c>
      <c r="J2465" s="2" t="s">
        <v>12</v>
      </c>
      <c r="K2465" s="2" t="s">
        <v>12</v>
      </c>
    </row>
    <row r="2466" spans="1:11" ht="12.5" x14ac:dyDescent="0.25">
      <c r="A2466" s="3" t="e">
        <f ca="1"/>
        <v>#NAME?</v>
      </c>
      <c r="B2466" s="2" t="s">
        <v>12</v>
      </c>
      <c r="C2466" s="2" t="s">
        <v>12</v>
      </c>
      <c r="D2466" s="2" t="s">
        <v>12</v>
      </c>
      <c r="E2466" s="2" t="s">
        <v>12</v>
      </c>
      <c r="F2466" s="2" t="s">
        <v>12</v>
      </c>
      <c r="G2466" s="2" t="s">
        <v>12</v>
      </c>
      <c r="H2466" s="2" t="s">
        <v>12</v>
      </c>
      <c r="I2466" s="2" t="s">
        <v>12</v>
      </c>
      <c r="J2466" s="2" t="s">
        <v>12</v>
      </c>
      <c r="K2466" s="2" t="s">
        <v>12</v>
      </c>
    </row>
    <row r="2467" spans="1:11" ht="12.5" x14ac:dyDescent="0.25">
      <c r="A2467" s="3" t="e">
        <f ca="1"/>
        <v>#NAME?</v>
      </c>
      <c r="B2467" s="2" t="s">
        <v>12</v>
      </c>
      <c r="C2467" s="2" t="s">
        <v>12</v>
      </c>
      <c r="D2467" s="2" t="s">
        <v>12</v>
      </c>
      <c r="E2467" s="2" t="s">
        <v>12</v>
      </c>
      <c r="F2467" s="2" t="s">
        <v>12</v>
      </c>
      <c r="G2467" s="2" t="s">
        <v>12</v>
      </c>
      <c r="H2467" s="2" t="s">
        <v>12</v>
      </c>
      <c r="I2467" s="2" t="s">
        <v>12</v>
      </c>
      <c r="J2467" s="2" t="s">
        <v>12</v>
      </c>
      <c r="K2467" s="2" t="s">
        <v>12</v>
      </c>
    </row>
    <row r="2468" spans="1:11" ht="12.5" x14ac:dyDescent="0.25">
      <c r="A2468" s="3" t="e">
        <f ca="1"/>
        <v>#NAME?</v>
      </c>
      <c r="B2468" s="2" t="s">
        <v>12</v>
      </c>
      <c r="C2468" s="2" t="s">
        <v>12</v>
      </c>
      <c r="D2468" s="2" t="s">
        <v>12</v>
      </c>
      <c r="E2468" s="2" t="s">
        <v>12</v>
      </c>
      <c r="F2468" s="2" t="s">
        <v>12</v>
      </c>
      <c r="G2468" s="2" t="s">
        <v>12</v>
      </c>
      <c r="H2468" s="2" t="s">
        <v>12</v>
      </c>
      <c r="I2468" s="2" t="s">
        <v>12</v>
      </c>
      <c r="J2468" s="2" t="s">
        <v>12</v>
      </c>
      <c r="K2468" s="2" t="s">
        <v>12</v>
      </c>
    </row>
    <row r="2469" spans="1:11" ht="12.5" x14ac:dyDescent="0.25">
      <c r="A2469" s="3" t="e">
        <f ca="1"/>
        <v>#NAME?</v>
      </c>
      <c r="B2469" s="2" t="s">
        <v>12</v>
      </c>
      <c r="C2469" s="2" t="s">
        <v>12</v>
      </c>
      <c r="D2469" s="2" t="s">
        <v>12</v>
      </c>
      <c r="E2469" s="2" t="s">
        <v>12</v>
      </c>
      <c r="F2469" s="2" t="s">
        <v>12</v>
      </c>
      <c r="G2469" s="2" t="s">
        <v>12</v>
      </c>
      <c r="H2469" s="2" t="s">
        <v>12</v>
      </c>
      <c r="I2469" s="2" t="s">
        <v>12</v>
      </c>
      <c r="J2469" s="2" t="s">
        <v>12</v>
      </c>
      <c r="K2469" s="2" t="s">
        <v>12</v>
      </c>
    </row>
    <row r="2470" spans="1:11" ht="12.5" x14ac:dyDescent="0.25">
      <c r="A2470" s="3" t="e">
        <f ca="1"/>
        <v>#NAME?</v>
      </c>
      <c r="B2470" s="2" t="s">
        <v>12</v>
      </c>
      <c r="C2470" s="2" t="s">
        <v>12</v>
      </c>
      <c r="D2470" s="2" t="s">
        <v>12</v>
      </c>
      <c r="E2470" s="2" t="s">
        <v>12</v>
      </c>
      <c r="F2470" s="2" t="s">
        <v>12</v>
      </c>
      <c r="G2470" s="2" t="s">
        <v>12</v>
      </c>
      <c r="H2470" s="2" t="s">
        <v>12</v>
      </c>
      <c r="I2470" s="2" t="s">
        <v>12</v>
      </c>
      <c r="J2470" s="2" t="s">
        <v>12</v>
      </c>
      <c r="K2470" s="2" t="s">
        <v>12</v>
      </c>
    </row>
    <row r="2471" spans="1:11" ht="12.5" x14ac:dyDescent="0.25">
      <c r="A2471" s="3" t="e">
        <f ca="1"/>
        <v>#NAME?</v>
      </c>
      <c r="B2471" s="2" t="s">
        <v>12</v>
      </c>
      <c r="C2471" s="2" t="s">
        <v>12</v>
      </c>
      <c r="D2471" s="2" t="s">
        <v>12</v>
      </c>
      <c r="E2471" s="2" t="s">
        <v>12</v>
      </c>
      <c r="F2471" s="2" t="s">
        <v>12</v>
      </c>
      <c r="G2471" s="2" t="s">
        <v>12</v>
      </c>
      <c r="H2471" s="2" t="s">
        <v>12</v>
      </c>
      <c r="I2471" s="2" t="s">
        <v>12</v>
      </c>
      <c r="J2471" s="2" t="s">
        <v>12</v>
      </c>
      <c r="K2471" s="2" t="s">
        <v>12</v>
      </c>
    </row>
    <row r="2472" spans="1:11" ht="12.5" x14ac:dyDescent="0.25">
      <c r="A2472" s="3" t="e">
        <f ca="1"/>
        <v>#NAME?</v>
      </c>
      <c r="B2472" s="2" t="s">
        <v>12</v>
      </c>
      <c r="C2472" s="2" t="s">
        <v>12</v>
      </c>
      <c r="D2472" s="2" t="s">
        <v>12</v>
      </c>
      <c r="E2472" s="2" t="s">
        <v>12</v>
      </c>
      <c r="F2472" s="2" t="s">
        <v>12</v>
      </c>
      <c r="G2472" s="2" t="s">
        <v>12</v>
      </c>
      <c r="H2472" s="2" t="s">
        <v>12</v>
      </c>
      <c r="I2472" s="2" t="s">
        <v>12</v>
      </c>
      <c r="J2472" s="2" t="s">
        <v>12</v>
      </c>
      <c r="K2472" s="2" t="s">
        <v>12</v>
      </c>
    </row>
    <row r="2473" spans="1:11" ht="12.5" x14ac:dyDescent="0.25">
      <c r="A2473" s="3" t="e">
        <f ca="1"/>
        <v>#NAME?</v>
      </c>
      <c r="B2473" s="2" t="s">
        <v>12</v>
      </c>
      <c r="C2473" s="2" t="s">
        <v>12</v>
      </c>
      <c r="D2473" s="2" t="s">
        <v>12</v>
      </c>
      <c r="E2473" s="2" t="s">
        <v>12</v>
      </c>
      <c r="F2473" s="2" t="s">
        <v>12</v>
      </c>
      <c r="G2473" s="2" t="s">
        <v>12</v>
      </c>
      <c r="H2473" s="2" t="s">
        <v>12</v>
      </c>
      <c r="I2473" s="2" t="s">
        <v>12</v>
      </c>
      <c r="J2473" s="2" t="s">
        <v>12</v>
      </c>
      <c r="K2473" s="2" t="s">
        <v>12</v>
      </c>
    </row>
    <row r="2474" spans="1:11" ht="12.5" x14ac:dyDescent="0.25">
      <c r="A2474" s="3" t="e">
        <f ca="1"/>
        <v>#NAME?</v>
      </c>
      <c r="B2474" s="2" t="s">
        <v>12</v>
      </c>
      <c r="C2474" s="2" t="s">
        <v>12</v>
      </c>
      <c r="D2474" s="2" t="s">
        <v>12</v>
      </c>
      <c r="E2474" s="2" t="s">
        <v>12</v>
      </c>
      <c r="F2474" s="2" t="s">
        <v>12</v>
      </c>
      <c r="G2474" s="2" t="s">
        <v>12</v>
      </c>
      <c r="H2474" s="2" t="s">
        <v>12</v>
      </c>
      <c r="I2474" s="2" t="s">
        <v>12</v>
      </c>
      <c r="J2474" s="2" t="s">
        <v>12</v>
      </c>
      <c r="K2474" s="2" t="s">
        <v>12</v>
      </c>
    </row>
    <row r="2475" spans="1:11" ht="12.5" x14ac:dyDescent="0.25">
      <c r="A2475" s="3" t="e">
        <f ca="1"/>
        <v>#NAME?</v>
      </c>
      <c r="B2475" s="2" t="s">
        <v>12</v>
      </c>
      <c r="C2475" s="2" t="s">
        <v>12</v>
      </c>
      <c r="D2475" s="2" t="s">
        <v>12</v>
      </c>
      <c r="E2475" s="2" t="s">
        <v>12</v>
      </c>
      <c r="F2475" s="2" t="s">
        <v>12</v>
      </c>
      <c r="G2475" s="2" t="s">
        <v>12</v>
      </c>
      <c r="H2475" s="2" t="s">
        <v>12</v>
      </c>
      <c r="I2475" s="2" t="s">
        <v>12</v>
      </c>
      <c r="J2475" s="2" t="s">
        <v>12</v>
      </c>
      <c r="K2475" s="2" t="s">
        <v>12</v>
      </c>
    </row>
    <row r="2476" spans="1:11" ht="12.5" x14ac:dyDescent="0.25">
      <c r="A2476" s="3" t="e">
        <f ca="1"/>
        <v>#NAME?</v>
      </c>
      <c r="B2476" s="2" t="s">
        <v>12</v>
      </c>
      <c r="C2476" s="2" t="s">
        <v>12</v>
      </c>
      <c r="D2476" s="2" t="s">
        <v>12</v>
      </c>
      <c r="E2476" s="2" t="s">
        <v>12</v>
      </c>
      <c r="F2476" s="2" t="s">
        <v>12</v>
      </c>
      <c r="G2476" s="2" t="s">
        <v>12</v>
      </c>
      <c r="H2476" s="2" t="s">
        <v>12</v>
      </c>
      <c r="I2476" s="2" t="s">
        <v>12</v>
      </c>
      <c r="J2476" s="2" t="s">
        <v>12</v>
      </c>
      <c r="K2476" s="2" t="s">
        <v>12</v>
      </c>
    </row>
    <row r="2477" spans="1:11" ht="12.5" x14ac:dyDescent="0.25">
      <c r="A2477" s="3" t="e">
        <f ca="1"/>
        <v>#NAME?</v>
      </c>
      <c r="B2477" s="2" t="s">
        <v>12</v>
      </c>
      <c r="C2477" s="2" t="s">
        <v>12</v>
      </c>
      <c r="D2477" s="2" t="s">
        <v>12</v>
      </c>
      <c r="E2477" s="2" t="s">
        <v>12</v>
      </c>
      <c r="F2477" s="2" t="s">
        <v>12</v>
      </c>
      <c r="G2477" s="2" t="s">
        <v>12</v>
      </c>
      <c r="H2477" s="2" t="s">
        <v>12</v>
      </c>
      <c r="I2477" s="2" t="s">
        <v>12</v>
      </c>
      <c r="J2477" s="2" t="s">
        <v>12</v>
      </c>
      <c r="K2477" s="2" t="s">
        <v>12</v>
      </c>
    </row>
    <row r="2478" spans="1:11" ht="12.5" x14ac:dyDescent="0.25">
      <c r="A2478" s="3" t="e">
        <f ca="1"/>
        <v>#NAME?</v>
      </c>
      <c r="B2478" s="2" t="s">
        <v>12</v>
      </c>
      <c r="C2478" s="2" t="s">
        <v>12</v>
      </c>
      <c r="D2478" s="2" t="s">
        <v>12</v>
      </c>
      <c r="E2478" s="2" t="s">
        <v>12</v>
      </c>
      <c r="F2478" s="2" t="s">
        <v>12</v>
      </c>
      <c r="G2478" s="2" t="s">
        <v>12</v>
      </c>
      <c r="H2478" s="2" t="s">
        <v>12</v>
      </c>
      <c r="I2478" s="2" t="s">
        <v>12</v>
      </c>
      <c r="J2478" s="2" t="s">
        <v>12</v>
      </c>
      <c r="K2478" s="2" t="s">
        <v>12</v>
      </c>
    </row>
    <row r="2479" spans="1:11" ht="12.5" x14ac:dyDescent="0.25">
      <c r="A2479" s="3" t="e">
        <f ca="1"/>
        <v>#NAME?</v>
      </c>
      <c r="B2479" s="2" t="s">
        <v>12</v>
      </c>
      <c r="C2479" s="2" t="s">
        <v>12</v>
      </c>
      <c r="D2479" s="2" t="s">
        <v>12</v>
      </c>
      <c r="E2479" s="2" t="s">
        <v>12</v>
      </c>
      <c r="F2479" s="2" t="s">
        <v>12</v>
      </c>
      <c r="G2479" s="2" t="s">
        <v>12</v>
      </c>
      <c r="H2479" s="2" t="s">
        <v>12</v>
      </c>
      <c r="I2479" s="2" t="s">
        <v>12</v>
      </c>
      <c r="J2479" s="2" t="s">
        <v>12</v>
      </c>
      <c r="K2479" s="2" t="s">
        <v>12</v>
      </c>
    </row>
    <row r="2480" spans="1:11" ht="12.5" x14ac:dyDescent="0.25">
      <c r="A2480" s="3" t="e">
        <f ca="1"/>
        <v>#NAME?</v>
      </c>
      <c r="B2480" s="2" t="s">
        <v>12</v>
      </c>
      <c r="C2480" s="2" t="s">
        <v>12</v>
      </c>
      <c r="D2480" s="2" t="s">
        <v>12</v>
      </c>
      <c r="E2480" s="2" t="s">
        <v>12</v>
      </c>
      <c r="F2480" s="2" t="s">
        <v>12</v>
      </c>
      <c r="G2480" s="2" t="s">
        <v>12</v>
      </c>
      <c r="H2480" s="2" t="s">
        <v>12</v>
      </c>
      <c r="I2480" s="2" t="s">
        <v>12</v>
      </c>
      <c r="J2480" s="2" t="s">
        <v>12</v>
      </c>
      <c r="K2480" s="2" t="s">
        <v>12</v>
      </c>
    </row>
    <row r="2481" spans="1:11" ht="12.5" x14ac:dyDescent="0.25">
      <c r="A2481" s="3" t="e">
        <f ca="1"/>
        <v>#NAME?</v>
      </c>
      <c r="B2481" s="2" t="s">
        <v>12</v>
      </c>
      <c r="C2481" s="2" t="s">
        <v>12</v>
      </c>
      <c r="D2481" s="2" t="s">
        <v>12</v>
      </c>
      <c r="E2481" s="2" t="s">
        <v>12</v>
      </c>
      <c r="F2481" s="2" t="s">
        <v>12</v>
      </c>
      <c r="G2481" s="2" t="s">
        <v>12</v>
      </c>
      <c r="H2481" s="2" t="s">
        <v>12</v>
      </c>
      <c r="I2481" s="2" t="s">
        <v>12</v>
      </c>
      <c r="J2481" s="2" t="s">
        <v>12</v>
      </c>
      <c r="K2481" s="2" t="s">
        <v>12</v>
      </c>
    </row>
    <row r="2482" spans="1:11" ht="12.5" x14ac:dyDescent="0.25">
      <c r="A2482" s="3" t="e">
        <f ca="1"/>
        <v>#NAME?</v>
      </c>
      <c r="B2482" s="2" t="s">
        <v>12</v>
      </c>
      <c r="C2482" s="2" t="s">
        <v>12</v>
      </c>
      <c r="D2482" s="2" t="s">
        <v>12</v>
      </c>
      <c r="E2482" s="2" t="s">
        <v>12</v>
      </c>
      <c r="F2482" s="2" t="s">
        <v>12</v>
      </c>
      <c r="G2482" s="2" t="s">
        <v>12</v>
      </c>
      <c r="H2482" s="2" t="s">
        <v>12</v>
      </c>
      <c r="I2482" s="2" t="s">
        <v>12</v>
      </c>
      <c r="J2482" s="2" t="s">
        <v>12</v>
      </c>
      <c r="K2482" s="2" t="s">
        <v>12</v>
      </c>
    </row>
    <row r="2483" spans="1:11" ht="12.5" x14ac:dyDescent="0.25">
      <c r="A2483" s="3" t="e">
        <f ca="1"/>
        <v>#NAME?</v>
      </c>
      <c r="B2483" s="2" t="s">
        <v>12</v>
      </c>
      <c r="C2483" s="2" t="s">
        <v>12</v>
      </c>
      <c r="D2483" s="2" t="s">
        <v>12</v>
      </c>
      <c r="E2483" s="2" t="s">
        <v>12</v>
      </c>
      <c r="F2483" s="2" t="s">
        <v>12</v>
      </c>
      <c r="G2483" s="2" t="s">
        <v>12</v>
      </c>
      <c r="H2483" s="2" t="s">
        <v>12</v>
      </c>
      <c r="I2483" s="2" t="s">
        <v>12</v>
      </c>
      <c r="J2483" s="2" t="s">
        <v>12</v>
      </c>
      <c r="K2483" s="2" t="s">
        <v>12</v>
      </c>
    </row>
    <row r="2484" spans="1:11" ht="12.5" x14ac:dyDescent="0.25">
      <c r="A2484" s="3" t="e">
        <f ca="1"/>
        <v>#NAME?</v>
      </c>
      <c r="B2484" s="2" t="s">
        <v>12</v>
      </c>
      <c r="C2484" s="2" t="s">
        <v>12</v>
      </c>
      <c r="D2484" s="2" t="s">
        <v>12</v>
      </c>
      <c r="E2484" s="2" t="s">
        <v>12</v>
      </c>
      <c r="F2484" s="2" t="s">
        <v>12</v>
      </c>
      <c r="G2484" s="2" t="s">
        <v>12</v>
      </c>
      <c r="H2484" s="2" t="s">
        <v>12</v>
      </c>
      <c r="I2484" s="2" t="s">
        <v>12</v>
      </c>
      <c r="J2484" s="2" t="s">
        <v>12</v>
      </c>
      <c r="K2484" s="2" t="s">
        <v>12</v>
      </c>
    </row>
    <row r="2485" spans="1:11" ht="12.5" x14ac:dyDescent="0.25">
      <c r="A2485" s="3" t="e">
        <f ca="1"/>
        <v>#NAME?</v>
      </c>
      <c r="B2485" s="2" t="s">
        <v>12</v>
      </c>
      <c r="C2485" s="2" t="s">
        <v>12</v>
      </c>
      <c r="D2485" s="2" t="s">
        <v>12</v>
      </c>
      <c r="E2485" s="2" t="s">
        <v>12</v>
      </c>
      <c r="F2485" s="2" t="s">
        <v>12</v>
      </c>
      <c r="G2485" s="2" t="s">
        <v>12</v>
      </c>
      <c r="H2485" s="2" t="s">
        <v>12</v>
      </c>
      <c r="I2485" s="2" t="s">
        <v>12</v>
      </c>
      <c r="J2485" s="2" t="s">
        <v>12</v>
      </c>
      <c r="K2485" s="2" t="s">
        <v>12</v>
      </c>
    </row>
    <row r="2486" spans="1:11" ht="12.5" x14ac:dyDescent="0.25">
      <c r="A2486" s="3" t="e">
        <f ca="1"/>
        <v>#NAME?</v>
      </c>
      <c r="B2486" s="2" t="s">
        <v>12</v>
      </c>
      <c r="C2486" s="2" t="s">
        <v>12</v>
      </c>
      <c r="D2486" s="2" t="s">
        <v>12</v>
      </c>
      <c r="E2486" s="2" t="s">
        <v>12</v>
      </c>
      <c r="F2486" s="2" t="s">
        <v>12</v>
      </c>
      <c r="G2486" s="2" t="s">
        <v>12</v>
      </c>
      <c r="H2486" s="2" t="s">
        <v>12</v>
      </c>
      <c r="I2486" s="2" t="s">
        <v>12</v>
      </c>
      <c r="J2486" s="2" t="s">
        <v>12</v>
      </c>
      <c r="K2486" s="2" t="s">
        <v>12</v>
      </c>
    </row>
    <row r="2487" spans="1:11" ht="12.5" x14ac:dyDescent="0.25">
      <c r="A2487" s="3" t="e">
        <f ca="1"/>
        <v>#NAME?</v>
      </c>
      <c r="B2487" s="2" t="s">
        <v>12</v>
      </c>
      <c r="C2487" s="2" t="s">
        <v>12</v>
      </c>
      <c r="D2487" s="2" t="s">
        <v>12</v>
      </c>
      <c r="E2487" s="2" t="s">
        <v>12</v>
      </c>
      <c r="F2487" s="2" t="s">
        <v>12</v>
      </c>
      <c r="G2487" s="2" t="s">
        <v>12</v>
      </c>
      <c r="H2487" s="2" t="s">
        <v>12</v>
      </c>
      <c r="I2487" s="2" t="s">
        <v>12</v>
      </c>
      <c r="J2487" s="2" t="s">
        <v>12</v>
      </c>
      <c r="K2487" s="2" t="s">
        <v>12</v>
      </c>
    </row>
    <row r="2488" spans="1:11" ht="12.5" x14ac:dyDescent="0.25">
      <c r="A2488" s="3" t="e">
        <f ca="1"/>
        <v>#NAME?</v>
      </c>
      <c r="B2488" s="2" t="s">
        <v>12</v>
      </c>
      <c r="C2488" s="2" t="s">
        <v>12</v>
      </c>
      <c r="D2488" s="2" t="s">
        <v>12</v>
      </c>
      <c r="E2488" s="2" t="s">
        <v>12</v>
      </c>
      <c r="F2488" s="2" t="s">
        <v>12</v>
      </c>
      <c r="G2488" s="2" t="s">
        <v>12</v>
      </c>
      <c r="H2488" s="2" t="s">
        <v>12</v>
      </c>
      <c r="I2488" s="2" t="s">
        <v>12</v>
      </c>
      <c r="J2488" s="2" t="s">
        <v>12</v>
      </c>
      <c r="K2488" s="2" t="s">
        <v>12</v>
      </c>
    </row>
    <row r="2489" spans="1:11" ht="12.5" x14ac:dyDescent="0.25">
      <c r="A2489" s="3" t="e">
        <f ca="1"/>
        <v>#NAME?</v>
      </c>
      <c r="B2489" s="2" t="s">
        <v>12</v>
      </c>
      <c r="C2489" s="2" t="s">
        <v>12</v>
      </c>
      <c r="D2489" s="2" t="s">
        <v>12</v>
      </c>
      <c r="E2489" s="2" t="s">
        <v>12</v>
      </c>
      <c r="F2489" s="2" t="s">
        <v>12</v>
      </c>
      <c r="G2489" s="2" t="s">
        <v>12</v>
      </c>
      <c r="H2489" s="2" t="s">
        <v>12</v>
      </c>
      <c r="I2489" s="2" t="s">
        <v>12</v>
      </c>
      <c r="J2489" s="2" t="s">
        <v>12</v>
      </c>
      <c r="K2489" s="2" t="s">
        <v>12</v>
      </c>
    </row>
    <row r="2490" spans="1:11" ht="12.5" x14ac:dyDescent="0.25">
      <c r="A2490" s="3" t="e">
        <f ca="1"/>
        <v>#NAME?</v>
      </c>
      <c r="B2490" s="2" t="s">
        <v>12</v>
      </c>
      <c r="C2490" s="2" t="s">
        <v>12</v>
      </c>
      <c r="D2490" s="2" t="s">
        <v>12</v>
      </c>
      <c r="E2490" s="2" t="s">
        <v>12</v>
      </c>
      <c r="F2490" s="2" t="s">
        <v>12</v>
      </c>
      <c r="G2490" s="2" t="s">
        <v>12</v>
      </c>
      <c r="H2490" s="2" t="s">
        <v>12</v>
      </c>
      <c r="I2490" s="2" t="s">
        <v>12</v>
      </c>
      <c r="J2490" s="2" t="s">
        <v>12</v>
      </c>
      <c r="K2490" s="2" t="s">
        <v>12</v>
      </c>
    </row>
    <row r="2491" spans="1:11" ht="12.5" x14ac:dyDescent="0.25">
      <c r="A2491" s="3" t="e">
        <f ca="1"/>
        <v>#NAME?</v>
      </c>
      <c r="B2491" s="2" t="s">
        <v>12</v>
      </c>
      <c r="C2491" s="2" t="s">
        <v>12</v>
      </c>
      <c r="D2491" s="2" t="s">
        <v>12</v>
      </c>
      <c r="E2491" s="2" t="s">
        <v>12</v>
      </c>
      <c r="F2491" s="2" t="s">
        <v>12</v>
      </c>
      <c r="G2491" s="2" t="s">
        <v>12</v>
      </c>
      <c r="H2491" s="2" t="s">
        <v>12</v>
      </c>
      <c r="I2491" s="2" t="s">
        <v>12</v>
      </c>
      <c r="J2491" s="2" t="s">
        <v>12</v>
      </c>
      <c r="K2491" s="2" t="s">
        <v>12</v>
      </c>
    </row>
    <row r="2492" spans="1:11" ht="12.5" x14ac:dyDescent="0.25">
      <c r="A2492" s="3" t="e">
        <f ca="1"/>
        <v>#NAME?</v>
      </c>
      <c r="B2492" s="2" t="s">
        <v>12</v>
      </c>
      <c r="C2492" s="2" t="s">
        <v>12</v>
      </c>
      <c r="D2492" s="2" t="s">
        <v>12</v>
      </c>
      <c r="E2492" s="2" t="s">
        <v>12</v>
      </c>
      <c r="F2492" s="2" t="s">
        <v>12</v>
      </c>
      <c r="G2492" s="2" t="s">
        <v>12</v>
      </c>
      <c r="H2492" s="2" t="s">
        <v>12</v>
      </c>
      <c r="I2492" s="2" t="s">
        <v>12</v>
      </c>
      <c r="J2492" s="2" t="s">
        <v>12</v>
      </c>
      <c r="K2492" s="2" t="s">
        <v>12</v>
      </c>
    </row>
    <row r="2493" spans="1:11" ht="12.5" x14ac:dyDescent="0.25">
      <c r="A2493" s="3" t="e">
        <f ca="1"/>
        <v>#NAME?</v>
      </c>
      <c r="B2493" s="2" t="s">
        <v>12</v>
      </c>
      <c r="C2493" s="2" t="s">
        <v>12</v>
      </c>
      <c r="D2493" s="2" t="s">
        <v>12</v>
      </c>
      <c r="E2493" s="2" t="s">
        <v>12</v>
      </c>
      <c r="F2493" s="2" t="s">
        <v>12</v>
      </c>
      <c r="G2493" s="2" t="s">
        <v>12</v>
      </c>
      <c r="H2493" s="2" t="s">
        <v>12</v>
      </c>
      <c r="I2493" s="2" t="s">
        <v>12</v>
      </c>
      <c r="J2493" s="2" t="s">
        <v>12</v>
      </c>
      <c r="K2493" s="2" t="s">
        <v>12</v>
      </c>
    </row>
    <row r="2494" spans="1:11" ht="12.5" x14ac:dyDescent="0.25">
      <c r="A2494" s="3" t="e">
        <f ca="1"/>
        <v>#NAME?</v>
      </c>
      <c r="B2494" s="2" t="s">
        <v>12</v>
      </c>
      <c r="C2494" s="2" t="s">
        <v>12</v>
      </c>
      <c r="D2494" s="2" t="s">
        <v>12</v>
      </c>
      <c r="E2494" s="2" t="s">
        <v>12</v>
      </c>
      <c r="F2494" s="2" t="s">
        <v>12</v>
      </c>
      <c r="G2494" s="2" t="s">
        <v>12</v>
      </c>
      <c r="H2494" s="2" t="s">
        <v>12</v>
      </c>
      <c r="I2494" s="2" t="s">
        <v>12</v>
      </c>
      <c r="J2494" s="2" t="s">
        <v>12</v>
      </c>
      <c r="K2494" s="2" t="s">
        <v>12</v>
      </c>
    </row>
    <row r="2495" spans="1:11" ht="12.5" x14ac:dyDescent="0.25">
      <c r="A2495" s="3" t="e">
        <f ca="1"/>
        <v>#NAME?</v>
      </c>
      <c r="B2495" s="2" t="s">
        <v>12</v>
      </c>
      <c r="C2495" s="2" t="s">
        <v>12</v>
      </c>
      <c r="D2495" s="2" t="s">
        <v>12</v>
      </c>
      <c r="E2495" s="2" t="s">
        <v>12</v>
      </c>
      <c r="F2495" s="2" t="s">
        <v>12</v>
      </c>
      <c r="G2495" s="2" t="s">
        <v>12</v>
      </c>
      <c r="H2495" s="2" t="s">
        <v>12</v>
      </c>
      <c r="I2495" s="2" t="s">
        <v>12</v>
      </c>
      <c r="J2495" s="2" t="s">
        <v>12</v>
      </c>
      <c r="K2495" s="2" t="s">
        <v>12</v>
      </c>
    </row>
    <row r="2496" spans="1:11" ht="12.5" x14ac:dyDescent="0.25">
      <c r="A2496" s="3" t="e">
        <f ca="1"/>
        <v>#NAME?</v>
      </c>
      <c r="B2496" s="2" t="s">
        <v>12</v>
      </c>
      <c r="C2496" s="2" t="s">
        <v>12</v>
      </c>
      <c r="D2496" s="2" t="s">
        <v>12</v>
      </c>
      <c r="E2496" s="2" t="s">
        <v>12</v>
      </c>
      <c r="F2496" s="2" t="s">
        <v>12</v>
      </c>
      <c r="G2496" s="2" t="s">
        <v>12</v>
      </c>
      <c r="H2496" s="2" t="s">
        <v>12</v>
      </c>
      <c r="I2496" s="2" t="s">
        <v>12</v>
      </c>
      <c r="J2496" s="2" t="s">
        <v>12</v>
      </c>
      <c r="K2496" s="2" t="s">
        <v>12</v>
      </c>
    </row>
    <row r="2497" spans="1:11" ht="12.5" x14ac:dyDescent="0.25">
      <c r="A2497" s="3" t="e">
        <f ca="1"/>
        <v>#NAME?</v>
      </c>
      <c r="B2497" s="2" t="s">
        <v>12</v>
      </c>
      <c r="C2497" s="2" t="s">
        <v>12</v>
      </c>
      <c r="D2497" s="2" t="s">
        <v>12</v>
      </c>
      <c r="E2497" s="2" t="s">
        <v>12</v>
      </c>
      <c r="F2497" s="2" t="s">
        <v>12</v>
      </c>
      <c r="G2497" s="2" t="s">
        <v>12</v>
      </c>
      <c r="H2497" s="2" t="s">
        <v>12</v>
      </c>
      <c r="I2497" s="2" t="s">
        <v>12</v>
      </c>
      <c r="J2497" s="2" t="s">
        <v>12</v>
      </c>
      <c r="K2497" s="2" t="s">
        <v>12</v>
      </c>
    </row>
    <row r="2498" spans="1:11" ht="12.5" x14ac:dyDescent="0.25">
      <c r="A2498" s="3" t="e">
        <f ca="1"/>
        <v>#NAME?</v>
      </c>
      <c r="B2498" s="2" t="s">
        <v>12</v>
      </c>
      <c r="C2498" s="2" t="s">
        <v>12</v>
      </c>
      <c r="D2498" s="2" t="s">
        <v>12</v>
      </c>
      <c r="E2498" s="2" t="s">
        <v>12</v>
      </c>
      <c r="F2498" s="2" t="s">
        <v>12</v>
      </c>
      <c r="G2498" s="2" t="s">
        <v>12</v>
      </c>
      <c r="H2498" s="2" t="s">
        <v>12</v>
      </c>
      <c r="I2498" s="2" t="s">
        <v>12</v>
      </c>
      <c r="J2498" s="2" t="s">
        <v>12</v>
      </c>
      <c r="K2498" s="2" t="s">
        <v>12</v>
      </c>
    </row>
    <row r="2499" spans="1:11" ht="12.5" x14ac:dyDescent="0.25">
      <c r="A2499" s="3" t="e">
        <f ca="1"/>
        <v>#NAME?</v>
      </c>
      <c r="B2499" s="2" t="s">
        <v>12</v>
      </c>
      <c r="C2499" s="2" t="s">
        <v>12</v>
      </c>
      <c r="D2499" s="2" t="s">
        <v>12</v>
      </c>
      <c r="E2499" s="2" t="s">
        <v>12</v>
      </c>
      <c r="F2499" s="2" t="s">
        <v>12</v>
      </c>
      <c r="G2499" s="2" t="s">
        <v>12</v>
      </c>
      <c r="H2499" s="2" t="s">
        <v>12</v>
      </c>
      <c r="I2499" s="2" t="s">
        <v>12</v>
      </c>
      <c r="J2499" s="2" t="s">
        <v>12</v>
      </c>
      <c r="K2499" s="2" t="s">
        <v>12</v>
      </c>
    </row>
    <row r="2500" spans="1:11" ht="12.5" x14ac:dyDescent="0.25">
      <c r="A2500" s="3" t="e">
        <f ca="1"/>
        <v>#NAME?</v>
      </c>
      <c r="B2500" s="2" t="s">
        <v>12</v>
      </c>
      <c r="C2500" s="2" t="s">
        <v>12</v>
      </c>
      <c r="D2500" s="2" t="s">
        <v>12</v>
      </c>
      <c r="E2500" s="2" t="s">
        <v>12</v>
      </c>
      <c r="F2500" s="2" t="s">
        <v>12</v>
      </c>
      <c r="G2500" s="2" t="s">
        <v>12</v>
      </c>
      <c r="H2500" s="2" t="s">
        <v>12</v>
      </c>
      <c r="I2500" s="2" t="s">
        <v>12</v>
      </c>
      <c r="J2500" s="2" t="s">
        <v>12</v>
      </c>
      <c r="K2500" s="2" t="s">
        <v>12</v>
      </c>
    </row>
    <row r="2501" spans="1:11" ht="12.5" x14ac:dyDescent="0.25">
      <c r="A2501" s="3" t="e">
        <f ca="1"/>
        <v>#NAME?</v>
      </c>
      <c r="B2501" s="2" t="s">
        <v>12</v>
      </c>
      <c r="C2501" s="2" t="s">
        <v>12</v>
      </c>
      <c r="D2501" s="2" t="s">
        <v>12</v>
      </c>
      <c r="E2501" s="2" t="s">
        <v>12</v>
      </c>
      <c r="F2501" s="2" t="s">
        <v>12</v>
      </c>
      <c r="G2501" s="2" t="s">
        <v>12</v>
      </c>
      <c r="H2501" s="2" t="s">
        <v>12</v>
      </c>
      <c r="I2501" s="2" t="s">
        <v>12</v>
      </c>
      <c r="J2501" s="2" t="s">
        <v>12</v>
      </c>
      <c r="K2501" s="2" t="s">
        <v>12</v>
      </c>
    </row>
    <row r="2502" spans="1:11" ht="12.5" x14ac:dyDescent="0.25">
      <c r="A2502" s="3" t="e">
        <f ca="1"/>
        <v>#NAME?</v>
      </c>
      <c r="B2502" s="2" t="s">
        <v>12</v>
      </c>
      <c r="C2502" s="2" t="s">
        <v>12</v>
      </c>
      <c r="D2502" s="2" t="s">
        <v>12</v>
      </c>
      <c r="E2502" s="2" t="s">
        <v>12</v>
      </c>
      <c r="F2502" s="2" t="s">
        <v>12</v>
      </c>
      <c r="G2502" s="2" t="s">
        <v>12</v>
      </c>
      <c r="H2502" s="2" t="s">
        <v>12</v>
      </c>
      <c r="I2502" s="2" t="s">
        <v>12</v>
      </c>
      <c r="J2502" s="2" t="s">
        <v>12</v>
      </c>
      <c r="K2502" s="2" t="s">
        <v>12</v>
      </c>
    </row>
    <row r="2503" spans="1:11" ht="12.5" x14ac:dyDescent="0.25">
      <c r="A2503" s="3" t="e">
        <f ca="1"/>
        <v>#NAME?</v>
      </c>
      <c r="B2503" s="2" t="s">
        <v>12</v>
      </c>
      <c r="C2503" s="2" t="s">
        <v>12</v>
      </c>
      <c r="D2503" s="2" t="s">
        <v>12</v>
      </c>
      <c r="E2503" s="2" t="s">
        <v>12</v>
      </c>
      <c r="F2503" s="2" t="s">
        <v>12</v>
      </c>
      <c r="G2503" s="2" t="s">
        <v>12</v>
      </c>
      <c r="H2503" s="2" t="s">
        <v>12</v>
      </c>
      <c r="I2503" s="2" t="s">
        <v>12</v>
      </c>
      <c r="J2503" s="2" t="s">
        <v>12</v>
      </c>
      <c r="K2503" s="2" t="s">
        <v>12</v>
      </c>
    </row>
    <row r="2504" spans="1:11" ht="12.5" x14ac:dyDescent="0.25">
      <c r="A2504" s="3" t="e">
        <f ca="1"/>
        <v>#NAME?</v>
      </c>
      <c r="B2504" s="2" t="s">
        <v>12</v>
      </c>
      <c r="C2504" s="2" t="s">
        <v>12</v>
      </c>
      <c r="D2504" s="2" t="s">
        <v>12</v>
      </c>
      <c r="E2504" s="2" t="s">
        <v>12</v>
      </c>
      <c r="F2504" s="2" t="s">
        <v>12</v>
      </c>
      <c r="G2504" s="2" t="s">
        <v>12</v>
      </c>
      <c r="H2504" s="2" t="s">
        <v>12</v>
      </c>
      <c r="I2504" s="2" t="s">
        <v>12</v>
      </c>
      <c r="J2504" s="2" t="s">
        <v>12</v>
      </c>
      <c r="K2504" s="2" t="s">
        <v>12</v>
      </c>
    </row>
    <row r="2505" spans="1:11" ht="12.5" x14ac:dyDescent="0.25">
      <c r="A2505" s="3" t="e">
        <f ca="1"/>
        <v>#NAME?</v>
      </c>
      <c r="B2505" s="2" t="s">
        <v>12</v>
      </c>
      <c r="C2505" s="2" t="s">
        <v>12</v>
      </c>
      <c r="D2505" s="2" t="s">
        <v>12</v>
      </c>
      <c r="E2505" s="2" t="s">
        <v>12</v>
      </c>
      <c r="F2505" s="2" t="s">
        <v>12</v>
      </c>
      <c r="G2505" s="2" t="s">
        <v>12</v>
      </c>
      <c r="H2505" s="2" t="s">
        <v>12</v>
      </c>
      <c r="I2505" s="2" t="s">
        <v>12</v>
      </c>
      <c r="J2505" s="2" t="s">
        <v>12</v>
      </c>
      <c r="K2505" s="2" t="s">
        <v>12</v>
      </c>
    </row>
    <row r="2506" spans="1:11" ht="12.5" x14ac:dyDescent="0.25">
      <c r="A2506" s="3" t="e">
        <f ca="1"/>
        <v>#NAME?</v>
      </c>
      <c r="B2506" s="2" t="s">
        <v>12</v>
      </c>
      <c r="C2506" s="2" t="s">
        <v>12</v>
      </c>
      <c r="D2506" s="2" t="s">
        <v>12</v>
      </c>
      <c r="E2506" s="2" t="s">
        <v>12</v>
      </c>
      <c r="F2506" s="2" t="s">
        <v>12</v>
      </c>
      <c r="G2506" s="2" t="s">
        <v>12</v>
      </c>
      <c r="H2506" s="2" t="s">
        <v>12</v>
      </c>
      <c r="I2506" s="2" t="s">
        <v>12</v>
      </c>
      <c r="J2506" s="2" t="s">
        <v>12</v>
      </c>
      <c r="K2506" s="2" t="s">
        <v>12</v>
      </c>
    </row>
    <row r="2507" spans="1:11" ht="12.5" x14ac:dyDescent="0.25">
      <c r="A2507" s="3" t="e">
        <f ca="1"/>
        <v>#NAME?</v>
      </c>
      <c r="B2507" s="2" t="s">
        <v>12</v>
      </c>
      <c r="C2507" s="2" t="s">
        <v>12</v>
      </c>
      <c r="D2507" s="2" t="s">
        <v>12</v>
      </c>
      <c r="E2507" s="2" t="s">
        <v>12</v>
      </c>
      <c r="F2507" s="2" t="s">
        <v>12</v>
      </c>
      <c r="G2507" s="2" t="s">
        <v>12</v>
      </c>
      <c r="H2507" s="2" t="s">
        <v>12</v>
      </c>
      <c r="I2507" s="2" t="s">
        <v>12</v>
      </c>
      <c r="J2507" s="2" t="s">
        <v>12</v>
      </c>
      <c r="K2507" s="2" t="s">
        <v>12</v>
      </c>
    </row>
    <row r="2508" spans="1:11" ht="12.5" x14ac:dyDescent="0.25">
      <c r="A2508" s="3" t="e">
        <f ca="1"/>
        <v>#NAME?</v>
      </c>
      <c r="B2508" s="2" t="s">
        <v>12</v>
      </c>
      <c r="C2508" s="2" t="s">
        <v>12</v>
      </c>
      <c r="D2508" s="2" t="s">
        <v>12</v>
      </c>
      <c r="E2508" s="2" t="s">
        <v>12</v>
      </c>
      <c r="F2508" s="2" t="s">
        <v>12</v>
      </c>
      <c r="G2508" s="2" t="s">
        <v>12</v>
      </c>
      <c r="H2508" s="2" t="s">
        <v>12</v>
      </c>
      <c r="I2508" s="2" t="s">
        <v>12</v>
      </c>
      <c r="J2508" s="2" t="s">
        <v>12</v>
      </c>
      <c r="K2508" s="2" t="s">
        <v>12</v>
      </c>
    </row>
    <row r="2509" spans="1:11" ht="12.5" x14ac:dyDescent="0.25">
      <c r="A2509" s="3" t="e">
        <f ca="1"/>
        <v>#NAME?</v>
      </c>
      <c r="B2509" s="2" t="s">
        <v>12</v>
      </c>
      <c r="C2509" s="2" t="s">
        <v>12</v>
      </c>
      <c r="D2509" s="2" t="s">
        <v>12</v>
      </c>
      <c r="E2509" s="2" t="s">
        <v>12</v>
      </c>
      <c r="F2509" s="2" t="s">
        <v>12</v>
      </c>
      <c r="G2509" s="2" t="s">
        <v>12</v>
      </c>
      <c r="H2509" s="2" t="s">
        <v>12</v>
      </c>
      <c r="I2509" s="2" t="s">
        <v>12</v>
      </c>
      <c r="J2509" s="2" t="s">
        <v>12</v>
      </c>
      <c r="K2509" s="2" t="s">
        <v>12</v>
      </c>
    </row>
    <row r="2510" spans="1:11" ht="12.5" x14ac:dyDescent="0.25">
      <c r="A2510" s="3" t="e">
        <f ca="1"/>
        <v>#NAME?</v>
      </c>
      <c r="B2510" s="2" t="s">
        <v>12</v>
      </c>
      <c r="C2510" s="2" t="s">
        <v>12</v>
      </c>
      <c r="D2510" s="2" t="s">
        <v>12</v>
      </c>
      <c r="E2510" s="2" t="s">
        <v>12</v>
      </c>
      <c r="F2510" s="2" t="s">
        <v>12</v>
      </c>
      <c r="G2510" s="2" t="s">
        <v>12</v>
      </c>
      <c r="H2510" s="2" t="s">
        <v>12</v>
      </c>
      <c r="I2510" s="2" t="s">
        <v>12</v>
      </c>
      <c r="J2510" s="2" t="s">
        <v>12</v>
      </c>
      <c r="K2510" s="2" t="s">
        <v>12</v>
      </c>
    </row>
    <row r="2511" spans="1:11" ht="12.5" x14ac:dyDescent="0.25">
      <c r="A2511" s="3" t="e">
        <f ca="1"/>
        <v>#NAME?</v>
      </c>
      <c r="B2511" s="2" t="s">
        <v>12</v>
      </c>
      <c r="C2511" s="2" t="s">
        <v>12</v>
      </c>
      <c r="D2511" s="2" t="s">
        <v>12</v>
      </c>
      <c r="E2511" s="2" t="s">
        <v>12</v>
      </c>
      <c r="F2511" s="2" t="s">
        <v>12</v>
      </c>
      <c r="G2511" s="2" t="s">
        <v>12</v>
      </c>
      <c r="H2511" s="2" t="s">
        <v>12</v>
      </c>
      <c r="I2511" s="2" t="s">
        <v>12</v>
      </c>
      <c r="J2511" s="2" t="s">
        <v>12</v>
      </c>
      <c r="K2511" s="2" t="s">
        <v>12</v>
      </c>
    </row>
    <row r="2512" spans="1:11" ht="12.5" x14ac:dyDescent="0.25">
      <c r="A2512" s="3" t="e">
        <f ca="1"/>
        <v>#NAME?</v>
      </c>
      <c r="B2512" s="2" t="s">
        <v>12</v>
      </c>
      <c r="C2512" s="2" t="s">
        <v>12</v>
      </c>
      <c r="D2512" s="2" t="s">
        <v>12</v>
      </c>
      <c r="E2512" s="2" t="s">
        <v>12</v>
      </c>
      <c r="F2512" s="2" t="s">
        <v>12</v>
      </c>
      <c r="G2512" s="2" t="s">
        <v>12</v>
      </c>
      <c r="H2512" s="2" t="s">
        <v>12</v>
      </c>
      <c r="I2512" s="2" t="s">
        <v>12</v>
      </c>
      <c r="J2512" s="2" t="s">
        <v>12</v>
      </c>
      <c r="K2512" s="2" t="s">
        <v>12</v>
      </c>
    </row>
    <row r="2513" spans="1:11" ht="12.5" x14ac:dyDescent="0.25">
      <c r="A2513" s="3" t="e">
        <f ca="1"/>
        <v>#NAME?</v>
      </c>
      <c r="B2513" s="2" t="s">
        <v>12</v>
      </c>
      <c r="C2513" s="2" t="s">
        <v>12</v>
      </c>
      <c r="D2513" s="2" t="s">
        <v>12</v>
      </c>
      <c r="E2513" s="2" t="s">
        <v>12</v>
      </c>
      <c r="F2513" s="2" t="s">
        <v>12</v>
      </c>
      <c r="G2513" s="2" t="s">
        <v>12</v>
      </c>
      <c r="H2513" s="2" t="s">
        <v>12</v>
      </c>
      <c r="I2513" s="2" t="s">
        <v>12</v>
      </c>
      <c r="J2513" s="2" t="s">
        <v>12</v>
      </c>
      <c r="K2513" s="2" t="s">
        <v>12</v>
      </c>
    </row>
    <row r="2514" spans="1:11" ht="12.5" x14ac:dyDescent="0.25">
      <c r="A2514" s="3" t="e">
        <f ca="1"/>
        <v>#NAME?</v>
      </c>
      <c r="B2514" s="2" t="s">
        <v>12</v>
      </c>
      <c r="C2514" s="2" t="s">
        <v>12</v>
      </c>
      <c r="D2514" s="2" t="s">
        <v>12</v>
      </c>
      <c r="E2514" s="2" t="s">
        <v>12</v>
      </c>
      <c r="F2514" s="2" t="s">
        <v>12</v>
      </c>
      <c r="G2514" s="2" t="s">
        <v>12</v>
      </c>
      <c r="H2514" s="2" t="s">
        <v>12</v>
      </c>
      <c r="I2514" s="2" t="s">
        <v>12</v>
      </c>
      <c r="J2514" s="2" t="s">
        <v>12</v>
      </c>
      <c r="K2514" s="2" t="s">
        <v>12</v>
      </c>
    </row>
    <row r="2515" spans="1:11" ht="12.5" x14ac:dyDescent="0.25">
      <c r="A2515" s="3" t="e">
        <f ca="1"/>
        <v>#NAME?</v>
      </c>
      <c r="B2515" s="2" t="s">
        <v>12</v>
      </c>
      <c r="C2515" s="2" t="s">
        <v>12</v>
      </c>
      <c r="D2515" s="2" t="s">
        <v>12</v>
      </c>
      <c r="E2515" s="2" t="s">
        <v>12</v>
      </c>
      <c r="F2515" s="2" t="s">
        <v>12</v>
      </c>
      <c r="G2515" s="2" t="s">
        <v>12</v>
      </c>
      <c r="H2515" s="2" t="s">
        <v>12</v>
      </c>
      <c r="I2515" s="2" t="s">
        <v>12</v>
      </c>
      <c r="J2515" s="2" t="s">
        <v>12</v>
      </c>
      <c r="K2515" s="2" t="s">
        <v>12</v>
      </c>
    </row>
    <row r="2516" spans="1:11" ht="12.5" x14ac:dyDescent="0.25">
      <c r="A2516" s="3" t="e">
        <f ca="1"/>
        <v>#NAME?</v>
      </c>
      <c r="B2516" s="2" t="s">
        <v>12</v>
      </c>
      <c r="C2516" s="2" t="s">
        <v>12</v>
      </c>
      <c r="D2516" s="2" t="s">
        <v>12</v>
      </c>
      <c r="E2516" s="2" t="s">
        <v>12</v>
      </c>
      <c r="F2516" s="2" t="s">
        <v>12</v>
      </c>
      <c r="G2516" s="2" t="s">
        <v>12</v>
      </c>
      <c r="H2516" s="2" t="s">
        <v>12</v>
      </c>
      <c r="I2516" s="2" t="s">
        <v>12</v>
      </c>
      <c r="J2516" s="2" t="s">
        <v>12</v>
      </c>
      <c r="K2516" s="2" t="s">
        <v>12</v>
      </c>
    </row>
    <row r="2517" spans="1:11" ht="12.5" x14ac:dyDescent="0.25">
      <c r="A2517" s="3" t="e">
        <f ca="1"/>
        <v>#NAME?</v>
      </c>
      <c r="B2517" s="2" t="s">
        <v>12</v>
      </c>
      <c r="C2517" s="2" t="s">
        <v>12</v>
      </c>
      <c r="D2517" s="2" t="s">
        <v>12</v>
      </c>
      <c r="E2517" s="2" t="s">
        <v>12</v>
      </c>
      <c r="F2517" s="2" t="s">
        <v>12</v>
      </c>
      <c r="G2517" s="2" t="s">
        <v>12</v>
      </c>
      <c r="H2517" s="2" t="s">
        <v>12</v>
      </c>
      <c r="I2517" s="2" t="s">
        <v>12</v>
      </c>
      <c r="J2517" s="2" t="s">
        <v>12</v>
      </c>
      <c r="K2517" s="2" t="s">
        <v>12</v>
      </c>
    </row>
    <row r="2518" spans="1:11" ht="12.5" x14ac:dyDescent="0.25">
      <c r="A2518" s="3" t="e">
        <f ca="1"/>
        <v>#NAME?</v>
      </c>
      <c r="B2518" s="2" t="s">
        <v>12</v>
      </c>
      <c r="C2518" s="2" t="s">
        <v>12</v>
      </c>
      <c r="D2518" s="2" t="s">
        <v>12</v>
      </c>
      <c r="E2518" s="2" t="s">
        <v>12</v>
      </c>
      <c r="F2518" s="2" t="s">
        <v>12</v>
      </c>
      <c r="G2518" s="2" t="s">
        <v>12</v>
      </c>
      <c r="H2518" s="2" t="s">
        <v>12</v>
      </c>
      <c r="I2518" s="2" t="s">
        <v>12</v>
      </c>
      <c r="J2518" s="2" t="s">
        <v>12</v>
      </c>
      <c r="K2518" s="2" t="s">
        <v>12</v>
      </c>
    </row>
    <row r="2519" spans="1:11" ht="12.5" x14ac:dyDescent="0.25">
      <c r="A2519" s="3" t="e">
        <f ca="1"/>
        <v>#NAME?</v>
      </c>
      <c r="B2519" s="2" t="s">
        <v>12</v>
      </c>
      <c r="C2519" s="2" t="s">
        <v>12</v>
      </c>
      <c r="D2519" s="2" t="s">
        <v>12</v>
      </c>
      <c r="E2519" s="2" t="s">
        <v>12</v>
      </c>
      <c r="F2519" s="2" t="s">
        <v>12</v>
      </c>
      <c r="G2519" s="2" t="s">
        <v>12</v>
      </c>
      <c r="H2519" s="2" t="s">
        <v>12</v>
      </c>
      <c r="I2519" s="2" t="s">
        <v>12</v>
      </c>
      <c r="J2519" s="2" t="s">
        <v>12</v>
      </c>
      <c r="K2519" s="2" t="s">
        <v>12</v>
      </c>
    </row>
    <row r="2520" spans="1:11" ht="12.5" x14ac:dyDescent="0.25">
      <c r="A2520" s="3" t="e">
        <f ca="1"/>
        <v>#NAME?</v>
      </c>
      <c r="B2520" s="2" t="s">
        <v>12</v>
      </c>
      <c r="C2520" s="2" t="s">
        <v>12</v>
      </c>
      <c r="D2520" s="2" t="s">
        <v>12</v>
      </c>
      <c r="E2520" s="2" t="s">
        <v>12</v>
      </c>
      <c r="F2520" s="2" t="s">
        <v>12</v>
      </c>
      <c r="G2520" s="2" t="s">
        <v>12</v>
      </c>
      <c r="H2520" s="2" t="s">
        <v>12</v>
      </c>
      <c r="I2520" s="2" t="s">
        <v>12</v>
      </c>
      <c r="J2520" s="2" t="s">
        <v>12</v>
      </c>
      <c r="K2520" s="2" t="s">
        <v>12</v>
      </c>
    </row>
    <row r="2521" spans="1:11" ht="12.5" x14ac:dyDescent="0.25">
      <c r="A2521" s="3" t="e">
        <f ca="1"/>
        <v>#NAME?</v>
      </c>
      <c r="B2521" s="2" t="s">
        <v>12</v>
      </c>
      <c r="C2521" s="2" t="s">
        <v>12</v>
      </c>
      <c r="D2521" s="2" t="s">
        <v>12</v>
      </c>
      <c r="E2521" s="2" t="s">
        <v>12</v>
      </c>
      <c r="F2521" s="2" t="s">
        <v>12</v>
      </c>
      <c r="G2521" s="2" t="s">
        <v>12</v>
      </c>
      <c r="H2521" s="2" t="s">
        <v>12</v>
      </c>
      <c r="I2521" s="2" t="s">
        <v>12</v>
      </c>
      <c r="J2521" s="2" t="s">
        <v>12</v>
      </c>
      <c r="K2521" s="2" t="s">
        <v>12</v>
      </c>
    </row>
    <row r="2522" spans="1:11" ht="12.5" x14ac:dyDescent="0.25">
      <c r="A2522" s="3" t="e">
        <f ca="1"/>
        <v>#NAME?</v>
      </c>
      <c r="B2522" s="2" t="s">
        <v>12</v>
      </c>
      <c r="C2522" s="2" t="s">
        <v>12</v>
      </c>
      <c r="D2522" s="2" t="s">
        <v>12</v>
      </c>
      <c r="E2522" s="2" t="s">
        <v>12</v>
      </c>
      <c r="F2522" s="2" t="s">
        <v>12</v>
      </c>
      <c r="G2522" s="2" t="s">
        <v>12</v>
      </c>
      <c r="H2522" s="2" t="s">
        <v>12</v>
      </c>
      <c r="I2522" s="2" t="s">
        <v>12</v>
      </c>
      <c r="J2522" s="2" t="s">
        <v>12</v>
      </c>
      <c r="K2522" s="2" t="s">
        <v>12</v>
      </c>
    </row>
    <row r="2523" spans="1:11" ht="12.5" x14ac:dyDescent="0.25">
      <c r="A2523" s="3" t="e">
        <f ca="1"/>
        <v>#NAME?</v>
      </c>
      <c r="B2523" s="2" t="s">
        <v>12</v>
      </c>
      <c r="C2523" s="2" t="s">
        <v>12</v>
      </c>
      <c r="D2523" s="2" t="s">
        <v>12</v>
      </c>
      <c r="E2523" s="2" t="s">
        <v>12</v>
      </c>
      <c r="F2523" s="2" t="s">
        <v>12</v>
      </c>
      <c r="G2523" s="2" t="s">
        <v>12</v>
      </c>
      <c r="H2523" s="2" t="s">
        <v>12</v>
      </c>
      <c r="I2523" s="2" t="s">
        <v>12</v>
      </c>
      <c r="J2523" s="2" t="s">
        <v>12</v>
      </c>
      <c r="K2523" s="2" t="s">
        <v>12</v>
      </c>
    </row>
    <row r="2524" spans="1:11" ht="12.5" x14ac:dyDescent="0.25">
      <c r="A2524" s="3" t="e">
        <f ca="1"/>
        <v>#NAME?</v>
      </c>
      <c r="B2524" s="2" t="s">
        <v>12</v>
      </c>
      <c r="C2524" s="2" t="s">
        <v>12</v>
      </c>
      <c r="D2524" s="2" t="s">
        <v>12</v>
      </c>
      <c r="E2524" s="2" t="s">
        <v>12</v>
      </c>
      <c r="F2524" s="2" t="s">
        <v>12</v>
      </c>
      <c r="G2524" s="2" t="s">
        <v>12</v>
      </c>
      <c r="H2524" s="2" t="s">
        <v>12</v>
      </c>
      <c r="I2524" s="2" t="s">
        <v>12</v>
      </c>
      <c r="J2524" s="2" t="s">
        <v>12</v>
      </c>
      <c r="K2524" s="2" t="s">
        <v>12</v>
      </c>
    </row>
    <row r="2525" spans="1:11" ht="12.5" x14ac:dyDescent="0.25">
      <c r="A2525" s="3" t="e">
        <f ca="1"/>
        <v>#NAME?</v>
      </c>
      <c r="B2525" s="2" t="s">
        <v>12</v>
      </c>
      <c r="C2525" s="2" t="s">
        <v>12</v>
      </c>
      <c r="D2525" s="2" t="s">
        <v>12</v>
      </c>
      <c r="E2525" s="2" t="s">
        <v>12</v>
      </c>
      <c r="F2525" s="2" t="s">
        <v>12</v>
      </c>
      <c r="G2525" s="2" t="s">
        <v>12</v>
      </c>
      <c r="H2525" s="2" t="s">
        <v>12</v>
      </c>
      <c r="I2525" s="2" t="s">
        <v>12</v>
      </c>
      <c r="J2525" s="2" t="s">
        <v>12</v>
      </c>
      <c r="K2525" s="2" t="s">
        <v>12</v>
      </c>
    </row>
    <row r="2526" spans="1:11" ht="12.5" x14ac:dyDescent="0.25">
      <c r="A2526" s="3" t="e">
        <f ca="1"/>
        <v>#NAME?</v>
      </c>
      <c r="B2526" s="2" t="s">
        <v>12</v>
      </c>
      <c r="C2526" s="2" t="s">
        <v>12</v>
      </c>
      <c r="D2526" s="2" t="s">
        <v>12</v>
      </c>
      <c r="E2526" s="2" t="s">
        <v>12</v>
      </c>
      <c r="F2526" s="2" t="s">
        <v>12</v>
      </c>
      <c r="G2526" s="2" t="s">
        <v>12</v>
      </c>
      <c r="H2526" s="2" t="s">
        <v>12</v>
      </c>
      <c r="I2526" s="2" t="s">
        <v>12</v>
      </c>
      <c r="J2526" s="2" t="s">
        <v>12</v>
      </c>
      <c r="K2526" s="2" t="s">
        <v>12</v>
      </c>
    </row>
    <row r="2527" spans="1:11" ht="12.5" x14ac:dyDescent="0.25">
      <c r="A2527" s="3" t="e">
        <f ca="1"/>
        <v>#NAME?</v>
      </c>
      <c r="B2527" s="2" t="s">
        <v>12</v>
      </c>
      <c r="C2527" s="2" t="s">
        <v>12</v>
      </c>
      <c r="D2527" s="2" t="s">
        <v>12</v>
      </c>
      <c r="E2527" s="2" t="s">
        <v>12</v>
      </c>
      <c r="F2527" s="2" t="s">
        <v>12</v>
      </c>
      <c r="G2527" s="2" t="s">
        <v>12</v>
      </c>
      <c r="H2527" s="2" t="s">
        <v>12</v>
      </c>
      <c r="I2527" s="2" t="s">
        <v>12</v>
      </c>
      <c r="J2527" s="2" t="s">
        <v>12</v>
      </c>
      <c r="K2527" s="2" t="s">
        <v>12</v>
      </c>
    </row>
    <row r="2528" spans="1:11" ht="12.5" x14ac:dyDescent="0.25">
      <c r="A2528" s="3" t="e">
        <f ca="1"/>
        <v>#NAME?</v>
      </c>
      <c r="B2528" s="2" t="s">
        <v>12</v>
      </c>
      <c r="C2528" s="2" t="s">
        <v>12</v>
      </c>
      <c r="D2528" s="2" t="s">
        <v>12</v>
      </c>
      <c r="E2528" s="2" t="s">
        <v>12</v>
      </c>
      <c r="F2528" s="2" t="s">
        <v>12</v>
      </c>
      <c r="G2528" s="2" t="s">
        <v>12</v>
      </c>
      <c r="H2528" s="2" t="s">
        <v>12</v>
      </c>
      <c r="I2528" s="2" t="s">
        <v>12</v>
      </c>
      <c r="J2528" s="2" t="s">
        <v>12</v>
      </c>
      <c r="K2528" s="2" t="s">
        <v>12</v>
      </c>
    </row>
    <row r="2529" spans="1:11" ht="12.5" x14ac:dyDescent="0.25">
      <c r="A2529" s="3" t="e">
        <f ca="1"/>
        <v>#NAME?</v>
      </c>
      <c r="B2529" s="2" t="s">
        <v>12</v>
      </c>
      <c r="C2529" s="2" t="s">
        <v>12</v>
      </c>
      <c r="D2529" s="2" t="s">
        <v>12</v>
      </c>
      <c r="E2529" s="2" t="s">
        <v>12</v>
      </c>
      <c r="F2529" s="2" t="s">
        <v>12</v>
      </c>
      <c r="G2529" s="2" t="s">
        <v>12</v>
      </c>
      <c r="H2529" s="2" t="s">
        <v>12</v>
      </c>
      <c r="I2529" s="2" t="s">
        <v>12</v>
      </c>
      <c r="J2529" s="2" t="s">
        <v>12</v>
      </c>
      <c r="K2529" s="2" t="s">
        <v>12</v>
      </c>
    </row>
    <row r="2530" spans="1:11" ht="12.5" x14ac:dyDescent="0.25">
      <c r="A2530" s="3" t="e">
        <f ca="1"/>
        <v>#NAME?</v>
      </c>
      <c r="B2530" s="2" t="s">
        <v>12</v>
      </c>
      <c r="C2530" s="2" t="s">
        <v>12</v>
      </c>
      <c r="D2530" s="2" t="s">
        <v>12</v>
      </c>
      <c r="E2530" s="2" t="s">
        <v>12</v>
      </c>
      <c r="F2530" s="2" t="s">
        <v>12</v>
      </c>
      <c r="G2530" s="2" t="s">
        <v>12</v>
      </c>
      <c r="H2530" s="2" t="s">
        <v>12</v>
      </c>
      <c r="I2530" s="2" t="s">
        <v>12</v>
      </c>
      <c r="J2530" s="2" t="s">
        <v>12</v>
      </c>
      <c r="K2530" s="2" t="s">
        <v>12</v>
      </c>
    </row>
    <row r="2531" spans="1:11" ht="12.5" x14ac:dyDescent="0.25">
      <c r="A2531" s="3" t="e">
        <f ca="1"/>
        <v>#NAME?</v>
      </c>
      <c r="B2531" s="2" t="s">
        <v>12</v>
      </c>
      <c r="C2531" s="2" t="s">
        <v>12</v>
      </c>
      <c r="D2531" s="2" t="s">
        <v>12</v>
      </c>
      <c r="E2531" s="2" t="s">
        <v>12</v>
      </c>
      <c r="F2531" s="2" t="s">
        <v>12</v>
      </c>
      <c r="G2531" s="2" t="s">
        <v>12</v>
      </c>
      <c r="H2531" s="2" t="s">
        <v>12</v>
      </c>
      <c r="I2531" s="2" t="s">
        <v>12</v>
      </c>
      <c r="J2531" s="2" t="s">
        <v>12</v>
      </c>
      <c r="K2531" s="2" t="s">
        <v>12</v>
      </c>
    </row>
    <row r="2532" spans="1:11" ht="12.5" x14ac:dyDescent="0.25">
      <c r="A2532" s="3" t="e">
        <f ca="1"/>
        <v>#NAME?</v>
      </c>
      <c r="B2532" s="2" t="s">
        <v>12</v>
      </c>
      <c r="C2532" s="2" t="s">
        <v>12</v>
      </c>
      <c r="D2532" s="2" t="s">
        <v>12</v>
      </c>
      <c r="E2532" s="2" t="s">
        <v>12</v>
      </c>
      <c r="F2532" s="2" t="s">
        <v>12</v>
      </c>
      <c r="G2532" s="2" t="s">
        <v>12</v>
      </c>
      <c r="H2532" s="2" t="s">
        <v>12</v>
      </c>
      <c r="I2532" s="2" t="s">
        <v>12</v>
      </c>
      <c r="J2532" s="2" t="s">
        <v>12</v>
      </c>
      <c r="K2532" s="2" t="s">
        <v>12</v>
      </c>
    </row>
    <row r="2533" spans="1:11" ht="12.5" x14ac:dyDescent="0.25">
      <c r="A2533" s="3" t="e">
        <f ca="1"/>
        <v>#NAME?</v>
      </c>
      <c r="B2533" s="2" t="s">
        <v>12</v>
      </c>
      <c r="C2533" s="2" t="s">
        <v>12</v>
      </c>
      <c r="D2533" s="2" t="s">
        <v>12</v>
      </c>
      <c r="E2533" s="2" t="s">
        <v>12</v>
      </c>
      <c r="F2533" s="2" t="s">
        <v>12</v>
      </c>
      <c r="G2533" s="2" t="s">
        <v>12</v>
      </c>
      <c r="H2533" s="2" t="s">
        <v>12</v>
      </c>
      <c r="I2533" s="2" t="s">
        <v>12</v>
      </c>
      <c r="J2533" s="2" t="s">
        <v>12</v>
      </c>
      <c r="K2533" s="2" t="s">
        <v>12</v>
      </c>
    </row>
    <row r="2534" spans="1:11" ht="12.5" x14ac:dyDescent="0.25">
      <c r="A2534" s="3" t="e">
        <f ca="1"/>
        <v>#NAME?</v>
      </c>
      <c r="B2534" s="2" t="s">
        <v>12</v>
      </c>
      <c r="C2534" s="2" t="s">
        <v>12</v>
      </c>
      <c r="D2534" s="2" t="s">
        <v>12</v>
      </c>
      <c r="E2534" s="2" t="s">
        <v>12</v>
      </c>
      <c r="F2534" s="2" t="s">
        <v>12</v>
      </c>
      <c r="G2534" s="2" t="s">
        <v>12</v>
      </c>
      <c r="H2534" s="2" t="s">
        <v>12</v>
      </c>
      <c r="I2534" s="2" t="s">
        <v>12</v>
      </c>
      <c r="J2534" s="2" t="s">
        <v>12</v>
      </c>
      <c r="K2534" s="2" t="s">
        <v>12</v>
      </c>
    </row>
    <row r="2535" spans="1:11" ht="12.5" x14ac:dyDescent="0.25">
      <c r="A2535" s="3" t="e">
        <f ca="1"/>
        <v>#NAME?</v>
      </c>
      <c r="B2535" s="2" t="s">
        <v>12</v>
      </c>
      <c r="C2535" s="2" t="s">
        <v>12</v>
      </c>
      <c r="D2535" s="2" t="s">
        <v>12</v>
      </c>
      <c r="E2535" s="2" t="s">
        <v>12</v>
      </c>
      <c r="F2535" s="2" t="s">
        <v>12</v>
      </c>
      <c r="G2535" s="2" t="s">
        <v>12</v>
      </c>
      <c r="H2535" s="2" t="s">
        <v>12</v>
      </c>
      <c r="I2535" s="2" t="s">
        <v>12</v>
      </c>
      <c r="J2535" s="2" t="s">
        <v>12</v>
      </c>
      <c r="K2535" s="2" t="s">
        <v>12</v>
      </c>
    </row>
    <row r="2536" spans="1:11" ht="12.5" x14ac:dyDescent="0.25">
      <c r="A2536" s="3" t="e">
        <f ca="1"/>
        <v>#NAME?</v>
      </c>
      <c r="B2536" s="2" t="s">
        <v>12</v>
      </c>
      <c r="C2536" s="2" t="s">
        <v>12</v>
      </c>
      <c r="D2536" s="2" t="s">
        <v>12</v>
      </c>
      <c r="E2536" s="2" t="s">
        <v>12</v>
      </c>
      <c r="F2536" s="2" t="s">
        <v>12</v>
      </c>
      <c r="G2536" s="2" t="s">
        <v>12</v>
      </c>
      <c r="H2536" s="2" t="s">
        <v>12</v>
      </c>
      <c r="I2536" s="2" t="s">
        <v>12</v>
      </c>
      <c r="J2536" s="2" t="s">
        <v>12</v>
      </c>
      <c r="K2536" s="2" t="s">
        <v>12</v>
      </c>
    </row>
    <row r="2537" spans="1:11" ht="12.5" x14ac:dyDescent="0.25">
      <c r="A2537" s="3" t="e">
        <f ca="1"/>
        <v>#NAME?</v>
      </c>
      <c r="B2537" s="2" t="s">
        <v>12</v>
      </c>
      <c r="C2537" s="2" t="s">
        <v>12</v>
      </c>
      <c r="D2537" s="2" t="s">
        <v>12</v>
      </c>
      <c r="E2537" s="2" t="s">
        <v>12</v>
      </c>
      <c r="F2537" s="2" t="s">
        <v>12</v>
      </c>
      <c r="G2537" s="2" t="s">
        <v>12</v>
      </c>
      <c r="H2537" s="2" t="s">
        <v>12</v>
      </c>
      <c r="I2537" s="2" t="s">
        <v>12</v>
      </c>
      <c r="J2537" s="2" t="s">
        <v>12</v>
      </c>
      <c r="K2537" s="2" t="s">
        <v>12</v>
      </c>
    </row>
    <row r="2538" spans="1:11" ht="12.5" x14ac:dyDescent="0.25">
      <c r="A2538" s="3" t="e">
        <f ca="1"/>
        <v>#NAME?</v>
      </c>
      <c r="B2538" s="2" t="s">
        <v>12</v>
      </c>
      <c r="C2538" s="2" t="s">
        <v>12</v>
      </c>
      <c r="D2538" s="2" t="s">
        <v>12</v>
      </c>
      <c r="E2538" s="2" t="s">
        <v>12</v>
      </c>
      <c r="F2538" s="2" t="s">
        <v>12</v>
      </c>
      <c r="G2538" s="2" t="s">
        <v>12</v>
      </c>
      <c r="H2538" s="2" t="s">
        <v>12</v>
      </c>
      <c r="I2538" s="2" t="s">
        <v>12</v>
      </c>
      <c r="J2538" s="2" t="s">
        <v>12</v>
      </c>
      <c r="K2538" s="2" t="s">
        <v>12</v>
      </c>
    </row>
    <row r="2539" spans="1:11" ht="12.5" x14ac:dyDescent="0.25">
      <c r="A2539" s="3" t="e">
        <f ca="1"/>
        <v>#NAME?</v>
      </c>
      <c r="B2539" s="2" t="s">
        <v>12</v>
      </c>
      <c r="C2539" s="2" t="s">
        <v>12</v>
      </c>
      <c r="D2539" s="2" t="s">
        <v>12</v>
      </c>
      <c r="E2539" s="2" t="s">
        <v>12</v>
      </c>
      <c r="F2539" s="2" t="s">
        <v>12</v>
      </c>
      <c r="G2539" s="2" t="s">
        <v>12</v>
      </c>
      <c r="H2539" s="2" t="s">
        <v>12</v>
      </c>
      <c r="I2539" s="2" t="s">
        <v>12</v>
      </c>
      <c r="J2539" s="2" t="s">
        <v>12</v>
      </c>
      <c r="K2539" s="2" t="s">
        <v>12</v>
      </c>
    </row>
    <row r="2540" spans="1:11" ht="12.5" x14ac:dyDescent="0.25">
      <c r="A2540" s="3" t="e">
        <f ca="1"/>
        <v>#NAME?</v>
      </c>
      <c r="B2540" s="2" t="s">
        <v>12</v>
      </c>
      <c r="C2540" s="2" t="s">
        <v>12</v>
      </c>
      <c r="D2540" s="2" t="s">
        <v>12</v>
      </c>
      <c r="E2540" s="2" t="s">
        <v>12</v>
      </c>
      <c r="F2540" s="2" t="s">
        <v>12</v>
      </c>
      <c r="G2540" s="2" t="s">
        <v>12</v>
      </c>
      <c r="H2540" s="2" t="s">
        <v>12</v>
      </c>
      <c r="I2540" s="2" t="s">
        <v>12</v>
      </c>
      <c r="J2540" s="2" t="s">
        <v>12</v>
      </c>
      <c r="K2540" s="2" t="s">
        <v>12</v>
      </c>
    </row>
    <row r="2541" spans="1:11" ht="12.5" x14ac:dyDescent="0.25">
      <c r="A2541" s="3" t="e">
        <f ca="1"/>
        <v>#NAME?</v>
      </c>
      <c r="B2541" s="2" t="s">
        <v>12</v>
      </c>
      <c r="C2541" s="2" t="s">
        <v>12</v>
      </c>
      <c r="D2541" s="2" t="s">
        <v>12</v>
      </c>
      <c r="E2541" s="2" t="s">
        <v>12</v>
      </c>
      <c r="F2541" s="2" t="s">
        <v>12</v>
      </c>
      <c r="G2541" s="2" t="s">
        <v>12</v>
      </c>
      <c r="H2541" s="2" t="s">
        <v>12</v>
      </c>
      <c r="I2541" s="2" t="s">
        <v>12</v>
      </c>
      <c r="J2541" s="2" t="s">
        <v>12</v>
      </c>
      <c r="K2541" s="2" t="s">
        <v>12</v>
      </c>
    </row>
    <row r="2542" spans="1:11" ht="12.5" x14ac:dyDescent="0.25">
      <c r="A2542" s="3" t="e">
        <f ca="1"/>
        <v>#NAME?</v>
      </c>
      <c r="B2542" s="2" t="s">
        <v>12</v>
      </c>
      <c r="C2542" s="2" t="s">
        <v>12</v>
      </c>
      <c r="D2542" s="2" t="s">
        <v>12</v>
      </c>
      <c r="E2542" s="2" t="s">
        <v>12</v>
      </c>
      <c r="F2542" s="2" t="s">
        <v>12</v>
      </c>
      <c r="G2542" s="2" t="s">
        <v>12</v>
      </c>
      <c r="H2542" s="2" t="s">
        <v>12</v>
      </c>
      <c r="I2542" s="2" t="s">
        <v>12</v>
      </c>
      <c r="J2542" s="2" t="s">
        <v>12</v>
      </c>
      <c r="K2542" s="2" t="s">
        <v>12</v>
      </c>
    </row>
    <row r="2543" spans="1:11" ht="12.5" x14ac:dyDescent="0.25">
      <c r="A2543" s="3" t="e">
        <f ca="1"/>
        <v>#NAME?</v>
      </c>
      <c r="B2543" s="2" t="s">
        <v>12</v>
      </c>
      <c r="C2543" s="2" t="s">
        <v>12</v>
      </c>
      <c r="D2543" s="2" t="s">
        <v>12</v>
      </c>
      <c r="E2543" s="2" t="s">
        <v>12</v>
      </c>
      <c r="F2543" s="2" t="s">
        <v>12</v>
      </c>
      <c r="G2543" s="2" t="s">
        <v>12</v>
      </c>
      <c r="H2543" s="2" t="s">
        <v>12</v>
      </c>
      <c r="I2543" s="2" t="s">
        <v>12</v>
      </c>
      <c r="J2543" s="2" t="s">
        <v>12</v>
      </c>
      <c r="K2543" s="2" t="s">
        <v>12</v>
      </c>
    </row>
    <row r="2544" spans="1:11" ht="12.5" x14ac:dyDescent="0.25">
      <c r="A2544" s="3" t="e">
        <f ca="1"/>
        <v>#NAME?</v>
      </c>
      <c r="B2544" s="2" t="s">
        <v>12</v>
      </c>
      <c r="C2544" s="2" t="s">
        <v>12</v>
      </c>
      <c r="D2544" s="2" t="s">
        <v>12</v>
      </c>
      <c r="E2544" s="2" t="s">
        <v>12</v>
      </c>
      <c r="F2544" s="2" t="s">
        <v>12</v>
      </c>
      <c r="G2544" s="2" t="s">
        <v>12</v>
      </c>
      <c r="H2544" s="2" t="s">
        <v>12</v>
      </c>
      <c r="I2544" s="2" t="s">
        <v>12</v>
      </c>
      <c r="J2544" s="2" t="s">
        <v>12</v>
      </c>
      <c r="K2544" s="2" t="s">
        <v>12</v>
      </c>
    </row>
    <row r="2545" spans="1:11" ht="12.5" x14ac:dyDescent="0.25">
      <c r="A2545" s="3" t="e">
        <f ca="1"/>
        <v>#NAME?</v>
      </c>
      <c r="B2545" s="2" t="s">
        <v>12</v>
      </c>
      <c r="C2545" s="2" t="s">
        <v>12</v>
      </c>
      <c r="D2545" s="2" t="s">
        <v>12</v>
      </c>
      <c r="E2545" s="2" t="s">
        <v>12</v>
      </c>
      <c r="F2545" s="2" t="s">
        <v>12</v>
      </c>
      <c r="G2545" s="2" t="s">
        <v>12</v>
      </c>
      <c r="H2545" s="2" t="s">
        <v>12</v>
      </c>
      <c r="I2545" s="2" t="s">
        <v>12</v>
      </c>
      <c r="J2545" s="2" t="s">
        <v>12</v>
      </c>
      <c r="K2545" s="2" t="s">
        <v>12</v>
      </c>
    </row>
    <row r="2546" spans="1:11" ht="12.5" x14ac:dyDescent="0.25">
      <c r="A2546" s="3" t="e">
        <f ca="1"/>
        <v>#NAME?</v>
      </c>
      <c r="B2546" s="2" t="s">
        <v>12</v>
      </c>
      <c r="C2546" s="2" t="s">
        <v>12</v>
      </c>
      <c r="D2546" s="2" t="s">
        <v>12</v>
      </c>
      <c r="E2546" s="2" t="s">
        <v>12</v>
      </c>
      <c r="F2546" s="2" t="s">
        <v>12</v>
      </c>
      <c r="G2546" s="2" t="s">
        <v>12</v>
      </c>
      <c r="H2546" s="2" t="s">
        <v>12</v>
      </c>
      <c r="I2546" s="2" t="s">
        <v>12</v>
      </c>
      <c r="J2546" s="2" t="s">
        <v>12</v>
      </c>
      <c r="K2546" s="2" t="s">
        <v>12</v>
      </c>
    </row>
    <row r="2547" spans="1:11" ht="12.5" x14ac:dyDescent="0.25">
      <c r="A2547" s="3" t="e">
        <f ca="1"/>
        <v>#NAME?</v>
      </c>
      <c r="B2547" s="2" t="s">
        <v>12</v>
      </c>
      <c r="C2547" s="2" t="s">
        <v>12</v>
      </c>
      <c r="D2547" s="2" t="s">
        <v>12</v>
      </c>
      <c r="E2547" s="2" t="s">
        <v>12</v>
      </c>
      <c r="F2547" s="2" t="s">
        <v>12</v>
      </c>
      <c r="G2547" s="2" t="s">
        <v>12</v>
      </c>
      <c r="H2547" s="2" t="s">
        <v>12</v>
      </c>
      <c r="I2547" s="2" t="s">
        <v>12</v>
      </c>
      <c r="J2547" s="2" t="s">
        <v>12</v>
      </c>
      <c r="K2547" s="2" t="s">
        <v>12</v>
      </c>
    </row>
    <row r="2548" spans="1:11" ht="12.5" x14ac:dyDescent="0.25">
      <c r="A2548" s="3" t="e">
        <f ca="1"/>
        <v>#NAME?</v>
      </c>
      <c r="B2548" s="2" t="s">
        <v>12</v>
      </c>
      <c r="C2548" s="2" t="s">
        <v>12</v>
      </c>
      <c r="D2548" s="2" t="s">
        <v>12</v>
      </c>
      <c r="E2548" s="2" t="s">
        <v>12</v>
      </c>
      <c r="F2548" s="2" t="s">
        <v>12</v>
      </c>
      <c r="G2548" s="2" t="s">
        <v>12</v>
      </c>
      <c r="H2548" s="2" t="s">
        <v>12</v>
      </c>
      <c r="I2548" s="2" t="s">
        <v>12</v>
      </c>
      <c r="J2548" s="2" t="s">
        <v>12</v>
      </c>
      <c r="K2548" s="2" t="s">
        <v>12</v>
      </c>
    </row>
    <row r="2549" spans="1:11" ht="12.5" x14ac:dyDescent="0.25">
      <c r="A2549" s="3" t="e">
        <f ca="1"/>
        <v>#NAME?</v>
      </c>
      <c r="B2549" s="2" t="s">
        <v>12</v>
      </c>
      <c r="C2549" s="2" t="s">
        <v>12</v>
      </c>
      <c r="D2549" s="2" t="s">
        <v>12</v>
      </c>
      <c r="E2549" s="2" t="s">
        <v>12</v>
      </c>
      <c r="F2549" s="2" t="s">
        <v>12</v>
      </c>
      <c r="G2549" s="2" t="s">
        <v>12</v>
      </c>
      <c r="H2549" s="2" t="s">
        <v>12</v>
      </c>
      <c r="I2549" s="2" t="s">
        <v>12</v>
      </c>
      <c r="J2549" s="2" t="s">
        <v>12</v>
      </c>
      <c r="K2549" s="2" t="s">
        <v>12</v>
      </c>
    </row>
    <row r="2550" spans="1:11" ht="12.5" x14ac:dyDescent="0.25">
      <c r="A2550" s="3" t="e">
        <f ca="1"/>
        <v>#NAME?</v>
      </c>
      <c r="B2550" s="2" t="s">
        <v>12</v>
      </c>
      <c r="C2550" s="2" t="s">
        <v>12</v>
      </c>
      <c r="D2550" s="2" t="s">
        <v>12</v>
      </c>
      <c r="E2550" s="2" t="s">
        <v>12</v>
      </c>
      <c r="F2550" s="2" t="s">
        <v>12</v>
      </c>
      <c r="G2550" s="2" t="s">
        <v>12</v>
      </c>
      <c r="H2550" s="2" t="s">
        <v>12</v>
      </c>
      <c r="I2550" s="2" t="s">
        <v>12</v>
      </c>
      <c r="J2550" s="2" t="s">
        <v>12</v>
      </c>
      <c r="K2550" s="2" t="s">
        <v>12</v>
      </c>
    </row>
    <row r="2551" spans="1:11" ht="12.5" x14ac:dyDescent="0.25">
      <c r="A2551" s="3" t="e">
        <f ca="1"/>
        <v>#NAME?</v>
      </c>
      <c r="B2551" s="2" t="s">
        <v>12</v>
      </c>
      <c r="C2551" s="2" t="s">
        <v>12</v>
      </c>
      <c r="D2551" s="2" t="s">
        <v>12</v>
      </c>
      <c r="E2551" s="2" t="s">
        <v>12</v>
      </c>
      <c r="F2551" s="2" t="s">
        <v>12</v>
      </c>
      <c r="G2551" s="2" t="s">
        <v>12</v>
      </c>
      <c r="H2551" s="2" t="s">
        <v>12</v>
      </c>
      <c r="I2551" s="2" t="s">
        <v>12</v>
      </c>
      <c r="J2551" s="2" t="s">
        <v>12</v>
      </c>
      <c r="K2551" s="2" t="s">
        <v>12</v>
      </c>
    </row>
    <row r="2552" spans="1:11" ht="12.5" x14ac:dyDescent="0.25">
      <c r="A2552" s="3" t="e">
        <f ca="1"/>
        <v>#NAME?</v>
      </c>
      <c r="B2552" s="2" t="s">
        <v>12</v>
      </c>
      <c r="C2552" s="2" t="s">
        <v>12</v>
      </c>
      <c r="D2552" s="2" t="s">
        <v>12</v>
      </c>
      <c r="E2552" s="2" t="s">
        <v>12</v>
      </c>
      <c r="F2552" s="2" t="s">
        <v>12</v>
      </c>
      <c r="G2552" s="2" t="s">
        <v>12</v>
      </c>
      <c r="H2552" s="2" t="s">
        <v>12</v>
      </c>
      <c r="I2552" s="2" t="s">
        <v>12</v>
      </c>
      <c r="J2552" s="2" t="s">
        <v>12</v>
      </c>
      <c r="K2552" s="2" t="s">
        <v>12</v>
      </c>
    </row>
    <row r="2553" spans="1:11" ht="12.5" x14ac:dyDescent="0.25">
      <c r="A2553" s="3" t="e">
        <f ca="1"/>
        <v>#NAME?</v>
      </c>
      <c r="B2553" s="2" t="s">
        <v>12</v>
      </c>
      <c r="C2553" s="2" t="s">
        <v>12</v>
      </c>
      <c r="D2553" s="2" t="s">
        <v>12</v>
      </c>
      <c r="E2553" s="2" t="s">
        <v>12</v>
      </c>
      <c r="F2553" s="2" t="s">
        <v>12</v>
      </c>
      <c r="G2553" s="2" t="s">
        <v>12</v>
      </c>
      <c r="H2553" s="2" t="s">
        <v>12</v>
      </c>
      <c r="I2553" s="2" t="s">
        <v>12</v>
      </c>
      <c r="J2553" s="2" t="s">
        <v>12</v>
      </c>
      <c r="K2553" s="2" t="s">
        <v>12</v>
      </c>
    </row>
    <row r="2554" spans="1:11" ht="12.5" x14ac:dyDescent="0.25">
      <c r="A2554" s="3" t="e">
        <f ca="1"/>
        <v>#NAME?</v>
      </c>
      <c r="B2554" s="2" t="s">
        <v>12</v>
      </c>
      <c r="C2554" s="2" t="s">
        <v>12</v>
      </c>
      <c r="D2554" s="2" t="s">
        <v>12</v>
      </c>
      <c r="E2554" s="2" t="s">
        <v>12</v>
      </c>
      <c r="F2554" s="2" t="s">
        <v>12</v>
      </c>
      <c r="G2554" s="2" t="s">
        <v>12</v>
      </c>
      <c r="H2554" s="2" t="s">
        <v>12</v>
      </c>
      <c r="I2554" s="2" t="s">
        <v>12</v>
      </c>
      <c r="J2554" s="2" t="s">
        <v>12</v>
      </c>
      <c r="K2554" s="2" t="s">
        <v>12</v>
      </c>
    </row>
    <row r="2555" spans="1:11" ht="12.5" x14ac:dyDescent="0.25">
      <c r="A2555" s="3" t="e">
        <f ca="1"/>
        <v>#NAME?</v>
      </c>
      <c r="B2555" s="2" t="s">
        <v>12</v>
      </c>
      <c r="C2555" s="2" t="s">
        <v>12</v>
      </c>
      <c r="D2555" s="2" t="s">
        <v>12</v>
      </c>
      <c r="E2555" s="2" t="s">
        <v>12</v>
      </c>
      <c r="F2555" s="2" t="s">
        <v>12</v>
      </c>
      <c r="G2555" s="2" t="s">
        <v>12</v>
      </c>
      <c r="H2555" s="2" t="s">
        <v>12</v>
      </c>
      <c r="I2555" s="2" t="s">
        <v>12</v>
      </c>
      <c r="J2555" s="2" t="s">
        <v>12</v>
      </c>
      <c r="K2555" s="2" t="s">
        <v>12</v>
      </c>
    </row>
    <row r="2556" spans="1:11" ht="12.5" x14ac:dyDescent="0.25">
      <c r="A2556" s="3" t="e">
        <f ca="1"/>
        <v>#NAME?</v>
      </c>
      <c r="B2556" s="2" t="s">
        <v>12</v>
      </c>
      <c r="C2556" s="2" t="s">
        <v>12</v>
      </c>
      <c r="D2556" s="2" t="s">
        <v>12</v>
      </c>
      <c r="E2556" s="2" t="s">
        <v>12</v>
      </c>
      <c r="F2556" s="2" t="s">
        <v>12</v>
      </c>
      <c r="G2556" s="2" t="s">
        <v>12</v>
      </c>
      <c r="H2556" s="2" t="s">
        <v>12</v>
      </c>
      <c r="I2556" s="2" t="s">
        <v>12</v>
      </c>
      <c r="J2556" s="2" t="s">
        <v>12</v>
      </c>
      <c r="K2556" s="2" t="s">
        <v>12</v>
      </c>
    </row>
    <row r="2557" spans="1:11" ht="12.5" x14ac:dyDescent="0.25">
      <c r="A2557" s="3" t="e">
        <f ca="1"/>
        <v>#NAME?</v>
      </c>
      <c r="B2557" s="2" t="s">
        <v>12</v>
      </c>
      <c r="C2557" s="2" t="s">
        <v>12</v>
      </c>
      <c r="D2557" s="2" t="s">
        <v>12</v>
      </c>
      <c r="E2557" s="2" t="s">
        <v>12</v>
      </c>
      <c r="F2557" s="2" t="s">
        <v>12</v>
      </c>
      <c r="G2557" s="2" t="s">
        <v>12</v>
      </c>
      <c r="H2557" s="2" t="s">
        <v>12</v>
      </c>
      <c r="I2557" s="2" t="s">
        <v>12</v>
      </c>
      <c r="J2557" s="2" t="s">
        <v>12</v>
      </c>
      <c r="K2557" s="2" t="s">
        <v>12</v>
      </c>
    </row>
    <row r="2558" spans="1:11" ht="12.5" x14ac:dyDescent="0.25">
      <c r="A2558" s="3" t="e">
        <f ca="1"/>
        <v>#NAME?</v>
      </c>
      <c r="B2558" s="2" t="s">
        <v>12</v>
      </c>
      <c r="C2558" s="2" t="s">
        <v>12</v>
      </c>
      <c r="D2558" s="2" t="s">
        <v>12</v>
      </c>
      <c r="E2558" s="2" t="s">
        <v>12</v>
      </c>
      <c r="F2558" s="2" t="s">
        <v>12</v>
      </c>
      <c r="G2558" s="2" t="s">
        <v>12</v>
      </c>
      <c r="H2558" s="2" t="s">
        <v>12</v>
      </c>
      <c r="I2558" s="2" t="s">
        <v>12</v>
      </c>
      <c r="J2558" s="2" t="s">
        <v>12</v>
      </c>
      <c r="K2558" s="2" t="s">
        <v>12</v>
      </c>
    </row>
    <row r="2559" spans="1:11" ht="12.5" x14ac:dyDescent="0.25">
      <c r="A2559" s="3" t="e">
        <f ca="1"/>
        <v>#NAME?</v>
      </c>
      <c r="B2559" s="2" t="s">
        <v>12</v>
      </c>
      <c r="C2559" s="2" t="s">
        <v>12</v>
      </c>
      <c r="D2559" s="2" t="s">
        <v>12</v>
      </c>
      <c r="E2559" s="2" t="s">
        <v>12</v>
      </c>
      <c r="F2559" s="2" t="s">
        <v>12</v>
      </c>
      <c r="G2559" s="2" t="s">
        <v>12</v>
      </c>
      <c r="H2559" s="2" t="s">
        <v>12</v>
      </c>
      <c r="I2559" s="2" t="s">
        <v>12</v>
      </c>
      <c r="J2559" s="2" t="s">
        <v>12</v>
      </c>
      <c r="K2559" s="2" t="s">
        <v>12</v>
      </c>
    </row>
    <row r="2560" spans="1:11" ht="12.5" x14ac:dyDescent="0.25">
      <c r="A2560" s="3" t="e">
        <f ca="1"/>
        <v>#NAME?</v>
      </c>
      <c r="B2560" s="2" t="s">
        <v>12</v>
      </c>
      <c r="C2560" s="2" t="s">
        <v>12</v>
      </c>
      <c r="D2560" s="2" t="s">
        <v>12</v>
      </c>
      <c r="E2560" s="2" t="s">
        <v>12</v>
      </c>
      <c r="F2560" s="2" t="s">
        <v>12</v>
      </c>
      <c r="G2560" s="2" t="s">
        <v>12</v>
      </c>
      <c r="H2560" s="2" t="s">
        <v>12</v>
      </c>
      <c r="I2560" s="2" t="s">
        <v>12</v>
      </c>
      <c r="J2560" s="2" t="s">
        <v>12</v>
      </c>
      <c r="K2560" s="2" t="s">
        <v>12</v>
      </c>
    </row>
    <row r="2561" spans="1:11" ht="12.5" x14ac:dyDescent="0.25">
      <c r="A2561" s="3" t="e">
        <f ca="1"/>
        <v>#NAME?</v>
      </c>
      <c r="B2561" s="2" t="s">
        <v>12</v>
      </c>
      <c r="C2561" s="2" t="s">
        <v>12</v>
      </c>
      <c r="D2561" s="2" t="s">
        <v>12</v>
      </c>
      <c r="E2561" s="2" t="s">
        <v>12</v>
      </c>
      <c r="F2561" s="2" t="s">
        <v>12</v>
      </c>
      <c r="G2561" s="2" t="s">
        <v>12</v>
      </c>
      <c r="H2561" s="2" t="s">
        <v>12</v>
      </c>
      <c r="I2561" s="2" t="s">
        <v>12</v>
      </c>
      <c r="J2561" s="2" t="s">
        <v>12</v>
      </c>
      <c r="K2561" s="2" t="s">
        <v>12</v>
      </c>
    </row>
    <row r="2562" spans="1:11" ht="12.5" x14ac:dyDescent="0.25">
      <c r="A2562" s="3" t="e">
        <f ca="1"/>
        <v>#NAME?</v>
      </c>
      <c r="B2562" s="2" t="s">
        <v>12</v>
      </c>
      <c r="C2562" s="2" t="s">
        <v>12</v>
      </c>
      <c r="D2562" s="2" t="s">
        <v>12</v>
      </c>
      <c r="E2562" s="2" t="s">
        <v>12</v>
      </c>
      <c r="F2562" s="2" t="s">
        <v>12</v>
      </c>
      <c r="G2562" s="2" t="s">
        <v>12</v>
      </c>
      <c r="H2562" s="2" t="s">
        <v>12</v>
      </c>
      <c r="I2562" s="2" t="s">
        <v>12</v>
      </c>
      <c r="J2562" s="2" t="s">
        <v>12</v>
      </c>
      <c r="K2562" s="2" t="s">
        <v>12</v>
      </c>
    </row>
    <row r="2563" spans="1:11" ht="12.5" x14ac:dyDescent="0.25">
      <c r="A2563" s="3" t="e">
        <f ca="1"/>
        <v>#NAME?</v>
      </c>
      <c r="B2563" s="2" t="s">
        <v>12</v>
      </c>
      <c r="C2563" s="2" t="s">
        <v>12</v>
      </c>
      <c r="D2563" s="2" t="s">
        <v>12</v>
      </c>
      <c r="E2563" s="2" t="s">
        <v>12</v>
      </c>
      <c r="F2563" s="2" t="s">
        <v>12</v>
      </c>
      <c r="G2563" s="2" t="s">
        <v>12</v>
      </c>
      <c r="H2563" s="2" t="s">
        <v>12</v>
      </c>
      <c r="I2563" s="2" t="s">
        <v>12</v>
      </c>
      <c r="J2563" s="2" t="s">
        <v>12</v>
      </c>
      <c r="K2563" s="2" t="s">
        <v>12</v>
      </c>
    </row>
    <row r="2564" spans="1:11" ht="12.5" x14ac:dyDescent="0.25">
      <c r="A2564" s="3" t="e">
        <f ca="1"/>
        <v>#NAME?</v>
      </c>
      <c r="B2564" s="2" t="s">
        <v>12</v>
      </c>
      <c r="C2564" s="2" t="s">
        <v>12</v>
      </c>
      <c r="D2564" s="2" t="s">
        <v>12</v>
      </c>
      <c r="E2564" s="2" t="s">
        <v>12</v>
      </c>
      <c r="F2564" s="2" t="s">
        <v>12</v>
      </c>
      <c r="G2564" s="2" t="s">
        <v>12</v>
      </c>
      <c r="H2564" s="2" t="s">
        <v>12</v>
      </c>
      <c r="I2564" s="2" t="s">
        <v>12</v>
      </c>
      <c r="J2564" s="2" t="s">
        <v>12</v>
      </c>
      <c r="K2564" s="2" t="s">
        <v>12</v>
      </c>
    </row>
    <row r="2565" spans="1:11" ht="12.5" x14ac:dyDescent="0.25">
      <c r="A2565" s="3" t="e">
        <f ca="1"/>
        <v>#NAME?</v>
      </c>
      <c r="B2565" s="2" t="s">
        <v>12</v>
      </c>
      <c r="C2565" s="2" t="s">
        <v>12</v>
      </c>
      <c r="D2565" s="2" t="s">
        <v>12</v>
      </c>
      <c r="E2565" s="2" t="s">
        <v>12</v>
      </c>
      <c r="F2565" s="2" t="s">
        <v>12</v>
      </c>
      <c r="G2565" s="2" t="s">
        <v>12</v>
      </c>
      <c r="H2565" s="2" t="s">
        <v>12</v>
      </c>
      <c r="I2565" s="2" t="s">
        <v>12</v>
      </c>
      <c r="J2565" s="2" t="s">
        <v>12</v>
      </c>
      <c r="K2565" s="2" t="s">
        <v>12</v>
      </c>
    </row>
    <row r="2566" spans="1:11" ht="12.5" x14ac:dyDescent="0.25">
      <c r="A2566" s="3" t="e">
        <f ca="1"/>
        <v>#NAME?</v>
      </c>
      <c r="B2566" s="2" t="s">
        <v>12</v>
      </c>
      <c r="C2566" s="2" t="s">
        <v>12</v>
      </c>
      <c r="D2566" s="2" t="s">
        <v>12</v>
      </c>
      <c r="E2566" s="2" t="s">
        <v>12</v>
      </c>
      <c r="F2566" s="2" t="s">
        <v>12</v>
      </c>
      <c r="G2566" s="2" t="s">
        <v>12</v>
      </c>
      <c r="H2566" s="2" t="s">
        <v>12</v>
      </c>
      <c r="I2566" s="2" t="s">
        <v>12</v>
      </c>
      <c r="J2566" s="2" t="s">
        <v>12</v>
      </c>
      <c r="K2566" s="2" t="s">
        <v>12</v>
      </c>
    </row>
    <row r="2567" spans="1:11" ht="12.5" x14ac:dyDescent="0.25">
      <c r="A2567" s="3" t="e">
        <f ca="1"/>
        <v>#NAME?</v>
      </c>
      <c r="B2567" s="2" t="s">
        <v>12</v>
      </c>
      <c r="C2567" s="2" t="s">
        <v>12</v>
      </c>
      <c r="D2567" s="2" t="s">
        <v>12</v>
      </c>
      <c r="E2567" s="2" t="s">
        <v>12</v>
      </c>
      <c r="F2567" s="2" t="s">
        <v>12</v>
      </c>
      <c r="G2567" s="2" t="s">
        <v>12</v>
      </c>
      <c r="H2567" s="2" t="s">
        <v>12</v>
      </c>
      <c r="I2567" s="2" t="s">
        <v>12</v>
      </c>
      <c r="J2567" s="2" t="s">
        <v>12</v>
      </c>
      <c r="K2567" s="2" t="s">
        <v>12</v>
      </c>
    </row>
    <row r="2568" spans="1:11" ht="12.5" x14ac:dyDescent="0.25">
      <c r="A2568" s="3" t="e">
        <f ca="1"/>
        <v>#NAME?</v>
      </c>
      <c r="B2568" s="2" t="s">
        <v>12</v>
      </c>
      <c r="C2568" s="2" t="s">
        <v>12</v>
      </c>
      <c r="D2568" s="2" t="s">
        <v>12</v>
      </c>
      <c r="E2568" s="2" t="s">
        <v>12</v>
      </c>
      <c r="F2568" s="2" t="s">
        <v>12</v>
      </c>
      <c r="G2568" s="2" t="s">
        <v>12</v>
      </c>
      <c r="H2568" s="2" t="s">
        <v>12</v>
      </c>
      <c r="I2568" s="2" t="s">
        <v>12</v>
      </c>
      <c r="J2568" s="2" t="s">
        <v>12</v>
      </c>
      <c r="K2568" s="2" t="s">
        <v>12</v>
      </c>
    </row>
    <row r="2569" spans="1:11" ht="12.5" x14ac:dyDescent="0.25">
      <c r="A2569" s="3" t="e">
        <f ca="1"/>
        <v>#NAME?</v>
      </c>
      <c r="B2569" s="2" t="s">
        <v>12</v>
      </c>
      <c r="C2569" s="2" t="s">
        <v>12</v>
      </c>
      <c r="D2569" s="2" t="s">
        <v>12</v>
      </c>
      <c r="E2569" s="2" t="s">
        <v>12</v>
      </c>
      <c r="F2569" s="2" t="s">
        <v>12</v>
      </c>
      <c r="G2569" s="2" t="s">
        <v>12</v>
      </c>
      <c r="H2569" s="2" t="s">
        <v>12</v>
      </c>
      <c r="I2569" s="2" t="s">
        <v>12</v>
      </c>
      <c r="J2569" s="2" t="s">
        <v>12</v>
      </c>
      <c r="K2569" s="2" t="s">
        <v>12</v>
      </c>
    </row>
    <row r="2570" spans="1:11" ht="12.5" x14ac:dyDescent="0.25">
      <c r="A2570" s="3" t="e">
        <f ca="1"/>
        <v>#NAME?</v>
      </c>
      <c r="B2570" s="2" t="s">
        <v>12</v>
      </c>
      <c r="C2570" s="2" t="s">
        <v>12</v>
      </c>
      <c r="D2570" s="2" t="s">
        <v>12</v>
      </c>
      <c r="E2570" s="2" t="s">
        <v>12</v>
      </c>
      <c r="F2570" s="2" t="s">
        <v>12</v>
      </c>
      <c r="G2570" s="2" t="s">
        <v>12</v>
      </c>
      <c r="H2570" s="2" t="s">
        <v>12</v>
      </c>
      <c r="I2570" s="2" t="s">
        <v>12</v>
      </c>
      <c r="J2570" s="2" t="s">
        <v>12</v>
      </c>
      <c r="K2570" s="2" t="s">
        <v>12</v>
      </c>
    </row>
    <row r="2571" spans="1:11" ht="12.5" x14ac:dyDescent="0.25">
      <c r="A2571" s="3" t="e">
        <f ca="1"/>
        <v>#NAME?</v>
      </c>
      <c r="B2571" s="2" t="s">
        <v>12</v>
      </c>
      <c r="C2571" s="2" t="s">
        <v>12</v>
      </c>
      <c r="D2571" s="2" t="s">
        <v>12</v>
      </c>
      <c r="E2571" s="2" t="s">
        <v>12</v>
      </c>
      <c r="F2571" s="2" t="s">
        <v>12</v>
      </c>
      <c r="G2571" s="2" t="s">
        <v>12</v>
      </c>
      <c r="H2571" s="2" t="s">
        <v>12</v>
      </c>
      <c r="I2571" s="2" t="s">
        <v>12</v>
      </c>
      <c r="J2571" s="2" t="s">
        <v>12</v>
      </c>
      <c r="K2571" s="2" t="s">
        <v>12</v>
      </c>
    </row>
    <row r="2572" spans="1:11" ht="12.5" x14ac:dyDescent="0.25">
      <c r="A2572" s="3" t="e">
        <f ca="1"/>
        <v>#NAME?</v>
      </c>
      <c r="B2572" s="2" t="s">
        <v>12</v>
      </c>
      <c r="C2572" s="2" t="s">
        <v>12</v>
      </c>
      <c r="D2572" s="2" t="s">
        <v>12</v>
      </c>
      <c r="E2572" s="2" t="s">
        <v>12</v>
      </c>
      <c r="F2572" s="2" t="s">
        <v>12</v>
      </c>
      <c r="G2572" s="2" t="s">
        <v>12</v>
      </c>
      <c r="H2572" s="2" t="s">
        <v>12</v>
      </c>
      <c r="I2572" s="2" t="s">
        <v>12</v>
      </c>
      <c r="J2572" s="2" t="s">
        <v>12</v>
      </c>
      <c r="K2572" s="2" t="s">
        <v>12</v>
      </c>
    </row>
    <row r="2573" spans="1:11" ht="12.5" x14ac:dyDescent="0.25">
      <c r="A2573" s="3" t="e">
        <f ca="1"/>
        <v>#NAME?</v>
      </c>
      <c r="B2573" s="2" t="s">
        <v>12</v>
      </c>
      <c r="C2573" s="2" t="s">
        <v>12</v>
      </c>
      <c r="D2573" s="2" t="s">
        <v>12</v>
      </c>
      <c r="E2573" s="2" t="s">
        <v>12</v>
      </c>
      <c r="F2573" s="2" t="s">
        <v>12</v>
      </c>
      <c r="G2573" s="2" t="s">
        <v>12</v>
      </c>
      <c r="H2573" s="2" t="s">
        <v>12</v>
      </c>
      <c r="I2573" s="2" t="s">
        <v>12</v>
      </c>
      <c r="J2573" s="2" t="s">
        <v>12</v>
      </c>
      <c r="K2573" s="2" t="s">
        <v>12</v>
      </c>
    </row>
    <row r="2574" spans="1:11" ht="12.5" x14ac:dyDescent="0.25">
      <c r="A2574" s="3" t="e">
        <f ca="1"/>
        <v>#NAME?</v>
      </c>
      <c r="B2574" s="2" t="s">
        <v>12</v>
      </c>
      <c r="C2574" s="2" t="s">
        <v>12</v>
      </c>
      <c r="D2574" s="2" t="s">
        <v>12</v>
      </c>
      <c r="E2574" s="2" t="s">
        <v>12</v>
      </c>
      <c r="F2574" s="2" t="s">
        <v>12</v>
      </c>
      <c r="G2574" s="2" t="s">
        <v>12</v>
      </c>
      <c r="H2574" s="2" t="s">
        <v>12</v>
      </c>
      <c r="I2574" s="2" t="s">
        <v>12</v>
      </c>
      <c r="J2574" s="2" t="s">
        <v>12</v>
      </c>
      <c r="K2574" s="2" t="s">
        <v>12</v>
      </c>
    </row>
    <row r="2575" spans="1:11" ht="12.5" x14ac:dyDescent="0.25">
      <c r="A2575" s="3" t="e">
        <f ca="1"/>
        <v>#NAME?</v>
      </c>
      <c r="B2575" s="2" t="s">
        <v>12</v>
      </c>
      <c r="C2575" s="2" t="s">
        <v>12</v>
      </c>
      <c r="D2575" s="2" t="s">
        <v>12</v>
      </c>
      <c r="E2575" s="2" t="s">
        <v>12</v>
      </c>
      <c r="F2575" s="2" t="s">
        <v>12</v>
      </c>
      <c r="G2575" s="2" t="s">
        <v>12</v>
      </c>
      <c r="H2575" s="2" t="s">
        <v>12</v>
      </c>
      <c r="I2575" s="2" t="s">
        <v>12</v>
      </c>
      <c r="J2575" s="2" t="s">
        <v>12</v>
      </c>
      <c r="K2575" s="2" t="s">
        <v>12</v>
      </c>
    </row>
    <row r="2576" spans="1:11" ht="12.5" x14ac:dyDescent="0.25">
      <c r="A2576" s="3" t="e">
        <f ca="1"/>
        <v>#NAME?</v>
      </c>
      <c r="B2576" s="2" t="s">
        <v>12</v>
      </c>
      <c r="C2576" s="2" t="s">
        <v>12</v>
      </c>
      <c r="D2576" s="2" t="s">
        <v>12</v>
      </c>
      <c r="E2576" s="2" t="s">
        <v>12</v>
      </c>
      <c r="F2576" s="2" t="s">
        <v>12</v>
      </c>
      <c r="G2576" s="2" t="s">
        <v>12</v>
      </c>
      <c r="H2576" s="2" t="s">
        <v>12</v>
      </c>
      <c r="I2576" s="2" t="s">
        <v>12</v>
      </c>
      <c r="J2576" s="2" t="s">
        <v>12</v>
      </c>
      <c r="K2576" s="2" t="s">
        <v>12</v>
      </c>
    </row>
    <row r="2577" spans="1:11" ht="12.5" x14ac:dyDescent="0.25">
      <c r="A2577" s="3" t="e">
        <f ca="1"/>
        <v>#NAME?</v>
      </c>
      <c r="B2577" s="2" t="s">
        <v>12</v>
      </c>
      <c r="C2577" s="2" t="s">
        <v>12</v>
      </c>
      <c r="D2577" s="2" t="s">
        <v>12</v>
      </c>
      <c r="E2577" s="2" t="s">
        <v>12</v>
      </c>
      <c r="F2577" s="2" t="s">
        <v>12</v>
      </c>
      <c r="G2577" s="2" t="s">
        <v>12</v>
      </c>
      <c r="H2577" s="2" t="s">
        <v>12</v>
      </c>
      <c r="I2577" s="2" t="s">
        <v>12</v>
      </c>
      <c r="J2577" s="2" t="s">
        <v>12</v>
      </c>
      <c r="K2577" s="2" t="s">
        <v>12</v>
      </c>
    </row>
    <row r="2578" spans="1:11" ht="12.5" x14ac:dyDescent="0.25">
      <c r="A2578" s="3" t="e">
        <f ca="1"/>
        <v>#NAME?</v>
      </c>
      <c r="B2578" s="2" t="s">
        <v>12</v>
      </c>
      <c r="C2578" s="2" t="s">
        <v>12</v>
      </c>
      <c r="D2578" s="2" t="s">
        <v>12</v>
      </c>
      <c r="E2578" s="2" t="s">
        <v>12</v>
      </c>
      <c r="F2578" s="2" t="s">
        <v>12</v>
      </c>
      <c r="G2578" s="2" t="s">
        <v>12</v>
      </c>
      <c r="H2578" s="2" t="s">
        <v>12</v>
      </c>
      <c r="I2578" s="2" t="s">
        <v>12</v>
      </c>
      <c r="J2578" s="2" t="s">
        <v>12</v>
      </c>
      <c r="K2578" s="2" t="s">
        <v>12</v>
      </c>
    </row>
    <row r="2579" spans="1:11" ht="12.5" x14ac:dyDescent="0.25">
      <c r="A2579" s="3" t="e">
        <f ca="1"/>
        <v>#NAME?</v>
      </c>
      <c r="B2579" s="2" t="s">
        <v>12</v>
      </c>
      <c r="C2579" s="2" t="s">
        <v>12</v>
      </c>
      <c r="D2579" s="2" t="s">
        <v>12</v>
      </c>
      <c r="E2579" s="2" t="s">
        <v>12</v>
      </c>
      <c r="F2579" s="2" t="s">
        <v>12</v>
      </c>
      <c r="G2579" s="2" t="s">
        <v>12</v>
      </c>
      <c r="H2579" s="2" t="s">
        <v>12</v>
      </c>
      <c r="I2579" s="2" t="s">
        <v>12</v>
      </c>
      <c r="J2579" s="2" t="s">
        <v>12</v>
      </c>
      <c r="K2579" s="2" t="s">
        <v>12</v>
      </c>
    </row>
    <row r="2580" spans="1:11" ht="12.5" x14ac:dyDescent="0.25">
      <c r="A2580" s="3" t="e">
        <f ca="1"/>
        <v>#NAME?</v>
      </c>
      <c r="B2580" s="2" t="s">
        <v>12</v>
      </c>
      <c r="C2580" s="2" t="s">
        <v>12</v>
      </c>
      <c r="D2580" s="2" t="s">
        <v>12</v>
      </c>
      <c r="E2580" s="2" t="s">
        <v>12</v>
      </c>
      <c r="F2580" s="2" t="s">
        <v>12</v>
      </c>
      <c r="G2580" s="2" t="s">
        <v>12</v>
      </c>
      <c r="H2580" s="2" t="s">
        <v>12</v>
      </c>
      <c r="I2580" s="2" t="s">
        <v>12</v>
      </c>
      <c r="J2580" s="2" t="s">
        <v>12</v>
      </c>
      <c r="K2580" s="2" t="s">
        <v>12</v>
      </c>
    </row>
    <row r="2581" spans="1:11" ht="12.5" x14ac:dyDescent="0.25">
      <c r="A2581" s="3" t="e">
        <f ca="1"/>
        <v>#NAME?</v>
      </c>
      <c r="B2581" s="2" t="s">
        <v>12</v>
      </c>
      <c r="C2581" s="2" t="s">
        <v>12</v>
      </c>
      <c r="D2581" s="2" t="s">
        <v>12</v>
      </c>
      <c r="E2581" s="2" t="s">
        <v>12</v>
      </c>
      <c r="F2581" s="2" t="s">
        <v>12</v>
      </c>
      <c r="G2581" s="2" t="s">
        <v>12</v>
      </c>
      <c r="H2581" s="2" t="s">
        <v>12</v>
      </c>
      <c r="I2581" s="2" t="s">
        <v>12</v>
      </c>
      <c r="J2581" s="2" t="s">
        <v>12</v>
      </c>
      <c r="K2581" s="2" t="s">
        <v>12</v>
      </c>
    </row>
    <row r="2582" spans="1:11" ht="12.5" x14ac:dyDescent="0.25">
      <c r="A2582" s="3" t="e">
        <f ca="1"/>
        <v>#NAME?</v>
      </c>
      <c r="B2582" s="2" t="s">
        <v>12</v>
      </c>
      <c r="C2582" s="2" t="s">
        <v>12</v>
      </c>
      <c r="D2582" s="2" t="s">
        <v>12</v>
      </c>
      <c r="E2582" s="2" t="s">
        <v>12</v>
      </c>
      <c r="F2582" s="2" t="s">
        <v>12</v>
      </c>
      <c r="G2582" s="2" t="s">
        <v>12</v>
      </c>
      <c r="H2582" s="2" t="s">
        <v>12</v>
      </c>
      <c r="I2582" s="2" t="s">
        <v>12</v>
      </c>
      <c r="J2582" s="2" t="s">
        <v>12</v>
      </c>
      <c r="K2582" s="2" t="s">
        <v>12</v>
      </c>
    </row>
    <row r="2583" spans="1:11" ht="12.5" x14ac:dyDescent="0.25">
      <c r="A2583" s="3" t="e">
        <f ca="1"/>
        <v>#NAME?</v>
      </c>
      <c r="B2583" s="2" t="s">
        <v>12</v>
      </c>
      <c r="C2583" s="2" t="s">
        <v>12</v>
      </c>
      <c r="D2583" s="2" t="s">
        <v>12</v>
      </c>
      <c r="E2583" s="2" t="s">
        <v>12</v>
      </c>
      <c r="F2583" s="2" t="s">
        <v>12</v>
      </c>
      <c r="G2583" s="2" t="s">
        <v>12</v>
      </c>
      <c r="H2583" s="2" t="s">
        <v>12</v>
      </c>
      <c r="I2583" s="2" t="s">
        <v>12</v>
      </c>
      <c r="J2583" s="2" t="s">
        <v>12</v>
      </c>
      <c r="K2583" s="2" t="s">
        <v>12</v>
      </c>
    </row>
    <row r="2584" spans="1:11" ht="12.5" x14ac:dyDescent="0.25">
      <c r="A2584" s="3" t="e">
        <f ca="1"/>
        <v>#NAME?</v>
      </c>
      <c r="B2584" s="2" t="s">
        <v>12</v>
      </c>
      <c r="C2584" s="2" t="s">
        <v>12</v>
      </c>
      <c r="D2584" s="2" t="s">
        <v>12</v>
      </c>
      <c r="E2584" s="2" t="s">
        <v>12</v>
      </c>
      <c r="F2584" s="2" t="s">
        <v>12</v>
      </c>
      <c r="G2584" s="2" t="s">
        <v>12</v>
      </c>
      <c r="H2584" s="2" t="s">
        <v>12</v>
      </c>
      <c r="I2584" s="2" t="s">
        <v>12</v>
      </c>
      <c r="J2584" s="2" t="s">
        <v>12</v>
      </c>
      <c r="K2584" s="2" t="s">
        <v>12</v>
      </c>
    </row>
    <row r="2585" spans="1:11" ht="12.5" x14ac:dyDescent="0.25">
      <c r="A2585" s="3" t="e">
        <f ca="1"/>
        <v>#NAME?</v>
      </c>
      <c r="B2585" s="2" t="s">
        <v>12</v>
      </c>
      <c r="C2585" s="2" t="s">
        <v>12</v>
      </c>
      <c r="D2585" s="2" t="s">
        <v>12</v>
      </c>
      <c r="E2585" s="2" t="s">
        <v>12</v>
      </c>
      <c r="F2585" s="2" t="s">
        <v>12</v>
      </c>
      <c r="G2585" s="2" t="s">
        <v>12</v>
      </c>
      <c r="H2585" s="2" t="s">
        <v>12</v>
      </c>
      <c r="I2585" s="2" t="s">
        <v>12</v>
      </c>
      <c r="J2585" s="2" t="s">
        <v>12</v>
      </c>
      <c r="K2585" s="2" t="s">
        <v>12</v>
      </c>
    </row>
    <row r="2586" spans="1:11" ht="12.5" x14ac:dyDescent="0.25">
      <c r="A2586" s="3" t="e">
        <f ca="1"/>
        <v>#NAME?</v>
      </c>
      <c r="B2586" s="2" t="s">
        <v>12</v>
      </c>
      <c r="C2586" s="2" t="s">
        <v>12</v>
      </c>
      <c r="D2586" s="2" t="s">
        <v>12</v>
      </c>
      <c r="E2586" s="2" t="s">
        <v>12</v>
      </c>
      <c r="F2586" s="2" t="s">
        <v>12</v>
      </c>
      <c r="G2586" s="2" t="s">
        <v>12</v>
      </c>
      <c r="H2586" s="2" t="s">
        <v>12</v>
      </c>
      <c r="I2586" s="2" t="s">
        <v>12</v>
      </c>
      <c r="J2586" s="2" t="s">
        <v>12</v>
      </c>
      <c r="K2586" s="2" t="s">
        <v>12</v>
      </c>
    </row>
    <row r="2587" spans="1:11" ht="12.5" x14ac:dyDescent="0.25">
      <c r="A2587" s="3" t="e">
        <f ca="1"/>
        <v>#NAME?</v>
      </c>
      <c r="B2587" s="2" t="s">
        <v>12</v>
      </c>
      <c r="C2587" s="2" t="s">
        <v>12</v>
      </c>
      <c r="D2587" s="2" t="s">
        <v>12</v>
      </c>
      <c r="E2587" s="2" t="s">
        <v>12</v>
      </c>
      <c r="F2587" s="2" t="s">
        <v>12</v>
      </c>
      <c r="G2587" s="2" t="s">
        <v>12</v>
      </c>
      <c r="H2587" s="2" t="s">
        <v>12</v>
      </c>
      <c r="I2587" s="2" t="s">
        <v>12</v>
      </c>
      <c r="J2587" s="2" t="s">
        <v>12</v>
      </c>
      <c r="K2587" s="2" t="s">
        <v>12</v>
      </c>
    </row>
    <row r="2588" spans="1:11" ht="12.5" x14ac:dyDescent="0.25">
      <c r="A2588" s="3" t="e">
        <f ca="1"/>
        <v>#NAME?</v>
      </c>
      <c r="B2588" s="2" t="s">
        <v>12</v>
      </c>
      <c r="C2588" s="2" t="s">
        <v>12</v>
      </c>
      <c r="D2588" s="2" t="s">
        <v>12</v>
      </c>
      <c r="E2588" s="2" t="s">
        <v>12</v>
      </c>
      <c r="F2588" s="2" t="s">
        <v>12</v>
      </c>
      <c r="G2588" s="2" t="s">
        <v>12</v>
      </c>
      <c r="H2588" s="2" t="s">
        <v>12</v>
      </c>
      <c r="I2588" s="2" t="s">
        <v>12</v>
      </c>
      <c r="J2588" s="2" t="s">
        <v>12</v>
      </c>
      <c r="K2588" s="2" t="s">
        <v>12</v>
      </c>
    </row>
    <row r="2589" spans="1:11" ht="12.5" x14ac:dyDescent="0.25">
      <c r="A2589" s="3" t="e">
        <f ca="1"/>
        <v>#NAME?</v>
      </c>
      <c r="B2589" s="2" t="s">
        <v>12</v>
      </c>
      <c r="C2589" s="2" t="s">
        <v>12</v>
      </c>
      <c r="D2589" s="2" t="s">
        <v>12</v>
      </c>
      <c r="E2589" s="2" t="s">
        <v>12</v>
      </c>
      <c r="F2589" s="2" t="s">
        <v>12</v>
      </c>
      <c r="G2589" s="2" t="s">
        <v>12</v>
      </c>
      <c r="H2589" s="2" t="s">
        <v>12</v>
      </c>
      <c r="I2589" s="2" t="s">
        <v>12</v>
      </c>
      <c r="J2589" s="2" t="s">
        <v>12</v>
      </c>
      <c r="K2589" s="2" t="s">
        <v>12</v>
      </c>
    </row>
    <row r="2590" spans="1:11" ht="12.5" x14ac:dyDescent="0.25">
      <c r="A2590" s="3" t="e">
        <f ca="1"/>
        <v>#NAME?</v>
      </c>
      <c r="B2590" s="2" t="s">
        <v>12</v>
      </c>
      <c r="C2590" s="2" t="s">
        <v>12</v>
      </c>
      <c r="D2590" s="2" t="s">
        <v>12</v>
      </c>
      <c r="E2590" s="2" t="s">
        <v>12</v>
      </c>
      <c r="F2590" s="2" t="s">
        <v>12</v>
      </c>
      <c r="G2590" s="2" t="s">
        <v>12</v>
      </c>
      <c r="H2590" s="2" t="s">
        <v>12</v>
      </c>
      <c r="I2590" s="2" t="s">
        <v>12</v>
      </c>
      <c r="J2590" s="2" t="s">
        <v>12</v>
      </c>
      <c r="K2590" s="2" t="s">
        <v>12</v>
      </c>
    </row>
    <row r="2591" spans="1:11" ht="12.5" x14ac:dyDescent="0.25">
      <c r="A2591" s="3" t="e">
        <f ca="1"/>
        <v>#NAME?</v>
      </c>
      <c r="B2591" s="2" t="s">
        <v>12</v>
      </c>
      <c r="C2591" s="2" t="s">
        <v>12</v>
      </c>
      <c r="D2591" s="2" t="s">
        <v>12</v>
      </c>
      <c r="E2591" s="2" t="s">
        <v>12</v>
      </c>
      <c r="F2591" s="2" t="s">
        <v>12</v>
      </c>
      <c r="G2591" s="2" t="s">
        <v>12</v>
      </c>
      <c r="H2591" s="2" t="s">
        <v>12</v>
      </c>
      <c r="I2591" s="2" t="s">
        <v>12</v>
      </c>
      <c r="J2591" s="2" t="s">
        <v>12</v>
      </c>
      <c r="K2591" s="2" t="s">
        <v>12</v>
      </c>
    </row>
    <row r="2592" spans="1:11" ht="12.5" x14ac:dyDescent="0.25">
      <c r="A2592" s="3" t="e">
        <f ca="1"/>
        <v>#NAME?</v>
      </c>
      <c r="B2592" s="2" t="s">
        <v>12</v>
      </c>
      <c r="C2592" s="2" t="s">
        <v>12</v>
      </c>
      <c r="D2592" s="2" t="s">
        <v>12</v>
      </c>
      <c r="E2592" s="2" t="s">
        <v>12</v>
      </c>
      <c r="F2592" s="2" t="s">
        <v>12</v>
      </c>
      <c r="G2592" s="2" t="s">
        <v>12</v>
      </c>
      <c r="H2592" s="2" t="s">
        <v>12</v>
      </c>
      <c r="I2592" s="2" t="s">
        <v>12</v>
      </c>
      <c r="J2592" s="2" t="s">
        <v>12</v>
      </c>
      <c r="K2592" s="2" t="s">
        <v>12</v>
      </c>
    </row>
    <row r="2593" spans="1:11" ht="12.5" x14ac:dyDescent="0.25">
      <c r="A2593" s="3" t="e">
        <f ca="1"/>
        <v>#NAME?</v>
      </c>
      <c r="B2593" s="2" t="s">
        <v>12</v>
      </c>
      <c r="C2593" s="2" t="s">
        <v>12</v>
      </c>
      <c r="D2593" s="2" t="s">
        <v>12</v>
      </c>
      <c r="E2593" s="2" t="s">
        <v>12</v>
      </c>
      <c r="F2593" s="2" t="s">
        <v>12</v>
      </c>
      <c r="G2593" s="2" t="s">
        <v>12</v>
      </c>
      <c r="H2593" s="2" t="s">
        <v>12</v>
      </c>
      <c r="I2593" s="2" t="s">
        <v>12</v>
      </c>
      <c r="J2593" s="2" t="s">
        <v>12</v>
      </c>
      <c r="K2593" s="2" t="s">
        <v>12</v>
      </c>
    </row>
    <row r="2594" spans="1:11" ht="12.5" x14ac:dyDescent="0.25">
      <c r="A2594" s="3" t="e">
        <f ca="1"/>
        <v>#NAME?</v>
      </c>
      <c r="B2594" s="2" t="s">
        <v>12</v>
      </c>
      <c r="C2594" s="2" t="s">
        <v>12</v>
      </c>
      <c r="D2594" s="2" t="s">
        <v>12</v>
      </c>
      <c r="E2594" s="2" t="s">
        <v>12</v>
      </c>
      <c r="F2594" s="2" t="s">
        <v>12</v>
      </c>
      <c r="G2594" s="2" t="s">
        <v>12</v>
      </c>
      <c r="H2594" s="2" t="s">
        <v>12</v>
      </c>
      <c r="I2594" s="2" t="s">
        <v>12</v>
      </c>
      <c r="J2594" s="2" t="s">
        <v>12</v>
      </c>
      <c r="K2594" s="2" t="s">
        <v>12</v>
      </c>
    </row>
    <row r="2595" spans="1:11" ht="12.5" x14ac:dyDescent="0.25">
      <c r="A2595" s="3" t="e">
        <f ca="1"/>
        <v>#NAME?</v>
      </c>
      <c r="B2595" s="2" t="s">
        <v>12</v>
      </c>
      <c r="C2595" s="2" t="s">
        <v>12</v>
      </c>
      <c r="D2595" s="2" t="s">
        <v>12</v>
      </c>
      <c r="E2595" s="2" t="s">
        <v>12</v>
      </c>
      <c r="F2595" s="2" t="s">
        <v>12</v>
      </c>
      <c r="G2595" s="2" t="s">
        <v>12</v>
      </c>
      <c r="H2595" s="2" t="s">
        <v>12</v>
      </c>
      <c r="I2595" s="2" t="s">
        <v>12</v>
      </c>
      <c r="J2595" s="2" t="s">
        <v>12</v>
      </c>
      <c r="K2595" s="2" t="s">
        <v>12</v>
      </c>
    </row>
    <row r="2596" spans="1:11" ht="12.5" x14ac:dyDescent="0.25">
      <c r="A2596" s="3" t="e">
        <f ca="1"/>
        <v>#NAME?</v>
      </c>
      <c r="B2596" s="2" t="s">
        <v>12</v>
      </c>
      <c r="C2596" s="2" t="s">
        <v>12</v>
      </c>
      <c r="D2596" s="2" t="s">
        <v>12</v>
      </c>
      <c r="E2596" s="2" t="s">
        <v>12</v>
      </c>
      <c r="F2596" s="2" t="s">
        <v>12</v>
      </c>
      <c r="G2596" s="2" t="s">
        <v>12</v>
      </c>
      <c r="H2596" s="2" t="s">
        <v>12</v>
      </c>
      <c r="I2596" s="2" t="s">
        <v>12</v>
      </c>
      <c r="J2596" s="2" t="s">
        <v>12</v>
      </c>
      <c r="K2596" s="2" t="s">
        <v>12</v>
      </c>
    </row>
    <row r="2597" spans="1:11" ht="12.5" x14ac:dyDescent="0.25">
      <c r="A2597" s="3" t="e">
        <f ca="1"/>
        <v>#NAME?</v>
      </c>
      <c r="B2597" s="2" t="s">
        <v>12</v>
      </c>
      <c r="C2597" s="2" t="s">
        <v>12</v>
      </c>
      <c r="D2597" s="2" t="s">
        <v>12</v>
      </c>
      <c r="E2597" s="2" t="s">
        <v>12</v>
      </c>
      <c r="F2597" s="2" t="s">
        <v>12</v>
      </c>
      <c r="G2597" s="2" t="s">
        <v>12</v>
      </c>
      <c r="H2597" s="2" t="s">
        <v>12</v>
      </c>
      <c r="I2597" s="2" t="s">
        <v>12</v>
      </c>
      <c r="J2597" s="2" t="s">
        <v>12</v>
      </c>
      <c r="K2597" s="2" t="s">
        <v>12</v>
      </c>
    </row>
    <row r="2598" spans="1:11" ht="12.5" x14ac:dyDescent="0.25">
      <c r="A2598" s="3" t="e">
        <f ca="1"/>
        <v>#NAME?</v>
      </c>
      <c r="B2598" s="2" t="s">
        <v>12</v>
      </c>
      <c r="C2598" s="2" t="s">
        <v>12</v>
      </c>
      <c r="D2598" s="2" t="s">
        <v>12</v>
      </c>
      <c r="E2598" s="2" t="s">
        <v>12</v>
      </c>
      <c r="F2598" s="2" t="s">
        <v>12</v>
      </c>
      <c r="G2598" s="2" t="s">
        <v>12</v>
      </c>
      <c r="H2598" s="2" t="s">
        <v>12</v>
      </c>
      <c r="I2598" s="2" t="s">
        <v>12</v>
      </c>
      <c r="J2598" s="2" t="s">
        <v>12</v>
      </c>
      <c r="K2598" s="2" t="s">
        <v>12</v>
      </c>
    </row>
    <row r="2599" spans="1:11" ht="12.5" x14ac:dyDescent="0.25">
      <c r="A2599" s="3" t="e">
        <f ca="1"/>
        <v>#NAME?</v>
      </c>
      <c r="B2599" s="2" t="s">
        <v>12</v>
      </c>
      <c r="C2599" s="2" t="s">
        <v>12</v>
      </c>
      <c r="D2599" s="2" t="s">
        <v>12</v>
      </c>
      <c r="E2599" s="2" t="s">
        <v>12</v>
      </c>
      <c r="F2599" s="2" t="s">
        <v>12</v>
      </c>
      <c r="G2599" s="2" t="s">
        <v>12</v>
      </c>
      <c r="H2599" s="2" t="s">
        <v>12</v>
      </c>
      <c r="I2599" s="2" t="s">
        <v>12</v>
      </c>
      <c r="J2599" s="2" t="s">
        <v>12</v>
      </c>
      <c r="K2599" s="2" t="s">
        <v>12</v>
      </c>
    </row>
    <row r="2600" spans="1:11" ht="12.5" x14ac:dyDescent="0.25">
      <c r="A2600" s="3" t="e">
        <f ca="1"/>
        <v>#NAME?</v>
      </c>
      <c r="B2600" s="2" t="s">
        <v>12</v>
      </c>
      <c r="C2600" s="2" t="s">
        <v>12</v>
      </c>
      <c r="D2600" s="2" t="s">
        <v>12</v>
      </c>
      <c r="E2600" s="2" t="s">
        <v>12</v>
      </c>
      <c r="F2600" s="2" t="s">
        <v>12</v>
      </c>
      <c r="G2600" s="2" t="s">
        <v>12</v>
      </c>
      <c r="H2600" s="2" t="s">
        <v>12</v>
      </c>
      <c r="I2600" s="2" t="s">
        <v>12</v>
      </c>
      <c r="J2600" s="2" t="s">
        <v>12</v>
      </c>
      <c r="K2600" s="2" t="s">
        <v>12</v>
      </c>
    </row>
    <row r="2601" spans="1:11" ht="12.5" x14ac:dyDescent="0.25">
      <c r="A2601" s="3" t="e">
        <f ca="1"/>
        <v>#NAME?</v>
      </c>
      <c r="B2601" s="2" t="s">
        <v>12</v>
      </c>
      <c r="C2601" s="2" t="s">
        <v>12</v>
      </c>
      <c r="D2601" s="2" t="s">
        <v>12</v>
      </c>
      <c r="E2601" s="2" t="s">
        <v>12</v>
      </c>
      <c r="F2601" s="2" t="s">
        <v>12</v>
      </c>
      <c r="G2601" s="2" t="s">
        <v>12</v>
      </c>
      <c r="H2601" s="2" t="s">
        <v>12</v>
      </c>
      <c r="I2601" s="2" t="s">
        <v>12</v>
      </c>
      <c r="J2601" s="2" t="s">
        <v>12</v>
      </c>
      <c r="K2601" s="2" t="s">
        <v>12</v>
      </c>
    </row>
    <row r="2602" spans="1:11" ht="12.5" x14ac:dyDescent="0.25">
      <c r="A2602" s="3" t="e">
        <f ca="1"/>
        <v>#NAME?</v>
      </c>
      <c r="B2602" s="2" t="s">
        <v>12</v>
      </c>
      <c r="C2602" s="2" t="s">
        <v>12</v>
      </c>
      <c r="D2602" s="2" t="s">
        <v>12</v>
      </c>
      <c r="E2602" s="2" t="s">
        <v>12</v>
      </c>
      <c r="F2602" s="2" t="s">
        <v>12</v>
      </c>
      <c r="G2602" s="2" t="s">
        <v>12</v>
      </c>
      <c r="H2602" s="2" t="s">
        <v>12</v>
      </c>
      <c r="I2602" s="2" t="s">
        <v>12</v>
      </c>
      <c r="J2602" s="2" t="s">
        <v>12</v>
      </c>
      <c r="K2602" s="2" t="s">
        <v>12</v>
      </c>
    </row>
    <row r="2603" spans="1:11" ht="12.5" x14ac:dyDescent="0.25">
      <c r="A2603" s="3" t="e">
        <f ca="1"/>
        <v>#NAME?</v>
      </c>
      <c r="B2603" s="2" t="s">
        <v>12</v>
      </c>
      <c r="C2603" s="2" t="s">
        <v>12</v>
      </c>
      <c r="D2603" s="2" t="s">
        <v>12</v>
      </c>
      <c r="E2603" s="2" t="s">
        <v>12</v>
      </c>
      <c r="F2603" s="2" t="s">
        <v>12</v>
      </c>
      <c r="G2603" s="2" t="s">
        <v>12</v>
      </c>
      <c r="H2603" s="2" t="s">
        <v>12</v>
      </c>
      <c r="I2603" s="2" t="s">
        <v>12</v>
      </c>
      <c r="J2603" s="2" t="s">
        <v>12</v>
      </c>
      <c r="K2603" s="2" t="s">
        <v>12</v>
      </c>
    </row>
    <row r="2604" spans="1:11" ht="12.5" x14ac:dyDescent="0.25">
      <c r="A2604" s="3" t="e">
        <f ca="1"/>
        <v>#NAME?</v>
      </c>
      <c r="B2604" s="2" t="s">
        <v>12</v>
      </c>
      <c r="C2604" s="2" t="s">
        <v>12</v>
      </c>
      <c r="D2604" s="2" t="s">
        <v>12</v>
      </c>
      <c r="E2604" s="2" t="s">
        <v>12</v>
      </c>
      <c r="F2604" s="2" t="s">
        <v>12</v>
      </c>
      <c r="G2604" s="2" t="s">
        <v>12</v>
      </c>
      <c r="H2604" s="2" t="s">
        <v>12</v>
      </c>
      <c r="I2604" s="2" t="s">
        <v>12</v>
      </c>
      <c r="J2604" s="2" t="s">
        <v>12</v>
      </c>
      <c r="K2604" s="2" t="s">
        <v>12</v>
      </c>
    </row>
    <row r="2605" spans="1:11" ht="12.5" x14ac:dyDescent="0.25">
      <c r="A2605" s="3" t="e">
        <f ca="1"/>
        <v>#NAME?</v>
      </c>
      <c r="B2605" s="2" t="s">
        <v>12</v>
      </c>
      <c r="C2605" s="2" t="s">
        <v>12</v>
      </c>
      <c r="D2605" s="2" t="s">
        <v>12</v>
      </c>
      <c r="E2605" s="2" t="s">
        <v>12</v>
      </c>
      <c r="F2605" s="2" t="s">
        <v>12</v>
      </c>
      <c r="G2605" s="2" t="s">
        <v>12</v>
      </c>
      <c r="H2605" s="2" t="s">
        <v>12</v>
      </c>
      <c r="I2605" s="2" t="s">
        <v>12</v>
      </c>
      <c r="J2605" s="2" t="s">
        <v>12</v>
      </c>
      <c r="K2605" s="2" t="s">
        <v>12</v>
      </c>
    </row>
    <row r="2606" spans="1:11" ht="12.5" x14ac:dyDescent="0.25">
      <c r="A2606" s="3" t="e">
        <f ca="1"/>
        <v>#NAME?</v>
      </c>
      <c r="B2606" s="2" t="s">
        <v>12</v>
      </c>
      <c r="C2606" s="2" t="s">
        <v>12</v>
      </c>
      <c r="D2606" s="2" t="s">
        <v>12</v>
      </c>
      <c r="E2606" s="2" t="s">
        <v>12</v>
      </c>
      <c r="F2606" s="2" t="s">
        <v>12</v>
      </c>
      <c r="G2606" s="2" t="s">
        <v>12</v>
      </c>
      <c r="H2606" s="2" t="s">
        <v>12</v>
      </c>
      <c r="I2606" s="2" t="s">
        <v>12</v>
      </c>
      <c r="J2606" s="2" t="s">
        <v>12</v>
      </c>
      <c r="K2606" s="2" t="s">
        <v>12</v>
      </c>
    </row>
    <row r="2607" spans="1:11" ht="12.5" x14ac:dyDescent="0.25">
      <c r="A2607" s="3" t="e">
        <f ca="1"/>
        <v>#NAME?</v>
      </c>
      <c r="B2607" s="2" t="s">
        <v>12</v>
      </c>
      <c r="C2607" s="2" t="s">
        <v>12</v>
      </c>
      <c r="D2607" s="2" t="s">
        <v>12</v>
      </c>
      <c r="E2607" s="2" t="s">
        <v>12</v>
      </c>
      <c r="F2607" s="2" t="s">
        <v>12</v>
      </c>
      <c r="G2607" s="2" t="s">
        <v>12</v>
      </c>
      <c r="H2607" s="2" t="s">
        <v>12</v>
      </c>
      <c r="I2607" s="2" t="s">
        <v>12</v>
      </c>
      <c r="J2607" s="2" t="s">
        <v>12</v>
      </c>
      <c r="K2607" s="2" t="s">
        <v>12</v>
      </c>
    </row>
    <row r="2608" spans="1:11" ht="12.5" x14ac:dyDescent="0.25">
      <c r="A2608" s="3" t="e">
        <f ca="1"/>
        <v>#NAME?</v>
      </c>
      <c r="B2608" s="2" t="s">
        <v>12</v>
      </c>
      <c r="C2608" s="2" t="s">
        <v>12</v>
      </c>
      <c r="D2608" s="2" t="s">
        <v>12</v>
      </c>
      <c r="E2608" s="2" t="s">
        <v>12</v>
      </c>
      <c r="F2608" s="2" t="s">
        <v>12</v>
      </c>
      <c r="G2608" s="2" t="s">
        <v>12</v>
      </c>
      <c r="H2608" s="2" t="s">
        <v>12</v>
      </c>
      <c r="I2608" s="2" t="s">
        <v>12</v>
      </c>
      <c r="J2608" s="2" t="s">
        <v>12</v>
      </c>
      <c r="K2608" s="2" t="s">
        <v>12</v>
      </c>
    </row>
    <row r="2609" spans="1:11" ht="12.5" x14ac:dyDescent="0.25">
      <c r="A2609" s="3" t="e">
        <f ca="1"/>
        <v>#NAME?</v>
      </c>
      <c r="B2609" s="2" t="s">
        <v>12</v>
      </c>
      <c r="C2609" s="2" t="s">
        <v>12</v>
      </c>
      <c r="D2609" s="2" t="s">
        <v>12</v>
      </c>
      <c r="E2609" s="2" t="s">
        <v>12</v>
      </c>
      <c r="F2609" s="2" t="s">
        <v>12</v>
      </c>
      <c r="G2609" s="2" t="s">
        <v>12</v>
      </c>
      <c r="H2609" s="2" t="s">
        <v>12</v>
      </c>
      <c r="I2609" s="2" t="s">
        <v>12</v>
      </c>
      <c r="J2609" s="2" t="s">
        <v>12</v>
      </c>
      <c r="K2609" s="2" t="s">
        <v>12</v>
      </c>
    </row>
    <row r="2610" spans="1:11" ht="12.5" x14ac:dyDescent="0.25">
      <c r="A2610" s="3" t="e">
        <f ca="1"/>
        <v>#NAME?</v>
      </c>
      <c r="B2610" s="2" t="s">
        <v>12</v>
      </c>
      <c r="C2610" s="2" t="s">
        <v>12</v>
      </c>
      <c r="D2610" s="2" t="s">
        <v>12</v>
      </c>
      <c r="E2610" s="2" t="s">
        <v>12</v>
      </c>
      <c r="F2610" s="2" t="s">
        <v>12</v>
      </c>
      <c r="G2610" s="2" t="s">
        <v>12</v>
      </c>
      <c r="H2610" s="2" t="s">
        <v>12</v>
      </c>
      <c r="I2610" s="2" t="s">
        <v>12</v>
      </c>
      <c r="J2610" s="2" t="s">
        <v>12</v>
      </c>
      <c r="K2610" s="2" t="s">
        <v>12</v>
      </c>
    </row>
    <row r="2611" spans="1:11" ht="12.5" x14ac:dyDescent="0.25">
      <c r="A2611" s="3" t="e">
        <f ca="1"/>
        <v>#NAME?</v>
      </c>
      <c r="B2611" s="2" t="s">
        <v>12</v>
      </c>
      <c r="C2611" s="2" t="s">
        <v>12</v>
      </c>
      <c r="D2611" s="2" t="s">
        <v>12</v>
      </c>
      <c r="E2611" s="2" t="s">
        <v>12</v>
      </c>
      <c r="F2611" s="2" t="s">
        <v>12</v>
      </c>
      <c r="G2611" s="2" t="s">
        <v>12</v>
      </c>
      <c r="H2611" s="2" t="s">
        <v>12</v>
      </c>
      <c r="I2611" s="2" t="s">
        <v>12</v>
      </c>
      <c r="J2611" s="2" t="s">
        <v>12</v>
      </c>
      <c r="K2611" s="2" t="s">
        <v>12</v>
      </c>
    </row>
    <row r="2612" spans="1:11" ht="12.5" x14ac:dyDescent="0.25">
      <c r="A2612" s="3" t="e">
        <f ca="1"/>
        <v>#NAME?</v>
      </c>
      <c r="B2612" s="2" t="s">
        <v>12</v>
      </c>
      <c r="C2612" s="2" t="s">
        <v>12</v>
      </c>
      <c r="D2612" s="2" t="s">
        <v>12</v>
      </c>
      <c r="E2612" s="2" t="s">
        <v>12</v>
      </c>
      <c r="F2612" s="2" t="s">
        <v>12</v>
      </c>
      <c r="G2612" s="2" t="s">
        <v>12</v>
      </c>
      <c r="H2612" s="2" t="s">
        <v>12</v>
      </c>
      <c r="I2612" s="2" t="s">
        <v>12</v>
      </c>
      <c r="J2612" s="2" t="s">
        <v>12</v>
      </c>
      <c r="K2612" s="2" t="s">
        <v>12</v>
      </c>
    </row>
    <row r="2613" spans="1:11" ht="12.5" x14ac:dyDescent="0.25">
      <c r="A2613" s="3" t="e">
        <f ca="1"/>
        <v>#NAME?</v>
      </c>
      <c r="B2613" s="2" t="s">
        <v>12</v>
      </c>
      <c r="C2613" s="2" t="s">
        <v>12</v>
      </c>
      <c r="D2613" s="2" t="s">
        <v>12</v>
      </c>
      <c r="E2613" s="2" t="s">
        <v>12</v>
      </c>
      <c r="F2613" s="2" t="s">
        <v>12</v>
      </c>
      <c r="G2613" s="2" t="s">
        <v>12</v>
      </c>
      <c r="H2613" s="2" t="s">
        <v>12</v>
      </c>
      <c r="I2613" s="2" t="s">
        <v>12</v>
      </c>
      <c r="J2613" s="2" t="s">
        <v>12</v>
      </c>
      <c r="K2613" s="2" t="s">
        <v>12</v>
      </c>
    </row>
    <row r="2614" spans="1:11" ht="12.5" x14ac:dyDescent="0.25">
      <c r="A2614" s="3" t="e">
        <f ca="1"/>
        <v>#NAME?</v>
      </c>
      <c r="B2614" s="2" t="s">
        <v>12</v>
      </c>
      <c r="C2614" s="2" t="s">
        <v>12</v>
      </c>
      <c r="D2614" s="2" t="s">
        <v>12</v>
      </c>
      <c r="E2614" s="2" t="s">
        <v>12</v>
      </c>
      <c r="F2614" s="2" t="s">
        <v>12</v>
      </c>
      <c r="G2614" s="2" t="s">
        <v>12</v>
      </c>
      <c r="H2614" s="2" t="s">
        <v>12</v>
      </c>
      <c r="I2614" s="2" t="s">
        <v>12</v>
      </c>
      <c r="J2614" s="2" t="s">
        <v>12</v>
      </c>
      <c r="K2614" s="2" t="s">
        <v>12</v>
      </c>
    </row>
    <row r="2615" spans="1:11" ht="12.5" x14ac:dyDescent="0.25">
      <c r="A2615" s="3" t="e">
        <f ca="1"/>
        <v>#NAME?</v>
      </c>
      <c r="B2615" s="2" t="s">
        <v>12</v>
      </c>
      <c r="C2615" s="2" t="s">
        <v>12</v>
      </c>
      <c r="D2615" s="2" t="s">
        <v>12</v>
      </c>
      <c r="E2615" s="2" t="s">
        <v>12</v>
      </c>
      <c r="F2615" s="2" t="s">
        <v>12</v>
      </c>
      <c r="G2615" s="2" t="s">
        <v>12</v>
      </c>
      <c r="H2615" s="2" t="s">
        <v>12</v>
      </c>
      <c r="I2615" s="2" t="s">
        <v>12</v>
      </c>
      <c r="J2615" s="2" t="s">
        <v>12</v>
      </c>
      <c r="K2615" s="2" t="s">
        <v>12</v>
      </c>
    </row>
    <row r="2616" spans="1:11" ht="12.5" x14ac:dyDescent="0.25">
      <c r="A2616" s="3" t="e">
        <f ca="1"/>
        <v>#NAME?</v>
      </c>
      <c r="B2616" s="2" t="s">
        <v>12</v>
      </c>
      <c r="C2616" s="2" t="s">
        <v>12</v>
      </c>
      <c r="D2616" s="2" t="s">
        <v>12</v>
      </c>
      <c r="E2616" s="2" t="s">
        <v>12</v>
      </c>
      <c r="F2616" s="2" t="s">
        <v>12</v>
      </c>
      <c r="G2616" s="2" t="s">
        <v>12</v>
      </c>
      <c r="H2616" s="2" t="s">
        <v>12</v>
      </c>
      <c r="I2616" s="2" t="s">
        <v>12</v>
      </c>
      <c r="J2616" s="2" t="s">
        <v>12</v>
      </c>
      <c r="K2616" s="2" t="s">
        <v>12</v>
      </c>
    </row>
    <row r="2617" spans="1:11" ht="12.5" x14ac:dyDescent="0.25">
      <c r="A2617" s="3" t="e">
        <f ca="1"/>
        <v>#NAME?</v>
      </c>
      <c r="B2617" s="2" t="s">
        <v>12</v>
      </c>
      <c r="C2617" s="2" t="s">
        <v>12</v>
      </c>
      <c r="D2617" s="2" t="s">
        <v>12</v>
      </c>
      <c r="E2617" s="2" t="s">
        <v>12</v>
      </c>
      <c r="F2617" s="2" t="s">
        <v>12</v>
      </c>
      <c r="G2617" s="2" t="s">
        <v>12</v>
      </c>
      <c r="H2617" s="2" t="s">
        <v>12</v>
      </c>
      <c r="I2617" s="2" t="s">
        <v>12</v>
      </c>
      <c r="J2617" s="2" t="s">
        <v>12</v>
      </c>
      <c r="K2617" s="2" t="s">
        <v>12</v>
      </c>
    </row>
    <row r="2618" spans="1:11" ht="12.5" x14ac:dyDescent="0.25">
      <c r="A2618" s="3" t="e">
        <f ca="1"/>
        <v>#NAME?</v>
      </c>
      <c r="B2618" s="2" t="s">
        <v>12</v>
      </c>
      <c r="C2618" s="2" t="s">
        <v>12</v>
      </c>
      <c r="D2618" s="2" t="s">
        <v>12</v>
      </c>
      <c r="E2618" s="2" t="s">
        <v>12</v>
      </c>
      <c r="F2618" s="2" t="s">
        <v>12</v>
      </c>
      <c r="G2618" s="2" t="s">
        <v>12</v>
      </c>
      <c r="H2618" s="2" t="s">
        <v>12</v>
      </c>
      <c r="I2618" s="2" t="s">
        <v>12</v>
      </c>
      <c r="J2618" s="2" t="s">
        <v>12</v>
      </c>
      <c r="K2618" s="2" t="s">
        <v>12</v>
      </c>
    </row>
    <row r="2619" spans="1:11" ht="12.5" x14ac:dyDescent="0.25">
      <c r="A2619" s="3" t="e">
        <f ca="1"/>
        <v>#NAME?</v>
      </c>
      <c r="B2619" s="2" t="s">
        <v>12</v>
      </c>
      <c r="C2619" s="2" t="s">
        <v>12</v>
      </c>
      <c r="D2619" s="2" t="s">
        <v>12</v>
      </c>
      <c r="E2619" s="2" t="s">
        <v>12</v>
      </c>
      <c r="F2619" s="2" t="s">
        <v>12</v>
      </c>
      <c r="G2619" s="2" t="s">
        <v>12</v>
      </c>
      <c r="H2619" s="2" t="s">
        <v>12</v>
      </c>
      <c r="I2619" s="2" t="s">
        <v>12</v>
      </c>
      <c r="J2619" s="2" t="s">
        <v>12</v>
      </c>
      <c r="K2619" s="2" t="s">
        <v>12</v>
      </c>
    </row>
    <row r="2620" spans="1:11" ht="12.5" x14ac:dyDescent="0.25">
      <c r="A2620" s="3" t="e">
        <f ca="1"/>
        <v>#NAME?</v>
      </c>
      <c r="B2620" s="2" t="s">
        <v>12</v>
      </c>
      <c r="C2620" s="2" t="s">
        <v>12</v>
      </c>
      <c r="D2620" s="2" t="s">
        <v>12</v>
      </c>
      <c r="E2620" s="2" t="s">
        <v>12</v>
      </c>
      <c r="F2620" s="2" t="s">
        <v>12</v>
      </c>
      <c r="G2620" s="2" t="s">
        <v>12</v>
      </c>
      <c r="H2620" s="2" t="s">
        <v>12</v>
      </c>
      <c r="I2620" s="2" t="s">
        <v>12</v>
      </c>
      <c r="J2620" s="2" t="s">
        <v>12</v>
      </c>
      <c r="K2620" s="2" t="s">
        <v>12</v>
      </c>
    </row>
    <row r="2621" spans="1:11" ht="12.5" x14ac:dyDescent="0.25">
      <c r="A2621" s="3" t="e">
        <f ca="1"/>
        <v>#NAME?</v>
      </c>
      <c r="B2621" s="2" t="s">
        <v>12</v>
      </c>
      <c r="C2621" s="2" t="s">
        <v>12</v>
      </c>
      <c r="D2621" s="2" t="s">
        <v>12</v>
      </c>
      <c r="E2621" s="2" t="s">
        <v>12</v>
      </c>
      <c r="F2621" s="2" t="s">
        <v>12</v>
      </c>
      <c r="G2621" s="2" t="s">
        <v>12</v>
      </c>
      <c r="H2621" s="2" t="s">
        <v>12</v>
      </c>
      <c r="I2621" s="2" t="s">
        <v>12</v>
      </c>
      <c r="J2621" s="2" t="s">
        <v>12</v>
      </c>
      <c r="K2621" s="2" t="s">
        <v>12</v>
      </c>
    </row>
    <row r="2622" spans="1:11" ht="12.5" x14ac:dyDescent="0.25">
      <c r="A2622" s="3" t="e">
        <f ca="1"/>
        <v>#NAME?</v>
      </c>
      <c r="B2622" s="2" t="s">
        <v>12</v>
      </c>
      <c r="C2622" s="2" t="s">
        <v>12</v>
      </c>
      <c r="D2622" s="2" t="s">
        <v>12</v>
      </c>
      <c r="E2622" s="2" t="s">
        <v>12</v>
      </c>
      <c r="F2622" s="2" t="s">
        <v>12</v>
      </c>
      <c r="G2622" s="2" t="s">
        <v>12</v>
      </c>
      <c r="H2622" s="2" t="s">
        <v>12</v>
      </c>
      <c r="I2622" s="2" t="s">
        <v>12</v>
      </c>
      <c r="J2622" s="2" t="s">
        <v>12</v>
      </c>
      <c r="K2622" s="2" t="s">
        <v>12</v>
      </c>
    </row>
    <row r="2623" spans="1:11" ht="12.5" x14ac:dyDescent="0.25">
      <c r="A2623" s="3" t="e">
        <f ca="1"/>
        <v>#NAME?</v>
      </c>
      <c r="B2623" s="2" t="s">
        <v>12</v>
      </c>
      <c r="C2623" s="2" t="s">
        <v>12</v>
      </c>
      <c r="D2623" s="2" t="s">
        <v>12</v>
      </c>
      <c r="E2623" s="2" t="s">
        <v>12</v>
      </c>
      <c r="F2623" s="2" t="s">
        <v>12</v>
      </c>
      <c r="G2623" s="2" t="s">
        <v>12</v>
      </c>
      <c r="H2623" s="2" t="s">
        <v>12</v>
      </c>
      <c r="I2623" s="2" t="s">
        <v>12</v>
      </c>
      <c r="J2623" s="2" t="s">
        <v>12</v>
      </c>
      <c r="K2623" s="2" t="s">
        <v>12</v>
      </c>
    </row>
    <row r="2624" spans="1:11" ht="12.5" x14ac:dyDescent="0.25">
      <c r="A2624" s="3" t="e">
        <f ca="1"/>
        <v>#NAME?</v>
      </c>
      <c r="B2624" s="2" t="s">
        <v>12</v>
      </c>
      <c r="C2624" s="2" t="s">
        <v>12</v>
      </c>
      <c r="D2624" s="2" t="s">
        <v>12</v>
      </c>
      <c r="E2624" s="2" t="s">
        <v>12</v>
      </c>
      <c r="F2624" s="2" t="s">
        <v>12</v>
      </c>
      <c r="G2624" s="2" t="s">
        <v>12</v>
      </c>
      <c r="H2624" s="2" t="s">
        <v>12</v>
      </c>
      <c r="I2624" s="2" t="s">
        <v>12</v>
      </c>
      <c r="J2624" s="2" t="s">
        <v>12</v>
      </c>
      <c r="K2624" s="2" t="s">
        <v>12</v>
      </c>
    </row>
    <row r="2625" spans="1:11" ht="12.5" x14ac:dyDescent="0.25">
      <c r="A2625" s="3" t="e">
        <f ca="1"/>
        <v>#NAME?</v>
      </c>
      <c r="B2625" s="2" t="s">
        <v>12</v>
      </c>
      <c r="C2625" s="2" t="s">
        <v>12</v>
      </c>
      <c r="D2625" s="2" t="s">
        <v>12</v>
      </c>
      <c r="E2625" s="2" t="s">
        <v>12</v>
      </c>
      <c r="F2625" s="2" t="s">
        <v>12</v>
      </c>
      <c r="G2625" s="2" t="s">
        <v>12</v>
      </c>
      <c r="H2625" s="2" t="s">
        <v>12</v>
      </c>
      <c r="I2625" s="2" t="s">
        <v>12</v>
      </c>
      <c r="J2625" s="2" t="s">
        <v>12</v>
      </c>
      <c r="K2625" s="2" t="s">
        <v>12</v>
      </c>
    </row>
    <row r="2626" spans="1:11" ht="12.5" x14ac:dyDescent="0.25">
      <c r="A2626" s="3" t="e">
        <f ca="1"/>
        <v>#NAME?</v>
      </c>
      <c r="B2626" s="2" t="s">
        <v>12</v>
      </c>
      <c r="C2626" s="2" t="s">
        <v>12</v>
      </c>
      <c r="D2626" s="2" t="s">
        <v>12</v>
      </c>
      <c r="E2626" s="2" t="s">
        <v>12</v>
      </c>
      <c r="F2626" s="2" t="s">
        <v>12</v>
      </c>
      <c r="G2626" s="2" t="s">
        <v>12</v>
      </c>
      <c r="H2626" s="2" t="s">
        <v>12</v>
      </c>
      <c r="I2626" s="2" t="s">
        <v>12</v>
      </c>
      <c r="J2626" s="2" t="s">
        <v>12</v>
      </c>
      <c r="K2626" s="2" t="s">
        <v>12</v>
      </c>
    </row>
    <row r="2627" spans="1:11" ht="12.5" x14ac:dyDescent="0.25">
      <c r="A2627" s="3" t="e">
        <f ca="1"/>
        <v>#NAME?</v>
      </c>
      <c r="B2627" s="2" t="s">
        <v>12</v>
      </c>
      <c r="C2627" s="2" t="s">
        <v>12</v>
      </c>
      <c r="D2627" s="2" t="s">
        <v>12</v>
      </c>
      <c r="E2627" s="2" t="s">
        <v>12</v>
      </c>
      <c r="F2627" s="2" t="s">
        <v>12</v>
      </c>
      <c r="G2627" s="2" t="s">
        <v>12</v>
      </c>
      <c r="H2627" s="2" t="s">
        <v>12</v>
      </c>
      <c r="I2627" s="2" t="s">
        <v>12</v>
      </c>
      <c r="J2627" s="2" t="s">
        <v>12</v>
      </c>
      <c r="K2627" s="2" t="s">
        <v>12</v>
      </c>
    </row>
    <row r="2628" spans="1:11" ht="12.5" x14ac:dyDescent="0.25">
      <c r="A2628" s="3" t="e">
        <f ca="1"/>
        <v>#NAME?</v>
      </c>
      <c r="B2628" s="2" t="s">
        <v>12</v>
      </c>
      <c r="C2628" s="2" t="s">
        <v>12</v>
      </c>
      <c r="D2628" s="2" t="s">
        <v>12</v>
      </c>
      <c r="E2628" s="2" t="s">
        <v>12</v>
      </c>
      <c r="F2628" s="2" t="s">
        <v>12</v>
      </c>
      <c r="G2628" s="2" t="s">
        <v>12</v>
      </c>
      <c r="H2628" s="2" t="s">
        <v>12</v>
      </c>
      <c r="I2628" s="2" t="s">
        <v>12</v>
      </c>
      <c r="J2628" s="2" t="s">
        <v>12</v>
      </c>
      <c r="K2628" s="2" t="s">
        <v>12</v>
      </c>
    </row>
    <row r="2629" spans="1:11" ht="12.5" x14ac:dyDescent="0.25">
      <c r="A2629" s="3" t="e">
        <f ca="1"/>
        <v>#NAME?</v>
      </c>
      <c r="B2629" s="2" t="s">
        <v>12</v>
      </c>
      <c r="C2629" s="2" t="s">
        <v>12</v>
      </c>
      <c r="D2629" s="2" t="s">
        <v>12</v>
      </c>
      <c r="E2629" s="2" t="s">
        <v>12</v>
      </c>
      <c r="F2629" s="2" t="s">
        <v>12</v>
      </c>
      <c r="G2629" s="2" t="s">
        <v>12</v>
      </c>
      <c r="H2629" s="2" t="s">
        <v>12</v>
      </c>
      <c r="I2629" s="2" t="s">
        <v>12</v>
      </c>
      <c r="J2629" s="2" t="s">
        <v>12</v>
      </c>
      <c r="K2629" s="2" t="s">
        <v>12</v>
      </c>
    </row>
    <row r="2630" spans="1:11" ht="12.5" x14ac:dyDescent="0.25">
      <c r="A2630" s="3" t="e">
        <f ca="1"/>
        <v>#NAME?</v>
      </c>
      <c r="B2630" s="2" t="s">
        <v>12</v>
      </c>
      <c r="C2630" s="2" t="s">
        <v>12</v>
      </c>
      <c r="D2630" s="2" t="s">
        <v>12</v>
      </c>
      <c r="E2630" s="2" t="s">
        <v>12</v>
      </c>
      <c r="F2630" s="2" t="s">
        <v>12</v>
      </c>
      <c r="G2630" s="2" t="s">
        <v>12</v>
      </c>
      <c r="H2630" s="2" t="s">
        <v>12</v>
      </c>
      <c r="I2630" s="2" t="s">
        <v>12</v>
      </c>
      <c r="J2630" s="2" t="s">
        <v>12</v>
      </c>
      <c r="K2630" s="2" t="s">
        <v>12</v>
      </c>
    </row>
    <row r="2631" spans="1:11" ht="12.5" x14ac:dyDescent="0.25">
      <c r="A2631" s="3" t="e">
        <f ca="1"/>
        <v>#NAME?</v>
      </c>
      <c r="B2631" s="2" t="s">
        <v>12</v>
      </c>
      <c r="C2631" s="2" t="s">
        <v>12</v>
      </c>
      <c r="D2631" s="2" t="s">
        <v>12</v>
      </c>
      <c r="E2631" s="2" t="s">
        <v>12</v>
      </c>
      <c r="F2631" s="2" t="s">
        <v>12</v>
      </c>
      <c r="G2631" s="2" t="s">
        <v>12</v>
      </c>
      <c r="H2631" s="2" t="s">
        <v>12</v>
      </c>
      <c r="I2631" s="2" t="s">
        <v>12</v>
      </c>
      <c r="J2631" s="2" t="s">
        <v>12</v>
      </c>
      <c r="K2631" s="2" t="s">
        <v>12</v>
      </c>
    </row>
    <row r="2632" spans="1:11" ht="12.5" x14ac:dyDescent="0.25">
      <c r="A2632" s="3" t="e">
        <f ca="1"/>
        <v>#NAME?</v>
      </c>
      <c r="B2632" s="2" t="s">
        <v>12</v>
      </c>
      <c r="C2632" s="2" t="s">
        <v>12</v>
      </c>
      <c r="D2632" s="2" t="s">
        <v>12</v>
      </c>
      <c r="E2632" s="2" t="s">
        <v>12</v>
      </c>
      <c r="F2632" s="2" t="s">
        <v>12</v>
      </c>
      <c r="G2632" s="2" t="s">
        <v>12</v>
      </c>
      <c r="H2632" s="2" t="s">
        <v>12</v>
      </c>
      <c r="I2632" s="2" t="s">
        <v>12</v>
      </c>
      <c r="J2632" s="2" t="s">
        <v>12</v>
      </c>
      <c r="K2632" s="2" t="s">
        <v>12</v>
      </c>
    </row>
    <row r="2633" spans="1:11" ht="12.5" x14ac:dyDescent="0.25">
      <c r="A2633" s="3" t="e">
        <f ca="1"/>
        <v>#NAME?</v>
      </c>
      <c r="B2633" s="2" t="s">
        <v>12</v>
      </c>
      <c r="C2633" s="2" t="s">
        <v>12</v>
      </c>
      <c r="D2633" s="2" t="s">
        <v>12</v>
      </c>
      <c r="E2633" s="2" t="s">
        <v>12</v>
      </c>
      <c r="F2633" s="2" t="s">
        <v>12</v>
      </c>
      <c r="G2633" s="2" t="s">
        <v>12</v>
      </c>
      <c r="H2633" s="2" t="s">
        <v>12</v>
      </c>
      <c r="I2633" s="2" t="s">
        <v>12</v>
      </c>
      <c r="J2633" s="2" t="s">
        <v>12</v>
      </c>
      <c r="K2633" s="2" t="s">
        <v>12</v>
      </c>
    </row>
    <row r="2634" spans="1:11" ht="12.5" x14ac:dyDescent="0.25">
      <c r="A2634" s="3" t="e">
        <f ca="1"/>
        <v>#NAME?</v>
      </c>
      <c r="B2634" s="2" t="s">
        <v>12</v>
      </c>
      <c r="C2634" s="2" t="s">
        <v>12</v>
      </c>
      <c r="D2634" s="2" t="s">
        <v>12</v>
      </c>
      <c r="E2634" s="2" t="s">
        <v>12</v>
      </c>
      <c r="F2634" s="2" t="s">
        <v>12</v>
      </c>
      <c r="G2634" s="2" t="s">
        <v>12</v>
      </c>
      <c r="H2634" s="2" t="s">
        <v>12</v>
      </c>
      <c r="I2634" s="2" t="s">
        <v>12</v>
      </c>
      <c r="J2634" s="2" t="s">
        <v>12</v>
      </c>
      <c r="K2634" s="2" t="s">
        <v>12</v>
      </c>
    </row>
    <row r="2635" spans="1:11" ht="12.5" x14ac:dyDescent="0.25">
      <c r="A2635" s="3" t="e">
        <f ca="1"/>
        <v>#NAME?</v>
      </c>
      <c r="B2635" s="2" t="s">
        <v>12</v>
      </c>
      <c r="C2635" s="2" t="s">
        <v>12</v>
      </c>
      <c r="D2635" s="2" t="s">
        <v>12</v>
      </c>
      <c r="E2635" s="2" t="s">
        <v>12</v>
      </c>
      <c r="F2635" s="2" t="s">
        <v>12</v>
      </c>
      <c r="G2635" s="2" t="s">
        <v>12</v>
      </c>
      <c r="H2635" s="2" t="s">
        <v>12</v>
      </c>
      <c r="I2635" s="2" t="s">
        <v>12</v>
      </c>
      <c r="J2635" s="2" t="s">
        <v>12</v>
      </c>
      <c r="K2635" s="2" t="s">
        <v>12</v>
      </c>
    </row>
    <row r="2636" spans="1:11" ht="12.5" x14ac:dyDescent="0.25">
      <c r="A2636" s="3" t="e">
        <f ca="1"/>
        <v>#NAME?</v>
      </c>
      <c r="B2636" s="2" t="s">
        <v>12</v>
      </c>
      <c r="C2636" s="2" t="s">
        <v>12</v>
      </c>
      <c r="D2636" s="2" t="s">
        <v>12</v>
      </c>
      <c r="E2636" s="2" t="s">
        <v>12</v>
      </c>
      <c r="F2636" s="2" t="s">
        <v>12</v>
      </c>
      <c r="G2636" s="2" t="s">
        <v>12</v>
      </c>
      <c r="H2636" s="2" t="s">
        <v>12</v>
      </c>
      <c r="I2636" s="2" t="s">
        <v>12</v>
      </c>
      <c r="J2636" s="2" t="s">
        <v>12</v>
      </c>
      <c r="K2636" s="2" t="s">
        <v>12</v>
      </c>
    </row>
    <row r="2637" spans="1:11" ht="12.5" x14ac:dyDescent="0.25">
      <c r="A2637" s="3" t="e">
        <f ca="1"/>
        <v>#NAME?</v>
      </c>
      <c r="B2637" s="2" t="s">
        <v>12</v>
      </c>
      <c r="C2637" s="2" t="s">
        <v>12</v>
      </c>
      <c r="D2637" s="2" t="s">
        <v>12</v>
      </c>
      <c r="E2637" s="2" t="s">
        <v>12</v>
      </c>
      <c r="F2637" s="2" t="s">
        <v>12</v>
      </c>
      <c r="G2637" s="2" t="s">
        <v>12</v>
      </c>
      <c r="H2637" s="2" t="s">
        <v>12</v>
      </c>
      <c r="I2637" s="2" t="s">
        <v>12</v>
      </c>
      <c r="J2637" s="2" t="s">
        <v>12</v>
      </c>
      <c r="K2637" s="2" t="s">
        <v>12</v>
      </c>
    </row>
    <row r="2638" spans="1:11" ht="12.5" x14ac:dyDescent="0.25">
      <c r="A2638" s="3" t="e">
        <f ca="1"/>
        <v>#NAME?</v>
      </c>
      <c r="B2638" s="2" t="s">
        <v>12</v>
      </c>
      <c r="C2638" s="2" t="s">
        <v>12</v>
      </c>
      <c r="D2638" s="2" t="s">
        <v>12</v>
      </c>
      <c r="E2638" s="2" t="s">
        <v>12</v>
      </c>
      <c r="F2638" s="2" t="s">
        <v>12</v>
      </c>
      <c r="G2638" s="2" t="s">
        <v>12</v>
      </c>
      <c r="H2638" s="2" t="s">
        <v>12</v>
      </c>
      <c r="I2638" s="2" t="s">
        <v>12</v>
      </c>
      <c r="J2638" s="2" t="s">
        <v>12</v>
      </c>
      <c r="K2638" s="2" t="s">
        <v>12</v>
      </c>
    </row>
    <row r="2639" spans="1:11" ht="12.5" x14ac:dyDescent="0.25">
      <c r="A2639" s="3" t="e">
        <f ca="1"/>
        <v>#NAME?</v>
      </c>
      <c r="B2639" s="2" t="s">
        <v>12</v>
      </c>
      <c r="C2639" s="2" t="s">
        <v>12</v>
      </c>
      <c r="D2639" s="2" t="s">
        <v>12</v>
      </c>
      <c r="E2639" s="2" t="s">
        <v>12</v>
      </c>
      <c r="F2639" s="2" t="s">
        <v>12</v>
      </c>
      <c r="G2639" s="2" t="s">
        <v>12</v>
      </c>
      <c r="H2639" s="2" t="s">
        <v>12</v>
      </c>
      <c r="I2639" s="2" t="s">
        <v>12</v>
      </c>
      <c r="J2639" s="2" t="s">
        <v>12</v>
      </c>
      <c r="K2639" s="2" t="s">
        <v>12</v>
      </c>
    </row>
    <row r="2640" spans="1:11" ht="12.5" x14ac:dyDescent="0.25">
      <c r="A2640" s="3" t="e">
        <f ca="1"/>
        <v>#NAME?</v>
      </c>
      <c r="B2640" s="2" t="s">
        <v>12</v>
      </c>
      <c r="C2640" s="2" t="s">
        <v>12</v>
      </c>
      <c r="D2640" s="2" t="s">
        <v>12</v>
      </c>
      <c r="E2640" s="2" t="s">
        <v>12</v>
      </c>
      <c r="F2640" s="2" t="s">
        <v>12</v>
      </c>
      <c r="G2640" s="2" t="s">
        <v>12</v>
      </c>
      <c r="H2640" s="2" t="s">
        <v>12</v>
      </c>
      <c r="I2640" s="2" t="s">
        <v>12</v>
      </c>
      <c r="J2640" s="2" t="s">
        <v>12</v>
      </c>
      <c r="K2640" s="2" t="s">
        <v>12</v>
      </c>
    </row>
    <row r="2641" spans="1:11" ht="12.5" x14ac:dyDescent="0.25">
      <c r="A2641" s="3" t="e">
        <f ca="1"/>
        <v>#NAME?</v>
      </c>
      <c r="B2641" s="2" t="s">
        <v>12</v>
      </c>
      <c r="C2641" s="2" t="s">
        <v>12</v>
      </c>
      <c r="D2641" s="2" t="s">
        <v>12</v>
      </c>
      <c r="E2641" s="2" t="s">
        <v>12</v>
      </c>
      <c r="F2641" s="2" t="s">
        <v>12</v>
      </c>
      <c r="G2641" s="2" t="s">
        <v>12</v>
      </c>
      <c r="H2641" s="2" t="s">
        <v>12</v>
      </c>
      <c r="I2641" s="2" t="s">
        <v>12</v>
      </c>
      <c r="J2641" s="2" t="s">
        <v>12</v>
      </c>
      <c r="K2641" s="2" t="s">
        <v>12</v>
      </c>
    </row>
    <row r="2642" spans="1:11" ht="12.5" x14ac:dyDescent="0.25">
      <c r="A2642" s="3" t="e">
        <f ca="1"/>
        <v>#NAME?</v>
      </c>
      <c r="B2642" s="2" t="s">
        <v>12</v>
      </c>
      <c r="C2642" s="2" t="s">
        <v>12</v>
      </c>
      <c r="D2642" s="2" t="s">
        <v>12</v>
      </c>
      <c r="E2642" s="2" t="s">
        <v>12</v>
      </c>
      <c r="F2642" s="2" t="s">
        <v>12</v>
      </c>
      <c r="G2642" s="2" t="s">
        <v>12</v>
      </c>
      <c r="H2642" s="2" t="s">
        <v>12</v>
      </c>
      <c r="I2642" s="2" t="s">
        <v>12</v>
      </c>
      <c r="J2642" s="2" t="s">
        <v>12</v>
      </c>
      <c r="K2642" s="2" t="s">
        <v>12</v>
      </c>
    </row>
    <row r="2643" spans="1:11" ht="12.5" x14ac:dyDescent="0.25">
      <c r="A2643" s="3" t="e">
        <f ca="1"/>
        <v>#NAME?</v>
      </c>
      <c r="B2643" s="2" t="s">
        <v>12</v>
      </c>
      <c r="C2643" s="2" t="s">
        <v>12</v>
      </c>
      <c r="D2643" s="2" t="s">
        <v>12</v>
      </c>
      <c r="E2643" s="2" t="s">
        <v>12</v>
      </c>
      <c r="F2643" s="2" t="s">
        <v>12</v>
      </c>
      <c r="G2643" s="2" t="s">
        <v>12</v>
      </c>
      <c r="H2643" s="2" t="s">
        <v>12</v>
      </c>
      <c r="I2643" s="2" t="s">
        <v>12</v>
      </c>
      <c r="J2643" s="2" t="s">
        <v>12</v>
      </c>
      <c r="K2643" s="2" t="s">
        <v>12</v>
      </c>
    </row>
    <row r="2644" spans="1:11" ht="12.5" x14ac:dyDescent="0.25">
      <c r="A2644" s="3" t="e">
        <f ca="1"/>
        <v>#NAME?</v>
      </c>
      <c r="B2644" s="2" t="s">
        <v>12</v>
      </c>
      <c r="C2644" s="2" t="s">
        <v>12</v>
      </c>
      <c r="D2644" s="2" t="s">
        <v>12</v>
      </c>
      <c r="E2644" s="2" t="s">
        <v>12</v>
      </c>
      <c r="F2644" s="2" t="s">
        <v>12</v>
      </c>
      <c r="G2644" s="2" t="s">
        <v>12</v>
      </c>
      <c r="H2644" s="2" t="s">
        <v>12</v>
      </c>
      <c r="I2644" s="2" t="s">
        <v>12</v>
      </c>
      <c r="J2644" s="2" t="s">
        <v>12</v>
      </c>
      <c r="K2644" s="2" t="s">
        <v>12</v>
      </c>
    </row>
    <row r="2645" spans="1:11" ht="12.5" x14ac:dyDescent="0.25">
      <c r="A2645" s="3" t="e">
        <f ca="1"/>
        <v>#NAME?</v>
      </c>
      <c r="B2645" s="2" t="s">
        <v>12</v>
      </c>
      <c r="C2645" s="2" t="s">
        <v>12</v>
      </c>
      <c r="D2645" s="2" t="s">
        <v>12</v>
      </c>
      <c r="E2645" s="2" t="s">
        <v>12</v>
      </c>
      <c r="F2645" s="2" t="s">
        <v>12</v>
      </c>
      <c r="G2645" s="2" t="s">
        <v>12</v>
      </c>
      <c r="H2645" s="2" t="s">
        <v>12</v>
      </c>
      <c r="I2645" s="2" t="s">
        <v>12</v>
      </c>
      <c r="J2645" s="2" t="s">
        <v>12</v>
      </c>
      <c r="K2645" s="2" t="s">
        <v>12</v>
      </c>
    </row>
    <row r="2646" spans="1:11" ht="12.5" x14ac:dyDescent="0.25">
      <c r="A2646" s="3" t="e">
        <f ca="1"/>
        <v>#NAME?</v>
      </c>
      <c r="B2646" s="2" t="s">
        <v>12</v>
      </c>
      <c r="C2646" s="2" t="s">
        <v>12</v>
      </c>
      <c r="D2646" s="2" t="s">
        <v>12</v>
      </c>
      <c r="E2646" s="2" t="s">
        <v>12</v>
      </c>
      <c r="F2646" s="2" t="s">
        <v>12</v>
      </c>
      <c r="G2646" s="2" t="s">
        <v>12</v>
      </c>
      <c r="H2646" s="2" t="s">
        <v>12</v>
      </c>
      <c r="I2646" s="2" t="s">
        <v>12</v>
      </c>
      <c r="J2646" s="2" t="s">
        <v>12</v>
      </c>
      <c r="K2646" s="2" t="s">
        <v>12</v>
      </c>
    </row>
    <row r="2647" spans="1:11" ht="12.5" x14ac:dyDescent="0.25">
      <c r="A2647" s="3" t="e">
        <f ca="1"/>
        <v>#NAME?</v>
      </c>
      <c r="B2647" s="2" t="s">
        <v>12</v>
      </c>
      <c r="C2647" s="2" t="s">
        <v>12</v>
      </c>
      <c r="D2647" s="2" t="s">
        <v>12</v>
      </c>
      <c r="E2647" s="2" t="s">
        <v>12</v>
      </c>
      <c r="F2647" s="2" t="s">
        <v>12</v>
      </c>
      <c r="G2647" s="2" t="s">
        <v>12</v>
      </c>
      <c r="H2647" s="2" t="s">
        <v>12</v>
      </c>
      <c r="I2647" s="2" t="s">
        <v>12</v>
      </c>
      <c r="J2647" s="2" t="s">
        <v>12</v>
      </c>
      <c r="K2647" s="2" t="s">
        <v>12</v>
      </c>
    </row>
    <row r="2648" spans="1:11" ht="12.5" x14ac:dyDescent="0.25">
      <c r="A2648" s="3" t="e">
        <f ca="1"/>
        <v>#NAME?</v>
      </c>
      <c r="B2648" s="2" t="s">
        <v>12</v>
      </c>
      <c r="C2648" s="2" t="s">
        <v>12</v>
      </c>
      <c r="D2648" s="2" t="s">
        <v>12</v>
      </c>
      <c r="E2648" s="2" t="s">
        <v>12</v>
      </c>
      <c r="F2648" s="2" t="s">
        <v>12</v>
      </c>
      <c r="G2648" s="2" t="s">
        <v>12</v>
      </c>
      <c r="H2648" s="2" t="s">
        <v>12</v>
      </c>
      <c r="I2648" s="2" t="s">
        <v>12</v>
      </c>
      <c r="J2648" s="2" t="s">
        <v>12</v>
      </c>
      <c r="K2648" s="2" t="s">
        <v>12</v>
      </c>
    </row>
    <row r="2649" spans="1:11" ht="12.5" x14ac:dyDescent="0.25">
      <c r="A2649" s="3" t="e">
        <f ca="1"/>
        <v>#NAME?</v>
      </c>
      <c r="B2649" s="2" t="s">
        <v>12</v>
      </c>
      <c r="C2649" s="2" t="s">
        <v>12</v>
      </c>
      <c r="D2649" s="2" t="s">
        <v>12</v>
      </c>
      <c r="E2649" s="2" t="s">
        <v>12</v>
      </c>
      <c r="F2649" s="2" t="s">
        <v>12</v>
      </c>
      <c r="G2649" s="2" t="s">
        <v>12</v>
      </c>
      <c r="H2649" s="2" t="s">
        <v>12</v>
      </c>
      <c r="I2649" s="2" t="s">
        <v>12</v>
      </c>
      <c r="J2649" s="2" t="s">
        <v>12</v>
      </c>
      <c r="K2649" s="2" t="s">
        <v>12</v>
      </c>
    </row>
    <row r="2650" spans="1:11" ht="12.5" x14ac:dyDescent="0.25">
      <c r="A2650" s="3" t="e">
        <f ca="1"/>
        <v>#NAME?</v>
      </c>
      <c r="B2650" s="2" t="s">
        <v>12</v>
      </c>
      <c r="C2650" s="2" t="s">
        <v>12</v>
      </c>
      <c r="D2650" s="2" t="s">
        <v>12</v>
      </c>
      <c r="E2650" s="2" t="s">
        <v>12</v>
      </c>
      <c r="F2650" s="2" t="s">
        <v>12</v>
      </c>
      <c r="G2650" s="2" t="s">
        <v>12</v>
      </c>
      <c r="H2650" s="2" t="s">
        <v>12</v>
      </c>
      <c r="I2650" s="2" t="s">
        <v>12</v>
      </c>
      <c r="J2650" s="2" t="s">
        <v>12</v>
      </c>
      <c r="K2650" s="2" t="s">
        <v>12</v>
      </c>
    </row>
    <row r="2651" spans="1:11" ht="12.5" x14ac:dyDescent="0.25">
      <c r="A2651" s="3" t="e">
        <f ca="1"/>
        <v>#NAME?</v>
      </c>
      <c r="B2651" s="2" t="s">
        <v>12</v>
      </c>
      <c r="C2651" s="2" t="s">
        <v>12</v>
      </c>
      <c r="D2651" s="2" t="s">
        <v>12</v>
      </c>
      <c r="E2651" s="2" t="s">
        <v>12</v>
      </c>
      <c r="F2651" s="2" t="s">
        <v>12</v>
      </c>
      <c r="G2651" s="2" t="s">
        <v>12</v>
      </c>
      <c r="H2651" s="2" t="s">
        <v>12</v>
      </c>
      <c r="I2651" s="2" t="s">
        <v>12</v>
      </c>
      <c r="J2651" s="2" t="s">
        <v>12</v>
      </c>
      <c r="K2651" s="2" t="s">
        <v>12</v>
      </c>
    </row>
    <row r="2652" spans="1:11" ht="12.5" x14ac:dyDescent="0.25">
      <c r="A2652" s="3" t="e">
        <f ca="1"/>
        <v>#NAME?</v>
      </c>
      <c r="B2652" s="2" t="s">
        <v>12</v>
      </c>
      <c r="C2652" s="2" t="s">
        <v>12</v>
      </c>
      <c r="D2652" s="2" t="s">
        <v>12</v>
      </c>
      <c r="E2652" s="2" t="s">
        <v>12</v>
      </c>
      <c r="F2652" s="2" t="s">
        <v>12</v>
      </c>
      <c r="G2652" s="2" t="s">
        <v>12</v>
      </c>
      <c r="H2652" s="2" t="s">
        <v>12</v>
      </c>
      <c r="I2652" s="2" t="s">
        <v>12</v>
      </c>
      <c r="J2652" s="2" t="s">
        <v>12</v>
      </c>
      <c r="K2652" s="2" t="s">
        <v>12</v>
      </c>
    </row>
    <row r="2653" spans="1:11" ht="12.5" x14ac:dyDescent="0.25">
      <c r="A2653" s="3" t="e">
        <f ca="1"/>
        <v>#NAME?</v>
      </c>
      <c r="B2653" s="2" t="s">
        <v>12</v>
      </c>
      <c r="C2653" s="2" t="s">
        <v>12</v>
      </c>
      <c r="D2653" s="2" t="s">
        <v>12</v>
      </c>
      <c r="E2653" s="2" t="s">
        <v>12</v>
      </c>
      <c r="F2653" s="2" t="s">
        <v>12</v>
      </c>
      <c r="G2653" s="2" t="s">
        <v>12</v>
      </c>
      <c r="H2653" s="2" t="s">
        <v>12</v>
      </c>
      <c r="I2653" s="2" t="s">
        <v>12</v>
      </c>
      <c r="J2653" s="2" t="s">
        <v>12</v>
      </c>
      <c r="K2653" s="2" t="s">
        <v>12</v>
      </c>
    </row>
    <row r="2654" spans="1:11" ht="12.5" x14ac:dyDescent="0.25">
      <c r="A2654" s="3" t="e">
        <f ca="1"/>
        <v>#NAME?</v>
      </c>
      <c r="B2654" s="2" t="s">
        <v>12</v>
      </c>
      <c r="C2654" s="2" t="s">
        <v>12</v>
      </c>
      <c r="D2654" s="2" t="s">
        <v>12</v>
      </c>
      <c r="E2654" s="2" t="s">
        <v>12</v>
      </c>
      <c r="F2654" s="2" t="s">
        <v>12</v>
      </c>
      <c r="G2654" s="2" t="s">
        <v>12</v>
      </c>
      <c r="H2654" s="2" t="s">
        <v>12</v>
      </c>
      <c r="I2654" s="2" t="s">
        <v>12</v>
      </c>
      <c r="J2654" s="2" t="s">
        <v>12</v>
      </c>
      <c r="K2654" s="2" t="s">
        <v>12</v>
      </c>
    </row>
    <row r="2655" spans="1:11" ht="12.5" x14ac:dyDescent="0.25">
      <c r="A2655" s="3" t="e">
        <f ca="1"/>
        <v>#NAME?</v>
      </c>
      <c r="B2655" s="2" t="s">
        <v>12</v>
      </c>
      <c r="C2655" s="2" t="s">
        <v>12</v>
      </c>
      <c r="D2655" s="2" t="s">
        <v>12</v>
      </c>
      <c r="E2655" s="2" t="s">
        <v>12</v>
      </c>
      <c r="F2655" s="2" t="s">
        <v>12</v>
      </c>
      <c r="G2655" s="2" t="s">
        <v>12</v>
      </c>
      <c r="H2655" s="2" t="s">
        <v>12</v>
      </c>
      <c r="I2655" s="2" t="s">
        <v>12</v>
      </c>
      <c r="J2655" s="2" t="s">
        <v>12</v>
      </c>
      <c r="K2655" s="2" t="s">
        <v>12</v>
      </c>
    </row>
    <row r="2656" spans="1:11" ht="12.5" x14ac:dyDescent="0.25">
      <c r="A2656" s="3" t="e">
        <f ca="1"/>
        <v>#NAME?</v>
      </c>
      <c r="B2656" s="2" t="s">
        <v>12</v>
      </c>
      <c r="C2656" s="2" t="s">
        <v>12</v>
      </c>
      <c r="D2656" s="2" t="s">
        <v>12</v>
      </c>
      <c r="E2656" s="2" t="s">
        <v>12</v>
      </c>
      <c r="F2656" s="2" t="s">
        <v>12</v>
      </c>
      <c r="G2656" s="2" t="s">
        <v>12</v>
      </c>
      <c r="H2656" s="2" t="s">
        <v>12</v>
      </c>
      <c r="I2656" s="2" t="s">
        <v>12</v>
      </c>
      <c r="J2656" s="2" t="s">
        <v>12</v>
      </c>
      <c r="K2656" s="2" t="s">
        <v>12</v>
      </c>
    </row>
    <row r="2657" spans="1:11" ht="12.5" x14ac:dyDescent="0.25">
      <c r="A2657" s="3" t="e">
        <f ca="1"/>
        <v>#NAME?</v>
      </c>
      <c r="B2657" s="2" t="s">
        <v>12</v>
      </c>
      <c r="C2657" s="2" t="s">
        <v>12</v>
      </c>
      <c r="D2657" s="2" t="s">
        <v>12</v>
      </c>
      <c r="E2657" s="2" t="s">
        <v>12</v>
      </c>
      <c r="F2657" s="2" t="s">
        <v>12</v>
      </c>
      <c r="G2657" s="2" t="s">
        <v>12</v>
      </c>
      <c r="H2657" s="2" t="s">
        <v>12</v>
      </c>
      <c r="I2657" s="2" t="s">
        <v>12</v>
      </c>
      <c r="J2657" s="2" t="s">
        <v>12</v>
      </c>
      <c r="K2657" s="2" t="s">
        <v>12</v>
      </c>
    </row>
    <row r="2658" spans="1:11" ht="12.5" x14ac:dyDescent="0.25">
      <c r="A2658" s="3" t="e">
        <f ca="1"/>
        <v>#NAME?</v>
      </c>
      <c r="B2658" s="2" t="s">
        <v>12</v>
      </c>
      <c r="C2658" s="2" t="s">
        <v>12</v>
      </c>
      <c r="D2658" s="2" t="s">
        <v>12</v>
      </c>
      <c r="E2658" s="2" t="s">
        <v>12</v>
      </c>
      <c r="F2658" s="2" t="s">
        <v>12</v>
      </c>
      <c r="G2658" s="2" t="s">
        <v>12</v>
      </c>
      <c r="H2658" s="2" t="s">
        <v>12</v>
      </c>
      <c r="I2658" s="2" t="s">
        <v>12</v>
      </c>
      <c r="J2658" s="2" t="s">
        <v>12</v>
      </c>
      <c r="K2658" s="2" t="s">
        <v>12</v>
      </c>
    </row>
    <row r="2659" spans="1:11" ht="12.5" x14ac:dyDescent="0.25">
      <c r="A2659" s="3" t="e">
        <f ca="1"/>
        <v>#NAME?</v>
      </c>
      <c r="B2659" s="2" t="s">
        <v>12</v>
      </c>
      <c r="C2659" s="2" t="s">
        <v>12</v>
      </c>
      <c r="D2659" s="2" t="s">
        <v>12</v>
      </c>
      <c r="E2659" s="2" t="s">
        <v>12</v>
      </c>
      <c r="F2659" s="2" t="s">
        <v>12</v>
      </c>
      <c r="G2659" s="2" t="s">
        <v>12</v>
      </c>
      <c r="H2659" s="2" t="s">
        <v>12</v>
      </c>
      <c r="I2659" s="2" t="s">
        <v>12</v>
      </c>
      <c r="J2659" s="2" t="s">
        <v>12</v>
      </c>
      <c r="K2659" s="2" t="s">
        <v>12</v>
      </c>
    </row>
    <row r="2660" spans="1:11" ht="12.5" x14ac:dyDescent="0.25">
      <c r="A2660" s="3" t="e">
        <f ca="1"/>
        <v>#NAME?</v>
      </c>
      <c r="B2660" s="2" t="s">
        <v>12</v>
      </c>
      <c r="C2660" s="2" t="s">
        <v>12</v>
      </c>
      <c r="D2660" s="2" t="s">
        <v>12</v>
      </c>
      <c r="E2660" s="2" t="s">
        <v>12</v>
      </c>
      <c r="F2660" s="2" t="s">
        <v>12</v>
      </c>
      <c r="G2660" s="2" t="s">
        <v>12</v>
      </c>
      <c r="H2660" s="2" t="s">
        <v>12</v>
      </c>
      <c r="I2660" s="2" t="s">
        <v>12</v>
      </c>
      <c r="J2660" s="2" t="s">
        <v>12</v>
      </c>
      <c r="K2660" s="2" t="s">
        <v>12</v>
      </c>
    </row>
    <row r="2661" spans="1:11" ht="12.5" x14ac:dyDescent="0.25">
      <c r="A2661" s="3" t="e">
        <f ca="1"/>
        <v>#NAME?</v>
      </c>
      <c r="B2661" s="2" t="s">
        <v>12</v>
      </c>
      <c r="C2661" s="2" t="s">
        <v>12</v>
      </c>
      <c r="D2661" s="2" t="s">
        <v>12</v>
      </c>
      <c r="E2661" s="2" t="s">
        <v>12</v>
      </c>
      <c r="F2661" s="2" t="s">
        <v>12</v>
      </c>
      <c r="G2661" s="2" t="s">
        <v>12</v>
      </c>
      <c r="H2661" s="2" t="s">
        <v>12</v>
      </c>
      <c r="I2661" s="2" t="s">
        <v>12</v>
      </c>
      <c r="J2661" s="2" t="s">
        <v>12</v>
      </c>
      <c r="K2661" s="2" t="s">
        <v>12</v>
      </c>
    </row>
    <row r="2662" spans="1:11" ht="12.5" x14ac:dyDescent="0.25">
      <c r="A2662" s="3" t="e">
        <f ca="1"/>
        <v>#NAME?</v>
      </c>
      <c r="B2662" s="2" t="s">
        <v>12</v>
      </c>
      <c r="C2662" s="2" t="s">
        <v>12</v>
      </c>
      <c r="D2662" s="2" t="s">
        <v>12</v>
      </c>
      <c r="E2662" s="2" t="s">
        <v>12</v>
      </c>
      <c r="F2662" s="2" t="s">
        <v>12</v>
      </c>
      <c r="G2662" s="2" t="s">
        <v>12</v>
      </c>
      <c r="H2662" s="2" t="s">
        <v>12</v>
      </c>
      <c r="I2662" s="2" t="s">
        <v>12</v>
      </c>
      <c r="J2662" s="2" t="s">
        <v>12</v>
      </c>
      <c r="K2662" s="2" t="s">
        <v>12</v>
      </c>
    </row>
    <row r="2663" spans="1:11" ht="12.5" x14ac:dyDescent="0.25">
      <c r="A2663" s="3" t="e">
        <f ca="1"/>
        <v>#NAME?</v>
      </c>
      <c r="B2663" s="2" t="s">
        <v>12</v>
      </c>
      <c r="C2663" s="2" t="s">
        <v>12</v>
      </c>
      <c r="D2663" s="2" t="s">
        <v>12</v>
      </c>
      <c r="E2663" s="2" t="s">
        <v>12</v>
      </c>
      <c r="F2663" s="2" t="s">
        <v>12</v>
      </c>
      <c r="G2663" s="2" t="s">
        <v>12</v>
      </c>
      <c r="H2663" s="2" t="s">
        <v>12</v>
      </c>
      <c r="I2663" s="2" t="s">
        <v>12</v>
      </c>
      <c r="J2663" s="2" t="s">
        <v>12</v>
      </c>
      <c r="K2663" s="2" t="s">
        <v>12</v>
      </c>
    </row>
    <row r="2664" spans="1:11" ht="12.5" x14ac:dyDescent="0.25">
      <c r="A2664" s="3" t="e">
        <f ca="1"/>
        <v>#NAME?</v>
      </c>
      <c r="B2664" s="2" t="s">
        <v>12</v>
      </c>
      <c r="C2664" s="2" t="s">
        <v>12</v>
      </c>
      <c r="D2664" s="2" t="s">
        <v>12</v>
      </c>
      <c r="E2664" s="2" t="s">
        <v>12</v>
      </c>
      <c r="F2664" s="2" t="s">
        <v>12</v>
      </c>
      <c r="G2664" s="2" t="s">
        <v>12</v>
      </c>
      <c r="H2664" s="2" t="s">
        <v>12</v>
      </c>
      <c r="I2664" s="2" t="s">
        <v>12</v>
      </c>
      <c r="J2664" s="2" t="s">
        <v>12</v>
      </c>
      <c r="K2664" s="2" t="s">
        <v>12</v>
      </c>
    </row>
    <row r="2665" spans="1:11" ht="12.5" x14ac:dyDescent="0.25">
      <c r="A2665" s="3" t="e">
        <f ca="1"/>
        <v>#NAME?</v>
      </c>
      <c r="B2665" s="2" t="s">
        <v>12</v>
      </c>
      <c r="C2665" s="2" t="s">
        <v>12</v>
      </c>
      <c r="D2665" s="2" t="s">
        <v>12</v>
      </c>
      <c r="E2665" s="2" t="s">
        <v>12</v>
      </c>
      <c r="F2665" s="2" t="s">
        <v>12</v>
      </c>
      <c r="G2665" s="2" t="s">
        <v>12</v>
      </c>
      <c r="H2665" s="2" t="s">
        <v>12</v>
      </c>
      <c r="I2665" s="2" t="s">
        <v>12</v>
      </c>
      <c r="J2665" s="2" t="s">
        <v>12</v>
      </c>
      <c r="K2665" s="2" t="s">
        <v>12</v>
      </c>
    </row>
    <row r="2666" spans="1:11" ht="12.5" x14ac:dyDescent="0.25">
      <c r="A2666" s="3" t="e">
        <f ca="1"/>
        <v>#NAME?</v>
      </c>
      <c r="B2666" s="2" t="s">
        <v>12</v>
      </c>
      <c r="C2666" s="2" t="s">
        <v>12</v>
      </c>
      <c r="D2666" s="2" t="s">
        <v>12</v>
      </c>
      <c r="E2666" s="2" t="s">
        <v>12</v>
      </c>
      <c r="F2666" s="2" t="s">
        <v>12</v>
      </c>
      <c r="G2666" s="2" t="s">
        <v>12</v>
      </c>
      <c r="H2666" s="2" t="s">
        <v>12</v>
      </c>
      <c r="I2666" s="2" t="s">
        <v>12</v>
      </c>
      <c r="J2666" s="2" t="s">
        <v>12</v>
      </c>
      <c r="K2666" s="2" t="s">
        <v>12</v>
      </c>
    </row>
    <row r="2667" spans="1:11" ht="12.5" x14ac:dyDescent="0.25">
      <c r="A2667" s="3" t="e">
        <f ca="1"/>
        <v>#NAME?</v>
      </c>
      <c r="B2667" s="2" t="s">
        <v>12</v>
      </c>
      <c r="C2667" s="2" t="s">
        <v>12</v>
      </c>
      <c r="D2667" s="2" t="s">
        <v>12</v>
      </c>
      <c r="E2667" s="2" t="s">
        <v>12</v>
      </c>
      <c r="F2667" s="2" t="s">
        <v>12</v>
      </c>
      <c r="G2667" s="2" t="s">
        <v>12</v>
      </c>
      <c r="H2667" s="2" t="s">
        <v>12</v>
      </c>
      <c r="I2667" s="2" t="s">
        <v>12</v>
      </c>
      <c r="J2667" s="2" t="s">
        <v>12</v>
      </c>
      <c r="K2667" s="2" t="s">
        <v>12</v>
      </c>
    </row>
    <row r="2668" spans="1:11" ht="12.5" x14ac:dyDescent="0.25">
      <c r="A2668" s="3" t="e">
        <f ca="1"/>
        <v>#NAME?</v>
      </c>
      <c r="B2668" s="2" t="s">
        <v>12</v>
      </c>
      <c r="C2668" s="2" t="s">
        <v>12</v>
      </c>
      <c r="D2668" s="2" t="s">
        <v>12</v>
      </c>
      <c r="E2668" s="2" t="s">
        <v>12</v>
      </c>
      <c r="F2668" s="2" t="s">
        <v>12</v>
      </c>
      <c r="G2668" s="2" t="s">
        <v>12</v>
      </c>
      <c r="H2668" s="2" t="s">
        <v>12</v>
      </c>
      <c r="I2668" s="2" t="s">
        <v>12</v>
      </c>
      <c r="J2668" s="2" t="s">
        <v>12</v>
      </c>
      <c r="K2668" s="2" t="s">
        <v>12</v>
      </c>
    </row>
    <row r="2669" spans="1:11" ht="12.5" x14ac:dyDescent="0.25">
      <c r="A2669" s="3" t="e">
        <f ca="1"/>
        <v>#NAME?</v>
      </c>
      <c r="B2669" s="2" t="s">
        <v>12</v>
      </c>
      <c r="C2669" s="2" t="s">
        <v>12</v>
      </c>
      <c r="D2669" s="2" t="s">
        <v>12</v>
      </c>
      <c r="E2669" s="2" t="s">
        <v>12</v>
      </c>
      <c r="F2669" s="2" t="s">
        <v>12</v>
      </c>
      <c r="G2669" s="2" t="s">
        <v>12</v>
      </c>
      <c r="H2669" s="2" t="s">
        <v>12</v>
      </c>
      <c r="I2669" s="2" t="s">
        <v>12</v>
      </c>
      <c r="J2669" s="2" t="s">
        <v>12</v>
      </c>
      <c r="K2669" s="2" t="s">
        <v>12</v>
      </c>
    </row>
    <row r="2670" spans="1:11" ht="12.5" x14ac:dyDescent="0.25">
      <c r="A2670" s="3" t="e">
        <f ca="1"/>
        <v>#NAME?</v>
      </c>
      <c r="B2670" s="2" t="s">
        <v>12</v>
      </c>
      <c r="C2670" s="2" t="s">
        <v>12</v>
      </c>
      <c r="D2670" s="2" t="s">
        <v>12</v>
      </c>
      <c r="E2670" s="2" t="s">
        <v>12</v>
      </c>
      <c r="F2670" s="2" t="s">
        <v>12</v>
      </c>
      <c r="G2670" s="2" t="s">
        <v>12</v>
      </c>
      <c r="H2670" s="2" t="s">
        <v>12</v>
      </c>
      <c r="I2670" s="2" t="s">
        <v>12</v>
      </c>
      <c r="J2670" s="2" t="s">
        <v>12</v>
      </c>
      <c r="K2670" s="2" t="s">
        <v>12</v>
      </c>
    </row>
    <row r="2671" spans="1:11" ht="12.5" x14ac:dyDescent="0.25">
      <c r="A2671" s="3" t="e">
        <f ca="1"/>
        <v>#NAME?</v>
      </c>
      <c r="B2671" s="2" t="s">
        <v>12</v>
      </c>
      <c r="C2671" s="2" t="s">
        <v>12</v>
      </c>
      <c r="D2671" s="2" t="s">
        <v>12</v>
      </c>
      <c r="E2671" s="2" t="s">
        <v>12</v>
      </c>
      <c r="F2671" s="2" t="s">
        <v>12</v>
      </c>
      <c r="G2671" s="2" t="s">
        <v>12</v>
      </c>
      <c r="H2671" s="2" t="s">
        <v>12</v>
      </c>
      <c r="I2671" s="2" t="s">
        <v>12</v>
      </c>
      <c r="J2671" s="2" t="s">
        <v>12</v>
      </c>
      <c r="K2671" s="2" t="s">
        <v>12</v>
      </c>
    </row>
    <row r="2672" spans="1:11" ht="12.5" x14ac:dyDescent="0.25">
      <c r="A2672" s="3" t="e">
        <f ca="1"/>
        <v>#NAME?</v>
      </c>
      <c r="B2672" s="2" t="s">
        <v>12</v>
      </c>
      <c r="C2672" s="2" t="s">
        <v>12</v>
      </c>
      <c r="D2672" s="2" t="s">
        <v>12</v>
      </c>
      <c r="E2672" s="2" t="s">
        <v>12</v>
      </c>
      <c r="F2672" s="2" t="s">
        <v>12</v>
      </c>
      <c r="G2672" s="2" t="s">
        <v>12</v>
      </c>
      <c r="H2672" s="2" t="s">
        <v>12</v>
      </c>
      <c r="I2672" s="2" t="s">
        <v>12</v>
      </c>
      <c r="J2672" s="2" t="s">
        <v>12</v>
      </c>
      <c r="K2672" s="2" t="s">
        <v>12</v>
      </c>
    </row>
    <row r="2673" spans="1:11" ht="12.5" x14ac:dyDescent="0.25">
      <c r="A2673" s="3" t="e">
        <f ca="1"/>
        <v>#NAME?</v>
      </c>
      <c r="B2673" s="2" t="s">
        <v>12</v>
      </c>
      <c r="C2673" s="2" t="s">
        <v>12</v>
      </c>
      <c r="D2673" s="2" t="s">
        <v>12</v>
      </c>
      <c r="E2673" s="2" t="s">
        <v>12</v>
      </c>
      <c r="F2673" s="2" t="s">
        <v>12</v>
      </c>
      <c r="G2673" s="2" t="s">
        <v>12</v>
      </c>
      <c r="H2673" s="2" t="s">
        <v>12</v>
      </c>
      <c r="I2673" s="2" t="s">
        <v>12</v>
      </c>
      <c r="J2673" s="2" t="s">
        <v>12</v>
      </c>
      <c r="K2673" s="2" t="s">
        <v>12</v>
      </c>
    </row>
    <row r="2674" spans="1:11" ht="12.5" x14ac:dyDescent="0.25">
      <c r="A2674" s="3" t="e">
        <f ca="1"/>
        <v>#NAME?</v>
      </c>
      <c r="B2674" s="2" t="s">
        <v>12</v>
      </c>
      <c r="C2674" s="2" t="s">
        <v>12</v>
      </c>
      <c r="D2674" s="2" t="s">
        <v>12</v>
      </c>
      <c r="E2674" s="2" t="s">
        <v>12</v>
      </c>
      <c r="F2674" s="2" t="s">
        <v>12</v>
      </c>
      <c r="G2674" s="2" t="s">
        <v>12</v>
      </c>
      <c r="H2674" s="2" t="s">
        <v>12</v>
      </c>
      <c r="I2674" s="2" t="s">
        <v>12</v>
      </c>
      <c r="J2674" s="2" t="s">
        <v>12</v>
      </c>
      <c r="K2674" s="2" t="s">
        <v>12</v>
      </c>
    </row>
    <row r="2675" spans="1:11" ht="12.5" x14ac:dyDescent="0.25">
      <c r="A2675" s="3" t="e">
        <f ca="1"/>
        <v>#NAME?</v>
      </c>
      <c r="B2675" s="2" t="s">
        <v>12</v>
      </c>
      <c r="C2675" s="2" t="s">
        <v>12</v>
      </c>
      <c r="D2675" s="2" t="s">
        <v>12</v>
      </c>
      <c r="E2675" s="2" t="s">
        <v>12</v>
      </c>
      <c r="F2675" s="2" t="s">
        <v>12</v>
      </c>
      <c r="G2675" s="2" t="s">
        <v>12</v>
      </c>
      <c r="H2675" s="2" t="s">
        <v>12</v>
      </c>
      <c r="I2675" s="2" t="s">
        <v>12</v>
      </c>
      <c r="J2675" s="2" t="s">
        <v>12</v>
      </c>
      <c r="K2675" s="2" t="s">
        <v>12</v>
      </c>
    </row>
    <row r="2676" spans="1:11" ht="12.5" x14ac:dyDescent="0.25">
      <c r="A2676" s="3" t="e">
        <f ca="1"/>
        <v>#NAME?</v>
      </c>
      <c r="B2676" s="2" t="s">
        <v>12</v>
      </c>
      <c r="C2676" s="2" t="s">
        <v>12</v>
      </c>
      <c r="D2676" s="2" t="s">
        <v>12</v>
      </c>
      <c r="E2676" s="2" t="s">
        <v>12</v>
      </c>
      <c r="F2676" s="2" t="s">
        <v>12</v>
      </c>
      <c r="G2676" s="2" t="s">
        <v>12</v>
      </c>
      <c r="H2676" s="2" t="s">
        <v>12</v>
      </c>
      <c r="I2676" s="2" t="s">
        <v>12</v>
      </c>
      <c r="J2676" s="2" t="s">
        <v>12</v>
      </c>
      <c r="K2676" s="2" t="s">
        <v>12</v>
      </c>
    </row>
    <row r="2677" spans="1:11" ht="12.5" x14ac:dyDescent="0.25">
      <c r="A2677" s="3" t="e">
        <f ca="1"/>
        <v>#NAME?</v>
      </c>
      <c r="B2677" s="2" t="s">
        <v>12</v>
      </c>
      <c r="C2677" s="2" t="s">
        <v>12</v>
      </c>
      <c r="D2677" s="2" t="s">
        <v>12</v>
      </c>
      <c r="E2677" s="2" t="s">
        <v>12</v>
      </c>
      <c r="F2677" s="2" t="s">
        <v>12</v>
      </c>
      <c r="G2677" s="2" t="s">
        <v>12</v>
      </c>
      <c r="H2677" s="2" t="s">
        <v>12</v>
      </c>
      <c r="I2677" s="2" t="s">
        <v>12</v>
      </c>
      <c r="J2677" s="2" t="s">
        <v>12</v>
      </c>
      <c r="K2677" s="2" t="s">
        <v>12</v>
      </c>
    </row>
    <row r="2678" spans="1:11" ht="12.5" x14ac:dyDescent="0.25">
      <c r="A2678" s="3" t="e">
        <f ca="1"/>
        <v>#NAME?</v>
      </c>
      <c r="B2678" s="2" t="s">
        <v>12</v>
      </c>
      <c r="C2678" s="2" t="s">
        <v>12</v>
      </c>
      <c r="D2678" s="2" t="s">
        <v>12</v>
      </c>
      <c r="E2678" s="2" t="s">
        <v>12</v>
      </c>
      <c r="F2678" s="2" t="s">
        <v>12</v>
      </c>
      <c r="G2678" s="2" t="s">
        <v>12</v>
      </c>
      <c r="H2678" s="2" t="s">
        <v>12</v>
      </c>
      <c r="I2678" s="2" t="s">
        <v>12</v>
      </c>
      <c r="J2678" s="2" t="s">
        <v>12</v>
      </c>
      <c r="K2678" s="2" t="s">
        <v>12</v>
      </c>
    </row>
    <row r="2679" spans="1:11" ht="12.5" x14ac:dyDescent="0.25">
      <c r="A2679" s="3" t="e">
        <f ca="1"/>
        <v>#NAME?</v>
      </c>
      <c r="B2679" s="2" t="s">
        <v>12</v>
      </c>
      <c r="C2679" s="2" t="s">
        <v>12</v>
      </c>
      <c r="D2679" s="2" t="s">
        <v>12</v>
      </c>
      <c r="E2679" s="2" t="s">
        <v>12</v>
      </c>
      <c r="F2679" s="2" t="s">
        <v>12</v>
      </c>
      <c r="G2679" s="2" t="s">
        <v>12</v>
      </c>
      <c r="H2679" s="2" t="s">
        <v>12</v>
      </c>
      <c r="I2679" s="2" t="s">
        <v>12</v>
      </c>
      <c r="J2679" s="2" t="s">
        <v>12</v>
      </c>
      <c r="K2679" s="2" t="s">
        <v>12</v>
      </c>
    </row>
    <row r="2680" spans="1:11" ht="12.5" x14ac:dyDescent="0.25">
      <c r="A2680" s="3" t="e">
        <f ca="1"/>
        <v>#NAME?</v>
      </c>
      <c r="B2680" s="2" t="s">
        <v>12</v>
      </c>
      <c r="C2680" s="2" t="s">
        <v>12</v>
      </c>
      <c r="D2680" s="2" t="s">
        <v>12</v>
      </c>
      <c r="E2680" s="2" t="s">
        <v>12</v>
      </c>
      <c r="F2680" s="2" t="s">
        <v>12</v>
      </c>
      <c r="G2680" s="2" t="s">
        <v>12</v>
      </c>
      <c r="H2680" s="2" t="s">
        <v>12</v>
      </c>
      <c r="I2680" s="2" t="s">
        <v>12</v>
      </c>
      <c r="J2680" s="2" t="s">
        <v>12</v>
      </c>
      <c r="K2680" s="2" t="s">
        <v>12</v>
      </c>
    </row>
    <row r="2681" spans="1:11" ht="12.5" x14ac:dyDescent="0.25">
      <c r="A2681" s="3" t="e">
        <f ca="1"/>
        <v>#NAME?</v>
      </c>
      <c r="B2681" s="2" t="s">
        <v>12</v>
      </c>
      <c r="C2681" s="2" t="s">
        <v>12</v>
      </c>
      <c r="D2681" s="2" t="s">
        <v>12</v>
      </c>
      <c r="E2681" s="2" t="s">
        <v>12</v>
      </c>
      <c r="F2681" s="2" t="s">
        <v>12</v>
      </c>
      <c r="G2681" s="2" t="s">
        <v>12</v>
      </c>
      <c r="H2681" s="2" t="s">
        <v>12</v>
      </c>
      <c r="I2681" s="2" t="s">
        <v>12</v>
      </c>
      <c r="J2681" s="2" t="s">
        <v>12</v>
      </c>
      <c r="K2681" s="2" t="s">
        <v>12</v>
      </c>
    </row>
    <row r="2682" spans="1:11" ht="12.5" x14ac:dyDescent="0.25">
      <c r="A2682" s="3" t="e">
        <f ca="1"/>
        <v>#NAME?</v>
      </c>
      <c r="B2682" s="2" t="s">
        <v>12</v>
      </c>
      <c r="C2682" s="2" t="s">
        <v>12</v>
      </c>
      <c r="D2682" s="2" t="s">
        <v>12</v>
      </c>
      <c r="E2682" s="2" t="s">
        <v>12</v>
      </c>
      <c r="F2682" s="2" t="s">
        <v>12</v>
      </c>
      <c r="G2682" s="2" t="s">
        <v>12</v>
      </c>
      <c r="H2682" s="2" t="s">
        <v>12</v>
      </c>
      <c r="I2682" s="2" t="s">
        <v>12</v>
      </c>
      <c r="J2682" s="2" t="s">
        <v>12</v>
      </c>
      <c r="K2682" s="2" t="s">
        <v>12</v>
      </c>
    </row>
    <row r="2683" spans="1:11" ht="12.5" x14ac:dyDescent="0.25">
      <c r="A2683" s="3" t="e">
        <f ca="1"/>
        <v>#NAME?</v>
      </c>
      <c r="B2683" s="2" t="s">
        <v>12</v>
      </c>
      <c r="C2683" s="2" t="s">
        <v>12</v>
      </c>
      <c r="D2683" s="2" t="s">
        <v>12</v>
      </c>
      <c r="E2683" s="2" t="s">
        <v>12</v>
      </c>
      <c r="F2683" s="2" t="s">
        <v>12</v>
      </c>
      <c r="G2683" s="2" t="s">
        <v>12</v>
      </c>
      <c r="H2683" s="2" t="s">
        <v>12</v>
      </c>
      <c r="I2683" s="2" t="s">
        <v>12</v>
      </c>
      <c r="J2683" s="2" t="s">
        <v>12</v>
      </c>
      <c r="K2683" s="2" t="s">
        <v>12</v>
      </c>
    </row>
    <row r="2684" spans="1:11" ht="12.5" x14ac:dyDescent="0.25">
      <c r="A2684" s="3" t="e">
        <f ca="1"/>
        <v>#NAME?</v>
      </c>
      <c r="B2684" s="2" t="s">
        <v>12</v>
      </c>
      <c r="C2684" s="2" t="s">
        <v>12</v>
      </c>
      <c r="D2684" s="2" t="s">
        <v>12</v>
      </c>
      <c r="E2684" s="2" t="s">
        <v>12</v>
      </c>
      <c r="F2684" s="2" t="s">
        <v>12</v>
      </c>
      <c r="G2684" s="2" t="s">
        <v>12</v>
      </c>
      <c r="H2684" s="2" t="s">
        <v>12</v>
      </c>
      <c r="I2684" s="2" t="s">
        <v>12</v>
      </c>
      <c r="J2684" s="2" t="s">
        <v>12</v>
      </c>
      <c r="K2684" s="2" t="s">
        <v>12</v>
      </c>
    </row>
    <row r="2685" spans="1:11" ht="12.5" x14ac:dyDescent="0.25">
      <c r="A2685" s="3" t="e">
        <f ca="1"/>
        <v>#NAME?</v>
      </c>
      <c r="B2685" s="2" t="s">
        <v>12</v>
      </c>
      <c r="C2685" s="2" t="s">
        <v>12</v>
      </c>
      <c r="D2685" s="2" t="s">
        <v>12</v>
      </c>
      <c r="E2685" s="2" t="s">
        <v>12</v>
      </c>
      <c r="F2685" s="2" t="s">
        <v>12</v>
      </c>
      <c r="G2685" s="2" t="s">
        <v>12</v>
      </c>
      <c r="H2685" s="2" t="s">
        <v>12</v>
      </c>
      <c r="I2685" s="2" t="s">
        <v>12</v>
      </c>
      <c r="J2685" s="2" t="s">
        <v>12</v>
      </c>
      <c r="K2685" s="2" t="s">
        <v>12</v>
      </c>
    </row>
    <row r="2686" spans="1:11" ht="12.5" x14ac:dyDescent="0.25">
      <c r="A2686" s="3" t="e">
        <f ca="1"/>
        <v>#NAME?</v>
      </c>
      <c r="B2686" s="2" t="s">
        <v>12</v>
      </c>
      <c r="C2686" s="2" t="s">
        <v>12</v>
      </c>
      <c r="D2686" s="2" t="s">
        <v>12</v>
      </c>
      <c r="E2686" s="2" t="s">
        <v>12</v>
      </c>
      <c r="F2686" s="2" t="s">
        <v>12</v>
      </c>
      <c r="G2686" s="2" t="s">
        <v>12</v>
      </c>
      <c r="H2686" s="2" t="s">
        <v>12</v>
      </c>
      <c r="I2686" s="2" t="s">
        <v>12</v>
      </c>
      <c r="J2686" s="2" t="s">
        <v>12</v>
      </c>
      <c r="K2686" s="2" t="s">
        <v>12</v>
      </c>
    </row>
    <row r="2687" spans="1:11" ht="12.5" x14ac:dyDescent="0.25">
      <c r="A2687" s="3" t="e">
        <f ca="1"/>
        <v>#NAME?</v>
      </c>
      <c r="B2687" s="2" t="s">
        <v>12</v>
      </c>
      <c r="C2687" s="2" t="s">
        <v>12</v>
      </c>
      <c r="D2687" s="2" t="s">
        <v>12</v>
      </c>
      <c r="E2687" s="2" t="s">
        <v>12</v>
      </c>
      <c r="F2687" s="2" t="s">
        <v>12</v>
      </c>
      <c r="G2687" s="2" t="s">
        <v>12</v>
      </c>
      <c r="H2687" s="2" t="s">
        <v>12</v>
      </c>
      <c r="I2687" s="2" t="s">
        <v>12</v>
      </c>
      <c r="J2687" s="2" t="s">
        <v>12</v>
      </c>
      <c r="K2687" s="2" t="s">
        <v>12</v>
      </c>
    </row>
    <row r="2688" spans="1:11" ht="12.5" x14ac:dyDescent="0.25">
      <c r="A2688" s="3" t="e">
        <f ca="1"/>
        <v>#NAME?</v>
      </c>
      <c r="B2688" s="2" t="s">
        <v>12</v>
      </c>
      <c r="C2688" s="2" t="s">
        <v>12</v>
      </c>
      <c r="D2688" s="2" t="s">
        <v>12</v>
      </c>
      <c r="E2688" s="2" t="s">
        <v>12</v>
      </c>
      <c r="F2688" s="2" t="s">
        <v>12</v>
      </c>
      <c r="G2688" s="2" t="s">
        <v>12</v>
      </c>
      <c r="H2688" s="2" t="s">
        <v>12</v>
      </c>
      <c r="I2688" s="2" t="s">
        <v>12</v>
      </c>
      <c r="J2688" s="2" t="s">
        <v>12</v>
      </c>
      <c r="K2688" s="2" t="s">
        <v>12</v>
      </c>
    </row>
    <row r="2689" spans="1:11" ht="12.5" x14ac:dyDescent="0.25">
      <c r="A2689" s="3" t="e">
        <f ca="1"/>
        <v>#NAME?</v>
      </c>
      <c r="B2689" s="2" t="s">
        <v>12</v>
      </c>
      <c r="C2689" s="2" t="s">
        <v>12</v>
      </c>
      <c r="D2689" s="2" t="s">
        <v>12</v>
      </c>
      <c r="E2689" s="2" t="s">
        <v>12</v>
      </c>
      <c r="F2689" s="2" t="s">
        <v>12</v>
      </c>
      <c r="G2689" s="2" t="s">
        <v>12</v>
      </c>
      <c r="H2689" s="2" t="s">
        <v>12</v>
      </c>
      <c r="I2689" s="2" t="s">
        <v>12</v>
      </c>
      <c r="J2689" s="2" t="s">
        <v>12</v>
      </c>
      <c r="K2689" s="2" t="s">
        <v>12</v>
      </c>
    </row>
    <row r="2690" spans="1:11" ht="12.5" x14ac:dyDescent="0.25">
      <c r="A2690" s="3" t="e">
        <f ca="1"/>
        <v>#NAME?</v>
      </c>
      <c r="B2690" s="2" t="s">
        <v>12</v>
      </c>
      <c r="C2690" s="2" t="s">
        <v>12</v>
      </c>
      <c r="D2690" s="2" t="s">
        <v>12</v>
      </c>
      <c r="E2690" s="2" t="s">
        <v>12</v>
      </c>
      <c r="F2690" s="2" t="s">
        <v>12</v>
      </c>
      <c r="G2690" s="2" t="s">
        <v>12</v>
      </c>
      <c r="H2690" s="2" t="s">
        <v>12</v>
      </c>
      <c r="I2690" s="2" t="s">
        <v>12</v>
      </c>
      <c r="J2690" s="2" t="s">
        <v>12</v>
      </c>
      <c r="K2690" s="2" t="s">
        <v>12</v>
      </c>
    </row>
    <row r="2691" spans="1:11" ht="12.5" x14ac:dyDescent="0.25">
      <c r="A2691" s="3" t="e">
        <f ca="1"/>
        <v>#NAME?</v>
      </c>
      <c r="B2691" s="2" t="s">
        <v>12</v>
      </c>
      <c r="C2691" s="2" t="s">
        <v>12</v>
      </c>
      <c r="D2691" s="2" t="s">
        <v>12</v>
      </c>
      <c r="E2691" s="2" t="s">
        <v>12</v>
      </c>
      <c r="F2691" s="2" t="s">
        <v>12</v>
      </c>
      <c r="G2691" s="2" t="s">
        <v>12</v>
      </c>
      <c r="H2691" s="2" t="s">
        <v>12</v>
      </c>
      <c r="I2691" s="2" t="s">
        <v>12</v>
      </c>
      <c r="J2691" s="2" t="s">
        <v>12</v>
      </c>
      <c r="K2691" s="2" t="s">
        <v>12</v>
      </c>
    </row>
    <row r="2692" spans="1:11" ht="12.5" x14ac:dyDescent="0.25">
      <c r="A2692" s="3" t="e">
        <f ca="1"/>
        <v>#NAME?</v>
      </c>
      <c r="B2692" s="2" t="s">
        <v>12</v>
      </c>
      <c r="C2692" s="2" t="s">
        <v>12</v>
      </c>
      <c r="D2692" s="2" t="s">
        <v>12</v>
      </c>
      <c r="E2692" s="2" t="s">
        <v>12</v>
      </c>
      <c r="F2692" s="2" t="s">
        <v>12</v>
      </c>
      <c r="G2692" s="2" t="s">
        <v>12</v>
      </c>
      <c r="H2692" s="2" t="s">
        <v>12</v>
      </c>
      <c r="I2692" s="2" t="s">
        <v>12</v>
      </c>
      <c r="J2692" s="2" t="s">
        <v>12</v>
      </c>
      <c r="K2692" s="2" t="s">
        <v>12</v>
      </c>
    </row>
    <row r="2693" spans="1:11" ht="12.5" x14ac:dyDescent="0.25">
      <c r="A2693" s="3" t="e">
        <f ca="1"/>
        <v>#NAME?</v>
      </c>
      <c r="B2693" s="2" t="s">
        <v>12</v>
      </c>
      <c r="C2693" s="2" t="s">
        <v>12</v>
      </c>
      <c r="D2693" s="2" t="s">
        <v>12</v>
      </c>
      <c r="E2693" s="2" t="s">
        <v>12</v>
      </c>
      <c r="F2693" s="2" t="s">
        <v>12</v>
      </c>
      <c r="G2693" s="2" t="s">
        <v>12</v>
      </c>
      <c r="H2693" s="2" t="s">
        <v>12</v>
      </c>
      <c r="I2693" s="2" t="s">
        <v>12</v>
      </c>
      <c r="J2693" s="2" t="s">
        <v>12</v>
      </c>
      <c r="K2693" s="2" t="s">
        <v>12</v>
      </c>
    </row>
    <row r="2694" spans="1:11" ht="12.5" x14ac:dyDescent="0.25">
      <c r="A2694" s="3" t="e">
        <f ca="1"/>
        <v>#NAME?</v>
      </c>
      <c r="B2694" s="2" t="s">
        <v>12</v>
      </c>
      <c r="C2694" s="2" t="s">
        <v>12</v>
      </c>
      <c r="D2694" s="2" t="s">
        <v>12</v>
      </c>
      <c r="E2694" s="2" t="s">
        <v>12</v>
      </c>
      <c r="F2694" s="2" t="s">
        <v>12</v>
      </c>
      <c r="G2694" s="2" t="s">
        <v>12</v>
      </c>
      <c r="H2694" s="2" t="s">
        <v>12</v>
      </c>
      <c r="I2694" s="2" t="s">
        <v>12</v>
      </c>
      <c r="J2694" s="2" t="s">
        <v>12</v>
      </c>
      <c r="K2694" s="2" t="s">
        <v>12</v>
      </c>
    </row>
    <row r="2695" spans="1:11" ht="12.5" x14ac:dyDescent="0.25">
      <c r="A2695" s="3" t="e">
        <f ca="1"/>
        <v>#NAME?</v>
      </c>
      <c r="B2695" s="2" t="s">
        <v>12</v>
      </c>
      <c r="C2695" s="2" t="s">
        <v>12</v>
      </c>
      <c r="D2695" s="2" t="s">
        <v>12</v>
      </c>
      <c r="E2695" s="2" t="s">
        <v>12</v>
      </c>
      <c r="F2695" s="2" t="s">
        <v>12</v>
      </c>
      <c r="G2695" s="2" t="s">
        <v>12</v>
      </c>
      <c r="H2695" s="2" t="s">
        <v>12</v>
      </c>
      <c r="I2695" s="2" t="s">
        <v>12</v>
      </c>
      <c r="J2695" s="2" t="s">
        <v>12</v>
      </c>
      <c r="K2695" s="2" t="s">
        <v>12</v>
      </c>
    </row>
    <row r="2696" spans="1:11" ht="12.5" x14ac:dyDescent="0.25">
      <c r="A2696" s="3" t="e">
        <f ca="1"/>
        <v>#NAME?</v>
      </c>
      <c r="B2696" s="2" t="s">
        <v>12</v>
      </c>
      <c r="C2696" s="2" t="s">
        <v>12</v>
      </c>
      <c r="D2696" s="2" t="s">
        <v>12</v>
      </c>
      <c r="E2696" s="2" t="s">
        <v>12</v>
      </c>
      <c r="F2696" s="2" t="s">
        <v>12</v>
      </c>
      <c r="G2696" s="2" t="s">
        <v>12</v>
      </c>
      <c r="H2696" s="2" t="s">
        <v>12</v>
      </c>
      <c r="I2696" s="2" t="s">
        <v>12</v>
      </c>
      <c r="J2696" s="2" t="s">
        <v>12</v>
      </c>
      <c r="K2696" s="2" t="s">
        <v>12</v>
      </c>
    </row>
    <row r="2697" spans="1:11" ht="12.5" x14ac:dyDescent="0.25">
      <c r="A2697" s="3" t="e">
        <f ca="1"/>
        <v>#NAME?</v>
      </c>
      <c r="B2697" s="2" t="s">
        <v>12</v>
      </c>
      <c r="C2697" s="2" t="s">
        <v>12</v>
      </c>
      <c r="D2697" s="2" t="s">
        <v>12</v>
      </c>
      <c r="E2697" s="2" t="s">
        <v>12</v>
      </c>
      <c r="F2697" s="2" t="s">
        <v>12</v>
      </c>
      <c r="G2697" s="2" t="s">
        <v>12</v>
      </c>
      <c r="H2697" s="2" t="s">
        <v>12</v>
      </c>
      <c r="I2697" s="2" t="s">
        <v>12</v>
      </c>
      <c r="J2697" s="2" t="s">
        <v>12</v>
      </c>
      <c r="K2697" s="2" t="s">
        <v>12</v>
      </c>
    </row>
    <row r="2698" spans="1:11" ht="12.5" x14ac:dyDescent="0.25">
      <c r="A2698" s="3" t="e">
        <f ca="1"/>
        <v>#NAME?</v>
      </c>
      <c r="B2698" s="2" t="s">
        <v>12</v>
      </c>
      <c r="C2698" s="2" t="s">
        <v>12</v>
      </c>
      <c r="D2698" s="2" t="s">
        <v>12</v>
      </c>
      <c r="E2698" s="2" t="s">
        <v>12</v>
      </c>
      <c r="F2698" s="2" t="s">
        <v>12</v>
      </c>
      <c r="G2698" s="2" t="s">
        <v>12</v>
      </c>
      <c r="H2698" s="2" t="s">
        <v>12</v>
      </c>
      <c r="I2698" s="2" t="s">
        <v>12</v>
      </c>
      <c r="J2698" s="2" t="s">
        <v>12</v>
      </c>
      <c r="K2698" s="2" t="s">
        <v>12</v>
      </c>
    </row>
    <row r="2699" spans="1:11" ht="12.5" x14ac:dyDescent="0.25">
      <c r="A2699" s="3" t="e">
        <f ca="1"/>
        <v>#NAME?</v>
      </c>
      <c r="B2699" s="2" t="s">
        <v>12</v>
      </c>
      <c r="C2699" s="2" t="s">
        <v>12</v>
      </c>
      <c r="D2699" s="2" t="s">
        <v>12</v>
      </c>
      <c r="E2699" s="2" t="s">
        <v>12</v>
      </c>
      <c r="F2699" s="2" t="s">
        <v>12</v>
      </c>
      <c r="G2699" s="2" t="s">
        <v>12</v>
      </c>
      <c r="H2699" s="2" t="s">
        <v>12</v>
      </c>
      <c r="I2699" s="2" t="s">
        <v>12</v>
      </c>
      <c r="J2699" s="2" t="s">
        <v>12</v>
      </c>
      <c r="K2699" s="2" t="s">
        <v>12</v>
      </c>
    </row>
    <row r="2700" spans="1:11" ht="12.5" x14ac:dyDescent="0.25">
      <c r="A2700" s="3" t="e">
        <f ca="1"/>
        <v>#NAME?</v>
      </c>
      <c r="B2700" s="2" t="s">
        <v>12</v>
      </c>
      <c r="C2700" s="2" t="s">
        <v>12</v>
      </c>
      <c r="D2700" s="2" t="s">
        <v>12</v>
      </c>
      <c r="E2700" s="2" t="s">
        <v>12</v>
      </c>
      <c r="F2700" s="2" t="s">
        <v>12</v>
      </c>
      <c r="G2700" s="2" t="s">
        <v>12</v>
      </c>
      <c r="H2700" s="2" t="s">
        <v>12</v>
      </c>
      <c r="I2700" s="2" t="s">
        <v>12</v>
      </c>
      <c r="J2700" s="2" t="s">
        <v>12</v>
      </c>
      <c r="K2700" s="2" t="s">
        <v>12</v>
      </c>
    </row>
    <row r="2701" spans="1:11" ht="12.5" x14ac:dyDescent="0.25">
      <c r="A2701" s="3" t="e">
        <f ca="1"/>
        <v>#NAME?</v>
      </c>
      <c r="B2701" s="2" t="s">
        <v>12</v>
      </c>
      <c r="C2701" s="2" t="s">
        <v>12</v>
      </c>
      <c r="D2701" s="2" t="s">
        <v>12</v>
      </c>
      <c r="E2701" s="2" t="s">
        <v>12</v>
      </c>
      <c r="F2701" s="2" t="s">
        <v>12</v>
      </c>
      <c r="G2701" s="2" t="s">
        <v>12</v>
      </c>
      <c r="H2701" s="2" t="s">
        <v>12</v>
      </c>
      <c r="I2701" s="2" t="s">
        <v>12</v>
      </c>
      <c r="J2701" s="2" t="s">
        <v>12</v>
      </c>
      <c r="K2701" s="2" t="s">
        <v>12</v>
      </c>
    </row>
    <row r="2702" spans="1:11" ht="12.5" x14ac:dyDescent="0.25">
      <c r="A2702" s="3" t="e">
        <f ca="1"/>
        <v>#NAME?</v>
      </c>
      <c r="B2702" s="2" t="s">
        <v>12</v>
      </c>
      <c r="C2702" s="2" t="s">
        <v>12</v>
      </c>
      <c r="D2702" s="2" t="s">
        <v>12</v>
      </c>
      <c r="E2702" s="2" t="s">
        <v>12</v>
      </c>
      <c r="F2702" s="2" t="s">
        <v>12</v>
      </c>
      <c r="G2702" s="2" t="s">
        <v>12</v>
      </c>
      <c r="H2702" s="2" t="s">
        <v>12</v>
      </c>
      <c r="I2702" s="2" t="s">
        <v>12</v>
      </c>
      <c r="J2702" s="2" t="s">
        <v>12</v>
      </c>
      <c r="K2702" s="2" t="s">
        <v>12</v>
      </c>
    </row>
    <row r="2703" spans="1:11" ht="12.5" x14ac:dyDescent="0.25">
      <c r="A2703" s="3" t="e">
        <f ca="1"/>
        <v>#NAME?</v>
      </c>
      <c r="B2703" s="2" t="s">
        <v>12</v>
      </c>
      <c r="C2703" s="2" t="s">
        <v>12</v>
      </c>
      <c r="D2703" s="2" t="s">
        <v>12</v>
      </c>
      <c r="E2703" s="2" t="s">
        <v>12</v>
      </c>
      <c r="F2703" s="2" t="s">
        <v>12</v>
      </c>
      <c r="G2703" s="2" t="s">
        <v>12</v>
      </c>
      <c r="H2703" s="2" t="s">
        <v>12</v>
      </c>
      <c r="I2703" s="2" t="s">
        <v>12</v>
      </c>
      <c r="J2703" s="2" t="s">
        <v>12</v>
      </c>
      <c r="K2703" s="2" t="s">
        <v>12</v>
      </c>
    </row>
    <row r="2704" spans="1:11" ht="12.5" x14ac:dyDescent="0.25">
      <c r="A2704" s="3" t="e">
        <f ca="1"/>
        <v>#NAME?</v>
      </c>
      <c r="B2704" s="2" t="s">
        <v>12</v>
      </c>
      <c r="C2704" s="2" t="s">
        <v>12</v>
      </c>
      <c r="D2704" s="2" t="s">
        <v>12</v>
      </c>
      <c r="E2704" s="2" t="s">
        <v>12</v>
      </c>
      <c r="F2704" s="2" t="s">
        <v>12</v>
      </c>
      <c r="G2704" s="2" t="s">
        <v>12</v>
      </c>
      <c r="H2704" s="2" t="s">
        <v>12</v>
      </c>
      <c r="I2704" s="2" t="s">
        <v>12</v>
      </c>
      <c r="J2704" s="2" t="s">
        <v>12</v>
      </c>
      <c r="K2704" s="2" t="s">
        <v>12</v>
      </c>
    </row>
    <row r="2705" spans="1:11" ht="12.5" x14ac:dyDescent="0.25">
      <c r="A2705" s="3" t="e">
        <f ca="1"/>
        <v>#NAME?</v>
      </c>
      <c r="B2705" s="2" t="s">
        <v>12</v>
      </c>
      <c r="C2705" s="2" t="s">
        <v>12</v>
      </c>
      <c r="D2705" s="2" t="s">
        <v>12</v>
      </c>
      <c r="E2705" s="2" t="s">
        <v>12</v>
      </c>
      <c r="F2705" s="2" t="s">
        <v>12</v>
      </c>
      <c r="G2705" s="2" t="s">
        <v>12</v>
      </c>
      <c r="H2705" s="2" t="s">
        <v>12</v>
      </c>
      <c r="I2705" s="2" t="s">
        <v>12</v>
      </c>
      <c r="J2705" s="2" t="s">
        <v>12</v>
      </c>
      <c r="K2705" s="2" t="s">
        <v>12</v>
      </c>
    </row>
    <row r="2706" spans="1:11" ht="12.5" x14ac:dyDescent="0.25">
      <c r="A2706" s="3" t="e">
        <f ca="1"/>
        <v>#NAME?</v>
      </c>
      <c r="B2706" s="2" t="s">
        <v>12</v>
      </c>
      <c r="C2706" s="2" t="s">
        <v>12</v>
      </c>
      <c r="D2706" s="2" t="s">
        <v>12</v>
      </c>
      <c r="E2706" s="2" t="s">
        <v>12</v>
      </c>
      <c r="F2706" s="2" t="s">
        <v>12</v>
      </c>
      <c r="G2706" s="2" t="s">
        <v>12</v>
      </c>
      <c r="H2706" s="2" t="s">
        <v>12</v>
      </c>
      <c r="I2706" s="2" t="s">
        <v>12</v>
      </c>
      <c r="J2706" s="2" t="s">
        <v>12</v>
      </c>
      <c r="K2706" s="2" t="s">
        <v>12</v>
      </c>
    </row>
    <row r="2707" spans="1:11" ht="12.5" x14ac:dyDescent="0.25">
      <c r="A2707" s="3" t="e">
        <f ca="1"/>
        <v>#NAME?</v>
      </c>
      <c r="B2707" s="2" t="s">
        <v>12</v>
      </c>
      <c r="C2707" s="2" t="s">
        <v>12</v>
      </c>
      <c r="D2707" s="2" t="s">
        <v>12</v>
      </c>
      <c r="E2707" s="2" t="s">
        <v>12</v>
      </c>
      <c r="F2707" s="2" t="s">
        <v>12</v>
      </c>
      <c r="G2707" s="2" t="s">
        <v>12</v>
      </c>
      <c r="H2707" s="2" t="s">
        <v>12</v>
      </c>
      <c r="I2707" s="2" t="s">
        <v>12</v>
      </c>
      <c r="J2707" s="2" t="s">
        <v>12</v>
      </c>
      <c r="K2707" s="2" t="s">
        <v>12</v>
      </c>
    </row>
    <row r="2708" spans="1:11" ht="12.5" x14ac:dyDescent="0.25">
      <c r="A2708" s="3" t="e">
        <f ca="1"/>
        <v>#NAME?</v>
      </c>
      <c r="B2708" s="2" t="s">
        <v>12</v>
      </c>
      <c r="C2708" s="2" t="s">
        <v>12</v>
      </c>
      <c r="D2708" s="2" t="s">
        <v>12</v>
      </c>
      <c r="E2708" s="2" t="s">
        <v>12</v>
      </c>
      <c r="F2708" s="2" t="s">
        <v>12</v>
      </c>
      <c r="G2708" s="2" t="s">
        <v>12</v>
      </c>
      <c r="H2708" s="2" t="s">
        <v>12</v>
      </c>
      <c r="I2708" s="2" t="s">
        <v>12</v>
      </c>
      <c r="J2708" s="2" t="s">
        <v>12</v>
      </c>
      <c r="K2708" s="2" t="s">
        <v>12</v>
      </c>
    </row>
    <row r="2709" spans="1:11" ht="12.5" x14ac:dyDescent="0.25">
      <c r="A2709" s="3" t="e">
        <f ca="1"/>
        <v>#NAME?</v>
      </c>
      <c r="B2709" s="2" t="s">
        <v>12</v>
      </c>
      <c r="C2709" s="2" t="s">
        <v>12</v>
      </c>
      <c r="D2709" s="2" t="s">
        <v>12</v>
      </c>
      <c r="E2709" s="2" t="s">
        <v>12</v>
      </c>
      <c r="F2709" s="2" t="s">
        <v>12</v>
      </c>
      <c r="G2709" s="2" t="s">
        <v>12</v>
      </c>
      <c r="H2709" s="2" t="s">
        <v>12</v>
      </c>
      <c r="I2709" s="2" t="s">
        <v>12</v>
      </c>
      <c r="J2709" s="2" t="s">
        <v>12</v>
      </c>
      <c r="K2709" s="2" t="s">
        <v>12</v>
      </c>
    </row>
    <row r="2710" spans="1:11" ht="12.5" x14ac:dyDescent="0.25">
      <c r="A2710" s="3" t="e">
        <f ca="1"/>
        <v>#NAME?</v>
      </c>
      <c r="B2710" s="2" t="s">
        <v>12</v>
      </c>
      <c r="C2710" s="2" t="s">
        <v>12</v>
      </c>
      <c r="D2710" s="2" t="s">
        <v>12</v>
      </c>
      <c r="E2710" s="2" t="s">
        <v>12</v>
      </c>
      <c r="F2710" s="2" t="s">
        <v>12</v>
      </c>
      <c r="G2710" s="2" t="s">
        <v>12</v>
      </c>
      <c r="H2710" s="2" t="s">
        <v>12</v>
      </c>
      <c r="I2710" s="2" t="s">
        <v>12</v>
      </c>
      <c r="J2710" s="2" t="s">
        <v>12</v>
      </c>
      <c r="K2710" s="2" t="s">
        <v>12</v>
      </c>
    </row>
    <row r="2711" spans="1:11" ht="12.5" x14ac:dyDescent="0.25">
      <c r="A2711" s="3" t="e">
        <f ca="1"/>
        <v>#NAME?</v>
      </c>
      <c r="B2711" s="2" t="s">
        <v>12</v>
      </c>
      <c r="C2711" s="2" t="s">
        <v>12</v>
      </c>
      <c r="D2711" s="2" t="s">
        <v>12</v>
      </c>
      <c r="E2711" s="2" t="s">
        <v>12</v>
      </c>
      <c r="F2711" s="2" t="s">
        <v>12</v>
      </c>
      <c r="G2711" s="2" t="s">
        <v>12</v>
      </c>
      <c r="H2711" s="2" t="s">
        <v>12</v>
      </c>
      <c r="I2711" s="2" t="s">
        <v>12</v>
      </c>
      <c r="J2711" s="2" t="s">
        <v>12</v>
      </c>
      <c r="K2711" s="2" t="s">
        <v>12</v>
      </c>
    </row>
    <row r="2712" spans="1:11" ht="12.5" x14ac:dyDescent="0.25">
      <c r="A2712" s="3" t="e">
        <f ca="1"/>
        <v>#NAME?</v>
      </c>
      <c r="B2712" s="2" t="s">
        <v>12</v>
      </c>
      <c r="C2712" s="2" t="s">
        <v>12</v>
      </c>
      <c r="D2712" s="2" t="s">
        <v>12</v>
      </c>
      <c r="E2712" s="2" t="s">
        <v>12</v>
      </c>
      <c r="F2712" s="2" t="s">
        <v>12</v>
      </c>
      <c r="G2712" s="2" t="s">
        <v>12</v>
      </c>
      <c r="H2712" s="2" t="s">
        <v>12</v>
      </c>
      <c r="I2712" s="2" t="s">
        <v>12</v>
      </c>
      <c r="J2712" s="2" t="s">
        <v>12</v>
      </c>
      <c r="K2712" s="2" t="s">
        <v>12</v>
      </c>
    </row>
    <row r="2713" spans="1:11" ht="12.5" x14ac:dyDescent="0.25">
      <c r="A2713" s="3" t="e">
        <f ca="1"/>
        <v>#NAME?</v>
      </c>
      <c r="B2713" s="2" t="s">
        <v>12</v>
      </c>
      <c r="C2713" s="2" t="s">
        <v>12</v>
      </c>
      <c r="D2713" s="2" t="s">
        <v>12</v>
      </c>
      <c r="E2713" s="2" t="s">
        <v>12</v>
      </c>
      <c r="F2713" s="2" t="s">
        <v>12</v>
      </c>
      <c r="G2713" s="2" t="s">
        <v>12</v>
      </c>
      <c r="H2713" s="2" t="s">
        <v>12</v>
      </c>
      <c r="I2713" s="2" t="s">
        <v>12</v>
      </c>
      <c r="J2713" s="2" t="s">
        <v>12</v>
      </c>
      <c r="K2713" s="2" t="s">
        <v>12</v>
      </c>
    </row>
    <row r="2714" spans="1:11" ht="12.5" x14ac:dyDescent="0.25">
      <c r="A2714" s="3" t="e">
        <f ca="1"/>
        <v>#NAME?</v>
      </c>
      <c r="B2714" s="2" t="s">
        <v>12</v>
      </c>
      <c r="C2714" s="2" t="s">
        <v>12</v>
      </c>
      <c r="D2714" s="2" t="s">
        <v>12</v>
      </c>
      <c r="E2714" s="2" t="s">
        <v>12</v>
      </c>
      <c r="F2714" s="2" t="s">
        <v>12</v>
      </c>
      <c r="G2714" s="2" t="s">
        <v>12</v>
      </c>
      <c r="H2714" s="2" t="s">
        <v>12</v>
      </c>
      <c r="I2714" s="2" t="s">
        <v>12</v>
      </c>
      <c r="J2714" s="2" t="s">
        <v>12</v>
      </c>
      <c r="K2714" s="2" t="s">
        <v>12</v>
      </c>
    </row>
    <row r="2715" spans="1:11" ht="12.5" x14ac:dyDescent="0.25">
      <c r="A2715" s="3" t="e">
        <f ca="1"/>
        <v>#NAME?</v>
      </c>
      <c r="B2715" s="2" t="s">
        <v>12</v>
      </c>
      <c r="C2715" s="2" t="s">
        <v>12</v>
      </c>
      <c r="D2715" s="2" t="s">
        <v>12</v>
      </c>
      <c r="E2715" s="2" t="s">
        <v>12</v>
      </c>
      <c r="F2715" s="2" t="s">
        <v>12</v>
      </c>
      <c r="G2715" s="2" t="s">
        <v>12</v>
      </c>
      <c r="H2715" s="2" t="s">
        <v>12</v>
      </c>
      <c r="I2715" s="2" t="s">
        <v>12</v>
      </c>
      <c r="J2715" s="2" t="s">
        <v>12</v>
      </c>
      <c r="K2715" s="2" t="s">
        <v>12</v>
      </c>
    </row>
    <row r="2716" spans="1:11" ht="12.5" x14ac:dyDescent="0.25">
      <c r="A2716" s="3" t="e">
        <f ca="1"/>
        <v>#NAME?</v>
      </c>
      <c r="B2716" s="2" t="s">
        <v>12</v>
      </c>
      <c r="C2716" s="2" t="s">
        <v>12</v>
      </c>
      <c r="D2716" s="2" t="s">
        <v>12</v>
      </c>
      <c r="E2716" s="2" t="s">
        <v>12</v>
      </c>
      <c r="F2716" s="2" t="s">
        <v>12</v>
      </c>
      <c r="G2716" s="2" t="s">
        <v>12</v>
      </c>
      <c r="H2716" s="2" t="s">
        <v>12</v>
      </c>
      <c r="I2716" s="2" t="s">
        <v>12</v>
      </c>
      <c r="J2716" s="2" t="s">
        <v>12</v>
      </c>
      <c r="K2716" s="2" t="s">
        <v>12</v>
      </c>
    </row>
    <row r="2717" spans="1:11" ht="12.5" x14ac:dyDescent="0.25">
      <c r="A2717" s="3" t="e">
        <f ca="1"/>
        <v>#NAME?</v>
      </c>
      <c r="B2717" s="2" t="s">
        <v>12</v>
      </c>
      <c r="C2717" s="2" t="s">
        <v>12</v>
      </c>
      <c r="D2717" s="2" t="s">
        <v>12</v>
      </c>
      <c r="E2717" s="2" t="s">
        <v>12</v>
      </c>
      <c r="F2717" s="2" t="s">
        <v>12</v>
      </c>
      <c r="G2717" s="2" t="s">
        <v>12</v>
      </c>
      <c r="H2717" s="2" t="s">
        <v>12</v>
      </c>
      <c r="I2717" s="2" t="s">
        <v>12</v>
      </c>
      <c r="J2717" s="2" t="s">
        <v>12</v>
      </c>
      <c r="K2717" s="2" t="s">
        <v>12</v>
      </c>
    </row>
    <row r="2718" spans="1:11" ht="12.5" x14ac:dyDescent="0.25">
      <c r="A2718" s="3" t="e">
        <f ca="1"/>
        <v>#NAME?</v>
      </c>
      <c r="B2718" s="2" t="s">
        <v>12</v>
      </c>
      <c r="C2718" s="2" t="s">
        <v>12</v>
      </c>
      <c r="D2718" s="2" t="s">
        <v>12</v>
      </c>
      <c r="E2718" s="2" t="s">
        <v>12</v>
      </c>
      <c r="F2718" s="2" t="s">
        <v>12</v>
      </c>
      <c r="G2718" s="2" t="s">
        <v>12</v>
      </c>
      <c r="H2718" s="2" t="s">
        <v>12</v>
      </c>
      <c r="I2718" s="2" t="s">
        <v>12</v>
      </c>
      <c r="J2718" s="2" t="s">
        <v>12</v>
      </c>
      <c r="K2718" s="2" t="s">
        <v>12</v>
      </c>
    </row>
    <row r="2719" spans="1:11" ht="12.5" x14ac:dyDescent="0.25">
      <c r="A2719" s="3" t="e">
        <f ca="1"/>
        <v>#NAME?</v>
      </c>
      <c r="B2719" s="2" t="s">
        <v>12</v>
      </c>
      <c r="C2719" s="2" t="s">
        <v>12</v>
      </c>
      <c r="D2719" s="2" t="s">
        <v>12</v>
      </c>
      <c r="E2719" s="2" t="s">
        <v>12</v>
      </c>
      <c r="F2719" s="2" t="s">
        <v>12</v>
      </c>
      <c r="G2719" s="2" t="s">
        <v>12</v>
      </c>
      <c r="H2719" s="2" t="s">
        <v>12</v>
      </c>
      <c r="I2719" s="2" t="s">
        <v>12</v>
      </c>
      <c r="J2719" s="2" t="s">
        <v>12</v>
      </c>
      <c r="K2719" s="2" t="s">
        <v>12</v>
      </c>
    </row>
    <row r="2720" spans="1:11" ht="12.5" x14ac:dyDescent="0.25">
      <c r="A2720" s="3" t="e">
        <f ca="1"/>
        <v>#NAME?</v>
      </c>
      <c r="B2720" s="2" t="s">
        <v>12</v>
      </c>
      <c r="C2720" s="2" t="s">
        <v>12</v>
      </c>
      <c r="D2720" s="2" t="s">
        <v>12</v>
      </c>
      <c r="E2720" s="2" t="s">
        <v>12</v>
      </c>
      <c r="F2720" s="2" t="s">
        <v>12</v>
      </c>
      <c r="G2720" s="2" t="s">
        <v>12</v>
      </c>
      <c r="H2720" s="2" t="s">
        <v>12</v>
      </c>
      <c r="I2720" s="2" t="s">
        <v>12</v>
      </c>
      <c r="J2720" s="2" t="s">
        <v>12</v>
      </c>
      <c r="K2720" s="2" t="s">
        <v>12</v>
      </c>
    </row>
    <row r="2721" spans="1:11" ht="12.5" x14ac:dyDescent="0.25">
      <c r="A2721" s="3" t="e">
        <f ca="1"/>
        <v>#NAME?</v>
      </c>
      <c r="B2721" s="2" t="s">
        <v>12</v>
      </c>
      <c r="C2721" s="2" t="s">
        <v>12</v>
      </c>
      <c r="D2721" s="2" t="s">
        <v>12</v>
      </c>
      <c r="E2721" s="2" t="s">
        <v>12</v>
      </c>
      <c r="F2721" s="2" t="s">
        <v>12</v>
      </c>
      <c r="G2721" s="2" t="s">
        <v>12</v>
      </c>
      <c r="H2721" s="2" t="s">
        <v>12</v>
      </c>
      <c r="I2721" s="2" t="s">
        <v>12</v>
      </c>
      <c r="J2721" s="2" t="s">
        <v>12</v>
      </c>
      <c r="K2721" s="2" t="s">
        <v>12</v>
      </c>
    </row>
    <row r="2722" spans="1:11" ht="12.5" x14ac:dyDescent="0.25">
      <c r="A2722" s="3" t="e">
        <f ca="1"/>
        <v>#NAME?</v>
      </c>
      <c r="B2722" s="2" t="s">
        <v>12</v>
      </c>
      <c r="C2722" s="2" t="s">
        <v>12</v>
      </c>
      <c r="D2722" s="2" t="s">
        <v>12</v>
      </c>
      <c r="E2722" s="2" t="s">
        <v>12</v>
      </c>
      <c r="F2722" s="2" t="s">
        <v>12</v>
      </c>
      <c r="G2722" s="2" t="s">
        <v>12</v>
      </c>
      <c r="H2722" s="2" t="s">
        <v>12</v>
      </c>
      <c r="I2722" s="2" t="s">
        <v>12</v>
      </c>
      <c r="J2722" s="2" t="s">
        <v>12</v>
      </c>
      <c r="K2722" s="2" t="s">
        <v>12</v>
      </c>
    </row>
    <row r="2723" spans="1:11" ht="12.5" x14ac:dyDescent="0.25">
      <c r="A2723" s="3" t="e">
        <f ca="1"/>
        <v>#NAME?</v>
      </c>
      <c r="B2723" s="2" t="s">
        <v>12</v>
      </c>
      <c r="C2723" s="2" t="s">
        <v>12</v>
      </c>
      <c r="D2723" s="2" t="s">
        <v>12</v>
      </c>
      <c r="E2723" s="2" t="s">
        <v>12</v>
      </c>
      <c r="F2723" s="2" t="s">
        <v>12</v>
      </c>
      <c r="G2723" s="2" t="s">
        <v>12</v>
      </c>
      <c r="H2723" s="2" t="s">
        <v>12</v>
      </c>
      <c r="I2723" s="2" t="s">
        <v>12</v>
      </c>
      <c r="J2723" s="2" t="s">
        <v>12</v>
      </c>
      <c r="K2723" s="2" t="s">
        <v>12</v>
      </c>
    </row>
    <row r="2724" spans="1:11" ht="12.5" x14ac:dyDescent="0.25">
      <c r="A2724" s="3" t="e">
        <f ca="1"/>
        <v>#NAME?</v>
      </c>
      <c r="B2724" s="2" t="s">
        <v>12</v>
      </c>
      <c r="C2724" s="2" t="s">
        <v>12</v>
      </c>
      <c r="D2724" s="2" t="s">
        <v>12</v>
      </c>
      <c r="E2724" s="2" t="s">
        <v>12</v>
      </c>
      <c r="F2724" s="2" t="s">
        <v>12</v>
      </c>
      <c r="G2724" s="2" t="s">
        <v>12</v>
      </c>
      <c r="H2724" s="2" t="s">
        <v>12</v>
      </c>
      <c r="I2724" s="2" t="s">
        <v>12</v>
      </c>
      <c r="J2724" s="2" t="s">
        <v>12</v>
      </c>
      <c r="K2724" s="2" t="s">
        <v>12</v>
      </c>
    </row>
    <row r="2725" spans="1:11" ht="12.5" x14ac:dyDescent="0.25">
      <c r="A2725" s="3" t="e">
        <f ca="1"/>
        <v>#NAME?</v>
      </c>
      <c r="B2725" s="2" t="s">
        <v>12</v>
      </c>
      <c r="C2725" s="2" t="s">
        <v>12</v>
      </c>
      <c r="D2725" s="2" t="s">
        <v>12</v>
      </c>
      <c r="E2725" s="2" t="s">
        <v>12</v>
      </c>
      <c r="F2725" s="2" t="s">
        <v>12</v>
      </c>
      <c r="G2725" s="2" t="s">
        <v>12</v>
      </c>
      <c r="H2725" s="2" t="s">
        <v>12</v>
      </c>
      <c r="I2725" s="2" t="s">
        <v>12</v>
      </c>
      <c r="J2725" s="2" t="s">
        <v>12</v>
      </c>
      <c r="K2725" s="2" t="s">
        <v>12</v>
      </c>
    </row>
    <row r="2726" spans="1:11" ht="12.5" x14ac:dyDescent="0.25">
      <c r="A2726" s="3" t="e">
        <f ca="1"/>
        <v>#NAME?</v>
      </c>
      <c r="B2726" s="2" t="s">
        <v>12</v>
      </c>
      <c r="C2726" s="2" t="s">
        <v>12</v>
      </c>
      <c r="D2726" s="2" t="s">
        <v>12</v>
      </c>
      <c r="E2726" s="2" t="s">
        <v>12</v>
      </c>
      <c r="F2726" s="2" t="s">
        <v>12</v>
      </c>
      <c r="G2726" s="2" t="s">
        <v>12</v>
      </c>
      <c r="H2726" s="2" t="s">
        <v>12</v>
      </c>
      <c r="I2726" s="2" t="s">
        <v>12</v>
      </c>
      <c r="J2726" s="2" t="s">
        <v>12</v>
      </c>
      <c r="K2726" s="2" t="s">
        <v>12</v>
      </c>
    </row>
    <row r="2727" spans="1:11" ht="12.5" x14ac:dyDescent="0.25">
      <c r="A2727" s="3" t="e">
        <f ca="1"/>
        <v>#NAME?</v>
      </c>
      <c r="B2727" s="2" t="s">
        <v>12</v>
      </c>
      <c r="C2727" s="2" t="s">
        <v>12</v>
      </c>
      <c r="D2727" s="2" t="s">
        <v>12</v>
      </c>
      <c r="E2727" s="2" t="s">
        <v>12</v>
      </c>
      <c r="F2727" s="2" t="s">
        <v>12</v>
      </c>
      <c r="G2727" s="2" t="s">
        <v>12</v>
      </c>
      <c r="H2727" s="2" t="s">
        <v>12</v>
      </c>
      <c r="I2727" s="2" t="s">
        <v>12</v>
      </c>
      <c r="J2727" s="2" t="s">
        <v>12</v>
      </c>
      <c r="K2727" s="2" t="s">
        <v>12</v>
      </c>
    </row>
    <row r="2728" spans="1:11" ht="12.5" x14ac:dyDescent="0.25">
      <c r="A2728" s="3" t="e">
        <f ca="1"/>
        <v>#NAME?</v>
      </c>
      <c r="B2728" s="2" t="s">
        <v>12</v>
      </c>
      <c r="C2728" s="2" t="s">
        <v>12</v>
      </c>
      <c r="D2728" s="2" t="s">
        <v>12</v>
      </c>
      <c r="E2728" s="2" t="s">
        <v>12</v>
      </c>
      <c r="F2728" s="2" t="s">
        <v>12</v>
      </c>
      <c r="G2728" s="2" t="s">
        <v>12</v>
      </c>
      <c r="H2728" s="2" t="s">
        <v>12</v>
      </c>
      <c r="I2728" s="2" t="s">
        <v>12</v>
      </c>
      <c r="J2728" s="2" t="s">
        <v>12</v>
      </c>
      <c r="K2728" s="2" t="s">
        <v>12</v>
      </c>
    </row>
    <row r="2729" spans="1:11" ht="12.5" x14ac:dyDescent="0.25">
      <c r="A2729" s="3" t="e">
        <f ca="1"/>
        <v>#NAME?</v>
      </c>
      <c r="B2729" s="2" t="s">
        <v>12</v>
      </c>
      <c r="C2729" s="2" t="s">
        <v>12</v>
      </c>
      <c r="D2729" s="2" t="s">
        <v>12</v>
      </c>
      <c r="E2729" s="2" t="s">
        <v>12</v>
      </c>
      <c r="F2729" s="2" t="s">
        <v>12</v>
      </c>
      <c r="G2729" s="2" t="s">
        <v>12</v>
      </c>
      <c r="H2729" s="2" t="s">
        <v>12</v>
      </c>
      <c r="I2729" s="2" t="s">
        <v>12</v>
      </c>
      <c r="J2729" s="2" t="s">
        <v>12</v>
      </c>
      <c r="K2729" s="2" t="s">
        <v>12</v>
      </c>
    </row>
    <row r="2730" spans="1:11" ht="12.5" x14ac:dyDescent="0.25">
      <c r="A2730" s="3" t="e">
        <f ca="1"/>
        <v>#NAME?</v>
      </c>
      <c r="B2730" s="2" t="s">
        <v>12</v>
      </c>
      <c r="C2730" s="2" t="s">
        <v>12</v>
      </c>
      <c r="D2730" s="2" t="s">
        <v>12</v>
      </c>
      <c r="E2730" s="2" t="s">
        <v>12</v>
      </c>
      <c r="F2730" s="2" t="s">
        <v>12</v>
      </c>
      <c r="G2730" s="2" t="s">
        <v>12</v>
      </c>
      <c r="H2730" s="2" t="s">
        <v>12</v>
      </c>
      <c r="I2730" s="2" t="s">
        <v>12</v>
      </c>
      <c r="J2730" s="2" t="s">
        <v>12</v>
      </c>
      <c r="K2730" s="2" t="s">
        <v>12</v>
      </c>
    </row>
    <row r="2731" spans="1:11" ht="12.5" x14ac:dyDescent="0.25">
      <c r="A2731" s="3" t="e">
        <f ca="1"/>
        <v>#NAME?</v>
      </c>
      <c r="B2731" s="2" t="s">
        <v>12</v>
      </c>
      <c r="C2731" s="2" t="s">
        <v>12</v>
      </c>
      <c r="D2731" s="2" t="s">
        <v>12</v>
      </c>
      <c r="E2731" s="2" t="s">
        <v>12</v>
      </c>
      <c r="F2731" s="2" t="s">
        <v>12</v>
      </c>
      <c r="G2731" s="2" t="s">
        <v>12</v>
      </c>
      <c r="H2731" s="2" t="s">
        <v>12</v>
      </c>
      <c r="I2731" s="2" t="s">
        <v>12</v>
      </c>
      <c r="J2731" s="2" t="s">
        <v>12</v>
      </c>
      <c r="K2731" s="2" t="s">
        <v>12</v>
      </c>
    </row>
    <row r="2732" spans="1:11" ht="12.5" x14ac:dyDescent="0.25">
      <c r="A2732" s="3" t="e">
        <f ca="1"/>
        <v>#NAME?</v>
      </c>
      <c r="B2732" s="2" t="s">
        <v>12</v>
      </c>
      <c r="C2732" s="2" t="s">
        <v>12</v>
      </c>
      <c r="D2732" s="2" t="s">
        <v>12</v>
      </c>
      <c r="E2732" s="2" t="s">
        <v>12</v>
      </c>
      <c r="F2732" s="2" t="s">
        <v>12</v>
      </c>
      <c r="G2732" s="2" t="s">
        <v>12</v>
      </c>
      <c r="H2732" s="2" t="s">
        <v>12</v>
      </c>
      <c r="I2732" s="2" t="s">
        <v>12</v>
      </c>
      <c r="J2732" s="2" t="s">
        <v>12</v>
      </c>
      <c r="K2732" s="2" t="s">
        <v>12</v>
      </c>
    </row>
    <row r="2733" spans="1:11" ht="12.5" x14ac:dyDescent="0.25">
      <c r="A2733" s="3" t="e">
        <f ca="1"/>
        <v>#NAME?</v>
      </c>
      <c r="B2733" s="2" t="s">
        <v>12</v>
      </c>
      <c r="C2733" s="2" t="s">
        <v>12</v>
      </c>
      <c r="D2733" s="2" t="s">
        <v>12</v>
      </c>
      <c r="E2733" s="2" t="s">
        <v>12</v>
      </c>
      <c r="F2733" s="2" t="s">
        <v>12</v>
      </c>
      <c r="G2733" s="2" t="s">
        <v>12</v>
      </c>
      <c r="H2733" s="2" t="s">
        <v>12</v>
      </c>
      <c r="I2733" s="2" t="s">
        <v>12</v>
      </c>
      <c r="J2733" s="2" t="s">
        <v>12</v>
      </c>
      <c r="K2733" s="2" t="s">
        <v>12</v>
      </c>
    </row>
    <row r="2734" spans="1:11" ht="12.5" x14ac:dyDescent="0.25">
      <c r="A2734" s="3" t="e">
        <f ca="1"/>
        <v>#NAME?</v>
      </c>
      <c r="B2734" s="2" t="s">
        <v>12</v>
      </c>
      <c r="C2734" s="2" t="s">
        <v>12</v>
      </c>
      <c r="D2734" s="2" t="s">
        <v>12</v>
      </c>
      <c r="E2734" s="2" t="s">
        <v>12</v>
      </c>
      <c r="F2734" s="2" t="s">
        <v>12</v>
      </c>
      <c r="G2734" s="2" t="s">
        <v>12</v>
      </c>
      <c r="H2734" s="2" t="s">
        <v>12</v>
      </c>
      <c r="I2734" s="2" t="s">
        <v>12</v>
      </c>
      <c r="J2734" s="2" t="s">
        <v>12</v>
      </c>
      <c r="K2734" s="2" t="s">
        <v>12</v>
      </c>
    </row>
    <row r="2735" spans="1:11" ht="12.5" x14ac:dyDescent="0.25">
      <c r="A2735" s="3" t="e">
        <f ca="1"/>
        <v>#NAME?</v>
      </c>
      <c r="B2735" s="2" t="s">
        <v>12</v>
      </c>
      <c r="C2735" s="2" t="s">
        <v>12</v>
      </c>
      <c r="D2735" s="2" t="s">
        <v>12</v>
      </c>
      <c r="E2735" s="2" t="s">
        <v>12</v>
      </c>
      <c r="F2735" s="2" t="s">
        <v>12</v>
      </c>
      <c r="G2735" s="2" t="s">
        <v>12</v>
      </c>
      <c r="H2735" s="2" t="s">
        <v>12</v>
      </c>
      <c r="I2735" s="2" t="s">
        <v>12</v>
      </c>
      <c r="J2735" s="2" t="s">
        <v>12</v>
      </c>
      <c r="K2735" s="2" t="s">
        <v>12</v>
      </c>
    </row>
    <row r="2736" spans="1:11" ht="12.5" x14ac:dyDescent="0.25">
      <c r="A2736" s="3" t="e">
        <f ca="1"/>
        <v>#NAME?</v>
      </c>
      <c r="B2736" s="2" t="s">
        <v>12</v>
      </c>
      <c r="C2736" s="2" t="s">
        <v>12</v>
      </c>
      <c r="D2736" s="2" t="s">
        <v>12</v>
      </c>
      <c r="E2736" s="2" t="s">
        <v>12</v>
      </c>
      <c r="F2736" s="2" t="s">
        <v>12</v>
      </c>
      <c r="G2736" s="2" t="s">
        <v>12</v>
      </c>
      <c r="H2736" s="2" t="s">
        <v>12</v>
      </c>
      <c r="I2736" s="2" t="s">
        <v>12</v>
      </c>
      <c r="J2736" s="2" t="s">
        <v>12</v>
      </c>
      <c r="K2736" s="2" t="s">
        <v>12</v>
      </c>
    </row>
    <row r="2737" spans="1:11" ht="12.5" x14ac:dyDescent="0.25">
      <c r="A2737" s="3" t="e">
        <f ca="1"/>
        <v>#NAME?</v>
      </c>
      <c r="B2737" s="2" t="s">
        <v>12</v>
      </c>
      <c r="C2737" s="2" t="s">
        <v>12</v>
      </c>
      <c r="D2737" s="2" t="s">
        <v>12</v>
      </c>
      <c r="E2737" s="2" t="s">
        <v>12</v>
      </c>
      <c r="F2737" s="2" t="s">
        <v>12</v>
      </c>
      <c r="G2737" s="2" t="s">
        <v>12</v>
      </c>
      <c r="H2737" s="2" t="s">
        <v>12</v>
      </c>
      <c r="I2737" s="2" t="s">
        <v>12</v>
      </c>
      <c r="J2737" s="2" t="s">
        <v>12</v>
      </c>
      <c r="K2737" s="2" t="s">
        <v>12</v>
      </c>
    </row>
    <row r="2738" spans="1:11" ht="12.5" x14ac:dyDescent="0.25">
      <c r="A2738" s="3" t="e">
        <f ca="1"/>
        <v>#NAME?</v>
      </c>
      <c r="B2738" s="2" t="s">
        <v>12</v>
      </c>
      <c r="C2738" s="2" t="s">
        <v>12</v>
      </c>
      <c r="D2738" s="2" t="s">
        <v>12</v>
      </c>
      <c r="E2738" s="2" t="s">
        <v>12</v>
      </c>
      <c r="F2738" s="2" t="s">
        <v>12</v>
      </c>
      <c r="G2738" s="2" t="s">
        <v>12</v>
      </c>
      <c r="H2738" s="2" t="s">
        <v>12</v>
      </c>
      <c r="I2738" s="2" t="s">
        <v>12</v>
      </c>
      <c r="J2738" s="2" t="s">
        <v>12</v>
      </c>
      <c r="K2738" s="2" t="s">
        <v>12</v>
      </c>
    </row>
    <row r="2739" spans="1:11" ht="12.5" x14ac:dyDescent="0.25">
      <c r="A2739" s="3" t="e">
        <f ca="1"/>
        <v>#NAME?</v>
      </c>
      <c r="B2739" s="2" t="s">
        <v>12</v>
      </c>
      <c r="C2739" s="2" t="s">
        <v>12</v>
      </c>
      <c r="D2739" s="2" t="s">
        <v>12</v>
      </c>
      <c r="E2739" s="2" t="s">
        <v>12</v>
      </c>
      <c r="F2739" s="2" t="s">
        <v>12</v>
      </c>
      <c r="G2739" s="2" t="s">
        <v>12</v>
      </c>
      <c r="H2739" s="2" t="s">
        <v>12</v>
      </c>
      <c r="I2739" s="2" t="s">
        <v>12</v>
      </c>
      <c r="J2739" s="2" t="s">
        <v>12</v>
      </c>
      <c r="K2739" s="2" t="s">
        <v>12</v>
      </c>
    </row>
    <row r="2740" spans="1:11" ht="12.5" x14ac:dyDescent="0.25">
      <c r="A2740" s="3" t="e">
        <f ca="1"/>
        <v>#NAME?</v>
      </c>
      <c r="B2740" s="2" t="s">
        <v>12</v>
      </c>
      <c r="C2740" s="2" t="s">
        <v>12</v>
      </c>
      <c r="D2740" s="2" t="s">
        <v>12</v>
      </c>
      <c r="E2740" s="2" t="s">
        <v>12</v>
      </c>
      <c r="F2740" s="2" t="s">
        <v>12</v>
      </c>
      <c r="G2740" s="2" t="s">
        <v>12</v>
      </c>
      <c r="H2740" s="2" t="s">
        <v>12</v>
      </c>
      <c r="I2740" s="2" t="s">
        <v>12</v>
      </c>
      <c r="J2740" s="2" t="s">
        <v>12</v>
      </c>
      <c r="K2740" s="2" t="s">
        <v>12</v>
      </c>
    </row>
    <row r="2741" spans="1:11" ht="12.5" x14ac:dyDescent="0.25">
      <c r="A2741" s="3" t="e">
        <f ca="1"/>
        <v>#NAME?</v>
      </c>
      <c r="B2741" s="2" t="s">
        <v>12</v>
      </c>
      <c r="C2741" s="2" t="s">
        <v>12</v>
      </c>
      <c r="D2741" s="2" t="s">
        <v>12</v>
      </c>
      <c r="E2741" s="2" t="s">
        <v>12</v>
      </c>
      <c r="F2741" s="2" t="s">
        <v>12</v>
      </c>
      <c r="G2741" s="2" t="s">
        <v>12</v>
      </c>
      <c r="H2741" s="2" t="s">
        <v>12</v>
      </c>
      <c r="I2741" s="2" t="s">
        <v>12</v>
      </c>
      <c r="J2741" s="2" t="s">
        <v>12</v>
      </c>
      <c r="K2741" s="2" t="s">
        <v>12</v>
      </c>
    </row>
    <row r="2742" spans="1:11" ht="12.5" x14ac:dyDescent="0.25">
      <c r="A2742" s="3" t="e">
        <f ca="1"/>
        <v>#NAME?</v>
      </c>
      <c r="B2742" s="2" t="s">
        <v>12</v>
      </c>
      <c r="C2742" s="2" t="s">
        <v>12</v>
      </c>
      <c r="D2742" s="2" t="s">
        <v>12</v>
      </c>
      <c r="E2742" s="2" t="s">
        <v>12</v>
      </c>
      <c r="F2742" s="2" t="s">
        <v>12</v>
      </c>
      <c r="G2742" s="2" t="s">
        <v>12</v>
      </c>
      <c r="H2742" s="2" t="s">
        <v>12</v>
      </c>
      <c r="I2742" s="2" t="s">
        <v>12</v>
      </c>
      <c r="J2742" s="2" t="s">
        <v>12</v>
      </c>
      <c r="K2742" s="2" t="s">
        <v>12</v>
      </c>
    </row>
    <row r="2743" spans="1:11" ht="12.5" x14ac:dyDescent="0.25">
      <c r="A2743" s="3" t="e">
        <f ca="1"/>
        <v>#NAME?</v>
      </c>
      <c r="B2743" s="2" t="s">
        <v>12</v>
      </c>
      <c r="C2743" s="2" t="s">
        <v>12</v>
      </c>
      <c r="D2743" s="2" t="s">
        <v>12</v>
      </c>
      <c r="E2743" s="2" t="s">
        <v>12</v>
      </c>
      <c r="F2743" s="2" t="s">
        <v>12</v>
      </c>
      <c r="G2743" s="2" t="s">
        <v>12</v>
      </c>
      <c r="H2743" s="2" t="s">
        <v>12</v>
      </c>
      <c r="I2743" s="2" t="s">
        <v>12</v>
      </c>
      <c r="J2743" s="2" t="s">
        <v>12</v>
      </c>
      <c r="K2743" s="2" t="s">
        <v>12</v>
      </c>
    </row>
    <row r="2744" spans="1:11" ht="12.5" x14ac:dyDescent="0.25">
      <c r="A2744" s="3" t="e">
        <f ca="1"/>
        <v>#NAME?</v>
      </c>
      <c r="B2744" s="2" t="s">
        <v>12</v>
      </c>
      <c r="C2744" s="2" t="s">
        <v>12</v>
      </c>
      <c r="D2744" s="2" t="s">
        <v>12</v>
      </c>
      <c r="E2744" s="2" t="s">
        <v>12</v>
      </c>
      <c r="F2744" s="2" t="s">
        <v>12</v>
      </c>
      <c r="G2744" s="2" t="s">
        <v>12</v>
      </c>
      <c r="H2744" s="2" t="s">
        <v>12</v>
      </c>
      <c r="I2744" s="2" t="s">
        <v>12</v>
      </c>
      <c r="J2744" s="2" t="s">
        <v>12</v>
      </c>
      <c r="K2744" s="2" t="s">
        <v>12</v>
      </c>
    </row>
    <row r="2745" spans="1:11" ht="12.5" x14ac:dyDescent="0.25">
      <c r="A2745" s="3" t="e">
        <f ca="1"/>
        <v>#NAME?</v>
      </c>
      <c r="B2745" s="2" t="s">
        <v>12</v>
      </c>
      <c r="C2745" s="2" t="s">
        <v>12</v>
      </c>
      <c r="D2745" s="2" t="s">
        <v>12</v>
      </c>
      <c r="E2745" s="2" t="s">
        <v>12</v>
      </c>
      <c r="F2745" s="2" t="s">
        <v>12</v>
      </c>
      <c r="G2745" s="2" t="s">
        <v>12</v>
      </c>
      <c r="H2745" s="2" t="s">
        <v>12</v>
      </c>
      <c r="I2745" s="2" t="s">
        <v>12</v>
      </c>
      <c r="J2745" s="2" t="s">
        <v>12</v>
      </c>
      <c r="K2745" s="2" t="s">
        <v>12</v>
      </c>
    </row>
    <row r="2746" spans="1:11" ht="12.5" x14ac:dyDescent="0.25">
      <c r="A2746" s="3" t="e">
        <f ca="1"/>
        <v>#NAME?</v>
      </c>
      <c r="B2746" s="2" t="s">
        <v>12</v>
      </c>
      <c r="C2746" s="2" t="s">
        <v>12</v>
      </c>
      <c r="D2746" s="2" t="s">
        <v>12</v>
      </c>
      <c r="E2746" s="2" t="s">
        <v>12</v>
      </c>
      <c r="F2746" s="2" t="s">
        <v>12</v>
      </c>
      <c r="G2746" s="2" t="s">
        <v>12</v>
      </c>
      <c r="H2746" s="2" t="s">
        <v>12</v>
      </c>
      <c r="I2746" s="2" t="s">
        <v>12</v>
      </c>
      <c r="J2746" s="2" t="s">
        <v>12</v>
      </c>
      <c r="K2746" s="2" t="s">
        <v>12</v>
      </c>
    </row>
    <row r="2747" spans="1:11" ht="12.5" x14ac:dyDescent="0.25">
      <c r="A2747" s="3" t="e">
        <f ca="1"/>
        <v>#NAME?</v>
      </c>
      <c r="B2747" s="2" t="s">
        <v>12</v>
      </c>
      <c r="C2747" s="2" t="s">
        <v>12</v>
      </c>
      <c r="D2747" s="2" t="s">
        <v>12</v>
      </c>
      <c r="E2747" s="2" t="s">
        <v>12</v>
      </c>
      <c r="F2747" s="2" t="s">
        <v>12</v>
      </c>
      <c r="G2747" s="2" t="s">
        <v>12</v>
      </c>
      <c r="H2747" s="2" t="s">
        <v>12</v>
      </c>
      <c r="I2747" s="2" t="s">
        <v>12</v>
      </c>
      <c r="J2747" s="2" t="s">
        <v>12</v>
      </c>
      <c r="K2747" s="2" t="s">
        <v>12</v>
      </c>
    </row>
    <row r="2748" spans="1:11" ht="12.5" x14ac:dyDescent="0.25">
      <c r="A2748" s="3" t="e">
        <f ca="1"/>
        <v>#NAME?</v>
      </c>
      <c r="B2748" s="2" t="s">
        <v>12</v>
      </c>
      <c r="C2748" s="2" t="s">
        <v>12</v>
      </c>
      <c r="D2748" s="2" t="s">
        <v>12</v>
      </c>
      <c r="E2748" s="2" t="s">
        <v>12</v>
      </c>
      <c r="F2748" s="2" t="s">
        <v>12</v>
      </c>
      <c r="G2748" s="2" t="s">
        <v>12</v>
      </c>
      <c r="H2748" s="2" t="s">
        <v>12</v>
      </c>
      <c r="I2748" s="2" t="s">
        <v>12</v>
      </c>
      <c r="J2748" s="2" t="s">
        <v>12</v>
      </c>
      <c r="K2748" s="2" t="s">
        <v>12</v>
      </c>
    </row>
    <row r="2749" spans="1:11" ht="12.5" x14ac:dyDescent="0.25">
      <c r="A2749" s="3" t="e">
        <f ca="1"/>
        <v>#NAME?</v>
      </c>
      <c r="B2749" s="2" t="s">
        <v>12</v>
      </c>
      <c r="C2749" s="2" t="s">
        <v>12</v>
      </c>
      <c r="D2749" s="2" t="s">
        <v>12</v>
      </c>
      <c r="E2749" s="2" t="s">
        <v>12</v>
      </c>
      <c r="F2749" s="2" t="s">
        <v>12</v>
      </c>
      <c r="G2749" s="2" t="s">
        <v>12</v>
      </c>
      <c r="H2749" s="2" t="s">
        <v>12</v>
      </c>
      <c r="I2749" s="2" t="s">
        <v>12</v>
      </c>
      <c r="J2749" s="2" t="s">
        <v>12</v>
      </c>
      <c r="K2749" s="2" t="s">
        <v>12</v>
      </c>
    </row>
    <row r="2750" spans="1:11" ht="12.5" x14ac:dyDescent="0.25">
      <c r="A2750" s="3" t="e">
        <f ca="1"/>
        <v>#NAME?</v>
      </c>
      <c r="B2750" s="2" t="s">
        <v>12</v>
      </c>
      <c r="C2750" s="2" t="s">
        <v>12</v>
      </c>
      <c r="D2750" s="2" t="s">
        <v>12</v>
      </c>
      <c r="E2750" s="2" t="s">
        <v>12</v>
      </c>
      <c r="F2750" s="2" t="s">
        <v>12</v>
      </c>
      <c r="G2750" s="2" t="s">
        <v>12</v>
      </c>
      <c r="H2750" s="2" t="s">
        <v>12</v>
      </c>
      <c r="I2750" s="2" t="s">
        <v>12</v>
      </c>
      <c r="J2750" s="2" t="s">
        <v>12</v>
      </c>
      <c r="K2750" s="2" t="s">
        <v>12</v>
      </c>
    </row>
    <row r="2751" spans="1:11" ht="12.5" x14ac:dyDescent="0.25">
      <c r="A2751" s="3" t="e">
        <f ca="1"/>
        <v>#NAME?</v>
      </c>
      <c r="B2751" s="2" t="s">
        <v>12</v>
      </c>
      <c r="C2751" s="2" t="s">
        <v>12</v>
      </c>
      <c r="D2751" s="2" t="s">
        <v>12</v>
      </c>
      <c r="E2751" s="2" t="s">
        <v>12</v>
      </c>
      <c r="F2751" s="2" t="s">
        <v>12</v>
      </c>
      <c r="G2751" s="2" t="s">
        <v>12</v>
      </c>
      <c r="H2751" s="2" t="s">
        <v>12</v>
      </c>
      <c r="I2751" s="2" t="s">
        <v>12</v>
      </c>
      <c r="J2751" s="2" t="s">
        <v>12</v>
      </c>
      <c r="K2751" s="2" t="s">
        <v>12</v>
      </c>
    </row>
    <row r="2752" spans="1:11" ht="12.5" x14ac:dyDescent="0.25">
      <c r="A2752" s="3" t="e">
        <f ca="1"/>
        <v>#NAME?</v>
      </c>
      <c r="B2752" s="2" t="s">
        <v>12</v>
      </c>
      <c r="C2752" s="2" t="s">
        <v>12</v>
      </c>
      <c r="D2752" s="2" t="s">
        <v>12</v>
      </c>
      <c r="E2752" s="2" t="s">
        <v>12</v>
      </c>
      <c r="F2752" s="2" t="s">
        <v>12</v>
      </c>
      <c r="G2752" s="2" t="s">
        <v>12</v>
      </c>
      <c r="H2752" s="2" t="s">
        <v>12</v>
      </c>
      <c r="I2752" s="2" t="s">
        <v>12</v>
      </c>
      <c r="J2752" s="2" t="s">
        <v>12</v>
      </c>
      <c r="K2752" s="2" t="s">
        <v>12</v>
      </c>
    </row>
    <row r="2753" spans="1:11" ht="12.5" x14ac:dyDescent="0.25">
      <c r="A2753" s="3" t="e">
        <f ca="1"/>
        <v>#NAME?</v>
      </c>
      <c r="B2753" s="2" t="s">
        <v>12</v>
      </c>
      <c r="C2753" s="2" t="s">
        <v>12</v>
      </c>
      <c r="D2753" s="2" t="s">
        <v>12</v>
      </c>
      <c r="E2753" s="2" t="s">
        <v>12</v>
      </c>
      <c r="F2753" s="2" t="s">
        <v>12</v>
      </c>
      <c r="G2753" s="2" t="s">
        <v>12</v>
      </c>
      <c r="H2753" s="2" t="s">
        <v>12</v>
      </c>
      <c r="I2753" s="2" t="s">
        <v>12</v>
      </c>
      <c r="J2753" s="2" t="s">
        <v>12</v>
      </c>
      <c r="K2753" s="2" t="s">
        <v>12</v>
      </c>
    </row>
    <row r="2754" spans="1:11" ht="12.5" x14ac:dyDescent="0.25">
      <c r="A2754" s="3" t="e">
        <f ca="1"/>
        <v>#NAME?</v>
      </c>
      <c r="B2754" s="2" t="s">
        <v>12</v>
      </c>
      <c r="C2754" s="2" t="s">
        <v>12</v>
      </c>
      <c r="D2754" s="2" t="s">
        <v>12</v>
      </c>
      <c r="E2754" s="2" t="s">
        <v>12</v>
      </c>
      <c r="F2754" s="2" t="s">
        <v>12</v>
      </c>
      <c r="G2754" s="2" t="s">
        <v>12</v>
      </c>
      <c r="H2754" s="2" t="s">
        <v>12</v>
      </c>
      <c r="I2754" s="2" t="s">
        <v>12</v>
      </c>
      <c r="J2754" s="2" t="s">
        <v>12</v>
      </c>
      <c r="K2754" s="2" t="s">
        <v>12</v>
      </c>
    </row>
    <row r="2755" spans="1:11" ht="12.5" x14ac:dyDescent="0.25">
      <c r="A2755" s="3" t="e">
        <f ca="1"/>
        <v>#NAME?</v>
      </c>
      <c r="B2755" s="2" t="s">
        <v>12</v>
      </c>
      <c r="C2755" s="2" t="s">
        <v>12</v>
      </c>
      <c r="D2755" s="2" t="s">
        <v>12</v>
      </c>
      <c r="E2755" s="2" t="s">
        <v>12</v>
      </c>
      <c r="F2755" s="2" t="s">
        <v>12</v>
      </c>
      <c r="G2755" s="2" t="s">
        <v>12</v>
      </c>
      <c r="H2755" s="2" t="s">
        <v>12</v>
      </c>
      <c r="I2755" s="2" t="s">
        <v>12</v>
      </c>
      <c r="J2755" s="2" t="s">
        <v>12</v>
      </c>
      <c r="K2755" s="2" t="s">
        <v>12</v>
      </c>
    </row>
    <row r="2756" spans="1:11" ht="12.5" x14ac:dyDescent="0.25">
      <c r="A2756" s="3" t="e">
        <f ca="1"/>
        <v>#NAME?</v>
      </c>
      <c r="B2756" s="2" t="s">
        <v>12</v>
      </c>
      <c r="C2756" s="2" t="s">
        <v>12</v>
      </c>
      <c r="D2756" s="2" t="s">
        <v>12</v>
      </c>
      <c r="E2756" s="2" t="s">
        <v>12</v>
      </c>
      <c r="F2756" s="2" t="s">
        <v>12</v>
      </c>
      <c r="G2756" s="2" t="s">
        <v>12</v>
      </c>
      <c r="H2756" s="2" t="s">
        <v>12</v>
      </c>
      <c r="I2756" s="2" t="s">
        <v>12</v>
      </c>
      <c r="J2756" s="2" t="s">
        <v>12</v>
      </c>
      <c r="K2756" s="2" t="s">
        <v>12</v>
      </c>
    </row>
    <row r="2757" spans="1:11" ht="12.5" x14ac:dyDescent="0.25">
      <c r="A2757" s="3" t="e">
        <f ca="1"/>
        <v>#NAME?</v>
      </c>
      <c r="B2757" s="2" t="s">
        <v>12</v>
      </c>
      <c r="C2757" s="2" t="s">
        <v>12</v>
      </c>
      <c r="D2757" s="2" t="s">
        <v>12</v>
      </c>
      <c r="E2757" s="2" t="s">
        <v>12</v>
      </c>
      <c r="F2757" s="2" t="s">
        <v>12</v>
      </c>
      <c r="G2757" s="2" t="s">
        <v>12</v>
      </c>
      <c r="H2757" s="2" t="s">
        <v>12</v>
      </c>
      <c r="I2757" s="2" t="s">
        <v>12</v>
      </c>
      <c r="J2757" s="2" t="s">
        <v>12</v>
      </c>
      <c r="K2757" s="2" t="s">
        <v>12</v>
      </c>
    </row>
    <row r="2758" spans="1:11" ht="12.5" x14ac:dyDescent="0.25">
      <c r="A2758" s="3" t="e">
        <f ca="1"/>
        <v>#NAME?</v>
      </c>
      <c r="B2758" s="2" t="s">
        <v>12</v>
      </c>
      <c r="C2758" s="2" t="s">
        <v>12</v>
      </c>
      <c r="D2758" s="2" t="s">
        <v>12</v>
      </c>
      <c r="E2758" s="2" t="s">
        <v>12</v>
      </c>
      <c r="F2758" s="2" t="s">
        <v>12</v>
      </c>
      <c r="G2758" s="2" t="s">
        <v>12</v>
      </c>
      <c r="H2758" s="2" t="s">
        <v>12</v>
      </c>
      <c r="I2758" s="2" t="s">
        <v>12</v>
      </c>
      <c r="J2758" s="2" t="s">
        <v>12</v>
      </c>
      <c r="K2758" s="2" t="s">
        <v>12</v>
      </c>
    </row>
    <row r="2759" spans="1:11" ht="12.5" x14ac:dyDescent="0.25">
      <c r="A2759" s="3" t="e">
        <f ca="1"/>
        <v>#NAME?</v>
      </c>
      <c r="B2759" s="2" t="s">
        <v>12</v>
      </c>
      <c r="C2759" s="2" t="s">
        <v>12</v>
      </c>
      <c r="D2759" s="2" t="s">
        <v>12</v>
      </c>
      <c r="E2759" s="2" t="s">
        <v>12</v>
      </c>
      <c r="F2759" s="2" t="s">
        <v>12</v>
      </c>
      <c r="G2759" s="2" t="s">
        <v>12</v>
      </c>
      <c r="H2759" s="2" t="s">
        <v>12</v>
      </c>
      <c r="I2759" s="2" t="s">
        <v>12</v>
      </c>
      <c r="J2759" s="2" t="s">
        <v>12</v>
      </c>
      <c r="K2759" s="2" t="s">
        <v>12</v>
      </c>
    </row>
    <row r="2760" spans="1:11" ht="12.5" x14ac:dyDescent="0.25">
      <c r="A2760" s="3" t="e">
        <f ca="1"/>
        <v>#NAME?</v>
      </c>
      <c r="B2760" s="2" t="s">
        <v>12</v>
      </c>
      <c r="C2760" s="2" t="s">
        <v>12</v>
      </c>
      <c r="D2760" s="2" t="s">
        <v>12</v>
      </c>
      <c r="E2760" s="2" t="s">
        <v>12</v>
      </c>
      <c r="F2760" s="2" t="s">
        <v>12</v>
      </c>
      <c r="G2760" s="2" t="s">
        <v>12</v>
      </c>
      <c r="H2760" s="2" t="s">
        <v>12</v>
      </c>
      <c r="I2760" s="2" t="s">
        <v>12</v>
      </c>
      <c r="J2760" s="2" t="s">
        <v>12</v>
      </c>
      <c r="K2760" s="2" t="s">
        <v>12</v>
      </c>
    </row>
    <row r="2761" spans="1:11" ht="12.5" x14ac:dyDescent="0.25">
      <c r="A2761" s="3" t="e">
        <f ca="1"/>
        <v>#NAME?</v>
      </c>
      <c r="B2761" s="2" t="s">
        <v>12</v>
      </c>
      <c r="C2761" s="2" t="s">
        <v>12</v>
      </c>
      <c r="D2761" s="2" t="s">
        <v>12</v>
      </c>
      <c r="E2761" s="2" t="s">
        <v>12</v>
      </c>
      <c r="F2761" s="2" t="s">
        <v>12</v>
      </c>
      <c r="G2761" s="2" t="s">
        <v>12</v>
      </c>
      <c r="H2761" s="2" t="s">
        <v>12</v>
      </c>
      <c r="I2761" s="2" t="s">
        <v>12</v>
      </c>
      <c r="J2761" s="2" t="s">
        <v>12</v>
      </c>
      <c r="K2761" s="2" t="s">
        <v>12</v>
      </c>
    </row>
    <row r="2762" spans="1:11" ht="12.5" x14ac:dyDescent="0.25">
      <c r="A2762" s="3" t="e">
        <f ca="1"/>
        <v>#NAME?</v>
      </c>
      <c r="B2762" s="2" t="s">
        <v>12</v>
      </c>
      <c r="C2762" s="2" t="s">
        <v>12</v>
      </c>
      <c r="D2762" s="2" t="s">
        <v>12</v>
      </c>
      <c r="E2762" s="2" t="s">
        <v>12</v>
      </c>
      <c r="F2762" s="2" t="s">
        <v>12</v>
      </c>
      <c r="G2762" s="2" t="s">
        <v>12</v>
      </c>
      <c r="H2762" s="2" t="s">
        <v>12</v>
      </c>
      <c r="I2762" s="2" t="s">
        <v>12</v>
      </c>
      <c r="J2762" s="2" t="s">
        <v>12</v>
      </c>
      <c r="K2762" s="2" t="s">
        <v>12</v>
      </c>
    </row>
    <row r="2763" spans="1:11" ht="12.5" x14ac:dyDescent="0.25">
      <c r="A2763" s="3" t="e">
        <f ca="1"/>
        <v>#NAME?</v>
      </c>
      <c r="B2763" s="2" t="s">
        <v>12</v>
      </c>
      <c r="C2763" s="2" t="s">
        <v>12</v>
      </c>
      <c r="D2763" s="2" t="s">
        <v>12</v>
      </c>
      <c r="E2763" s="2" t="s">
        <v>12</v>
      </c>
      <c r="F2763" s="2" t="s">
        <v>12</v>
      </c>
      <c r="G2763" s="2" t="s">
        <v>12</v>
      </c>
      <c r="H2763" s="2" t="s">
        <v>12</v>
      </c>
      <c r="I2763" s="2" t="s">
        <v>12</v>
      </c>
      <c r="J2763" s="2" t="s">
        <v>12</v>
      </c>
      <c r="K2763" s="2" t="s">
        <v>12</v>
      </c>
    </row>
    <row r="2764" spans="1:11" ht="12.5" x14ac:dyDescent="0.25">
      <c r="A2764" s="3" t="e">
        <f ca="1"/>
        <v>#NAME?</v>
      </c>
      <c r="B2764" s="2" t="s">
        <v>12</v>
      </c>
      <c r="C2764" s="2" t="s">
        <v>12</v>
      </c>
      <c r="D2764" s="2" t="s">
        <v>12</v>
      </c>
      <c r="E2764" s="2" t="s">
        <v>12</v>
      </c>
      <c r="F2764" s="2" t="s">
        <v>12</v>
      </c>
      <c r="G2764" s="2" t="s">
        <v>12</v>
      </c>
      <c r="H2764" s="2" t="s">
        <v>12</v>
      </c>
      <c r="I2764" s="2" t="s">
        <v>12</v>
      </c>
      <c r="J2764" s="2" t="s">
        <v>12</v>
      </c>
      <c r="K2764" s="2" t="s">
        <v>12</v>
      </c>
    </row>
    <row r="2765" spans="1:11" ht="12.5" x14ac:dyDescent="0.25">
      <c r="A2765" s="3" t="e">
        <f ca="1"/>
        <v>#NAME?</v>
      </c>
      <c r="B2765" s="2" t="s">
        <v>12</v>
      </c>
      <c r="C2765" s="2" t="s">
        <v>12</v>
      </c>
      <c r="D2765" s="2" t="s">
        <v>12</v>
      </c>
      <c r="E2765" s="2" t="s">
        <v>12</v>
      </c>
      <c r="F2765" s="2" t="s">
        <v>12</v>
      </c>
      <c r="G2765" s="2" t="s">
        <v>12</v>
      </c>
      <c r="H2765" s="2" t="s">
        <v>12</v>
      </c>
      <c r="I2765" s="2" t="s">
        <v>12</v>
      </c>
      <c r="J2765" s="2" t="s">
        <v>12</v>
      </c>
      <c r="K2765" s="2" t="s">
        <v>12</v>
      </c>
    </row>
    <row r="2766" spans="1:11" ht="12.5" x14ac:dyDescent="0.25">
      <c r="A2766" s="3" t="e">
        <f ca="1"/>
        <v>#NAME?</v>
      </c>
      <c r="B2766" s="2" t="s">
        <v>12</v>
      </c>
      <c r="C2766" s="2" t="s">
        <v>12</v>
      </c>
      <c r="D2766" s="2" t="s">
        <v>12</v>
      </c>
      <c r="E2766" s="2" t="s">
        <v>12</v>
      </c>
      <c r="F2766" s="2" t="s">
        <v>12</v>
      </c>
      <c r="G2766" s="2" t="s">
        <v>12</v>
      </c>
      <c r="H2766" s="2" t="s">
        <v>12</v>
      </c>
      <c r="I2766" s="2" t="s">
        <v>12</v>
      </c>
      <c r="J2766" s="2" t="s">
        <v>12</v>
      </c>
      <c r="K2766" s="2" t="s">
        <v>12</v>
      </c>
    </row>
    <row r="2767" spans="1:11" ht="12.5" x14ac:dyDescent="0.25">
      <c r="A2767" s="3" t="e">
        <f ca="1"/>
        <v>#NAME?</v>
      </c>
      <c r="B2767" s="2" t="s">
        <v>12</v>
      </c>
      <c r="C2767" s="2" t="s">
        <v>12</v>
      </c>
      <c r="D2767" s="2" t="s">
        <v>12</v>
      </c>
      <c r="E2767" s="2" t="s">
        <v>12</v>
      </c>
      <c r="F2767" s="2" t="s">
        <v>12</v>
      </c>
      <c r="G2767" s="2" t="s">
        <v>12</v>
      </c>
      <c r="H2767" s="2" t="s">
        <v>12</v>
      </c>
      <c r="I2767" s="2" t="s">
        <v>12</v>
      </c>
      <c r="J2767" s="2" t="s">
        <v>12</v>
      </c>
      <c r="K2767" s="2" t="s">
        <v>12</v>
      </c>
    </row>
    <row r="2768" spans="1:11" ht="12.5" x14ac:dyDescent="0.25">
      <c r="A2768" s="3" t="e">
        <f ca="1"/>
        <v>#NAME?</v>
      </c>
      <c r="B2768" s="2" t="s">
        <v>12</v>
      </c>
      <c r="C2768" s="2" t="s">
        <v>12</v>
      </c>
      <c r="D2768" s="2" t="s">
        <v>12</v>
      </c>
      <c r="E2768" s="2" t="s">
        <v>12</v>
      </c>
      <c r="F2768" s="2" t="s">
        <v>12</v>
      </c>
      <c r="G2768" s="2" t="s">
        <v>12</v>
      </c>
      <c r="H2768" s="2" t="s">
        <v>12</v>
      </c>
      <c r="I2768" s="2" t="s">
        <v>12</v>
      </c>
      <c r="J2768" s="2" t="s">
        <v>12</v>
      </c>
      <c r="K2768" s="2" t="s">
        <v>12</v>
      </c>
    </row>
    <row r="2769" spans="1:11" ht="12.5" x14ac:dyDescent="0.25">
      <c r="A2769" s="3" t="e">
        <f ca="1"/>
        <v>#NAME?</v>
      </c>
      <c r="B2769" s="2" t="s">
        <v>12</v>
      </c>
      <c r="C2769" s="2" t="s">
        <v>12</v>
      </c>
      <c r="D2769" s="2" t="s">
        <v>12</v>
      </c>
      <c r="E2769" s="2" t="s">
        <v>12</v>
      </c>
      <c r="F2769" s="2" t="s">
        <v>12</v>
      </c>
      <c r="G2769" s="2" t="s">
        <v>12</v>
      </c>
      <c r="H2769" s="2" t="s">
        <v>12</v>
      </c>
      <c r="I2769" s="2" t="s">
        <v>12</v>
      </c>
      <c r="J2769" s="2" t="s">
        <v>12</v>
      </c>
      <c r="K2769" s="2" t="s">
        <v>12</v>
      </c>
    </row>
    <row r="2770" spans="1:11" ht="12.5" x14ac:dyDescent="0.25">
      <c r="A2770" s="3" t="e">
        <f ca="1"/>
        <v>#NAME?</v>
      </c>
      <c r="B2770" s="2" t="s">
        <v>12</v>
      </c>
      <c r="C2770" s="2" t="s">
        <v>12</v>
      </c>
      <c r="D2770" s="2" t="s">
        <v>12</v>
      </c>
      <c r="E2770" s="2" t="s">
        <v>12</v>
      </c>
      <c r="F2770" s="2" t="s">
        <v>12</v>
      </c>
      <c r="G2770" s="2" t="s">
        <v>12</v>
      </c>
      <c r="H2770" s="2" t="s">
        <v>12</v>
      </c>
      <c r="I2770" s="2" t="s">
        <v>12</v>
      </c>
      <c r="J2770" s="2" t="s">
        <v>12</v>
      </c>
      <c r="K2770" s="2" t="s">
        <v>12</v>
      </c>
    </row>
    <row r="2771" spans="1:11" ht="12.5" x14ac:dyDescent="0.25">
      <c r="A2771" s="3" t="e">
        <f ca="1"/>
        <v>#NAME?</v>
      </c>
      <c r="B2771" s="2" t="s">
        <v>12</v>
      </c>
      <c r="C2771" s="2" t="s">
        <v>12</v>
      </c>
      <c r="D2771" s="2" t="s">
        <v>12</v>
      </c>
      <c r="E2771" s="2" t="s">
        <v>12</v>
      </c>
      <c r="F2771" s="2" t="s">
        <v>12</v>
      </c>
      <c r="G2771" s="2" t="s">
        <v>12</v>
      </c>
      <c r="H2771" s="2" t="s">
        <v>12</v>
      </c>
      <c r="I2771" s="2" t="s">
        <v>12</v>
      </c>
      <c r="J2771" s="2" t="s">
        <v>12</v>
      </c>
      <c r="K2771" s="2" t="s">
        <v>12</v>
      </c>
    </row>
    <row r="2772" spans="1:11" ht="12.5" x14ac:dyDescent="0.25">
      <c r="A2772" s="3" t="e">
        <f ca="1"/>
        <v>#NAME?</v>
      </c>
      <c r="B2772" s="2" t="s">
        <v>12</v>
      </c>
      <c r="C2772" s="2" t="s">
        <v>12</v>
      </c>
      <c r="D2772" s="2" t="s">
        <v>12</v>
      </c>
      <c r="E2772" s="2" t="s">
        <v>12</v>
      </c>
      <c r="F2772" s="2" t="s">
        <v>12</v>
      </c>
      <c r="G2772" s="2" t="s">
        <v>12</v>
      </c>
      <c r="H2772" s="2" t="s">
        <v>12</v>
      </c>
      <c r="I2772" s="2" t="s">
        <v>12</v>
      </c>
      <c r="J2772" s="2" t="s">
        <v>12</v>
      </c>
      <c r="K2772" s="2" t="s">
        <v>12</v>
      </c>
    </row>
    <row r="2773" spans="1:11" ht="12.5" x14ac:dyDescent="0.25">
      <c r="A2773" s="3" t="e">
        <f ca="1"/>
        <v>#NAME?</v>
      </c>
      <c r="B2773" s="2" t="s">
        <v>12</v>
      </c>
      <c r="C2773" s="2" t="s">
        <v>12</v>
      </c>
      <c r="D2773" s="2" t="s">
        <v>12</v>
      </c>
      <c r="E2773" s="2" t="s">
        <v>12</v>
      </c>
      <c r="F2773" s="2" t="s">
        <v>12</v>
      </c>
      <c r="G2773" s="2" t="s">
        <v>12</v>
      </c>
      <c r="H2773" s="2" t="s">
        <v>12</v>
      </c>
      <c r="I2773" s="2" t="s">
        <v>12</v>
      </c>
      <c r="J2773" s="2" t="s">
        <v>12</v>
      </c>
      <c r="K2773" s="2" t="s">
        <v>12</v>
      </c>
    </row>
    <row r="2774" spans="1:11" ht="12.5" x14ac:dyDescent="0.25">
      <c r="A2774" s="3" t="e">
        <f ca="1"/>
        <v>#NAME?</v>
      </c>
      <c r="B2774" s="2" t="s">
        <v>12</v>
      </c>
      <c r="C2774" s="2" t="s">
        <v>12</v>
      </c>
      <c r="D2774" s="2" t="s">
        <v>12</v>
      </c>
      <c r="E2774" s="2" t="s">
        <v>12</v>
      </c>
      <c r="F2774" s="2" t="s">
        <v>12</v>
      </c>
      <c r="G2774" s="2" t="s">
        <v>12</v>
      </c>
      <c r="H2774" s="2" t="s">
        <v>12</v>
      </c>
      <c r="I2774" s="2" t="s">
        <v>12</v>
      </c>
      <c r="J2774" s="2" t="s">
        <v>12</v>
      </c>
      <c r="K2774" s="2" t="s">
        <v>12</v>
      </c>
    </row>
    <row r="2775" spans="1:11" ht="12.5" x14ac:dyDescent="0.25">
      <c r="A2775" s="3" t="e">
        <f ca="1"/>
        <v>#NAME?</v>
      </c>
      <c r="B2775" s="2" t="s">
        <v>12</v>
      </c>
      <c r="C2775" s="2" t="s">
        <v>12</v>
      </c>
      <c r="D2775" s="2" t="s">
        <v>12</v>
      </c>
      <c r="E2775" s="2" t="s">
        <v>12</v>
      </c>
      <c r="F2775" s="2" t="s">
        <v>12</v>
      </c>
      <c r="G2775" s="2" t="s">
        <v>12</v>
      </c>
      <c r="H2775" s="2" t="s">
        <v>12</v>
      </c>
      <c r="I2775" s="2" t="s">
        <v>12</v>
      </c>
      <c r="J2775" s="2" t="s">
        <v>12</v>
      </c>
      <c r="K2775" s="2" t="s">
        <v>12</v>
      </c>
    </row>
    <row r="2776" spans="1:11" ht="12.5" x14ac:dyDescent="0.25">
      <c r="A2776" s="3" t="e">
        <f ca="1"/>
        <v>#NAME?</v>
      </c>
      <c r="B2776" s="2" t="s">
        <v>12</v>
      </c>
      <c r="C2776" s="2" t="s">
        <v>12</v>
      </c>
      <c r="D2776" s="2" t="s">
        <v>12</v>
      </c>
      <c r="E2776" s="2" t="s">
        <v>12</v>
      </c>
      <c r="F2776" s="2" t="s">
        <v>12</v>
      </c>
      <c r="G2776" s="2" t="s">
        <v>12</v>
      </c>
      <c r="H2776" s="2" t="s">
        <v>12</v>
      </c>
      <c r="I2776" s="2" t="s">
        <v>12</v>
      </c>
      <c r="J2776" s="2" t="s">
        <v>12</v>
      </c>
      <c r="K2776" s="2" t="s">
        <v>12</v>
      </c>
    </row>
    <row r="2777" spans="1:11" ht="12.5" x14ac:dyDescent="0.25">
      <c r="A2777" s="3" t="e">
        <f ca="1"/>
        <v>#NAME?</v>
      </c>
      <c r="B2777" s="2" t="s">
        <v>12</v>
      </c>
      <c r="C2777" s="2" t="s">
        <v>12</v>
      </c>
      <c r="D2777" s="2" t="s">
        <v>12</v>
      </c>
      <c r="E2777" s="2" t="s">
        <v>12</v>
      </c>
      <c r="F2777" s="2" t="s">
        <v>12</v>
      </c>
      <c r="G2777" s="2" t="s">
        <v>12</v>
      </c>
      <c r="H2777" s="2" t="s">
        <v>12</v>
      </c>
      <c r="I2777" s="2" t="s">
        <v>12</v>
      </c>
      <c r="J2777" s="2" t="s">
        <v>12</v>
      </c>
      <c r="K2777" s="2" t="s">
        <v>12</v>
      </c>
    </row>
    <row r="2778" spans="1:11" ht="12.5" x14ac:dyDescent="0.25">
      <c r="A2778" s="3" t="e">
        <f ca="1"/>
        <v>#NAME?</v>
      </c>
      <c r="B2778" s="2" t="s">
        <v>12</v>
      </c>
      <c r="C2778" s="2" t="s">
        <v>12</v>
      </c>
      <c r="D2778" s="2" t="s">
        <v>12</v>
      </c>
      <c r="E2778" s="2" t="s">
        <v>12</v>
      </c>
      <c r="F2778" s="2" t="s">
        <v>12</v>
      </c>
      <c r="G2778" s="2" t="s">
        <v>12</v>
      </c>
      <c r="H2778" s="2" t="s">
        <v>12</v>
      </c>
      <c r="I2778" s="2" t="s">
        <v>12</v>
      </c>
      <c r="J2778" s="2" t="s">
        <v>12</v>
      </c>
      <c r="K2778" s="2" t="s">
        <v>12</v>
      </c>
    </row>
    <row r="2779" spans="1:11" ht="12.5" x14ac:dyDescent="0.25">
      <c r="A2779" s="3" t="e">
        <f ca="1"/>
        <v>#NAME?</v>
      </c>
      <c r="B2779" s="2" t="s">
        <v>12</v>
      </c>
      <c r="C2779" s="2" t="s">
        <v>12</v>
      </c>
      <c r="D2779" s="2" t="s">
        <v>12</v>
      </c>
      <c r="E2779" s="2" t="s">
        <v>12</v>
      </c>
      <c r="F2779" s="2" t="s">
        <v>12</v>
      </c>
      <c r="G2779" s="2" t="s">
        <v>12</v>
      </c>
      <c r="H2779" s="2" t="s">
        <v>12</v>
      </c>
      <c r="I2779" s="2" t="s">
        <v>12</v>
      </c>
      <c r="J2779" s="2" t="s">
        <v>12</v>
      </c>
      <c r="K2779" s="2" t="s">
        <v>12</v>
      </c>
    </row>
    <row r="2780" spans="1:11" ht="12.5" x14ac:dyDescent="0.25">
      <c r="A2780" s="3" t="e">
        <f ca="1"/>
        <v>#NAME?</v>
      </c>
      <c r="B2780" s="2" t="s">
        <v>12</v>
      </c>
      <c r="C2780" s="2" t="s">
        <v>12</v>
      </c>
      <c r="D2780" s="2" t="s">
        <v>12</v>
      </c>
      <c r="E2780" s="2" t="s">
        <v>12</v>
      </c>
      <c r="F2780" s="2" t="s">
        <v>12</v>
      </c>
      <c r="G2780" s="2" t="s">
        <v>12</v>
      </c>
      <c r="H2780" s="2" t="s">
        <v>12</v>
      </c>
      <c r="I2780" s="2" t="s">
        <v>12</v>
      </c>
      <c r="J2780" s="2" t="s">
        <v>12</v>
      </c>
      <c r="K2780" s="2" t="s">
        <v>12</v>
      </c>
    </row>
    <row r="2781" spans="1:11" ht="12.5" x14ac:dyDescent="0.25">
      <c r="A2781" s="3" t="e">
        <f ca="1"/>
        <v>#NAME?</v>
      </c>
      <c r="B2781" s="2" t="s">
        <v>12</v>
      </c>
      <c r="C2781" s="2" t="s">
        <v>12</v>
      </c>
      <c r="D2781" s="2" t="s">
        <v>12</v>
      </c>
      <c r="E2781" s="2" t="s">
        <v>12</v>
      </c>
      <c r="F2781" s="2" t="s">
        <v>12</v>
      </c>
      <c r="G2781" s="2" t="s">
        <v>12</v>
      </c>
      <c r="H2781" s="2" t="s">
        <v>12</v>
      </c>
      <c r="I2781" s="2" t="s">
        <v>12</v>
      </c>
      <c r="J2781" s="2" t="s">
        <v>12</v>
      </c>
      <c r="K2781" s="2" t="s">
        <v>12</v>
      </c>
    </row>
    <row r="2782" spans="1:11" ht="12.5" x14ac:dyDescent="0.25">
      <c r="A2782" s="3" t="e">
        <f ca="1"/>
        <v>#NAME?</v>
      </c>
      <c r="B2782" s="2" t="s">
        <v>12</v>
      </c>
      <c r="C2782" s="2" t="s">
        <v>12</v>
      </c>
      <c r="D2782" s="2" t="s">
        <v>12</v>
      </c>
      <c r="E2782" s="2" t="s">
        <v>12</v>
      </c>
      <c r="F2782" s="2" t="s">
        <v>12</v>
      </c>
      <c r="G2782" s="2" t="s">
        <v>12</v>
      </c>
      <c r="H2782" s="2" t="s">
        <v>12</v>
      </c>
      <c r="I2782" s="2" t="s">
        <v>12</v>
      </c>
      <c r="J2782" s="2" t="s">
        <v>12</v>
      </c>
      <c r="K2782" s="2" t="s">
        <v>12</v>
      </c>
    </row>
    <row r="2783" spans="1:11" ht="12.5" x14ac:dyDescent="0.25">
      <c r="A2783" s="3" t="e">
        <f ca="1"/>
        <v>#NAME?</v>
      </c>
      <c r="B2783" s="2" t="s">
        <v>12</v>
      </c>
      <c r="C2783" s="2" t="s">
        <v>12</v>
      </c>
      <c r="D2783" s="2" t="s">
        <v>12</v>
      </c>
      <c r="E2783" s="2" t="s">
        <v>12</v>
      </c>
      <c r="F2783" s="2" t="s">
        <v>12</v>
      </c>
      <c r="G2783" s="2" t="s">
        <v>12</v>
      </c>
      <c r="H2783" s="2" t="s">
        <v>12</v>
      </c>
      <c r="I2783" s="2" t="s">
        <v>12</v>
      </c>
      <c r="J2783" s="2" t="s">
        <v>12</v>
      </c>
      <c r="K2783" s="2" t="s">
        <v>12</v>
      </c>
    </row>
    <row r="2784" spans="1:11" ht="12.5" x14ac:dyDescent="0.25">
      <c r="A2784" s="3" t="e">
        <f ca="1"/>
        <v>#NAME?</v>
      </c>
      <c r="B2784" s="2" t="s">
        <v>12</v>
      </c>
      <c r="C2784" s="2" t="s">
        <v>12</v>
      </c>
      <c r="D2784" s="2" t="s">
        <v>12</v>
      </c>
      <c r="E2784" s="2" t="s">
        <v>12</v>
      </c>
      <c r="F2784" s="2" t="s">
        <v>12</v>
      </c>
      <c r="G2784" s="2" t="s">
        <v>12</v>
      </c>
      <c r="H2784" s="2" t="s">
        <v>12</v>
      </c>
      <c r="I2784" s="2" t="s">
        <v>12</v>
      </c>
      <c r="J2784" s="2" t="s">
        <v>12</v>
      </c>
      <c r="K2784" s="2" t="s">
        <v>12</v>
      </c>
    </row>
    <row r="2785" spans="1:11" ht="12.5" x14ac:dyDescent="0.25">
      <c r="A2785" s="3" t="e">
        <f ca="1"/>
        <v>#NAME?</v>
      </c>
      <c r="B2785" s="2" t="s">
        <v>12</v>
      </c>
      <c r="C2785" s="2" t="s">
        <v>12</v>
      </c>
      <c r="D2785" s="2" t="s">
        <v>12</v>
      </c>
      <c r="E2785" s="2" t="s">
        <v>12</v>
      </c>
      <c r="F2785" s="2" t="s">
        <v>12</v>
      </c>
      <c r="G2785" s="2" t="s">
        <v>12</v>
      </c>
      <c r="H2785" s="2" t="s">
        <v>12</v>
      </c>
      <c r="I2785" s="2" t="s">
        <v>12</v>
      </c>
      <c r="J2785" s="2" t="s">
        <v>12</v>
      </c>
      <c r="K2785" s="2" t="s">
        <v>12</v>
      </c>
    </row>
    <row r="2786" spans="1:11" ht="12.5" x14ac:dyDescent="0.25">
      <c r="A2786" s="3" t="e">
        <f ca="1"/>
        <v>#NAME?</v>
      </c>
      <c r="B2786" s="2" t="s">
        <v>12</v>
      </c>
      <c r="C2786" s="2" t="s">
        <v>12</v>
      </c>
      <c r="D2786" s="2" t="s">
        <v>12</v>
      </c>
      <c r="E2786" s="2" t="s">
        <v>12</v>
      </c>
      <c r="F2786" s="2" t="s">
        <v>12</v>
      </c>
      <c r="G2786" s="2" t="s">
        <v>12</v>
      </c>
      <c r="H2786" s="2" t="s">
        <v>12</v>
      </c>
      <c r="I2786" s="2" t="s">
        <v>12</v>
      </c>
      <c r="J2786" s="2" t="s">
        <v>12</v>
      </c>
      <c r="K2786" s="2" t="s">
        <v>12</v>
      </c>
    </row>
    <row r="2787" spans="1:11" ht="12.5" x14ac:dyDescent="0.25">
      <c r="A2787" s="3" t="e">
        <f ca="1"/>
        <v>#NAME?</v>
      </c>
      <c r="B2787" s="2" t="s">
        <v>12</v>
      </c>
      <c r="C2787" s="2" t="s">
        <v>12</v>
      </c>
      <c r="D2787" s="2" t="s">
        <v>12</v>
      </c>
      <c r="E2787" s="2" t="s">
        <v>12</v>
      </c>
      <c r="F2787" s="2" t="s">
        <v>12</v>
      </c>
      <c r="G2787" s="2" t="s">
        <v>12</v>
      </c>
      <c r="H2787" s="2" t="s">
        <v>12</v>
      </c>
      <c r="I2787" s="2" t="s">
        <v>12</v>
      </c>
      <c r="J2787" s="2" t="s">
        <v>12</v>
      </c>
      <c r="K2787" s="2" t="s">
        <v>12</v>
      </c>
    </row>
    <row r="2788" spans="1:11" ht="12.5" x14ac:dyDescent="0.25">
      <c r="A2788" s="3" t="e">
        <f ca="1"/>
        <v>#NAME?</v>
      </c>
      <c r="B2788" s="2" t="s">
        <v>12</v>
      </c>
      <c r="C2788" s="2" t="s">
        <v>12</v>
      </c>
      <c r="D2788" s="2" t="s">
        <v>12</v>
      </c>
      <c r="E2788" s="2" t="s">
        <v>12</v>
      </c>
      <c r="F2788" s="2" t="s">
        <v>12</v>
      </c>
      <c r="G2788" s="2" t="s">
        <v>12</v>
      </c>
      <c r="H2788" s="2" t="s">
        <v>12</v>
      </c>
      <c r="I2788" s="2" t="s">
        <v>12</v>
      </c>
      <c r="J2788" s="2" t="s">
        <v>12</v>
      </c>
      <c r="K2788" s="2" t="s">
        <v>12</v>
      </c>
    </row>
    <row r="2789" spans="1:11" ht="12.5" x14ac:dyDescent="0.25">
      <c r="A2789" s="3" t="e">
        <f ca="1"/>
        <v>#NAME?</v>
      </c>
      <c r="B2789" s="2" t="s">
        <v>12</v>
      </c>
      <c r="C2789" s="2" t="s">
        <v>12</v>
      </c>
      <c r="D2789" s="2" t="s">
        <v>12</v>
      </c>
      <c r="E2789" s="2" t="s">
        <v>12</v>
      </c>
      <c r="F2789" s="2" t="s">
        <v>12</v>
      </c>
      <c r="G2789" s="2" t="s">
        <v>12</v>
      </c>
      <c r="H2789" s="2" t="s">
        <v>12</v>
      </c>
      <c r="I2789" s="2" t="s">
        <v>12</v>
      </c>
      <c r="J2789" s="2" t="s">
        <v>12</v>
      </c>
      <c r="K2789" s="2" t="s">
        <v>12</v>
      </c>
    </row>
    <row r="2790" spans="1:11" ht="12.5" x14ac:dyDescent="0.25">
      <c r="A2790" s="3" t="e">
        <f ca="1"/>
        <v>#NAME?</v>
      </c>
      <c r="B2790" s="2" t="s">
        <v>12</v>
      </c>
      <c r="C2790" s="2" t="s">
        <v>12</v>
      </c>
      <c r="D2790" s="2" t="s">
        <v>12</v>
      </c>
      <c r="E2790" s="2" t="s">
        <v>12</v>
      </c>
      <c r="F2790" s="2" t="s">
        <v>12</v>
      </c>
      <c r="G2790" s="2" t="s">
        <v>12</v>
      </c>
      <c r="H2790" s="2" t="s">
        <v>12</v>
      </c>
      <c r="I2790" s="2" t="s">
        <v>12</v>
      </c>
      <c r="J2790" s="2" t="s">
        <v>12</v>
      </c>
      <c r="K2790" s="2" t="s">
        <v>12</v>
      </c>
    </row>
    <row r="2791" spans="1:11" ht="12.5" x14ac:dyDescent="0.25">
      <c r="A2791" s="3" t="e">
        <f ca="1"/>
        <v>#NAME?</v>
      </c>
      <c r="B2791" s="2" t="s">
        <v>12</v>
      </c>
      <c r="C2791" s="2" t="s">
        <v>12</v>
      </c>
      <c r="D2791" s="2" t="s">
        <v>12</v>
      </c>
      <c r="E2791" s="2" t="s">
        <v>12</v>
      </c>
      <c r="F2791" s="2" t="s">
        <v>12</v>
      </c>
      <c r="G2791" s="2" t="s">
        <v>12</v>
      </c>
      <c r="H2791" s="2" t="s">
        <v>12</v>
      </c>
      <c r="I2791" s="2" t="s">
        <v>12</v>
      </c>
      <c r="J2791" s="2" t="s">
        <v>12</v>
      </c>
      <c r="K2791" s="2" t="s">
        <v>12</v>
      </c>
    </row>
    <row r="2792" spans="1:11" ht="12.5" x14ac:dyDescent="0.25">
      <c r="A2792" s="3" t="e">
        <f ca="1"/>
        <v>#NAME?</v>
      </c>
      <c r="B2792" s="2" t="s">
        <v>12</v>
      </c>
      <c r="C2792" s="2" t="s">
        <v>12</v>
      </c>
      <c r="D2792" s="2" t="s">
        <v>12</v>
      </c>
      <c r="E2792" s="2" t="s">
        <v>12</v>
      </c>
      <c r="F2792" s="2" t="s">
        <v>12</v>
      </c>
      <c r="G2792" s="2" t="s">
        <v>12</v>
      </c>
      <c r="H2792" s="2" t="s">
        <v>12</v>
      </c>
      <c r="I2792" s="2" t="s">
        <v>12</v>
      </c>
      <c r="J2792" s="2" t="s">
        <v>12</v>
      </c>
      <c r="K2792" s="2" t="s">
        <v>12</v>
      </c>
    </row>
    <row r="2793" spans="1:11" ht="12.5" x14ac:dyDescent="0.25">
      <c r="A2793" s="3" t="e">
        <f ca="1"/>
        <v>#NAME?</v>
      </c>
      <c r="B2793" s="2" t="s">
        <v>12</v>
      </c>
      <c r="C2793" s="2" t="s">
        <v>12</v>
      </c>
      <c r="D2793" s="2" t="s">
        <v>12</v>
      </c>
      <c r="E2793" s="2" t="s">
        <v>12</v>
      </c>
      <c r="F2793" s="2" t="s">
        <v>12</v>
      </c>
      <c r="G2793" s="2" t="s">
        <v>12</v>
      </c>
      <c r="H2793" s="2" t="s">
        <v>12</v>
      </c>
      <c r="I2793" s="2" t="s">
        <v>12</v>
      </c>
      <c r="J2793" s="2" t="s">
        <v>12</v>
      </c>
      <c r="K2793" s="2" t="s">
        <v>12</v>
      </c>
    </row>
    <row r="2794" spans="1:11" ht="12.5" x14ac:dyDescent="0.25">
      <c r="A2794" s="3" t="e">
        <f ca="1"/>
        <v>#NAME?</v>
      </c>
      <c r="B2794" s="2" t="s">
        <v>12</v>
      </c>
      <c r="C2794" s="2" t="s">
        <v>12</v>
      </c>
      <c r="D2794" s="2" t="s">
        <v>12</v>
      </c>
      <c r="E2794" s="2" t="s">
        <v>12</v>
      </c>
      <c r="F2794" s="2" t="s">
        <v>12</v>
      </c>
      <c r="G2794" s="2" t="s">
        <v>12</v>
      </c>
      <c r="H2794" s="2" t="s">
        <v>12</v>
      </c>
      <c r="I2794" s="2" t="s">
        <v>12</v>
      </c>
      <c r="J2794" s="2" t="s">
        <v>12</v>
      </c>
      <c r="K2794" s="2" t="s">
        <v>12</v>
      </c>
    </row>
    <row r="2795" spans="1:11" ht="12.5" x14ac:dyDescent="0.25">
      <c r="A2795" s="3" t="e">
        <f ca="1"/>
        <v>#NAME?</v>
      </c>
      <c r="B2795" s="2" t="s">
        <v>12</v>
      </c>
      <c r="C2795" s="2" t="s">
        <v>12</v>
      </c>
      <c r="D2795" s="2" t="s">
        <v>12</v>
      </c>
      <c r="E2795" s="2" t="s">
        <v>12</v>
      </c>
      <c r="F2795" s="2" t="s">
        <v>12</v>
      </c>
      <c r="G2795" s="2" t="s">
        <v>12</v>
      </c>
      <c r="H2795" s="2" t="s">
        <v>12</v>
      </c>
      <c r="I2795" s="2" t="s">
        <v>12</v>
      </c>
      <c r="J2795" s="2" t="s">
        <v>12</v>
      </c>
      <c r="K2795" s="2" t="s">
        <v>12</v>
      </c>
    </row>
    <row r="2796" spans="1:11" ht="12.5" x14ac:dyDescent="0.25">
      <c r="A2796" s="3" t="e">
        <f ca="1"/>
        <v>#NAME?</v>
      </c>
      <c r="B2796" s="2" t="s">
        <v>12</v>
      </c>
      <c r="C2796" s="2" t="s">
        <v>12</v>
      </c>
      <c r="D2796" s="2" t="s">
        <v>12</v>
      </c>
      <c r="E2796" s="2" t="s">
        <v>12</v>
      </c>
      <c r="F2796" s="2" t="s">
        <v>12</v>
      </c>
      <c r="G2796" s="2" t="s">
        <v>12</v>
      </c>
      <c r="H2796" s="2" t="s">
        <v>12</v>
      </c>
      <c r="I2796" s="2" t="s">
        <v>12</v>
      </c>
      <c r="J2796" s="2" t="s">
        <v>12</v>
      </c>
      <c r="K2796" s="2" t="s">
        <v>12</v>
      </c>
    </row>
    <row r="2797" spans="1:11" ht="12.5" x14ac:dyDescent="0.25">
      <c r="A2797" s="3" t="e">
        <f ca="1"/>
        <v>#NAME?</v>
      </c>
      <c r="B2797" s="2" t="s">
        <v>12</v>
      </c>
      <c r="C2797" s="2" t="s">
        <v>12</v>
      </c>
      <c r="D2797" s="2" t="s">
        <v>12</v>
      </c>
      <c r="E2797" s="2" t="s">
        <v>12</v>
      </c>
      <c r="F2797" s="2" t="s">
        <v>12</v>
      </c>
      <c r="G2797" s="2" t="s">
        <v>12</v>
      </c>
      <c r="H2797" s="2" t="s">
        <v>12</v>
      </c>
      <c r="I2797" s="2" t="s">
        <v>12</v>
      </c>
      <c r="J2797" s="2" t="s">
        <v>12</v>
      </c>
      <c r="K2797" s="2" t="s">
        <v>12</v>
      </c>
    </row>
    <row r="2798" spans="1:11" ht="12.5" x14ac:dyDescent="0.25">
      <c r="A2798" s="3" t="e">
        <f ca="1"/>
        <v>#NAME?</v>
      </c>
      <c r="B2798" s="2" t="s">
        <v>12</v>
      </c>
      <c r="C2798" s="2" t="s">
        <v>12</v>
      </c>
      <c r="D2798" s="2" t="s">
        <v>12</v>
      </c>
      <c r="E2798" s="2" t="s">
        <v>12</v>
      </c>
      <c r="F2798" s="2" t="s">
        <v>12</v>
      </c>
      <c r="G2798" s="2" t="s">
        <v>12</v>
      </c>
      <c r="H2798" s="2" t="s">
        <v>12</v>
      </c>
      <c r="I2798" s="2" t="s">
        <v>12</v>
      </c>
      <c r="J2798" s="2" t="s">
        <v>12</v>
      </c>
      <c r="K2798" s="2" t="s">
        <v>12</v>
      </c>
    </row>
    <row r="2799" spans="1:11" ht="12.5" x14ac:dyDescent="0.25">
      <c r="A2799" s="3" t="e">
        <f ca="1"/>
        <v>#NAME?</v>
      </c>
      <c r="B2799" s="2" t="s">
        <v>12</v>
      </c>
      <c r="C2799" s="2" t="s">
        <v>12</v>
      </c>
      <c r="D2799" s="2" t="s">
        <v>12</v>
      </c>
      <c r="E2799" s="2" t="s">
        <v>12</v>
      </c>
      <c r="F2799" s="2" t="s">
        <v>12</v>
      </c>
      <c r="G2799" s="2" t="s">
        <v>12</v>
      </c>
      <c r="H2799" s="2" t="s">
        <v>12</v>
      </c>
      <c r="I2799" s="2" t="s">
        <v>12</v>
      </c>
      <c r="J2799" s="2" t="s">
        <v>12</v>
      </c>
      <c r="K2799" s="2" t="s">
        <v>12</v>
      </c>
    </row>
    <row r="2800" spans="1:11" ht="12.5" x14ac:dyDescent="0.25">
      <c r="A2800" s="3" t="e">
        <f ca="1"/>
        <v>#NAME?</v>
      </c>
      <c r="B2800" s="2" t="s">
        <v>12</v>
      </c>
      <c r="C2800" s="2" t="s">
        <v>12</v>
      </c>
      <c r="D2800" s="2" t="s">
        <v>12</v>
      </c>
      <c r="E2800" s="2" t="s">
        <v>12</v>
      </c>
      <c r="F2800" s="2" t="s">
        <v>12</v>
      </c>
      <c r="G2800" s="2" t="s">
        <v>12</v>
      </c>
      <c r="H2800" s="2" t="s">
        <v>12</v>
      </c>
      <c r="I2800" s="2" t="s">
        <v>12</v>
      </c>
      <c r="J2800" s="2" t="s">
        <v>12</v>
      </c>
      <c r="K2800" s="2" t="s">
        <v>12</v>
      </c>
    </row>
    <row r="2801" spans="1:11" ht="12.5" x14ac:dyDescent="0.25">
      <c r="A2801" s="3" t="e">
        <f ca="1"/>
        <v>#NAME?</v>
      </c>
      <c r="B2801" s="2" t="s">
        <v>12</v>
      </c>
      <c r="C2801" s="2" t="s">
        <v>12</v>
      </c>
      <c r="D2801" s="2" t="s">
        <v>12</v>
      </c>
      <c r="E2801" s="2" t="s">
        <v>12</v>
      </c>
      <c r="F2801" s="2" t="s">
        <v>12</v>
      </c>
      <c r="G2801" s="2" t="s">
        <v>12</v>
      </c>
      <c r="H2801" s="2" t="s">
        <v>12</v>
      </c>
      <c r="I2801" s="2" t="s">
        <v>12</v>
      </c>
      <c r="J2801" s="2" t="s">
        <v>12</v>
      </c>
      <c r="K2801" s="2" t="s">
        <v>12</v>
      </c>
    </row>
    <row r="2802" spans="1:11" ht="12.5" x14ac:dyDescent="0.25">
      <c r="A2802" s="3" t="e">
        <f ca="1"/>
        <v>#NAME?</v>
      </c>
      <c r="B2802" s="2" t="s">
        <v>12</v>
      </c>
      <c r="C2802" s="2" t="s">
        <v>12</v>
      </c>
      <c r="D2802" s="2" t="s">
        <v>12</v>
      </c>
      <c r="E2802" s="2" t="s">
        <v>12</v>
      </c>
      <c r="F2802" s="2" t="s">
        <v>12</v>
      </c>
      <c r="G2802" s="2" t="s">
        <v>12</v>
      </c>
      <c r="H2802" s="2" t="s">
        <v>12</v>
      </c>
      <c r="I2802" s="2" t="s">
        <v>12</v>
      </c>
      <c r="J2802" s="2" t="s">
        <v>12</v>
      </c>
      <c r="K2802" s="2" t="s">
        <v>12</v>
      </c>
    </row>
    <row r="2803" spans="1:11" ht="12.5" x14ac:dyDescent="0.25">
      <c r="A2803" s="3" t="e">
        <f ca="1"/>
        <v>#NAME?</v>
      </c>
      <c r="B2803" s="2" t="s">
        <v>12</v>
      </c>
      <c r="C2803" s="2" t="s">
        <v>12</v>
      </c>
      <c r="D2803" s="2" t="s">
        <v>12</v>
      </c>
      <c r="E2803" s="2" t="s">
        <v>12</v>
      </c>
      <c r="F2803" s="2" t="s">
        <v>12</v>
      </c>
      <c r="G2803" s="2" t="s">
        <v>12</v>
      </c>
      <c r="H2803" s="2" t="s">
        <v>12</v>
      </c>
      <c r="I2803" s="2" t="s">
        <v>12</v>
      </c>
      <c r="J2803" s="2" t="s">
        <v>12</v>
      </c>
      <c r="K2803" s="2" t="s">
        <v>12</v>
      </c>
    </row>
    <row r="2804" spans="1:11" ht="12.5" x14ac:dyDescent="0.25">
      <c r="A2804" s="3" t="e">
        <f ca="1"/>
        <v>#NAME?</v>
      </c>
      <c r="B2804" s="2" t="s">
        <v>12</v>
      </c>
      <c r="C2804" s="2" t="s">
        <v>12</v>
      </c>
      <c r="D2804" s="2" t="s">
        <v>12</v>
      </c>
      <c r="E2804" s="2" t="s">
        <v>12</v>
      </c>
      <c r="F2804" s="2" t="s">
        <v>12</v>
      </c>
      <c r="G2804" s="2" t="s">
        <v>12</v>
      </c>
      <c r="H2804" s="2" t="s">
        <v>12</v>
      </c>
      <c r="I2804" s="2" t="s">
        <v>12</v>
      </c>
      <c r="J2804" s="2" t="s">
        <v>12</v>
      </c>
      <c r="K2804" s="2" t="s">
        <v>12</v>
      </c>
    </row>
    <row r="2805" spans="1:11" ht="12.5" x14ac:dyDescent="0.25">
      <c r="A2805" s="3" t="e">
        <f ca="1"/>
        <v>#NAME?</v>
      </c>
      <c r="B2805" s="2" t="s">
        <v>12</v>
      </c>
      <c r="C2805" s="2" t="s">
        <v>12</v>
      </c>
      <c r="D2805" s="2" t="s">
        <v>12</v>
      </c>
      <c r="E2805" s="2" t="s">
        <v>12</v>
      </c>
      <c r="F2805" s="2" t="s">
        <v>12</v>
      </c>
      <c r="G2805" s="2" t="s">
        <v>12</v>
      </c>
      <c r="H2805" s="2" t="s">
        <v>12</v>
      </c>
      <c r="I2805" s="2" t="s">
        <v>12</v>
      </c>
      <c r="J2805" s="2" t="s">
        <v>12</v>
      </c>
      <c r="K2805" s="2" t="s">
        <v>12</v>
      </c>
    </row>
    <row r="2806" spans="1:11" ht="12.5" x14ac:dyDescent="0.25">
      <c r="A2806" s="3" t="e">
        <f ca="1"/>
        <v>#NAME?</v>
      </c>
      <c r="B2806" s="2" t="s">
        <v>12</v>
      </c>
      <c r="C2806" s="2" t="s">
        <v>12</v>
      </c>
      <c r="D2806" s="2" t="s">
        <v>12</v>
      </c>
      <c r="E2806" s="2" t="s">
        <v>12</v>
      </c>
      <c r="F2806" s="2" t="s">
        <v>12</v>
      </c>
      <c r="G2806" s="2" t="s">
        <v>12</v>
      </c>
      <c r="H2806" s="2" t="s">
        <v>12</v>
      </c>
      <c r="I2806" s="2" t="s">
        <v>12</v>
      </c>
      <c r="J2806" s="2" t="s">
        <v>12</v>
      </c>
      <c r="K2806" s="2" t="s">
        <v>12</v>
      </c>
    </row>
    <row r="2807" spans="1:11" ht="12.5" x14ac:dyDescent="0.25">
      <c r="A2807" s="3" t="e">
        <f ca="1"/>
        <v>#NAME?</v>
      </c>
      <c r="B2807" s="2" t="s">
        <v>12</v>
      </c>
      <c r="C2807" s="2" t="s">
        <v>12</v>
      </c>
      <c r="D2807" s="2" t="s">
        <v>12</v>
      </c>
      <c r="E2807" s="2" t="s">
        <v>12</v>
      </c>
      <c r="F2807" s="2" t="s">
        <v>12</v>
      </c>
      <c r="G2807" s="2" t="s">
        <v>12</v>
      </c>
      <c r="H2807" s="2" t="s">
        <v>12</v>
      </c>
      <c r="I2807" s="2" t="s">
        <v>12</v>
      </c>
      <c r="J2807" s="2" t="s">
        <v>12</v>
      </c>
      <c r="K2807" s="2" t="s">
        <v>12</v>
      </c>
    </row>
    <row r="2808" spans="1:11" ht="12.5" x14ac:dyDescent="0.25">
      <c r="A2808" s="3" t="e">
        <f ca="1"/>
        <v>#NAME?</v>
      </c>
      <c r="B2808" s="2" t="s">
        <v>12</v>
      </c>
      <c r="C2808" s="2" t="s">
        <v>12</v>
      </c>
      <c r="D2808" s="2" t="s">
        <v>12</v>
      </c>
      <c r="E2808" s="2" t="s">
        <v>12</v>
      </c>
      <c r="F2808" s="2" t="s">
        <v>12</v>
      </c>
      <c r="G2808" s="2" t="s">
        <v>12</v>
      </c>
      <c r="H2808" s="2" t="s">
        <v>12</v>
      </c>
      <c r="I2808" s="2" t="s">
        <v>12</v>
      </c>
      <c r="J2808" s="2" t="s">
        <v>12</v>
      </c>
      <c r="K2808" s="2" t="s">
        <v>12</v>
      </c>
    </row>
    <row r="2809" spans="1:11" ht="12.5" x14ac:dyDescent="0.25">
      <c r="A2809" s="3" t="e">
        <f ca="1"/>
        <v>#NAME?</v>
      </c>
      <c r="B2809" s="2" t="s">
        <v>12</v>
      </c>
      <c r="C2809" s="2" t="s">
        <v>12</v>
      </c>
      <c r="D2809" s="2" t="s">
        <v>12</v>
      </c>
      <c r="E2809" s="2" t="s">
        <v>12</v>
      </c>
      <c r="F2809" s="2" t="s">
        <v>12</v>
      </c>
      <c r="G2809" s="2" t="s">
        <v>12</v>
      </c>
      <c r="H2809" s="2" t="s">
        <v>12</v>
      </c>
      <c r="I2809" s="2" t="s">
        <v>12</v>
      </c>
      <c r="J2809" s="2" t="s">
        <v>12</v>
      </c>
      <c r="K2809" s="2" t="s">
        <v>12</v>
      </c>
    </row>
    <row r="2810" spans="1:11" ht="12.5" x14ac:dyDescent="0.25">
      <c r="A2810" s="3" t="e">
        <f ca="1"/>
        <v>#NAME?</v>
      </c>
      <c r="B2810" s="2" t="s">
        <v>12</v>
      </c>
      <c r="C2810" s="2" t="s">
        <v>12</v>
      </c>
      <c r="D2810" s="2" t="s">
        <v>12</v>
      </c>
      <c r="E2810" s="2" t="s">
        <v>12</v>
      </c>
      <c r="F2810" s="2" t="s">
        <v>12</v>
      </c>
      <c r="G2810" s="2" t="s">
        <v>12</v>
      </c>
      <c r="H2810" s="2" t="s">
        <v>12</v>
      </c>
      <c r="I2810" s="2" t="s">
        <v>12</v>
      </c>
      <c r="J2810" s="2" t="s">
        <v>12</v>
      </c>
      <c r="K2810" s="2" t="s">
        <v>12</v>
      </c>
    </row>
    <row r="2811" spans="1:11" ht="12.5" x14ac:dyDescent="0.25">
      <c r="A2811" s="3" t="e">
        <f ca="1"/>
        <v>#NAME?</v>
      </c>
      <c r="B2811" s="2" t="s">
        <v>12</v>
      </c>
      <c r="C2811" s="2" t="s">
        <v>12</v>
      </c>
      <c r="D2811" s="2" t="s">
        <v>12</v>
      </c>
      <c r="E2811" s="2" t="s">
        <v>12</v>
      </c>
      <c r="F2811" s="2" t="s">
        <v>12</v>
      </c>
      <c r="G2811" s="2" t="s">
        <v>12</v>
      </c>
      <c r="H2811" s="2" t="s">
        <v>12</v>
      </c>
      <c r="I2811" s="2" t="s">
        <v>12</v>
      </c>
      <c r="J2811" s="2" t="s">
        <v>12</v>
      </c>
      <c r="K2811" s="2" t="s">
        <v>12</v>
      </c>
    </row>
    <row r="2812" spans="1:11" ht="12.5" x14ac:dyDescent="0.25">
      <c r="A2812" s="3" t="e">
        <f ca="1"/>
        <v>#NAME?</v>
      </c>
      <c r="B2812" s="2" t="s">
        <v>12</v>
      </c>
      <c r="C2812" s="2" t="s">
        <v>12</v>
      </c>
      <c r="D2812" s="2" t="s">
        <v>12</v>
      </c>
      <c r="E2812" s="2" t="s">
        <v>12</v>
      </c>
      <c r="F2812" s="2" t="s">
        <v>12</v>
      </c>
      <c r="G2812" s="2" t="s">
        <v>12</v>
      </c>
      <c r="H2812" s="2" t="s">
        <v>12</v>
      </c>
      <c r="I2812" s="2" t="s">
        <v>12</v>
      </c>
      <c r="J2812" s="2" t="s">
        <v>12</v>
      </c>
      <c r="K2812" s="2" t="s">
        <v>12</v>
      </c>
    </row>
    <row r="2813" spans="1:11" ht="12.5" x14ac:dyDescent="0.25">
      <c r="A2813" s="3" t="e">
        <f ca="1"/>
        <v>#NAME?</v>
      </c>
      <c r="B2813" s="2" t="s">
        <v>12</v>
      </c>
      <c r="C2813" s="2" t="s">
        <v>12</v>
      </c>
      <c r="D2813" s="2" t="s">
        <v>12</v>
      </c>
      <c r="E2813" s="2" t="s">
        <v>12</v>
      </c>
      <c r="F2813" s="2" t="s">
        <v>12</v>
      </c>
      <c r="G2813" s="2" t="s">
        <v>12</v>
      </c>
      <c r="H2813" s="2" t="s">
        <v>12</v>
      </c>
      <c r="I2813" s="2" t="s">
        <v>12</v>
      </c>
      <c r="J2813" s="2" t="s">
        <v>12</v>
      </c>
      <c r="K2813" s="2" t="s">
        <v>12</v>
      </c>
    </row>
    <row r="2814" spans="1:11" ht="12.5" x14ac:dyDescent="0.25">
      <c r="A2814" s="3" t="e">
        <f ca="1"/>
        <v>#NAME?</v>
      </c>
      <c r="B2814" s="2" t="s">
        <v>12</v>
      </c>
      <c r="C2814" s="2" t="s">
        <v>12</v>
      </c>
      <c r="D2814" s="2" t="s">
        <v>12</v>
      </c>
      <c r="E2814" s="2" t="s">
        <v>12</v>
      </c>
      <c r="F2814" s="2" t="s">
        <v>12</v>
      </c>
      <c r="G2814" s="2" t="s">
        <v>12</v>
      </c>
      <c r="H2814" s="2" t="s">
        <v>12</v>
      </c>
      <c r="I2814" s="2" t="s">
        <v>12</v>
      </c>
      <c r="J2814" s="2" t="s">
        <v>12</v>
      </c>
      <c r="K2814" s="2" t="s">
        <v>12</v>
      </c>
    </row>
    <row r="2815" spans="1:11" ht="12.5" x14ac:dyDescent="0.25">
      <c r="A2815" s="3" t="e">
        <f ca="1"/>
        <v>#NAME?</v>
      </c>
      <c r="B2815" s="2" t="s">
        <v>12</v>
      </c>
      <c r="C2815" s="2" t="s">
        <v>12</v>
      </c>
      <c r="D2815" s="2" t="s">
        <v>12</v>
      </c>
      <c r="E2815" s="2" t="s">
        <v>12</v>
      </c>
      <c r="F2815" s="2" t="s">
        <v>12</v>
      </c>
      <c r="G2815" s="2" t="s">
        <v>12</v>
      </c>
      <c r="H2815" s="2" t="s">
        <v>12</v>
      </c>
      <c r="I2815" s="2" t="s">
        <v>12</v>
      </c>
      <c r="J2815" s="2" t="s">
        <v>12</v>
      </c>
      <c r="K2815" s="2" t="s">
        <v>12</v>
      </c>
    </row>
    <row r="2816" spans="1:11" ht="12.5" x14ac:dyDescent="0.25">
      <c r="A2816" s="3" t="e">
        <f ca="1"/>
        <v>#NAME?</v>
      </c>
      <c r="B2816" s="2" t="s">
        <v>12</v>
      </c>
      <c r="C2816" s="2" t="s">
        <v>12</v>
      </c>
      <c r="D2816" s="2" t="s">
        <v>12</v>
      </c>
      <c r="E2816" s="2" t="s">
        <v>12</v>
      </c>
      <c r="F2816" s="2" t="s">
        <v>12</v>
      </c>
      <c r="G2816" s="2" t="s">
        <v>12</v>
      </c>
      <c r="H2816" s="2" t="s">
        <v>12</v>
      </c>
      <c r="I2816" s="2" t="s">
        <v>12</v>
      </c>
      <c r="J2816" s="2" t="s">
        <v>12</v>
      </c>
      <c r="K2816" s="2" t="s">
        <v>12</v>
      </c>
    </row>
    <row r="2817" spans="1:11" ht="12.5" x14ac:dyDescent="0.25">
      <c r="A2817" s="3" t="e">
        <f ca="1"/>
        <v>#NAME?</v>
      </c>
      <c r="B2817" s="2" t="s">
        <v>12</v>
      </c>
      <c r="C2817" s="2" t="s">
        <v>12</v>
      </c>
      <c r="D2817" s="2" t="s">
        <v>12</v>
      </c>
      <c r="E2817" s="2" t="s">
        <v>12</v>
      </c>
      <c r="F2817" s="2" t="s">
        <v>12</v>
      </c>
      <c r="G2817" s="2" t="s">
        <v>12</v>
      </c>
      <c r="H2817" s="2" t="s">
        <v>12</v>
      </c>
      <c r="I2817" s="2" t="s">
        <v>12</v>
      </c>
      <c r="J2817" s="2" t="s">
        <v>12</v>
      </c>
      <c r="K2817" s="2" t="s">
        <v>12</v>
      </c>
    </row>
    <row r="2818" spans="1:11" ht="12.5" x14ac:dyDescent="0.25">
      <c r="A2818" s="3" t="e">
        <f ca="1"/>
        <v>#NAME?</v>
      </c>
      <c r="B2818" s="2" t="s">
        <v>12</v>
      </c>
      <c r="C2818" s="2" t="s">
        <v>12</v>
      </c>
      <c r="D2818" s="2" t="s">
        <v>12</v>
      </c>
      <c r="E2818" s="2" t="s">
        <v>12</v>
      </c>
      <c r="F2818" s="2" t="s">
        <v>12</v>
      </c>
      <c r="G2818" s="2" t="s">
        <v>12</v>
      </c>
      <c r="H2818" s="2" t="s">
        <v>12</v>
      </c>
      <c r="I2818" s="2" t="s">
        <v>12</v>
      </c>
      <c r="J2818" s="2" t="s">
        <v>12</v>
      </c>
      <c r="K2818" s="2" t="s">
        <v>12</v>
      </c>
    </row>
    <row r="2819" spans="1:11" ht="12.5" x14ac:dyDescent="0.25">
      <c r="A2819" s="3" t="e">
        <f ca="1"/>
        <v>#NAME?</v>
      </c>
      <c r="B2819" s="2" t="s">
        <v>12</v>
      </c>
      <c r="C2819" s="2" t="s">
        <v>12</v>
      </c>
      <c r="D2819" s="2" t="s">
        <v>12</v>
      </c>
      <c r="E2819" s="2" t="s">
        <v>12</v>
      </c>
      <c r="F2819" s="2" t="s">
        <v>12</v>
      </c>
      <c r="G2819" s="2" t="s">
        <v>12</v>
      </c>
      <c r="H2819" s="2" t="s">
        <v>12</v>
      </c>
      <c r="I2819" s="2" t="s">
        <v>12</v>
      </c>
      <c r="J2819" s="2" t="s">
        <v>12</v>
      </c>
      <c r="K2819" s="2" t="s">
        <v>12</v>
      </c>
    </row>
    <row r="2820" spans="1:11" ht="12.5" x14ac:dyDescent="0.25">
      <c r="A2820" s="3" t="e">
        <f ca="1"/>
        <v>#NAME?</v>
      </c>
      <c r="B2820" s="2" t="s">
        <v>12</v>
      </c>
      <c r="C2820" s="2" t="s">
        <v>12</v>
      </c>
      <c r="D2820" s="2" t="s">
        <v>12</v>
      </c>
      <c r="E2820" s="2" t="s">
        <v>12</v>
      </c>
      <c r="F2820" s="2" t="s">
        <v>12</v>
      </c>
      <c r="G2820" s="2" t="s">
        <v>12</v>
      </c>
      <c r="H2820" s="2" t="s">
        <v>12</v>
      </c>
      <c r="I2820" s="2" t="s">
        <v>12</v>
      </c>
      <c r="J2820" s="2" t="s">
        <v>12</v>
      </c>
      <c r="K2820" s="2" t="s">
        <v>12</v>
      </c>
    </row>
    <row r="2821" spans="1:11" ht="12.5" x14ac:dyDescent="0.25">
      <c r="A2821" s="3" t="e">
        <f ca="1"/>
        <v>#NAME?</v>
      </c>
      <c r="B2821" s="2" t="s">
        <v>12</v>
      </c>
      <c r="C2821" s="2" t="s">
        <v>12</v>
      </c>
      <c r="D2821" s="2" t="s">
        <v>12</v>
      </c>
      <c r="E2821" s="2" t="s">
        <v>12</v>
      </c>
      <c r="F2821" s="2" t="s">
        <v>12</v>
      </c>
      <c r="G2821" s="2" t="s">
        <v>12</v>
      </c>
      <c r="H2821" s="2" t="s">
        <v>12</v>
      </c>
      <c r="I2821" s="2" t="s">
        <v>12</v>
      </c>
      <c r="J2821" s="2" t="s">
        <v>12</v>
      </c>
      <c r="K2821" s="2" t="s">
        <v>12</v>
      </c>
    </row>
    <row r="2822" spans="1:11" ht="12.5" x14ac:dyDescent="0.25">
      <c r="A2822" s="3" t="e">
        <f ca="1"/>
        <v>#NAME?</v>
      </c>
      <c r="B2822" s="2" t="s">
        <v>12</v>
      </c>
      <c r="C2822" s="2" t="s">
        <v>12</v>
      </c>
      <c r="D2822" s="2" t="s">
        <v>12</v>
      </c>
      <c r="E2822" s="2" t="s">
        <v>12</v>
      </c>
      <c r="F2822" s="2" t="s">
        <v>12</v>
      </c>
      <c r="G2822" s="2" t="s">
        <v>12</v>
      </c>
      <c r="H2822" s="2" t="s">
        <v>12</v>
      </c>
      <c r="I2822" s="2" t="s">
        <v>12</v>
      </c>
      <c r="J2822" s="2" t="s">
        <v>12</v>
      </c>
      <c r="K2822" s="2" t="s">
        <v>12</v>
      </c>
    </row>
    <row r="2823" spans="1:11" ht="12.5" x14ac:dyDescent="0.25">
      <c r="A2823" s="3" t="e">
        <f ca="1"/>
        <v>#NAME?</v>
      </c>
      <c r="B2823" s="2" t="s">
        <v>12</v>
      </c>
      <c r="C2823" s="2" t="s">
        <v>12</v>
      </c>
      <c r="D2823" s="2" t="s">
        <v>12</v>
      </c>
      <c r="E2823" s="2" t="s">
        <v>12</v>
      </c>
      <c r="F2823" s="2" t="s">
        <v>12</v>
      </c>
      <c r="G2823" s="2" t="s">
        <v>12</v>
      </c>
      <c r="H2823" s="2" t="s">
        <v>12</v>
      </c>
      <c r="I2823" s="2" t="s">
        <v>12</v>
      </c>
      <c r="J2823" s="2" t="s">
        <v>12</v>
      </c>
      <c r="K2823" s="2" t="s">
        <v>12</v>
      </c>
    </row>
    <row r="2824" spans="1:11" ht="12.5" x14ac:dyDescent="0.25">
      <c r="A2824" s="3" t="e">
        <f ca="1"/>
        <v>#NAME?</v>
      </c>
      <c r="B2824" s="2" t="s">
        <v>12</v>
      </c>
      <c r="C2824" s="2" t="s">
        <v>12</v>
      </c>
      <c r="D2824" s="2" t="s">
        <v>12</v>
      </c>
      <c r="E2824" s="2" t="s">
        <v>12</v>
      </c>
      <c r="F2824" s="2" t="s">
        <v>12</v>
      </c>
      <c r="G2824" s="2" t="s">
        <v>12</v>
      </c>
      <c r="H2824" s="2" t="s">
        <v>12</v>
      </c>
      <c r="I2824" s="2" t="s">
        <v>12</v>
      </c>
      <c r="J2824" s="2" t="s">
        <v>12</v>
      </c>
      <c r="K2824" s="2" t="s">
        <v>12</v>
      </c>
    </row>
    <row r="2825" spans="1:11" ht="12.5" x14ac:dyDescent="0.25">
      <c r="A2825" s="3" t="e">
        <f ca="1"/>
        <v>#NAME?</v>
      </c>
      <c r="B2825" s="2" t="s">
        <v>12</v>
      </c>
      <c r="C2825" s="2" t="s">
        <v>12</v>
      </c>
      <c r="D2825" s="2" t="s">
        <v>12</v>
      </c>
      <c r="E2825" s="2" t="s">
        <v>12</v>
      </c>
      <c r="F2825" s="2" t="s">
        <v>12</v>
      </c>
      <c r="G2825" s="2" t="s">
        <v>12</v>
      </c>
      <c r="H2825" s="2" t="s">
        <v>12</v>
      </c>
      <c r="I2825" s="2" t="s">
        <v>12</v>
      </c>
      <c r="J2825" s="2" t="s">
        <v>12</v>
      </c>
      <c r="K2825" s="2" t="s">
        <v>12</v>
      </c>
    </row>
    <row r="2826" spans="1:11" ht="12.5" x14ac:dyDescent="0.25">
      <c r="A2826" s="3" t="e">
        <f ca="1"/>
        <v>#NAME?</v>
      </c>
      <c r="B2826" s="2" t="s">
        <v>12</v>
      </c>
      <c r="C2826" s="2" t="s">
        <v>12</v>
      </c>
      <c r="D2826" s="2" t="s">
        <v>12</v>
      </c>
      <c r="E2826" s="2" t="s">
        <v>12</v>
      </c>
      <c r="F2826" s="2" t="s">
        <v>12</v>
      </c>
      <c r="G2826" s="2" t="s">
        <v>12</v>
      </c>
      <c r="H2826" s="2" t="s">
        <v>12</v>
      </c>
      <c r="I2826" s="2" t="s">
        <v>12</v>
      </c>
      <c r="J2826" s="2" t="s">
        <v>12</v>
      </c>
      <c r="K2826" s="2" t="s">
        <v>12</v>
      </c>
    </row>
    <row r="2827" spans="1:11" ht="12.5" x14ac:dyDescent="0.25">
      <c r="A2827" s="3" t="e">
        <f ca="1"/>
        <v>#NAME?</v>
      </c>
      <c r="B2827" s="2" t="s">
        <v>12</v>
      </c>
      <c r="C2827" s="2" t="s">
        <v>12</v>
      </c>
      <c r="D2827" s="2" t="s">
        <v>12</v>
      </c>
      <c r="E2827" s="2" t="s">
        <v>12</v>
      </c>
      <c r="F2827" s="2" t="s">
        <v>12</v>
      </c>
      <c r="G2827" s="2" t="s">
        <v>12</v>
      </c>
      <c r="H2827" s="2" t="s">
        <v>12</v>
      </c>
      <c r="I2827" s="2" t="s">
        <v>12</v>
      </c>
      <c r="J2827" s="2" t="s">
        <v>12</v>
      </c>
      <c r="K2827" s="2" t="s">
        <v>12</v>
      </c>
    </row>
    <row r="2828" spans="1:11" ht="12.5" x14ac:dyDescent="0.25">
      <c r="A2828" s="3" t="e">
        <f ca="1"/>
        <v>#NAME?</v>
      </c>
      <c r="B2828" s="2" t="s">
        <v>12</v>
      </c>
      <c r="C2828" s="2" t="s">
        <v>12</v>
      </c>
      <c r="D2828" s="2" t="s">
        <v>12</v>
      </c>
      <c r="E2828" s="2" t="s">
        <v>12</v>
      </c>
      <c r="F2828" s="2" t="s">
        <v>12</v>
      </c>
      <c r="G2828" s="2" t="s">
        <v>12</v>
      </c>
      <c r="H2828" s="2" t="s">
        <v>12</v>
      </c>
      <c r="I2828" s="2" t="s">
        <v>12</v>
      </c>
      <c r="J2828" s="2" t="s">
        <v>12</v>
      </c>
      <c r="K2828" s="2" t="s">
        <v>12</v>
      </c>
    </row>
    <row r="2829" spans="1:11" ht="12.5" x14ac:dyDescent="0.25">
      <c r="A2829" s="3" t="e">
        <f ca="1"/>
        <v>#NAME?</v>
      </c>
      <c r="B2829" s="2" t="s">
        <v>12</v>
      </c>
      <c r="C2829" s="2" t="s">
        <v>12</v>
      </c>
      <c r="D2829" s="2" t="s">
        <v>12</v>
      </c>
      <c r="E2829" s="2" t="s">
        <v>12</v>
      </c>
      <c r="F2829" s="2" t="s">
        <v>12</v>
      </c>
      <c r="G2829" s="2" t="s">
        <v>12</v>
      </c>
      <c r="H2829" s="2" t="s">
        <v>12</v>
      </c>
      <c r="I2829" s="2" t="s">
        <v>12</v>
      </c>
      <c r="J2829" s="2" t="s">
        <v>12</v>
      </c>
      <c r="K2829" s="2" t="s">
        <v>12</v>
      </c>
    </row>
    <row r="2830" spans="1:11" ht="12.5" x14ac:dyDescent="0.25">
      <c r="A2830" s="3" t="e">
        <f ca="1"/>
        <v>#NAME?</v>
      </c>
      <c r="B2830" s="2" t="s">
        <v>12</v>
      </c>
      <c r="C2830" s="2" t="s">
        <v>12</v>
      </c>
      <c r="D2830" s="2" t="s">
        <v>12</v>
      </c>
      <c r="E2830" s="2" t="s">
        <v>12</v>
      </c>
      <c r="F2830" s="2" t="s">
        <v>12</v>
      </c>
      <c r="G2830" s="2" t="s">
        <v>12</v>
      </c>
      <c r="H2830" s="2" t="s">
        <v>12</v>
      </c>
      <c r="I2830" s="2" t="s">
        <v>12</v>
      </c>
      <c r="J2830" s="2" t="s">
        <v>12</v>
      </c>
      <c r="K2830" s="2" t="s">
        <v>12</v>
      </c>
    </row>
    <row r="2831" spans="1:11" ht="12.5" x14ac:dyDescent="0.25">
      <c r="A2831" s="3" t="e">
        <f ca="1"/>
        <v>#NAME?</v>
      </c>
      <c r="B2831" s="2" t="s">
        <v>12</v>
      </c>
      <c r="C2831" s="2" t="s">
        <v>12</v>
      </c>
      <c r="D2831" s="2" t="s">
        <v>12</v>
      </c>
      <c r="E2831" s="2" t="s">
        <v>12</v>
      </c>
      <c r="F2831" s="2" t="s">
        <v>12</v>
      </c>
      <c r="G2831" s="2" t="s">
        <v>12</v>
      </c>
      <c r="H2831" s="2" t="s">
        <v>12</v>
      </c>
      <c r="I2831" s="2" t="s">
        <v>12</v>
      </c>
      <c r="J2831" s="2" t="s">
        <v>12</v>
      </c>
      <c r="K2831" s="2" t="s">
        <v>12</v>
      </c>
    </row>
    <row r="2832" spans="1:11" ht="12.5" x14ac:dyDescent="0.25">
      <c r="A2832" s="3" t="e">
        <f ca="1"/>
        <v>#NAME?</v>
      </c>
      <c r="B2832" s="2" t="s">
        <v>12</v>
      </c>
      <c r="C2832" s="2" t="s">
        <v>12</v>
      </c>
      <c r="D2832" s="2" t="s">
        <v>12</v>
      </c>
      <c r="E2832" s="2" t="s">
        <v>12</v>
      </c>
      <c r="F2832" s="2" t="s">
        <v>12</v>
      </c>
      <c r="G2832" s="2" t="s">
        <v>12</v>
      </c>
      <c r="H2832" s="2" t="s">
        <v>12</v>
      </c>
      <c r="I2832" s="2" t="s">
        <v>12</v>
      </c>
      <c r="J2832" s="2" t="s">
        <v>12</v>
      </c>
      <c r="K2832" s="2" t="s">
        <v>12</v>
      </c>
    </row>
    <row r="2833" spans="1:11" ht="12.5" x14ac:dyDescent="0.25">
      <c r="A2833" s="3" t="e">
        <f ca="1"/>
        <v>#NAME?</v>
      </c>
      <c r="B2833" s="2" t="s">
        <v>12</v>
      </c>
      <c r="C2833" s="2" t="s">
        <v>12</v>
      </c>
      <c r="D2833" s="2" t="s">
        <v>12</v>
      </c>
      <c r="E2833" s="2" t="s">
        <v>12</v>
      </c>
      <c r="F2833" s="2" t="s">
        <v>12</v>
      </c>
      <c r="G2833" s="2" t="s">
        <v>12</v>
      </c>
      <c r="H2833" s="2" t="s">
        <v>12</v>
      </c>
      <c r="I2833" s="2" t="s">
        <v>12</v>
      </c>
      <c r="J2833" s="2" t="s">
        <v>12</v>
      </c>
      <c r="K2833" s="2" t="s">
        <v>12</v>
      </c>
    </row>
    <row r="2834" spans="1:11" ht="12.5" x14ac:dyDescent="0.25">
      <c r="A2834" s="3" t="e">
        <f ca="1"/>
        <v>#NAME?</v>
      </c>
      <c r="B2834" s="2" t="s">
        <v>12</v>
      </c>
      <c r="C2834" s="2" t="s">
        <v>12</v>
      </c>
      <c r="D2834" s="2" t="s">
        <v>12</v>
      </c>
      <c r="E2834" s="2" t="s">
        <v>12</v>
      </c>
      <c r="F2834" s="2" t="s">
        <v>12</v>
      </c>
      <c r="G2834" s="2" t="s">
        <v>12</v>
      </c>
      <c r="H2834" s="2" t="s">
        <v>12</v>
      </c>
      <c r="I2834" s="2" t="s">
        <v>12</v>
      </c>
      <c r="J2834" s="2" t="s">
        <v>12</v>
      </c>
      <c r="K2834" s="2" t="s">
        <v>12</v>
      </c>
    </row>
    <row r="2835" spans="1:11" ht="12.5" x14ac:dyDescent="0.25">
      <c r="A2835" s="3" t="e">
        <f ca="1"/>
        <v>#NAME?</v>
      </c>
      <c r="B2835" s="2" t="s">
        <v>12</v>
      </c>
      <c r="C2835" s="2" t="s">
        <v>12</v>
      </c>
      <c r="D2835" s="2" t="s">
        <v>12</v>
      </c>
      <c r="E2835" s="2" t="s">
        <v>12</v>
      </c>
      <c r="F2835" s="2" t="s">
        <v>12</v>
      </c>
      <c r="G2835" s="2" t="s">
        <v>12</v>
      </c>
      <c r="H2835" s="2" t="s">
        <v>12</v>
      </c>
      <c r="I2835" s="2" t="s">
        <v>12</v>
      </c>
      <c r="J2835" s="2" t="s">
        <v>12</v>
      </c>
      <c r="K2835" s="2" t="s">
        <v>12</v>
      </c>
    </row>
    <row r="2836" spans="1:11" ht="12.5" x14ac:dyDescent="0.25">
      <c r="A2836" s="3" t="e">
        <f ca="1"/>
        <v>#NAME?</v>
      </c>
      <c r="B2836" s="2" t="s">
        <v>12</v>
      </c>
      <c r="C2836" s="2" t="s">
        <v>12</v>
      </c>
      <c r="D2836" s="2" t="s">
        <v>12</v>
      </c>
      <c r="E2836" s="2" t="s">
        <v>12</v>
      </c>
      <c r="F2836" s="2" t="s">
        <v>12</v>
      </c>
      <c r="G2836" s="2" t="s">
        <v>12</v>
      </c>
      <c r="H2836" s="2" t="s">
        <v>12</v>
      </c>
      <c r="I2836" s="2" t="s">
        <v>12</v>
      </c>
      <c r="J2836" s="2" t="s">
        <v>12</v>
      </c>
      <c r="K2836" s="2" t="s">
        <v>12</v>
      </c>
    </row>
    <row r="2837" spans="1:11" ht="12.5" x14ac:dyDescent="0.25">
      <c r="A2837" s="3" t="e">
        <f ca="1"/>
        <v>#NAME?</v>
      </c>
      <c r="B2837" s="2" t="s">
        <v>12</v>
      </c>
      <c r="C2837" s="2" t="s">
        <v>12</v>
      </c>
      <c r="D2837" s="2" t="s">
        <v>12</v>
      </c>
      <c r="E2837" s="2" t="s">
        <v>12</v>
      </c>
      <c r="F2837" s="2" t="s">
        <v>12</v>
      </c>
      <c r="G2837" s="2" t="s">
        <v>12</v>
      </c>
      <c r="H2837" s="2" t="s">
        <v>12</v>
      </c>
      <c r="I2837" s="2" t="s">
        <v>12</v>
      </c>
      <c r="J2837" s="2" t="s">
        <v>12</v>
      </c>
      <c r="K2837" s="2" t="s">
        <v>12</v>
      </c>
    </row>
    <row r="2838" spans="1:11" ht="12.5" x14ac:dyDescent="0.25">
      <c r="A2838" s="3" t="e">
        <f ca="1"/>
        <v>#NAME?</v>
      </c>
      <c r="B2838" s="2" t="s">
        <v>12</v>
      </c>
      <c r="C2838" s="2" t="s">
        <v>12</v>
      </c>
      <c r="D2838" s="2" t="s">
        <v>12</v>
      </c>
      <c r="E2838" s="2" t="s">
        <v>12</v>
      </c>
      <c r="F2838" s="2" t="s">
        <v>12</v>
      </c>
      <c r="G2838" s="2" t="s">
        <v>12</v>
      </c>
      <c r="H2838" s="2" t="s">
        <v>12</v>
      </c>
      <c r="I2838" s="2" t="s">
        <v>12</v>
      </c>
      <c r="J2838" s="2" t="s">
        <v>12</v>
      </c>
      <c r="K2838" s="2" t="s">
        <v>12</v>
      </c>
    </row>
    <row r="2839" spans="1:11" ht="12.5" x14ac:dyDescent="0.25">
      <c r="A2839" s="3" t="e">
        <f ca="1"/>
        <v>#NAME?</v>
      </c>
      <c r="B2839" s="2" t="s">
        <v>12</v>
      </c>
      <c r="C2839" s="2" t="s">
        <v>12</v>
      </c>
      <c r="D2839" s="2" t="s">
        <v>12</v>
      </c>
      <c r="E2839" s="2" t="s">
        <v>12</v>
      </c>
      <c r="F2839" s="2" t="s">
        <v>12</v>
      </c>
      <c r="G2839" s="2" t="s">
        <v>12</v>
      </c>
      <c r="H2839" s="2" t="s">
        <v>12</v>
      </c>
      <c r="I2839" s="2" t="s">
        <v>12</v>
      </c>
      <c r="J2839" s="2" t="s">
        <v>12</v>
      </c>
      <c r="K2839" s="2" t="s">
        <v>12</v>
      </c>
    </row>
    <row r="2840" spans="1:11" ht="12.5" x14ac:dyDescent="0.25">
      <c r="A2840" s="3" t="e">
        <f ca="1"/>
        <v>#NAME?</v>
      </c>
      <c r="B2840" s="2" t="s">
        <v>12</v>
      </c>
      <c r="C2840" s="2" t="s">
        <v>12</v>
      </c>
      <c r="D2840" s="2" t="s">
        <v>12</v>
      </c>
      <c r="E2840" s="2" t="s">
        <v>12</v>
      </c>
      <c r="F2840" s="2" t="s">
        <v>12</v>
      </c>
      <c r="G2840" s="2" t="s">
        <v>12</v>
      </c>
      <c r="H2840" s="2" t="s">
        <v>12</v>
      </c>
      <c r="I2840" s="2" t="s">
        <v>12</v>
      </c>
      <c r="J2840" s="2" t="s">
        <v>12</v>
      </c>
      <c r="K2840" s="2" t="s">
        <v>12</v>
      </c>
    </row>
    <row r="2841" spans="1:11" ht="12.5" x14ac:dyDescent="0.25">
      <c r="A2841" s="3" t="e">
        <f ca="1"/>
        <v>#NAME?</v>
      </c>
      <c r="B2841" s="2" t="s">
        <v>12</v>
      </c>
      <c r="C2841" s="2" t="s">
        <v>12</v>
      </c>
      <c r="D2841" s="2" t="s">
        <v>12</v>
      </c>
      <c r="E2841" s="2" t="s">
        <v>12</v>
      </c>
      <c r="F2841" s="2" t="s">
        <v>12</v>
      </c>
      <c r="G2841" s="2" t="s">
        <v>12</v>
      </c>
      <c r="H2841" s="2" t="s">
        <v>12</v>
      </c>
      <c r="I2841" s="2" t="s">
        <v>12</v>
      </c>
      <c r="J2841" s="2" t="s">
        <v>12</v>
      </c>
      <c r="K2841" s="2" t="s">
        <v>12</v>
      </c>
    </row>
    <row r="2842" spans="1:11" ht="12.5" x14ac:dyDescent="0.25">
      <c r="A2842" s="3" t="e">
        <f ca="1"/>
        <v>#NAME?</v>
      </c>
      <c r="B2842" s="2" t="s">
        <v>12</v>
      </c>
      <c r="C2842" s="2" t="s">
        <v>12</v>
      </c>
      <c r="D2842" s="2" t="s">
        <v>12</v>
      </c>
      <c r="E2842" s="2" t="s">
        <v>12</v>
      </c>
      <c r="F2842" s="2" t="s">
        <v>12</v>
      </c>
      <c r="G2842" s="2" t="s">
        <v>12</v>
      </c>
      <c r="H2842" s="2" t="s">
        <v>12</v>
      </c>
      <c r="I2842" s="2" t="s">
        <v>12</v>
      </c>
      <c r="J2842" s="2" t="s">
        <v>12</v>
      </c>
      <c r="K2842" s="2" t="s">
        <v>12</v>
      </c>
    </row>
    <row r="2843" spans="1:11" ht="12.5" x14ac:dyDescent="0.25">
      <c r="A2843" s="3" t="e">
        <f ca="1"/>
        <v>#NAME?</v>
      </c>
      <c r="B2843" s="2" t="s">
        <v>12</v>
      </c>
      <c r="C2843" s="2" t="s">
        <v>12</v>
      </c>
      <c r="D2843" s="2" t="s">
        <v>12</v>
      </c>
      <c r="E2843" s="2" t="s">
        <v>12</v>
      </c>
      <c r="F2843" s="2" t="s">
        <v>12</v>
      </c>
      <c r="G2843" s="2" t="s">
        <v>12</v>
      </c>
      <c r="H2843" s="2" t="s">
        <v>12</v>
      </c>
      <c r="I2843" s="2" t="s">
        <v>12</v>
      </c>
      <c r="J2843" s="2" t="s">
        <v>12</v>
      </c>
      <c r="K2843" s="2" t="s">
        <v>12</v>
      </c>
    </row>
    <row r="2844" spans="1:11" ht="12.5" x14ac:dyDescent="0.25">
      <c r="A2844" s="3" t="e">
        <f ca="1"/>
        <v>#NAME?</v>
      </c>
      <c r="B2844" s="2" t="s">
        <v>12</v>
      </c>
      <c r="C2844" s="2" t="s">
        <v>12</v>
      </c>
      <c r="D2844" s="2" t="s">
        <v>12</v>
      </c>
      <c r="E2844" s="2" t="s">
        <v>12</v>
      </c>
      <c r="F2844" s="2" t="s">
        <v>12</v>
      </c>
      <c r="G2844" s="2" t="s">
        <v>12</v>
      </c>
      <c r="H2844" s="2" t="s">
        <v>12</v>
      </c>
      <c r="I2844" s="2" t="s">
        <v>12</v>
      </c>
      <c r="J2844" s="2" t="s">
        <v>12</v>
      </c>
      <c r="K2844" s="2" t="s">
        <v>12</v>
      </c>
    </row>
    <row r="2845" spans="1:11" ht="12.5" x14ac:dyDescent="0.25">
      <c r="A2845" s="3" t="e">
        <f ca="1"/>
        <v>#NAME?</v>
      </c>
      <c r="B2845" s="2" t="s">
        <v>12</v>
      </c>
      <c r="C2845" s="2" t="s">
        <v>12</v>
      </c>
      <c r="D2845" s="2" t="s">
        <v>12</v>
      </c>
      <c r="E2845" s="2" t="s">
        <v>12</v>
      </c>
      <c r="F2845" s="2" t="s">
        <v>12</v>
      </c>
      <c r="G2845" s="2" t="s">
        <v>12</v>
      </c>
      <c r="H2845" s="2" t="s">
        <v>12</v>
      </c>
      <c r="I2845" s="2" t="s">
        <v>12</v>
      </c>
      <c r="J2845" s="2" t="s">
        <v>12</v>
      </c>
      <c r="K2845" s="2" t="s">
        <v>12</v>
      </c>
    </row>
    <row r="2846" spans="1:11" ht="12.5" x14ac:dyDescent="0.25">
      <c r="A2846" s="3" t="e">
        <f ca="1"/>
        <v>#NAME?</v>
      </c>
      <c r="B2846" s="2" t="s">
        <v>12</v>
      </c>
      <c r="C2846" s="2" t="s">
        <v>12</v>
      </c>
      <c r="D2846" s="2" t="s">
        <v>12</v>
      </c>
      <c r="E2846" s="2" t="s">
        <v>12</v>
      </c>
      <c r="F2846" s="2" t="s">
        <v>12</v>
      </c>
      <c r="G2846" s="2" t="s">
        <v>12</v>
      </c>
      <c r="H2846" s="2" t="s">
        <v>12</v>
      </c>
      <c r="I2846" s="2" t="s">
        <v>12</v>
      </c>
      <c r="J2846" s="2" t="s">
        <v>12</v>
      </c>
      <c r="K2846" s="2" t="s">
        <v>12</v>
      </c>
    </row>
    <row r="2847" spans="1:11" ht="12.5" x14ac:dyDescent="0.25">
      <c r="A2847" s="3" t="e">
        <f ca="1"/>
        <v>#NAME?</v>
      </c>
      <c r="B2847" s="2" t="s">
        <v>12</v>
      </c>
      <c r="C2847" s="2" t="s">
        <v>12</v>
      </c>
      <c r="D2847" s="2" t="s">
        <v>12</v>
      </c>
      <c r="E2847" s="2" t="s">
        <v>12</v>
      </c>
      <c r="F2847" s="2" t="s">
        <v>12</v>
      </c>
      <c r="G2847" s="2" t="s">
        <v>12</v>
      </c>
      <c r="H2847" s="2" t="s">
        <v>12</v>
      </c>
      <c r="I2847" s="2" t="s">
        <v>12</v>
      </c>
      <c r="J2847" s="2" t="s">
        <v>12</v>
      </c>
      <c r="K2847" s="2" t="s">
        <v>12</v>
      </c>
    </row>
    <row r="2848" spans="1:11" ht="12.5" x14ac:dyDescent="0.25">
      <c r="A2848" s="3" t="e">
        <f ca="1"/>
        <v>#NAME?</v>
      </c>
      <c r="B2848" s="2" t="s">
        <v>12</v>
      </c>
      <c r="C2848" s="2" t="s">
        <v>12</v>
      </c>
      <c r="D2848" s="2" t="s">
        <v>12</v>
      </c>
      <c r="E2848" s="2" t="s">
        <v>12</v>
      </c>
      <c r="F2848" s="2" t="s">
        <v>12</v>
      </c>
      <c r="G2848" s="2" t="s">
        <v>12</v>
      </c>
      <c r="H2848" s="2" t="s">
        <v>12</v>
      </c>
      <c r="I2848" s="2" t="s">
        <v>12</v>
      </c>
      <c r="J2848" s="2" t="s">
        <v>12</v>
      </c>
      <c r="K2848" s="2" t="s">
        <v>12</v>
      </c>
    </row>
    <row r="2849" spans="1:11" ht="12.5" x14ac:dyDescent="0.25">
      <c r="A2849" s="3" t="e">
        <f ca="1"/>
        <v>#NAME?</v>
      </c>
      <c r="B2849" s="2" t="s">
        <v>12</v>
      </c>
      <c r="C2849" s="2" t="s">
        <v>12</v>
      </c>
      <c r="D2849" s="2" t="s">
        <v>12</v>
      </c>
      <c r="E2849" s="2" t="s">
        <v>12</v>
      </c>
      <c r="F2849" s="2" t="s">
        <v>12</v>
      </c>
      <c r="G2849" s="2" t="s">
        <v>12</v>
      </c>
      <c r="H2849" s="2" t="s">
        <v>12</v>
      </c>
      <c r="I2849" s="2" t="s">
        <v>12</v>
      </c>
      <c r="J2849" s="2" t="s">
        <v>12</v>
      </c>
      <c r="K2849" s="2" t="s">
        <v>12</v>
      </c>
    </row>
    <row r="2850" spans="1:11" ht="12.5" x14ac:dyDescent="0.25">
      <c r="A2850" s="3" t="e">
        <f ca="1"/>
        <v>#NAME?</v>
      </c>
      <c r="B2850" s="2" t="s">
        <v>12</v>
      </c>
      <c r="C2850" s="2" t="s">
        <v>12</v>
      </c>
      <c r="D2850" s="2" t="s">
        <v>12</v>
      </c>
      <c r="E2850" s="2" t="s">
        <v>12</v>
      </c>
      <c r="F2850" s="2" t="s">
        <v>12</v>
      </c>
      <c r="G2850" s="2" t="s">
        <v>12</v>
      </c>
      <c r="H2850" s="2" t="s">
        <v>12</v>
      </c>
      <c r="I2850" s="2" t="s">
        <v>12</v>
      </c>
      <c r="J2850" s="2" t="s">
        <v>12</v>
      </c>
      <c r="K2850" s="2" t="s">
        <v>12</v>
      </c>
    </row>
    <row r="2851" spans="1:11" ht="12.5" x14ac:dyDescent="0.25">
      <c r="A2851" s="3" t="e">
        <f ca="1"/>
        <v>#NAME?</v>
      </c>
      <c r="B2851" s="2" t="s">
        <v>12</v>
      </c>
      <c r="C2851" s="2" t="s">
        <v>12</v>
      </c>
      <c r="D2851" s="2" t="s">
        <v>12</v>
      </c>
      <c r="E2851" s="2" t="s">
        <v>12</v>
      </c>
      <c r="F2851" s="2" t="s">
        <v>12</v>
      </c>
      <c r="G2851" s="2" t="s">
        <v>12</v>
      </c>
      <c r="H2851" s="2" t="s">
        <v>12</v>
      </c>
      <c r="I2851" s="2" t="s">
        <v>12</v>
      </c>
      <c r="J2851" s="2" t="s">
        <v>12</v>
      </c>
      <c r="K2851" s="2" t="s">
        <v>12</v>
      </c>
    </row>
    <row r="2852" spans="1:11" ht="12.5" x14ac:dyDescent="0.25">
      <c r="A2852" s="3" t="e">
        <f ca="1"/>
        <v>#NAME?</v>
      </c>
      <c r="B2852" s="2" t="s">
        <v>12</v>
      </c>
      <c r="C2852" s="2" t="s">
        <v>12</v>
      </c>
      <c r="D2852" s="2" t="s">
        <v>12</v>
      </c>
      <c r="E2852" s="2" t="s">
        <v>12</v>
      </c>
      <c r="F2852" s="2" t="s">
        <v>12</v>
      </c>
      <c r="G2852" s="2" t="s">
        <v>12</v>
      </c>
      <c r="H2852" s="2" t="s">
        <v>12</v>
      </c>
      <c r="I2852" s="2" t="s">
        <v>12</v>
      </c>
      <c r="J2852" s="2" t="s">
        <v>12</v>
      </c>
      <c r="K2852" s="2" t="s">
        <v>12</v>
      </c>
    </row>
    <row r="2853" spans="1:11" ht="12.5" x14ac:dyDescent="0.25">
      <c r="A2853" s="3" t="e">
        <f ca="1"/>
        <v>#NAME?</v>
      </c>
      <c r="B2853" s="2" t="s">
        <v>12</v>
      </c>
      <c r="C2853" s="2" t="s">
        <v>12</v>
      </c>
      <c r="D2853" s="2" t="s">
        <v>12</v>
      </c>
      <c r="E2853" s="2" t="s">
        <v>12</v>
      </c>
      <c r="F2853" s="2" t="s">
        <v>12</v>
      </c>
      <c r="G2853" s="2" t="s">
        <v>12</v>
      </c>
      <c r="H2853" s="2" t="s">
        <v>12</v>
      </c>
      <c r="I2853" s="2" t="s">
        <v>12</v>
      </c>
      <c r="J2853" s="2" t="s">
        <v>12</v>
      </c>
      <c r="K2853" s="2" t="s">
        <v>12</v>
      </c>
    </row>
    <row r="2854" spans="1:11" ht="12.5" x14ac:dyDescent="0.25">
      <c r="A2854" s="3" t="e">
        <f ca="1"/>
        <v>#NAME?</v>
      </c>
      <c r="B2854" s="2" t="s">
        <v>12</v>
      </c>
      <c r="C2854" s="2" t="s">
        <v>12</v>
      </c>
      <c r="D2854" s="2" t="s">
        <v>12</v>
      </c>
      <c r="E2854" s="2" t="s">
        <v>12</v>
      </c>
      <c r="F2854" s="2" t="s">
        <v>12</v>
      </c>
      <c r="G2854" s="2" t="s">
        <v>12</v>
      </c>
      <c r="H2854" s="2" t="s">
        <v>12</v>
      </c>
      <c r="I2854" s="2" t="s">
        <v>12</v>
      </c>
      <c r="J2854" s="2" t="s">
        <v>12</v>
      </c>
      <c r="K2854" s="2" t="s">
        <v>12</v>
      </c>
    </row>
    <row r="2855" spans="1:11" ht="12.5" x14ac:dyDescent="0.25">
      <c r="A2855" s="3" t="e">
        <f ca="1"/>
        <v>#NAME?</v>
      </c>
      <c r="B2855" s="2" t="s">
        <v>12</v>
      </c>
      <c r="C2855" s="2" t="s">
        <v>12</v>
      </c>
      <c r="D2855" s="2" t="s">
        <v>12</v>
      </c>
      <c r="E2855" s="2" t="s">
        <v>12</v>
      </c>
      <c r="F2855" s="2" t="s">
        <v>12</v>
      </c>
      <c r="G2855" s="2" t="s">
        <v>12</v>
      </c>
      <c r="H2855" s="2" t="s">
        <v>12</v>
      </c>
      <c r="I2855" s="2" t="s">
        <v>12</v>
      </c>
      <c r="J2855" s="2" t="s">
        <v>12</v>
      </c>
      <c r="K2855" s="2" t="s">
        <v>12</v>
      </c>
    </row>
    <row r="2856" spans="1:11" ht="12.5" x14ac:dyDescent="0.25">
      <c r="A2856" s="3" t="e">
        <f ca="1"/>
        <v>#NAME?</v>
      </c>
      <c r="B2856" s="2" t="s">
        <v>12</v>
      </c>
      <c r="C2856" s="2" t="s">
        <v>12</v>
      </c>
      <c r="D2856" s="2" t="s">
        <v>12</v>
      </c>
      <c r="E2856" s="2" t="s">
        <v>12</v>
      </c>
      <c r="F2856" s="2" t="s">
        <v>12</v>
      </c>
      <c r="G2856" s="2" t="s">
        <v>12</v>
      </c>
      <c r="H2856" s="2" t="s">
        <v>12</v>
      </c>
      <c r="I2856" s="2" t="s">
        <v>12</v>
      </c>
      <c r="J2856" s="2" t="s">
        <v>12</v>
      </c>
      <c r="K2856" s="2" t="s">
        <v>12</v>
      </c>
    </row>
    <row r="2857" spans="1:11" ht="12.5" x14ac:dyDescent="0.25">
      <c r="A2857" s="3" t="e">
        <f ca="1"/>
        <v>#NAME?</v>
      </c>
      <c r="B2857" s="2" t="s">
        <v>12</v>
      </c>
      <c r="C2857" s="2" t="s">
        <v>12</v>
      </c>
      <c r="D2857" s="2" t="s">
        <v>12</v>
      </c>
      <c r="E2857" s="2" t="s">
        <v>12</v>
      </c>
      <c r="F2857" s="2" t="s">
        <v>12</v>
      </c>
      <c r="G2857" s="2" t="s">
        <v>12</v>
      </c>
      <c r="H2857" s="2" t="s">
        <v>12</v>
      </c>
      <c r="I2857" s="2" t="s">
        <v>12</v>
      </c>
      <c r="J2857" s="2" t="s">
        <v>12</v>
      </c>
      <c r="K2857" s="2" t="s">
        <v>12</v>
      </c>
    </row>
    <row r="2858" spans="1:11" ht="12.5" x14ac:dyDescent="0.25">
      <c r="A2858" s="3" t="e">
        <f ca="1"/>
        <v>#NAME?</v>
      </c>
      <c r="B2858" s="2" t="s">
        <v>12</v>
      </c>
      <c r="C2858" s="2" t="s">
        <v>12</v>
      </c>
      <c r="D2858" s="2" t="s">
        <v>12</v>
      </c>
      <c r="E2858" s="2" t="s">
        <v>12</v>
      </c>
      <c r="F2858" s="2" t="s">
        <v>12</v>
      </c>
      <c r="G2858" s="2" t="s">
        <v>12</v>
      </c>
      <c r="H2858" s="2" t="s">
        <v>12</v>
      </c>
      <c r="I2858" s="2" t="s">
        <v>12</v>
      </c>
      <c r="J2858" s="2" t="s">
        <v>12</v>
      </c>
      <c r="K2858" s="2" t="s">
        <v>12</v>
      </c>
    </row>
    <row r="2859" spans="1:11" ht="12.5" x14ac:dyDescent="0.25">
      <c r="A2859" s="3" t="e">
        <f ca="1"/>
        <v>#NAME?</v>
      </c>
      <c r="B2859" s="2" t="s">
        <v>12</v>
      </c>
      <c r="C2859" s="2" t="s">
        <v>12</v>
      </c>
      <c r="D2859" s="2" t="s">
        <v>12</v>
      </c>
      <c r="E2859" s="2" t="s">
        <v>12</v>
      </c>
      <c r="F2859" s="2" t="s">
        <v>12</v>
      </c>
      <c r="G2859" s="2" t="s">
        <v>12</v>
      </c>
      <c r="H2859" s="2" t="s">
        <v>12</v>
      </c>
      <c r="I2859" s="2" t="s">
        <v>12</v>
      </c>
      <c r="J2859" s="2" t="s">
        <v>12</v>
      </c>
      <c r="K2859" s="2" t="s">
        <v>12</v>
      </c>
    </row>
    <row r="2860" spans="1:11" ht="12.5" x14ac:dyDescent="0.25">
      <c r="A2860" s="3" t="e">
        <f ca="1"/>
        <v>#NAME?</v>
      </c>
      <c r="B2860" s="2" t="s">
        <v>12</v>
      </c>
      <c r="C2860" s="2" t="s">
        <v>12</v>
      </c>
      <c r="D2860" s="2" t="s">
        <v>12</v>
      </c>
      <c r="E2860" s="2" t="s">
        <v>12</v>
      </c>
      <c r="F2860" s="2" t="s">
        <v>12</v>
      </c>
      <c r="G2860" s="2" t="s">
        <v>12</v>
      </c>
      <c r="H2860" s="2" t="s">
        <v>12</v>
      </c>
      <c r="I2860" s="2" t="s">
        <v>12</v>
      </c>
      <c r="J2860" s="2" t="s">
        <v>12</v>
      </c>
      <c r="K2860" s="2" t="s">
        <v>12</v>
      </c>
    </row>
    <row r="2861" spans="1:11" ht="12.5" x14ac:dyDescent="0.25">
      <c r="A2861" s="3" t="e">
        <f ca="1"/>
        <v>#NAME?</v>
      </c>
      <c r="B2861" s="2" t="s">
        <v>12</v>
      </c>
      <c r="C2861" s="2" t="s">
        <v>12</v>
      </c>
      <c r="D2861" s="2" t="s">
        <v>12</v>
      </c>
      <c r="E2861" s="2" t="s">
        <v>12</v>
      </c>
      <c r="F2861" s="2" t="s">
        <v>12</v>
      </c>
      <c r="G2861" s="2" t="s">
        <v>12</v>
      </c>
      <c r="H2861" s="2" t="s">
        <v>12</v>
      </c>
      <c r="I2861" s="2" t="s">
        <v>12</v>
      </c>
      <c r="J2861" s="2" t="s">
        <v>12</v>
      </c>
      <c r="K2861" s="2" t="s">
        <v>12</v>
      </c>
    </row>
    <row r="2862" spans="1:11" ht="12.5" x14ac:dyDescent="0.25">
      <c r="A2862" s="3" t="e">
        <f ca="1"/>
        <v>#NAME?</v>
      </c>
      <c r="B2862" s="2" t="s">
        <v>12</v>
      </c>
      <c r="C2862" s="2" t="s">
        <v>12</v>
      </c>
      <c r="D2862" s="2" t="s">
        <v>12</v>
      </c>
      <c r="E2862" s="2" t="s">
        <v>12</v>
      </c>
      <c r="F2862" s="2" t="s">
        <v>12</v>
      </c>
      <c r="G2862" s="2" t="s">
        <v>12</v>
      </c>
      <c r="H2862" s="2" t="s">
        <v>12</v>
      </c>
      <c r="I2862" s="2" t="s">
        <v>12</v>
      </c>
      <c r="J2862" s="2" t="s">
        <v>12</v>
      </c>
      <c r="K2862" s="2" t="s">
        <v>12</v>
      </c>
    </row>
    <row r="2863" spans="1:11" ht="12.5" x14ac:dyDescent="0.25">
      <c r="A2863" s="3" t="e">
        <f ca="1"/>
        <v>#NAME?</v>
      </c>
      <c r="B2863" s="2" t="s">
        <v>12</v>
      </c>
      <c r="C2863" s="2" t="s">
        <v>12</v>
      </c>
      <c r="D2863" s="2" t="s">
        <v>12</v>
      </c>
      <c r="E2863" s="2" t="s">
        <v>12</v>
      </c>
      <c r="F2863" s="2" t="s">
        <v>12</v>
      </c>
      <c r="G2863" s="2" t="s">
        <v>12</v>
      </c>
      <c r="H2863" s="2" t="s">
        <v>12</v>
      </c>
      <c r="I2863" s="2" t="s">
        <v>12</v>
      </c>
      <c r="J2863" s="2" t="s">
        <v>12</v>
      </c>
      <c r="K2863" s="2" t="s">
        <v>12</v>
      </c>
    </row>
    <row r="2864" spans="1:11" ht="12.5" x14ac:dyDescent="0.25">
      <c r="A2864" s="3" t="e">
        <f ca="1"/>
        <v>#NAME?</v>
      </c>
      <c r="B2864" s="2" t="s">
        <v>12</v>
      </c>
      <c r="C2864" s="2" t="s">
        <v>12</v>
      </c>
      <c r="D2864" s="2" t="s">
        <v>12</v>
      </c>
      <c r="E2864" s="2" t="s">
        <v>12</v>
      </c>
      <c r="F2864" s="2" t="s">
        <v>12</v>
      </c>
      <c r="G2864" s="2" t="s">
        <v>12</v>
      </c>
      <c r="H2864" s="2" t="s">
        <v>12</v>
      </c>
      <c r="I2864" s="2" t="s">
        <v>12</v>
      </c>
      <c r="J2864" s="2" t="s">
        <v>12</v>
      </c>
      <c r="K2864" s="2" t="s">
        <v>12</v>
      </c>
    </row>
    <row r="2865" spans="1:11" ht="12.5" x14ac:dyDescent="0.25">
      <c r="A2865" s="3" t="e">
        <f ca="1"/>
        <v>#NAME?</v>
      </c>
      <c r="B2865" s="2" t="s">
        <v>12</v>
      </c>
      <c r="C2865" s="2" t="s">
        <v>12</v>
      </c>
      <c r="D2865" s="2" t="s">
        <v>12</v>
      </c>
      <c r="E2865" s="2" t="s">
        <v>12</v>
      </c>
      <c r="F2865" s="2" t="s">
        <v>12</v>
      </c>
      <c r="G2865" s="2" t="s">
        <v>12</v>
      </c>
      <c r="H2865" s="2" t="s">
        <v>12</v>
      </c>
      <c r="I2865" s="2" t="s">
        <v>12</v>
      </c>
      <c r="J2865" s="2" t="s">
        <v>12</v>
      </c>
      <c r="K2865" s="2" t="s">
        <v>12</v>
      </c>
    </row>
    <row r="2866" spans="1:11" ht="12.5" x14ac:dyDescent="0.25">
      <c r="A2866" s="3" t="e">
        <f ca="1"/>
        <v>#NAME?</v>
      </c>
      <c r="B2866" s="2" t="s">
        <v>12</v>
      </c>
      <c r="C2866" s="2" t="s">
        <v>12</v>
      </c>
      <c r="D2866" s="2" t="s">
        <v>12</v>
      </c>
      <c r="E2866" s="2" t="s">
        <v>12</v>
      </c>
      <c r="F2866" s="2" t="s">
        <v>12</v>
      </c>
      <c r="G2866" s="2" t="s">
        <v>12</v>
      </c>
      <c r="H2866" s="2" t="s">
        <v>12</v>
      </c>
      <c r="I2866" s="2" t="s">
        <v>12</v>
      </c>
      <c r="J2866" s="2" t="s">
        <v>12</v>
      </c>
      <c r="K2866" s="2" t="s">
        <v>12</v>
      </c>
    </row>
    <row r="2867" spans="1:11" ht="12.5" x14ac:dyDescent="0.25">
      <c r="A2867" s="3" t="e">
        <f ca="1"/>
        <v>#NAME?</v>
      </c>
      <c r="B2867" s="2" t="s">
        <v>12</v>
      </c>
      <c r="C2867" s="2" t="s">
        <v>12</v>
      </c>
      <c r="D2867" s="2" t="s">
        <v>12</v>
      </c>
      <c r="E2867" s="2" t="s">
        <v>12</v>
      </c>
      <c r="F2867" s="2" t="s">
        <v>12</v>
      </c>
      <c r="G2867" s="2" t="s">
        <v>12</v>
      </c>
      <c r="H2867" s="2" t="s">
        <v>12</v>
      </c>
      <c r="I2867" s="2" t="s">
        <v>12</v>
      </c>
      <c r="J2867" s="2" t="s">
        <v>12</v>
      </c>
      <c r="K2867" s="2" t="s">
        <v>12</v>
      </c>
    </row>
    <row r="2868" spans="1:11" ht="12.5" x14ac:dyDescent="0.25">
      <c r="A2868" s="3" t="e">
        <f ca="1"/>
        <v>#NAME?</v>
      </c>
      <c r="B2868" s="2" t="s">
        <v>12</v>
      </c>
      <c r="C2868" s="2" t="s">
        <v>12</v>
      </c>
      <c r="D2868" s="2" t="s">
        <v>12</v>
      </c>
      <c r="E2868" s="2" t="s">
        <v>12</v>
      </c>
      <c r="F2868" s="2" t="s">
        <v>12</v>
      </c>
      <c r="G2868" s="2" t="s">
        <v>12</v>
      </c>
      <c r="H2868" s="2" t="s">
        <v>12</v>
      </c>
      <c r="I2868" s="2" t="s">
        <v>12</v>
      </c>
      <c r="J2868" s="2" t="s">
        <v>12</v>
      </c>
      <c r="K2868" s="2" t="s">
        <v>12</v>
      </c>
    </row>
    <row r="2869" spans="1:11" ht="12.5" x14ac:dyDescent="0.25">
      <c r="A2869" s="3" t="e">
        <f ca="1"/>
        <v>#NAME?</v>
      </c>
      <c r="B2869" s="2" t="s">
        <v>12</v>
      </c>
      <c r="C2869" s="2" t="s">
        <v>12</v>
      </c>
      <c r="D2869" s="2" t="s">
        <v>12</v>
      </c>
      <c r="E2869" s="2" t="s">
        <v>12</v>
      </c>
      <c r="F2869" s="2" t="s">
        <v>12</v>
      </c>
      <c r="G2869" s="2" t="s">
        <v>12</v>
      </c>
      <c r="H2869" s="2" t="s">
        <v>12</v>
      </c>
      <c r="I2869" s="2" t="s">
        <v>12</v>
      </c>
      <c r="J2869" s="2" t="s">
        <v>12</v>
      </c>
      <c r="K2869" s="2" t="s">
        <v>12</v>
      </c>
    </row>
    <row r="2870" spans="1:11" ht="12.5" x14ac:dyDescent="0.25">
      <c r="A2870" s="3" t="e">
        <f ca="1"/>
        <v>#NAME?</v>
      </c>
      <c r="B2870" s="2" t="s">
        <v>12</v>
      </c>
      <c r="C2870" s="2" t="s">
        <v>12</v>
      </c>
      <c r="D2870" s="2" t="s">
        <v>12</v>
      </c>
      <c r="E2870" s="2" t="s">
        <v>12</v>
      </c>
      <c r="F2870" s="2" t="s">
        <v>12</v>
      </c>
      <c r="G2870" s="2" t="s">
        <v>12</v>
      </c>
      <c r="H2870" s="2" t="s">
        <v>12</v>
      </c>
      <c r="I2870" s="2" t="s">
        <v>12</v>
      </c>
      <c r="J2870" s="2" t="s">
        <v>12</v>
      </c>
      <c r="K2870" s="2" t="s">
        <v>12</v>
      </c>
    </row>
    <row r="2871" spans="1:11" ht="12.5" x14ac:dyDescent="0.25">
      <c r="A2871" s="3" t="e">
        <f ca="1"/>
        <v>#NAME?</v>
      </c>
      <c r="B2871" s="2" t="s">
        <v>12</v>
      </c>
      <c r="C2871" s="2" t="s">
        <v>12</v>
      </c>
      <c r="D2871" s="2" t="s">
        <v>12</v>
      </c>
      <c r="E2871" s="2" t="s">
        <v>12</v>
      </c>
      <c r="F2871" s="2" t="s">
        <v>12</v>
      </c>
      <c r="G2871" s="2" t="s">
        <v>12</v>
      </c>
      <c r="H2871" s="2" t="s">
        <v>12</v>
      </c>
      <c r="I2871" s="2" t="s">
        <v>12</v>
      </c>
      <c r="J2871" s="2" t="s">
        <v>12</v>
      </c>
      <c r="K2871" s="2" t="s">
        <v>12</v>
      </c>
    </row>
    <row r="2872" spans="1:11" ht="12.5" x14ac:dyDescent="0.25">
      <c r="A2872" s="3" t="e">
        <f ca="1"/>
        <v>#NAME?</v>
      </c>
      <c r="B2872" s="2" t="s">
        <v>12</v>
      </c>
      <c r="C2872" s="2" t="s">
        <v>12</v>
      </c>
      <c r="D2872" s="2" t="s">
        <v>12</v>
      </c>
      <c r="E2872" s="2" t="s">
        <v>12</v>
      </c>
      <c r="F2872" s="2" t="s">
        <v>12</v>
      </c>
      <c r="G2872" s="2" t="s">
        <v>12</v>
      </c>
      <c r="H2872" s="2" t="s">
        <v>12</v>
      </c>
      <c r="I2872" s="2" t="s">
        <v>12</v>
      </c>
      <c r="J2872" s="2" t="s">
        <v>12</v>
      </c>
      <c r="K2872" s="2" t="s">
        <v>12</v>
      </c>
    </row>
    <row r="2873" spans="1:11" ht="12.5" x14ac:dyDescent="0.25">
      <c r="A2873" s="3" t="e">
        <f ca="1"/>
        <v>#NAME?</v>
      </c>
      <c r="B2873" s="2" t="s">
        <v>12</v>
      </c>
      <c r="C2873" s="2" t="s">
        <v>12</v>
      </c>
      <c r="D2873" s="2" t="s">
        <v>12</v>
      </c>
      <c r="E2873" s="2" t="s">
        <v>12</v>
      </c>
      <c r="F2873" s="2" t="s">
        <v>12</v>
      </c>
      <c r="G2873" s="2" t="s">
        <v>12</v>
      </c>
      <c r="H2873" s="2" t="s">
        <v>12</v>
      </c>
      <c r="I2873" s="2" t="s">
        <v>12</v>
      </c>
      <c r="J2873" s="2" t="s">
        <v>12</v>
      </c>
      <c r="K2873" s="2" t="s">
        <v>12</v>
      </c>
    </row>
    <row r="2874" spans="1:11" ht="12.5" x14ac:dyDescent="0.25">
      <c r="A2874" s="3" t="e">
        <f ca="1"/>
        <v>#NAME?</v>
      </c>
      <c r="B2874" s="2" t="s">
        <v>12</v>
      </c>
      <c r="C2874" s="2" t="s">
        <v>12</v>
      </c>
      <c r="D2874" s="2" t="s">
        <v>12</v>
      </c>
      <c r="E2874" s="2" t="s">
        <v>12</v>
      </c>
      <c r="F2874" s="2" t="s">
        <v>12</v>
      </c>
      <c r="G2874" s="2" t="s">
        <v>12</v>
      </c>
      <c r="H2874" s="2" t="s">
        <v>12</v>
      </c>
      <c r="I2874" s="2" t="s">
        <v>12</v>
      </c>
      <c r="J2874" s="2" t="s">
        <v>12</v>
      </c>
      <c r="K2874" s="2" t="s">
        <v>12</v>
      </c>
    </row>
    <row r="2875" spans="1:11" ht="12.5" x14ac:dyDescent="0.25">
      <c r="A2875" s="3" t="e">
        <f ca="1"/>
        <v>#NAME?</v>
      </c>
      <c r="B2875" s="2" t="s">
        <v>12</v>
      </c>
      <c r="C2875" s="2" t="s">
        <v>12</v>
      </c>
      <c r="D2875" s="2" t="s">
        <v>12</v>
      </c>
      <c r="E2875" s="2" t="s">
        <v>12</v>
      </c>
      <c r="F2875" s="2" t="s">
        <v>12</v>
      </c>
      <c r="G2875" s="2" t="s">
        <v>12</v>
      </c>
      <c r="H2875" s="2" t="s">
        <v>12</v>
      </c>
      <c r="I2875" s="2" t="s">
        <v>12</v>
      </c>
      <c r="J2875" s="2" t="s">
        <v>12</v>
      </c>
      <c r="K2875" s="2" t="s">
        <v>12</v>
      </c>
    </row>
    <row r="2876" spans="1:11" ht="12.5" x14ac:dyDescent="0.25">
      <c r="A2876" s="3" t="e">
        <f ca="1"/>
        <v>#NAME?</v>
      </c>
      <c r="B2876" s="2" t="s">
        <v>12</v>
      </c>
      <c r="C2876" s="2" t="s">
        <v>12</v>
      </c>
      <c r="D2876" s="2" t="s">
        <v>12</v>
      </c>
      <c r="E2876" s="2" t="s">
        <v>12</v>
      </c>
      <c r="F2876" s="2" t="s">
        <v>12</v>
      </c>
      <c r="G2876" s="2" t="s">
        <v>12</v>
      </c>
      <c r="H2876" s="2" t="s">
        <v>12</v>
      </c>
      <c r="I2876" s="2" t="s">
        <v>12</v>
      </c>
      <c r="J2876" s="2" t="s">
        <v>12</v>
      </c>
      <c r="K2876" s="2" t="s">
        <v>12</v>
      </c>
    </row>
    <row r="2877" spans="1:11" ht="12.5" x14ac:dyDescent="0.25">
      <c r="A2877" s="3" t="e">
        <f ca="1"/>
        <v>#NAME?</v>
      </c>
      <c r="B2877" s="2" t="s">
        <v>12</v>
      </c>
      <c r="C2877" s="2" t="s">
        <v>12</v>
      </c>
      <c r="D2877" s="2" t="s">
        <v>12</v>
      </c>
      <c r="E2877" s="2" t="s">
        <v>12</v>
      </c>
      <c r="F2877" s="2" t="s">
        <v>12</v>
      </c>
      <c r="G2877" s="2" t="s">
        <v>12</v>
      </c>
      <c r="H2877" s="2" t="s">
        <v>12</v>
      </c>
      <c r="I2877" s="2" t="s">
        <v>12</v>
      </c>
      <c r="J2877" s="2" t="s">
        <v>12</v>
      </c>
      <c r="K2877" s="2" t="s">
        <v>12</v>
      </c>
    </row>
    <row r="2878" spans="1:11" ht="12.5" x14ac:dyDescent="0.25">
      <c r="A2878" s="3" t="e">
        <f ca="1"/>
        <v>#NAME?</v>
      </c>
      <c r="B2878" s="2" t="s">
        <v>12</v>
      </c>
      <c r="C2878" s="2" t="s">
        <v>12</v>
      </c>
      <c r="D2878" s="2" t="s">
        <v>12</v>
      </c>
      <c r="E2878" s="2" t="s">
        <v>12</v>
      </c>
      <c r="F2878" s="2" t="s">
        <v>12</v>
      </c>
      <c r="G2878" s="2" t="s">
        <v>12</v>
      </c>
      <c r="H2878" s="2" t="s">
        <v>12</v>
      </c>
      <c r="I2878" s="2" t="s">
        <v>12</v>
      </c>
      <c r="J2878" s="2" t="s">
        <v>12</v>
      </c>
      <c r="K2878" s="2" t="s">
        <v>12</v>
      </c>
    </row>
    <row r="2879" spans="1:11" ht="12.5" x14ac:dyDescent="0.25">
      <c r="A2879" s="3" t="e">
        <f ca="1"/>
        <v>#NAME?</v>
      </c>
      <c r="B2879" s="2" t="s">
        <v>12</v>
      </c>
      <c r="C2879" s="2" t="s">
        <v>12</v>
      </c>
      <c r="D2879" s="2" t="s">
        <v>12</v>
      </c>
      <c r="E2879" s="2" t="s">
        <v>12</v>
      </c>
      <c r="F2879" s="2" t="s">
        <v>12</v>
      </c>
      <c r="G2879" s="2" t="s">
        <v>12</v>
      </c>
      <c r="H2879" s="2" t="s">
        <v>12</v>
      </c>
      <c r="I2879" s="2" t="s">
        <v>12</v>
      </c>
      <c r="J2879" s="2" t="s">
        <v>12</v>
      </c>
      <c r="K2879" s="2" t="s">
        <v>12</v>
      </c>
    </row>
    <row r="2880" spans="1:11" ht="12.5" x14ac:dyDescent="0.25">
      <c r="A2880" s="3" t="e">
        <f ca="1"/>
        <v>#NAME?</v>
      </c>
      <c r="B2880" s="2" t="s">
        <v>12</v>
      </c>
      <c r="C2880" s="2" t="s">
        <v>12</v>
      </c>
      <c r="D2880" s="2" t="s">
        <v>12</v>
      </c>
      <c r="E2880" s="2" t="s">
        <v>12</v>
      </c>
      <c r="F2880" s="2" t="s">
        <v>12</v>
      </c>
      <c r="G2880" s="2" t="s">
        <v>12</v>
      </c>
      <c r="H2880" s="2" t="s">
        <v>12</v>
      </c>
      <c r="I2880" s="2" t="s">
        <v>12</v>
      </c>
      <c r="J2880" s="2" t="s">
        <v>12</v>
      </c>
      <c r="K2880" s="2" t="s">
        <v>12</v>
      </c>
    </row>
    <row r="2881" spans="1:11" ht="12.5" x14ac:dyDescent="0.25">
      <c r="A2881" s="3" t="e">
        <f ca="1"/>
        <v>#NAME?</v>
      </c>
      <c r="B2881" s="2" t="s">
        <v>12</v>
      </c>
      <c r="C2881" s="2" t="s">
        <v>12</v>
      </c>
      <c r="D2881" s="2" t="s">
        <v>12</v>
      </c>
      <c r="E2881" s="2" t="s">
        <v>12</v>
      </c>
      <c r="F2881" s="2" t="s">
        <v>12</v>
      </c>
      <c r="G2881" s="2" t="s">
        <v>12</v>
      </c>
      <c r="H2881" s="2" t="s">
        <v>12</v>
      </c>
      <c r="I2881" s="2" t="s">
        <v>12</v>
      </c>
      <c r="J2881" s="2" t="s">
        <v>12</v>
      </c>
      <c r="K2881" s="2" t="s">
        <v>12</v>
      </c>
    </row>
    <row r="2882" spans="1:11" ht="12.5" x14ac:dyDescent="0.25">
      <c r="A2882" s="3" t="e">
        <f ca="1"/>
        <v>#NAME?</v>
      </c>
      <c r="B2882" s="2" t="s">
        <v>12</v>
      </c>
      <c r="C2882" s="2" t="s">
        <v>12</v>
      </c>
      <c r="D2882" s="2" t="s">
        <v>12</v>
      </c>
      <c r="E2882" s="2" t="s">
        <v>12</v>
      </c>
      <c r="F2882" s="2" t="s">
        <v>12</v>
      </c>
      <c r="G2882" s="2" t="s">
        <v>12</v>
      </c>
      <c r="H2882" s="2" t="s">
        <v>12</v>
      </c>
      <c r="I2882" s="2" t="s">
        <v>12</v>
      </c>
      <c r="J2882" s="2" t="s">
        <v>12</v>
      </c>
      <c r="K2882" s="2" t="s">
        <v>12</v>
      </c>
    </row>
    <row r="2883" spans="1:11" ht="12.5" x14ac:dyDescent="0.25">
      <c r="A2883" s="3" t="e">
        <f ca="1"/>
        <v>#NAME?</v>
      </c>
      <c r="B2883" s="2" t="s">
        <v>12</v>
      </c>
      <c r="C2883" s="2" t="s">
        <v>12</v>
      </c>
      <c r="D2883" s="2" t="s">
        <v>12</v>
      </c>
      <c r="E2883" s="2" t="s">
        <v>12</v>
      </c>
      <c r="F2883" s="2" t="s">
        <v>12</v>
      </c>
      <c r="G2883" s="2" t="s">
        <v>12</v>
      </c>
      <c r="H2883" s="2" t="s">
        <v>12</v>
      </c>
      <c r="I2883" s="2" t="s">
        <v>12</v>
      </c>
      <c r="J2883" s="2" t="s">
        <v>12</v>
      </c>
      <c r="K2883" s="2" t="s">
        <v>12</v>
      </c>
    </row>
    <row r="2884" spans="1:11" ht="12.5" x14ac:dyDescent="0.25">
      <c r="A2884" s="3" t="e">
        <f ca="1"/>
        <v>#NAME?</v>
      </c>
      <c r="B2884" s="2" t="s">
        <v>12</v>
      </c>
      <c r="C2884" s="2" t="s">
        <v>12</v>
      </c>
      <c r="D2884" s="2" t="s">
        <v>12</v>
      </c>
      <c r="E2884" s="2" t="s">
        <v>12</v>
      </c>
      <c r="F2884" s="2" t="s">
        <v>12</v>
      </c>
      <c r="G2884" s="2" t="s">
        <v>12</v>
      </c>
      <c r="H2884" s="2" t="s">
        <v>12</v>
      </c>
      <c r="I2884" s="2" t="s">
        <v>12</v>
      </c>
      <c r="J2884" s="2" t="s">
        <v>12</v>
      </c>
      <c r="K2884" s="2" t="s">
        <v>12</v>
      </c>
    </row>
    <row r="2885" spans="1:11" ht="12.5" x14ac:dyDescent="0.25">
      <c r="A2885" s="3" t="e">
        <f ca="1"/>
        <v>#NAME?</v>
      </c>
      <c r="B2885" s="2" t="s">
        <v>12</v>
      </c>
      <c r="C2885" s="2" t="s">
        <v>12</v>
      </c>
      <c r="D2885" s="2" t="s">
        <v>12</v>
      </c>
      <c r="E2885" s="2" t="s">
        <v>12</v>
      </c>
      <c r="F2885" s="2" t="s">
        <v>12</v>
      </c>
      <c r="G2885" s="2" t="s">
        <v>12</v>
      </c>
      <c r="H2885" s="2" t="s">
        <v>12</v>
      </c>
      <c r="I2885" s="2" t="s">
        <v>12</v>
      </c>
      <c r="J2885" s="2" t="s">
        <v>12</v>
      </c>
      <c r="K2885" s="2" t="s">
        <v>12</v>
      </c>
    </row>
    <row r="2886" spans="1:11" ht="12.5" x14ac:dyDescent="0.25">
      <c r="A2886" s="3" t="e">
        <f ca="1"/>
        <v>#NAME?</v>
      </c>
      <c r="B2886" s="2" t="s">
        <v>12</v>
      </c>
      <c r="C2886" s="2" t="s">
        <v>12</v>
      </c>
      <c r="D2886" s="2" t="s">
        <v>12</v>
      </c>
      <c r="E2886" s="2" t="s">
        <v>12</v>
      </c>
      <c r="F2886" s="2" t="s">
        <v>12</v>
      </c>
      <c r="G2886" s="2" t="s">
        <v>12</v>
      </c>
      <c r="H2886" s="2" t="s">
        <v>12</v>
      </c>
      <c r="I2886" s="2" t="s">
        <v>12</v>
      </c>
      <c r="J2886" s="2" t="s">
        <v>12</v>
      </c>
      <c r="K2886" s="2" t="s">
        <v>12</v>
      </c>
    </row>
    <row r="2887" spans="1:11" ht="12.5" x14ac:dyDescent="0.25">
      <c r="A2887" s="3" t="e">
        <f ca="1"/>
        <v>#NAME?</v>
      </c>
      <c r="B2887" s="2" t="s">
        <v>12</v>
      </c>
      <c r="C2887" s="2" t="s">
        <v>12</v>
      </c>
      <c r="D2887" s="2" t="s">
        <v>12</v>
      </c>
      <c r="E2887" s="2" t="s">
        <v>12</v>
      </c>
      <c r="F2887" s="2" t="s">
        <v>12</v>
      </c>
      <c r="G2887" s="2" t="s">
        <v>12</v>
      </c>
      <c r="H2887" s="2" t="s">
        <v>12</v>
      </c>
      <c r="I2887" s="2" t="s">
        <v>12</v>
      </c>
      <c r="J2887" s="2" t="s">
        <v>12</v>
      </c>
      <c r="K2887" s="2" t="s">
        <v>12</v>
      </c>
    </row>
    <row r="2888" spans="1:11" ht="12.5" x14ac:dyDescent="0.25">
      <c r="A2888" s="3" t="e">
        <f ca="1"/>
        <v>#NAME?</v>
      </c>
      <c r="B2888" s="2" t="s">
        <v>12</v>
      </c>
      <c r="C2888" s="2" t="s">
        <v>12</v>
      </c>
      <c r="D2888" s="2" t="s">
        <v>12</v>
      </c>
      <c r="E2888" s="2" t="s">
        <v>12</v>
      </c>
      <c r="F2888" s="2" t="s">
        <v>12</v>
      </c>
      <c r="G2888" s="2" t="s">
        <v>12</v>
      </c>
      <c r="H2888" s="2" t="s">
        <v>12</v>
      </c>
      <c r="I2888" s="2" t="s">
        <v>12</v>
      </c>
      <c r="J2888" s="2" t="s">
        <v>12</v>
      </c>
      <c r="K2888" s="2" t="s">
        <v>12</v>
      </c>
    </row>
    <row r="2889" spans="1:11" ht="12.5" x14ac:dyDescent="0.25">
      <c r="A2889" s="3" t="e">
        <f ca="1"/>
        <v>#NAME?</v>
      </c>
      <c r="B2889" s="2" t="s">
        <v>12</v>
      </c>
      <c r="C2889" s="2" t="s">
        <v>12</v>
      </c>
      <c r="D2889" s="2" t="s">
        <v>12</v>
      </c>
      <c r="E2889" s="2" t="s">
        <v>12</v>
      </c>
      <c r="F2889" s="2" t="s">
        <v>12</v>
      </c>
      <c r="G2889" s="2" t="s">
        <v>12</v>
      </c>
      <c r="H2889" s="2" t="s">
        <v>12</v>
      </c>
      <c r="I2889" s="2" t="s">
        <v>12</v>
      </c>
      <c r="J2889" s="2" t="s">
        <v>12</v>
      </c>
      <c r="K2889" s="2" t="s">
        <v>12</v>
      </c>
    </row>
    <row r="2890" spans="1:11" ht="12.5" x14ac:dyDescent="0.25">
      <c r="A2890" s="3" t="e">
        <f ca="1"/>
        <v>#NAME?</v>
      </c>
      <c r="B2890" s="2" t="s">
        <v>12</v>
      </c>
      <c r="C2890" s="2" t="s">
        <v>12</v>
      </c>
      <c r="D2890" s="2" t="s">
        <v>12</v>
      </c>
      <c r="E2890" s="2" t="s">
        <v>12</v>
      </c>
      <c r="F2890" s="2" t="s">
        <v>12</v>
      </c>
      <c r="G2890" s="2" t="s">
        <v>12</v>
      </c>
      <c r="H2890" s="2" t="s">
        <v>12</v>
      </c>
      <c r="I2890" s="2" t="s">
        <v>12</v>
      </c>
      <c r="J2890" s="2" t="s">
        <v>12</v>
      </c>
      <c r="K2890" s="2" t="s">
        <v>12</v>
      </c>
    </row>
    <row r="2891" spans="1:11" ht="12.5" x14ac:dyDescent="0.25">
      <c r="A2891" s="3" t="e">
        <f ca="1"/>
        <v>#NAME?</v>
      </c>
      <c r="B2891" s="2" t="s">
        <v>12</v>
      </c>
      <c r="C2891" s="2" t="s">
        <v>12</v>
      </c>
      <c r="D2891" s="2" t="s">
        <v>12</v>
      </c>
      <c r="E2891" s="2" t="s">
        <v>12</v>
      </c>
      <c r="F2891" s="2" t="s">
        <v>12</v>
      </c>
      <c r="G2891" s="2" t="s">
        <v>12</v>
      </c>
      <c r="H2891" s="2" t="s">
        <v>12</v>
      </c>
      <c r="I2891" s="2" t="s">
        <v>12</v>
      </c>
      <c r="J2891" s="2" t="s">
        <v>12</v>
      </c>
      <c r="K2891" s="2" t="s">
        <v>12</v>
      </c>
    </row>
    <row r="2892" spans="1:11" ht="12.5" x14ac:dyDescent="0.25">
      <c r="A2892" s="3" t="e">
        <f ca="1"/>
        <v>#NAME?</v>
      </c>
      <c r="B2892" s="2" t="s">
        <v>12</v>
      </c>
      <c r="C2892" s="2" t="s">
        <v>12</v>
      </c>
      <c r="D2892" s="2" t="s">
        <v>12</v>
      </c>
      <c r="E2892" s="2" t="s">
        <v>12</v>
      </c>
      <c r="F2892" s="2" t="s">
        <v>12</v>
      </c>
      <c r="G2892" s="2" t="s">
        <v>12</v>
      </c>
      <c r="H2892" s="2" t="s">
        <v>12</v>
      </c>
      <c r="I2892" s="2" t="s">
        <v>12</v>
      </c>
      <c r="J2892" s="2" t="s">
        <v>12</v>
      </c>
      <c r="K2892" s="2" t="s">
        <v>12</v>
      </c>
    </row>
    <row r="2893" spans="1:11" ht="12.5" x14ac:dyDescent="0.25">
      <c r="A2893" s="3" t="e">
        <f ca="1"/>
        <v>#NAME?</v>
      </c>
      <c r="B2893" s="2" t="s">
        <v>12</v>
      </c>
      <c r="C2893" s="2" t="s">
        <v>12</v>
      </c>
      <c r="D2893" s="2" t="s">
        <v>12</v>
      </c>
      <c r="E2893" s="2" t="s">
        <v>12</v>
      </c>
      <c r="F2893" s="2" t="s">
        <v>12</v>
      </c>
      <c r="G2893" s="2" t="s">
        <v>12</v>
      </c>
      <c r="H2893" s="2" t="s">
        <v>12</v>
      </c>
      <c r="I2893" s="2" t="s">
        <v>12</v>
      </c>
      <c r="J2893" s="2" t="s">
        <v>12</v>
      </c>
      <c r="K2893" s="2" t="s">
        <v>12</v>
      </c>
    </row>
    <row r="2894" spans="1:11" ht="12.5" x14ac:dyDescent="0.25">
      <c r="A2894" s="3" t="e">
        <f ca="1"/>
        <v>#NAME?</v>
      </c>
      <c r="B2894" s="2" t="s">
        <v>12</v>
      </c>
      <c r="C2894" s="2" t="s">
        <v>12</v>
      </c>
      <c r="D2894" s="2" t="s">
        <v>12</v>
      </c>
      <c r="E2894" s="2" t="s">
        <v>12</v>
      </c>
      <c r="F2894" s="2" t="s">
        <v>12</v>
      </c>
      <c r="G2894" s="2" t="s">
        <v>12</v>
      </c>
      <c r="H2894" s="2" t="s">
        <v>12</v>
      </c>
      <c r="I2894" s="2" t="s">
        <v>12</v>
      </c>
      <c r="J2894" s="2" t="s">
        <v>12</v>
      </c>
      <c r="K2894" s="2" t="s">
        <v>12</v>
      </c>
    </row>
    <row r="2895" spans="1:11" ht="12.5" x14ac:dyDescent="0.25">
      <c r="A2895" s="3" t="e">
        <f ca="1"/>
        <v>#NAME?</v>
      </c>
      <c r="B2895" s="2" t="s">
        <v>12</v>
      </c>
      <c r="C2895" s="2" t="s">
        <v>12</v>
      </c>
      <c r="D2895" s="2" t="s">
        <v>12</v>
      </c>
      <c r="E2895" s="2" t="s">
        <v>12</v>
      </c>
      <c r="F2895" s="2" t="s">
        <v>12</v>
      </c>
      <c r="G2895" s="2" t="s">
        <v>12</v>
      </c>
      <c r="H2895" s="2" t="s">
        <v>12</v>
      </c>
      <c r="I2895" s="2" t="s">
        <v>12</v>
      </c>
      <c r="J2895" s="2" t="s">
        <v>12</v>
      </c>
      <c r="K2895" s="2" t="s">
        <v>12</v>
      </c>
    </row>
    <row r="2896" spans="1:11" ht="12.5" x14ac:dyDescent="0.25">
      <c r="A2896" s="3" t="e">
        <f ca="1"/>
        <v>#NAME?</v>
      </c>
      <c r="B2896" s="2" t="s">
        <v>12</v>
      </c>
      <c r="C2896" s="2" t="s">
        <v>12</v>
      </c>
      <c r="D2896" s="2" t="s">
        <v>12</v>
      </c>
      <c r="E2896" s="2" t="s">
        <v>12</v>
      </c>
      <c r="F2896" s="2" t="s">
        <v>12</v>
      </c>
      <c r="G2896" s="2" t="s">
        <v>12</v>
      </c>
      <c r="H2896" s="2" t="s">
        <v>12</v>
      </c>
      <c r="I2896" s="2" t="s">
        <v>12</v>
      </c>
      <c r="J2896" s="2" t="s">
        <v>12</v>
      </c>
      <c r="K2896" s="2" t="s">
        <v>12</v>
      </c>
    </row>
    <row r="2897" spans="1:11" ht="12.5" x14ac:dyDescent="0.25">
      <c r="A2897" s="3" t="e">
        <f ca="1"/>
        <v>#NAME?</v>
      </c>
      <c r="B2897" s="2" t="s">
        <v>12</v>
      </c>
      <c r="C2897" s="2" t="s">
        <v>12</v>
      </c>
      <c r="D2897" s="2" t="s">
        <v>12</v>
      </c>
      <c r="E2897" s="2" t="s">
        <v>12</v>
      </c>
      <c r="F2897" s="2" t="s">
        <v>12</v>
      </c>
      <c r="G2897" s="2" t="s">
        <v>12</v>
      </c>
      <c r="H2897" s="2" t="s">
        <v>12</v>
      </c>
      <c r="I2897" s="2" t="s">
        <v>12</v>
      </c>
      <c r="J2897" s="2" t="s">
        <v>12</v>
      </c>
      <c r="K2897" s="2" t="s">
        <v>12</v>
      </c>
    </row>
    <row r="2898" spans="1:11" ht="12.5" x14ac:dyDescent="0.25">
      <c r="A2898" s="3" t="e">
        <f ca="1"/>
        <v>#NAME?</v>
      </c>
      <c r="B2898" s="2" t="s">
        <v>12</v>
      </c>
      <c r="C2898" s="2" t="s">
        <v>12</v>
      </c>
      <c r="D2898" s="2" t="s">
        <v>12</v>
      </c>
      <c r="E2898" s="2" t="s">
        <v>12</v>
      </c>
      <c r="F2898" s="2" t="s">
        <v>12</v>
      </c>
      <c r="G2898" s="2" t="s">
        <v>12</v>
      </c>
      <c r="H2898" s="2" t="s">
        <v>12</v>
      </c>
      <c r="I2898" s="2" t="s">
        <v>12</v>
      </c>
      <c r="J2898" s="2" t="s">
        <v>12</v>
      </c>
      <c r="K2898" s="2" t="s">
        <v>12</v>
      </c>
    </row>
    <row r="2899" spans="1:11" ht="12.5" x14ac:dyDescent="0.25">
      <c r="A2899" s="3" t="e">
        <f ca="1"/>
        <v>#NAME?</v>
      </c>
      <c r="B2899" s="2" t="s">
        <v>12</v>
      </c>
      <c r="C2899" s="2" t="s">
        <v>12</v>
      </c>
      <c r="D2899" s="2" t="s">
        <v>12</v>
      </c>
      <c r="E2899" s="2" t="s">
        <v>12</v>
      </c>
      <c r="F2899" s="2" t="s">
        <v>12</v>
      </c>
      <c r="G2899" s="2" t="s">
        <v>12</v>
      </c>
      <c r="H2899" s="2" t="s">
        <v>12</v>
      </c>
      <c r="I2899" s="2" t="s">
        <v>12</v>
      </c>
      <c r="J2899" s="2" t="s">
        <v>12</v>
      </c>
      <c r="K2899" s="2" t="s">
        <v>12</v>
      </c>
    </row>
    <row r="2900" spans="1:11" ht="12.5" x14ac:dyDescent="0.25">
      <c r="A2900" s="3" t="e">
        <f ca="1"/>
        <v>#NAME?</v>
      </c>
      <c r="B2900" s="2" t="s">
        <v>12</v>
      </c>
      <c r="C2900" s="2" t="s">
        <v>12</v>
      </c>
      <c r="D2900" s="2" t="s">
        <v>12</v>
      </c>
      <c r="E2900" s="2" t="s">
        <v>12</v>
      </c>
      <c r="F2900" s="2" t="s">
        <v>12</v>
      </c>
      <c r="G2900" s="2" t="s">
        <v>12</v>
      </c>
      <c r="H2900" s="2" t="s">
        <v>12</v>
      </c>
      <c r="I2900" s="2" t="s">
        <v>12</v>
      </c>
      <c r="J2900" s="2" t="s">
        <v>12</v>
      </c>
      <c r="K2900" s="2" t="s">
        <v>12</v>
      </c>
    </row>
    <row r="2901" spans="1:11" ht="12.5" x14ac:dyDescent="0.25">
      <c r="A2901" s="3" t="e">
        <f ca="1"/>
        <v>#NAME?</v>
      </c>
      <c r="B2901" s="2" t="s">
        <v>12</v>
      </c>
      <c r="C2901" s="2" t="s">
        <v>12</v>
      </c>
      <c r="D2901" s="2" t="s">
        <v>12</v>
      </c>
      <c r="E2901" s="2" t="s">
        <v>12</v>
      </c>
      <c r="F2901" s="2" t="s">
        <v>12</v>
      </c>
      <c r="G2901" s="2" t="s">
        <v>12</v>
      </c>
      <c r="H2901" s="2" t="s">
        <v>12</v>
      </c>
      <c r="I2901" s="2" t="s">
        <v>12</v>
      </c>
      <c r="J2901" s="2" t="s">
        <v>12</v>
      </c>
      <c r="K2901" s="2" t="s">
        <v>12</v>
      </c>
    </row>
    <row r="2902" spans="1:11" ht="12.5" x14ac:dyDescent="0.25">
      <c r="A2902" s="3" t="e">
        <f ca="1"/>
        <v>#NAME?</v>
      </c>
      <c r="B2902" s="2" t="s">
        <v>12</v>
      </c>
      <c r="C2902" s="2" t="s">
        <v>12</v>
      </c>
      <c r="D2902" s="2" t="s">
        <v>12</v>
      </c>
      <c r="E2902" s="2" t="s">
        <v>12</v>
      </c>
      <c r="F2902" s="2" t="s">
        <v>12</v>
      </c>
      <c r="G2902" s="2" t="s">
        <v>12</v>
      </c>
      <c r="H2902" s="2" t="s">
        <v>12</v>
      </c>
      <c r="I2902" s="2" t="s">
        <v>12</v>
      </c>
      <c r="J2902" s="2" t="s">
        <v>12</v>
      </c>
      <c r="K2902" s="2" t="s">
        <v>12</v>
      </c>
    </row>
    <row r="2903" spans="1:11" ht="12.5" x14ac:dyDescent="0.25">
      <c r="A2903" s="3" t="e">
        <f ca="1"/>
        <v>#NAME?</v>
      </c>
      <c r="B2903" s="2" t="s">
        <v>12</v>
      </c>
      <c r="C2903" s="2" t="s">
        <v>12</v>
      </c>
      <c r="D2903" s="2" t="s">
        <v>12</v>
      </c>
      <c r="E2903" s="2" t="s">
        <v>12</v>
      </c>
      <c r="F2903" s="2" t="s">
        <v>12</v>
      </c>
      <c r="G2903" s="2" t="s">
        <v>12</v>
      </c>
      <c r="H2903" s="2" t="s">
        <v>12</v>
      </c>
      <c r="I2903" s="2" t="s">
        <v>12</v>
      </c>
      <c r="J2903" s="2" t="s">
        <v>12</v>
      </c>
      <c r="K2903" s="2" t="s">
        <v>12</v>
      </c>
    </row>
    <row r="2904" spans="1:11" ht="12.5" x14ac:dyDescent="0.25">
      <c r="A2904" s="3" t="e">
        <f ca="1"/>
        <v>#NAME?</v>
      </c>
      <c r="B2904" s="2" t="s">
        <v>12</v>
      </c>
      <c r="C2904" s="2" t="s">
        <v>12</v>
      </c>
      <c r="D2904" s="2" t="s">
        <v>12</v>
      </c>
      <c r="E2904" s="2" t="s">
        <v>12</v>
      </c>
      <c r="F2904" s="2" t="s">
        <v>12</v>
      </c>
      <c r="G2904" s="2" t="s">
        <v>12</v>
      </c>
      <c r="H2904" s="2" t="s">
        <v>12</v>
      </c>
      <c r="I2904" s="2" t="s">
        <v>12</v>
      </c>
      <c r="J2904" s="2" t="s">
        <v>12</v>
      </c>
      <c r="K2904" s="2" t="s">
        <v>12</v>
      </c>
    </row>
    <row r="2905" spans="1:11" ht="12.5" x14ac:dyDescent="0.25">
      <c r="A2905" s="3" t="e">
        <f ca="1"/>
        <v>#NAME?</v>
      </c>
      <c r="B2905" s="2" t="s">
        <v>12</v>
      </c>
      <c r="C2905" s="2" t="s">
        <v>12</v>
      </c>
      <c r="D2905" s="2" t="s">
        <v>12</v>
      </c>
      <c r="E2905" s="2" t="s">
        <v>12</v>
      </c>
      <c r="F2905" s="2" t="s">
        <v>12</v>
      </c>
      <c r="G2905" s="2" t="s">
        <v>12</v>
      </c>
      <c r="H2905" s="2" t="s">
        <v>12</v>
      </c>
      <c r="I2905" s="2" t="s">
        <v>12</v>
      </c>
      <c r="J2905" s="2" t="s">
        <v>12</v>
      </c>
      <c r="K2905" s="2" t="s">
        <v>12</v>
      </c>
    </row>
    <row r="2906" spans="1:11" ht="12.5" x14ac:dyDescent="0.25">
      <c r="A2906" s="3" t="e">
        <f ca="1"/>
        <v>#NAME?</v>
      </c>
      <c r="B2906" s="2" t="s">
        <v>12</v>
      </c>
      <c r="C2906" s="2" t="s">
        <v>12</v>
      </c>
      <c r="D2906" s="2" t="s">
        <v>12</v>
      </c>
      <c r="E2906" s="2" t="s">
        <v>12</v>
      </c>
      <c r="F2906" s="2" t="s">
        <v>12</v>
      </c>
      <c r="G2906" s="2" t="s">
        <v>12</v>
      </c>
      <c r="H2906" s="2" t="s">
        <v>12</v>
      </c>
      <c r="I2906" s="2" t="s">
        <v>12</v>
      </c>
      <c r="J2906" s="2" t="s">
        <v>12</v>
      </c>
      <c r="K2906" s="2" t="s">
        <v>12</v>
      </c>
    </row>
    <row r="2907" spans="1:11" ht="12.5" x14ac:dyDescent="0.25">
      <c r="A2907" s="3" t="e">
        <f ca="1"/>
        <v>#NAME?</v>
      </c>
      <c r="B2907" s="2" t="s">
        <v>12</v>
      </c>
      <c r="C2907" s="2" t="s">
        <v>12</v>
      </c>
      <c r="D2907" s="2" t="s">
        <v>12</v>
      </c>
      <c r="E2907" s="2" t="s">
        <v>12</v>
      </c>
      <c r="F2907" s="2" t="s">
        <v>12</v>
      </c>
      <c r="G2907" s="2" t="s">
        <v>12</v>
      </c>
      <c r="H2907" s="2" t="s">
        <v>12</v>
      </c>
      <c r="I2907" s="2" t="s">
        <v>12</v>
      </c>
      <c r="J2907" s="2" t="s">
        <v>12</v>
      </c>
      <c r="K2907" s="2" t="s">
        <v>12</v>
      </c>
    </row>
    <row r="2908" spans="1:11" ht="12.5" x14ac:dyDescent="0.25">
      <c r="A2908" s="3" t="e">
        <f ca="1"/>
        <v>#NAME?</v>
      </c>
      <c r="B2908" s="2" t="s">
        <v>12</v>
      </c>
      <c r="C2908" s="2" t="s">
        <v>12</v>
      </c>
      <c r="D2908" s="2" t="s">
        <v>12</v>
      </c>
      <c r="E2908" s="2" t="s">
        <v>12</v>
      </c>
      <c r="F2908" s="2" t="s">
        <v>12</v>
      </c>
      <c r="G2908" s="2" t="s">
        <v>12</v>
      </c>
      <c r="H2908" s="2" t="s">
        <v>12</v>
      </c>
      <c r="I2908" s="2" t="s">
        <v>12</v>
      </c>
      <c r="J2908" s="2" t="s">
        <v>12</v>
      </c>
      <c r="K2908" s="2" t="s">
        <v>12</v>
      </c>
    </row>
    <row r="2909" spans="1:11" ht="12.5" x14ac:dyDescent="0.25">
      <c r="A2909" s="3" t="e">
        <f ca="1"/>
        <v>#NAME?</v>
      </c>
      <c r="B2909" s="2" t="s">
        <v>12</v>
      </c>
      <c r="C2909" s="2" t="s">
        <v>12</v>
      </c>
      <c r="D2909" s="2" t="s">
        <v>12</v>
      </c>
      <c r="E2909" s="2" t="s">
        <v>12</v>
      </c>
      <c r="F2909" s="2" t="s">
        <v>12</v>
      </c>
      <c r="G2909" s="2" t="s">
        <v>12</v>
      </c>
      <c r="H2909" s="2" t="s">
        <v>12</v>
      </c>
      <c r="I2909" s="2" t="s">
        <v>12</v>
      </c>
      <c r="J2909" s="2" t="s">
        <v>12</v>
      </c>
      <c r="K2909" s="2" t="s">
        <v>12</v>
      </c>
    </row>
    <row r="2910" spans="1:11" ht="12.5" x14ac:dyDescent="0.25">
      <c r="A2910" s="3" t="e">
        <f ca="1"/>
        <v>#NAME?</v>
      </c>
      <c r="B2910" s="2" t="s">
        <v>12</v>
      </c>
      <c r="C2910" s="2" t="s">
        <v>12</v>
      </c>
      <c r="D2910" s="2" t="s">
        <v>12</v>
      </c>
      <c r="E2910" s="2" t="s">
        <v>12</v>
      </c>
      <c r="F2910" s="2" t="s">
        <v>12</v>
      </c>
      <c r="G2910" s="2" t="s">
        <v>12</v>
      </c>
      <c r="H2910" s="2" t="s">
        <v>12</v>
      </c>
      <c r="I2910" s="2" t="s">
        <v>12</v>
      </c>
      <c r="J2910" s="2" t="s">
        <v>12</v>
      </c>
      <c r="K2910" s="2" t="s">
        <v>12</v>
      </c>
    </row>
    <row r="2911" spans="1:11" ht="12.5" x14ac:dyDescent="0.25">
      <c r="A2911" s="3" t="e">
        <f ca="1"/>
        <v>#NAME?</v>
      </c>
      <c r="B2911" s="2" t="s">
        <v>12</v>
      </c>
      <c r="C2911" s="2" t="s">
        <v>12</v>
      </c>
      <c r="D2911" s="2" t="s">
        <v>12</v>
      </c>
      <c r="E2911" s="2" t="s">
        <v>12</v>
      </c>
      <c r="F2911" s="2" t="s">
        <v>12</v>
      </c>
      <c r="G2911" s="2" t="s">
        <v>12</v>
      </c>
      <c r="H2911" s="2" t="s">
        <v>12</v>
      </c>
      <c r="I2911" s="2" t="s">
        <v>12</v>
      </c>
      <c r="J2911" s="2" t="s">
        <v>12</v>
      </c>
      <c r="K2911" s="2" t="s">
        <v>12</v>
      </c>
    </row>
    <row r="2912" spans="1:11" ht="12.5" x14ac:dyDescent="0.25">
      <c r="A2912" s="3" t="e">
        <f ca="1"/>
        <v>#NAME?</v>
      </c>
      <c r="B2912" s="2" t="s">
        <v>12</v>
      </c>
      <c r="C2912" s="2" t="s">
        <v>12</v>
      </c>
      <c r="D2912" s="2" t="s">
        <v>12</v>
      </c>
      <c r="E2912" s="2" t="s">
        <v>12</v>
      </c>
      <c r="F2912" s="2" t="s">
        <v>12</v>
      </c>
      <c r="G2912" s="2" t="s">
        <v>12</v>
      </c>
      <c r="H2912" s="2" t="s">
        <v>12</v>
      </c>
      <c r="I2912" s="2" t="s">
        <v>12</v>
      </c>
      <c r="J2912" s="2" t="s">
        <v>12</v>
      </c>
      <c r="K2912" s="2" t="s">
        <v>12</v>
      </c>
    </row>
    <row r="2913" spans="1:11" ht="12.5" x14ac:dyDescent="0.25">
      <c r="A2913" s="3" t="e">
        <f ca="1"/>
        <v>#NAME?</v>
      </c>
      <c r="B2913" s="2" t="s">
        <v>12</v>
      </c>
      <c r="C2913" s="2" t="s">
        <v>12</v>
      </c>
      <c r="D2913" s="2" t="s">
        <v>12</v>
      </c>
      <c r="E2913" s="2" t="s">
        <v>12</v>
      </c>
      <c r="F2913" s="2" t="s">
        <v>12</v>
      </c>
      <c r="G2913" s="2" t="s">
        <v>12</v>
      </c>
      <c r="H2913" s="2" t="s">
        <v>12</v>
      </c>
      <c r="I2913" s="2" t="s">
        <v>12</v>
      </c>
      <c r="J2913" s="2" t="s">
        <v>12</v>
      </c>
      <c r="K2913" s="2" t="s">
        <v>12</v>
      </c>
    </row>
    <row r="2914" spans="1:11" ht="12.5" x14ac:dyDescent="0.25">
      <c r="A2914" s="3" t="e">
        <f ca="1"/>
        <v>#NAME?</v>
      </c>
      <c r="B2914" s="2" t="s">
        <v>12</v>
      </c>
      <c r="C2914" s="2" t="s">
        <v>12</v>
      </c>
      <c r="D2914" s="2" t="s">
        <v>12</v>
      </c>
      <c r="E2914" s="2" t="s">
        <v>12</v>
      </c>
      <c r="F2914" s="2" t="s">
        <v>12</v>
      </c>
      <c r="G2914" s="2" t="s">
        <v>12</v>
      </c>
      <c r="H2914" s="2" t="s">
        <v>12</v>
      </c>
      <c r="I2914" s="2" t="s">
        <v>12</v>
      </c>
      <c r="J2914" s="2" t="s">
        <v>12</v>
      </c>
      <c r="K2914" s="2" t="s">
        <v>12</v>
      </c>
    </row>
    <row r="2915" spans="1:11" ht="12.5" x14ac:dyDescent="0.25">
      <c r="A2915" s="3" t="e">
        <f ca="1"/>
        <v>#NAME?</v>
      </c>
      <c r="B2915" s="2" t="s">
        <v>12</v>
      </c>
      <c r="C2915" s="2" t="s">
        <v>12</v>
      </c>
      <c r="D2915" s="2" t="s">
        <v>12</v>
      </c>
      <c r="E2915" s="2" t="s">
        <v>12</v>
      </c>
      <c r="F2915" s="2" t="s">
        <v>12</v>
      </c>
      <c r="G2915" s="2" t="s">
        <v>12</v>
      </c>
      <c r="H2915" s="2" t="s">
        <v>12</v>
      </c>
      <c r="I2915" s="2" t="s">
        <v>12</v>
      </c>
      <c r="J2915" s="2" t="s">
        <v>12</v>
      </c>
      <c r="K2915" s="2" t="s">
        <v>12</v>
      </c>
    </row>
    <row r="2916" spans="1:11" ht="12.5" x14ac:dyDescent="0.25">
      <c r="A2916" s="3" t="e">
        <f ca="1"/>
        <v>#NAME?</v>
      </c>
      <c r="B2916" s="2" t="s">
        <v>12</v>
      </c>
      <c r="C2916" s="2" t="s">
        <v>12</v>
      </c>
      <c r="D2916" s="2" t="s">
        <v>12</v>
      </c>
      <c r="E2916" s="2" t="s">
        <v>12</v>
      </c>
      <c r="F2916" s="2" t="s">
        <v>12</v>
      </c>
      <c r="G2916" s="2" t="s">
        <v>12</v>
      </c>
      <c r="H2916" s="2" t="s">
        <v>12</v>
      </c>
      <c r="I2916" s="2" t="s">
        <v>12</v>
      </c>
      <c r="J2916" s="2" t="s">
        <v>12</v>
      </c>
      <c r="K2916" s="2" t="s">
        <v>12</v>
      </c>
    </row>
    <row r="2917" spans="1:11" ht="12.5" x14ac:dyDescent="0.25">
      <c r="A2917" s="3" t="e">
        <f ca="1"/>
        <v>#NAME?</v>
      </c>
      <c r="B2917" s="2" t="s">
        <v>12</v>
      </c>
      <c r="C2917" s="2" t="s">
        <v>12</v>
      </c>
      <c r="D2917" s="2" t="s">
        <v>12</v>
      </c>
      <c r="E2917" s="2" t="s">
        <v>12</v>
      </c>
      <c r="F2917" s="2" t="s">
        <v>12</v>
      </c>
      <c r="G2917" s="2" t="s">
        <v>12</v>
      </c>
      <c r="H2917" s="2" t="s">
        <v>12</v>
      </c>
      <c r="I2917" s="2" t="s">
        <v>12</v>
      </c>
      <c r="J2917" s="2" t="s">
        <v>12</v>
      </c>
      <c r="K2917" s="2" t="s">
        <v>12</v>
      </c>
    </row>
    <row r="2918" spans="1:11" ht="12.5" x14ac:dyDescent="0.25">
      <c r="A2918" s="3" t="e">
        <f ca="1"/>
        <v>#NAME?</v>
      </c>
      <c r="B2918" s="2" t="s">
        <v>12</v>
      </c>
      <c r="C2918" s="2" t="s">
        <v>12</v>
      </c>
      <c r="D2918" s="2" t="s">
        <v>12</v>
      </c>
      <c r="E2918" s="2" t="s">
        <v>12</v>
      </c>
      <c r="F2918" s="2" t="s">
        <v>12</v>
      </c>
      <c r="G2918" s="2" t="s">
        <v>12</v>
      </c>
      <c r="H2918" s="2" t="s">
        <v>12</v>
      </c>
      <c r="I2918" s="2" t="s">
        <v>12</v>
      </c>
      <c r="J2918" s="2" t="s">
        <v>12</v>
      </c>
      <c r="K2918" s="2" t="s">
        <v>12</v>
      </c>
    </row>
    <row r="2919" spans="1:11" ht="12.5" x14ac:dyDescent="0.25">
      <c r="A2919" s="3" t="e">
        <f ca="1"/>
        <v>#NAME?</v>
      </c>
      <c r="B2919" s="2" t="s">
        <v>12</v>
      </c>
      <c r="C2919" s="2" t="s">
        <v>12</v>
      </c>
      <c r="D2919" s="2" t="s">
        <v>12</v>
      </c>
      <c r="E2919" s="2" t="s">
        <v>12</v>
      </c>
      <c r="F2919" s="2" t="s">
        <v>12</v>
      </c>
      <c r="G2919" s="2" t="s">
        <v>12</v>
      </c>
      <c r="H2919" s="2" t="s">
        <v>12</v>
      </c>
      <c r="I2919" s="2" t="s">
        <v>12</v>
      </c>
      <c r="J2919" s="2" t="s">
        <v>12</v>
      </c>
      <c r="K2919" s="2" t="s">
        <v>12</v>
      </c>
    </row>
    <row r="2920" spans="1:11" ht="12.5" x14ac:dyDescent="0.25">
      <c r="A2920" s="3" t="e">
        <f ca="1"/>
        <v>#NAME?</v>
      </c>
      <c r="B2920" s="2" t="s">
        <v>12</v>
      </c>
      <c r="C2920" s="2" t="s">
        <v>12</v>
      </c>
      <c r="D2920" s="2" t="s">
        <v>12</v>
      </c>
      <c r="E2920" s="2" t="s">
        <v>12</v>
      </c>
      <c r="F2920" s="2" t="s">
        <v>12</v>
      </c>
      <c r="G2920" s="2" t="s">
        <v>12</v>
      </c>
      <c r="H2920" s="2" t="s">
        <v>12</v>
      </c>
      <c r="I2920" s="2" t="s">
        <v>12</v>
      </c>
      <c r="J2920" s="2" t="s">
        <v>12</v>
      </c>
      <c r="K2920" s="2" t="s">
        <v>12</v>
      </c>
    </row>
    <row r="2921" spans="1:11" ht="12.5" x14ac:dyDescent="0.25">
      <c r="A2921" s="3" t="e">
        <f ca="1"/>
        <v>#NAME?</v>
      </c>
      <c r="B2921" s="2" t="s">
        <v>12</v>
      </c>
      <c r="C2921" s="2" t="s">
        <v>12</v>
      </c>
      <c r="D2921" s="2" t="s">
        <v>12</v>
      </c>
      <c r="E2921" s="2" t="s">
        <v>12</v>
      </c>
      <c r="F2921" s="2" t="s">
        <v>12</v>
      </c>
      <c r="G2921" s="2" t="s">
        <v>12</v>
      </c>
      <c r="H2921" s="2" t="s">
        <v>12</v>
      </c>
      <c r="I2921" s="2" t="s">
        <v>12</v>
      </c>
      <c r="J2921" s="2" t="s">
        <v>12</v>
      </c>
      <c r="K2921" s="2" t="s">
        <v>12</v>
      </c>
    </row>
    <row r="2922" spans="1:11" ht="12.5" x14ac:dyDescent="0.25">
      <c r="A2922" s="3" t="e">
        <f ca="1"/>
        <v>#NAME?</v>
      </c>
      <c r="B2922" s="2" t="s">
        <v>12</v>
      </c>
      <c r="C2922" s="2" t="s">
        <v>12</v>
      </c>
      <c r="D2922" s="2" t="s">
        <v>12</v>
      </c>
      <c r="E2922" s="2" t="s">
        <v>12</v>
      </c>
      <c r="F2922" s="2" t="s">
        <v>12</v>
      </c>
      <c r="G2922" s="2" t="s">
        <v>12</v>
      </c>
      <c r="H2922" s="2" t="s">
        <v>12</v>
      </c>
      <c r="I2922" s="2" t="s">
        <v>12</v>
      </c>
      <c r="J2922" s="2" t="s">
        <v>12</v>
      </c>
      <c r="K2922" s="2" t="s">
        <v>12</v>
      </c>
    </row>
    <row r="2923" spans="1:11" ht="12.5" x14ac:dyDescent="0.25">
      <c r="A2923" s="3" t="e">
        <f ca="1"/>
        <v>#NAME?</v>
      </c>
      <c r="B2923" s="2" t="s">
        <v>12</v>
      </c>
      <c r="C2923" s="2" t="s">
        <v>12</v>
      </c>
      <c r="D2923" s="2" t="s">
        <v>12</v>
      </c>
      <c r="E2923" s="2" t="s">
        <v>12</v>
      </c>
      <c r="F2923" s="2" t="s">
        <v>12</v>
      </c>
      <c r="G2923" s="2" t="s">
        <v>12</v>
      </c>
      <c r="H2923" s="2" t="s">
        <v>12</v>
      </c>
      <c r="I2923" s="2" t="s">
        <v>12</v>
      </c>
      <c r="J2923" s="2" t="s">
        <v>12</v>
      </c>
      <c r="K2923" s="2" t="s">
        <v>12</v>
      </c>
    </row>
    <row r="2924" spans="1:11" ht="12.5" x14ac:dyDescent="0.25">
      <c r="A2924" s="3" t="e">
        <f ca="1"/>
        <v>#NAME?</v>
      </c>
      <c r="B2924" s="2" t="s">
        <v>12</v>
      </c>
      <c r="C2924" s="2" t="s">
        <v>12</v>
      </c>
      <c r="D2924" s="2" t="s">
        <v>12</v>
      </c>
      <c r="E2924" s="2" t="s">
        <v>12</v>
      </c>
      <c r="F2924" s="2" t="s">
        <v>12</v>
      </c>
      <c r="G2924" s="2" t="s">
        <v>12</v>
      </c>
      <c r="H2924" s="2" t="s">
        <v>12</v>
      </c>
      <c r="I2924" s="2" t="s">
        <v>12</v>
      </c>
      <c r="J2924" s="2" t="s">
        <v>12</v>
      </c>
      <c r="K2924" s="2" t="s">
        <v>12</v>
      </c>
    </row>
    <row r="2925" spans="1:11" ht="12.5" x14ac:dyDescent="0.25">
      <c r="A2925" s="3" t="e">
        <f ca="1"/>
        <v>#NAME?</v>
      </c>
      <c r="B2925" s="2" t="s">
        <v>12</v>
      </c>
      <c r="C2925" s="2" t="s">
        <v>12</v>
      </c>
      <c r="D2925" s="2" t="s">
        <v>12</v>
      </c>
      <c r="E2925" s="2" t="s">
        <v>12</v>
      </c>
      <c r="F2925" s="2" t="s">
        <v>12</v>
      </c>
      <c r="G2925" s="2" t="s">
        <v>12</v>
      </c>
      <c r="H2925" s="2" t="s">
        <v>12</v>
      </c>
      <c r="I2925" s="2" t="s">
        <v>12</v>
      </c>
      <c r="J2925" s="2" t="s">
        <v>12</v>
      </c>
      <c r="K2925" s="2" t="s">
        <v>12</v>
      </c>
    </row>
    <row r="2926" spans="1:11" ht="12.5" x14ac:dyDescent="0.25">
      <c r="A2926" s="3" t="e">
        <f ca="1"/>
        <v>#NAME?</v>
      </c>
      <c r="B2926" s="2" t="s">
        <v>12</v>
      </c>
      <c r="C2926" s="2" t="s">
        <v>12</v>
      </c>
      <c r="D2926" s="2" t="s">
        <v>12</v>
      </c>
      <c r="E2926" s="2" t="s">
        <v>12</v>
      </c>
      <c r="F2926" s="2" t="s">
        <v>12</v>
      </c>
      <c r="G2926" s="2" t="s">
        <v>12</v>
      </c>
      <c r="H2926" s="2" t="s">
        <v>12</v>
      </c>
      <c r="I2926" s="2" t="s">
        <v>12</v>
      </c>
      <c r="J2926" s="2" t="s">
        <v>12</v>
      </c>
      <c r="K2926" s="2" t="s">
        <v>12</v>
      </c>
    </row>
    <row r="2927" spans="1:11" ht="12.5" x14ac:dyDescent="0.25">
      <c r="A2927" s="3" t="e">
        <f ca="1"/>
        <v>#NAME?</v>
      </c>
      <c r="B2927" s="2" t="s">
        <v>12</v>
      </c>
      <c r="C2927" s="2" t="s">
        <v>12</v>
      </c>
      <c r="D2927" s="2" t="s">
        <v>12</v>
      </c>
      <c r="E2927" s="2" t="s">
        <v>12</v>
      </c>
      <c r="F2927" s="2" t="s">
        <v>12</v>
      </c>
      <c r="G2927" s="2" t="s">
        <v>12</v>
      </c>
      <c r="H2927" s="2" t="s">
        <v>12</v>
      </c>
      <c r="I2927" s="2" t="s">
        <v>12</v>
      </c>
      <c r="J2927" s="2" t="s">
        <v>12</v>
      </c>
      <c r="K2927" s="2" t="s">
        <v>12</v>
      </c>
    </row>
    <row r="2928" spans="1:11" ht="12.5" x14ac:dyDescent="0.25">
      <c r="A2928" s="3" t="e">
        <f ca="1"/>
        <v>#NAME?</v>
      </c>
      <c r="B2928" s="2" t="s">
        <v>12</v>
      </c>
      <c r="C2928" s="2" t="s">
        <v>12</v>
      </c>
      <c r="D2928" s="2" t="s">
        <v>12</v>
      </c>
      <c r="E2928" s="2" t="s">
        <v>12</v>
      </c>
      <c r="F2928" s="2" t="s">
        <v>12</v>
      </c>
      <c r="G2928" s="2" t="s">
        <v>12</v>
      </c>
      <c r="H2928" s="2" t="s">
        <v>12</v>
      </c>
      <c r="I2928" s="2" t="s">
        <v>12</v>
      </c>
      <c r="J2928" s="2" t="s">
        <v>12</v>
      </c>
      <c r="K2928" s="2" t="s">
        <v>12</v>
      </c>
    </row>
    <row r="2929" spans="1:11" ht="12.5" x14ac:dyDescent="0.25">
      <c r="A2929" s="3" t="e">
        <f ca="1"/>
        <v>#NAME?</v>
      </c>
      <c r="B2929" s="2" t="s">
        <v>12</v>
      </c>
      <c r="C2929" s="2" t="s">
        <v>12</v>
      </c>
      <c r="D2929" s="2" t="s">
        <v>12</v>
      </c>
      <c r="E2929" s="2" t="s">
        <v>12</v>
      </c>
      <c r="F2929" s="2" t="s">
        <v>12</v>
      </c>
      <c r="G2929" s="2" t="s">
        <v>12</v>
      </c>
      <c r="H2929" s="2" t="s">
        <v>12</v>
      </c>
      <c r="I2929" s="2" t="s">
        <v>12</v>
      </c>
      <c r="J2929" s="2" t="s">
        <v>12</v>
      </c>
      <c r="K2929" s="2" t="s">
        <v>12</v>
      </c>
    </row>
    <row r="2930" spans="1:11" ht="12.5" x14ac:dyDescent="0.25">
      <c r="A2930" s="3" t="e">
        <f ca="1"/>
        <v>#NAME?</v>
      </c>
      <c r="B2930" s="2" t="s">
        <v>12</v>
      </c>
      <c r="C2930" s="2" t="s">
        <v>12</v>
      </c>
      <c r="D2930" s="2" t="s">
        <v>12</v>
      </c>
      <c r="E2930" s="2" t="s">
        <v>12</v>
      </c>
      <c r="F2930" s="2" t="s">
        <v>12</v>
      </c>
      <c r="G2930" s="2" t="s">
        <v>12</v>
      </c>
      <c r="H2930" s="2" t="s">
        <v>12</v>
      </c>
      <c r="I2930" s="2" t="s">
        <v>12</v>
      </c>
      <c r="J2930" s="2" t="s">
        <v>12</v>
      </c>
      <c r="K2930" s="2" t="s">
        <v>12</v>
      </c>
    </row>
    <row r="2931" spans="1:11" ht="12.5" x14ac:dyDescent="0.25">
      <c r="A2931" s="3" t="e">
        <f ca="1"/>
        <v>#NAME?</v>
      </c>
      <c r="B2931" s="2" t="s">
        <v>12</v>
      </c>
      <c r="C2931" s="2" t="s">
        <v>12</v>
      </c>
      <c r="D2931" s="2" t="s">
        <v>12</v>
      </c>
      <c r="E2931" s="2" t="s">
        <v>12</v>
      </c>
      <c r="F2931" s="2" t="s">
        <v>12</v>
      </c>
      <c r="G2931" s="2" t="s">
        <v>12</v>
      </c>
      <c r="H2931" s="2" t="s">
        <v>12</v>
      </c>
      <c r="I2931" s="2" t="s">
        <v>12</v>
      </c>
      <c r="J2931" s="2" t="s">
        <v>12</v>
      </c>
      <c r="K2931" s="2" t="s">
        <v>12</v>
      </c>
    </row>
    <row r="2932" spans="1:11" ht="12.5" x14ac:dyDescent="0.25">
      <c r="A2932" s="3" t="e">
        <f ca="1"/>
        <v>#NAME?</v>
      </c>
      <c r="B2932" s="2" t="s">
        <v>12</v>
      </c>
      <c r="C2932" s="2" t="s">
        <v>12</v>
      </c>
      <c r="D2932" s="2" t="s">
        <v>12</v>
      </c>
      <c r="E2932" s="2" t="s">
        <v>12</v>
      </c>
      <c r="F2932" s="2" t="s">
        <v>12</v>
      </c>
      <c r="G2932" s="2" t="s">
        <v>12</v>
      </c>
      <c r="H2932" s="2" t="s">
        <v>12</v>
      </c>
      <c r="I2932" s="2" t="s">
        <v>12</v>
      </c>
      <c r="J2932" s="2" t="s">
        <v>12</v>
      </c>
      <c r="K2932" s="2" t="s">
        <v>12</v>
      </c>
    </row>
    <row r="2933" spans="1:11" ht="12.5" x14ac:dyDescent="0.25">
      <c r="A2933" s="3" t="e">
        <f ca="1"/>
        <v>#NAME?</v>
      </c>
      <c r="B2933" s="2" t="s">
        <v>12</v>
      </c>
      <c r="C2933" s="2" t="s">
        <v>12</v>
      </c>
      <c r="D2933" s="2" t="s">
        <v>12</v>
      </c>
      <c r="E2933" s="2" t="s">
        <v>12</v>
      </c>
      <c r="F2933" s="2" t="s">
        <v>12</v>
      </c>
      <c r="G2933" s="2" t="s">
        <v>12</v>
      </c>
      <c r="H2933" s="2" t="s">
        <v>12</v>
      </c>
      <c r="I2933" s="2" t="s">
        <v>12</v>
      </c>
      <c r="J2933" s="2" t="s">
        <v>12</v>
      </c>
      <c r="K2933" s="2" t="s">
        <v>12</v>
      </c>
    </row>
    <row r="2934" spans="1:11" ht="12.5" x14ac:dyDescent="0.25">
      <c r="A2934" s="3" t="e">
        <f ca="1"/>
        <v>#NAME?</v>
      </c>
      <c r="B2934" s="2" t="s">
        <v>12</v>
      </c>
      <c r="C2934" s="2" t="s">
        <v>12</v>
      </c>
      <c r="D2934" s="2" t="s">
        <v>12</v>
      </c>
      <c r="E2934" s="2" t="s">
        <v>12</v>
      </c>
      <c r="F2934" s="2" t="s">
        <v>12</v>
      </c>
      <c r="G2934" s="2" t="s">
        <v>12</v>
      </c>
      <c r="H2934" s="2" t="s">
        <v>12</v>
      </c>
      <c r="I2934" s="2" t="s">
        <v>12</v>
      </c>
      <c r="J2934" s="2" t="s">
        <v>12</v>
      </c>
      <c r="K2934" s="2" t="s">
        <v>12</v>
      </c>
    </row>
    <row r="2935" spans="1:11" ht="12.5" x14ac:dyDescent="0.25">
      <c r="A2935" s="3" t="e">
        <f ca="1"/>
        <v>#NAME?</v>
      </c>
      <c r="B2935" s="2" t="s">
        <v>12</v>
      </c>
      <c r="C2935" s="2" t="s">
        <v>12</v>
      </c>
      <c r="D2935" s="2" t="s">
        <v>12</v>
      </c>
      <c r="E2935" s="2" t="s">
        <v>12</v>
      </c>
      <c r="F2935" s="2" t="s">
        <v>12</v>
      </c>
      <c r="G2935" s="2" t="s">
        <v>12</v>
      </c>
      <c r="H2935" s="2" t="s">
        <v>12</v>
      </c>
      <c r="I2935" s="2" t="s">
        <v>12</v>
      </c>
      <c r="J2935" s="2" t="s">
        <v>12</v>
      </c>
      <c r="K2935" s="2" t="s">
        <v>12</v>
      </c>
    </row>
    <row r="2936" spans="1:11" ht="12.5" x14ac:dyDescent="0.25">
      <c r="A2936" s="3" t="e">
        <f ca="1"/>
        <v>#NAME?</v>
      </c>
      <c r="B2936" s="2" t="s">
        <v>12</v>
      </c>
      <c r="C2936" s="2" t="s">
        <v>12</v>
      </c>
      <c r="D2936" s="2" t="s">
        <v>12</v>
      </c>
      <c r="E2936" s="2" t="s">
        <v>12</v>
      </c>
      <c r="F2936" s="2" t="s">
        <v>12</v>
      </c>
      <c r="G2936" s="2" t="s">
        <v>12</v>
      </c>
      <c r="H2936" s="2" t="s">
        <v>12</v>
      </c>
      <c r="I2936" s="2" t="s">
        <v>12</v>
      </c>
      <c r="J2936" s="2" t="s">
        <v>12</v>
      </c>
      <c r="K2936" s="2" t="s">
        <v>12</v>
      </c>
    </row>
    <row r="2937" spans="1:11" ht="12.5" x14ac:dyDescent="0.25">
      <c r="A2937" s="3" t="e">
        <f ca="1"/>
        <v>#NAME?</v>
      </c>
      <c r="B2937" s="2" t="s">
        <v>12</v>
      </c>
      <c r="C2937" s="2" t="s">
        <v>12</v>
      </c>
      <c r="D2937" s="2" t="s">
        <v>12</v>
      </c>
      <c r="E2937" s="2" t="s">
        <v>12</v>
      </c>
      <c r="F2937" s="2" t="s">
        <v>12</v>
      </c>
      <c r="G2937" s="2" t="s">
        <v>12</v>
      </c>
      <c r="H2937" s="2" t="s">
        <v>12</v>
      </c>
      <c r="I2937" s="2" t="s">
        <v>12</v>
      </c>
      <c r="J2937" s="2" t="s">
        <v>12</v>
      </c>
      <c r="K2937" s="2" t="s">
        <v>12</v>
      </c>
    </row>
    <row r="2938" spans="1:11" ht="12.5" x14ac:dyDescent="0.25">
      <c r="A2938" s="3" t="e">
        <f ca="1"/>
        <v>#NAME?</v>
      </c>
      <c r="B2938" s="2" t="s">
        <v>12</v>
      </c>
      <c r="C2938" s="2" t="s">
        <v>12</v>
      </c>
      <c r="D2938" s="2" t="s">
        <v>12</v>
      </c>
      <c r="E2938" s="2" t="s">
        <v>12</v>
      </c>
      <c r="F2938" s="2" t="s">
        <v>12</v>
      </c>
      <c r="G2938" s="2" t="s">
        <v>12</v>
      </c>
      <c r="H2938" s="2" t="s">
        <v>12</v>
      </c>
      <c r="I2938" s="2" t="s">
        <v>12</v>
      </c>
      <c r="J2938" s="2" t="s">
        <v>12</v>
      </c>
      <c r="K2938" s="2" t="s">
        <v>12</v>
      </c>
    </row>
    <row r="2939" spans="1:11" ht="12.5" x14ac:dyDescent="0.25">
      <c r="A2939" s="3" t="e">
        <f ca="1"/>
        <v>#NAME?</v>
      </c>
      <c r="B2939" s="2" t="s">
        <v>12</v>
      </c>
      <c r="C2939" s="2" t="s">
        <v>12</v>
      </c>
      <c r="D2939" s="2" t="s">
        <v>12</v>
      </c>
      <c r="E2939" s="2" t="s">
        <v>12</v>
      </c>
      <c r="F2939" s="2" t="s">
        <v>12</v>
      </c>
      <c r="G2939" s="2" t="s">
        <v>12</v>
      </c>
      <c r="H2939" s="2" t="s">
        <v>12</v>
      </c>
      <c r="I2939" s="2" t="s">
        <v>12</v>
      </c>
      <c r="J2939" s="2" t="s">
        <v>12</v>
      </c>
      <c r="K2939" s="2" t="s">
        <v>12</v>
      </c>
    </row>
    <row r="2940" spans="1:11" ht="12.5" x14ac:dyDescent="0.25">
      <c r="A2940" s="3" t="e">
        <f ca="1"/>
        <v>#NAME?</v>
      </c>
      <c r="B2940" s="2" t="s">
        <v>12</v>
      </c>
      <c r="C2940" s="2" t="s">
        <v>12</v>
      </c>
      <c r="D2940" s="2" t="s">
        <v>12</v>
      </c>
      <c r="E2940" s="2" t="s">
        <v>12</v>
      </c>
      <c r="F2940" s="2" t="s">
        <v>12</v>
      </c>
      <c r="G2940" s="2" t="s">
        <v>12</v>
      </c>
      <c r="H2940" s="2" t="s">
        <v>12</v>
      </c>
      <c r="I2940" s="2" t="s">
        <v>12</v>
      </c>
      <c r="J2940" s="2" t="s">
        <v>12</v>
      </c>
      <c r="K2940" s="2" t="s">
        <v>12</v>
      </c>
    </row>
    <row r="2941" spans="1:11" ht="12.5" x14ac:dyDescent="0.25">
      <c r="A2941" s="3" t="e">
        <f ca="1"/>
        <v>#NAME?</v>
      </c>
      <c r="B2941" s="2" t="s">
        <v>12</v>
      </c>
      <c r="C2941" s="2" t="s">
        <v>12</v>
      </c>
      <c r="D2941" s="2" t="s">
        <v>12</v>
      </c>
      <c r="E2941" s="2" t="s">
        <v>12</v>
      </c>
      <c r="F2941" s="2" t="s">
        <v>12</v>
      </c>
      <c r="G2941" s="2" t="s">
        <v>12</v>
      </c>
      <c r="H2941" s="2" t="s">
        <v>12</v>
      </c>
      <c r="I2941" s="2" t="s">
        <v>12</v>
      </c>
      <c r="J2941" s="2" t="s">
        <v>12</v>
      </c>
      <c r="K2941" s="2" t="s">
        <v>12</v>
      </c>
    </row>
    <row r="2942" spans="1:11" ht="12.5" x14ac:dyDescent="0.25">
      <c r="A2942" s="3" t="e">
        <f ca="1"/>
        <v>#NAME?</v>
      </c>
      <c r="B2942" s="2" t="s">
        <v>12</v>
      </c>
      <c r="C2942" s="2" t="s">
        <v>12</v>
      </c>
      <c r="D2942" s="2" t="s">
        <v>12</v>
      </c>
      <c r="E2942" s="2" t="s">
        <v>12</v>
      </c>
      <c r="F2942" s="2" t="s">
        <v>12</v>
      </c>
      <c r="G2942" s="2" t="s">
        <v>12</v>
      </c>
      <c r="H2942" s="2" t="s">
        <v>12</v>
      </c>
      <c r="I2942" s="2" t="s">
        <v>12</v>
      </c>
      <c r="J2942" s="2" t="s">
        <v>12</v>
      </c>
      <c r="K2942" s="2" t="s">
        <v>12</v>
      </c>
    </row>
    <row r="2943" spans="1:11" ht="12.5" x14ac:dyDescent="0.25">
      <c r="A2943" s="3" t="e">
        <f ca="1"/>
        <v>#NAME?</v>
      </c>
      <c r="B2943" s="2" t="s">
        <v>12</v>
      </c>
      <c r="C2943" s="2" t="s">
        <v>12</v>
      </c>
      <c r="D2943" s="2" t="s">
        <v>12</v>
      </c>
      <c r="E2943" s="2" t="s">
        <v>12</v>
      </c>
      <c r="F2943" s="2" t="s">
        <v>12</v>
      </c>
      <c r="G2943" s="2" t="s">
        <v>12</v>
      </c>
      <c r="H2943" s="2" t="s">
        <v>12</v>
      </c>
      <c r="I2943" s="2" t="s">
        <v>12</v>
      </c>
      <c r="J2943" s="2" t="s">
        <v>12</v>
      </c>
      <c r="K2943" s="2" t="s">
        <v>12</v>
      </c>
    </row>
    <row r="2944" spans="1:11" ht="12.5" x14ac:dyDescent="0.25">
      <c r="A2944" s="3" t="e">
        <f ca="1"/>
        <v>#NAME?</v>
      </c>
      <c r="B2944" s="2" t="s">
        <v>12</v>
      </c>
      <c r="C2944" s="2" t="s">
        <v>12</v>
      </c>
      <c r="D2944" s="2" t="s">
        <v>12</v>
      </c>
      <c r="E2944" s="2" t="s">
        <v>12</v>
      </c>
      <c r="F2944" s="2" t="s">
        <v>12</v>
      </c>
      <c r="G2944" s="2" t="s">
        <v>12</v>
      </c>
      <c r="H2944" s="2" t="s">
        <v>12</v>
      </c>
      <c r="I2944" s="2" t="s">
        <v>12</v>
      </c>
      <c r="J2944" s="2" t="s">
        <v>12</v>
      </c>
      <c r="K2944" s="2" t="s">
        <v>12</v>
      </c>
    </row>
    <row r="2945" spans="1:11" ht="12.5" x14ac:dyDescent="0.25">
      <c r="A2945" s="3" t="e">
        <f ca="1"/>
        <v>#NAME?</v>
      </c>
      <c r="B2945" s="2" t="s">
        <v>12</v>
      </c>
      <c r="C2945" s="2" t="s">
        <v>12</v>
      </c>
      <c r="D2945" s="2" t="s">
        <v>12</v>
      </c>
      <c r="E2945" s="2" t="s">
        <v>12</v>
      </c>
      <c r="F2945" s="2" t="s">
        <v>12</v>
      </c>
      <c r="G2945" s="2" t="s">
        <v>12</v>
      </c>
      <c r="H2945" s="2" t="s">
        <v>12</v>
      </c>
      <c r="I2945" s="2" t="s">
        <v>12</v>
      </c>
      <c r="J2945" s="2" t="s">
        <v>12</v>
      </c>
      <c r="K2945" s="2" t="s">
        <v>12</v>
      </c>
    </row>
    <row r="2946" spans="1:11" ht="12.5" x14ac:dyDescent="0.25">
      <c r="A2946" s="3" t="e">
        <f ca="1"/>
        <v>#NAME?</v>
      </c>
      <c r="B2946" s="2" t="s">
        <v>12</v>
      </c>
      <c r="C2946" s="2" t="s">
        <v>12</v>
      </c>
      <c r="D2946" s="2" t="s">
        <v>12</v>
      </c>
      <c r="E2946" s="2" t="s">
        <v>12</v>
      </c>
      <c r="F2946" s="2" t="s">
        <v>12</v>
      </c>
      <c r="G2946" s="2" t="s">
        <v>12</v>
      </c>
      <c r="H2946" s="2" t="s">
        <v>12</v>
      </c>
      <c r="I2946" s="2" t="s">
        <v>12</v>
      </c>
      <c r="J2946" s="2" t="s">
        <v>12</v>
      </c>
      <c r="K2946" s="2" t="s">
        <v>12</v>
      </c>
    </row>
    <row r="2947" spans="1:11" ht="12.5" x14ac:dyDescent="0.25">
      <c r="A2947" s="3" t="e">
        <f ca="1"/>
        <v>#NAME?</v>
      </c>
      <c r="B2947" s="2" t="s">
        <v>12</v>
      </c>
      <c r="C2947" s="2" t="s">
        <v>12</v>
      </c>
      <c r="D2947" s="2" t="s">
        <v>12</v>
      </c>
      <c r="E2947" s="2" t="s">
        <v>12</v>
      </c>
      <c r="F2947" s="2" t="s">
        <v>12</v>
      </c>
      <c r="G2947" s="2" t="s">
        <v>12</v>
      </c>
      <c r="H2947" s="2" t="s">
        <v>12</v>
      </c>
      <c r="I2947" s="2" t="s">
        <v>12</v>
      </c>
      <c r="J2947" s="2" t="s">
        <v>12</v>
      </c>
      <c r="K2947" s="2" t="s">
        <v>12</v>
      </c>
    </row>
    <row r="2948" spans="1:11" ht="12.5" x14ac:dyDescent="0.25">
      <c r="A2948" s="3" t="e">
        <f ca="1"/>
        <v>#NAME?</v>
      </c>
      <c r="B2948" s="2" t="s">
        <v>12</v>
      </c>
      <c r="C2948" s="2" t="s">
        <v>12</v>
      </c>
      <c r="D2948" s="2" t="s">
        <v>12</v>
      </c>
      <c r="E2948" s="2" t="s">
        <v>12</v>
      </c>
      <c r="F2948" s="2" t="s">
        <v>12</v>
      </c>
      <c r="G2948" s="2" t="s">
        <v>12</v>
      </c>
      <c r="H2948" s="2" t="s">
        <v>12</v>
      </c>
      <c r="I2948" s="2" t="s">
        <v>12</v>
      </c>
      <c r="J2948" s="2" t="s">
        <v>12</v>
      </c>
      <c r="K2948" s="2" t="s">
        <v>12</v>
      </c>
    </row>
    <row r="2949" spans="1:11" ht="12.5" x14ac:dyDescent="0.25">
      <c r="A2949" s="3" t="e">
        <f ca="1"/>
        <v>#NAME?</v>
      </c>
      <c r="B2949" s="2" t="s">
        <v>12</v>
      </c>
      <c r="C2949" s="2" t="s">
        <v>12</v>
      </c>
      <c r="D2949" s="2" t="s">
        <v>12</v>
      </c>
      <c r="E2949" s="2" t="s">
        <v>12</v>
      </c>
      <c r="F2949" s="2" t="s">
        <v>12</v>
      </c>
      <c r="G2949" s="2" t="s">
        <v>12</v>
      </c>
      <c r="H2949" s="2" t="s">
        <v>12</v>
      </c>
      <c r="I2949" s="2" t="s">
        <v>12</v>
      </c>
      <c r="J2949" s="2" t="s">
        <v>12</v>
      </c>
      <c r="K2949" s="2" t="s">
        <v>12</v>
      </c>
    </row>
    <row r="2950" spans="1:11" ht="12.5" x14ac:dyDescent="0.25">
      <c r="A2950" s="3" t="e">
        <f ca="1"/>
        <v>#NAME?</v>
      </c>
      <c r="B2950" s="2" t="s">
        <v>12</v>
      </c>
      <c r="C2950" s="2" t="s">
        <v>12</v>
      </c>
      <c r="D2950" s="2" t="s">
        <v>12</v>
      </c>
      <c r="E2950" s="2" t="s">
        <v>12</v>
      </c>
      <c r="F2950" s="2" t="s">
        <v>12</v>
      </c>
      <c r="G2950" s="2" t="s">
        <v>12</v>
      </c>
      <c r="H2950" s="2" t="s">
        <v>12</v>
      </c>
      <c r="I2950" s="2" t="s">
        <v>12</v>
      </c>
      <c r="J2950" s="2" t="s">
        <v>12</v>
      </c>
      <c r="K2950" s="2" t="s">
        <v>12</v>
      </c>
    </row>
    <row r="2951" spans="1:11" ht="12.5" x14ac:dyDescent="0.25">
      <c r="A2951" s="3" t="e">
        <f ca="1"/>
        <v>#NAME?</v>
      </c>
      <c r="B2951" s="2" t="s">
        <v>12</v>
      </c>
      <c r="C2951" s="2" t="s">
        <v>12</v>
      </c>
      <c r="D2951" s="2" t="s">
        <v>12</v>
      </c>
      <c r="E2951" s="2" t="s">
        <v>12</v>
      </c>
      <c r="F2951" s="2" t="s">
        <v>12</v>
      </c>
      <c r="G2951" s="2" t="s">
        <v>12</v>
      </c>
      <c r="H2951" s="2" t="s">
        <v>12</v>
      </c>
      <c r="I2951" s="2" t="s">
        <v>12</v>
      </c>
      <c r="J2951" s="2" t="s">
        <v>12</v>
      </c>
      <c r="K2951" s="2" t="s">
        <v>12</v>
      </c>
    </row>
    <row r="2952" spans="1:11" ht="12.5" x14ac:dyDescent="0.25">
      <c r="A2952" s="3" t="e">
        <f ca="1"/>
        <v>#NAME?</v>
      </c>
      <c r="B2952" s="2" t="s">
        <v>12</v>
      </c>
      <c r="C2952" s="2" t="s">
        <v>12</v>
      </c>
      <c r="D2952" s="2" t="s">
        <v>12</v>
      </c>
      <c r="E2952" s="2" t="s">
        <v>12</v>
      </c>
      <c r="F2952" s="2" t="s">
        <v>12</v>
      </c>
      <c r="G2952" s="2" t="s">
        <v>12</v>
      </c>
      <c r="H2952" s="2" t="s">
        <v>12</v>
      </c>
      <c r="I2952" s="2" t="s">
        <v>12</v>
      </c>
      <c r="J2952" s="2" t="s">
        <v>12</v>
      </c>
      <c r="K2952" s="2" t="s">
        <v>12</v>
      </c>
    </row>
    <row r="2953" spans="1:11" ht="12.5" x14ac:dyDescent="0.25">
      <c r="A2953" s="3" t="e">
        <f ca="1"/>
        <v>#NAME?</v>
      </c>
      <c r="B2953" s="2" t="s">
        <v>12</v>
      </c>
      <c r="C2953" s="2" t="s">
        <v>12</v>
      </c>
      <c r="D2953" s="2" t="s">
        <v>12</v>
      </c>
      <c r="E2953" s="2" t="s">
        <v>12</v>
      </c>
      <c r="F2953" s="2" t="s">
        <v>12</v>
      </c>
      <c r="G2953" s="2" t="s">
        <v>12</v>
      </c>
      <c r="H2953" s="2" t="s">
        <v>12</v>
      </c>
      <c r="I2953" s="2" t="s">
        <v>12</v>
      </c>
      <c r="J2953" s="2" t="s">
        <v>12</v>
      </c>
      <c r="K2953" s="2" t="s">
        <v>12</v>
      </c>
    </row>
    <row r="2954" spans="1:11" ht="12.5" x14ac:dyDescent="0.25">
      <c r="A2954" s="3" t="e">
        <f ca="1"/>
        <v>#NAME?</v>
      </c>
      <c r="B2954" s="2" t="s">
        <v>12</v>
      </c>
      <c r="C2954" s="2" t="s">
        <v>12</v>
      </c>
      <c r="D2954" s="2" t="s">
        <v>12</v>
      </c>
      <c r="E2954" s="2" t="s">
        <v>12</v>
      </c>
      <c r="F2954" s="2" t="s">
        <v>12</v>
      </c>
      <c r="G2954" s="2" t="s">
        <v>12</v>
      </c>
      <c r="H2954" s="2" t="s">
        <v>12</v>
      </c>
      <c r="I2954" s="2" t="s">
        <v>12</v>
      </c>
      <c r="J2954" s="2" t="s">
        <v>12</v>
      </c>
      <c r="K2954" s="2" t="s">
        <v>12</v>
      </c>
    </row>
    <row r="2955" spans="1:11" ht="12.5" x14ac:dyDescent="0.25">
      <c r="A2955" s="3" t="e">
        <f ca="1"/>
        <v>#NAME?</v>
      </c>
      <c r="B2955" s="2" t="s">
        <v>12</v>
      </c>
      <c r="C2955" s="2" t="s">
        <v>12</v>
      </c>
      <c r="D2955" s="2" t="s">
        <v>12</v>
      </c>
      <c r="E2955" s="2" t="s">
        <v>12</v>
      </c>
      <c r="F2955" s="2" t="s">
        <v>12</v>
      </c>
      <c r="G2955" s="2" t="s">
        <v>12</v>
      </c>
      <c r="H2955" s="2" t="s">
        <v>12</v>
      </c>
      <c r="I2955" s="2" t="s">
        <v>12</v>
      </c>
      <c r="J2955" s="2" t="s">
        <v>12</v>
      </c>
      <c r="K2955" s="2" t="s">
        <v>12</v>
      </c>
    </row>
    <row r="2956" spans="1:11" ht="12.5" x14ac:dyDescent="0.25">
      <c r="A2956" s="3" t="e">
        <f ca="1"/>
        <v>#NAME?</v>
      </c>
      <c r="B2956" s="2" t="s">
        <v>12</v>
      </c>
      <c r="C2956" s="2" t="s">
        <v>12</v>
      </c>
      <c r="D2956" s="2" t="s">
        <v>12</v>
      </c>
      <c r="E2956" s="2" t="s">
        <v>12</v>
      </c>
      <c r="F2956" s="2" t="s">
        <v>12</v>
      </c>
      <c r="G2956" s="2" t="s">
        <v>12</v>
      </c>
      <c r="H2956" s="2" t="s">
        <v>12</v>
      </c>
      <c r="I2956" s="2" t="s">
        <v>12</v>
      </c>
      <c r="J2956" s="2" t="s">
        <v>12</v>
      </c>
      <c r="K2956" s="2" t="s">
        <v>12</v>
      </c>
    </row>
    <row r="2957" spans="1:11" ht="12.5" x14ac:dyDescent="0.25">
      <c r="A2957" s="3" t="e">
        <f ca="1"/>
        <v>#NAME?</v>
      </c>
      <c r="B2957" s="2" t="s">
        <v>12</v>
      </c>
      <c r="C2957" s="2" t="s">
        <v>12</v>
      </c>
      <c r="D2957" s="2" t="s">
        <v>12</v>
      </c>
      <c r="E2957" s="2" t="s">
        <v>12</v>
      </c>
      <c r="F2957" s="2" t="s">
        <v>12</v>
      </c>
      <c r="G2957" s="2" t="s">
        <v>12</v>
      </c>
      <c r="H2957" s="2" t="s">
        <v>12</v>
      </c>
      <c r="I2957" s="2" t="s">
        <v>12</v>
      </c>
      <c r="J2957" s="2" t="s">
        <v>12</v>
      </c>
      <c r="K2957" s="2" t="s">
        <v>12</v>
      </c>
    </row>
    <row r="2958" spans="1:11" ht="12.5" x14ac:dyDescent="0.25">
      <c r="A2958" s="3" t="e">
        <f ca="1"/>
        <v>#NAME?</v>
      </c>
      <c r="B2958" s="2" t="s">
        <v>12</v>
      </c>
      <c r="C2958" s="2" t="s">
        <v>12</v>
      </c>
      <c r="D2958" s="2" t="s">
        <v>12</v>
      </c>
      <c r="E2958" s="2" t="s">
        <v>12</v>
      </c>
      <c r="F2958" s="2" t="s">
        <v>12</v>
      </c>
      <c r="G2958" s="2" t="s">
        <v>12</v>
      </c>
      <c r="H2958" s="2" t="s">
        <v>12</v>
      </c>
      <c r="I2958" s="2" t="s">
        <v>12</v>
      </c>
      <c r="J2958" s="2" t="s">
        <v>12</v>
      </c>
      <c r="K2958" s="2" t="s">
        <v>12</v>
      </c>
    </row>
    <row r="2959" spans="1:11" ht="12.5" x14ac:dyDescent="0.25">
      <c r="A2959" s="3" t="e">
        <f ca="1"/>
        <v>#NAME?</v>
      </c>
      <c r="B2959" s="2" t="s">
        <v>12</v>
      </c>
      <c r="C2959" s="2" t="s">
        <v>12</v>
      </c>
      <c r="D2959" s="2" t="s">
        <v>12</v>
      </c>
      <c r="E2959" s="2" t="s">
        <v>12</v>
      </c>
      <c r="F2959" s="2" t="s">
        <v>12</v>
      </c>
      <c r="G2959" s="2" t="s">
        <v>12</v>
      </c>
      <c r="H2959" s="2" t="s">
        <v>12</v>
      </c>
      <c r="I2959" s="2" t="s">
        <v>12</v>
      </c>
      <c r="J2959" s="2" t="s">
        <v>12</v>
      </c>
      <c r="K2959" s="2" t="s">
        <v>12</v>
      </c>
    </row>
    <row r="2960" spans="1:11" ht="12.5" x14ac:dyDescent="0.25">
      <c r="A2960" s="3" t="e">
        <f ca="1"/>
        <v>#NAME?</v>
      </c>
      <c r="B2960" s="2" t="s">
        <v>12</v>
      </c>
      <c r="C2960" s="2" t="s">
        <v>12</v>
      </c>
      <c r="D2960" s="2" t="s">
        <v>12</v>
      </c>
      <c r="E2960" s="2" t="s">
        <v>12</v>
      </c>
      <c r="F2960" s="2" t="s">
        <v>12</v>
      </c>
      <c r="G2960" s="2" t="s">
        <v>12</v>
      </c>
      <c r="H2960" s="2" t="s">
        <v>12</v>
      </c>
      <c r="I2960" s="2" t="s">
        <v>12</v>
      </c>
      <c r="J2960" s="2" t="s">
        <v>12</v>
      </c>
      <c r="K2960" s="2" t="s">
        <v>12</v>
      </c>
    </row>
    <row r="2961" spans="1:11" ht="12.5" x14ac:dyDescent="0.25">
      <c r="A2961" s="3" t="e">
        <f ca="1"/>
        <v>#NAME?</v>
      </c>
      <c r="B2961" s="2" t="s">
        <v>12</v>
      </c>
      <c r="C2961" s="2" t="s">
        <v>12</v>
      </c>
      <c r="D2961" s="2" t="s">
        <v>12</v>
      </c>
      <c r="E2961" s="2" t="s">
        <v>12</v>
      </c>
      <c r="F2961" s="2" t="s">
        <v>12</v>
      </c>
      <c r="G2961" s="2" t="s">
        <v>12</v>
      </c>
      <c r="H2961" s="2" t="s">
        <v>12</v>
      </c>
      <c r="I2961" s="2" t="s">
        <v>12</v>
      </c>
      <c r="J2961" s="2" t="s">
        <v>12</v>
      </c>
      <c r="K2961" s="2" t="s">
        <v>12</v>
      </c>
    </row>
    <row r="2962" spans="1:11" ht="12.5" x14ac:dyDescent="0.25">
      <c r="A2962" s="3" t="e">
        <f ca="1"/>
        <v>#NAME?</v>
      </c>
      <c r="B2962" s="2" t="s">
        <v>12</v>
      </c>
      <c r="C2962" s="2" t="s">
        <v>12</v>
      </c>
      <c r="D2962" s="2" t="s">
        <v>12</v>
      </c>
      <c r="E2962" s="2" t="s">
        <v>12</v>
      </c>
      <c r="F2962" s="2" t="s">
        <v>12</v>
      </c>
      <c r="G2962" s="2" t="s">
        <v>12</v>
      </c>
      <c r="H2962" s="2" t="s">
        <v>12</v>
      </c>
      <c r="I2962" s="2" t="s">
        <v>12</v>
      </c>
      <c r="J2962" s="2" t="s">
        <v>12</v>
      </c>
      <c r="K2962" s="2" t="s">
        <v>12</v>
      </c>
    </row>
    <row r="2963" spans="1:11" ht="12.5" x14ac:dyDescent="0.25">
      <c r="A2963" s="3" t="e">
        <f ca="1"/>
        <v>#NAME?</v>
      </c>
      <c r="B2963" s="2" t="s">
        <v>12</v>
      </c>
      <c r="C2963" s="2" t="s">
        <v>12</v>
      </c>
      <c r="D2963" s="2" t="s">
        <v>12</v>
      </c>
      <c r="E2963" s="2" t="s">
        <v>12</v>
      </c>
      <c r="F2963" s="2" t="s">
        <v>12</v>
      </c>
      <c r="G2963" s="2" t="s">
        <v>12</v>
      </c>
      <c r="H2963" s="2" t="s">
        <v>12</v>
      </c>
      <c r="I2963" s="2" t="s">
        <v>12</v>
      </c>
      <c r="J2963" s="2" t="s">
        <v>12</v>
      </c>
      <c r="K2963" s="2" t="s">
        <v>12</v>
      </c>
    </row>
    <row r="2964" spans="1:11" ht="12.5" x14ac:dyDescent="0.25">
      <c r="A2964" s="3" t="e">
        <f ca="1"/>
        <v>#NAME?</v>
      </c>
      <c r="B2964" s="2" t="s">
        <v>12</v>
      </c>
      <c r="C2964" s="2" t="s">
        <v>12</v>
      </c>
      <c r="D2964" s="2" t="s">
        <v>12</v>
      </c>
      <c r="E2964" s="2" t="s">
        <v>12</v>
      </c>
      <c r="F2964" s="2" t="s">
        <v>12</v>
      </c>
      <c r="G2964" s="2" t="s">
        <v>12</v>
      </c>
      <c r="H2964" s="2" t="s">
        <v>12</v>
      </c>
      <c r="I2964" s="2" t="s">
        <v>12</v>
      </c>
      <c r="J2964" s="2" t="s">
        <v>12</v>
      </c>
      <c r="K2964" s="2" t="s">
        <v>12</v>
      </c>
    </row>
    <row r="2965" spans="1:11" ht="12.5" x14ac:dyDescent="0.25">
      <c r="A2965" s="3" t="e">
        <f ca="1"/>
        <v>#NAME?</v>
      </c>
      <c r="B2965" s="2" t="s">
        <v>12</v>
      </c>
      <c r="C2965" s="2" t="s">
        <v>12</v>
      </c>
      <c r="D2965" s="2" t="s">
        <v>12</v>
      </c>
      <c r="E2965" s="2" t="s">
        <v>12</v>
      </c>
      <c r="F2965" s="2" t="s">
        <v>12</v>
      </c>
      <c r="G2965" s="2" t="s">
        <v>12</v>
      </c>
      <c r="H2965" s="2" t="s">
        <v>12</v>
      </c>
      <c r="I2965" s="2" t="s">
        <v>12</v>
      </c>
      <c r="J2965" s="2" t="s">
        <v>12</v>
      </c>
      <c r="K2965" s="2" t="s">
        <v>12</v>
      </c>
    </row>
    <row r="2966" spans="1:11" ht="12.5" x14ac:dyDescent="0.25">
      <c r="A2966" s="3" t="e">
        <f ca="1"/>
        <v>#NAME?</v>
      </c>
      <c r="B2966" s="2" t="s">
        <v>12</v>
      </c>
      <c r="C2966" s="2" t="s">
        <v>12</v>
      </c>
      <c r="D2966" s="2" t="s">
        <v>12</v>
      </c>
      <c r="E2966" s="2" t="s">
        <v>12</v>
      </c>
      <c r="F2966" s="2" t="s">
        <v>12</v>
      </c>
      <c r="G2966" s="2" t="s">
        <v>12</v>
      </c>
      <c r="H2966" s="2" t="s">
        <v>12</v>
      </c>
      <c r="I2966" s="2" t="s">
        <v>12</v>
      </c>
      <c r="J2966" s="2" t="s">
        <v>12</v>
      </c>
      <c r="K2966" s="2" t="s">
        <v>12</v>
      </c>
    </row>
    <row r="2967" spans="1:11" ht="12.5" x14ac:dyDescent="0.25">
      <c r="A2967" s="3" t="e">
        <f ca="1"/>
        <v>#NAME?</v>
      </c>
      <c r="B2967" s="2" t="s">
        <v>12</v>
      </c>
      <c r="C2967" s="2" t="s">
        <v>12</v>
      </c>
      <c r="D2967" s="2" t="s">
        <v>12</v>
      </c>
      <c r="E2967" s="2" t="s">
        <v>12</v>
      </c>
      <c r="F2967" s="2" t="s">
        <v>12</v>
      </c>
      <c r="G2967" s="2" t="s">
        <v>12</v>
      </c>
      <c r="H2967" s="2" t="s">
        <v>12</v>
      </c>
      <c r="I2967" s="2" t="s">
        <v>12</v>
      </c>
      <c r="J2967" s="2" t="s">
        <v>12</v>
      </c>
      <c r="K2967" s="2" t="s">
        <v>12</v>
      </c>
    </row>
    <row r="2968" spans="1:11" ht="12.5" x14ac:dyDescent="0.25">
      <c r="A2968" s="3" t="e">
        <f ca="1"/>
        <v>#NAME?</v>
      </c>
      <c r="B2968" s="2" t="s">
        <v>12</v>
      </c>
      <c r="C2968" s="2" t="s">
        <v>12</v>
      </c>
      <c r="D2968" s="2" t="s">
        <v>12</v>
      </c>
      <c r="E2968" s="2" t="s">
        <v>12</v>
      </c>
      <c r="F2968" s="2" t="s">
        <v>12</v>
      </c>
      <c r="G2968" s="2" t="s">
        <v>12</v>
      </c>
      <c r="H2968" s="2" t="s">
        <v>12</v>
      </c>
      <c r="I2968" s="2" t="s">
        <v>12</v>
      </c>
      <c r="J2968" s="2" t="s">
        <v>12</v>
      </c>
      <c r="K2968" s="2" t="s">
        <v>12</v>
      </c>
    </row>
    <row r="2969" spans="1:11" ht="12.5" x14ac:dyDescent="0.25">
      <c r="A2969" s="3" t="e">
        <f ca="1"/>
        <v>#NAME?</v>
      </c>
      <c r="B2969" s="2" t="s">
        <v>12</v>
      </c>
      <c r="C2969" s="2" t="s">
        <v>12</v>
      </c>
      <c r="D2969" s="2" t="s">
        <v>12</v>
      </c>
      <c r="E2969" s="2" t="s">
        <v>12</v>
      </c>
      <c r="F2969" s="2" t="s">
        <v>12</v>
      </c>
      <c r="G2969" s="2" t="s">
        <v>12</v>
      </c>
      <c r="H2969" s="2" t="s">
        <v>12</v>
      </c>
      <c r="I2969" s="2" t="s">
        <v>12</v>
      </c>
      <c r="J2969" s="2" t="s">
        <v>12</v>
      </c>
      <c r="K2969" s="2" t="s">
        <v>12</v>
      </c>
    </row>
    <row r="2970" spans="1:11" ht="12.5" x14ac:dyDescent="0.25">
      <c r="A2970" s="3" t="e">
        <f ca="1"/>
        <v>#NAME?</v>
      </c>
      <c r="B2970" s="2" t="s">
        <v>12</v>
      </c>
      <c r="C2970" s="2" t="s">
        <v>12</v>
      </c>
      <c r="D2970" s="2" t="s">
        <v>12</v>
      </c>
      <c r="E2970" s="2" t="s">
        <v>12</v>
      </c>
      <c r="F2970" s="2" t="s">
        <v>12</v>
      </c>
      <c r="G2970" s="2" t="s">
        <v>12</v>
      </c>
      <c r="H2970" s="2" t="s">
        <v>12</v>
      </c>
      <c r="I2970" s="2" t="s">
        <v>12</v>
      </c>
      <c r="J2970" s="2" t="s">
        <v>12</v>
      </c>
      <c r="K2970" s="2" t="s">
        <v>12</v>
      </c>
    </row>
    <row r="2971" spans="1:11" ht="12.5" x14ac:dyDescent="0.25">
      <c r="A2971" s="3" t="e">
        <f ca="1"/>
        <v>#NAME?</v>
      </c>
      <c r="B2971" s="2" t="s">
        <v>12</v>
      </c>
      <c r="C2971" s="2" t="s">
        <v>12</v>
      </c>
      <c r="D2971" s="2" t="s">
        <v>12</v>
      </c>
      <c r="E2971" s="2" t="s">
        <v>12</v>
      </c>
      <c r="F2971" s="2" t="s">
        <v>12</v>
      </c>
      <c r="G2971" s="2" t="s">
        <v>12</v>
      </c>
      <c r="H2971" s="2" t="s">
        <v>12</v>
      </c>
      <c r="I2971" s="2" t="s">
        <v>12</v>
      </c>
      <c r="J2971" s="2" t="s">
        <v>12</v>
      </c>
      <c r="K2971" s="2" t="s">
        <v>12</v>
      </c>
    </row>
    <row r="2972" spans="1:11" ht="12.5" x14ac:dyDescent="0.25">
      <c r="A2972" s="3" t="e">
        <f ca="1"/>
        <v>#NAME?</v>
      </c>
      <c r="B2972" s="2" t="s">
        <v>12</v>
      </c>
      <c r="C2972" s="2" t="s">
        <v>12</v>
      </c>
      <c r="D2972" s="2" t="s">
        <v>12</v>
      </c>
      <c r="E2972" s="2" t="s">
        <v>12</v>
      </c>
      <c r="F2972" s="2" t="s">
        <v>12</v>
      </c>
      <c r="G2972" s="2" t="s">
        <v>12</v>
      </c>
      <c r="H2972" s="2" t="s">
        <v>12</v>
      </c>
      <c r="I2972" s="2" t="s">
        <v>12</v>
      </c>
      <c r="J2972" s="2" t="s">
        <v>12</v>
      </c>
      <c r="K2972" s="2" t="s">
        <v>12</v>
      </c>
    </row>
    <row r="2973" spans="1:11" ht="12.5" x14ac:dyDescent="0.25">
      <c r="A2973" s="3" t="e">
        <f ca="1"/>
        <v>#NAME?</v>
      </c>
      <c r="B2973" s="2" t="s">
        <v>12</v>
      </c>
      <c r="C2973" s="2" t="s">
        <v>12</v>
      </c>
      <c r="D2973" s="2" t="s">
        <v>12</v>
      </c>
      <c r="E2973" s="2" t="s">
        <v>12</v>
      </c>
      <c r="F2973" s="2" t="s">
        <v>12</v>
      </c>
      <c r="G2973" s="2" t="s">
        <v>12</v>
      </c>
      <c r="H2973" s="2" t="s">
        <v>12</v>
      </c>
      <c r="I2973" s="2" t="s">
        <v>12</v>
      </c>
      <c r="J2973" s="2" t="s">
        <v>12</v>
      </c>
      <c r="K2973" s="2" t="s">
        <v>12</v>
      </c>
    </row>
    <row r="2974" spans="1:11" ht="12.5" x14ac:dyDescent="0.25">
      <c r="A2974" s="3" t="e">
        <f ca="1"/>
        <v>#NAME?</v>
      </c>
      <c r="B2974" s="2" t="s">
        <v>12</v>
      </c>
      <c r="C2974" s="2" t="s">
        <v>12</v>
      </c>
      <c r="D2974" s="2" t="s">
        <v>12</v>
      </c>
      <c r="E2974" s="2" t="s">
        <v>12</v>
      </c>
      <c r="F2974" s="2" t="s">
        <v>12</v>
      </c>
      <c r="G2974" s="2" t="s">
        <v>12</v>
      </c>
      <c r="H2974" s="2" t="s">
        <v>12</v>
      </c>
      <c r="I2974" s="2" t="s">
        <v>12</v>
      </c>
      <c r="J2974" s="2" t="s">
        <v>12</v>
      </c>
      <c r="K2974" s="2" t="s">
        <v>12</v>
      </c>
    </row>
    <row r="2975" spans="1:11" ht="12.5" x14ac:dyDescent="0.25">
      <c r="A2975" s="3" t="e">
        <f ca="1"/>
        <v>#NAME?</v>
      </c>
      <c r="B2975" s="2" t="s">
        <v>12</v>
      </c>
      <c r="C2975" s="2" t="s">
        <v>12</v>
      </c>
      <c r="D2975" s="2" t="s">
        <v>12</v>
      </c>
      <c r="E2975" s="2" t="s">
        <v>12</v>
      </c>
      <c r="F2975" s="2" t="s">
        <v>12</v>
      </c>
      <c r="G2975" s="2" t="s">
        <v>12</v>
      </c>
      <c r="H2975" s="2" t="s">
        <v>12</v>
      </c>
      <c r="I2975" s="2" t="s">
        <v>12</v>
      </c>
      <c r="J2975" s="2" t="s">
        <v>12</v>
      </c>
      <c r="K2975" s="2" t="s">
        <v>12</v>
      </c>
    </row>
    <row r="2976" spans="1:11" ht="12.5" x14ac:dyDescent="0.25">
      <c r="A2976" s="3" t="e">
        <f ca="1"/>
        <v>#NAME?</v>
      </c>
      <c r="B2976" s="2" t="s">
        <v>12</v>
      </c>
      <c r="C2976" s="2" t="s">
        <v>12</v>
      </c>
      <c r="D2976" s="2" t="s">
        <v>12</v>
      </c>
      <c r="E2976" s="2" t="s">
        <v>12</v>
      </c>
      <c r="F2976" s="2" t="s">
        <v>12</v>
      </c>
      <c r="G2976" s="2" t="s">
        <v>12</v>
      </c>
      <c r="H2976" s="2" t="s">
        <v>12</v>
      </c>
      <c r="I2976" s="2" t="s">
        <v>12</v>
      </c>
      <c r="J2976" s="2" t="s">
        <v>12</v>
      </c>
      <c r="K2976" s="2" t="s">
        <v>12</v>
      </c>
    </row>
    <row r="2977" spans="1:11" ht="12.5" x14ac:dyDescent="0.25">
      <c r="A2977" s="3" t="e">
        <f ca="1"/>
        <v>#NAME?</v>
      </c>
      <c r="B2977" s="2" t="s">
        <v>12</v>
      </c>
      <c r="C2977" s="2" t="s">
        <v>12</v>
      </c>
      <c r="D2977" s="2" t="s">
        <v>12</v>
      </c>
      <c r="E2977" s="2" t="s">
        <v>12</v>
      </c>
      <c r="F2977" s="2" t="s">
        <v>12</v>
      </c>
      <c r="G2977" s="2" t="s">
        <v>12</v>
      </c>
      <c r="H2977" s="2" t="s">
        <v>12</v>
      </c>
      <c r="I2977" s="2" t="s">
        <v>12</v>
      </c>
      <c r="J2977" s="2" t="s">
        <v>12</v>
      </c>
      <c r="K2977" s="2" t="s">
        <v>12</v>
      </c>
    </row>
    <row r="2978" spans="1:11" ht="12.5" x14ac:dyDescent="0.25">
      <c r="A2978" s="3" t="e">
        <f ca="1"/>
        <v>#NAME?</v>
      </c>
      <c r="B2978" s="2" t="s">
        <v>12</v>
      </c>
      <c r="C2978" s="2" t="s">
        <v>12</v>
      </c>
      <c r="D2978" s="2" t="s">
        <v>12</v>
      </c>
      <c r="E2978" s="2" t="s">
        <v>12</v>
      </c>
      <c r="F2978" s="2" t="s">
        <v>12</v>
      </c>
      <c r="G2978" s="2" t="s">
        <v>12</v>
      </c>
      <c r="H2978" s="2" t="s">
        <v>12</v>
      </c>
      <c r="I2978" s="2" t="s">
        <v>12</v>
      </c>
      <c r="J2978" s="2" t="s">
        <v>12</v>
      </c>
      <c r="K2978" s="2" t="s">
        <v>12</v>
      </c>
    </row>
    <row r="2979" spans="1:11" ht="12.5" x14ac:dyDescent="0.25">
      <c r="A2979" s="3" t="e">
        <f ca="1"/>
        <v>#NAME?</v>
      </c>
      <c r="B2979" s="2" t="s">
        <v>12</v>
      </c>
      <c r="C2979" s="2" t="s">
        <v>12</v>
      </c>
      <c r="D2979" s="2" t="s">
        <v>12</v>
      </c>
      <c r="E2979" s="2" t="s">
        <v>12</v>
      </c>
      <c r="F2979" s="2" t="s">
        <v>12</v>
      </c>
      <c r="G2979" s="2" t="s">
        <v>12</v>
      </c>
      <c r="H2979" s="2" t="s">
        <v>12</v>
      </c>
      <c r="I2979" s="2" t="s">
        <v>12</v>
      </c>
      <c r="J2979" s="2" t="s">
        <v>12</v>
      </c>
      <c r="K2979" s="2" t="s">
        <v>12</v>
      </c>
    </row>
    <row r="2980" spans="1:11" ht="12.5" x14ac:dyDescent="0.25">
      <c r="A2980" s="3" t="e">
        <f ca="1"/>
        <v>#NAME?</v>
      </c>
      <c r="B2980" s="2" t="s">
        <v>12</v>
      </c>
      <c r="C2980" s="2" t="s">
        <v>12</v>
      </c>
      <c r="D2980" s="2" t="s">
        <v>12</v>
      </c>
      <c r="E2980" s="2" t="s">
        <v>12</v>
      </c>
      <c r="F2980" s="2" t="s">
        <v>12</v>
      </c>
      <c r="G2980" s="2" t="s">
        <v>12</v>
      </c>
      <c r="H2980" s="2" t="s">
        <v>12</v>
      </c>
      <c r="I2980" s="2" t="s">
        <v>12</v>
      </c>
      <c r="J2980" s="2" t="s">
        <v>12</v>
      </c>
      <c r="K2980" s="2" t="s">
        <v>12</v>
      </c>
    </row>
    <row r="2981" spans="1:11" ht="12.5" x14ac:dyDescent="0.25">
      <c r="A2981" s="3" t="e">
        <f ca="1"/>
        <v>#NAME?</v>
      </c>
      <c r="B2981" s="2" t="s">
        <v>12</v>
      </c>
      <c r="C2981" s="2" t="s">
        <v>12</v>
      </c>
      <c r="D2981" s="2" t="s">
        <v>12</v>
      </c>
      <c r="E2981" s="2" t="s">
        <v>12</v>
      </c>
      <c r="F2981" s="2" t="s">
        <v>12</v>
      </c>
      <c r="G2981" s="2" t="s">
        <v>12</v>
      </c>
      <c r="H2981" s="2" t="s">
        <v>12</v>
      </c>
      <c r="I2981" s="2" t="s">
        <v>12</v>
      </c>
      <c r="J2981" s="2" t="s">
        <v>12</v>
      </c>
      <c r="K2981" s="2" t="s">
        <v>12</v>
      </c>
    </row>
    <row r="2982" spans="1:11" ht="12.5" x14ac:dyDescent="0.25">
      <c r="A2982" s="3" t="e">
        <f ca="1"/>
        <v>#NAME?</v>
      </c>
      <c r="B2982" s="2" t="s">
        <v>12</v>
      </c>
      <c r="C2982" s="2" t="s">
        <v>12</v>
      </c>
      <c r="D2982" s="2" t="s">
        <v>12</v>
      </c>
      <c r="E2982" s="2" t="s">
        <v>12</v>
      </c>
      <c r="F2982" s="2" t="s">
        <v>12</v>
      </c>
      <c r="G2982" s="2" t="s">
        <v>12</v>
      </c>
      <c r="H2982" s="2" t="s">
        <v>12</v>
      </c>
      <c r="I2982" s="2" t="s">
        <v>12</v>
      </c>
      <c r="J2982" s="2" t="s">
        <v>12</v>
      </c>
      <c r="K2982" s="2" t="s">
        <v>12</v>
      </c>
    </row>
    <row r="2983" spans="1:11" ht="12.5" x14ac:dyDescent="0.25">
      <c r="A2983" s="3" t="e">
        <f ca="1"/>
        <v>#NAME?</v>
      </c>
      <c r="B2983" s="2" t="s">
        <v>12</v>
      </c>
      <c r="C2983" s="2" t="s">
        <v>12</v>
      </c>
      <c r="D2983" s="2" t="s">
        <v>12</v>
      </c>
      <c r="E2983" s="2" t="s">
        <v>12</v>
      </c>
      <c r="F2983" s="2" t="s">
        <v>12</v>
      </c>
      <c r="G2983" s="2" t="s">
        <v>12</v>
      </c>
      <c r="H2983" s="2" t="s">
        <v>12</v>
      </c>
      <c r="I2983" s="2" t="s">
        <v>12</v>
      </c>
      <c r="J2983" s="2" t="s">
        <v>12</v>
      </c>
      <c r="K2983" s="2" t="s">
        <v>12</v>
      </c>
    </row>
    <row r="2984" spans="1:11" ht="12.5" x14ac:dyDescent="0.25">
      <c r="A2984" s="3" t="e">
        <f ca="1"/>
        <v>#NAME?</v>
      </c>
      <c r="B2984" s="2" t="s">
        <v>12</v>
      </c>
      <c r="C2984" s="2" t="s">
        <v>12</v>
      </c>
      <c r="D2984" s="2" t="s">
        <v>12</v>
      </c>
      <c r="E2984" s="2" t="s">
        <v>12</v>
      </c>
      <c r="F2984" s="2" t="s">
        <v>12</v>
      </c>
      <c r="G2984" s="2" t="s">
        <v>12</v>
      </c>
      <c r="H2984" s="2" t="s">
        <v>12</v>
      </c>
      <c r="I2984" s="2" t="s">
        <v>12</v>
      </c>
      <c r="J2984" s="2" t="s">
        <v>12</v>
      </c>
      <c r="K2984" s="2" t="s">
        <v>12</v>
      </c>
    </row>
    <row r="2985" spans="1:11" ht="12.5" x14ac:dyDescent="0.25">
      <c r="A2985" s="3" t="e">
        <f ca="1"/>
        <v>#NAME?</v>
      </c>
      <c r="B2985" s="2" t="s">
        <v>12</v>
      </c>
      <c r="C2985" s="2" t="s">
        <v>12</v>
      </c>
      <c r="D2985" s="2" t="s">
        <v>12</v>
      </c>
      <c r="E2985" s="2" t="s">
        <v>12</v>
      </c>
      <c r="F2985" s="2" t="s">
        <v>12</v>
      </c>
      <c r="G2985" s="2" t="s">
        <v>12</v>
      </c>
      <c r="H2985" s="2" t="s">
        <v>12</v>
      </c>
      <c r="I2985" s="2" t="s">
        <v>12</v>
      </c>
      <c r="J2985" s="2" t="s">
        <v>12</v>
      </c>
      <c r="K2985" s="2" t="s">
        <v>12</v>
      </c>
    </row>
    <row r="2986" spans="1:11" ht="12.5" x14ac:dyDescent="0.25">
      <c r="A2986" s="3" t="e">
        <f ca="1"/>
        <v>#NAME?</v>
      </c>
      <c r="B2986" s="2" t="s">
        <v>12</v>
      </c>
      <c r="C2986" s="2" t="s">
        <v>12</v>
      </c>
      <c r="D2986" s="2" t="s">
        <v>12</v>
      </c>
      <c r="E2986" s="2" t="s">
        <v>12</v>
      </c>
      <c r="F2986" s="2" t="s">
        <v>12</v>
      </c>
      <c r="G2986" s="2" t="s">
        <v>12</v>
      </c>
      <c r="H2986" s="2" t="s">
        <v>12</v>
      </c>
      <c r="I2986" s="2" t="s">
        <v>12</v>
      </c>
      <c r="J2986" s="2" t="s">
        <v>12</v>
      </c>
      <c r="K2986" s="2" t="s">
        <v>12</v>
      </c>
    </row>
    <row r="2987" spans="1:11" ht="12.5" x14ac:dyDescent="0.25">
      <c r="A2987" s="3" t="e">
        <f ca="1"/>
        <v>#NAME?</v>
      </c>
      <c r="B2987" s="2" t="s">
        <v>12</v>
      </c>
      <c r="C2987" s="2" t="s">
        <v>12</v>
      </c>
      <c r="D2987" s="2" t="s">
        <v>12</v>
      </c>
      <c r="E2987" s="2" t="s">
        <v>12</v>
      </c>
      <c r="F2987" s="2" t="s">
        <v>12</v>
      </c>
      <c r="G2987" s="2" t="s">
        <v>12</v>
      </c>
      <c r="H2987" s="2" t="s">
        <v>12</v>
      </c>
      <c r="I2987" s="2" t="s">
        <v>12</v>
      </c>
      <c r="J2987" s="2" t="s">
        <v>12</v>
      </c>
      <c r="K2987" s="2" t="s">
        <v>12</v>
      </c>
    </row>
    <row r="2988" spans="1:11" ht="12.5" x14ac:dyDescent="0.25">
      <c r="A2988" s="3" t="e">
        <f ca="1"/>
        <v>#NAME?</v>
      </c>
      <c r="B2988" s="2" t="s">
        <v>12</v>
      </c>
      <c r="C2988" s="2" t="s">
        <v>12</v>
      </c>
      <c r="D2988" s="2" t="s">
        <v>12</v>
      </c>
      <c r="E2988" s="2" t="s">
        <v>12</v>
      </c>
      <c r="F2988" s="2" t="s">
        <v>12</v>
      </c>
      <c r="G2988" s="2" t="s">
        <v>12</v>
      </c>
      <c r="H2988" s="2" t="s">
        <v>12</v>
      </c>
      <c r="I2988" s="2" t="s">
        <v>12</v>
      </c>
      <c r="J2988" s="2" t="s">
        <v>12</v>
      </c>
      <c r="K2988" s="2" t="s">
        <v>12</v>
      </c>
    </row>
    <row r="2989" spans="1:11" ht="12.5" x14ac:dyDescent="0.25">
      <c r="A2989" s="3" t="e">
        <f ca="1"/>
        <v>#NAME?</v>
      </c>
      <c r="B2989" s="2" t="s">
        <v>12</v>
      </c>
      <c r="C2989" s="2" t="s">
        <v>12</v>
      </c>
      <c r="D2989" s="2" t="s">
        <v>12</v>
      </c>
      <c r="E2989" s="2" t="s">
        <v>12</v>
      </c>
      <c r="F2989" s="2" t="s">
        <v>12</v>
      </c>
      <c r="G2989" s="2" t="s">
        <v>12</v>
      </c>
      <c r="H2989" s="2" t="s">
        <v>12</v>
      </c>
      <c r="I2989" s="2" t="s">
        <v>12</v>
      </c>
      <c r="J2989" s="2" t="s">
        <v>12</v>
      </c>
      <c r="K2989" s="2" t="s">
        <v>12</v>
      </c>
    </row>
    <row r="2990" spans="1:11" ht="12.5" x14ac:dyDescent="0.25">
      <c r="A2990" s="3" t="e">
        <f ca="1"/>
        <v>#NAME?</v>
      </c>
      <c r="B2990" s="2" t="s">
        <v>12</v>
      </c>
      <c r="C2990" s="2" t="s">
        <v>12</v>
      </c>
      <c r="D2990" s="2" t="s">
        <v>12</v>
      </c>
      <c r="E2990" s="2" t="s">
        <v>12</v>
      </c>
      <c r="F2990" s="2" t="s">
        <v>12</v>
      </c>
      <c r="G2990" s="2" t="s">
        <v>12</v>
      </c>
      <c r="H2990" s="2" t="s">
        <v>12</v>
      </c>
      <c r="I2990" s="2" t="s">
        <v>12</v>
      </c>
      <c r="J2990" s="2" t="s">
        <v>12</v>
      </c>
      <c r="K2990" s="2" t="s">
        <v>12</v>
      </c>
    </row>
    <row r="2991" spans="1:11" ht="12.5" x14ac:dyDescent="0.25">
      <c r="A2991" s="3" t="e">
        <f ca="1"/>
        <v>#NAME?</v>
      </c>
      <c r="B2991" s="2" t="s">
        <v>12</v>
      </c>
      <c r="C2991" s="2" t="s">
        <v>12</v>
      </c>
      <c r="D2991" s="2" t="s">
        <v>12</v>
      </c>
      <c r="E2991" s="2" t="s">
        <v>12</v>
      </c>
      <c r="F2991" s="2" t="s">
        <v>12</v>
      </c>
      <c r="G2991" s="2" t="s">
        <v>12</v>
      </c>
      <c r="H2991" s="2" t="s">
        <v>12</v>
      </c>
      <c r="I2991" s="2" t="s">
        <v>12</v>
      </c>
      <c r="J2991" s="2" t="s">
        <v>12</v>
      </c>
      <c r="K2991" s="2" t="s">
        <v>12</v>
      </c>
    </row>
    <row r="2992" spans="1:11" ht="12.5" x14ac:dyDescent="0.25">
      <c r="A2992" s="3" t="e">
        <f ca="1"/>
        <v>#NAME?</v>
      </c>
      <c r="B2992" s="2" t="s">
        <v>12</v>
      </c>
      <c r="C2992" s="2" t="s">
        <v>12</v>
      </c>
      <c r="D2992" s="2" t="s">
        <v>12</v>
      </c>
      <c r="E2992" s="2" t="s">
        <v>12</v>
      </c>
      <c r="F2992" s="2" t="s">
        <v>12</v>
      </c>
      <c r="G2992" s="2" t="s">
        <v>12</v>
      </c>
      <c r="H2992" s="2" t="s">
        <v>12</v>
      </c>
      <c r="I2992" s="2" t="s">
        <v>12</v>
      </c>
      <c r="J2992" s="2" t="s">
        <v>12</v>
      </c>
      <c r="K2992" s="2" t="s">
        <v>12</v>
      </c>
    </row>
    <row r="2993" spans="1:11" ht="12.5" x14ac:dyDescent="0.25">
      <c r="A2993" s="3" t="e">
        <f ca="1"/>
        <v>#NAME?</v>
      </c>
      <c r="B2993" s="2" t="s">
        <v>12</v>
      </c>
      <c r="C2993" s="2" t="s">
        <v>12</v>
      </c>
      <c r="D2993" s="2" t="s">
        <v>12</v>
      </c>
      <c r="E2993" s="2" t="s">
        <v>12</v>
      </c>
      <c r="F2993" s="2" t="s">
        <v>12</v>
      </c>
      <c r="G2993" s="2" t="s">
        <v>12</v>
      </c>
      <c r="H2993" s="2" t="s">
        <v>12</v>
      </c>
      <c r="I2993" s="2" t="s">
        <v>12</v>
      </c>
      <c r="J2993" s="2" t="s">
        <v>12</v>
      </c>
      <c r="K2993" s="2" t="s">
        <v>12</v>
      </c>
    </row>
    <row r="2994" spans="1:11" ht="12.5" x14ac:dyDescent="0.25">
      <c r="A2994" s="3" t="e">
        <f ca="1"/>
        <v>#NAME?</v>
      </c>
      <c r="B2994" s="2" t="s">
        <v>12</v>
      </c>
      <c r="C2994" s="2" t="s">
        <v>12</v>
      </c>
      <c r="D2994" s="2" t="s">
        <v>12</v>
      </c>
      <c r="E2994" s="2" t="s">
        <v>12</v>
      </c>
      <c r="F2994" s="2" t="s">
        <v>12</v>
      </c>
      <c r="G2994" s="2" t="s">
        <v>12</v>
      </c>
      <c r="H2994" s="2" t="s">
        <v>12</v>
      </c>
      <c r="I2994" s="2" t="s">
        <v>12</v>
      </c>
      <c r="J2994" s="2" t="s">
        <v>12</v>
      </c>
      <c r="K2994" s="2" t="s">
        <v>12</v>
      </c>
    </row>
    <row r="2995" spans="1:11" ht="12.5" x14ac:dyDescent="0.25">
      <c r="A2995" s="3" t="e">
        <f ca="1"/>
        <v>#NAME?</v>
      </c>
      <c r="B2995" s="2" t="s">
        <v>12</v>
      </c>
      <c r="C2995" s="2" t="s">
        <v>12</v>
      </c>
      <c r="D2995" s="2" t="s">
        <v>12</v>
      </c>
      <c r="E2995" s="2" t="s">
        <v>12</v>
      </c>
      <c r="F2995" s="2" t="s">
        <v>12</v>
      </c>
      <c r="G2995" s="2" t="s">
        <v>12</v>
      </c>
      <c r="H2995" s="2" t="s">
        <v>12</v>
      </c>
      <c r="I2995" s="2" t="s">
        <v>12</v>
      </c>
      <c r="J2995" s="2" t="s">
        <v>12</v>
      </c>
      <c r="K2995" s="2" t="s">
        <v>12</v>
      </c>
    </row>
    <row r="2996" spans="1:11" ht="12.5" x14ac:dyDescent="0.25">
      <c r="A2996" s="3" t="e">
        <f ca="1"/>
        <v>#NAME?</v>
      </c>
      <c r="B2996" s="2" t="s">
        <v>12</v>
      </c>
      <c r="C2996" s="2" t="s">
        <v>12</v>
      </c>
      <c r="D2996" s="2" t="s">
        <v>12</v>
      </c>
      <c r="E2996" s="2" t="s">
        <v>12</v>
      </c>
      <c r="F2996" s="2" t="s">
        <v>12</v>
      </c>
      <c r="G2996" s="2" t="s">
        <v>12</v>
      </c>
      <c r="H2996" s="2" t="s">
        <v>12</v>
      </c>
      <c r="I2996" s="2" t="s">
        <v>12</v>
      </c>
      <c r="J2996" s="2" t="s">
        <v>12</v>
      </c>
      <c r="K2996" s="2" t="s">
        <v>12</v>
      </c>
    </row>
    <row r="2997" spans="1:11" ht="12.5" x14ac:dyDescent="0.25">
      <c r="A2997" s="3" t="e">
        <f ca="1"/>
        <v>#NAME?</v>
      </c>
      <c r="B2997" s="2" t="s">
        <v>12</v>
      </c>
      <c r="C2997" s="2" t="s">
        <v>12</v>
      </c>
      <c r="D2997" s="2" t="s">
        <v>12</v>
      </c>
      <c r="E2997" s="2" t="s">
        <v>12</v>
      </c>
      <c r="F2997" s="2" t="s">
        <v>12</v>
      </c>
      <c r="G2997" s="2" t="s">
        <v>12</v>
      </c>
      <c r="H2997" s="2" t="s">
        <v>12</v>
      </c>
      <c r="I2997" s="2" t="s">
        <v>12</v>
      </c>
      <c r="J2997" s="2" t="s">
        <v>12</v>
      </c>
      <c r="K2997" s="2" t="s">
        <v>12</v>
      </c>
    </row>
    <row r="2998" spans="1:11" ht="12.5" x14ac:dyDescent="0.25">
      <c r="A2998" s="3" t="e">
        <f ca="1"/>
        <v>#NAME?</v>
      </c>
      <c r="B2998" s="2" t="s">
        <v>12</v>
      </c>
      <c r="C2998" s="2" t="s">
        <v>12</v>
      </c>
      <c r="D2998" s="2" t="s">
        <v>12</v>
      </c>
      <c r="E2998" s="2" t="s">
        <v>12</v>
      </c>
      <c r="F2998" s="2" t="s">
        <v>12</v>
      </c>
      <c r="G2998" s="2" t="s">
        <v>12</v>
      </c>
      <c r="H2998" s="2" t="s">
        <v>12</v>
      </c>
      <c r="I2998" s="2" t="s">
        <v>12</v>
      </c>
      <c r="J2998" s="2" t="s">
        <v>12</v>
      </c>
      <c r="K2998" s="2" t="s">
        <v>12</v>
      </c>
    </row>
    <row r="2999" spans="1:11" ht="12.5" x14ac:dyDescent="0.25">
      <c r="A2999" s="3" t="e">
        <f ca="1"/>
        <v>#NAME?</v>
      </c>
      <c r="B2999" s="2" t="s">
        <v>12</v>
      </c>
      <c r="C2999" s="2" t="s">
        <v>12</v>
      </c>
      <c r="D2999" s="2" t="s">
        <v>12</v>
      </c>
      <c r="E2999" s="2" t="s">
        <v>12</v>
      </c>
      <c r="F2999" s="2" t="s">
        <v>12</v>
      </c>
      <c r="G2999" s="2" t="s">
        <v>12</v>
      </c>
      <c r="H2999" s="2" t="s">
        <v>12</v>
      </c>
      <c r="I2999" s="2" t="s">
        <v>12</v>
      </c>
      <c r="J2999" s="2" t="s">
        <v>12</v>
      </c>
      <c r="K2999" s="2" t="s">
        <v>12</v>
      </c>
    </row>
    <row r="3000" spans="1:11" ht="12.5" x14ac:dyDescent="0.25">
      <c r="A3000" s="3" t="e">
        <f ca="1"/>
        <v>#NAME?</v>
      </c>
      <c r="B3000" s="2" t="s">
        <v>12</v>
      </c>
      <c r="C3000" s="2" t="s">
        <v>12</v>
      </c>
      <c r="D3000" s="2" t="s">
        <v>12</v>
      </c>
      <c r="E3000" s="2" t="s">
        <v>12</v>
      </c>
      <c r="F3000" s="2" t="s">
        <v>12</v>
      </c>
      <c r="G3000" s="2" t="s">
        <v>12</v>
      </c>
      <c r="H3000" s="2" t="s">
        <v>12</v>
      </c>
      <c r="I3000" s="2" t="s">
        <v>12</v>
      </c>
      <c r="J3000" s="2" t="s">
        <v>12</v>
      </c>
      <c r="K3000" s="2" t="s">
        <v>12</v>
      </c>
    </row>
    <row r="3001" spans="1:11" ht="12.5" x14ac:dyDescent="0.25">
      <c r="A3001" s="3" t="e">
        <f ca="1"/>
        <v>#NAME?</v>
      </c>
      <c r="B3001" s="2" t="s">
        <v>12</v>
      </c>
      <c r="C3001" s="2" t="s">
        <v>12</v>
      </c>
      <c r="D3001" s="2" t="s">
        <v>12</v>
      </c>
      <c r="E3001" s="2" t="s">
        <v>12</v>
      </c>
      <c r="F3001" s="2" t="s">
        <v>12</v>
      </c>
      <c r="G3001" s="2" t="s">
        <v>12</v>
      </c>
      <c r="H3001" s="2" t="s">
        <v>12</v>
      </c>
      <c r="I3001" s="2" t="s">
        <v>12</v>
      </c>
      <c r="J3001" s="2" t="s">
        <v>12</v>
      </c>
      <c r="K3001" s="2" t="s">
        <v>12</v>
      </c>
    </row>
    <row r="3002" spans="1:11" ht="12.5" x14ac:dyDescent="0.25">
      <c r="A3002" s="3" t="e">
        <f ca="1"/>
        <v>#NAME?</v>
      </c>
      <c r="B3002" s="2" t="s">
        <v>12</v>
      </c>
      <c r="C3002" s="2" t="s">
        <v>12</v>
      </c>
      <c r="D3002" s="2" t="s">
        <v>12</v>
      </c>
      <c r="E3002" s="2" t="s">
        <v>12</v>
      </c>
      <c r="F3002" s="2" t="s">
        <v>12</v>
      </c>
      <c r="G3002" s="2" t="s">
        <v>12</v>
      </c>
      <c r="H3002" s="2" t="s">
        <v>12</v>
      </c>
      <c r="I3002" s="2" t="s">
        <v>12</v>
      </c>
      <c r="J3002" s="2" t="s">
        <v>12</v>
      </c>
      <c r="K3002" s="2" t="s">
        <v>12</v>
      </c>
    </row>
    <row r="3003" spans="1:11" ht="12.5" x14ac:dyDescent="0.25">
      <c r="A3003" s="3" t="e">
        <f ca="1"/>
        <v>#NAME?</v>
      </c>
      <c r="B3003" s="2" t="s">
        <v>12</v>
      </c>
      <c r="C3003" s="2" t="s">
        <v>12</v>
      </c>
      <c r="D3003" s="2" t="s">
        <v>12</v>
      </c>
      <c r="E3003" s="2" t="s">
        <v>12</v>
      </c>
      <c r="F3003" s="2" t="s">
        <v>12</v>
      </c>
      <c r="G3003" s="2" t="s">
        <v>12</v>
      </c>
      <c r="H3003" s="2" t="s">
        <v>12</v>
      </c>
      <c r="I3003" s="2" t="s">
        <v>12</v>
      </c>
      <c r="J3003" s="2" t="s">
        <v>12</v>
      </c>
      <c r="K3003" s="2" t="s">
        <v>12</v>
      </c>
    </row>
    <row r="3004" spans="1:11" ht="12.5" x14ac:dyDescent="0.25">
      <c r="A3004" s="3" t="e">
        <f ca="1"/>
        <v>#NAME?</v>
      </c>
      <c r="B3004" s="2" t="s">
        <v>12</v>
      </c>
      <c r="C3004" s="2" t="s">
        <v>12</v>
      </c>
      <c r="D3004" s="2" t="s">
        <v>12</v>
      </c>
      <c r="E3004" s="2" t="s">
        <v>12</v>
      </c>
      <c r="F3004" s="2" t="s">
        <v>12</v>
      </c>
      <c r="G3004" s="2" t="s">
        <v>12</v>
      </c>
      <c r="H3004" s="2" t="s">
        <v>12</v>
      </c>
      <c r="I3004" s="2" t="s">
        <v>12</v>
      </c>
      <c r="J3004" s="2" t="s">
        <v>12</v>
      </c>
      <c r="K3004" s="2" t="s">
        <v>12</v>
      </c>
    </row>
    <row r="3005" spans="1:11" ht="12.5" x14ac:dyDescent="0.25">
      <c r="A3005" s="3" t="e">
        <f ca="1"/>
        <v>#NAME?</v>
      </c>
      <c r="B3005" s="2" t="s">
        <v>12</v>
      </c>
      <c r="C3005" s="2" t="s">
        <v>12</v>
      </c>
      <c r="D3005" s="2" t="s">
        <v>12</v>
      </c>
      <c r="E3005" s="2" t="s">
        <v>12</v>
      </c>
      <c r="F3005" s="2" t="s">
        <v>12</v>
      </c>
      <c r="G3005" s="2" t="s">
        <v>12</v>
      </c>
      <c r="H3005" s="2" t="s">
        <v>12</v>
      </c>
      <c r="I3005" s="2" t="s">
        <v>12</v>
      </c>
      <c r="J3005" s="2" t="s">
        <v>12</v>
      </c>
      <c r="K3005" s="2" t="s">
        <v>12</v>
      </c>
    </row>
    <row r="3006" spans="1:11" ht="12.5" x14ac:dyDescent="0.25">
      <c r="A3006" s="3" t="e">
        <f ca="1"/>
        <v>#NAME?</v>
      </c>
      <c r="B3006" s="2" t="s">
        <v>12</v>
      </c>
      <c r="C3006" s="2" t="s">
        <v>12</v>
      </c>
      <c r="D3006" s="2" t="s">
        <v>12</v>
      </c>
      <c r="E3006" s="2" t="s">
        <v>12</v>
      </c>
      <c r="F3006" s="2" t="s">
        <v>12</v>
      </c>
      <c r="G3006" s="2" t="s">
        <v>12</v>
      </c>
      <c r="H3006" s="2" t="s">
        <v>12</v>
      </c>
      <c r="I3006" s="2" t="s">
        <v>12</v>
      </c>
      <c r="J3006" s="2" t="s">
        <v>12</v>
      </c>
      <c r="K3006" s="2" t="s">
        <v>12</v>
      </c>
    </row>
    <row r="3007" spans="1:11" ht="12.5" x14ac:dyDescent="0.25">
      <c r="A3007" s="3" t="e">
        <f ca="1"/>
        <v>#NAME?</v>
      </c>
      <c r="B3007" s="2" t="s">
        <v>12</v>
      </c>
      <c r="C3007" s="2" t="s">
        <v>12</v>
      </c>
      <c r="D3007" s="2" t="s">
        <v>12</v>
      </c>
      <c r="E3007" s="2" t="s">
        <v>12</v>
      </c>
      <c r="F3007" s="2" t="s">
        <v>12</v>
      </c>
      <c r="G3007" s="2" t="s">
        <v>12</v>
      </c>
      <c r="H3007" s="2" t="s">
        <v>12</v>
      </c>
      <c r="I3007" s="2" t="s">
        <v>12</v>
      </c>
      <c r="J3007" s="2" t="s">
        <v>12</v>
      </c>
      <c r="K3007" s="2" t="s">
        <v>12</v>
      </c>
    </row>
    <row r="3008" spans="1:11" ht="12.5" x14ac:dyDescent="0.25">
      <c r="A3008" s="3" t="e">
        <f ca="1"/>
        <v>#NAME?</v>
      </c>
      <c r="B3008" s="2" t="s">
        <v>12</v>
      </c>
      <c r="C3008" s="2" t="s">
        <v>12</v>
      </c>
      <c r="D3008" s="2" t="s">
        <v>12</v>
      </c>
      <c r="E3008" s="2" t="s">
        <v>12</v>
      </c>
      <c r="F3008" s="2" t="s">
        <v>12</v>
      </c>
      <c r="G3008" s="2" t="s">
        <v>12</v>
      </c>
      <c r="H3008" s="2" t="s">
        <v>12</v>
      </c>
      <c r="I3008" s="2" t="s">
        <v>12</v>
      </c>
      <c r="J3008" s="2" t="s">
        <v>12</v>
      </c>
      <c r="K3008" s="2" t="s">
        <v>12</v>
      </c>
    </row>
    <row r="3009" spans="1:11" ht="12.5" x14ac:dyDescent="0.25">
      <c r="A3009" s="3" t="e">
        <f ca="1"/>
        <v>#NAME?</v>
      </c>
      <c r="B3009" s="2" t="s">
        <v>12</v>
      </c>
      <c r="C3009" s="2" t="s">
        <v>12</v>
      </c>
      <c r="D3009" s="2" t="s">
        <v>12</v>
      </c>
      <c r="E3009" s="2" t="s">
        <v>12</v>
      </c>
      <c r="F3009" s="2" t="s">
        <v>12</v>
      </c>
      <c r="G3009" s="2" t="s">
        <v>12</v>
      </c>
      <c r="H3009" s="2" t="s">
        <v>12</v>
      </c>
      <c r="I3009" s="2" t="s">
        <v>12</v>
      </c>
      <c r="J3009" s="2" t="s">
        <v>12</v>
      </c>
      <c r="K3009" s="2" t="s">
        <v>12</v>
      </c>
    </row>
    <row r="3010" spans="1:11" ht="12.5" x14ac:dyDescent="0.25">
      <c r="A3010" s="3" t="e">
        <f ca="1"/>
        <v>#NAME?</v>
      </c>
      <c r="B3010" s="2" t="s">
        <v>12</v>
      </c>
      <c r="C3010" s="2" t="s">
        <v>12</v>
      </c>
      <c r="D3010" s="2" t="s">
        <v>12</v>
      </c>
      <c r="E3010" s="2" t="s">
        <v>12</v>
      </c>
      <c r="F3010" s="2" t="s">
        <v>12</v>
      </c>
      <c r="G3010" s="2" t="s">
        <v>12</v>
      </c>
      <c r="H3010" s="2" t="s">
        <v>12</v>
      </c>
      <c r="I3010" s="2" t="s">
        <v>12</v>
      </c>
      <c r="J3010" s="2" t="s">
        <v>12</v>
      </c>
      <c r="K3010" s="2" t="s">
        <v>12</v>
      </c>
    </row>
    <row r="3011" spans="1:11" ht="12.5" x14ac:dyDescent="0.25">
      <c r="A3011" s="3" t="e">
        <f ca="1"/>
        <v>#NAME?</v>
      </c>
      <c r="B3011" s="2" t="s">
        <v>12</v>
      </c>
      <c r="C3011" s="2" t="s">
        <v>12</v>
      </c>
      <c r="D3011" s="2" t="s">
        <v>12</v>
      </c>
      <c r="E3011" s="2" t="s">
        <v>12</v>
      </c>
      <c r="F3011" s="2" t="s">
        <v>12</v>
      </c>
      <c r="G3011" s="2" t="s">
        <v>12</v>
      </c>
      <c r="H3011" s="2" t="s">
        <v>12</v>
      </c>
      <c r="I3011" s="2" t="s">
        <v>12</v>
      </c>
      <c r="J3011" s="2" t="s">
        <v>12</v>
      </c>
      <c r="K3011" s="2" t="s">
        <v>12</v>
      </c>
    </row>
    <row r="3012" spans="1:11" ht="12.5" x14ac:dyDescent="0.25">
      <c r="A3012" s="3" t="e">
        <f ca="1"/>
        <v>#NAME?</v>
      </c>
      <c r="B3012" s="2" t="s">
        <v>12</v>
      </c>
      <c r="C3012" s="2" t="s">
        <v>12</v>
      </c>
      <c r="D3012" s="2" t="s">
        <v>12</v>
      </c>
      <c r="E3012" s="2" t="s">
        <v>12</v>
      </c>
      <c r="F3012" s="2" t="s">
        <v>12</v>
      </c>
      <c r="G3012" s="2" t="s">
        <v>12</v>
      </c>
      <c r="H3012" s="2" t="s">
        <v>12</v>
      </c>
      <c r="I3012" s="2" t="s">
        <v>12</v>
      </c>
      <c r="J3012" s="2" t="s">
        <v>12</v>
      </c>
      <c r="K3012" s="2" t="s">
        <v>12</v>
      </c>
    </row>
    <row r="3013" spans="1:11" ht="12.5" x14ac:dyDescent="0.25">
      <c r="A3013" s="3" t="e">
        <f ca="1"/>
        <v>#NAME?</v>
      </c>
      <c r="B3013" s="2" t="s">
        <v>12</v>
      </c>
      <c r="C3013" s="2" t="s">
        <v>12</v>
      </c>
      <c r="D3013" s="2" t="s">
        <v>12</v>
      </c>
      <c r="E3013" s="2" t="s">
        <v>12</v>
      </c>
      <c r="F3013" s="2" t="s">
        <v>12</v>
      </c>
      <c r="G3013" s="2" t="s">
        <v>12</v>
      </c>
      <c r="H3013" s="2" t="s">
        <v>12</v>
      </c>
      <c r="I3013" s="2" t="s">
        <v>12</v>
      </c>
      <c r="J3013" s="2" t="s">
        <v>12</v>
      </c>
      <c r="K3013" s="2" t="s">
        <v>12</v>
      </c>
    </row>
    <row r="3014" spans="1:11" ht="12.5" x14ac:dyDescent="0.25">
      <c r="A3014" s="3" t="e">
        <f ca="1"/>
        <v>#NAME?</v>
      </c>
      <c r="B3014" s="2" t="s">
        <v>12</v>
      </c>
      <c r="C3014" s="2" t="s">
        <v>12</v>
      </c>
      <c r="D3014" s="2" t="s">
        <v>12</v>
      </c>
      <c r="E3014" s="2" t="s">
        <v>12</v>
      </c>
      <c r="F3014" s="2" t="s">
        <v>12</v>
      </c>
      <c r="G3014" s="2" t="s">
        <v>12</v>
      </c>
      <c r="H3014" s="2" t="s">
        <v>12</v>
      </c>
      <c r="I3014" s="2" t="s">
        <v>12</v>
      </c>
      <c r="J3014" s="2" t="s">
        <v>12</v>
      </c>
      <c r="K3014" s="2" t="s">
        <v>12</v>
      </c>
    </row>
    <row r="3015" spans="1:11" ht="12.5" x14ac:dyDescent="0.25">
      <c r="A3015" s="3" t="e">
        <f ca="1"/>
        <v>#NAME?</v>
      </c>
      <c r="B3015" s="2" t="s">
        <v>12</v>
      </c>
      <c r="C3015" s="2" t="s">
        <v>12</v>
      </c>
      <c r="D3015" s="2" t="s">
        <v>12</v>
      </c>
      <c r="E3015" s="2" t="s">
        <v>12</v>
      </c>
      <c r="F3015" s="2" t="s">
        <v>12</v>
      </c>
      <c r="G3015" s="2" t="s">
        <v>12</v>
      </c>
      <c r="H3015" s="2" t="s">
        <v>12</v>
      </c>
      <c r="I3015" s="2" t="s">
        <v>12</v>
      </c>
      <c r="J3015" s="2" t="s">
        <v>12</v>
      </c>
      <c r="K3015" s="2" t="s">
        <v>12</v>
      </c>
    </row>
    <row r="3016" spans="1:11" ht="12.5" x14ac:dyDescent="0.25">
      <c r="A3016" s="3" t="e">
        <f ca="1"/>
        <v>#NAME?</v>
      </c>
      <c r="B3016" s="2" t="s">
        <v>12</v>
      </c>
      <c r="C3016" s="2" t="s">
        <v>12</v>
      </c>
      <c r="D3016" s="2" t="s">
        <v>12</v>
      </c>
      <c r="E3016" s="2" t="s">
        <v>12</v>
      </c>
      <c r="F3016" s="2" t="s">
        <v>12</v>
      </c>
      <c r="G3016" s="2" t="s">
        <v>12</v>
      </c>
      <c r="H3016" s="2" t="s">
        <v>12</v>
      </c>
      <c r="I3016" s="2" t="s">
        <v>12</v>
      </c>
      <c r="J3016" s="2" t="s">
        <v>12</v>
      </c>
      <c r="K3016" s="2" t="s">
        <v>12</v>
      </c>
    </row>
    <row r="3017" spans="1:11" ht="12.5" x14ac:dyDescent="0.25">
      <c r="A3017" s="3" t="e">
        <f ca="1"/>
        <v>#NAME?</v>
      </c>
      <c r="B3017" s="2" t="s">
        <v>12</v>
      </c>
      <c r="C3017" s="2" t="s">
        <v>12</v>
      </c>
      <c r="D3017" s="2" t="s">
        <v>12</v>
      </c>
      <c r="E3017" s="2" t="s">
        <v>12</v>
      </c>
      <c r="F3017" s="2" t="s">
        <v>12</v>
      </c>
      <c r="G3017" s="2" t="s">
        <v>12</v>
      </c>
      <c r="H3017" s="2" t="s">
        <v>12</v>
      </c>
      <c r="I3017" s="2" t="s">
        <v>12</v>
      </c>
      <c r="J3017" s="2" t="s">
        <v>12</v>
      </c>
      <c r="K3017" s="2" t="s">
        <v>12</v>
      </c>
    </row>
    <row r="3018" spans="1:11" ht="12.5" x14ac:dyDescent="0.25">
      <c r="A3018" s="3" t="e">
        <f ca="1"/>
        <v>#NAME?</v>
      </c>
      <c r="B3018" s="2" t="s">
        <v>12</v>
      </c>
      <c r="C3018" s="2" t="s">
        <v>12</v>
      </c>
      <c r="D3018" s="2" t="s">
        <v>12</v>
      </c>
      <c r="E3018" s="2" t="s">
        <v>12</v>
      </c>
      <c r="F3018" s="2" t="s">
        <v>12</v>
      </c>
      <c r="G3018" s="2" t="s">
        <v>12</v>
      </c>
      <c r="H3018" s="2" t="s">
        <v>12</v>
      </c>
      <c r="I3018" s="2" t="s">
        <v>12</v>
      </c>
      <c r="J3018" s="2" t="s">
        <v>12</v>
      </c>
      <c r="K3018" s="2" t="s">
        <v>12</v>
      </c>
    </row>
    <row r="3019" spans="1:11" ht="12.5" x14ac:dyDescent="0.25">
      <c r="A3019" s="3" t="e">
        <f ca="1"/>
        <v>#NAME?</v>
      </c>
      <c r="B3019" s="2" t="s">
        <v>12</v>
      </c>
      <c r="C3019" s="2" t="s">
        <v>12</v>
      </c>
      <c r="D3019" s="2" t="s">
        <v>12</v>
      </c>
      <c r="E3019" s="2" t="s">
        <v>12</v>
      </c>
      <c r="F3019" s="2" t="s">
        <v>12</v>
      </c>
      <c r="G3019" s="2" t="s">
        <v>12</v>
      </c>
      <c r="H3019" s="2" t="s">
        <v>12</v>
      </c>
      <c r="I3019" s="2" t="s">
        <v>12</v>
      </c>
      <c r="J3019" s="2" t="s">
        <v>12</v>
      </c>
      <c r="K3019" s="2" t="s">
        <v>12</v>
      </c>
    </row>
    <row r="3020" spans="1:11" ht="12.5" x14ac:dyDescent="0.25">
      <c r="A3020" s="3" t="e">
        <f ca="1"/>
        <v>#NAME?</v>
      </c>
      <c r="B3020" s="2" t="s">
        <v>12</v>
      </c>
      <c r="C3020" s="2" t="s">
        <v>12</v>
      </c>
      <c r="D3020" s="2" t="s">
        <v>12</v>
      </c>
      <c r="E3020" s="2" t="s">
        <v>12</v>
      </c>
      <c r="F3020" s="2" t="s">
        <v>12</v>
      </c>
      <c r="G3020" s="2" t="s">
        <v>12</v>
      </c>
      <c r="H3020" s="2" t="s">
        <v>12</v>
      </c>
      <c r="I3020" s="2" t="s">
        <v>12</v>
      </c>
      <c r="J3020" s="2" t="s">
        <v>12</v>
      </c>
      <c r="K3020" s="2" t="s">
        <v>12</v>
      </c>
    </row>
    <row r="3021" spans="1:11" ht="12.5" x14ac:dyDescent="0.25">
      <c r="A3021" s="3" t="e">
        <f ca="1"/>
        <v>#NAME?</v>
      </c>
      <c r="B3021" s="2" t="s">
        <v>12</v>
      </c>
      <c r="C3021" s="2" t="s">
        <v>12</v>
      </c>
      <c r="D3021" s="2" t="s">
        <v>12</v>
      </c>
      <c r="E3021" s="2" t="s">
        <v>12</v>
      </c>
      <c r="F3021" s="2" t="s">
        <v>12</v>
      </c>
      <c r="G3021" s="2" t="s">
        <v>12</v>
      </c>
      <c r="H3021" s="2" t="s">
        <v>12</v>
      </c>
      <c r="I3021" s="2" t="s">
        <v>12</v>
      </c>
      <c r="J3021" s="2" t="s">
        <v>12</v>
      </c>
      <c r="K3021" s="2" t="s">
        <v>12</v>
      </c>
    </row>
    <row r="3022" spans="1:11" ht="12.5" x14ac:dyDescent="0.25">
      <c r="A3022" s="3" t="e">
        <f ca="1"/>
        <v>#NAME?</v>
      </c>
      <c r="B3022" s="2" t="s">
        <v>12</v>
      </c>
      <c r="C3022" s="2" t="s">
        <v>12</v>
      </c>
      <c r="D3022" s="2" t="s">
        <v>12</v>
      </c>
      <c r="E3022" s="2" t="s">
        <v>12</v>
      </c>
      <c r="F3022" s="2" t="s">
        <v>12</v>
      </c>
      <c r="G3022" s="2" t="s">
        <v>12</v>
      </c>
      <c r="H3022" s="2" t="s">
        <v>12</v>
      </c>
      <c r="I3022" s="2" t="s">
        <v>12</v>
      </c>
      <c r="J3022" s="2" t="s">
        <v>12</v>
      </c>
      <c r="K3022" s="2" t="s">
        <v>12</v>
      </c>
    </row>
    <row r="3023" spans="1:11" ht="12.5" x14ac:dyDescent="0.25">
      <c r="A3023" s="3" t="e">
        <f ca="1"/>
        <v>#NAME?</v>
      </c>
      <c r="B3023" s="2" t="s">
        <v>12</v>
      </c>
      <c r="C3023" s="2" t="s">
        <v>12</v>
      </c>
      <c r="D3023" s="2" t="s">
        <v>12</v>
      </c>
      <c r="E3023" s="2" t="s">
        <v>12</v>
      </c>
      <c r="F3023" s="2" t="s">
        <v>12</v>
      </c>
      <c r="G3023" s="2" t="s">
        <v>12</v>
      </c>
      <c r="H3023" s="2" t="s">
        <v>12</v>
      </c>
      <c r="I3023" s="2" t="s">
        <v>12</v>
      </c>
      <c r="J3023" s="2" t="s">
        <v>12</v>
      </c>
      <c r="K3023" s="2" t="s">
        <v>12</v>
      </c>
    </row>
    <row r="3024" spans="1:11" ht="12.5" x14ac:dyDescent="0.25">
      <c r="A3024" s="3" t="e">
        <f ca="1"/>
        <v>#NAME?</v>
      </c>
      <c r="B3024" s="2" t="s">
        <v>12</v>
      </c>
      <c r="C3024" s="2" t="s">
        <v>12</v>
      </c>
      <c r="D3024" s="2" t="s">
        <v>12</v>
      </c>
      <c r="E3024" s="2" t="s">
        <v>12</v>
      </c>
      <c r="F3024" s="2" t="s">
        <v>12</v>
      </c>
      <c r="G3024" s="2" t="s">
        <v>12</v>
      </c>
      <c r="H3024" s="2" t="s">
        <v>12</v>
      </c>
      <c r="I3024" s="2" t="s">
        <v>12</v>
      </c>
      <c r="J3024" s="2" t="s">
        <v>12</v>
      </c>
      <c r="K3024" s="2" t="s">
        <v>12</v>
      </c>
    </row>
    <row r="3025" spans="1:11" ht="12.5" x14ac:dyDescent="0.25">
      <c r="A3025" s="3" t="e">
        <f ca="1"/>
        <v>#NAME?</v>
      </c>
      <c r="B3025" s="2" t="s">
        <v>12</v>
      </c>
      <c r="C3025" s="2" t="s">
        <v>12</v>
      </c>
      <c r="D3025" s="2" t="s">
        <v>12</v>
      </c>
      <c r="E3025" s="2" t="s">
        <v>12</v>
      </c>
      <c r="F3025" s="2" t="s">
        <v>12</v>
      </c>
      <c r="G3025" s="2" t="s">
        <v>12</v>
      </c>
      <c r="H3025" s="2" t="s">
        <v>12</v>
      </c>
      <c r="I3025" s="2" t="s">
        <v>12</v>
      </c>
      <c r="J3025" s="2" t="s">
        <v>12</v>
      </c>
      <c r="K3025" s="2" t="s">
        <v>12</v>
      </c>
    </row>
    <row r="3026" spans="1:11" ht="12.5" x14ac:dyDescent="0.25">
      <c r="A3026" s="3" t="e">
        <f ca="1"/>
        <v>#NAME?</v>
      </c>
      <c r="B3026" s="2" t="s">
        <v>12</v>
      </c>
      <c r="C3026" s="2" t="s">
        <v>12</v>
      </c>
      <c r="D3026" s="2" t="s">
        <v>12</v>
      </c>
      <c r="E3026" s="2" t="s">
        <v>12</v>
      </c>
      <c r="F3026" s="2" t="s">
        <v>12</v>
      </c>
      <c r="G3026" s="2" t="s">
        <v>12</v>
      </c>
      <c r="H3026" s="2" t="s">
        <v>12</v>
      </c>
      <c r="I3026" s="2" t="s">
        <v>12</v>
      </c>
      <c r="J3026" s="2" t="s">
        <v>12</v>
      </c>
      <c r="K3026" s="2" t="s">
        <v>12</v>
      </c>
    </row>
    <row r="3027" spans="1:11" ht="12.5" x14ac:dyDescent="0.25">
      <c r="A3027" s="3" t="e">
        <f ca="1"/>
        <v>#NAME?</v>
      </c>
      <c r="B3027" s="2" t="s">
        <v>12</v>
      </c>
      <c r="C3027" s="2" t="s">
        <v>12</v>
      </c>
      <c r="D3027" s="2" t="s">
        <v>12</v>
      </c>
      <c r="E3027" s="2" t="s">
        <v>12</v>
      </c>
      <c r="F3027" s="2" t="s">
        <v>12</v>
      </c>
      <c r="G3027" s="2" t="s">
        <v>12</v>
      </c>
      <c r="H3027" s="2" t="s">
        <v>12</v>
      </c>
      <c r="I3027" s="2" t="s">
        <v>12</v>
      </c>
      <c r="J3027" s="2" t="s">
        <v>12</v>
      </c>
      <c r="K3027" s="2" t="s">
        <v>12</v>
      </c>
    </row>
    <row r="3028" spans="1:11" ht="12.5" x14ac:dyDescent="0.25">
      <c r="A3028" s="3" t="e">
        <f ca="1"/>
        <v>#NAME?</v>
      </c>
      <c r="B3028" s="2" t="s">
        <v>12</v>
      </c>
      <c r="C3028" s="2" t="s">
        <v>12</v>
      </c>
      <c r="D3028" s="2" t="s">
        <v>12</v>
      </c>
      <c r="E3028" s="2" t="s">
        <v>12</v>
      </c>
      <c r="F3028" s="2" t="s">
        <v>12</v>
      </c>
      <c r="G3028" s="2" t="s">
        <v>12</v>
      </c>
      <c r="H3028" s="2" t="s">
        <v>12</v>
      </c>
      <c r="I3028" s="2" t="s">
        <v>12</v>
      </c>
      <c r="J3028" s="2" t="s">
        <v>12</v>
      </c>
      <c r="K3028" s="2" t="s">
        <v>12</v>
      </c>
    </row>
    <row r="3029" spans="1:11" ht="12.5" x14ac:dyDescent="0.25">
      <c r="A3029" s="3" t="e">
        <f ca="1"/>
        <v>#NAME?</v>
      </c>
      <c r="B3029" s="2" t="s">
        <v>12</v>
      </c>
      <c r="C3029" s="2" t="s">
        <v>12</v>
      </c>
      <c r="D3029" s="2" t="s">
        <v>12</v>
      </c>
      <c r="E3029" s="2" t="s">
        <v>12</v>
      </c>
      <c r="F3029" s="2" t="s">
        <v>12</v>
      </c>
      <c r="G3029" s="2" t="s">
        <v>12</v>
      </c>
      <c r="H3029" s="2" t="s">
        <v>12</v>
      </c>
      <c r="I3029" s="2" t="s">
        <v>12</v>
      </c>
      <c r="J3029" s="2" t="s">
        <v>12</v>
      </c>
      <c r="K3029" s="2" t="s">
        <v>12</v>
      </c>
    </row>
    <row r="3030" spans="1:11" ht="12.5" x14ac:dyDescent="0.25">
      <c r="A3030" s="3" t="e">
        <f ca="1"/>
        <v>#NAME?</v>
      </c>
      <c r="B3030" s="2" t="s">
        <v>12</v>
      </c>
      <c r="C3030" s="2" t="s">
        <v>12</v>
      </c>
      <c r="D3030" s="2" t="s">
        <v>12</v>
      </c>
      <c r="E3030" s="2" t="s">
        <v>12</v>
      </c>
      <c r="F3030" s="2" t="s">
        <v>12</v>
      </c>
      <c r="G3030" s="2" t="s">
        <v>12</v>
      </c>
      <c r="H3030" s="2" t="s">
        <v>12</v>
      </c>
      <c r="I3030" s="2" t="s">
        <v>12</v>
      </c>
      <c r="J3030" s="2" t="s">
        <v>12</v>
      </c>
      <c r="K3030" s="2" t="s">
        <v>12</v>
      </c>
    </row>
    <row r="3031" spans="1:11" ht="12.5" x14ac:dyDescent="0.25">
      <c r="A3031" s="3" t="e">
        <f ca="1"/>
        <v>#NAME?</v>
      </c>
      <c r="B3031" s="2" t="s">
        <v>12</v>
      </c>
      <c r="C3031" s="2" t="s">
        <v>12</v>
      </c>
      <c r="D3031" s="2" t="s">
        <v>12</v>
      </c>
      <c r="E3031" s="2" t="s">
        <v>12</v>
      </c>
      <c r="F3031" s="2" t="s">
        <v>12</v>
      </c>
      <c r="G3031" s="2" t="s">
        <v>12</v>
      </c>
      <c r="H3031" s="2" t="s">
        <v>12</v>
      </c>
      <c r="I3031" s="2" t="s">
        <v>12</v>
      </c>
      <c r="J3031" s="2" t="s">
        <v>12</v>
      </c>
      <c r="K3031" s="2" t="s">
        <v>12</v>
      </c>
    </row>
    <row r="3032" spans="1:11" ht="12.5" x14ac:dyDescent="0.25">
      <c r="A3032" s="3" t="e">
        <f ca="1"/>
        <v>#NAME?</v>
      </c>
      <c r="B3032" s="2" t="s">
        <v>12</v>
      </c>
      <c r="C3032" s="2" t="s">
        <v>12</v>
      </c>
      <c r="D3032" s="2" t="s">
        <v>12</v>
      </c>
      <c r="E3032" s="2" t="s">
        <v>12</v>
      </c>
      <c r="F3032" s="2" t="s">
        <v>12</v>
      </c>
      <c r="G3032" s="2" t="s">
        <v>12</v>
      </c>
      <c r="H3032" s="2" t="s">
        <v>12</v>
      </c>
      <c r="I3032" s="2" t="s">
        <v>12</v>
      </c>
      <c r="J3032" s="2" t="s">
        <v>12</v>
      </c>
      <c r="K3032" s="2" t="s">
        <v>12</v>
      </c>
    </row>
    <row r="3033" spans="1:11" ht="12.5" x14ac:dyDescent="0.25">
      <c r="A3033" s="3" t="e">
        <f ca="1"/>
        <v>#NAME?</v>
      </c>
      <c r="B3033" s="2" t="s">
        <v>12</v>
      </c>
      <c r="C3033" s="2" t="s">
        <v>12</v>
      </c>
      <c r="D3033" s="2" t="s">
        <v>12</v>
      </c>
      <c r="E3033" s="2" t="s">
        <v>12</v>
      </c>
      <c r="F3033" s="2" t="s">
        <v>12</v>
      </c>
      <c r="G3033" s="2" t="s">
        <v>12</v>
      </c>
      <c r="H3033" s="2" t="s">
        <v>12</v>
      </c>
      <c r="I3033" s="2" t="s">
        <v>12</v>
      </c>
      <c r="J3033" s="2" t="s">
        <v>12</v>
      </c>
      <c r="K3033" s="2" t="s">
        <v>12</v>
      </c>
    </row>
    <row r="3034" spans="1:11" ht="12.5" x14ac:dyDescent="0.25">
      <c r="A3034" s="3" t="e">
        <f ca="1"/>
        <v>#NAME?</v>
      </c>
      <c r="B3034" s="2" t="s">
        <v>12</v>
      </c>
      <c r="C3034" s="2" t="s">
        <v>12</v>
      </c>
      <c r="D3034" s="2" t="s">
        <v>12</v>
      </c>
      <c r="E3034" s="2" t="s">
        <v>12</v>
      </c>
      <c r="F3034" s="2" t="s">
        <v>12</v>
      </c>
      <c r="G3034" s="2" t="s">
        <v>12</v>
      </c>
      <c r="H3034" s="2" t="s">
        <v>12</v>
      </c>
      <c r="I3034" s="2" t="s">
        <v>12</v>
      </c>
      <c r="J3034" s="2" t="s">
        <v>12</v>
      </c>
      <c r="K3034" s="2" t="s">
        <v>12</v>
      </c>
    </row>
    <row r="3035" spans="1:11" ht="12.5" x14ac:dyDescent="0.25">
      <c r="A3035" s="3" t="e">
        <f ca="1"/>
        <v>#NAME?</v>
      </c>
      <c r="B3035" s="2" t="s">
        <v>12</v>
      </c>
      <c r="C3035" s="2" t="s">
        <v>12</v>
      </c>
      <c r="D3035" s="2" t="s">
        <v>12</v>
      </c>
      <c r="E3035" s="2" t="s">
        <v>12</v>
      </c>
      <c r="F3035" s="2" t="s">
        <v>12</v>
      </c>
      <c r="G3035" s="2" t="s">
        <v>12</v>
      </c>
      <c r="H3035" s="2" t="s">
        <v>12</v>
      </c>
      <c r="I3035" s="2" t="s">
        <v>12</v>
      </c>
      <c r="J3035" s="2" t="s">
        <v>12</v>
      </c>
      <c r="K3035" s="2" t="s">
        <v>12</v>
      </c>
    </row>
    <row r="3036" spans="1:11" ht="12.5" x14ac:dyDescent="0.25">
      <c r="A3036" s="3" t="e">
        <f ca="1"/>
        <v>#NAME?</v>
      </c>
      <c r="B3036" s="2" t="s">
        <v>12</v>
      </c>
      <c r="C3036" s="2" t="s">
        <v>12</v>
      </c>
      <c r="D3036" s="2" t="s">
        <v>12</v>
      </c>
      <c r="E3036" s="2" t="s">
        <v>12</v>
      </c>
      <c r="F3036" s="2" t="s">
        <v>12</v>
      </c>
      <c r="G3036" s="2" t="s">
        <v>12</v>
      </c>
      <c r="H3036" s="2" t="s">
        <v>12</v>
      </c>
      <c r="I3036" s="2" t="s">
        <v>12</v>
      </c>
      <c r="J3036" s="2" t="s">
        <v>12</v>
      </c>
      <c r="K3036" s="2" t="s">
        <v>12</v>
      </c>
    </row>
    <row r="3037" spans="1:11" ht="12.5" x14ac:dyDescent="0.25">
      <c r="A3037" s="3" t="e">
        <f ca="1"/>
        <v>#NAME?</v>
      </c>
      <c r="B3037" s="2" t="s">
        <v>12</v>
      </c>
      <c r="C3037" s="2" t="s">
        <v>12</v>
      </c>
      <c r="D3037" s="2" t="s">
        <v>12</v>
      </c>
      <c r="E3037" s="2" t="s">
        <v>12</v>
      </c>
      <c r="F3037" s="2" t="s">
        <v>12</v>
      </c>
      <c r="G3037" s="2" t="s">
        <v>12</v>
      </c>
      <c r="H3037" s="2" t="s">
        <v>12</v>
      </c>
      <c r="I3037" s="2" t="s">
        <v>12</v>
      </c>
      <c r="J3037" s="2" t="s">
        <v>12</v>
      </c>
      <c r="K3037" s="2" t="s">
        <v>12</v>
      </c>
    </row>
    <row r="3038" spans="1:11" ht="12.5" x14ac:dyDescent="0.25">
      <c r="A3038" s="3" t="e">
        <f ca="1"/>
        <v>#NAME?</v>
      </c>
      <c r="B3038" s="2" t="s">
        <v>12</v>
      </c>
      <c r="C3038" s="2" t="s">
        <v>12</v>
      </c>
      <c r="D3038" s="2" t="s">
        <v>12</v>
      </c>
      <c r="E3038" s="2" t="s">
        <v>12</v>
      </c>
      <c r="F3038" s="2" t="s">
        <v>12</v>
      </c>
      <c r="G3038" s="2" t="s">
        <v>12</v>
      </c>
      <c r="H3038" s="2" t="s">
        <v>12</v>
      </c>
      <c r="I3038" s="2" t="s">
        <v>12</v>
      </c>
      <c r="J3038" s="2" t="s">
        <v>12</v>
      </c>
      <c r="K3038" s="2" t="s">
        <v>12</v>
      </c>
    </row>
    <row r="3039" spans="1:11" ht="12.5" x14ac:dyDescent="0.25">
      <c r="A3039" s="3" t="e">
        <f ca="1"/>
        <v>#NAME?</v>
      </c>
      <c r="B3039" s="2" t="s">
        <v>12</v>
      </c>
      <c r="C3039" s="2" t="s">
        <v>12</v>
      </c>
      <c r="D3039" s="2" t="s">
        <v>12</v>
      </c>
      <c r="E3039" s="2" t="s">
        <v>12</v>
      </c>
      <c r="F3039" s="2" t="s">
        <v>12</v>
      </c>
      <c r="G3039" s="2" t="s">
        <v>12</v>
      </c>
      <c r="H3039" s="2" t="s">
        <v>12</v>
      </c>
      <c r="I3039" s="2" t="s">
        <v>12</v>
      </c>
      <c r="J3039" s="2" t="s">
        <v>12</v>
      </c>
      <c r="K3039" s="2" t="s">
        <v>12</v>
      </c>
    </row>
    <row r="3040" spans="1:11" ht="12.5" x14ac:dyDescent="0.25">
      <c r="A3040" s="3" t="e">
        <f ca="1"/>
        <v>#NAME?</v>
      </c>
      <c r="B3040" s="2" t="s">
        <v>12</v>
      </c>
      <c r="C3040" s="2" t="s">
        <v>12</v>
      </c>
      <c r="D3040" s="2" t="s">
        <v>12</v>
      </c>
      <c r="E3040" s="2" t="s">
        <v>12</v>
      </c>
      <c r="F3040" s="2" t="s">
        <v>12</v>
      </c>
      <c r="G3040" s="2" t="s">
        <v>12</v>
      </c>
      <c r="H3040" s="2" t="s">
        <v>12</v>
      </c>
      <c r="I3040" s="2" t="s">
        <v>12</v>
      </c>
      <c r="J3040" s="2" t="s">
        <v>12</v>
      </c>
      <c r="K3040" s="2" t="s">
        <v>12</v>
      </c>
    </row>
    <row r="3041" spans="1:11" ht="12.5" x14ac:dyDescent="0.25">
      <c r="A3041" s="3" t="e">
        <f ca="1"/>
        <v>#NAME?</v>
      </c>
      <c r="B3041" s="2" t="s">
        <v>12</v>
      </c>
      <c r="C3041" s="2" t="s">
        <v>12</v>
      </c>
      <c r="D3041" s="2" t="s">
        <v>12</v>
      </c>
      <c r="E3041" s="2" t="s">
        <v>12</v>
      </c>
      <c r="F3041" s="2" t="s">
        <v>12</v>
      </c>
      <c r="G3041" s="2" t="s">
        <v>12</v>
      </c>
      <c r="H3041" s="2" t="s">
        <v>12</v>
      </c>
      <c r="I3041" s="2" t="s">
        <v>12</v>
      </c>
      <c r="J3041" s="2" t="s">
        <v>12</v>
      </c>
      <c r="K3041" s="2" t="s">
        <v>12</v>
      </c>
    </row>
    <row r="3042" spans="1:11" ht="12.5" x14ac:dyDescent="0.25">
      <c r="A3042" s="3" t="e">
        <f ca="1"/>
        <v>#NAME?</v>
      </c>
      <c r="B3042" s="2" t="s">
        <v>12</v>
      </c>
      <c r="C3042" s="2" t="s">
        <v>12</v>
      </c>
      <c r="D3042" s="2" t="s">
        <v>12</v>
      </c>
      <c r="E3042" s="2" t="s">
        <v>12</v>
      </c>
      <c r="F3042" s="2" t="s">
        <v>12</v>
      </c>
      <c r="G3042" s="2" t="s">
        <v>12</v>
      </c>
      <c r="H3042" s="2" t="s">
        <v>12</v>
      </c>
      <c r="I3042" s="2" t="s">
        <v>12</v>
      </c>
      <c r="J3042" s="2" t="s">
        <v>12</v>
      </c>
      <c r="K3042" s="2" t="s">
        <v>12</v>
      </c>
    </row>
    <row r="3043" spans="1:11" ht="12.5" x14ac:dyDescent="0.25">
      <c r="A3043" s="3" t="e">
        <f ca="1"/>
        <v>#NAME?</v>
      </c>
      <c r="B3043" s="2" t="s">
        <v>12</v>
      </c>
      <c r="C3043" s="2" t="s">
        <v>12</v>
      </c>
      <c r="D3043" s="2" t="s">
        <v>12</v>
      </c>
      <c r="E3043" s="2" t="s">
        <v>12</v>
      </c>
      <c r="F3043" s="2" t="s">
        <v>12</v>
      </c>
      <c r="G3043" s="2" t="s">
        <v>12</v>
      </c>
      <c r="H3043" s="2" t="s">
        <v>12</v>
      </c>
      <c r="I3043" s="2" t="s">
        <v>12</v>
      </c>
      <c r="J3043" s="2" t="s">
        <v>12</v>
      </c>
      <c r="K3043" s="2" t="s">
        <v>12</v>
      </c>
    </row>
    <row r="3044" spans="1:11" ht="12.5" x14ac:dyDescent="0.25">
      <c r="A3044" s="3" t="e">
        <f ca="1"/>
        <v>#NAME?</v>
      </c>
      <c r="B3044" s="2" t="s">
        <v>12</v>
      </c>
      <c r="C3044" s="2" t="s">
        <v>12</v>
      </c>
      <c r="D3044" s="2" t="s">
        <v>12</v>
      </c>
      <c r="E3044" s="2" t="s">
        <v>12</v>
      </c>
      <c r="F3044" s="2" t="s">
        <v>12</v>
      </c>
      <c r="G3044" s="2" t="s">
        <v>12</v>
      </c>
      <c r="H3044" s="2" t="s">
        <v>12</v>
      </c>
      <c r="I3044" s="2" t="s">
        <v>12</v>
      </c>
      <c r="J3044" s="2" t="s">
        <v>12</v>
      </c>
      <c r="K3044" s="2" t="s">
        <v>12</v>
      </c>
    </row>
    <row r="3045" spans="1:11" ht="12.5" x14ac:dyDescent="0.25">
      <c r="A3045" s="3" t="e">
        <f ca="1"/>
        <v>#NAME?</v>
      </c>
      <c r="B3045" s="2" t="s">
        <v>12</v>
      </c>
      <c r="C3045" s="2" t="s">
        <v>12</v>
      </c>
      <c r="D3045" s="2" t="s">
        <v>12</v>
      </c>
      <c r="E3045" s="2" t="s">
        <v>12</v>
      </c>
      <c r="F3045" s="2" t="s">
        <v>12</v>
      </c>
      <c r="G3045" s="2" t="s">
        <v>12</v>
      </c>
      <c r="H3045" s="2" t="s">
        <v>12</v>
      </c>
      <c r="I3045" s="2" t="s">
        <v>12</v>
      </c>
      <c r="J3045" s="2" t="s">
        <v>12</v>
      </c>
      <c r="K3045" s="2" t="s">
        <v>12</v>
      </c>
    </row>
    <row r="3046" spans="1:11" ht="12.5" x14ac:dyDescent="0.25">
      <c r="A3046" s="3" t="e">
        <f ca="1"/>
        <v>#NAME?</v>
      </c>
      <c r="B3046" s="2" t="s">
        <v>12</v>
      </c>
      <c r="C3046" s="2" t="s">
        <v>12</v>
      </c>
      <c r="D3046" s="2" t="s">
        <v>12</v>
      </c>
      <c r="E3046" s="2" t="s">
        <v>12</v>
      </c>
      <c r="F3046" s="2" t="s">
        <v>12</v>
      </c>
      <c r="G3046" s="2" t="s">
        <v>12</v>
      </c>
      <c r="H3046" s="2" t="s">
        <v>12</v>
      </c>
      <c r="I3046" s="2" t="s">
        <v>12</v>
      </c>
      <c r="J3046" s="2" t="s">
        <v>12</v>
      </c>
      <c r="K3046" s="2" t="s">
        <v>12</v>
      </c>
    </row>
    <row r="3047" spans="1:11" ht="12.5" x14ac:dyDescent="0.25">
      <c r="A3047" s="3" t="e">
        <f ca="1"/>
        <v>#NAME?</v>
      </c>
      <c r="B3047" s="2" t="s">
        <v>12</v>
      </c>
      <c r="C3047" s="2" t="s">
        <v>12</v>
      </c>
      <c r="D3047" s="2" t="s">
        <v>12</v>
      </c>
      <c r="E3047" s="2" t="s">
        <v>12</v>
      </c>
      <c r="F3047" s="2" t="s">
        <v>12</v>
      </c>
      <c r="G3047" s="2" t="s">
        <v>12</v>
      </c>
      <c r="H3047" s="2" t="s">
        <v>12</v>
      </c>
      <c r="I3047" s="2" t="s">
        <v>12</v>
      </c>
      <c r="J3047" s="2" t="s">
        <v>12</v>
      </c>
      <c r="K3047" s="2" t="s">
        <v>12</v>
      </c>
    </row>
    <row r="3048" spans="1:11" ht="12.5" x14ac:dyDescent="0.25">
      <c r="A3048" s="3" t="e">
        <f ca="1"/>
        <v>#NAME?</v>
      </c>
      <c r="B3048" s="2" t="s">
        <v>12</v>
      </c>
      <c r="C3048" s="2" t="s">
        <v>12</v>
      </c>
      <c r="D3048" s="2" t="s">
        <v>12</v>
      </c>
      <c r="E3048" s="2" t="s">
        <v>12</v>
      </c>
      <c r="F3048" s="2" t="s">
        <v>12</v>
      </c>
      <c r="G3048" s="2" t="s">
        <v>12</v>
      </c>
      <c r="H3048" s="2" t="s">
        <v>12</v>
      </c>
      <c r="I3048" s="2" t="s">
        <v>12</v>
      </c>
      <c r="J3048" s="2" t="s">
        <v>12</v>
      </c>
      <c r="K3048" s="2" t="s">
        <v>12</v>
      </c>
    </row>
    <row r="3049" spans="1:11" ht="12.5" x14ac:dyDescent="0.25">
      <c r="A3049" s="3" t="e">
        <f ca="1"/>
        <v>#NAME?</v>
      </c>
      <c r="B3049" s="2" t="s">
        <v>12</v>
      </c>
      <c r="C3049" s="2" t="s">
        <v>12</v>
      </c>
      <c r="D3049" s="2" t="s">
        <v>12</v>
      </c>
      <c r="E3049" s="2" t="s">
        <v>12</v>
      </c>
      <c r="F3049" s="2" t="s">
        <v>12</v>
      </c>
      <c r="G3049" s="2" t="s">
        <v>12</v>
      </c>
      <c r="H3049" s="2" t="s">
        <v>12</v>
      </c>
      <c r="I3049" s="2" t="s">
        <v>12</v>
      </c>
      <c r="J3049" s="2" t="s">
        <v>12</v>
      </c>
      <c r="K3049" s="2" t="s">
        <v>12</v>
      </c>
    </row>
    <row r="3050" spans="1:11" ht="12.5" x14ac:dyDescent="0.25">
      <c r="A3050" s="3" t="e">
        <f ca="1"/>
        <v>#NAME?</v>
      </c>
      <c r="B3050" s="2" t="s">
        <v>12</v>
      </c>
      <c r="C3050" s="2" t="s">
        <v>12</v>
      </c>
      <c r="D3050" s="2" t="s">
        <v>12</v>
      </c>
      <c r="E3050" s="2" t="s">
        <v>12</v>
      </c>
      <c r="F3050" s="2" t="s">
        <v>12</v>
      </c>
      <c r="G3050" s="2" t="s">
        <v>12</v>
      </c>
      <c r="H3050" s="2" t="s">
        <v>12</v>
      </c>
      <c r="I3050" s="2" t="s">
        <v>12</v>
      </c>
      <c r="J3050" s="2" t="s">
        <v>12</v>
      </c>
      <c r="K3050" s="2" t="s">
        <v>12</v>
      </c>
    </row>
    <row r="3051" spans="1:11" ht="12.5" x14ac:dyDescent="0.25">
      <c r="A3051" s="3" t="e">
        <f ca="1"/>
        <v>#NAME?</v>
      </c>
      <c r="B3051" s="2" t="s">
        <v>12</v>
      </c>
      <c r="C3051" s="2" t="s">
        <v>12</v>
      </c>
      <c r="D3051" s="2" t="s">
        <v>12</v>
      </c>
      <c r="E3051" s="2" t="s">
        <v>12</v>
      </c>
      <c r="F3051" s="2" t="s">
        <v>12</v>
      </c>
      <c r="G3051" s="2" t="s">
        <v>12</v>
      </c>
      <c r="H3051" s="2" t="s">
        <v>12</v>
      </c>
      <c r="I3051" s="2" t="s">
        <v>12</v>
      </c>
      <c r="J3051" s="2" t="s">
        <v>12</v>
      </c>
      <c r="K3051" s="2" t="s">
        <v>12</v>
      </c>
    </row>
    <row r="3052" spans="1:11" ht="12.5" x14ac:dyDescent="0.25">
      <c r="A3052" s="3" t="e">
        <f ca="1"/>
        <v>#NAME?</v>
      </c>
      <c r="B3052" s="2" t="s">
        <v>12</v>
      </c>
      <c r="C3052" s="2" t="s">
        <v>12</v>
      </c>
      <c r="D3052" s="2" t="s">
        <v>12</v>
      </c>
      <c r="E3052" s="2" t="s">
        <v>12</v>
      </c>
      <c r="F3052" s="2" t="s">
        <v>12</v>
      </c>
      <c r="G3052" s="2" t="s">
        <v>12</v>
      </c>
      <c r="H3052" s="2" t="s">
        <v>12</v>
      </c>
      <c r="I3052" s="2" t="s">
        <v>12</v>
      </c>
      <c r="J3052" s="2" t="s">
        <v>12</v>
      </c>
      <c r="K3052" s="2" t="s">
        <v>12</v>
      </c>
    </row>
    <row r="3053" spans="1:11" ht="12.5" x14ac:dyDescent="0.25">
      <c r="A3053" s="3" t="e">
        <f ca="1"/>
        <v>#NAME?</v>
      </c>
      <c r="B3053" s="2" t="s">
        <v>12</v>
      </c>
      <c r="C3053" s="2" t="s">
        <v>12</v>
      </c>
      <c r="D3053" s="2" t="s">
        <v>12</v>
      </c>
      <c r="E3053" s="2" t="s">
        <v>12</v>
      </c>
      <c r="F3053" s="2" t="s">
        <v>12</v>
      </c>
      <c r="G3053" s="2" t="s">
        <v>12</v>
      </c>
      <c r="H3053" s="2" t="s">
        <v>12</v>
      </c>
      <c r="I3053" s="2" t="s">
        <v>12</v>
      </c>
      <c r="J3053" s="2" t="s">
        <v>12</v>
      </c>
      <c r="K3053" s="2" t="s">
        <v>12</v>
      </c>
    </row>
    <row r="3054" spans="1:11" ht="12.5" x14ac:dyDescent="0.25">
      <c r="A3054" s="3" t="e">
        <f ca="1"/>
        <v>#NAME?</v>
      </c>
      <c r="B3054" s="2" t="s">
        <v>12</v>
      </c>
      <c r="C3054" s="2" t="s">
        <v>12</v>
      </c>
      <c r="D3054" s="2" t="s">
        <v>12</v>
      </c>
      <c r="E3054" s="2" t="s">
        <v>12</v>
      </c>
      <c r="F3054" s="2" t="s">
        <v>12</v>
      </c>
      <c r="G3054" s="2" t="s">
        <v>12</v>
      </c>
      <c r="H3054" s="2" t="s">
        <v>12</v>
      </c>
      <c r="I3054" s="2" t="s">
        <v>12</v>
      </c>
      <c r="J3054" s="2" t="s">
        <v>12</v>
      </c>
      <c r="K3054" s="2" t="s">
        <v>12</v>
      </c>
    </row>
    <row r="3055" spans="1:11" ht="12.5" x14ac:dyDescent="0.25">
      <c r="A3055" s="3" t="e">
        <f ca="1"/>
        <v>#NAME?</v>
      </c>
      <c r="B3055" s="2" t="s">
        <v>12</v>
      </c>
      <c r="C3055" s="2" t="s">
        <v>12</v>
      </c>
      <c r="D3055" s="2" t="s">
        <v>12</v>
      </c>
      <c r="E3055" s="2" t="s">
        <v>12</v>
      </c>
      <c r="F3055" s="2" t="s">
        <v>12</v>
      </c>
      <c r="G3055" s="2" t="s">
        <v>12</v>
      </c>
      <c r="H3055" s="2" t="s">
        <v>12</v>
      </c>
      <c r="I3055" s="2" t="s">
        <v>12</v>
      </c>
      <c r="J3055" s="2" t="s">
        <v>12</v>
      </c>
      <c r="K3055" s="2" t="s">
        <v>12</v>
      </c>
    </row>
    <row r="3056" spans="1:11" ht="12.5" x14ac:dyDescent="0.25">
      <c r="A3056" s="3" t="e">
        <f ca="1"/>
        <v>#NAME?</v>
      </c>
      <c r="B3056" s="2" t="s">
        <v>12</v>
      </c>
      <c r="C3056" s="2" t="s">
        <v>12</v>
      </c>
      <c r="D3056" s="2" t="s">
        <v>12</v>
      </c>
      <c r="E3056" s="2" t="s">
        <v>12</v>
      </c>
      <c r="F3056" s="2" t="s">
        <v>12</v>
      </c>
      <c r="G3056" s="2" t="s">
        <v>12</v>
      </c>
      <c r="H3056" s="2" t="s">
        <v>12</v>
      </c>
      <c r="I3056" s="2" t="s">
        <v>12</v>
      </c>
      <c r="J3056" s="2" t="s">
        <v>12</v>
      </c>
      <c r="K3056" s="2" t="s">
        <v>12</v>
      </c>
    </row>
    <row r="3057" spans="1:11" ht="12.5" x14ac:dyDescent="0.25">
      <c r="A3057" s="3" t="e">
        <f ca="1"/>
        <v>#NAME?</v>
      </c>
      <c r="B3057" s="2" t="s">
        <v>12</v>
      </c>
      <c r="C3057" s="2" t="s">
        <v>12</v>
      </c>
      <c r="D3057" s="2" t="s">
        <v>12</v>
      </c>
      <c r="E3057" s="2" t="s">
        <v>12</v>
      </c>
      <c r="F3057" s="2" t="s">
        <v>12</v>
      </c>
      <c r="G3057" s="2" t="s">
        <v>12</v>
      </c>
      <c r="H3057" s="2" t="s">
        <v>12</v>
      </c>
      <c r="I3057" s="2" t="s">
        <v>12</v>
      </c>
      <c r="J3057" s="2" t="s">
        <v>12</v>
      </c>
      <c r="K3057" s="2" t="s">
        <v>12</v>
      </c>
    </row>
    <row r="3058" spans="1:11" ht="12.5" x14ac:dyDescent="0.25">
      <c r="A3058" s="3" t="e">
        <f ca="1"/>
        <v>#NAME?</v>
      </c>
      <c r="B3058" s="2" t="s">
        <v>12</v>
      </c>
      <c r="C3058" s="2" t="s">
        <v>12</v>
      </c>
      <c r="D3058" s="2" t="s">
        <v>12</v>
      </c>
      <c r="E3058" s="2" t="s">
        <v>12</v>
      </c>
      <c r="F3058" s="2" t="s">
        <v>12</v>
      </c>
      <c r="G3058" s="2" t="s">
        <v>12</v>
      </c>
      <c r="H3058" s="2" t="s">
        <v>12</v>
      </c>
      <c r="I3058" s="2" t="s">
        <v>12</v>
      </c>
      <c r="J3058" s="2" t="s">
        <v>12</v>
      </c>
      <c r="K3058" s="2" t="s">
        <v>12</v>
      </c>
    </row>
    <row r="3059" spans="1:11" ht="12.5" x14ac:dyDescent="0.25">
      <c r="A3059" s="3" t="e">
        <f ca="1"/>
        <v>#NAME?</v>
      </c>
      <c r="B3059" s="2" t="s">
        <v>12</v>
      </c>
      <c r="C3059" s="2" t="s">
        <v>12</v>
      </c>
      <c r="D3059" s="2" t="s">
        <v>12</v>
      </c>
      <c r="E3059" s="2" t="s">
        <v>12</v>
      </c>
      <c r="F3059" s="2" t="s">
        <v>12</v>
      </c>
      <c r="G3059" s="2" t="s">
        <v>12</v>
      </c>
      <c r="H3059" s="2" t="s">
        <v>12</v>
      </c>
      <c r="I3059" s="2" t="s">
        <v>12</v>
      </c>
      <c r="J3059" s="2" t="s">
        <v>12</v>
      </c>
      <c r="K3059" s="2" t="s">
        <v>12</v>
      </c>
    </row>
    <row r="3060" spans="1:11" ht="12.5" x14ac:dyDescent="0.25">
      <c r="A3060" s="3" t="e">
        <f ca="1"/>
        <v>#NAME?</v>
      </c>
      <c r="B3060" s="2" t="s">
        <v>12</v>
      </c>
      <c r="C3060" s="2" t="s">
        <v>12</v>
      </c>
      <c r="D3060" s="2" t="s">
        <v>12</v>
      </c>
      <c r="E3060" s="2" t="s">
        <v>12</v>
      </c>
      <c r="F3060" s="2" t="s">
        <v>12</v>
      </c>
      <c r="G3060" s="2" t="s">
        <v>12</v>
      </c>
      <c r="H3060" s="2" t="s">
        <v>12</v>
      </c>
      <c r="I3060" s="2" t="s">
        <v>12</v>
      </c>
      <c r="J3060" s="2" t="s">
        <v>12</v>
      </c>
      <c r="K3060" s="2" t="s">
        <v>12</v>
      </c>
    </row>
    <row r="3061" spans="1:11" ht="12.5" x14ac:dyDescent="0.25">
      <c r="A3061" s="3" t="e">
        <f ca="1"/>
        <v>#NAME?</v>
      </c>
      <c r="B3061" s="2" t="s">
        <v>12</v>
      </c>
      <c r="C3061" s="2" t="s">
        <v>12</v>
      </c>
      <c r="D3061" s="2" t="s">
        <v>12</v>
      </c>
      <c r="E3061" s="2" t="s">
        <v>12</v>
      </c>
      <c r="F3061" s="2" t="s">
        <v>12</v>
      </c>
      <c r="G3061" s="2" t="s">
        <v>12</v>
      </c>
      <c r="H3061" s="2" t="s">
        <v>12</v>
      </c>
      <c r="I3061" s="2" t="s">
        <v>12</v>
      </c>
      <c r="J3061" s="2" t="s">
        <v>12</v>
      </c>
      <c r="K3061" s="2" t="s">
        <v>12</v>
      </c>
    </row>
    <row r="3062" spans="1:11" ht="12.5" x14ac:dyDescent="0.25">
      <c r="A3062" s="3" t="e">
        <f ca="1"/>
        <v>#NAME?</v>
      </c>
      <c r="B3062" s="2" t="s">
        <v>12</v>
      </c>
      <c r="C3062" s="2" t="s">
        <v>12</v>
      </c>
      <c r="D3062" s="2" t="s">
        <v>12</v>
      </c>
      <c r="E3062" s="2" t="s">
        <v>12</v>
      </c>
      <c r="F3062" s="2" t="s">
        <v>12</v>
      </c>
      <c r="G3062" s="2" t="s">
        <v>12</v>
      </c>
      <c r="H3062" s="2" t="s">
        <v>12</v>
      </c>
      <c r="I3062" s="2" t="s">
        <v>12</v>
      </c>
      <c r="J3062" s="2" t="s">
        <v>12</v>
      </c>
      <c r="K3062" s="2" t="s">
        <v>12</v>
      </c>
    </row>
    <row r="3063" spans="1:11" ht="12.5" x14ac:dyDescent="0.25">
      <c r="A3063" s="3" t="e">
        <f ca="1"/>
        <v>#NAME?</v>
      </c>
      <c r="B3063" s="2" t="s">
        <v>12</v>
      </c>
      <c r="C3063" s="2" t="s">
        <v>12</v>
      </c>
      <c r="D3063" s="2" t="s">
        <v>12</v>
      </c>
      <c r="E3063" s="2" t="s">
        <v>12</v>
      </c>
      <c r="F3063" s="2" t="s">
        <v>12</v>
      </c>
      <c r="G3063" s="2" t="s">
        <v>12</v>
      </c>
      <c r="H3063" s="2" t="s">
        <v>12</v>
      </c>
      <c r="I3063" s="2" t="s">
        <v>12</v>
      </c>
      <c r="J3063" s="2" t="s">
        <v>12</v>
      </c>
      <c r="K3063" s="2" t="s">
        <v>12</v>
      </c>
    </row>
    <row r="3064" spans="1:11" ht="12.5" x14ac:dyDescent="0.25">
      <c r="A3064" s="3" t="e">
        <f ca="1"/>
        <v>#NAME?</v>
      </c>
      <c r="B3064" s="2" t="s">
        <v>12</v>
      </c>
      <c r="C3064" s="2" t="s">
        <v>12</v>
      </c>
      <c r="D3064" s="2" t="s">
        <v>12</v>
      </c>
      <c r="E3064" s="2" t="s">
        <v>12</v>
      </c>
      <c r="F3064" s="2" t="s">
        <v>12</v>
      </c>
      <c r="G3064" s="2" t="s">
        <v>12</v>
      </c>
      <c r="H3064" s="2" t="s">
        <v>12</v>
      </c>
      <c r="I3064" s="2" t="s">
        <v>12</v>
      </c>
      <c r="J3064" s="2" t="s">
        <v>12</v>
      </c>
      <c r="K3064" s="2" t="s">
        <v>12</v>
      </c>
    </row>
    <row r="3065" spans="1:11" ht="12.5" x14ac:dyDescent="0.25">
      <c r="A3065" s="3" t="e">
        <f ca="1"/>
        <v>#NAME?</v>
      </c>
      <c r="B3065" s="2" t="s">
        <v>12</v>
      </c>
      <c r="C3065" s="2" t="s">
        <v>12</v>
      </c>
      <c r="D3065" s="2" t="s">
        <v>12</v>
      </c>
      <c r="E3065" s="2" t="s">
        <v>12</v>
      </c>
      <c r="F3065" s="2" t="s">
        <v>12</v>
      </c>
      <c r="G3065" s="2" t="s">
        <v>12</v>
      </c>
      <c r="H3065" s="2" t="s">
        <v>12</v>
      </c>
      <c r="I3065" s="2" t="s">
        <v>12</v>
      </c>
      <c r="J3065" s="2" t="s">
        <v>12</v>
      </c>
      <c r="K3065" s="2" t="s">
        <v>12</v>
      </c>
    </row>
    <row r="3066" spans="1:11" ht="12.5" x14ac:dyDescent="0.25">
      <c r="A3066" s="3" t="e">
        <f ca="1"/>
        <v>#NAME?</v>
      </c>
      <c r="B3066" s="2" t="s">
        <v>12</v>
      </c>
      <c r="C3066" s="2" t="s">
        <v>12</v>
      </c>
      <c r="D3066" s="2" t="s">
        <v>12</v>
      </c>
      <c r="E3066" s="2" t="s">
        <v>12</v>
      </c>
      <c r="F3066" s="2" t="s">
        <v>12</v>
      </c>
      <c r="G3066" s="2" t="s">
        <v>12</v>
      </c>
      <c r="H3066" s="2" t="s">
        <v>12</v>
      </c>
      <c r="I3066" s="2" t="s">
        <v>12</v>
      </c>
      <c r="J3066" s="2" t="s">
        <v>12</v>
      </c>
      <c r="K3066" s="2" t="s">
        <v>12</v>
      </c>
    </row>
    <row r="3067" spans="1:11" ht="12.5" x14ac:dyDescent="0.25">
      <c r="A3067" s="3" t="e">
        <f ca="1"/>
        <v>#NAME?</v>
      </c>
      <c r="B3067" s="2" t="s">
        <v>12</v>
      </c>
      <c r="C3067" s="2" t="s">
        <v>12</v>
      </c>
      <c r="D3067" s="2" t="s">
        <v>12</v>
      </c>
      <c r="E3067" s="2" t="s">
        <v>12</v>
      </c>
      <c r="F3067" s="2" t="s">
        <v>12</v>
      </c>
      <c r="G3067" s="2" t="s">
        <v>12</v>
      </c>
      <c r="H3067" s="2" t="s">
        <v>12</v>
      </c>
      <c r="I3067" s="2" t="s">
        <v>12</v>
      </c>
      <c r="J3067" s="2" t="s">
        <v>12</v>
      </c>
      <c r="K3067" s="2" t="s">
        <v>12</v>
      </c>
    </row>
    <row r="3068" spans="1:11" ht="12.5" x14ac:dyDescent="0.25">
      <c r="A3068" s="3" t="e">
        <f ca="1"/>
        <v>#NAME?</v>
      </c>
      <c r="B3068" s="2" t="s">
        <v>12</v>
      </c>
      <c r="C3068" s="2" t="s">
        <v>12</v>
      </c>
      <c r="D3068" s="2" t="s">
        <v>12</v>
      </c>
      <c r="E3068" s="2" t="s">
        <v>12</v>
      </c>
      <c r="F3068" s="2" t="s">
        <v>12</v>
      </c>
      <c r="G3068" s="2" t="s">
        <v>12</v>
      </c>
      <c r="H3068" s="2" t="s">
        <v>12</v>
      </c>
      <c r="I3068" s="2" t="s">
        <v>12</v>
      </c>
      <c r="J3068" s="2" t="s">
        <v>12</v>
      </c>
      <c r="K3068" s="2" t="s">
        <v>12</v>
      </c>
    </row>
    <row r="3069" spans="1:11" ht="12.5" x14ac:dyDescent="0.25">
      <c r="A3069" s="3" t="e">
        <f ca="1"/>
        <v>#NAME?</v>
      </c>
      <c r="B3069" s="2" t="s">
        <v>12</v>
      </c>
      <c r="C3069" s="2" t="s">
        <v>12</v>
      </c>
      <c r="D3069" s="2" t="s">
        <v>12</v>
      </c>
      <c r="E3069" s="2" t="s">
        <v>12</v>
      </c>
      <c r="F3069" s="2" t="s">
        <v>12</v>
      </c>
      <c r="G3069" s="2" t="s">
        <v>12</v>
      </c>
      <c r="H3069" s="2" t="s">
        <v>12</v>
      </c>
      <c r="I3069" s="2" t="s">
        <v>12</v>
      </c>
      <c r="J3069" s="2" t="s">
        <v>12</v>
      </c>
      <c r="K3069" s="2" t="s">
        <v>12</v>
      </c>
    </row>
    <row r="3070" spans="1:11" ht="12.5" x14ac:dyDescent="0.25">
      <c r="A3070" s="3" t="e">
        <f ca="1"/>
        <v>#NAME?</v>
      </c>
      <c r="B3070" s="2" t="s">
        <v>12</v>
      </c>
      <c r="C3070" s="2" t="s">
        <v>12</v>
      </c>
      <c r="D3070" s="2" t="s">
        <v>12</v>
      </c>
      <c r="E3070" s="2" t="s">
        <v>12</v>
      </c>
      <c r="F3070" s="2" t="s">
        <v>12</v>
      </c>
      <c r="G3070" s="2" t="s">
        <v>12</v>
      </c>
      <c r="H3070" s="2" t="s">
        <v>12</v>
      </c>
      <c r="I3070" s="2" t="s">
        <v>12</v>
      </c>
      <c r="J3070" s="2" t="s">
        <v>12</v>
      </c>
      <c r="K3070" s="2" t="s">
        <v>12</v>
      </c>
    </row>
    <row r="3071" spans="1:11" ht="12.5" x14ac:dyDescent="0.25">
      <c r="A3071" s="3" t="e">
        <f ca="1"/>
        <v>#NAME?</v>
      </c>
      <c r="B3071" s="2" t="s">
        <v>12</v>
      </c>
      <c r="C3071" s="2" t="s">
        <v>12</v>
      </c>
      <c r="D3071" s="2" t="s">
        <v>12</v>
      </c>
      <c r="E3071" s="2" t="s">
        <v>12</v>
      </c>
      <c r="F3071" s="2" t="s">
        <v>12</v>
      </c>
      <c r="G3071" s="2" t="s">
        <v>12</v>
      </c>
      <c r="H3071" s="2" t="s">
        <v>12</v>
      </c>
      <c r="I3071" s="2" t="s">
        <v>12</v>
      </c>
      <c r="J3071" s="2" t="s">
        <v>12</v>
      </c>
      <c r="K3071" s="2" t="s">
        <v>12</v>
      </c>
    </row>
    <row r="3072" spans="1:11" ht="12.5" x14ac:dyDescent="0.25">
      <c r="A3072" s="3" t="e">
        <f ca="1"/>
        <v>#NAME?</v>
      </c>
      <c r="B3072" s="2" t="s">
        <v>12</v>
      </c>
      <c r="C3072" s="2" t="s">
        <v>12</v>
      </c>
      <c r="D3072" s="2" t="s">
        <v>12</v>
      </c>
      <c r="E3072" s="2" t="s">
        <v>12</v>
      </c>
      <c r="F3072" s="2" t="s">
        <v>12</v>
      </c>
      <c r="G3072" s="2" t="s">
        <v>12</v>
      </c>
      <c r="H3072" s="2" t="s">
        <v>12</v>
      </c>
      <c r="I3072" s="2" t="s">
        <v>12</v>
      </c>
      <c r="J3072" s="2" t="s">
        <v>12</v>
      </c>
      <c r="K3072" s="2" t="s">
        <v>12</v>
      </c>
    </row>
    <row r="3073" spans="1:11" ht="12.5" x14ac:dyDescent="0.25">
      <c r="A3073" s="3" t="e">
        <f ca="1"/>
        <v>#NAME?</v>
      </c>
      <c r="B3073" s="2" t="s">
        <v>12</v>
      </c>
      <c r="C3073" s="2" t="s">
        <v>12</v>
      </c>
      <c r="D3073" s="2" t="s">
        <v>12</v>
      </c>
      <c r="E3073" s="2" t="s">
        <v>12</v>
      </c>
      <c r="F3073" s="2" t="s">
        <v>12</v>
      </c>
      <c r="G3073" s="2" t="s">
        <v>12</v>
      </c>
      <c r="H3073" s="2" t="s">
        <v>12</v>
      </c>
      <c r="I3073" s="2" t="s">
        <v>12</v>
      </c>
      <c r="J3073" s="2" t="s">
        <v>12</v>
      </c>
      <c r="K3073" s="2" t="s">
        <v>12</v>
      </c>
    </row>
    <row r="3074" spans="1:11" ht="12.5" x14ac:dyDescent="0.25">
      <c r="A3074" s="3" t="e">
        <f ca="1"/>
        <v>#NAME?</v>
      </c>
      <c r="B3074" s="2" t="s">
        <v>12</v>
      </c>
      <c r="C3074" s="2" t="s">
        <v>12</v>
      </c>
      <c r="D3074" s="2" t="s">
        <v>12</v>
      </c>
      <c r="E3074" s="2" t="s">
        <v>12</v>
      </c>
      <c r="F3074" s="2" t="s">
        <v>12</v>
      </c>
      <c r="G3074" s="2" t="s">
        <v>12</v>
      </c>
      <c r="H3074" s="2" t="s">
        <v>12</v>
      </c>
      <c r="I3074" s="2" t="s">
        <v>12</v>
      </c>
      <c r="J3074" s="2" t="s">
        <v>12</v>
      </c>
      <c r="K3074" s="2" t="s">
        <v>12</v>
      </c>
    </row>
    <row r="3075" spans="1:11" ht="12.5" x14ac:dyDescent="0.25">
      <c r="A3075" s="3" t="e">
        <f ca="1"/>
        <v>#NAME?</v>
      </c>
      <c r="B3075" s="2" t="s">
        <v>12</v>
      </c>
      <c r="C3075" s="2" t="s">
        <v>12</v>
      </c>
      <c r="D3075" s="2" t="s">
        <v>12</v>
      </c>
      <c r="E3075" s="2" t="s">
        <v>12</v>
      </c>
      <c r="F3075" s="2" t="s">
        <v>12</v>
      </c>
      <c r="G3075" s="2" t="s">
        <v>12</v>
      </c>
      <c r="H3075" s="2" t="s">
        <v>12</v>
      </c>
      <c r="I3075" s="2" t="s">
        <v>12</v>
      </c>
      <c r="J3075" s="2" t="s">
        <v>12</v>
      </c>
      <c r="K3075" s="2" t="s">
        <v>12</v>
      </c>
    </row>
    <row r="3076" spans="1:11" ht="12.5" x14ac:dyDescent="0.25">
      <c r="A3076" s="3" t="e">
        <f ca="1"/>
        <v>#NAME?</v>
      </c>
      <c r="B3076" s="2" t="s">
        <v>12</v>
      </c>
      <c r="C3076" s="2" t="s">
        <v>12</v>
      </c>
      <c r="D3076" s="2" t="s">
        <v>12</v>
      </c>
      <c r="E3076" s="2" t="s">
        <v>12</v>
      </c>
      <c r="F3076" s="2" t="s">
        <v>12</v>
      </c>
      <c r="G3076" s="2" t="s">
        <v>12</v>
      </c>
      <c r="H3076" s="2" t="s">
        <v>12</v>
      </c>
      <c r="I3076" s="2" t="s">
        <v>12</v>
      </c>
      <c r="J3076" s="2" t="s">
        <v>12</v>
      </c>
      <c r="K3076" s="2" t="s">
        <v>12</v>
      </c>
    </row>
    <row r="3077" spans="1:11" ht="12.5" x14ac:dyDescent="0.25">
      <c r="A3077" s="3" t="e">
        <f ca="1"/>
        <v>#NAME?</v>
      </c>
      <c r="B3077" s="2" t="s">
        <v>12</v>
      </c>
      <c r="C3077" s="2" t="s">
        <v>12</v>
      </c>
      <c r="D3077" s="2" t="s">
        <v>12</v>
      </c>
      <c r="E3077" s="2" t="s">
        <v>12</v>
      </c>
      <c r="F3077" s="2" t="s">
        <v>12</v>
      </c>
      <c r="G3077" s="2" t="s">
        <v>12</v>
      </c>
      <c r="H3077" s="2" t="s">
        <v>12</v>
      </c>
      <c r="I3077" s="2" t="s">
        <v>12</v>
      </c>
      <c r="J3077" s="2" t="s">
        <v>12</v>
      </c>
      <c r="K3077" s="2" t="s">
        <v>12</v>
      </c>
    </row>
    <row r="3078" spans="1:11" ht="12.5" x14ac:dyDescent="0.25">
      <c r="A3078" s="3" t="e">
        <f ca="1"/>
        <v>#NAME?</v>
      </c>
      <c r="B3078" s="2" t="s">
        <v>12</v>
      </c>
      <c r="C3078" s="2" t="s">
        <v>12</v>
      </c>
      <c r="D3078" s="2" t="s">
        <v>12</v>
      </c>
      <c r="E3078" s="2" t="s">
        <v>12</v>
      </c>
      <c r="F3078" s="2" t="s">
        <v>12</v>
      </c>
      <c r="G3078" s="2" t="s">
        <v>12</v>
      </c>
      <c r="H3078" s="2" t="s">
        <v>12</v>
      </c>
      <c r="I3078" s="2" t="s">
        <v>12</v>
      </c>
      <c r="J3078" s="2" t="s">
        <v>12</v>
      </c>
      <c r="K3078" s="2" t="s">
        <v>12</v>
      </c>
    </row>
    <row r="3079" spans="1:11" ht="12.5" x14ac:dyDescent="0.25">
      <c r="A3079" s="3" t="e">
        <f ca="1"/>
        <v>#NAME?</v>
      </c>
      <c r="B3079" s="2" t="s">
        <v>12</v>
      </c>
      <c r="C3079" s="2" t="s">
        <v>12</v>
      </c>
      <c r="D3079" s="2" t="s">
        <v>12</v>
      </c>
      <c r="E3079" s="2" t="s">
        <v>12</v>
      </c>
      <c r="F3079" s="2" t="s">
        <v>12</v>
      </c>
      <c r="G3079" s="2" t="s">
        <v>12</v>
      </c>
      <c r="H3079" s="2" t="s">
        <v>12</v>
      </c>
      <c r="I3079" s="2" t="s">
        <v>12</v>
      </c>
      <c r="J3079" s="2" t="s">
        <v>12</v>
      </c>
      <c r="K3079" s="2" t="s">
        <v>12</v>
      </c>
    </row>
    <row r="3080" spans="1:11" ht="12.5" x14ac:dyDescent="0.25">
      <c r="A3080" s="3" t="e">
        <f ca="1"/>
        <v>#NAME?</v>
      </c>
      <c r="B3080" s="2" t="s">
        <v>12</v>
      </c>
      <c r="C3080" s="2" t="s">
        <v>12</v>
      </c>
      <c r="D3080" s="2" t="s">
        <v>12</v>
      </c>
      <c r="E3080" s="2" t="s">
        <v>12</v>
      </c>
      <c r="F3080" s="2" t="s">
        <v>12</v>
      </c>
      <c r="G3080" s="2" t="s">
        <v>12</v>
      </c>
      <c r="H3080" s="2" t="s">
        <v>12</v>
      </c>
      <c r="I3080" s="2" t="s">
        <v>12</v>
      </c>
      <c r="J3080" s="2" t="s">
        <v>12</v>
      </c>
      <c r="K3080" s="2" t="s">
        <v>12</v>
      </c>
    </row>
    <row r="3081" spans="1:11" ht="12.5" x14ac:dyDescent="0.25">
      <c r="A3081" s="3" t="e">
        <f ca="1"/>
        <v>#NAME?</v>
      </c>
      <c r="B3081" s="2" t="s">
        <v>12</v>
      </c>
      <c r="C3081" s="2" t="s">
        <v>12</v>
      </c>
      <c r="D3081" s="2" t="s">
        <v>12</v>
      </c>
      <c r="E3081" s="2" t="s">
        <v>12</v>
      </c>
      <c r="F3081" s="2" t="s">
        <v>12</v>
      </c>
      <c r="G3081" s="2" t="s">
        <v>12</v>
      </c>
      <c r="H3081" s="2" t="s">
        <v>12</v>
      </c>
      <c r="I3081" s="2" t="s">
        <v>12</v>
      </c>
      <c r="J3081" s="2" t="s">
        <v>12</v>
      </c>
      <c r="K3081" s="2" t="s">
        <v>12</v>
      </c>
    </row>
    <row r="3082" spans="1:11" ht="12.5" x14ac:dyDescent="0.25">
      <c r="A3082" s="3" t="e">
        <f ca="1"/>
        <v>#NAME?</v>
      </c>
      <c r="B3082" s="2" t="s">
        <v>12</v>
      </c>
      <c r="C3082" s="2" t="s">
        <v>12</v>
      </c>
      <c r="D3082" s="2" t="s">
        <v>12</v>
      </c>
      <c r="E3082" s="2" t="s">
        <v>12</v>
      </c>
      <c r="F3082" s="2" t="s">
        <v>12</v>
      </c>
      <c r="G3082" s="2" t="s">
        <v>12</v>
      </c>
      <c r="H3082" s="2" t="s">
        <v>12</v>
      </c>
      <c r="I3082" s="2" t="s">
        <v>12</v>
      </c>
      <c r="J3082" s="2" t="s">
        <v>12</v>
      </c>
      <c r="K3082" s="2" t="s">
        <v>12</v>
      </c>
    </row>
    <row r="3083" spans="1:11" ht="12.5" x14ac:dyDescent="0.25">
      <c r="A3083" s="3" t="e">
        <f ca="1"/>
        <v>#NAME?</v>
      </c>
      <c r="B3083" s="2" t="s">
        <v>12</v>
      </c>
      <c r="C3083" s="2" t="s">
        <v>12</v>
      </c>
      <c r="D3083" s="2" t="s">
        <v>12</v>
      </c>
      <c r="E3083" s="2" t="s">
        <v>12</v>
      </c>
      <c r="F3083" s="2" t="s">
        <v>12</v>
      </c>
      <c r="G3083" s="2" t="s">
        <v>12</v>
      </c>
      <c r="H3083" s="2" t="s">
        <v>12</v>
      </c>
      <c r="I3083" s="2" t="s">
        <v>12</v>
      </c>
      <c r="J3083" s="2" t="s">
        <v>12</v>
      </c>
      <c r="K3083" s="2" t="s">
        <v>12</v>
      </c>
    </row>
    <row r="3084" spans="1:11" ht="12.5" x14ac:dyDescent="0.25">
      <c r="A3084" s="3" t="e">
        <f ca="1"/>
        <v>#NAME?</v>
      </c>
      <c r="B3084" s="2" t="s">
        <v>12</v>
      </c>
      <c r="C3084" s="2" t="s">
        <v>12</v>
      </c>
      <c r="D3084" s="2" t="s">
        <v>12</v>
      </c>
      <c r="E3084" s="2" t="s">
        <v>12</v>
      </c>
      <c r="F3084" s="2" t="s">
        <v>12</v>
      </c>
      <c r="G3084" s="2" t="s">
        <v>12</v>
      </c>
      <c r="H3084" s="2" t="s">
        <v>12</v>
      </c>
      <c r="I3084" s="2" t="s">
        <v>12</v>
      </c>
      <c r="J3084" s="2" t="s">
        <v>12</v>
      </c>
      <c r="K3084" s="2" t="s">
        <v>12</v>
      </c>
    </row>
    <row r="3085" spans="1:11" ht="12.5" x14ac:dyDescent="0.25">
      <c r="A3085" s="3" t="e">
        <f ca="1"/>
        <v>#NAME?</v>
      </c>
      <c r="B3085" s="2" t="s">
        <v>12</v>
      </c>
      <c r="C3085" s="2" t="s">
        <v>12</v>
      </c>
      <c r="D3085" s="2" t="s">
        <v>12</v>
      </c>
      <c r="E3085" s="2" t="s">
        <v>12</v>
      </c>
      <c r="F3085" s="2" t="s">
        <v>12</v>
      </c>
      <c r="G3085" s="2" t="s">
        <v>12</v>
      </c>
      <c r="H3085" s="2" t="s">
        <v>12</v>
      </c>
      <c r="I3085" s="2" t="s">
        <v>12</v>
      </c>
      <c r="J3085" s="2" t="s">
        <v>12</v>
      </c>
      <c r="K3085" s="2" t="s">
        <v>12</v>
      </c>
    </row>
    <row r="3086" spans="1:11" ht="12.5" x14ac:dyDescent="0.25">
      <c r="A3086" s="3" t="e">
        <f ca="1"/>
        <v>#NAME?</v>
      </c>
      <c r="B3086" s="2" t="s">
        <v>12</v>
      </c>
      <c r="C3086" s="2" t="s">
        <v>12</v>
      </c>
      <c r="D3086" s="2" t="s">
        <v>12</v>
      </c>
      <c r="E3086" s="2" t="s">
        <v>12</v>
      </c>
      <c r="F3086" s="2" t="s">
        <v>12</v>
      </c>
      <c r="G3086" s="2" t="s">
        <v>12</v>
      </c>
      <c r="H3086" s="2" t="s">
        <v>12</v>
      </c>
      <c r="I3086" s="2" t="s">
        <v>12</v>
      </c>
      <c r="J3086" s="2" t="s">
        <v>12</v>
      </c>
      <c r="K3086" s="2" t="s">
        <v>12</v>
      </c>
    </row>
    <row r="3087" spans="1:11" ht="12.5" x14ac:dyDescent="0.25">
      <c r="A3087" s="3" t="e">
        <f ca="1"/>
        <v>#NAME?</v>
      </c>
      <c r="B3087" s="2" t="s">
        <v>12</v>
      </c>
      <c r="C3087" s="2" t="s">
        <v>12</v>
      </c>
      <c r="D3087" s="2" t="s">
        <v>12</v>
      </c>
      <c r="E3087" s="2" t="s">
        <v>12</v>
      </c>
      <c r="F3087" s="2" t="s">
        <v>12</v>
      </c>
      <c r="G3087" s="2" t="s">
        <v>12</v>
      </c>
      <c r="H3087" s="2" t="s">
        <v>12</v>
      </c>
      <c r="I3087" s="2" t="s">
        <v>12</v>
      </c>
      <c r="J3087" s="2" t="s">
        <v>12</v>
      </c>
      <c r="K3087" s="2" t="s">
        <v>12</v>
      </c>
    </row>
    <row r="3088" spans="1:11" ht="12.5" x14ac:dyDescent="0.25">
      <c r="A3088" s="3" t="e">
        <f ca="1"/>
        <v>#NAME?</v>
      </c>
      <c r="B3088" s="2" t="s">
        <v>12</v>
      </c>
      <c r="C3088" s="2" t="s">
        <v>12</v>
      </c>
      <c r="D3088" s="2" t="s">
        <v>12</v>
      </c>
      <c r="E3088" s="2" t="s">
        <v>12</v>
      </c>
      <c r="F3088" s="2" t="s">
        <v>12</v>
      </c>
      <c r="G3088" s="2" t="s">
        <v>12</v>
      </c>
      <c r="H3088" s="2" t="s">
        <v>12</v>
      </c>
      <c r="I3088" s="2" t="s">
        <v>12</v>
      </c>
      <c r="J3088" s="2" t="s">
        <v>12</v>
      </c>
      <c r="K3088" s="2" t="s">
        <v>12</v>
      </c>
    </row>
    <row r="3089" spans="1:11" ht="12.5" x14ac:dyDescent="0.25">
      <c r="A3089" s="3" t="e">
        <f ca="1"/>
        <v>#NAME?</v>
      </c>
      <c r="B3089" s="2" t="s">
        <v>12</v>
      </c>
      <c r="C3089" s="2" t="s">
        <v>12</v>
      </c>
      <c r="D3089" s="2" t="s">
        <v>12</v>
      </c>
      <c r="E3089" s="2" t="s">
        <v>12</v>
      </c>
      <c r="F3089" s="2" t="s">
        <v>12</v>
      </c>
      <c r="G3089" s="2" t="s">
        <v>12</v>
      </c>
      <c r="H3089" s="2" t="s">
        <v>12</v>
      </c>
      <c r="I3089" s="2" t="s">
        <v>12</v>
      </c>
      <c r="J3089" s="2" t="s">
        <v>12</v>
      </c>
      <c r="K3089" s="2" t="s">
        <v>12</v>
      </c>
    </row>
    <row r="3090" spans="1:11" ht="12.5" x14ac:dyDescent="0.25">
      <c r="A3090" s="3" t="e">
        <f ca="1"/>
        <v>#NAME?</v>
      </c>
      <c r="B3090" s="2" t="s">
        <v>12</v>
      </c>
      <c r="C3090" s="2" t="s">
        <v>12</v>
      </c>
      <c r="D3090" s="2" t="s">
        <v>12</v>
      </c>
      <c r="E3090" s="2" t="s">
        <v>12</v>
      </c>
      <c r="F3090" s="2" t="s">
        <v>12</v>
      </c>
      <c r="G3090" s="2" t="s">
        <v>12</v>
      </c>
      <c r="H3090" s="2" t="s">
        <v>12</v>
      </c>
      <c r="I3090" s="2" t="s">
        <v>12</v>
      </c>
      <c r="J3090" s="2" t="s">
        <v>12</v>
      </c>
      <c r="K3090" s="2" t="s">
        <v>12</v>
      </c>
    </row>
    <row r="3091" spans="1:11" ht="12.5" x14ac:dyDescent="0.25">
      <c r="A3091" s="3" t="e">
        <f ca="1"/>
        <v>#NAME?</v>
      </c>
      <c r="B3091" s="2" t="s">
        <v>12</v>
      </c>
      <c r="C3091" s="2" t="s">
        <v>12</v>
      </c>
      <c r="D3091" s="2" t="s">
        <v>12</v>
      </c>
      <c r="E3091" s="2" t="s">
        <v>12</v>
      </c>
      <c r="F3091" s="2" t="s">
        <v>12</v>
      </c>
      <c r="G3091" s="2" t="s">
        <v>12</v>
      </c>
      <c r="H3091" s="2" t="s">
        <v>12</v>
      </c>
      <c r="I3091" s="2" t="s">
        <v>12</v>
      </c>
      <c r="J3091" s="2" t="s">
        <v>12</v>
      </c>
      <c r="K3091" s="2" t="s">
        <v>12</v>
      </c>
    </row>
    <row r="3092" spans="1:11" ht="12.5" x14ac:dyDescent="0.25">
      <c r="A3092" s="3" t="e">
        <f ca="1"/>
        <v>#NAME?</v>
      </c>
      <c r="B3092" s="2" t="s">
        <v>12</v>
      </c>
      <c r="C3092" s="2" t="s">
        <v>12</v>
      </c>
      <c r="D3092" s="2" t="s">
        <v>12</v>
      </c>
      <c r="E3092" s="2" t="s">
        <v>12</v>
      </c>
      <c r="F3092" s="2" t="s">
        <v>12</v>
      </c>
      <c r="G3092" s="2" t="s">
        <v>12</v>
      </c>
      <c r="H3092" s="2" t="s">
        <v>12</v>
      </c>
      <c r="I3092" s="2" t="s">
        <v>12</v>
      </c>
      <c r="J3092" s="2" t="s">
        <v>12</v>
      </c>
      <c r="K3092" s="2" t="s">
        <v>12</v>
      </c>
    </row>
    <row r="3093" spans="1:11" ht="12.5" x14ac:dyDescent="0.25">
      <c r="A3093" s="3" t="e">
        <f ca="1"/>
        <v>#NAME?</v>
      </c>
      <c r="B3093" s="2" t="s">
        <v>12</v>
      </c>
      <c r="C3093" s="2" t="s">
        <v>12</v>
      </c>
      <c r="D3093" s="2" t="s">
        <v>12</v>
      </c>
      <c r="E3093" s="2" t="s">
        <v>12</v>
      </c>
      <c r="F3093" s="2" t="s">
        <v>12</v>
      </c>
      <c r="G3093" s="2" t="s">
        <v>12</v>
      </c>
      <c r="H3093" s="2" t="s">
        <v>12</v>
      </c>
      <c r="I3093" s="2" t="s">
        <v>12</v>
      </c>
      <c r="J3093" s="2" t="s">
        <v>12</v>
      </c>
      <c r="K3093" s="2" t="s">
        <v>12</v>
      </c>
    </row>
    <row r="3094" spans="1:11" ht="12.5" x14ac:dyDescent="0.25">
      <c r="A3094" s="3" t="e">
        <f ca="1"/>
        <v>#NAME?</v>
      </c>
      <c r="B3094" s="2" t="s">
        <v>12</v>
      </c>
      <c r="C3094" s="2" t="s">
        <v>12</v>
      </c>
      <c r="D3094" s="2" t="s">
        <v>12</v>
      </c>
      <c r="E3094" s="2" t="s">
        <v>12</v>
      </c>
      <c r="F3094" s="2" t="s">
        <v>12</v>
      </c>
      <c r="G3094" s="2" t="s">
        <v>12</v>
      </c>
      <c r="H3094" s="2" t="s">
        <v>12</v>
      </c>
      <c r="I3094" s="2" t="s">
        <v>12</v>
      </c>
      <c r="J3094" s="2" t="s">
        <v>12</v>
      </c>
      <c r="K3094" s="2" t="s">
        <v>12</v>
      </c>
    </row>
    <row r="3095" spans="1:11" ht="12.5" x14ac:dyDescent="0.25">
      <c r="A3095" s="3" t="e">
        <f ca="1"/>
        <v>#NAME?</v>
      </c>
      <c r="B3095" s="2" t="s">
        <v>12</v>
      </c>
      <c r="C3095" s="2" t="s">
        <v>12</v>
      </c>
      <c r="D3095" s="2" t="s">
        <v>12</v>
      </c>
      <c r="E3095" s="2" t="s">
        <v>12</v>
      </c>
      <c r="F3095" s="2" t="s">
        <v>12</v>
      </c>
      <c r="G3095" s="2" t="s">
        <v>12</v>
      </c>
      <c r="H3095" s="2" t="s">
        <v>12</v>
      </c>
      <c r="I3095" s="2" t="s">
        <v>12</v>
      </c>
      <c r="J3095" s="2" t="s">
        <v>12</v>
      </c>
      <c r="K3095" s="2" t="s">
        <v>12</v>
      </c>
    </row>
    <row r="3096" spans="1:11" ht="12.5" x14ac:dyDescent="0.25">
      <c r="A3096" s="3" t="e">
        <f ca="1"/>
        <v>#NAME?</v>
      </c>
      <c r="B3096" s="2" t="s">
        <v>12</v>
      </c>
      <c r="C3096" s="2" t="s">
        <v>12</v>
      </c>
      <c r="D3096" s="2" t="s">
        <v>12</v>
      </c>
      <c r="E3096" s="2" t="s">
        <v>12</v>
      </c>
      <c r="F3096" s="2" t="s">
        <v>12</v>
      </c>
      <c r="G3096" s="2" t="s">
        <v>12</v>
      </c>
      <c r="H3096" s="2" t="s">
        <v>12</v>
      </c>
      <c r="I3096" s="2" t="s">
        <v>12</v>
      </c>
      <c r="J3096" s="2" t="s">
        <v>12</v>
      </c>
      <c r="K3096" s="2" t="s">
        <v>12</v>
      </c>
    </row>
    <row r="3097" spans="1:11" ht="12.5" x14ac:dyDescent="0.25">
      <c r="A3097" s="3" t="e">
        <f ca="1"/>
        <v>#NAME?</v>
      </c>
      <c r="B3097" s="2" t="s">
        <v>12</v>
      </c>
      <c r="C3097" s="2" t="s">
        <v>12</v>
      </c>
      <c r="D3097" s="2" t="s">
        <v>12</v>
      </c>
      <c r="E3097" s="2" t="s">
        <v>12</v>
      </c>
      <c r="F3097" s="2" t="s">
        <v>12</v>
      </c>
      <c r="G3097" s="2" t="s">
        <v>12</v>
      </c>
      <c r="H3097" s="2" t="s">
        <v>12</v>
      </c>
      <c r="I3097" s="2" t="s">
        <v>12</v>
      </c>
      <c r="J3097" s="2" t="s">
        <v>12</v>
      </c>
      <c r="K3097" s="2" t="s">
        <v>12</v>
      </c>
    </row>
    <row r="3098" spans="1:11" ht="12.5" x14ac:dyDescent="0.25">
      <c r="A3098" s="3" t="e">
        <f ca="1"/>
        <v>#NAME?</v>
      </c>
      <c r="B3098" s="2" t="s">
        <v>12</v>
      </c>
      <c r="C3098" s="2" t="s">
        <v>12</v>
      </c>
      <c r="D3098" s="2" t="s">
        <v>12</v>
      </c>
      <c r="E3098" s="2" t="s">
        <v>12</v>
      </c>
      <c r="F3098" s="2" t="s">
        <v>12</v>
      </c>
      <c r="G3098" s="2" t="s">
        <v>12</v>
      </c>
      <c r="H3098" s="2" t="s">
        <v>12</v>
      </c>
      <c r="I3098" s="2" t="s">
        <v>12</v>
      </c>
      <c r="J3098" s="2" t="s">
        <v>12</v>
      </c>
      <c r="K3098" s="2" t="s">
        <v>12</v>
      </c>
    </row>
    <row r="3099" spans="1:11" ht="12.5" x14ac:dyDescent="0.25">
      <c r="A3099" s="3" t="e">
        <f ca="1"/>
        <v>#NAME?</v>
      </c>
      <c r="B3099" s="2" t="s">
        <v>12</v>
      </c>
      <c r="C3099" s="2" t="s">
        <v>12</v>
      </c>
      <c r="D3099" s="2" t="s">
        <v>12</v>
      </c>
      <c r="E3099" s="2" t="s">
        <v>12</v>
      </c>
      <c r="F3099" s="2" t="s">
        <v>12</v>
      </c>
      <c r="G3099" s="2" t="s">
        <v>12</v>
      </c>
      <c r="H3099" s="2" t="s">
        <v>12</v>
      </c>
      <c r="I3099" s="2" t="s">
        <v>12</v>
      </c>
      <c r="J3099" s="2" t="s">
        <v>12</v>
      </c>
      <c r="K3099" s="2" t="s">
        <v>12</v>
      </c>
    </row>
    <row r="3100" spans="1:11" ht="12.5" x14ac:dyDescent="0.25">
      <c r="A3100" s="3" t="e">
        <f ca="1"/>
        <v>#NAME?</v>
      </c>
      <c r="B3100" s="2" t="s">
        <v>12</v>
      </c>
      <c r="C3100" s="2" t="s">
        <v>12</v>
      </c>
      <c r="D3100" s="2" t="s">
        <v>12</v>
      </c>
      <c r="E3100" s="2" t="s">
        <v>12</v>
      </c>
      <c r="F3100" s="2" t="s">
        <v>12</v>
      </c>
      <c r="G3100" s="2" t="s">
        <v>12</v>
      </c>
      <c r="H3100" s="2" t="s">
        <v>12</v>
      </c>
      <c r="I3100" s="2" t="s">
        <v>12</v>
      </c>
      <c r="J3100" s="2" t="s">
        <v>12</v>
      </c>
      <c r="K3100" s="2" t="s">
        <v>12</v>
      </c>
    </row>
    <row r="3101" spans="1:11" ht="12.5" x14ac:dyDescent="0.25">
      <c r="A3101" s="3" t="e">
        <f ca="1"/>
        <v>#NAME?</v>
      </c>
      <c r="B3101" s="2" t="s">
        <v>12</v>
      </c>
      <c r="C3101" s="2" t="s">
        <v>12</v>
      </c>
      <c r="D3101" s="2" t="s">
        <v>12</v>
      </c>
      <c r="E3101" s="2" t="s">
        <v>12</v>
      </c>
      <c r="F3101" s="2" t="s">
        <v>12</v>
      </c>
      <c r="G3101" s="2" t="s">
        <v>12</v>
      </c>
      <c r="H3101" s="2" t="s">
        <v>12</v>
      </c>
      <c r="I3101" s="2" t="s">
        <v>12</v>
      </c>
      <c r="J3101" s="2" t="s">
        <v>12</v>
      </c>
      <c r="K3101" s="2" t="s">
        <v>12</v>
      </c>
    </row>
    <row r="3102" spans="1:11" ht="12.5" x14ac:dyDescent="0.25">
      <c r="A3102" s="3" t="e">
        <f ca="1"/>
        <v>#NAME?</v>
      </c>
      <c r="B3102" s="2" t="s">
        <v>12</v>
      </c>
      <c r="C3102" s="2" t="s">
        <v>12</v>
      </c>
      <c r="D3102" s="2" t="s">
        <v>12</v>
      </c>
      <c r="E3102" s="2" t="s">
        <v>12</v>
      </c>
      <c r="F3102" s="2" t="s">
        <v>12</v>
      </c>
      <c r="G3102" s="2" t="s">
        <v>12</v>
      </c>
      <c r="H3102" s="2" t="s">
        <v>12</v>
      </c>
      <c r="I3102" s="2" t="s">
        <v>12</v>
      </c>
      <c r="J3102" s="2" t="s">
        <v>12</v>
      </c>
      <c r="K3102" s="2" t="s">
        <v>12</v>
      </c>
    </row>
    <row r="3103" spans="1:11" ht="12.5" x14ac:dyDescent="0.25">
      <c r="A3103" s="3" t="e">
        <f ca="1"/>
        <v>#NAME?</v>
      </c>
      <c r="B3103" s="2" t="s">
        <v>12</v>
      </c>
      <c r="C3103" s="2" t="s">
        <v>12</v>
      </c>
      <c r="D3103" s="2" t="s">
        <v>12</v>
      </c>
      <c r="E3103" s="2" t="s">
        <v>12</v>
      </c>
      <c r="F3103" s="2" t="s">
        <v>12</v>
      </c>
      <c r="G3103" s="2" t="s">
        <v>12</v>
      </c>
      <c r="H3103" s="2" t="s">
        <v>12</v>
      </c>
      <c r="I3103" s="2" t="s">
        <v>12</v>
      </c>
      <c r="J3103" s="2" t="s">
        <v>12</v>
      </c>
      <c r="K3103" s="2" t="s">
        <v>12</v>
      </c>
    </row>
    <row r="3104" spans="1:11" ht="12.5" x14ac:dyDescent="0.25">
      <c r="A3104" s="3" t="e">
        <f ca="1"/>
        <v>#NAME?</v>
      </c>
      <c r="B3104" s="2" t="s">
        <v>12</v>
      </c>
      <c r="C3104" s="2" t="s">
        <v>12</v>
      </c>
      <c r="D3104" s="2" t="s">
        <v>12</v>
      </c>
      <c r="E3104" s="2" t="s">
        <v>12</v>
      </c>
      <c r="F3104" s="2" t="s">
        <v>12</v>
      </c>
      <c r="G3104" s="2" t="s">
        <v>12</v>
      </c>
      <c r="H3104" s="2" t="s">
        <v>12</v>
      </c>
      <c r="I3104" s="2" t="s">
        <v>12</v>
      </c>
      <c r="J3104" s="2" t="s">
        <v>12</v>
      </c>
      <c r="K3104" s="2" t="s">
        <v>12</v>
      </c>
    </row>
    <row r="3105" spans="1:11" ht="12.5" x14ac:dyDescent="0.25">
      <c r="A3105" s="3" t="e">
        <f ca="1"/>
        <v>#NAME?</v>
      </c>
      <c r="B3105" s="2" t="s">
        <v>12</v>
      </c>
      <c r="C3105" s="2" t="s">
        <v>12</v>
      </c>
      <c r="D3105" s="2" t="s">
        <v>12</v>
      </c>
      <c r="E3105" s="2" t="s">
        <v>12</v>
      </c>
      <c r="F3105" s="2" t="s">
        <v>12</v>
      </c>
      <c r="G3105" s="2" t="s">
        <v>12</v>
      </c>
      <c r="H3105" s="2" t="s">
        <v>12</v>
      </c>
      <c r="I3105" s="2" t="s">
        <v>12</v>
      </c>
      <c r="J3105" s="2" t="s">
        <v>12</v>
      </c>
      <c r="K3105" s="2" t="s">
        <v>12</v>
      </c>
    </row>
    <row r="3106" spans="1:11" ht="12.5" x14ac:dyDescent="0.25">
      <c r="A3106" s="3" t="e">
        <f ca="1"/>
        <v>#NAME?</v>
      </c>
      <c r="B3106" s="2" t="s">
        <v>12</v>
      </c>
      <c r="C3106" s="2" t="s">
        <v>12</v>
      </c>
      <c r="D3106" s="2" t="s">
        <v>12</v>
      </c>
      <c r="E3106" s="2" t="s">
        <v>12</v>
      </c>
      <c r="F3106" s="2" t="s">
        <v>12</v>
      </c>
      <c r="G3106" s="2" t="s">
        <v>12</v>
      </c>
      <c r="H3106" s="2" t="s">
        <v>12</v>
      </c>
      <c r="I3106" s="2" t="s">
        <v>12</v>
      </c>
      <c r="J3106" s="2" t="s">
        <v>12</v>
      </c>
      <c r="K3106" s="2" t="s">
        <v>12</v>
      </c>
    </row>
    <row r="3107" spans="1:11" ht="12.5" x14ac:dyDescent="0.25">
      <c r="A3107" s="3" t="e">
        <f ca="1"/>
        <v>#NAME?</v>
      </c>
      <c r="B3107" s="2" t="s">
        <v>12</v>
      </c>
      <c r="C3107" s="2" t="s">
        <v>12</v>
      </c>
      <c r="D3107" s="2" t="s">
        <v>12</v>
      </c>
      <c r="E3107" s="2" t="s">
        <v>12</v>
      </c>
      <c r="F3107" s="2" t="s">
        <v>12</v>
      </c>
      <c r="G3107" s="2" t="s">
        <v>12</v>
      </c>
      <c r="H3107" s="2" t="s">
        <v>12</v>
      </c>
      <c r="I3107" s="2" t="s">
        <v>12</v>
      </c>
      <c r="J3107" s="2" t="s">
        <v>12</v>
      </c>
      <c r="K3107" s="2" t="s">
        <v>12</v>
      </c>
    </row>
    <row r="3108" spans="1:11" ht="12.5" x14ac:dyDescent="0.25">
      <c r="A3108" s="3" t="e">
        <f ca="1"/>
        <v>#NAME?</v>
      </c>
      <c r="B3108" s="2" t="s">
        <v>12</v>
      </c>
      <c r="C3108" s="2" t="s">
        <v>12</v>
      </c>
      <c r="D3108" s="2" t="s">
        <v>12</v>
      </c>
      <c r="E3108" s="2" t="s">
        <v>12</v>
      </c>
      <c r="F3108" s="2" t="s">
        <v>12</v>
      </c>
      <c r="G3108" s="2" t="s">
        <v>12</v>
      </c>
      <c r="H3108" s="2" t="s">
        <v>12</v>
      </c>
      <c r="I3108" s="2" t="s">
        <v>12</v>
      </c>
      <c r="J3108" s="2" t="s">
        <v>12</v>
      </c>
      <c r="K3108" s="2" t="s">
        <v>12</v>
      </c>
    </row>
    <row r="3109" spans="1:11" ht="12.5" x14ac:dyDescent="0.25">
      <c r="A3109" s="3" t="e">
        <f ca="1"/>
        <v>#NAME?</v>
      </c>
      <c r="B3109" s="2" t="s">
        <v>12</v>
      </c>
      <c r="C3109" s="2" t="s">
        <v>12</v>
      </c>
      <c r="D3109" s="2" t="s">
        <v>12</v>
      </c>
      <c r="E3109" s="2" t="s">
        <v>12</v>
      </c>
      <c r="F3109" s="2" t="s">
        <v>12</v>
      </c>
      <c r="G3109" s="2" t="s">
        <v>12</v>
      </c>
      <c r="H3109" s="2" t="s">
        <v>12</v>
      </c>
      <c r="I3109" s="2" t="s">
        <v>12</v>
      </c>
      <c r="J3109" s="2" t="s">
        <v>12</v>
      </c>
      <c r="K3109" s="2" t="s">
        <v>12</v>
      </c>
    </row>
    <row r="3110" spans="1:11" ht="12.5" x14ac:dyDescent="0.25">
      <c r="A3110" s="3" t="e">
        <f ca="1"/>
        <v>#NAME?</v>
      </c>
      <c r="B3110" s="2" t="s">
        <v>12</v>
      </c>
      <c r="C3110" s="2" t="s">
        <v>12</v>
      </c>
      <c r="D3110" s="2" t="s">
        <v>12</v>
      </c>
      <c r="E3110" s="2" t="s">
        <v>12</v>
      </c>
      <c r="F3110" s="2" t="s">
        <v>12</v>
      </c>
      <c r="G3110" s="2" t="s">
        <v>12</v>
      </c>
      <c r="H3110" s="2" t="s">
        <v>12</v>
      </c>
      <c r="I3110" s="2" t="s">
        <v>12</v>
      </c>
      <c r="J3110" s="2" t="s">
        <v>12</v>
      </c>
      <c r="K3110" s="2" t="s">
        <v>12</v>
      </c>
    </row>
    <row r="3111" spans="1:11" ht="12.5" x14ac:dyDescent="0.25">
      <c r="A3111" s="3" t="e">
        <f ca="1"/>
        <v>#NAME?</v>
      </c>
      <c r="B3111" s="2" t="s">
        <v>12</v>
      </c>
      <c r="C3111" s="2" t="s">
        <v>12</v>
      </c>
      <c r="D3111" s="2" t="s">
        <v>12</v>
      </c>
      <c r="E3111" s="2" t="s">
        <v>12</v>
      </c>
      <c r="F3111" s="2" t="s">
        <v>12</v>
      </c>
      <c r="G3111" s="2" t="s">
        <v>12</v>
      </c>
      <c r="H3111" s="2" t="s">
        <v>12</v>
      </c>
      <c r="I3111" s="2" t="s">
        <v>12</v>
      </c>
      <c r="J3111" s="2" t="s">
        <v>12</v>
      </c>
      <c r="K3111" s="2" t="s">
        <v>12</v>
      </c>
    </row>
    <row r="3112" spans="1:11" ht="12.5" x14ac:dyDescent="0.25">
      <c r="A3112" s="3" t="e">
        <f ca="1"/>
        <v>#NAME?</v>
      </c>
      <c r="B3112" s="2" t="s">
        <v>12</v>
      </c>
      <c r="C3112" s="2" t="s">
        <v>12</v>
      </c>
      <c r="D3112" s="2" t="s">
        <v>12</v>
      </c>
      <c r="E3112" s="2" t="s">
        <v>12</v>
      </c>
      <c r="F3112" s="2" t="s">
        <v>12</v>
      </c>
      <c r="G3112" s="2" t="s">
        <v>12</v>
      </c>
      <c r="H3112" s="2" t="s">
        <v>12</v>
      </c>
      <c r="I3112" s="2" t="s">
        <v>12</v>
      </c>
      <c r="J3112" s="2" t="s">
        <v>12</v>
      </c>
      <c r="K3112" s="2" t="s">
        <v>12</v>
      </c>
    </row>
    <row r="3113" spans="1:11" ht="12.5" x14ac:dyDescent="0.25">
      <c r="A3113" s="3" t="e">
        <f ca="1"/>
        <v>#NAME?</v>
      </c>
      <c r="B3113" s="2" t="s">
        <v>12</v>
      </c>
      <c r="C3113" s="2" t="s">
        <v>12</v>
      </c>
      <c r="D3113" s="2" t="s">
        <v>12</v>
      </c>
      <c r="E3113" s="2" t="s">
        <v>12</v>
      </c>
      <c r="F3113" s="2" t="s">
        <v>12</v>
      </c>
      <c r="G3113" s="2" t="s">
        <v>12</v>
      </c>
      <c r="H3113" s="2" t="s">
        <v>12</v>
      </c>
      <c r="I3113" s="2" t="s">
        <v>12</v>
      </c>
      <c r="J3113" s="2" t="s">
        <v>12</v>
      </c>
      <c r="K3113" s="2" t="s">
        <v>12</v>
      </c>
    </row>
    <row r="3114" spans="1:11" ht="12.5" x14ac:dyDescent="0.25">
      <c r="A3114" s="3" t="e">
        <f ca="1"/>
        <v>#NAME?</v>
      </c>
      <c r="B3114" s="2" t="s">
        <v>12</v>
      </c>
      <c r="C3114" s="2" t="s">
        <v>12</v>
      </c>
      <c r="D3114" s="2" t="s">
        <v>12</v>
      </c>
      <c r="E3114" s="2" t="s">
        <v>12</v>
      </c>
      <c r="F3114" s="2" t="s">
        <v>12</v>
      </c>
      <c r="G3114" s="2" t="s">
        <v>12</v>
      </c>
      <c r="H3114" s="2" t="s">
        <v>12</v>
      </c>
      <c r="I3114" s="2" t="s">
        <v>12</v>
      </c>
      <c r="J3114" s="2" t="s">
        <v>12</v>
      </c>
      <c r="K3114" s="2" t="s">
        <v>12</v>
      </c>
    </row>
    <row r="3115" spans="1:11" ht="12.5" x14ac:dyDescent="0.25">
      <c r="A3115" s="3" t="e">
        <f ca="1"/>
        <v>#NAME?</v>
      </c>
      <c r="B3115" s="2" t="s">
        <v>12</v>
      </c>
      <c r="C3115" s="2" t="s">
        <v>12</v>
      </c>
      <c r="D3115" s="2" t="s">
        <v>12</v>
      </c>
      <c r="E3115" s="2" t="s">
        <v>12</v>
      </c>
      <c r="F3115" s="2" t="s">
        <v>12</v>
      </c>
      <c r="G3115" s="2" t="s">
        <v>12</v>
      </c>
      <c r="H3115" s="2" t="s">
        <v>12</v>
      </c>
      <c r="I3115" s="2" t="s">
        <v>12</v>
      </c>
      <c r="J3115" s="2" t="s">
        <v>12</v>
      </c>
      <c r="K3115" s="2" t="s">
        <v>12</v>
      </c>
    </row>
    <row r="3116" spans="1:11" ht="12.5" x14ac:dyDescent="0.25">
      <c r="A3116" s="3" t="e">
        <f ca="1"/>
        <v>#NAME?</v>
      </c>
      <c r="B3116" s="2" t="s">
        <v>12</v>
      </c>
      <c r="C3116" s="2" t="s">
        <v>12</v>
      </c>
      <c r="D3116" s="2" t="s">
        <v>12</v>
      </c>
      <c r="E3116" s="2" t="s">
        <v>12</v>
      </c>
      <c r="F3116" s="2" t="s">
        <v>12</v>
      </c>
      <c r="G3116" s="2" t="s">
        <v>12</v>
      </c>
      <c r="H3116" s="2" t="s">
        <v>12</v>
      </c>
      <c r="I3116" s="2" t="s">
        <v>12</v>
      </c>
      <c r="J3116" s="2" t="s">
        <v>12</v>
      </c>
      <c r="K3116" s="2" t="s">
        <v>12</v>
      </c>
    </row>
    <row r="3117" spans="1:11" ht="12.5" x14ac:dyDescent="0.25">
      <c r="A3117" s="3" t="e">
        <f ca="1"/>
        <v>#NAME?</v>
      </c>
      <c r="B3117" s="2" t="s">
        <v>12</v>
      </c>
      <c r="C3117" s="2" t="s">
        <v>12</v>
      </c>
      <c r="D3117" s="2" t="s">
        <v>12</v>
      </c>
      <c r="E3117" s="2" t="s">
        <v>12</v>
      </c>
      <c r="F3117" s="2" t="s">
        <v>12</v>
      </c>
      <c r="G3117" s="2" t="s">
        <v>12</v>
      </c>
      <c r="H3117" s="2" t="s">
        <v>12</v>
      </c>
      <c r="I3117" s="2" t="s">
        <v>12</v>
      </c>
      <c r="J3117" s="2" t="s">
        <v>12</v>
      </c>
      <c r="K3117" s="2" t="s">
        <v>12</v>
      </c>
    </row>
    <row r="3118" spans="1:11" ht="12.5" x14ac:dyDescent="0.25">
      <c r="A3118" s="3" t="e">
        <f ca="1"/>
        <v>#NAME?</v>
      </c>
      <c r="B3118" s="2" t="s">
        <v>12</v>
      </c>
      <c r="C3118" s="2" t="s">
        <v>12</v>
      </c>
      <c r="D3118" s="2" t="s">
        <v>12</v>
      </c>
      <c r="E3118" s="2" t="s">
        <v>12</v>
      </c>
      <c r="F3118" s="2" t="s">
        <v>12</v>
      </c>
      <c r="G3118" s="2" t="s">
        <v>12</v>
      </c>
      <c r="H3118" s="2" t="s">
        <v>12</v>
      </c>
      <c r="I3118" s="2" t="s">
        <v>12</v>
      </c>
      <c r="J3118" s="2" t="s">
        <v>12</v>
      </c>
      <c r="K3118" s="2" t="s">
        <v>12</v>
      </c>
    </row>
    <row r="3119" spans="1:11" ht="12.5" x14ac:dyDescent="0.25">
      <c r="A3119" s="3" t="e">
        <f ca="1"/>
        <v>#NAME?</v>
      </c>
      <c r="B3119" s="2" t="s">
        <v>12</v>
      </c>
      <c r="C3119" s="2" t="s">
        <v>12</v>
      </c>
      <c r="D3119" s="2" t="s">
        <v>12</v>
      </c>
      <c r="E3119" s="2" t="s">
        <v>12</v>
      </c>
      <c r="F3119" s="2" t="s">
        <v>12</v>
      </c>
      <c r="G3119" s="2" t="s">
        <v>12</v>
      </c>
      <c r="H3119" s="2" t="s">
        <v>12</v>
      </c>
      <c r="I3119" s="2" t="s">
        <v>12</v>
      </c>
      <c r="J3119" s="2" t="s">
        <v>12</v>
      </c>
      <c r="K3119" s="2" t="s">
        <v>12</v>
      </c>
    </row>
    <row r="3120" spans="1:11" ht="12.5" x14ac:dyDescent="0.25">
      <c r="A3120" s="3" t="e">
        <f ca="1"/>
        <v>#NAME?</v>
      </c>
      <c r="B3120" s="2" t="s">
        <v>12</v>
      </c>
      <c r="C3120" s="2" t="s">
        <v>12</v>
      </c>
      <c r="D3120" s="2" t="s">
        <v>12</v>
      </c>
      <c r="E3120" s="2" t="s">
        <v>12</v>
      </c>
      <c r="F3120" s="2" t="s">
        <v>12</v>
      </c>
      <c r="G3120" s="2" t="s">
        <v>12</v>
      </c>
      <c r="H3120" s="2" t="s">
        <v>12</v>
      </c>
      <c r="I3120" s="2" t="s">
        <v>12</v>
      </c>
      <c r="J3120" s="2" t="s">
        <v>12</v>
      </c>
      <c r="K3120" s="2" t="s">
        <v>12</v>
      </c>
    </row>
    <row r="3121" spans="1:11" ht="12.5" x14ac:dyDescent="0.25">
      <c r="A3121" s="3" t="e">
        <f ca="1"/>
        <v>#NAME?</v>
      </c>
      <c r="B3121" s="2" t="s">
        <v>12</v>
      </c>
      <c r="C3121" s="2" t="s">
        <v>12</v>
      </c>
      <c r="D3121" s="2" t="s">
        <v>12</v>
      </c>
      <c r="E3121" s="2" t="s">
        <v>12</v>
      </c>
      <c r="F3121" s="2" t="s">
        <v>12</v>
      </c>
      <c r="G3121" s="2" t="s">
        <v>12</v>
      </c>
      <c r="H3121" s="2" t="s">
        <v>12</v>
      </c>
      <c r="I3121" s="2" t="s">
        <v>12</v>
      </c>
      <c r="J3121" s="2" t="s">
        <v>12</v>
      </c>
      <c r="K3121" s="2" t="s">
        <v>12</v>
      </c>
    </row>
    <row r="3122" spans="1:11" ht="12.5" x14ac:dyDescent="0.25">
      <c r="A3122" s="3" t="e">
        <f ca="1"/>
        <v>#NAME?</v>
      </c>
      <c r="B3122" s="2" t="s">
        <v>12</v>
      </c>
      <c r="C3122" s="2" t="s">
        <v>12</v>
      </c>
      <c r="D3122" s="2" t="s">
        <v>12</v>
      </c>
      <c r="E3122" s="2" t="s">
        <v>12</v>
      </c>
      <c r="F3122" s="2" t="s">
        <v>12</v>
      </c>
      <c r="G3122" s="2" t="s">
        <v>12</v>
      </c>
      <c r="H3122" s="2" t="s">
        <v>12</v>
      </c>
      <c r="I3122" s="2" t="s">
        <v>12</v>
      </c>
      <c r="J3122" s="2" t="s">
        <v>12</v>
      </c>
      <c r="K3122" s="2" t="s">
        <v>12</v>
      </c>
    </row>
    <row r="3123" spans="1:11" ht="12.5" x14ac:dyDescent="0.25">
      <c r="A3123" s="3" t="e">
        <f ca="1"/>
        <v>#NAME?</v>
      </c>
      <c r="B3123" s="2" t="s">
        <v>12</v>
      </c>
      <c r="C3123" s="2" t="s">
        <v>12</v>
      </c>
      <c r="D3123" s="2" t="s">
        <v>12</v>
      </c>
      <c r="E3123" s="2" t="s">
        <v>12</v>
      </c>
      <c r="F3123" s="2" t="s">
        <v>12</v>
      </c>
      <c r="G3123" s="2" t="s">
        <v>12</v>
      </c>
      <c r="H3123" s="2" t="s">
        <v>12</v>
      </c>
      <c r="I3123" s="2" t="s">
        <v>12</v>
      </c>
      <c r="J3123" s="2" t="s">
        <v>12</v>
      </c>
      <c r="K3123" s="2" t="s">
        <v>12</v>
      </c>
    </row>
    <row r="3124" spans="1:11" ht="12.5" x14ac:dyDescent="0.25">
      <c r="A3124" s="3" t="e">
        <f ca="1"/>
        <v>#NAME?</v>
      </c>
      <c r="B3124" s="2" t="s">
        <v>12</v>
      </c>
      <c r="C3124" s="2" t="s">
        <v>12</v>
      </c>
      <c r="D3124" s="2" t="s">
        <v>12</v>
      </c>
      <c r="E3124" s="2" t="s">
        <v>12</v>
      </c>
      <c r="F3124" s="2" t="s">
        <v>12</v>
      </c>
      <c r="G3124" s="2" t="s">
        <v>12</v>
      </c>
      <c r="H3124" s="2" t="s">
        <v>12</v>
      </c>
      <c r="I3124" s="2" t="s">
        <v>12</v>
      </c>
      <c r="J3124" s="2" t="s">
        <v>12</v>
      </c>
      <c r="K3124" s="2" t="s">
        <v>12</v>
      </c>
    </row>
    <row r="3125" spans="1:11" ht="12.5" x14ac:dyDescent="0.25">
      <c r="A3125" s="3" t="e">
        <f ca="1"/>
        <v>#NAME?</v>
      </c>
      <c r="B3125" s="2" t="s">
        <v>12</v>
      </c>
      <c r="C3125" s="2" t="s">
        <v>12</v>
      </c>
      <c r="D3125" s="2" t="s">
        <v>12</v>
      </c>
      <c r="E3125" s="2" t="s">
        <v>12</v>
      </c>
      <c r="F3125" s="2" t="s">
        <v>12</v>
      </c>
      <c r="G3125" s="2" t="s">
        <v>12</v>
      </c>
      <c r="H3125" s="2" t="s">
        <v>12</v>
      </c>
      <c r="I3125" s="2" t="s">
        <v>12</v>
      </c>
      <c r="J3125" s="2" t="s">
        <v>12</v>
      </c>
      <c r="K3125" s="2" t="s">
        <v>12</v>
      </c>
    </row>
    <row r="3126" spans="1:11" ht="12.5" x14ac:dyDescent="0.25">
      <c r="A3126" s="3" t="e">
        <f ca="1"/>
        <v>#NAME?</v>
      </c>
      <c r="B3126" s="2" t="s">
        <v>12</v>
      </c>
      <c r="C3126" s="2" t="s">
        <v>12</v>
      </c>
      <c r="D3126" s="2" t="s">
        <v>12</v>
      </c>
      <c r="E3126" s="2" t="s">
        <v>12</v>
      </c>
      <c r="F3126" s="2" t="s">
        <v>12</v>
      </c>
      <c r="G3126" s="2" t="s">
        <v>12</v>
      </c>
      <c r="H3126" s="2" t="s">
        <v>12</v>
      </c>
      <c r="I3126" s="2" t="s">
        <v>12</v>
      </c>
      <c r="J3126" s="2" t="s">
        <v>12</v>
      </c>
      <c r="K3126" s="2" t="s">
        <v>12</v>
      </c>
    </row>
    <row r="3127" spans="1:11" ht="12.5" x14ac:dyDescent="0.25">
      <c r="A3127" s="3" t="e">
        <f ca="1"/>
        <v>#NAME?</v>
      </c>
      <c r="B3127" s="2" t="s">
        <v>12</v>
      </c>
      <c r="C3127" s="2" t="s">
        <v>12</v>
      </c>
      <c r="D3127" s="2" t="s">
        <v>12</v>
      </c>
      <c r="E3127" s="2" t="s">
        <v>12</v>
      </c>
      <c r="F3127" s="2" t="s">
        <v>12</v>
      </c>
      <c r="G3127" s="2" t="s">
        <v>12</v>
      </c>
      <c r="H3127" s="2" t="s">
        <v>12</v>
      </c>
      <c r="I3127" s="2" t="s">
        <v>12</v>
      </c>
      <c r="J3127" s="2" t="s">
        <v>12</v>
      </c>
      <c r="K3127" s="2" t="s">
        <v>12</v>
      </c>
    </row>
    <row r="3128" spans="1:11" ht="12.5" x14ac:dyDescent="0.25">
      <c r="A3128" s="3" t="e">
        <f ca="1"/>
        <v>#NAME?</v>
      </c>
      <c r="B3128" s="2" t="s">
        <v>12</v>
      </c>
      <c r="C3128" s="2" t="s">
        <v>12</v>
      </c>
      <c r="D3128" s="2" t="s">
        <v>12</v>
      </c>
      <c r="E3128" s="2" t="s">
        <v>12</v>
      </c>
      <c r="F3128" s="2" t="s">
        <v>12</v>
      </c>
      <c r="G3128" s="2" t="s">
        <v>12</v>
      </c>
      <c r="H3128" s="2" t="s">
        <v>12</v>
      </c>
      <c r="I3128" s="2" t="s">
        <v>12</v>
      </c>
      <c r="J3128" s="2" t="s">
        <v>12</v>
      </c>
      <c r="K3128" s="2" t="s">
        <v>12</v>
      </c>
    </row>
    <row r="3129" spans="1:11" ht="12.5" x14ac:dyDescent="0.25">
      <c r="A3129" s="3" t="e">
        <f ca="1"/>
        <v>#NAME?</v>
      </c>
      <c r="B3129" s="2" t="s">
        <v>12</v>
      </c>
      <c r="C3129" s="2" t="s">
        <v>12</v>
      </c>
      <c r="D3129" s="2" t="s">
        <v>12</v>
      </c>
      <c r="E3129" s="2" t="s">
        <v>12</v>
      </c>
      <c r="F3129" s="2" t="s">
        <v>12</v>
      </c>
      <c r="G3129" s="2" t="s">
        <v>12</v>
      </c>
      <c r="H3129" s="2" t="s">
        <v>12</v>
      </c>
      <c r="I3129" s="2" t="s">
        <v>12</v>
      </c>
      <c r="J3129" s="2" t="s">
        <v>12</v>
      </c>
      <c r="K3129" s="2" t="s">
        <v>12</v>
      </c>
    </row>
    <row r="3130" spans="1:11" ht="12.5" x14ac:dyDescent="0.25">
      <c r="A3130" s="3" t="e">
        <f ca="1"/>
        <v>#NAME?</v>
      </c>
      <c r="B3130" s="2" t="s">
        <v>12</v>
      </c>
      <c r="C3130" s="2" t="s">
        <v>12</v>
      </c>
      <c r="D3130" s="2" t="s">
        <v>12</v>
      </c>
      <c r="E3130" s="2" t="s">
        <v>12</v>
      </c>
      <c r="F3130" s="2" t="s">
        <v>12</v>
      </c>
      <c r="G3130" s="2" t="s">
        <v>12</v>
      </c>
      <c r="H3130" s="2" t="s">
        <v>12</v>
      </c>
      <c r="I3130" s="2" t="s">
        <v>12</v>
      </c>
      <c r="J3130" s="2" t="s">
        <v>12</v>
      </c>
      <c r="K3130" s="2" t="s">
        <v>12</v>
      </c>
    </row>
    <row r="3131" spans="1:11" ht="12.5" x14ac:dyDescent="0.25">
      <c r="A3131" s="3" t="e">
        <f ca="1"/>
        <v>#NAME?</v>
      </c>
      <c r="B3131" s="2" t="s">
        <v>12</v>
      </c>
      <c r="C3131" s="2" t="s">
        <v>12</v>
      </c>
      <c r="D3131" s="2" t="s">
        <v>12</v>
      </c>
      <c r="E3131" s="2" t="s">
        <v>12</v>
      </c>
      <c r="F3131" s="2" t="s">
        <v>12</v>
      </c>
      <c r="G3131" s="2" t="s">
        <v>12</v>
      </c>
      <c r="H3131" s="2" t="s">
        <v>12</v>
      </c>
      <c r="I3131" s="2" t="s">
        <v>12</v>
      </c>
      <c r="J3131" s="2" t="s">
        <v>12</v>
      </c>
      <c r="K3131" s="2" t="s">
        <v>12</v>
      </c>
    </row>
    <row r="3132" spans="1:11" ht="12.5" x14ac:dyDescent="0.25">
      <c r="A3132" s="3" t="e">
        <f ca="1"/>
        <v>#NAME?</v>
      </c>
      <c r="B3132" s="2" t="s">
        <v>12</v>
      </c>
      <c r="C3132" s="2" t="s">
        <v>12</v>
      </c>
      <c r="D3132" s="2" t="s">
        <v>12</v>
      </c>
      <c r="E3132" s="2" t="s">
        <v>12</v>
      </c>
      <c r="F3132" s="2" t="s">
        <v>12</v>
      </c>
      <c r="G3132" s="2" t="s">
        <v>12</v>
      </c>
      <c r="H3132" s="2" t="s">
        <v>12</v>
      </c>
      <c r="I3132" s="2" t="s">
        <v>12</v>
      </c>
      <c r="J3132" s="2" t="s">
        <v>12</v>
      </c>
      <c r="K3132" s="2" t="s">
        <v>12</v>
      </c>
    </row>
    <row r="3133" spans="1:11" ht="12.5" x14ac:dyDescent="0.25">
      <c r="A3133" s="3" t="e">
        <f ca="1"/>
        <v>#NAME?</v>
      </c>
      <c r="B3133" s="2" t="s">
        <v>12</v>
      </c>
      <c r="C3133" s="2" t="s">
        <v>12</v>
      </c>
      <c r="D3133" s="2" t="s">
        <v>12</v>
      </c>
      <c r="E3133" s="2" t="s">
        <v>12</v>
      </c>
      <c r="F3133" s="2" t="s">
        <v>12</v>
      </c>
      <c r="G3133" s="2" t="s">
        <v>12</v>
      </c>
      <c r="H3133" s="2" t="s">
        <v>12</v>
      </c>
      <c r="I3133" s="2" t="s">
        <v>12</v>
      </c>
      <c r="J3133" s="2" t="s">
        <v>12</v>
      </c>
      <c r="K3133" s="2" t="s">
        <v>12</v>
      </c>
    </row>
    <row r="3134" spans="1:11" ht="12.5" x14ac:dyDescent="0.25">
      <c r="A3134" s="3" t="e">
        <f ca="1"/>
        <v>#NAME?</v>
      </c>
      <c r="B3134" s="2" t="s">
        <v>12</v>
      </c>
      <c r="C3134" s="2" t="s">
        <v>12</v>
      </c>
      <c r="D3134" s="2" t="s">
        <v>12</v>
      </c>
      <c r="E3134" s="2" t="s">
        <v>12</v>
      </c>
      <c r="F3134" s="2" t="s">
        <v>12</v>
      </c>
      <c r="G3134" s="2" t="s">
        <v>12</v>
      </c>
      <c r="H3134" s="2" t="s">
        <v>12</v>
      </c>
      <c r="I3134" s="2" t="s">
        <v>12</v>
      </c>
      <c r="J3134" s="2" t="s">
        <v>12</v>
      </c>
      <c r="K3134" s="2" t="s">
        <v>12</v>
      </c>
    </row>
    <row r="3135" spans="1:11" ht="12.5" x14ac:dyDescent="0.25">
      <c r="A3135" s="3" t="e">
        <f ca="1"/>
        <v>#NAME?</v>
      </c>
      <c r="B3135" s="2" t="s">
        <v>12</v>
      </c>
      <c r="C3135" s="2" t="s">
        <v>12</v>
      </c>
      <c r="D3135" s="2" t="s">
        <v>12</v>
      </c>
      <c r="E3135" s="2" t="s">
        <v>12</v>
      </c>
      <c r="F3135" s="2" t="s">
        <v>12</v>
      </c>
      <c r="G3135" s="2" t="s">
        <v>12</v>
      </c>
      <c r="H3135" s="2" t="s">
        <v>12</v>
      </c>
      <c r="I3135" s="2" t="s">
        <v>12</v>
      </c>
      <c r="J3135" s="2" t="s">
        <v>12</v>
      </c>
      <c r="K3135" s="2" t="s">
        <v>12</v>
      </c>
    </row>
    <row r="3136" spans="1:11" ht="12.5" x14ac:dyDescent="0.25">
      <c r="A3136" s="3" t="e">
        <f ca="1"/>
        <v>#NAME?</v>
      </c>
      <c r="B3136" s="2" t="s">
        <v>12</v>
      </c>
      <c r="C3136" s="2" t="s">
        <v>12</v>
      </c>
      <c r="D3136" s="2" t="s">
        <v>12</v>
      </c>
      <c r="E3136" s="2" t="s">
        <v>12</v>
      </c>
      <c r="F3136" s="2" t="s">
        <v>12</v>
      </c>
      <c r="G3136" s="2" t="s">
        <v>12</v>
      </c>
      <c r="H3136" s="2" t="s">
        <v>12</v>
      </c>
      <c r="I3136" s="2" t="s">
        <v>12</v>
      </c>
      <c r="J3136" s="2" t="s">
        <v>12</v>
      </c>
      <c r="K3136" s="2" t="s">
        <v>12</v>
      </c>
    </row>
    <row r="3137" spans="1:11" ht="12.5" x14ac:dyDescent="0.25">
      <c r="A3137" s="3" t="e">
        <f ca="1"/>
        <v>#NAME?</v>
      </c>
      <c r="B3137" s="2" t="s">
        <v>12</v>
      </c>
      <c r="C3137" s="2" t="s">
        <v>12</v>
      </c>
      <c r="D3137" s="2" t="s">
        <v>12</v>
      </c>
      <c r="E3137" s="2" t="s">
        <v>12</v>
      </c>
      <c r="F3137" s="2" t="s">
        <v>12</v>
      </c>
      <c r="G3137" s="2" t="s">
        <v>12</v>
      </c>
      <c r="H3137" s="2" t="s">
        <v>12</v>
      </c>
      <c r="I3137" s="2" t="s">
        <v>12</v>
      </c>
      <c r="J3137" s="2" t="s">
        <v>12</v>
      </c>
      <c r="K3137" s="2" t="s">
        <v>12</v>
      </c>
    </row>
    <row r="3138" spans="1:11" ht="12.5" x14ac:dyDescent="0.25">
      <c r="A3138" s="3" t="e">
        <f ca="1"/>
        <v>#NAME?</v>
      </c>
      <c r="B3138" s="2" t="s">
        <v>12</v>
      </c>
      <c r="C3138" s="2" t="s">
        <v>12</v>
      </c>
      <c r="D3138" s="2" t="s">
        <v>12</v>
      </c>
      <c r="E3138" s="2" t="s">
        <v>12</v>
      </c>
      <c r="F3138" s="2" t="s">
        <v>12</v>
      </c>
      <c r="G3138" s="2" t="s">
        <v>12</v>
      </c>
      <c r="H3138" s="2" t="s">
        <v>12</v>
      </c>
      <c r="I3138" s="2" t="s">
        <v>12</v>
      </c>
      <c r="J3138" s="2" t="s">
        <v>12</v>
      </c>
      <c r="K3138" s="2" t="s">
        <v>12</v>
      </c>
    </row>
    <row r="3139" spans="1:11" ht="12.5" x14ac:dyDescent="0.25">
      <c r="A3139" s="3" t="e">
        <f ca="1"/>
        <v>#NAME?</v>
      </c>
      <c r="B3139" s="2" t="s">
        <v>12</v>
      </c>
      <c r="C3139" s="2" t="s">
        <v>12</v>
      </c>
      <c r="D3139" s="2" t="s">
        <v>12</v>
      </c>
      <c r="E3139" s="2" t="s">
        <v>12</v>
      </c>
      <c r="F3139" s="2" t="s">
        <v>12</v>
      </c>
      <c r="G3139" s="2" t="s">
        <v>12</v>
      </c>
      <c r="H3139" s="2" t="s">
        <v>12</v>
      </c>
      <c r="I3139" s="2" t="s">
        <v>12</v>
      </c>
      <c r="J3139" s="2" t="s">
        <v>12</v>
      </c>
      <c r="K3139" s="2" t="s">
        <v>12</v>
      </c>
    </row>
    <row r="3140" spans="1:11" ht="12.5" x14ac:dyDescent="0.25">
      <c r="A3140" s="3" t="e">
        <f ca="1"/>
        <v>#NAME?</v>
      </c>
      <c r="B3140" s="2" t="s">
        <v>12</v>
      </c>
      <c r="C3140" s="2" t="s">
        <v>12</v>
      </c>
      <c r="D3140" s="2" t="s">
        <v>12</v>
      </c>
      <c r="E3140" s="2" t="s">
        <v>12</v>
      </c>
      <c r="F3140" s="2" t="s">
        <v>12</v>
      </c>
      <c r="G3140" s="2" t="s">
        <v>12</v>
      </c>
      <c r="H3140" s="2" t="s">
        <v>12</v>
      </c>
      <c r="I3140" s="2" t="s">
        <v>12</v>
      </c>
      <c r="J3140" s="2" t="s">
        <v>12</v>
      </c>
      <c r="K3140" s="2" t="s">
        <v>12</v>
      </c>
    </row>
    <row r="3141" spans="1:11" ht="12.5" x14ac:dyDescent="0.25">
      <c r="A3141" s="3" t="e">
        <f ca="1"/>
        <v>#NAME?</v>
      </c>
      <c r="B3141" s="2" t="s">
        <v>12</v>
      </c>
      <c r="C3141" s="2" t="s">
        <v>12</v>
      </c>
      <c r="D3141" s="2" t="s">
        <v>12</v>
      </c>
      <c r="E3141" s="2" t="s">
        <v>12</v>
      </c>
      <c r="F3141" s="2" t="s">
        <v>12</v>
      </c>
      <c r="G3141" s="2" t="s">
        <v>12</v>
      </c>
      <c r="H3141" s="2" t="s">
        <v>12</v>
      </c>
      <c r="I3141" s="2" t="s">
        <v>12</v>
      </c>
      <c r="J3141" s="2" t="s">
        <v>12</v>
      </c>
      <c r="K3141" s="2" t="s">
        <v>12</v>
      </c>
    </row>
    <row r="3142" spans="1:11" ht="12.5" x14ac:dyDescent="0.25">
      <c r="A3142" s="3" t="e">
        <f ca="1"/>
        <v>#NAME?</v>
      </c>
      <c r="B3142" s="2" t="s">
        <v>12</v>
      </c>
      <c r="C3142" s="2" t="s">
        <v>12</v>
      </c>
      <c r="D3142" s="2" t="s">
        <v>12</v>
      </c>
      <c r="E3142" s="2" t="s">
        <v>12</v>
      </c>
      <c r="F3142" s="2" t="s">
        <v>12</v>
      </c>
      <c r="G3142" s="2" t="s">
        <v>12</v>
      </c>
      <c r="H3142" s="2" t="s">
        <v>12</v>
      </c>
      <c r="I3142" s="2" t="s">
        <v>12</v>
      </c>
      <c r="J3142" s="2" t="s">
        <v>12</v>
      </c>
      <c r="K3142" s="2" t="s">
        <v>12</v>
      </c>
    </row>
    <row r="3143" spans="1:11" ht="12.5" x14ac:dyDescent="0.25">
      <c r="A3143" s="3" t="e">
        <f ca="1"/>
        <v>#NAME?</v>
      </c>
      <c r="B3143" s="2" t="s">
        <v>12</v>
      </c>
      <c r="C3143" s="2" t="s">
        <v>12</v>
      </c>
      <c r="D3143" s="2" t="s">
        <v>12</v>
      </c>
      <c r="E3143" s="2" t="s">
        <v>12</v>
      </c>
      <c r="F3143" s="2" t="s">
        <v>12</v>
      </c>
      <c r="G3143" s="2" t="s">
        <v>12</v>
      </c>
      <c r="H3143" s="2" t="s">
        <v>12</v>
      </c>
      <c r="I3143" s="2" t="s">
        <v>12</v>
      </c>
      <c r="J3143" s="2" t="s">
        <v>12</v>
      </c>
      <c r="K3143" s="2" t="s">
        <v>12</v>
      </c>
    </row>
    <row r="3144" spans="1:11" ht="12.5" x14ac:dyDescent="0.25">
      <c r="A3144" s="3" t="e">
        <f ca="1"/>
        <v>#NAME?</v>
      </c>
      <c r="B3144" s="2" t="s">
        <v>12</v>
      </c>
      <c r="C3144" s="2" t="s">
        <v>12</v>
      </c>
      <c r="D3144" s="2" t="s">
        <v>12</v>
      </c>
      <c r="E3144" s="2" t="s">
        <v>12</v>
      </c>
      <c r="F3144" s="2" t="s">
        <v>12</v>
      </c>
      <c r="G3144" s="2" t="s">
        <v>12</v>
      </c>
      <c r="H3144" s="2" t="s">
        <v>12</v>
      </c>
      <c r="I3144" s="2" t="s">
        <v>12</v>
      </c>
      <c r="J3144" s="2" t="s">
        <v>12</v>
      </c>
      <c r="K3144" s="2" t="s">
        <v>12</v>
      </c>
    </row>
    <row r="3145" spans="1:11" ht="12.5" x14ac:dyDescent="0.25">
      <c r="A3145" s="3" t="e">
        <f ca="1"/>
        <v>#NAME?</v>
      </c>
      <c r="B3145" s="2" t="s">
        <v>12</v>
      </c>
      <c r="C3145" s="2" t="s">
        <v>12</v>
      </c>
      <c r="D3145" s="2" t="s">
        <v>12</v>
      </c>
      <c r="E3145" s="2" t="s">
        <v>12</v>
      </c>
      <c r="F3145" s="2" t="s">
        <v>12</v>
      </c>
      <c r="G3145" s="2" t="s">
        <v>12</v>
      </c>
      <c r="H3145" s="2" t="s">
        <v>12</v>
      </c>
      <c r="I3145" s="2" t="s">
        <v>12</v>
      </c>
      <c r="J3145" s="2" t="s">
        <v>12</v>
      </c>
      <c r="K3145" s="2" t="s">
        <v>12</v>
      </c>
    </row>
    <row r="3146" spans="1:11" ht="12.5" x14ac:dyDescent="0.25">
      <c r="A3146" s="3" t="e">
        <f ca="1"/>
        <v>#NAME?</v>
      </c>
      <c r="B3146" s="2" t="s">
        <v>12</v>
      </c>
      <c r="C3146" s="2" t="s">
        <v>12</v>
      </c>
      <c r="D3146" s="2" t="s">
        <v>12</v>
      </c>
      <c r="E3146" s="2" t="s">
        <v>12</v>
      </c>
      <c r="F3146" s="2" t="s">
        <v>12</v>
      </c>
      <c r="G3146" s="2" t="s">
        <v>12</v>
      </c>
      <c r="H3146" s="2" t="s">
        <v>12</v>
      </c>
      <c r="I3146" s="2" t="s">
        <v>12</v>
      </c>
      <c r="J3146" s="2" t="s">
        <v>12</v>
      </c>
      <c r="K3146" s="2" t="s">
        <v>12</v>
      </c>
    </row>
    <row r="3147" spans="1:11" ht="12.5" x14ac:dyDescent="0.25">
      <c r="A3147" s="3" t="e">
        <f ca="1"/>
        <v>#NAME?</v>
      </c>
      <c r="B3147" s="2" t="s">
        <v>12</v>
      </c>
      <c r="C3147" s="2" t="s">
        <v>12</v>
      </c>
      <c r="D3147" s="2" t="s">
        <v>12</v>
      </c>
      <c r="E3147" s="2" t="s">
        <v>12</v>
      </c>
      <c r="F3147" s="2" t="s">
        <v>12</v>
      </c>
      <c r="G3147" s="2" t="s">
        <v>12</v>
      </c>
      <c r="H3147" s="2" t="s">
        <v>12</v>
      </c>
      <c r="I3147" s="2" t="s">
        <v>12</v>
      </c>
      <c r="J3147" s="2" t="s">
        <v>12</v>
      </c>
      <c r="K3147" s="2" t="s">
        <v>12</v>
      </c>
    </row>
    <row r="3148" spans="1:11" ht="12.5" x14ac:dyDescent="0.25">
      <c r="A3148" s="3" t="e">
        <f ca="1"/>
        <v>#NAME?</v>
      </c>
      <c r="B3148" s="2" t="s">
        <v>12</v>
      </c>
      <c r="C3148" s="2" t="s">
        <v>12</v>
      </c>
      <c r="D3148" s="2" t="s">
        <v>12</v>
      </c>
      <c r="E3148" s="2" t="s">
        <v>12</v>
      </c>
      <c r="F3148" s="2" t="s">
        <v>12</v>
      </c>
      <c r="G3148" s="2" t="s">
        <v>12</v>
      </c>
      <c r="H3148" s="2" t="s">
        <v>12</v>
      </c>
      <c r="I3148" s="2" t="s">
        <v>12</v>
      </c>
      <c r="J3148" s="2" t="s">
        <v>12</v>
      </c>
      <c r="K3148" s="2" t="s">
        <v>12</v>
      </c>
    </row>
    <row r="3149" spans="1:11" ht="12.5" x14ac:dyDescent="0.25">
      <c r="A3149" s="3" t="e">
        <f ca="1"/>
        <v>#NAME?</v>
      </c>
      <c r="B3149" s="2" t="s">
        <v>12</v>
      </c>
      <c r="C3149" s="2" t="s">
        <v>12</v>
      </c>
      <c r="D3149" s="2" t="s">
        <v>12</v>
      </c>
      <c r="E3149" s="2" t="s">
        <v>12</v>
      </c>
      <c r="F3149" s="2" t="s">
        <v>12</v>
      </c>
      <c r="G3149" s="2" t="s">
        <v>12</v>
      </c>
      <c r="H3149" s="2" t="s">
        <v>12</v>
      </c>
      <c r="I3149" s="2" t="s">
        <v>12</v>
      </c>
      <c r="J3149" s="2" t="s">
        <v>12</v>
      </c>
      <c r="K3149" s="2" t="s">
        <v>12</v>
      </c>
    </row>
    <row r="3150" spans="1:11" ht="12.5" x14ac:dyDescent="0.25">
      <c r="A3150" s="3" t="e">
        <f ca="1"/>
        <v>#NAME?</v>
      </c>
      <c r="B3150" s="2" t="s">
        <v>12</v>
      </c>
      <c r="C3150" s="2" t="s">
        <v>12</v>
      </c>
      <c r="D3150" s="2" t="s">
        <v>12</v>
      </c>
      <c r="E3150" s="2" t="s">
        <v>12</v>
      </c>
      <c r="F3150" s="2" t="s">
        <v>12</v>
      </c>
      <c r="G3150" s="2" t="s">
        <v>12</v>
      </c>
      <c r="H3150" s="2" t="s">
        <v>12</v>
      </c>
      <c r="I3150" s="2" t="s">
        <v>12</v>
      </c>
      <c r="J3150" s="2" t="s">
        <v>12</v>
      </c>
      <c r="K3150" s="2" t="s">
        <v>12</v>
      </c>
    </row>
    <row r="3151" spans="1:11" ht="12.5" x14ac:dyDescent="0.25">
      <c r="A3151" s="3" t="e">
        <f ca="1"/>
        <v>#NAME?</v>
      </c>
      <c r="B3151" s="2" t="s">
        <v>12</v>
      </c>
      <c r="C3151" s="2" t="s">
        <v>12</v>
      </c>
      <c r="D3151" s="2" t="s">
        <v>12</v>
      </c>
      <c r="E3151" s="2" t="s">
        <v>12</v>
      </c>
      <c r="F3151" s="2" t="s">
        <v>12</v>
      </c>
      <c r="G3151" s="2" t="s">
        <v>12</v>
      </c>
      <c r="H3151" s="2" t="s">
        <v>12</v>
      </c>
      <c r="I3151" s="2" t="s">
        <v>12</v>
      </c>
      <c r="J3151" s="2" t="s">
        <v>12</v>
      </c>
      <c r="K3151" s="2" t="s">
        <v>12</v>
      </c>
    </row>
    <row r="3152" spans="1:11" ht="12.5" x14ac:dyDescent="0.25">
      <c r="A3152" s="3" t="e">
        <f ca="1"/>
        <v>#NAME?</v>
      </c>
      <c r="B3152" s="2" t="s">
        <v>12</v>
      </c>
      <c r="C3152" s="2" t="s">
        <v>12</v>
      </c>
      <c r="D3152" s="2" t="s">
        <v>12</v>
      </c>
      <c r="E3152" s="2" t="s">
        <v>12</v>
      </c>
      <c r="F3152" s="2" t="s">
        <v>12</v>
      </c>
      <c r="G3152" s="2" t="s">
        <v>12</v>
      </c>
      <c r="H3152" s="2" t="s">
        <v>12</v>
      </c>
      <c r="I3152" s="2" t="s">
        <v>12</v>
      </c>
      <c r="J3152" s="2" t="s">
        <v>12</v>
      </c>
      <c r="K3152" s="2" t="s">
        <v>12</v>
      </c>
    </row>
    <row r="3153" spans="1:11" ht="12.5" x14ac:dyDescent="0.25">
      <c r="A3153" s="3" t="e">
        <f ca="1"/>
        <v>#NAME?</v>
      </c>
      <c r="B3153" s="2" t="s">
        <v>12</v>
      </c>
      <c r="C3153" s="2" t="s">
        <v>12</v>
      </c>
      <c r="D3153" s="2" t="s">
        <v>12</v>
      </c>
      <c r="E3153" s="2" t="s">
        <v>12</v>
      </c>
      <c r="F3153" s="2" t="s">
        <v>12</v>
      </c>
      <c r="G3153" s="2" t="s">
        <v>12</v>
      </c>
      <c r="H3153" s="2" t="s">
        <v>12</v>
      </c>
      <c r="I3153" s="2" t="s">
        <v>12</v>
      </c>
      <c r="J3153" s="2" t="s">
        <v>12</v>
      </c>
      <c r="K3153" s="2" t="s">
        <v>12</v>
      </c>
    </row>
    <row r="3154" spans="1:11" ht="12.5" x14ac:dyDescent="0.25">
      <c r="A3154" s="3" t="e">
        <f ca="1"/>
        <v>#NAME?</v>
      </c>
      <c r="B3154" s="2" t="s">
        <v>12</v>
      </c>
      <c r="C3154" s="2" t="s">
        <v>12</v>
      </c>
      <c r="D3154" s="2" t="s">
        <v>12</v>
      </c>
      <c r="E3154" s="2" t="s">
        <v>12</v>
      </c>
      <c r="F3154" s="2" t="s">
        <v>12</v>
      </c>
      <c r="G3154" s="2" t="s">
        <v>12</v>
      </c>
      <c r="H3154" s="2" t="s">
        <v>12</v>
      </c>
      <c r="I3154" s="2" t="s">
        <v>12</v>
      </c>
      <c r="J3154" s="2" t="s">
        <v>12</v>
      </c>
      <c r="K3154" s="2" t="s">
        <v>12</v>
      </c>
    </row>
    <row r="3155" spans="1:11" ht="12.5" x14ac:dyDescent="0.25">
      <c r="A3155" s="3" t="e">
        <f ca="1"/>
        <v>#NAME?</v>
      </c>
      <c r="B3155" s="2" t="s">
        <v>12</v>
      </c>
      <c r="C3155" s="2" t="s">
        <v>12</v>
      </c>
      <c r="D3155" s="2" t="s">
        <v>12</v>
      </c>
      <c r="E3155" s="2" t="s">
        <v>12</v>
      </c>
      <c r="F3155" s="2" t="s">
        <v>12</v>
      </c>
      <c r="G3155" s="2" t="s">
        <v>12</v>
      </c>
      <c r="H3155" s="2" t="s">
        <v>12</v>
      </c>
      <c r="I3155" s="2" t="s">
        <v>12</v>
      </c>
      <c r="J3155" s="2" t="s">
        <v>12</v>
      </c>
      <c r="K3155" s="2" t="s">
        <v>12</v>
      </c>
    </row>
    <row r="3156" spans="1:11" ht="12.5" x14ac:dyDescent="0.25">
      <c r="A3156" s="3" t="e">
        <f ca="1"/>
        <v>#NAME?</v>
      </c>
      <c r="B3156" s="2" t="s">
        <v>12</v>
      </c>
      <c r="C3156" s="2" t="s">
        <v>12</v>
      </c>
      <c r="D3156" s="2" t="s">
        <v>12</v>
      </c>
      <c r="E3156" s="2" t="s">
        <v>12</v>
      </c>
      <c r="F3156" s="2" t="s">
        <v>12</v>
      </c>
      <c r="G3156" s="2" t="s">
        <v>12</v>
      </c>
      <c r="H3156" s="2" t="s">
        <v>12</v>
      </c>
      <c r="I3156" s="2" t="s">
        <v>12</v>
      </c>
      <c r="J3156" s="2" t="s">
        <v>12</v>
      </c>
      <c r="K3156" s="2" t="s">
        <v>12</v>
      </c>
    </row>
    <row r="3157" spans="1:11" ht="12.5" x14ac:dyDescent="0.25">
      <c r="A3157" s="3" t="e">
        <f ca="1"/>
        <v>#NAME?</v>
      </c>
      <c r="B3157" s="2" t="s">
        <v>12</v>
      </c>
      <c r="C3157" s="2" t="s">
        <v>12</v>
      </c>
      <c r="D3157" s="2" t="s">
        <v>12</v>
      </c>
      <c r="E3157" s="2" t="s">
        <v>12</v>
      </c>
      <c r="F3157" s="2" t="s">
        <v>12</v>
      </c>
      <c r="G3157" s="2" t="s">
        <v>12</v>
      </c>
      <c r="H3157" s="2" t="s">
        <v>12</v>
      </c>
      <c r="I3157" s="2" t="s">
        <v>12</v>
      </c>
      <c r="J3157" s="2" t="s">
        <v>12</v>
      </c>
      <c r="K3157" s="2" t="s">
        <v>12</v>
      </c>
    </row>
    <row r="3158" spans="1:11" ht="12.5" x14ac:dyDescent="0.25">
      <c r="A3158" s="3" t="e">
        <f ca="1"/>
        <v>#NAME?</v>
      </c>
      <c r="B3158" s="2" t="s">
        <v>12</v>
      </c>
      <c r="C3158" s="2" t="s">
        <v>12</v>
      </c>
      <c r="D3158" s="2" t="s">
        <v>12</v>
      </c>
      <c r="E3158" s="2" t="s">
        <v>12</v>
      </c>
      <c r="F3158" s="2" t="s">
        <v>12</v>
      </c>
      <c r="G3158" s="2" t="s">
        <v>12</v>
      </c>
      <c r="H3158" s="2" t="s">
        <v>12</v>
      </c>
      <c r="I3158" s="2" t="s">
        <v>12</v>
      </c>
      <c r="J3158" s="2" t="s">
        <v>12</v>
      </c>
      <c r="K3158" s="2" t="s">
        <v>12</v>
      </c>
    </row>
    <row r="3159" spans="1:11" ht="12.5" x14ac:dyDescent="0.25">
      <c r="A3159" s="3" t="e">
        <f ca="1"/>
        <v>#NAME?</v>
      </c>
      <c r="B3159" s="2" t="s">
        <v>12</v>
      </c>
      <c r="C3159" s="2" t="s">
        <v>12</v>
      </c>
      <c r="D3159" s="2" t="s">
        <v>12</v>
      </c>
      <c r="E3159" s="2" t="s">
        <v>12</v>
      </c>
      <c r="F3159" s="2" t="s">
        <v>12</v>
      </c>
      <c r="G3159" s="2" t="s">
        <v>12</v>
      </c>
      <c r="H3159" s="2" t="s">
        <v>12</v>
      </c>
      <c r="I3159" s="2" t="s">
        <v>12</v>
      </c>
      <c r="J3159" s="2" t="s">
        <v>12</v>
      </c>
      <c r="K3159" s="2" t="s">
        <v>12</v>
      </c>
    </row>
    <row r="3160" spans="1:11" ht="12.5" x14ac:dyDescent="0.25">
      <c r="A3160" s="3" t="e">
        <f ca="1"/>
        <v>#NAME?</v>
      </c>
      <c r="B3160" s="2" t="s">
        <v>12</v>
      </c>
      <c r="C3160" s="2" t="s">
        <v>12</v>
      </c>
      <c r="D3160" s="2" t="s">
        <v>12</v>
      </c>
      <c r="E3160" s="2" t="s">
        <v>12</v>
      </c>
      <c r="F3160" s="2" t="s">
        <v>12</v>
      </c>
      <c r="G3160" s="2" t="s">
        <v>12</v>
      </c>
      <c r="H3160" s="2" t="s">
        <v>12</v>
      </c>
      <c r="I3160" s="2" t="s">
        <v>12</v>
      </c>
      <c r="J3160" s="2" t="s">
        <v>12</v>
      </c>
      <c r="K3160" s="2" t="s">
        <v>12</v>
      </c>
    </row>
    <row r="3161" spans="1:11" ht="12.5" x14ac:dyDescent="0.25">
      <c r="A3161" s="3" t="e">
        <f ca="1"/>
        <v>#NAME?</v>
      </c>
      <c r="B3161" s="2" t="s">
        <v>12</v>
      </c>
      <c r="C3161" s="2" t="s">
        <v>12</v>
      </c>
      <c r="D3161" s="2" t="s">
        <v>12</v>
      </c>
      <c r="E3161" s="2" t="s">
        <v>12</v>
      </c>
      <c r="F3161" s="2" t="s">
        <v>12</v>
      </c>
      <c r="G3161" s="2" t="s">
        <v>12</v>
      </c>
      <c r="H3161" s="2" t="s">
        <v>12</v>
      </c>
      <c r="I3161" s="2" t="s">
        <v>12</v>
      </c>
      <c r="J3161" s="2" t="s">
        <v>12</v>
      </c>
      <c r="K3161" s="2" t="s">
        <v>12</v>
      </c>
    </row>
    <row r="3162" spans="1:11" ht="12.5" x14ac:dyDescent="0.25">
      <c r="A3162" s="3" t="e">
        <f ca="1"/>
        <v>#NAME?</v>
      </c>
      <c r="B3162" s="2" t="s">
        <v>12</v>
      </c>
      <c r="C3162" s="2" t="s">
        <v>12</v>
      </c>
      <c r="D3162" s="2" t="s">
        <v>12</v>
      </c>
      <c r="E3162" s="2" t="s">
        <v>12</v>
      </c>
      <c r="F3162" s="2" t="s">
        <v>12</v>
      </c>
      <c r="G3162" s="2" t="s">
        <v>12</v>
      </c>
      <c r="H3162" s="2" t="s">
        <v>12</v>
      </c>
      <c r="I3162" s="2" t="s">
        <v>12</v>
      </c>
      <c r="J3162" s="2" t="s">
        <v>12</v>
      </c>
      <c r="K3162" s="2" t="s">
        <v>12</v>
      </c>
    </row>
    <row r="3163" spans="1:11" ht="12.5" x14ac:dyDescent="0.25">
      <c r="A3163" s="3" t="e">
        <f ca="1"/>
        <v>#NAME?</v>
      </c>
      <c r="B3163" s="2" t="s">
        <v>12</v>
      </c>
      <c r="C3163" s="2" t="s">
        <v>12</v>
      </c>
      <c r="D3163" s="2" t="s">
        <v>12</v>
      </c>
      <c r="E3163" s="2" t="s">
        <v>12</v>
      </c>
      <c r="F3163" s="2" t="s">
        <v>12</v>
      </c>
      <c r="G3163" s="2" t="s">
        <v>12</v>
      </c>
      <c r="H3163" s="2" t="s">
        <v>12</v>
      </c>
      <c r="I3163" s="2" t="s">
        <v>12</v>
      </c>
      <c r="J3163" s="2" t="s">
        <v>12</v>
      </c>
      <c r="K3163" s="2" t="s">
        <v>12</v>
      </c>
    </row>
    <row r="3164" spans="1:11" ht="12.5" x14ac:dyDescent="0.25">
      <c r="A3164" s="3" t="e">
        <f ca="1"/>
        <v>#NAME?</v>
      </c>
      <c r="B3164" s="2" t="s">
        <v>12</v>
      </c>
      <c r="C3164" s="2" t="s">
        <v>12</v>
      </c>
      <c r="D3164" s="2" t="s">
        <v>12</v>
      </c>
      <c r="E3164" s="2" t="s">
        <v>12</v>
      </c>
      <c r="F3164" s="2" t="s">
        <v>12</v>
      </c>
      <c r="G3164" s="2" t="s">
        <v>12</v>
      </c>
      <c r="H3164" s="2" t="s">
        <v>12</v>
      </c>
      <c r="I3164" s="2" t="s">
        <v>12</v>
      </c>
      <c r="J3164" s="2" t="s">
        <v>12</v>
      </c>
      <c r="K3164" s="2" t="s">
        <v>12</v>
      </c>
    </row>
    <row r="3165" spans="1:11" ht="12.5" x14ac:dyDescent="0.25">
      <c r="A3165" s="3" t="e">
        <f ca="1"/>
        <v>#NAME?</v>
      </c>
      <c r="B3165" s="2" t="s">
        <v>12</v>
      </c>
      <c r="C3165" s="2" t="s">
        <v>12</v>
      </c>
      <c r="D3165" s="2" t="s">
        <v>12</v>
      </c>
      <c r="E3165" s="2" t="s">
        <v>12</v>
      </c>
      <c r="F3165" s="2" t="s">
        <v>12</v>
      </c>
      <c r="G3165" s="2" t="s">
        <v>12</v>
      </c>
      <c r="H3165" s="2" t="s">
        <v>12</v>
      </c>
      <c r="I3165" s="2" t="s">
        <v>12</v>
      </c>
      <c r="J3165" s="2" t="s">
        <v>12</v>
      </c>
      <c r="K3165" s="2" t="s">
        <v>12</v>
      </c>
    </row>
    <row r="3166" spans="1:11" ht="12.5" x14ac:dyDescent="0.25">
      <c r="A3166" s="3" t="e">
        <f ca="1"/>
        <v>#NAME?</v>
      </c>
      <c r="B3166" s="2" t="s">
        <v>12</v>
      </c>
      <c r="C3166" s="2" t="s">
        <v>12</v>
      </c>
      <c r="D3166" s="2" t="s">
        <v>12</v>
      </c>
      <c r="E3166" s="2" t="s">
        <v>12</v>
      </c>
      <c r="F3166" s="2" t="s">
        <v>12</v>
      </c>
      <c r="G3166" s="2" t="s">
        <v>12</v>
      </c>
      <c r="H3166" s="2" t="s">
        <v>12</v>
      </c>
      <c r="I3166" s="2" t="s">
        <v>12</v>
      </c>
      <c r="J3166" s="2" t="s">
        <v>12</v>
      </c>
      <c r="K3166" s="2" t="s">
        <v>12</v>
      </c>
    </row>
    <row r="3167" spans="1:11" ht="12.5" x14ac:dyDescent="0.25">
      <c r="A3167" s="3" t="e">
        <f ca="1"/>
        <v>#NAME?</v>
      </c>
      <c r="B3167" s="2" t="s">
        <v>12</v>
      </c>
      <c r="C3167" s="2" t="s">
        <v>12</v>
      </c>
      <c r="D3167" s="2" t="s">
        <v>12</v>
      </c>
      <c r="E3167" s="2" t="s">
        <v>12</v>
      </c>
      <c r="F3167" s="2" t="s">
        <v>12</v>
      </c>
      <c r="G3167" s="2" t="s">
        <v>12</v>
      </c>
      <c r="H3167" s="2" t="s">
        <v>12</v>
      </c>
      <c r="I3167" s="2" t="s">
        <v>12</v>
      </c>
      <c r="J3167" s="2" t="s">
        <v>12</v>
      </c>
      <c r="K3167" s="2" t="s">
        <v>12</v>
      </c>
    </row>
    <row r="3168" spans="1:11" ht="12.5" x14ac:dyDescent="0.25">
      <c r="A3168" s="3" t="e">
        <f ca="1"/>
        <v>#NAME?</v>
      </c>
      <c r="B3168" s="2" t="s">
        <v>12</v>
      </c>
      <c r="C3168" s="2" t="s">
        <v>12</v>
      </c>
      <c r="D3168" s="2" t="s">
        <v>12</v>
      </c>
      <c r="E3168" s="2" t="s">
        <v>12</v>
      </c>
      <c r="F3168" s="2" t="s">
        <v>12</v>
      </c>
      <c r="G3168" s="2" t="s">
        <v>12</v>
      </c>
      <c r="H3168" s="2" t="s">
        <v>12</v>
      </c>
      <c r="I3168" s="2" t="s">
        <v>12</v>
      </c>
      <c r="J3168" s="2" t="s">
        <v>12</v>
      </c>
      <c r="K3168" s="2" t="s">
        <v>12</v>
      </c>
    </row>
    <row r="3169" spans="1:11" ht="12.5" x14ac:dyDescent="0.25">
      <c r="A3169" s="3" t="e">
        <f ca="1"/>
        <v>#NAME?</v>
      </c>
      <c r="B3169" s="2" t="s">
        <v>12</v>
      </c>
      <c r="C3169" s="2" t="s">
        <v>12</v>
      </c>
      <c r="D3169" s="2" t="s">
        <v>12</v>
      </c>
      <c r="E3169" s="2" t="s">
        <v>12</v>
      </c>
      <c r="F3169" s="2" t="s">
        <v>12</v>
      </c>
      <c r="G3169" s="2" t="s">
        <v>12</v>
      </c>
      <c r="H3169" s="2" t="s">
        <v>12</v>
      </c>
      <c r="I3169" s="2" t="s">
        <v>12</v>
      </c>
      <c r="J3169" s="2" t="s">
        <v>12</v>
      </c>
      <c r="K3169" s="2" t="s">
        <v>12</v>
      </c>
    </row>
    <row r="3170" spans="1:11" ht="12.5" x14ac:dyDescent="0.25">
      <c r="A3170" s="3" t="e">
        <f ca="1"/>
        <v>#NAME?</v>
      </c>
      <c r="B3170" s="2" t="s">
        <v>12</v>
      </c>
      <c r="C3170" s="2" t="s">
        <v>12</v>
      </c>
      <c r="D3170" s="2" t="s">
        <v>12</v>
      </c>
      <c r="E3170" s="2" t="s">
        <v>12</v>
      </c>
      <c r="F3170" s="2" t="s">
        <v>12</v>
      </c>
      <c r="G3170" s="2" t="s">
        <v>12</v>
      </c>
      <c r="H3170" s="2" t="s">
        <v>12</v>
      </c>
      <c r="I3170" s="2" t="s">
        <v>12</v>
      </c>
      <c r="J3170" s="2" t="s">
        <v>12</v>
      </c>
      <c r="K3170" s="2" t="s">
        <v>12</v>
      </c>
    </row>
    <row r="3171" spans="1:11" ht="12.5" x14ac:dyDescent="0.25">
      <c r="A3171" s="3" t="e">
        <f ca="1"/>
        <v>#NAME?</v>
      </c>
      <c r="B3171" s="2" t="s">
        <v>12</v>
      </c>
      <c r="C3171" s="2" t="s">
        <v>12</v>
      </c>
      <c r="D3171" s="2" t="s">
        <v>12</v>
      </c>
      <c r="E3171" s="2" t="s">
        <v>12</v>
      </c>
      <c r="F3171" s="2" t="s">
        <v>12</v>
      </c>
      <c r="G3171" s="2" t="s">
        <v>12</v>
      </c>
      <c r="H3171" s="2" t="s">
        <v>12</v>
      </c>
      <c r="I3171" s="2" t="s">
        <v>12</v>
      </c>
      <c r="J3171" s="2" t="s">
        <v>12</v>
      </c>
      <c r="K3171" s="2" t="s">
        <v>12</v>
      </c>
    </row>
    <row r="3172" spans="1:11" ht="12.5" x14ac:dyDescent="0.25">
      <c r="A3172" s="3" t="e">
        <f ca="1"/>
        <v>#NAME?</v>
      </c>
      <c r="B3172" s="2" t="s">
        <v>12</v>
      </c>
      <c r="C3172" s="2" t="s">
        <v>12</v>
      </c>
      <c r="D3172" s="2" t="s">
        <v>12</v>
      </c>
      <c r="E3172" s="2" t="s">
        <v>12</v>
      </c>
      <c r="F3172" s="2" t="s">
        <v>12</v>
      </c>
      <c r="G3172" s="2" t="s">
        <v>12</v>
      </c>
      <c r="H3172" s="2" t="s">
        <v>12</v>
      </c>
      <c r="I3172" s="2" t="s">
        <v>12</v>
      </c>
      <c r="J3172" s="2" t="s">
        <v>12</v>
      </c>
      <c r="K3172" s="2" t="s">
        <v>12</v>
      </c>
    </row>
    <row r="3173" spans="1:11" ht="12.5" x14ac:dyDescent="0.25">
      <c r="A3173" s="3" t="e">
        <f ca="1"/>
        <v>#NAME?</v>
      </c>
      <c r="B3173" s="2" t="s">
        <v>12</v>
      </c>
      <c r="C3173" s="2" t="s">
        <v>12</v>
      </c>
      <c r="D3173" s="2" t="s">
        <v>12</v>
      </c>
      <c r="E3173" s="2" t="s">
        <v>12</v>
      </c>
      <c r="F3173" s="2" t="s">
        <v>12</v>
      </c>
      <c r="G3173" s="2" t="s">
        <v>12</v>
      </c>
      <c r="H3173" s="2" t="s">
        <v>12</v>
      </c>
      <c r="I3173" s="2" t="s">
        <v>12</v>
      </c>
      <c r="J3173" s="2" t="s">
        <v>12</v>
      </c>
      <c r="K3173" s="2" t="s">
        <v>12</v>
      </c>
    </row>
    <row r="3174" spans="1:11" ht="12.5" x14ac:dyDescent="0.25">
      <c r="A3174" s="3" t="e">
        <f ca="1"/>
        <v>#NAME?</v>
      </c>
      <c r="B3174" s="2" t="s">
        <v>12</v>
      </c>
      <c r="C3174" s="2" t="s">
        <v>12</v>
      </c>
      <c r="D3174" s="2" t="s">
        <v>12</v>
      </c>
      <c r="E3174" s="2" t="s">
        <v>12</v>
      </c>
      <c r="F3174" s="2" t="s">
        <v>12</v>
      </c>
      <c r="G3174" s="2" t="s">
        <v>12</v>
      </c>
      <c r="H3174" s="2" t="s">
        <v>12</v>
      </c>
      <c r="I3174" s="2" t="s">
        <v>12</v>
      </c>
      <c r="J3174" s="2" t="s">
        <v>12</v>
      </c>
      <c r="K3174" s="2" t="s">
        <v>12</v>
      </c>
    </row>
    <row r="3175" spans="1:11" ht="12.5" x14ac:dyDescent="0.25">
      <c r="A3175" s="3" t="e">
        <f ca="1"/>
        <v>#NAME?</v>
      </c>
      <c r="B3175" s="2" t="s">
        <v>12</v>
      </c>
      <c r="C3175" s="2" t="s">
        <v>12</v>
      </c>
      <c r="D3175" s="2" t="s">
        <v>12</v>
      </c>
      <c r="E3175" s="2" t="s">
        <v>12</v>
      </c>
      <c r="F3175" s="2" t="s">
        <v>12</v>
      </c>
      <c r="G3175" s="2" t="s">
        <v>12</v>
      </c>
      <c r="H3175" s="2" t="s">
        <v>12</v>
      </c>
      <c r="I3175" s="2" t="s">
        <v>12</v>
      </c>
      <c r="J3175" s="2" t="s">
        <v>12</v>
      </c>
      <c r="K3175" s="2" t="s">
        <v>12</v>
      </c>
    </row>
    <row r="3176" spans="1:11" ht="12.5" x14ac:dyDescent="0.25">
      <c r="A3176" s="3" t="e">
        <f ca="1"/>
        <v>#NAME?</v>
      </c>
      <c r="B3176" s="2" t="s">
        <v>12</v>
      </c>
      <c r="C3176" s="2" t="s">
        <v>12</v>
      </c>
      <c r="D3176" s="2" t="s">
        <v>12</v>
      </c>
      <c r="E3176" s="2" t="s">
        <v>12</v>
      </c>
      <c r="F3176" s="2" t="s">
        <v>12</v>
      </c>
      <c r="G3176" s="2" t="s">
        <v>12</v>
      </c>
      <c r="H3176" s="2" t="s">
        <v>12</v>
      </c>
      <c r="I3176" s="2" t="s">
        <v>12</v>
      </c>
      <c r="J3176" s="2" t="s">
        <v>12</v>
      </c>
      <c r="K3176" s="2" t="s">
        <v>12</v>
      </c>
    </row>
    <row r="3177" spans="1:11" ht="12.5" x14ac:dyDescent="0.25">
      <c r="A3177" s="3" t="e">
        <f ca="1"/>
        <v>#NAME?</v>
      </c>
      <c r="B3177" s="2" t="s">
        <v>12</v>
      </c>
      <c r="C3177" s="2" t="s">
        <v>12</v>
      </c>
      <c r="D3177" s="2" t="s">
        <v>12</v>
      </c>
      <c r="E3177" s="2" t="s">
        <v>12</v>
      </c>
      <c r="F3177" s="2" t="s">
        <v>12</v>
      </c>
      <c r="G3177" s="2" t="s">
        <v>12</v>
      </c>
      <c r="H3177" s="2" t="s">
        <v>12</v>
      </c>
      <c r="I3177" s="2" t="s">
        <v>12</v>
      </c>
      <c r="J3177" s="2" t="s">
        <v>12</v>
      </c>
      <c r="K3177" s="2" t="s">
        <v>12</v>
      </c>
    </row>
    <row r="3178" spans="1:11" ht="12.5" x14ac:dyDescent="0.25">
      <c r="A3178" s="3" t="e">
        <f ca="1"/>
        <v>#NAME?</v>
      </c>
      <c r="B3178" s="2" t="s">
        <v>12</v>
      </c>
      <c r="C3178" s="2" t="s">
        <v>12</v>
      </c>
      <c r="D3178" s="2" t="s">
        <v>12</v>
      </c>
      <c r="E3178" s="2" t="s">
        <v>12</v>
      </c>
      <c r="F3178" s="2" t="s">
        <v>12</v>
      </c>
      <c r="G3178" s="2" t="s">
        <v>12</v>
      </c>
      <c r="H3178" s="2" t="s">
        <v>12</v>
      </c>
      <c r="I3178" s="2" t="s">
        <v>12</v>
      </c>
      <c r="J3178" s="2" t="s">
        <v>12</v>
      </c>
      <c r="K3178" s="2" t="s">
        <v>12</v>
      </c>
    </row>
    <row r="3179" spans="1:11" ht="12.5" x14ac:dyDescent="0.25">
      <c r="A3179" s="3" t="e">
        <f ca="1"/>
        <v>#NAME?</v>
      </c>
      <c r="B3179" s="2" t="s">
        <v>12</v>
      </c>
      <c r="C3179" s="2" t="s">
        <v>12</v>
      </c>
      <c r="D3179" s="2" t="s">
        <v>12</v>
      </c>
      <c r="E3179" s="2" t="s">
        <v>12</v>
      </c>
      <c r="F3179" s="2" t="s">
        <v>12</v>
      </c>
      <c r="G3179" s="2" t="s">
        <v>12</v>
      </c>
      <c r="H3179" s="2" t="s">
        <v>12</v>
      </c>
      <c r="I3179" s="2" t="s">
        <v>12</v>
      </c>
      <c r="J3179" s="2" t="s">
        <v>12</v>
      </c>
      <c r="K3179" s="2" t="s">
        <v>12</v>
      </c>
    </row>
    <row r="3180" spans="1:11" ht="12.5" x14ac:dyDescent="0.25">
      <c r="A3180" s="3" t="e">
        <f ca="1"/>
        <v>#NAME?</v>
      </c>
      <c r="B3180" s="2" t="s">
        <v>12</v>
      </c>
      <c r="C3180" s="2" t="s">
        <v>12</v>
      </c>
      <c r="D3180" s="2" t="s">
        <v>12</v>
      </c>
      <c r="E3180" s="2" t="s">
        <v>12</v>
      </c>
      <c r="F3180" s="2" t="s">
        <v>12</v>
      </c>
      <c r="G3180" s="2" t="s">
        <v>12</v>
      </c>
      <c r="H3180" s="2" t="s">
        <v>12</v>
      </c>
      <c r="I3180" s="2" t="s">
        <v>12</v>
      </c>
      <c r="J3180" s="2" t="s">
        <v>12</v>
      </c>
      <c r="K3180" s="2" t="s">
        <v>12</v>
      </c>
    </row>
    <row r="3181" spans="1:11" ht="12.5" x14ac:dyDescent="0.25">
      <c r="A3181" s="3" t="e">
        <f ca="1"/>
        <v>#NAME?</v>
      </c>
      <c r="B3181" s="2" t="s">
        <v>12</v>
      </c>
      <c r="C3181" s="2" t="s">
        <v>12</v>
      </c>
      <c r="D3181" s="2" t="s">
        <v>12</v>
      </c>
      <c r="E3181" s="2" t="s">
        <v>12</v>
      </c>
      <c r="F3181" s="2" t="s">
        <v>12</v>
      </c>
      <c r="G3181" s="2" t="s">
        <v>12</v>
      </c>
      <c r="H3181" s="2" t="s">
        <v>12</v>
      </c>
      <c r="I3181" s="2" t="s">
        <v>12</v>
      </c>
      <c r="J3181" s="2" t="s">
        <v>12</v>
      </c>
      <c r="K3181" s="2" t="s">
        <v>12</v>
      </c>
    </row>
    <row r="3182" spans="1:11" ht="12.5" x14ac:dyDescent="0.25">
      <c r="A3182" s="3" t="e">
        <f ca="1"/>
        <v>#NAME?</v>
      </c>
      <c r="B3182" s="2" t="s">
        <v>12</v>
      </c>
      <c r="C3182" s="2" t="s">
        <v>12</v>
      </c>
      <c r="D3182" s="2" t="s">
        <v>12</v>
      </c>
      <c r="E3182" s="2" t="s">
        <v>12</v>
      </c>
      <c r="F3182" s="2" t="s">
        <v>12</v>
      </c>
      <c r="G3182" s="2" t="s">
        <v>12</v>
      </c>
      <c r="H3182" s="2" t="s">
        <v>12</v>
      </c>
      <c r="I3182" s="2" t="s">
        <v>12</v>
      </c>
      <c r="J3182" s="2" t="s">
        <v>12</v>
      </c>
      <c r="K3182" s="2" t="s">
        <v>12</v>
      </c>
    </row>
    <row r="3183" spans="1:11" ht="12.5" x14ac:dyDescent="0.25">
      <c r="A3183" s="3" t="e">
        <f ca="1"/>
        <v>#NAME?</v>
      </c>
      <c r="B3183" s="2" t="s">
        <v>12</v>
      </c>
      <c r="C3183" s="2" t="s">
        <v>12</v>
      </c>
      <c r="D3183" s="2" t="s">
        <v>12</v>
      </c>
      <c r="E3183" s="2" t="s">
        <v>12</v>
      </c>
      <c r="F3183" s="2" t="s">
        <v>12</v>
      </c>
      <c r="G3183" s="2" t="s">
        <v>12</v>
      </c>
      <c r="H3183" s="2" t="s">
        <v>12</v>
      </c>
      <c r="I3183" s="2" t="s">
        <v>12</v>
      </c>
      <c r="J3183" s="2" t="s">
        <v>12</v>
      </c>
      <c r="K3183" s="2" t="s">
        <v>12</v>
      </c>
    </row>
    <row r="3184" spans="1:11" ht="12.5" x14ac:dyDescent="0.25">
      <c r="A3184" s="3" t="e">
        <f ca="1"/>
        <v>#NAME?</v>
      </c>
      <c r="B3184" s="2" t="s">
        <v>12</v>
      </c>
      <c r="C3184" s="2" t="s">
        <v>12</v>
      </c>
      <c r="D3184" s="2" t="s">
        <v>12</v>
      </c>
      <c r="E3184" s="2" t="s">
        <v>12</v>
      </c>
      <c r="F3184" s="2" t="s">
        <v>12</v>
      </c>
      <c r="G3184" s="2" t="s">
        <v>12</v>
      </c>
      <c r="H3184" s="2" t="s">
        <v>12</v>
      </c>
      <c r="I3184" s="2" t="s">
        <v>12</v>
      </c>
      <c r="J3184" s="2" t="s">
        <v>12</v>
      </c>
      <c r="K3184" s="2" t="s">
        <v>12</v>
      </c>
    </row>
    <row r="3185" spans="1:11" ht="12.5" x14ac:dyDescent="0.25">
      <c r="A3185" s="3" t="e">
        <f ca="1"/>
        <v>#NAME?</v>
      </c>
      <c r="B3185" s="2" t="s">
        <v>12</v>
      </c>
      <c r="C3185" s="2" t="s">
        <v>12</v>
      </c>
      <c r="D3185" s="2" t="s">
        <v>12</v>
      </c>
      <c r="E3185" s="2" t="s">
        <v>12</v>
      </c>
      <c r="F3185" s="2" t="s">
        <v>12</v>
      </c>
      <c r="G3185" s="2" t="s">
        <v>12</v>
      </c>
      <c r="H3185" s="2" t="s">
        <v>12</v>
      </c>
      <c r="I3185" s="2" t="s">
        <v>12</v>
      </c>
      <c r="J3185" s="2" t="s">
        <v>12</v>
      </c>
      <c r="K3185" s="2" t="s">
        <v>12</v>
      </c>
    </row>
    <row r="3186" spans="1:11" ht="12.5" x14ac:dyDescent="0.25">
      <c r="A3186" s="3" t="e">
        <f ca="1"/>
        <v>#NAME?</v>
      </c>
      <c r="B3186" s="2" t="s">
        <v>12</v>
      </c>
      <c r="C3186" s="2" t="s">
        <v>12</v>
      </c>
      <c r="D3186" s="2" t="s">
        <v>12</v>
      </c>
      <c r="E3186" s="2" t="s">
        <v>12</v>
      </c>
      <c r="F3186" s="2" t="s">
        <v>12</v>
      </c>
      <c r="G3186" s="2" t="s">
        <v>12</v>
      </c>
      <c r="H3186" s="2" t="s">
        <v>12</v>
      </c>
      <c r="I3186" s="2" t="s">
        <v>12</v>
      </c>
      <c r="J3186" s="2" t="s">
        <v>12</v>
      </c>
      <c r="K3186" s="2" t="s">
        <v>12</v>
      </c>
    </row>
    <row r="3187" spans="1:11" ht="12.5" x14ac:dyDescent="0.25">
      <c r="A3187" s="3" t="e">
        <f ca="1"/>
        <v>#NAME?</v>
      </c>
      <c r="B3187" s="2" t="s">
        <v>12</v>
      </c>
      <c r="C3187" s="2" t="s">
        <v>12</v>
      </c>
      <c r="D3187" s="2" t="s">
        <v>12</v>
      </c>
      <c r="E3187" s="2" t="s">
        <v>12</v>
      </c>
      <c r="F3187" s="2" t="s">
        <v>12</v>
      </c>
      <c r="G3187" s="2" t="s">
        <v>12</v>
      </c>
      <c r="H3187" s="2" t="s">
        <v>12</v>
      </c>
      <c r="I3187" s="2" t="s">
        <v>12</v>
      </c>
      <c r="J3187" s="2" t="s">
        <v>12</v>
      </c>
      <c r="K3187" s="2" t="s">
        <v>12</v>
      </c>
    </row>
    <row r="3188" spans="1:11" ht="12.5" x14ac:dyDescent="0.25">
      <c r="A3188" s="3" t="e">
        <f ca="1"/>
        <v>#NAME?</v>
      </c>
      <c r="B3188" s="2" t="s">
        <v>12</v>
      </c>
      <c r="C3188" s="2" t="s">
        <v>12</v>
      </c>
      <c r="D3188" s="2" t="s">
        <v>12</v>
      </c>
      <c r="E3188" s="2" t="s">
        <v>12</v>
      </c>
      <c r="F3188" s="2" t="s">
        <v>12</v>
      </c>
      <c r="G3188" s="2" t="s">
        <v>12</v>
      </c>
      <c r="H3188" s="2" t="s">
        <v>12</v>
      </c>
      <c r="I3188" s="2" t="s">
        <v>12</v>
      </c>
      <c r="J3188" s="2" t="s">
        <v>12</v>
      </c>
      <c r="K3188" s="2" t="s">
        <v>12</v>
      </c>
    </row>
    <row r="3189" spans="1:11" ht="12.5" x14ac:dyDescent="0.25">
      <c r="A3189" s="3" t="e">
        <f ca="1"/>
        <v>#NAME?</v>
      </c>
      <c r="B3189" s="2" t="s">
        <v>12</v>
      </c>
      <c r="C3189" s="2" t="s">
        <v>12</v>
      </c>
      <c r="D3189" s="2" t="s">
        <v>12</v>
      </c>
      <c r="E3189" s="2" t="s">
        <v>12</v>
      </c>
      <c r="F3189" s="2" t="s">
        <v>12</v>
      </c>
      <c r="G3189" s="2" t="s">
        <v>12</v>
      </c>
      <c r="H3189" s="2" t="s">
        <v>12</v>
      </c>
      <c r="I3189" s="2" t="s">
        <v>12</v>
      </c>
      <c r="J3189" s="2" t="s">
        <v>12</v>
      </c>
      <c r="K3189" s="2" t="s">
        <v>12</v>
      </c>
    </row>
    <row r="3190" spans="1:11" ht="12.5" x14ac:dyDescent="0.25">
      <c r="A3190" s="3" t="e">
        <f ca="1"/>
        <v>#NAME?</v>
      </c>
      <c r="B3190" s="2" t="s">
        <v>12</v>
      </c>
      <c r="C3190" s="2" t="s">
        <v>12</v>
      </c>
      <c r="D3190" s="2" t="s">
        <v>12</v>
      </c>
      <c r="E3190" s="2" t="s">
        <v>12</v>
      </c>
      <c r="F3190" s="2" t="s">
        <v>12</v>
      </c>
      <c r="G3190" s="2" t="s">
        <v>12</v>
      </c>
      <c r="H3190" s="2" t="s">
        <v>12</v>
      </c>
      <c r="I3190" s="2" t="s">
        <v>12</v>
      </c>
      <c r="J3190" s="2" t="s">
        <v>12</v>
      </c>
      <c r="K3190" s="2" t="s">
        <v>12</v>
      </c>
    </row>
    <row r="3191" spans="1:11" ht="12.5" x14ac:dyDescent="0.25">
      <c r="A3191" s="3" t="e">
        <f ca="1"/>
        <v>#NAME?</v>
      </c>
      <c r="B3191" s="2" t="s">
        <v>12</v>
      </c>
      <c r="C3191" s="2" t="s">
        <v>12</v>
      </c>
      <c r="D3191" s="2" t="s">
        <v>12</v>
      </c>
      <c r="E3191" s="2" t="s">
        <v>12</v>
      </c>
      <c r="F3191" s="2" t="s">
        <v>12</v>
      </c>
      <c r="G3191" s="2" t="s">
        <v>12</v>
      </c>
      <c r="H3191" s="2" t="s">
        <v>12</v>
      </c>
      <c r="I3191" s="2" t="s">
        <v>12</v>
      </c>
      <c r="J3191" s="2" t="s">
        <v>12</v>
      </c>
      <c r="K3191" s="2" t="s">
        <v>12</v>
      </c>
    </row>
    <row r="3192" spans="1:11" ht="12.5" x14ac:dyDescent="0.25">
      <c r="A3192" s="3" t="e">
        <f ca="1"/>
        <v>#NAME?</v>
      </c>
      <c r="B3192" s="2" t="s">
        <v>12</v>
      </c>
      <c r="C3192" s="2" t="s">
        <v>12</v>
      </c>
      <c r="D3192" s="2" t="s">
        <v>12</v>
      </c>
      <c r="E3192" s="2" t="s">
        <v>12</v>
      </c>
      <c r="F3192" s="2" t="s">
        <v>12</v>
      </c>
      <c r="G3192" s="2" t="s">
        <v>12</v>
      </c>
      <c r="H3192" s="2" t="s">
        <v>12</v>
      </c>
      <c r="I3192" s="2" t="s">
        <v>12</v>
      </c>
      <c r="J3192" s="2" t="s">
        <v>12</v>
      </c>
      <c r="K3192" s="2" t="s">
        <v>12</v>
      </c>
    </row>
    <row r="3193" spans="1:11" ht="12.5" x14ac:dyDescent="0.25">
      <c r="A3193" s="3" t="e">
        <f ca="1"/>
        <v>#NAME?</v>
      </c>
      <c r="B3193" s="2" t="s">
        <v>12</v>
      </c>
      <c r="C3193" s="2" t="s">
        <v>12</v>
      </c>
      <c r="D3193" s="2" t="s">
        <v>12</v>
      </c>
      <c r="E3193" s="2" t="s">
        <v>12</v>
      </c>
      <c r="F3193" s="2" t="s">
        <v>12</v>
      </c>
      <c r="G3193" s="2" t="s">
        <v>12</v>
      </c>
      <c r="H3193" s="2" t="s">
        <v>12</v>
      </c>
      <c r="I3193" s="2" t="s">
        <v>12</v>
      </c>
      <c r="J3193" s="2" t="s">
        <v>12</v>
      </c>
      <c r="K3193" s="2" t="s">
        <v>12</v>
      </c>
    </row>
    <row r="3194" spans="1:11" ht="12.5" x14ac:dyDescent="0.25">
      <c r="A3194" s="3" t="e">
        <f ca="1"/>
        <v>#NAME?</v>
      </c>
      <c r="B3194" s="2" t="s">
        <v>12</v>
      </c>
      <c r="C3194" s="2" t="s">
        <v>12</v>
      </c>
      <c r="D3194" s="2" t="s">
        <v>12</v>
      </c>
      <c r="E3194" s="2" t="s">
        <v>12</v>
      </c>
      <c r="F3194" s="2" t="s">
        <v>12</v>
      </c>
      <c r="G3194" s="2" t="s">
        <v>12</v>
      </c>
      <c r="H3194" s="2" t="s">
        <v>12</v>
      </c>
      <c r="I3194" s="2" t="s">
        <v>12</v>
      </c>
      <c r="J3194" s="2" t="s">
        <v>12</v>
      </c>
      <c r="K3194" s="2" t="s">
        <v>12</v>
      </c>
    </row>
    <row r="3195" spans="1:11" ht="12.5" x14ac:dyDescent="0.25">
      <c r="A3195" s="3" t="e">
        <f ca="1"/>
        <v>#NAME?</v>
      </c>
      <c r="B3195" s="2" t="s">
        <v>12</v>
      </c>
      <c r="C3195" s="2" t="s">
        <v>12</v>
      </c>
      <c r="D3195" s="2" t="s">
        <v>12</v>
      </c>
      <c r="E3195" s="2" t="s">
        <v>12</v>
      </c>
      <c r="F3195" s="2" t="s">
        <v>12</v>
      </c>
      <c r="G3195" s="2" t="s">
        <v>12</v>
      </c>
      <c r="H3195" s="2" t="s">
        <v>12</v>
      </c>
      <c r="I3195" s="2" t="s">
        <v>12</v>
      </c>
      <c r="J3195" s="2" t="s">
        <v>12</v>
      </c>
      <c r="K3195" s="2" t="s">
        <v>12</v>
      </c>
    </row>
    <row r="3196" spans="1:11" ht="12.5" x14ac:dyDescent="0.25">
      <c r="A3196" s="3" t="e">
        <f ca="1"/>
        <v>#NAME?</v>
      </c>
      <c r="B3196" s="2" t="s">
        <v>12</v>
      </c>
      <c r="C3196" s="2" t="s">
        <v>12</v>
      </c>
      <c r="D3196" s="2" t="s">
        <v>12</v>
      </c>
      <c r="E3196" s="2" t="s">
        <v>12</v>
      </c>
      <c r="F3196" s="2" t="s">
        <v>12</v>
      </c>
      <c r="G3196" s="2" t="s">
        <v>12</v>
      </c>
      <c r="H3196" s="2" t="s">
        <v>12</v>
      </c>
      <c r="I3196" s="2" t="s">
        <v>12</v>
      </c>
      <c r="J3196" s="2" t="s">
        <v>12</v>
      </c>
      <c r="K3196" s="2" t="s">
        <v>12</v>
      </c>
    </row>
    <row r="3197" spans="1:11" ht="12.5" x14ac:dyDescent="0.25">
      <c r="A3197" s="3" t="e">
        <f ca="1"/>
        <v>#NAME?</v>
      </c>
      <c r="B3197" s="2" t="s">
        <v>12</v>
      </c>
      <c r="C3197" s="2" t="s">
        <v>12</v>
      </c>
      <c r="D3197" s="2" t="s">
        <v>12</v>
      </c>
      <c r="E3197" s="2" t="s">
        <v>12</v>
      </c>
      <c r="F3197" s="2" t="s">
        <v>12</v>
      </c>
      <c r="G3197" s="2" t="s">
        <v>12</v>
      </c>
      <c r="H3197" s="2" t="s">
        <v>12</v>
      </c>
      <c r="I3197" s="2" t="s">
        <v>12</v>
      </c>
      <c r="J3197" s="2" t="s">
        <v>12</v>
      </c>
      <c r="K3197" s="2" t="s">
        <v>12</v>
      </c>
    </row>
    <row r="3198" spans="1:11" ht="12.5" x14ac:dyDescent="0.25">
      <c r="A3198" s="3" t="e">
        <f ca="1"/>
        <v>#NAME?</v>
      </c>
      <c r="B3198" s="2" t="s">
        <v>12</v>
      </c>
      <c r="C3198" s="2" t="s">
        <v>12</v>
      </c>
      <c r="D3198" s="2" t="s">
        <v>12</v>
      </c>
      <c r="E3198" s="2" t="s">
        <v>12</v>
      </c>
      <c r="F3198" s="2" t="s">
        <v>12</v>
      </c>
      <c r="G3198" s="2" t="s">
        <v>12</v>
      </c>
      <c r="H3198" s="2" t="s">
        <v>12</v>
      </c>
      <c r="I3198" s="2" t="s">
        <v>12</v>
      </c>
      <c r="J3198" s="2" t="s">
        <v>12</v>
      </c>
      <c r="K3198" s="2" t="s">
        <v>12</v>
      </c>
    </row>
    <row r="3199" spans="1:11" ht="12.5" x14ac:dyDescent="0.25">
      <c r="A3199" s="3" t="e">
        <f ca="1"/>
        <v>#NAME?</v>
      </c>
      <c r="B3199" s="2" t="s">
        <v>12</v>
      </c>
      <c r="C3199" s="2" t="s">
        <v>12</v>
      </c>
      <c r="D3199" s="2" t="s">
        <v>12</v>
      </c>
      <c r="E3199" s="2" t="s">
        <v>12</v>
      </c>
      <c r="F3199" s="2" t="s">
        <v>12</v>
      </c>
      <c r="G3199" s="2" t="s">
        <v>12</v>
      </c>
      <c r="H3199" s="2" t="s">
        <v>12</v>
      </c>
      <c r="I3199" s="2" t="s">
        <v>12</v>
      </c>
      <c r="J3199" s="2" t="s">
        <v>12</v>
      </c>
      <c r="K3199" s="2" t="s">
        <v>12</v>
      </c>
    </row>
    <row r="3200" spans="1:11" ht="12.5" x14ac:dyDescent="0.25">
      <c r="A3200" s="3" t="e">
        <f ca="1"/>
        <v>#NAME?</v>
      </c>
      <c r="B3200" s="2" t="s">
        <v>12</v>
      </c>
      <c r="C3200" s="2" t="s">
        <v>12</v>
      </c>
      <c r="D3200" s="2" t="s">
        <v>12</v>
      </c>
      <c r="E3200" s="2" t="s">
        <v>12</v>
      </c>
      <c r="F3200" s="2" t="s">
        <v>12</v>
      </c>
      <c r="G3200" s="2" t="s">
        <v>12</v>
      </c>
      <c r="H3200" s="2" t="s">
        <v>12</v>
      </c>
      <c r="I3200" s="2" t="s">
        <v>12</v>
      </c>
      <c r="J3200" s="2" t="s">
        <v>12</v>
      </c>
      <c r="K3200" s="2" t="s">
        <v>12</v>
      </c>
    </row>
    <row r="3201" spans="1:11" ht="12.5" x14ac:dyDescent="0.25">
      <c r="A3201" s="3" t="e">
        <f ca="1"/>
        <v>#NAME?</v>
      </c>
      <c r="B3201" s="2" t="s">
        <v>12</v>
      </c>
      <c r="C3201" s="2" t="s">
        <v>12</v>
      </c>
      <c r="D3201" s="2" t="s">
        <v>12</v>
      </c>
      <c r="E3201" s="2" t="s">
        <v>12</v>
      </c>
      <c r="F3201" s="2" t="s">
        <v>12</v>
      </c>
      <c r="G3201" s="2" t="s">
        <v>12</v>
      </c>
      <c r="H3201" s="2" t="s">
        <v>12</v>
      </c>
      <c r="I3201" s="2" t="s">
        <v>12</v>
      </c>
      <c r="J3201" s="2" t="s">
        <v>12</v>
      </c>
      <c r="K3201" s="2" t="s">
        <v>12</v>
      </c>
    </row>
    <row r="3202" spans="1:11" ht="12.5" x14ac:dyDescent="0.25">
      <c r="A3202" s="3" t="e">
        <f ca="1"/>
        <v>#NAME?</v>
      </c>
      <c r="B3202" s="2" t="s">
        <v>12</v>
      </c>
      <c r="C3202" s="2" t="s">
        <v>12</v>
      </c>
      <c r="D3202" s="2" t="s">
        <v>12</v>
      </c>
      <c r="E3202" s="2" t="s">
        <v>12</v>
      </c>
      <c r="F3202" s="2" t="s">
        <v>12</v>
      </c>
      <c r="G3202" s="2" t="s">
        <v>12</v>
      </c>
      <c r="H3202" s="2" t="s">
        <v>12</v>
      </c>
      <c r="I3202" s="2" t="s">
        <v>12</v>
      </c>
      <c r="J3202" s="2" t="s">
        <v>12</v>
      </c>
      <c r="K3202" s="2" t="s">
        <v>12</v>
      </c>
    </row>
    <row r="3203" spans="1:11" ht="12.5" x14ac:dyDescent="0.25">
      <c r="A3203" s="3" t="e">
        <f ca="1"/>
        <v>#NAME?</v>
      </c>
      <c r="B3203" s="2" t="s">
        <v>12</v>
      </c>
      <c r="C3203" s="2" t="s">
        <v>12</v>
      </c>
      <c r="D3203" s="2" t="s">
        <v>12</v>
      </c>
      <c r="E3203" s="2" t="s">
        <v>12</v>
      </c>
      <c r="F3203" s="2" t="s">
        <v>12</v>
      </c>
      <c r="G3203" s="2" t="s">
        <v>12</v>
      </c>
      <c r="H3203" s="2" t="s">
        <v>12</v>
      </c>
      <c r="I3203" s="2" t="s">
        <v>12</v>
      </c>
      <c r="J3203" s="2" t="s">
        <v>12</v>
      </c>
      <c r="K3203" s="2" t="s">
        <v>12</v>
      </c>
    </row>
    <row r="3204" spans="1:11" ht="12.5" x14ac:dyDescent="0.25">
      <c r="A3204" s="3" t="e">
        <f ca="1"/>
        <v>#NAME?</v>
      </c>
      <c r="B3204" s="2" t="s">
        <v>12</v>
      </c>
      <c r="C3204" s="2" t="s">
        <v>12</v>
      </c>
      <c r="D3204" s="2" t="s">
        <v>12</v>
      </c>
      <c r="E3204" s="2" t="s">
        <v>12</v>
      </c>
      <c r="F3204" s="2" t="s">
        <v>12</v>
      </c>
      <c r="G3204" s="2" t="s">
        <v>12</v>
      </c>
      <c r="H3204" s="2" t="s">
        <v>12</v>
      </c>
      <c r="I3204" s="2" t="s">
        <v>12</v>
      </c>
      <c r="J3204" s="2" t="s">
        <v>12</v>
      </c>
      <c r="K3204" s="2" t="s">
        <v>12</v>
      </c>
    </row>
    <row r="3205" spans="1:11" ht="12.5" x14ac:dyDescent="0.25">
      <c r="A3205" s="3" t="e">
        <f ca="1"/>
        <v>#NAME?</v>
      </c>
      <c r="B3205" s="2" t="s">
        <v>12</v>
      </c>
      <c r="C3205" s="2" t="s">
        <v>12</v>
      </c>
      <c r="D3205" s="2" t="s">
        <v>12</v>
      </c>
      <c r="E3205" s="2" t="s">
        <v>12</v>
      </c>
      <c r="F3205" s="2" t="s">
        <v>12</v>
      </c>
      <c r="G3205" s="2" t="s">
        <v>12</v>
      </c>
      <c r="H3205" s="2" t="s">
        <v>12</v>
      </c>
      <c r="I3205" s="2" t="s">
        <v>12</v>
      </c>
      <c r="J3205" s="2" t="s">
        <v>12</v>
      </c>
      <c r="K3205" s="2" t="s">
        <v>12</v>
      </c>
    </row>
    <row r="3206" spans="1:11" ht="12.5" x14ac:dyDescent="0.25">
      <c r="A3206" s="3" t="e">
        <f ca="1"/>
        <v>#NAME?</v>
      </c>
      <c r="B3206" s="2" t="s">
        <v>12</v>
      </c>
      <c r="C3206" s="2" t="s">
        <v>12</v>
      </c>
      <c r="D3206" s="2" t="s">
        <v>12</v>
      </c>
      <c r="E3206" s="2" t="s">
        <v>12</v>
      </c>
      <c r="F3206" s="2" t="s">
        <v>12</v>
      </c>
      <c r="G3206" s="2" t="s">
        <v>12</v>
      </c>
      <c r="H3206" s="2" t="s">
        <v>12</v>
      </c>
      <c r="I3206" s="2" t="s">
        <v>12</v>
      </c>
      <c r="J3206" s="2" t="s">
        <v>12</v>
      </c>
      <c r="K3206" s="2" t="s">
        <v>12</v>
      </c>
    </row>
    <row r="3207" spans="1:11" ht="12.5" x14ac:dyDescent="0.25">
      <c r="A3207" s="3" t="e">
        <f ca="1"/>
        <v>#NAME?</v>
      </c>
      <c r="B3207" s="2" t="s">
        <v>12</v>
      </c>
      <c r="C3207" s="2" t="s">
        <v>12</v>
      </c>
      <c r="D3207" s="2" t="s">
        <v>12</v>
      </c>
      <c r="E3207" s="2" t="s">
        <v>12</v>
      </c>
      <c r="F3207" s="2" t="s">
        <v>12</v>
      </c>
      <c r="G3207" s="2" t="s">
        <v>12</v>
      </c>
      <c r="H3207" s="2" t="s">
        <v>12</v>
      </c>
      <c r="I3207" s="2" t="s">
        <v>12</v>
      </c>
      <c r="J3207" s="2" t="s">
        <v>12</v>
      </c>
      <c r="K3207" s="2" t="s">
        <v>12</v>
      </c>
    </row>
    <row r="3208" spans="1:11" ht="12.5" x14ac:dyDescent="0.25">
      <c r="A3208" s="3" t="e">
        <f ca="1"/>
        <v>#NAME?</v>
      </c>
      <c r="B3208" s="2" t="s">
        <v>12</v>
      </c>
      <c r="C3208" s="2" t="s">
        <v>12</v>
      </c>
      <c r="D3208" s="2" t="s">
        <v>12</v>
      </c>
      <c r="E3208" s="2" t="s">
        <v>12</v>
      </c>
      <c r="F3208" s="2" t="s">
        <v>12</v>
      </c>
      <c r="G3208" s="2" t="s">
        <v>12</v>
      </c>
      <c r="H3208" s="2" t="s">
        <v>12</v>
      </c>
      <c r="I3208" s="2" t="s">
        <v>12</v>
      </c>
      <c r="J3208" s="2" t="s">
        <v>12</v>
      </c>
      <c r="K3208" s="2" t="s">
        <v>12</v>
      </c>
    </row>
    <row r="3209" spans="1:11" ht="12.5" x14ac:dyDescent="0.25">
      <c r="A3209" s="3" t="e">
        <f ca="1"/>
        <v>#NAME?</v>
      </c>
      <c r="B3209" s="2" t="s">
        <v>12</v>
      </c>
      <c r="C3209" s="2" t="s">
        <v>12</v>
      </c>
      <c r="D3209" s="2" t="s">
        <v>12</v>
      </c>
      <c r="E3209" s="2" t="s">
        <v>12</v>
      </c>
      <c r="F3209" s="2" t="s">
        <v>12</v>
      </c>
      <c r="G3209" s="2" t="s">
        <v>12</v>
      </c>
      <c r="H3209" s="2" t="s">
        <v>12</v>
      </c>
      <c r="I3209" s="2" t="s">
        <v>12</v>
      </c>
      <c r="J3209" s="2" t="s">
        <v>12</v>
      </c>
      <c r="K3209" s="2" t="s">
        <v>12</v>
      </c>
    </row>
    <row r="3210" spans="1:11" ht="12.5" x14ac:dyDescent="0.25">
      <c r="A3210" s="3" t="e">
        <f ca="1"/>
        <v>#NAME?</v>
      </c>
      <c r="B3210" s="2" t="s">
        <v>12</v>
      </c>
      <c r="C3210" s="2" t="s">
        <v>12</v>
      </c>
      <c r="D3210" s="2" t="s">
        <v>12</v>
      </c>
      <c r="E3210" s="2" t="s">
        <v>12</v>
      </c>
      <c r="F3210" s="2" t="s">
        <v>12</v>
      </c>
      <c r="G3210" s="2" t="s">
        <v>12</v>
      </c>
      <c r="H3210" s="2" t="s">
        <v>12</v>
      </c>
      <c r="I3210" s="2" t="s">
        <v>12</v>
      </c>
      <c r="J3210" s="2" t="s">
        <v>12</v>
      </c>
      <c r="K3210" s="2" t="s">
        <v>12</v>
      </c>
    </row>
    <row r="3211" spans="1:11" ht="12.5" x14ac:dyDescent="0.25">
      <c r="A3211" s="3" t="e">
        <f ca="1"/>
        <v>#NAME?</v>
      </c>
      <c r="B3211" s="2" t="s">
        <v>12</v>
      </c>
      <c r="C3211" s="2" t="s">
        <v>12</v>
      </c>
      <c r="D3211" s="2" t="s">
        <v>12</v>
      </c>
      <c r="E3211" s="2" t="s">
        <v>12</v>
      </c>
      <c r="F3211" s="2" t="s">
        <v>12</v>
      </c>
      <c r="G3211" s="2" t="s">
        <v>12</v>
      </c>
      <c r="H3211" s="2" t="s">
        <v>12</v>
      </c>
      <c r="I3211" s="2" t="s">
        <v>12</v>
      </c>
      <c r="J3211" s="2" t="s">
        <v>12</v>
      </c>
      <c r="K3211" s="2" t="s">
        <v>12</v>
      </c>
    </row>
    <row r="3212" spans="1:11" ht="12.5" x14ac:dyDescent="0.25">
      <c r="A3212" s="3" t="e">
        <f ca="1"/>
        <v>#NAME?</v>
      </c>
      <c r="B3212" s="2" t="s">
        <v>12</v>
      </c>
      <c r="C3212" s="2" t="s">
        <v>12</v>
      </c>
      <c r="D3212" s="2" t="s">
        <v>12</v>
      </c>
      <c r="E3212" s="2" t="s">
        <v>12</v>
      </c>
      <c r="F3212" s="2" t="s">
        <v>12</v>
      </c>
      <c r="G3212" s="2" t="s">
        <v>12</v>
      </c>
      <c r="H3212" s="2" t="s">
        <v>12</v>
      </c>
      <c r="I3212" s="2" t="s">
        <v>12</v>
      </c>
      <c r="J3212" s="2" t="s">
        <v>12</v>
      </c>
      <c r="K3212" s="2" t="s">
        <v>12</v>
      </c>
    </row>
    <row r="3213" spans="1:11" ht="12.5" x14ac:dyDescent="0.25">
      <c r="A3213" s="3" t="e">
        <f ca="1"/>
        <v>#NAME?</v>
      </c>
      <c r="B3213" s="2" t="s">
        <v>12</v>
      </c>
      <c r="C3213" s="2" t="s">
        <v>12</v>
      </c>
      <c r="D3213" s="2" t="s">
        <v>12</v>
      </c>
      <c r="E3213" s="2" t="s">
        <v>12</v>
      </c>
      <c r="F3213" s="2" t="s">
        <v>12</v>
      </c>
      <c r="G3213" s="2" t="s">
        <v>12</v>
      </c>
      <c r="H3213" s="2" t="s">
        <v>12</v>
      </c>
      <c r="I3213" s="2" t="s">
        <v>12</v>
      </c>
      <c r="J3213" s="2" t="s">
        <v>12</v>
      </c>
      <c r="K3213" s="2" t="s">
        <v>12</v>
      </c>
    </row>
    <row r="3214" spans="1:11" ht="12.5" x14ac:dyDescent="0.25">
      <c r="A3214" s="3" t="e">
        <f ca="1"/>
        <v>#NAME?</v>
      </c>
      <c r="B3214" s="2" t="s">
        <v>12</v>
      </c>
      <c r="C3214" s="2" t="s">
        <v>12</v>
      </c>
      <c r="D3214" s="2" t="s">
        <v>12</v>
      </c>
      <c r="E3214" s="2" t="s">
        <v>12</v>
      </c>
      <c r="F3214" s="2" t="s">
        <v>12</v>
      </c>
      <c r="G3214" s="2" t="s">
        <v>12</v>
      </c>
      <c r="H3214" s="2" t="s">
        <v>12</v>
      </c>
      <c r="I3214" s="2" t="s">
        <v>12</v>
      </c>
      <c r="J3214" s="2" t="s">
        <v>12</v>
      </c>
      <c r="K3214" s="2" t="s">
        <v>12</v>
      </c>
    </row>
    <row r="3215" spans="1:11" ht="12.5" x14ac:dyDescent="0.25">
      <c r="A3215" s="3" t="e">
        <f ca="1"/>
        <v>#NAME?</v>
      </c>
      <c r="B3215" s="2" t="s">
        <v>12</v>
      </c>
      <c r="C3215" s="2" t="s">
        <v>12</v>
      </c>
      <c r="D3215" s="2" t="s">
        <v>12</v>
      </c>
      <c r="E3215" s="2" t="s">
        <v>12</v>
      </c>
      <c r="F3215" s="2" t="s">
        <v>12</v>
      </c>
      <c r="G3215" s="2" t="s">
        <v>12</v>
      </c>
      <c r="H3215" s="2" t="s">
        <v>12</v>
      </c>
      <c r="I3215" s="2" t="s">
        <v>12</v>
      </c>
      <c r="J3215" s="2" t="s">
        <v>12</v>
      </c>
      <c r="K3215" s="2" t="s">
        <v>12</v>
      </c>
    </row>
    <row r="3216" spans="1:11" ht="12.5" x14ac:dyDescent="0.25">
      <c r="A3216" s="3" t="e">
        <f ca="1"/>
        <v>#NAME?</v>
      </c>
      <c r="B3216" s="2" t="s">
        <v>12</v>
      </c>
      <c r="C3216" s="2" t="s">
        <v>12</v>
      </c>
      <c r="D3216" s="2" t="s">
        <v>12</v>
      </c>
      <c r="E3216" s="2" t="s">
        <v>12</v>
      </c>
      <c r="F3216" s="2" t="s">
        <v>12</v>
      </c>
      <c r="G3216" s="2" t="s">
        <v>12</v>
      </c>
      <c r="H3216" s="2" t="s">
        <v>12</v>
      </c>
      <c r="I3216" s="2" t="s">
        <v>12</v>
      </c>
      <c r="J3216" s="2" t="s">
        <v>12</v>
      </c>
      <c r="K3216" s="2" t="s">
        <v>12</v>
      </c>
    </row>
    <row r="3217" spans="1:11" ht="12.5" x14ac:dyDescent="0.25">
      <c r="A3217" s="3" t="e">
        <f ca="1"/>
        <v>#NAME?</v>
      </c>
      <c r="B3217" s="2" t="s">
        <v>12</v>
      </c>
      <c r="C3217" s="2" t="s">
        <v>12</v>
      </c>
      <c r="D3217" s="2" t="s">
        <v>12</v>
      </c>
      <c r="E3217" s="2" t="s">
        <v>12</v>
      </c>
      <c r="F3217" s="2" t="s">
        <v>12</v>
      </c>
      <c r="G3217" s="2" t="s">
        <v>12</v>
      </c>
      <c r="H3217" s="2" t="s">
        <v>12</v>
      </c>
      <c r="I3217" s="2" t="s">
        <v>12</v>
      </c>
      <c r="J3217" s="2" t="s">
        <v>12</v>
      </c>
      <c r="K3217" s="2" t="s">
        <v>12</v>
      </c>
    </row>
    <row r="3218" spans="1:11" ht="12.5" x14ac:dyDescent="0.25">
      <c r="A3218" s="3" t="e">
        <f ca="1"/>
        <v>#NAME?</v>
      </c>
      <c r="B3218" s="2" t="s">
        <v>12</v>
      </c>
      <c r="C3218" s="2" t="s">
        <v>12</v>
      </c>
      <c r="D3218" s="2" t="s">
        <v>12</v>
      </c>
      <c r="E3218" s="2" t="s">
        <v>12</v>
      </c>
      <c r="F3218" s="2" t="s">
        <v>12</v>
      </c>
      <c r="G3218" s="2" t="s">
        <v>12</v>
      </c>
      <c r="H3218" s="2" t="s">
        <v>12</v>
      </c>
      <c r="I3218" s="2" t="s">
        <v>12</v>
      </c>
      <c r="J3218" s="2" t="s">
        <v>12</v>
      </c>
      <c r="K3218" s="2" t="s">
        <v>12</v>
      </c>
    </row>
    <row r="3219" spans="1:11" ht="12.5" x14ac:dyDescent="0.25">
      <c r="A3219" s="3" t="e">
        <f ca="1"/>
        <v>#NAME?</v>
      </c>
      <c r="B3219" s="2" t="s">
        <v>12</v>
      </c>
      <c r="C3219" s="2" t="s">
        <v>12</v>
      </c>
      <c r="D3219" s="2" t="s">
        <v>12</v>
      </c>
      <c r="E3219" s="2" t="s">
        <v>12</v>
      </c>
      <c r="F3219" s="2" t="s">
        <v>12</v>
      </c>
      <c r="G3219" s="2" t="s">
        <v>12</v>
      </c>
      <c r="H3219" s="2" t="s">
        <v>12</v>
      </c>
      <c r="I3219" s="2" t="s">
        <v>12</v>
      </c>
      <c r="J3219" s="2" t="s">
        <v>12</v>
      </c>
      <c r="K3219" s="2" t="s">
        <v>12</v>
      </c>
    </row>
    <row r="3220" spans="1:11" ht="12.5" x14ac:dyDescent="0.25">
      <c r="A3220" s="3" t="e">
        <f ca="1"/>
        <v>#NAME?</v>
      </c>
      <c r="B3220" s="2" t="s">
        <v>12</v>
      </c>
      <c r="C3220" s="2" t="s">
        <v>12</v>
      </c>
      <c r="D3220" s="2" t="s">
        <v>12</v>
      </c>
      <c r="E3220" s="2" t="s">
        <v>12</v>
      </c>
      <c r="F3220" s="2" t="s">
        <v>12</v>
      </c>
      <c r="G3220" s="2" t="s">
        <v>12</v>
      </c>
      <c r="H3220" s="2" t="s">
        <v>12</v>
      </c>
      <c r="I3220" s="2" t="s">
        <v>12</v>
      </c>
      <c r="J3220" s="2" t="s">
        <v>12</v>
      </c>
      <c r="K3220" s="2" t="s">
        <v>12</v>
      </c>
    </row>
    <row r="3221" spans="1:11" ht="12.5" x14ac:dyDescent="0.25">
      <c r="A3221" s="3" t="e">
        <f ca="1"/>
        <v>#NAME?</v>
      </c>
      <c r="B3221" s="2" t="s">
        <v>12</v>
      </c>
      <c r="C3221" s="2" t="s">
        <v>12</v>
      </c>
      <c r="D3221" s="2" t="s">
        <v>12</v>
      </c>
      <c r="E3221" s="2" t="s">
        <v>12</v>
      </c>
      <c r="F3221" s="2" t="s">
        <v>12</v>
      </c>
      <c r="G3221" s="2" t="s">
        <v>12</v>
      </c>
      <c r="H3221" s="2" t="s">
        <v>12</v>
      </c>
      <c r="I3221" s="2" t="s">
        <v>12</v>
      </c>
      <c r="J3221" s="2" t="s">
        <v>12</v>
      </c>
      <c r="K3221" s="2" t="s">
        <v>12</v>
      </c>
    </row>
    <row r="3222" spans="1:11" ht="12.5" x14ac:dyDescent="0.25">
      <c r="A3222" s="3" t="e">
        <f ca="1"/>
        <v>#NAME?</v>
      </c>
      <c r="B3222" s="2" t="s">
        <v>12</v>
      </c>
      <c r="C3222" s="2" t="s">
        <v>12</v>
      </c>
      <c r="D3222" s="2" t="s">
        <v>12</v>
      </c>
      <c r="E3222" s="2" t="s">
        <v>12</v>
      </c>
      <c r="F3222" s="2" t="s">
        <v>12</v>
      </c>
      <c r="G3222" s="2" t="s">
        <v>12</v>
      </c>
      <c r="H3222" s="2" t="s">
        <v>12</v>
      </c>
      <c r="I3222" s="2" t="s">
        <v>12</v>
      </c>
      <c r="J3222" s="2" t="s">
        <v>12</v>
      </c>
      <c r="K3222" s="2" t="s">
        <v>12</v>
      </c>
    </row>
    <row r="3223" spans="1:11" ht="12.5" x14ac:dyDescent="0.25">
      <c r="A3223" s="3" t="e">
        <f ca="1"/>
        <v>#NAME?</v>
      </c>
      <c r="B3223" s="2" t="s">
        <v>12</v>
      </c>
      <c r="C3223" s="2" t="s">
        <v>12</v>
      </c>
      <c r="D3223" s="2" t="s">
        <v>12</v>
      </c>
      <c r="E3223" s="2" t="s">
        <v>12</v>
      </c>
      <c r="F3223" s="2" t="s">
        <v>12</v>
      </c>
      <c r="G3223" s="2" t="s">
        <v>12</v>
      </c>
      <c r="H3223" s="2" t="s">
        <v>12</v>
      </c>
      <c r="I3223" s="2" t="s">
        <v>12</v>
      </c>
      <c r="J3223" s="2" t="s">
        <v>12</v>
      </c>
      <c r="K3223" s="2" t="s">
        <v>12</v>
      </c>
    </row>
    <row r="3224" spans="1:11" ht="12.5" x14ac:dyDescent="0.25">
      <c r="A3224" s="3" t="e">
        <f ca="1"/>
        <v>#NAME?</v>
      </c>
      <c r="B3224" s="2" t="s">
        <v>12</v>
      </c>
      <c r="C3224" s="2" t="s">
        <v>12</v>
      </c>
      <c r="D3224" s="2" t="s">
        <v>12</v>
      </c>
      <c r="E3224" s="2" t="s">
        <v>12</v>
      </c>
      <c r="F3224" s="2" t="s">
        <v>12</v>
      </c>
      <c r="G3224" s="2" t="s">
        <v>12</v>
      </c>
      <c r="H3224" s="2" t="s">
        <v>12</v>
      </c>
      <c r="I3224" s="2" t="s">
        <v>12</v>
      </c>
      <c r="J3224" s="2" t="s">
        <v>12</v>
      </c>
      <c r="K3224" s="2" t="s">
        <v>12</v>
      </c>
    </row>
    <row r="3225" spans="1:11" ht="12.5" x14ac:dyDescent="0.25">
      <c r="A3225" s="3" t="e">
        <f ca="1"/>
        <v>#NAME?</v>
      </c>
      <c r="B3225" s="2" t="s">
        <v>12</v>
      </c>
      <c r="C3225" s="2" t="s">
        <v>12</v>
      </c>
      <c r="D3225" s="2" t="s">
        <v>12</v>
      </c>
      <c r="E3225" s="2" t="s">
        <v>12</v>
      </c>
      <c r="F3225" s="2" t="s">
        <v>12</v>
      </c>
      <c r="G3225" s="2" t="s">
        <v>12</v>
      </c>
      <c r="H3225" s="2" t="s">
        <v>12</v>
      </c>
      <c r="I3225" s="2" t="s">
        <v>12</v>
      </c>
      <c r="J3225" s="2" t="s">
        <v>12</v>
      </c>
      <c r="K3225" s="2" t="s">
        <v>12</v>
      </c>
    </row>
    <row r="3226" spans="1:11" ht="12.5" x14ac:dyDescent="0.25">
      <c r="A3226" s="3" t="e">
        <f ca="1"/>
        <v>#NAME?</v>
      </c>
      <c r="B3226" s="2" t="s">
        <v>12</v>
      </c>
      <c r="C3226" s="2" t="s">
        <v>12</v>
      </c>
      <c r="D3226" s="2" t="s">
        <v>12</v>
      </c>
      <c r="E3226" s="2" t="s">
        <v>12</v>
      </c>
      <c r="F3226" s="2" t="s">
        <v>12</v>
      </c>
      <c r="G3226" s="2" t="s">
        <v>12</v>
      </c>
      <c r="H3226" s="2" t="s">
        <v>12</v>
      </c>
      <c r="I3226" s="2" t="s">
        <v>12</v>
      </c>
      <c r="J3226" s="2" t="s">
        <v>12</v>
      </c>
      <c r="K3226" s="2" t="s">
        <v>12</v>
      </c>
    </row>
    <row r="3227" spans="1:11" ht="12.5" x14ac:dyDescent="0.25">
      <c r="A3227" s="3" t="e">
        <f ca="1"/>
        <v>#NAME?</v>
      </c>
      <c r="B3227" s="2" t="s">
        <v>12</v>
      </c>
      <c r="C3227" s="2" t="s">
        <v>12</v>
      </c>
      <c r="D3227" s="2" t="s">
        <v>12</v>
      </c>
      <c r="E3227" s="2" t="s">
        <v>12</v>
      </c>
      <c r="F3227" s="2" t="s">
        <v>12</v>
      </c>
      <c r="G3227" s="2" t="s">
        <v>12</v>
      </c>
      <c r="H3227" s="2" t="s">
        <v>12</v>
      </c>
      <c r="I3227" s="2" t="s">
        <v>12</v>
      </c>
      <c r="J3227" s="2" t="s">
        <v>12</v>
      </c>
      <c r="K3227" s="2" t="s">
        <v>12</v>
      </c>
    </row>
    <row r="3228" spans="1:11" ht="12.5" x14ac:dyDescent="0.25">
      <c r="A3228" s="3" t="e">
        <f ca="1"/>
        <v>#NAME?</v>
      </c>
      <c r="B3228" s="2" t="s">
        <v>12</v>
      </c>
      <c r="C3228" s="2" t="s">
        <v>12</v>
      </c>
      <c r="D3228" s="2" t="s">
        <v>12</v>
      </c>
      <c r="E3228" s="2" t="s">
        <v>12</v>
      </c>
      <c r="F3228" s="2" t="s">
        <v>12</v>
      </c>
      <c r="G3228" s="2" t="s">
        <v>12</v>
      </c>
      <c r="H3228" s="2" t="s">
        <v>12</v>
      </c>
      <c r="I3228" s="2" t="s">
        <v>12</v>
      </c>
      <c r="J3228" s="2" t="s">
        <v>12</v>
      </c>
      <c r="K3228" s="2" t="s">
        <v>12</v>
      </c>
    </row>
    <row r="3229" spans="1:11" ht="12.5" x14ac:dyDescent="0.25">
      <c r="A3229" s="3" t="e">
        <f ca="1"/>
        <v>#NAME?</v>
      </c>
      <c r="B3229" s="2" t="s">
        <v>12</v>
      </c>
      <c r="C3229" s="2" t="s">
        <v>12</v>
      </c>
      <c r="D3229" s="2" t="s">
        <v>12</v>
      </c>
      <c r="E3229" s="2" t="s">
        <v>12</v>
      </c>
      <c r="F3229" s="2" t="s">
        <v>12</v>
      </c>
      <c r="G3229" s="2" t="s">
        <v>12</v>
      </c>
      <c r="H3229" s="2" t="s">
        <v>12</v>
      </c>
      <c r="I3229" s="2" t="s">
        <v>12</v>
      </c>
      <c r="J3229" s="2" t="s">
        <v>12</v>
      </c>
      <c r="K3229" s="2" t="s">
        <v>12</v>
      </c>
    </row>
    <row r="3230" spans="1:11" ht="12.5" x14ac:dyDescent="0.25">
      <c r="A3230" s="3" t="e">
        <f ca="1"/>
        <v>#NAME?</v>
      </c>
      <c r="B3230" s="2" t="s">
        <v>12</v>
      </c>
      <c r="C3230" s="2" t="s">
        <v>12</v>
      </c>
      <c r="D3230" s="2" t="s">
        <v>12</v>
      </c>
      <c r="E3230" s="2" t="s">
        <v>12</v>
      </c>
      <c r="F3230" s="2" t="s">
        <v>12</v>
      </c>
      <c r="G3230" s="2" t="s">
        <v>12</v>
      </c>
      <c r="H3230" s="2" t="s">
        <v>12</v>
      </c>
      <c r="I3230" s="2" t="s">
        <v>12</v>
      </c>
      <c r="J3230" s="2" t="s">
        <v>12</v>
      </c>
      <c r="K3230" s="2" t="s">
        <v>12</v>
      </c>
    </row>
    <row r="3231" spans="1:11" ht="12.5" x14ac:dyDescent="0.25">
      <c r="A3231" s="3" t="e">
        <f ca="1"/>
        <v>#NAME?</v>
      </c>
      <c r="B3231" s="2" t="s">
        <v>12</v>
      </c>
      <c r="C3231" s="2" t="s">
        <v>12</v>
      </c>
      <c r="D3231" s="2" t="s">
        <v>12</v>
      </c>
      <c r="E3231" s="2" t="s">
        <v>12</v>
      </c>
      <c r="F3231" s="2" t="s">
        <v>12</v>
      </c>
      <c r="G3231" s="2" t="s">
        <v>12</v>
      </c>
      <c r="H3231" s="2" t="s">
        <v>12</v>
      </c>
      <c r="I3231" s="2" t="s">
        <v>12</v>
      </c>
      <c r="J3231" s="2" t="s">
        <v>12</v>
      </c>
      <c r="K3231" s="2" t="s">
        <v>12</v>
      </c>
    </row>
    <row r="3232" spans="1:11" ht="12.5" x14ac:dyDescent="0.25">
      <c r="A3232" s="3" t="e">
        <f ca="1"/>
        <v>#NAME?</v>
      </c>
      <c r="B3232" s="2" t="s">
        <v>12</v>
      </c>
      <c r="C3232" s="2" t="s">
        <v>12</v>
      </c>
      <c r="D3232" s="2" t="s">
        <v>12</v>
      </c>
      <c r="E3232" s="2" t="s">
        <v>12</v>
      </c>
      <c r="F3232" s="2" t="s">
        <v>12</v>
      </c>
      <c r="G3232" s="2" t="s">
        <v>12</v>
      </c>
      <c r="H3232" s="2" t="s">
        <v>12</v>
      </c>
      <c r="I3232" s="2" t="s">
        <v>12</v>
      </c>
      <c r="J3232" s="2" t="s">
        <v>12</v>
      </c>
      <c r="K3232" s="2" t="s">
        <v>12</v>
      </c>
    </row>
    <row r="3233" spans="1:11" ht="12.5" x14ac:dyDescent="0.25">
      <c r="A3233" s="3" t="e">
        <f ca="1"/>
        <v>#NAME?</v>
      </c>
      <c r="B3233" s="2" t="s">
        <v>12</v>
      </c>
      <c r="C3233" s="2" t="s">
        <v>12</v>
      </c>
      <c r="D3233" s="2" t="s">
        <v>12</v>
      </c>
      <c r="E3233" s="2" t="s">
        <v>12</v>
      </c>
      <c r="F3233" s="2" t="s">
        <v>12</v>
      </c>
      <c r="G3233" s="2" t="s">
        <v>12</v>
      </c>
      <c r="H3233" s="2" t="s">
        <v>12</v>
      </c>
      <c r="I3233" s="2" t="s">
        <v>12</v>
      </c>
      <c r="J3233" s="2" t="s">
        <v>12</v>
      </c>
      <c r="K3233" s="2" t="s">
        <v>12</v>
      </c>
    </row>
    <row r="3234" spans="1:11" ht="12.5" x14ac:dyDescent="0.25">
      <c r="A3234" s="3" t="e">
        <f ca="1"/>
        <v>#NAME?</v>
      </c>
      <c r="B3234" s="2" t="s">
        <v>12</v>
      </c>
      <c r="C3234" s="2" t="s">
        <v>12</v>
      </c>
      <c r="D3234" s="2" t="s">
        <v>12</v>
      </c>
      <c r="E3234" s="2" t="s">
        <v>12</v>
      </c>
      <c r="F3234" s="2" t="s">
        <v>12</v>
      </c>
      <c r="G3234" s="2" t="s">
        <v>12</v>
      </c>
      <c r="H3234" s="2" t="s">
        <v>12</v>
      </c>
      <c r="I3234" s="2" t="s">
        <v>12</v>
      </c>
      <c r="J3234" s="2" t="s">
        <v>12</v>
      </c>
      <c r="K3234" s="2" t="s">
        <v>12</v>
      </c>
    </row>
    <row r="3235" spans="1:11" ht="12.5" x14ac:dyDescent="0.25">
      <c r="A3235" s="3" t="e">
        <f ca="1"/>
        <v>#NAME?</v>
      </c>
      <c r="B3235" s="2" t="s">
        <v>12</v>
      </c>
      <c r="C3235" s="2" t="s">
        <v>12</v>
      </c>
      <c r="D3235" s="2" t="s">
        <v>12</v>
      </c>
      <c r="E3235" s="2" t="s">
        <v>12</v>
      </c>
      <c r="F3235" s="2" t="s">
        <v>12</v>
      </c>
      <c r="G3235" s="2" t="s">
        <v>12</v>
      </c>
      <c r="H3235" s="2" t="s">
        <v>12</v>
      </c>
      <c r="I3235" s="2" t="s">
        <v>12</v>
      </c>
      <c r="J3235" s="2" t="s">
        <v>12</v>
      </c>
      <c r="K3235" s="2" t="s">
        <v>12</v>
      </c>
    </row>
    <row r="3236" spans="1:11" ht="12.5" x14ac:dyDescent="0.25">
      <c r="A3236" s="3" t="e">
        <f ca="1"/>
        <v>#NAME?</v>
      </c>
      <c r="B3236" s="2" t="s">
        <v>12</v>
      </c>
      <c r="C3236" s="2" t="s">
        <v>12</v>
      </c>
      <c r="D3236" s="2" t="s">
        <v>12</v>
      </c>
      <c r="E3236" s="2" t="s">
        <v>12</v>
      </c>
      <c r="F3236" s="2" t="s">
        <v>12</v>
      </c>
      <c r="G3236" s="2" t="s">
        <v>12</v>
      </c>
      <c r="H3236" s="2" t="s">
        <v>12</v>
      </c>
      <c r="I3236" s="2" t="s">
        <v>12</v>
      </c>
      <c r="J3236" s="2" t="s">
        <v>12</v>
      </c>
      <c r="K3236" s="2" t="s">
        <v>12</v>
      </c>
    </row>
    <row r="3237" spans="1:11" ht="12.5" x14ac:dyDescent="0.25">
      <c r="A3237" s="3" t="e">
        <f ca="1"/>
        <v>#NAME?</v>
      </c>
      <c r="B3237" s="2" t="s">
        <v>12</v>
      </c>
      <c r="C3237" s="2" t="s">
        <v>12</v>
      </c>
      <c r="D3237" s="2" t="s">
        <v>12</v>
      </c>
      <c r="E3237" s="2" t="s">
        <v>12</v>
      </c>
      <c r="F3237" s="2" t="s">
        <v>12</v>
      </c>
      <c r="G3237" s="2" t="s">
        <v>12</v>
      </c>
      <c r="H3237" s="2" t="s">
        <v>12</v>
      </c>
      <c r="I3237" s="2" t="s">
        <v>12</v>
      </c>
      <c r="J3237" s="2" t="s">
        <v>12</v>
      </c>
      <c r="K3237" s="2" t="s">
        <v>12</v>
      </c>
    </row>
    <row r="3238" spans="1:11" ht="12.5" x14ac:dyDescent="0.25">
      <c r="A3238" s="3" t="e">
        <f ca="1"/>
        <v>#NAME?</v>
      </c>
      <c r="B3238" s="2" t="s">
        <v>12</v>
      </c>
      <c r="C3238" s="2" t="s">
        <v>12</v>
      </c>
      <c r="D3238" s="2" t="s">
        <v>12</v>
      </c>
      <c r="E3238" s="2" t="s">
        <v>12</v>
      </c>
      <c r="F3238" s="2" t="s">
        <v>12</v>
      </c>
      <c r="G3238" s="2" t="s">
        <v>12</v>
      </c>
      <c r="H3238" s="2" t="s">
        <v>12</v>
      </c>
      <c r="I3238" s="2" t="s">
        <v>12</v>
      </c>
      <c r="J3238" s="2" t="s">
        <v>12</v>
      </c>
      <c r="K3238" s="2" t="s">
        <v>12</v>
      </c>
    </row>
    <row r="3239" spans="1:11" ht="12.5" x14ac:dyDescent="0.25">
      <c r="A3239" s="3" t="e">
        <f ca="1"/>
        <v>#NAME?</v>
      </c>
      <c r="B3239" s="2" t="s">
        <v>12</v>
      </c>
      <c r="C3239" s="2" t="s">
        <v>12</v>
      </c>
      <c r="D3239" s="2" t="s">
        <v>12</v>
      </c>
      <c r="E3239" s="2" t="s">
        <v>12</v>
      </c>
      <c r="F3239" s="2" t="s">
        <v>12</v>
      </c>
      <c r="G3239" s="2" t="s">
        <v>12</v>
      </c>
      <c r="H3239" s="2" t="s">
        <v>12</v>
      </c>
      <c r="I3239" s="2" t="s">
        <v>12</v>
      </c>
      <c r="J3239" s="2" t="s">
        <v>12</v>
      </c>
      <c r="K3239" s="2" t="s">
        <v>12</v>
      </c>
    </row>
    <row r="3240" spans="1:11" ht="12.5" x14ac:dyDescent="0.25">
      <c r="A3240" s="3" t="e">
        <f ca="1"/>
        <v>#NAME?</v>
      </c>
      <c r="B3240" s="2" t="s">
        <v>12</v>
      </c>
      <c r="C3240" s="2" t="s">
        <v>12</v>
      </c>
      <c r="D3240" s="2" t="s">
        <v>12</v>
      </c>
      <c r="E3240" s="2" t="s">
        <v>12</v>
      </c>
      <c r="F3240" s="2" t="s">
        <v>12</v>
      </c>
      <c r="G3240" s="2" t="s">
        <v>12</v>
      </c>
      <c r="H3240" s="2" t="s">
        <v>12</v>
      </c>
      <c r="I3240" s="2" t="s">
        <v>12</v>
      </c>
      <c r="J3240" s="2" t="s">
        <v>12</v>
      </c>
      <c r="K3240" s="2" t="s">
        <v>12</v>
      </c>
    </row>
    <row r="3241" spans="1:11" ht="12.5" x14ac:dyDescent="0.25">
      <c r="A3241" s="3" t="e">
        <f ca="1"/>
        <v>#NAME?</v>
      </c>
      <c r="B3241" s="2" t="s">
        <v>12</v>
      </c>
      <c r="C3241" s="2" t="s">
        <v>12</v>
      </c>
      <c r="D3241" s="2" t="s">
        <v>12</v>
      </c>
      <c r="E3241" s="2" t="s">
        <v>12</v>
      </c>
      <c r="F3241" s="2" t="s">
        <v>12</v>
      </c>
      <c r="G3241" s="2" t="s">
        <v>12</v>
      </c>
      <c r="H3241" s="2" t="s">
        <v>12</v>
      </c>
      <c r="I3241" s="2" t="s">
        <v>12</v>
      </c>
      <c r="J3241" s="2" t="s">
        <v>12</v>
      </c>
      <c r="K3241" s="2" t="s">
        <v>12</v>
      </c>
    </row>
    <row r="3242" spans="1:11" ht="12.5" x14ac:dyDescent="0.25">
      <c r="A3242" s="3" t="e">
        <f ca="1"/>
        <v>#NAME?</v>
      </c>
      <c r="B3242" s="2" t="s">
        <v>12</v>
      </c>
      <c r="C3242" s="2" t="s">
        <v>12</v>
      </c>
      <c r="D3242" s="2" t="s">
        <v>12</v>
      </c>
      <c r="E3242" s="2" t="s">
        <v>12</v>
      </c>
      <c r="F3242" s="2" t="s">
        <v>12</v>
      </c>
      <c r="G3242" s="2" t="s">
        <v>12</v>
      </c>
      <c r="H3242" s="2" t="s">
        <v>12</v>
      </c>
      <c r="I3242" s="2" t="s">
        <v>12</v>
      </c>
      <c r="J3242" s="2" t="s">
        <v>12</v>
      </c>
      <c r="K3242" s="2" t="s">
        <v>12</v>
      </c>
    </row>
    <row r="3243" spans="1:11" ht="12.5" x14ac:dyDescent="0.25">
      <c r="A3243" s="3" t="e">
        <f ca="1"/>
        <v>#NAME?</v>
      </c>
      <c r="B3243" s="2" t="s">
        <v>12</v>
      </c>
      <c r="C3243" s="2" t="s">
        <v>12</v>
      </c>
      <c r="D3243" s="2" t="s">
        <v>12</v>
      </c>
      <c r="E3243" s="2" t="s">
        <v>12</v>
      </c>
      <c r="F3243" s="2" t="s">
        <v>12</v>
      </c>
      <c r="G3243" s="2" t="s">
        <v>12</v>
      </c>
      <c r="H3243" s="2" t="s">
        <v>12</v>
      </c>
      <c r="I3243" s="2" t="s">
        <v>12</v>
      </c>
      <c r="J3243" s="2" t="s">
        <v>12</v>
      </c>
      <c r="K3243" s="2" t="s">
        <v>12</v>
      </c>
    </row>
    <row r="3244" spans="1:11" ht="12.5" x14ac:dyDescent="0.25">
      <c r="A3244" s="3" t="e">
        <f ca="1"/>
        <v>#NAME?</v>
      </c>
      <c r="B3244" s="2" t="s">
        <v>12</v>
      </c>
      <c r="C3244" s="2" t="s">
        <v>12</v>
      </c>
      <c r="D3244" s="2" t="s">
        <v>12</v>
      </c>
      <c r="E3244" s="2" t="s">
        <v>12</v>
      </c>
      <c r="F3244" s="2" t="s">
        <v>12</v>
      </c>
      <c r="G3244" s="2" t="s">
        <v>12</v>
      </c>
      <c r="H3244" s="2" t="s">
        <v>12</v>
      </c>
      <c r="I3244" s="2" t="s">
        <v>12</v>
      </c>
      <c r="J3244" s="2" t="s">
        <v>12</v>
      </c>
      <c r="K3244" s="2" t="s">
        <v>12</v>
      </c>
    </row>
    <row r="3245" spans="1:11" ht="12.5" x14ac:dyDescent="0.25">
      <c r="A3245" s="3" t="e">
        <f ca="1"/>
        <v>#NAME?</v>
      </c>
      <c r="B3245" s="2" t="s">
        <v>12</v>
      </c>
      <c r="C3245" s="2" t="s">
        <v>12</v>
      </c>
      <c r="D3245" s="2" t="s">
        <v>12</v>
      </c>
      <c r="E3245" s="2" t="s">
        <v>12</v>
      </c>
      <c r="F3245" s="2" t="s">
        <v>12</v>
      </c>
      <c r="G3245" s="2" t="s">
        <v>12</v>
      </c>
      <c r="H3245" s="2" t="s">
        <v>12</v>
      </c>
      <c r="I3245" s="2" t="s">
        <v>12</v>
      </c>
      <c r="J3245" s="2" t="s">
        <v>12</v>
      </c>
      <c r="K3245" s="2" t="s">
        <v>12</v>
      </c>
    </row>
    <row r="3246" spans="1:11" ht="12.5" x14ac:dyDescent="0.25">
      <c r="A3246" s="3" t="e">
        <f ca="1"/>
        <v>#NAME?</v>
      </c>
      <c r="B3246" s="2" t="s">
        <v>12</v>
      </c>
      <c r="C3246" s="2" t="s">
        <v>12</v>
      </c>
      <c r="D3246" s="2" t="s">
        <v>12</v>
      </c>
      <c r="E3246" s="2" t="s">
        <v>12</v>
      </c>
      <c r="F3246" s="2" t="s">
        <v>12</v>
      </c>
      <c r="G3246" s="2" t="s">
        <v>12</v>
      </c>
      <c r="H3246" s="2" t="s">
        <v>12</v>
      </c>
      <c r="I3246" s="2" t="s">
        <v>12</v>
      </c>
      <c r="J3246" s="2" t="s">
        <v>12</v>
      </c>
      <c r="K3246" s="2" t="s">
        <v>12</v>
      </c>
    </row>
    <row r="3247" spans="1:11" ht="12.5" x14ac:dyDescent="0.25">
      <c r="A3247" s="3" t="e">
        <f ca="1"/>
        <v>#NAME?</v>
      </c>
      <c r="B3247" s="2" t="s">
        <v>12</v>
      </c>
      <c r="C3247" s="2" t="s">
        <v>12</v>
      </c>
      <c r="D3247" s="2" t="s">
        <v>12</v>
      </c>
      <c r="E3247" s="2" t="s">
        <v>12</v>
      </c>
      <c r="F3247" s="2" t="s">
        <v>12</v>
      </c>
      <c r="G3247" s="2" t="s">
        <v>12</v>
      </c>
      <c r="H3247" s="2" t="s">
        <v>12</v>
      </c>
      <c r="I3247" s="2" t="s">
        <v>12</v>
      </c>
      <c r="J3247" s="2" t="s">
        <v>12</v>
      </c>
      <c r="K3247" s="2" t="s">
        <v>12</v>
      </c>
    </row>
    <row r="3248" spans="1:11" ht="12.5" x14ac:dyDescent="0.25">
      <c r="A3248" s="3" t="e">
        <f ca="1"/>
        <v>#NAME?</v>
      </c>
      <c r="B3248" s="2" t="s">
        <v>12</v>
      </c>
      <c r="C3248" s="2" t="s">
        <v>12</v>
      </c>
      <c r="D3248" s="2" t="s">
        <v>12</v>
      </c>
      <c r="E3248" s="2" t="s">
        <v>12</v>
      </c>
      <c r="F3248" s="2" t="s">
        <v>12</v>
      </c>
      <c r="G3248" s="2" t="s">
        <v>12</v>
      </c>
      <c r="H3248" s="2" t="s">
        <v>12</v>
      </c>
      <c r="I3248" s="2" t="s">
        <v>12</v>
      </c>
      <c r="J3248" s="2" t="s">
        <v>12</v>
      </c>
      <c r="K3248" s="2" t="s">
        <v>12</v>
      </c>
    </row>
    <row r="3249" spans="1:11" ht="12.5" x14ac:dyDescent="0.25">
      <c r="A3249" s="3" t="e">
        <f ca="1"/>
        <v>#NAME?</v>
      </c>
      <c r="B3249" s="2" t="s">
        <v>12</v>
      </c>
      <c r="C3249" s="2" t="s">
        <v>12</v>
      </c>
      <c r="D3249" s="2" t="s">
        <v>12</v>
      </c>
      <c r="E3249" s="2" t="s">
        <v>12</v>
      </c>
      <c r="F3249" s="2" t="s">
        <v>12</v>
      </c>
      <c r="G3249" s="2" t="s">
        <v>12</v>
      </c>
      <c r="H3249" s="2" t="s">
        <v>12</v>
      </c>
      <c r="I3249" s="2" t="s">
        <v>12</v>
      </c>
      <c r="J3249" s="2" t="s">
        <v>12</v>
      </c>
      <c r="K3249" s="2" t="s">
        <v>12</v>
      </c>
    </row>
    <row r="3250" spans="1:11" ht="12.5" x14ac:dyDescent="0.25">
      <c r="A3250" s="3" t="e">
        <f ca="1"/>
        <v>#NAME?</v>
      </c>
      <c r="B3250" s="2" t="s">
        <v>12</v>
      </c>
      <c r="C3250" s="2" t="s">
        <v>12</v>
      </c>
      <c r="D3250" s="2" t="s">
        <v>12</v>
      </c>
      <c r="E3250" s="2" t="s">
        <v>12</v>
      </c>
      <c r="F3250" s="2" t="s">
        <v>12</v>
      </c>
      <c r="G3250" s="2" t="s">
        <v>12</v>
      </c>
      <c r="H3250" s="2" t="s">
        <v>12</v>
      </c>
      <c r="I3250" s="2" t="s">
        <v>12</v>
      </c>
      <c r="J3250" s="2" t="s">
        <v>12</v>
      </c>
      <c r="K3250" s="2" t="s">
        <v>12</v>
      </c>
    </row>
    <row r="3251" spans="1:11" ht="12.5" x14ac:dyDescent="0.25">
      <c r="A3251" s="3" t="e">
        <f ca="1"/>
        <v>#NAME?</v>
      </c>
      <c r="B3251" s="2" t="s">
        <v>12</v>
      </c>
      <c r="C3251" s="2" t="s">
        <v>12</v>
      </c>
      <c r="D3251" s="2" t="s">
        <v>12</v>
      </c>
      <c r="E3251" s="2" t="s">
        <v>12</v>
      </c>
      <c r="F3251" s="2" t="s">
        <v>12</v>
      </c>
      <c r="G3251" s="2" t="s">
        <v>12</v>
      </c>
      <c r="H3251" s="2" t="s">
        <v>12</v>
      </c>
      <c r="I3251" s="2" t="s">
        <v>12</v>
      </c>
      <c r="J3251" s="2" t="s">
        <v>12</v>
      </c>
      <c r="K3251" s="2" t="s">
        <v>12</v>
      </c>
    </row>
    <row r="3252" spans="1:11" ht="12.5" x14ac:dyDescent="0.25">
      <c r="A3252" s="3" t="e">
        <f ca="1"/>
        <v>#NAME?</v>
      </c>
      <c r="B3252" s="2" t="s">
        <v>12</v>
      </c>
      <c r="C3252" s="2" t="s">
        <v>12</v>
      </c>
      <c r="D3252" s="2" t="s">
        <v>12</v>
      </c>
      <c r="E3252" s="2" t="s">
        <v>12</v>
      </c>
      <c r="F3252" s="2" t="s">
        <v>12</v>
      </c>
      <c r="G3252" s="2" t="s">
        <v>12</v>
      </c>
      <c r="H3252" s="2" t="s">
        <v>12</v>
      </c>
      <c r="I3252" s="2" t="s">
        <v>12</v>
      </c>
      <c r="J3252" s="2" t="s">
        <v>12</v>
      </c>
      <c r="K3252" s="2" t="s">
        <v>12</v>
      </c>
    </row>
    <row r="3253" spans="1:11" ht="12.5" x14ac:dyDescent="0.25">
      <c r="A3253" s="3" t="e">
        <f ca="1"/>
        <v>#NAME?</v>
      </c>
      <c r="B3253" s="2" t="s">
        <v>12</v>
      </c>
      <c r="C3253" s="2" t="s">
        <v>12</v>
      </c>
      <c r="D3253" s="2" t="s">
        <v>12</v>
      </c>
      <c r="E3253" s="2" t="s">
        <v>12</v>
      </c>
      <c r="F3253" s="2" t="s">
        <v>12</v>
      </c>
      <c r="G3253" s="2" t="s">
        <v>12</v>
      </c>
      <c r="H3253" s="2" t="s">
        <v>12</v>
      </c>
      <c r="I3253" s="2" t="s">
        <v>12</v>
      </c>
      <c r="J3253" s="2" t="s">
        <v>12</v>
      </c>
      <c r="K3253" s="2" t="s">
        <v>12</v>
      </c>
    </row>
    <row r="3254" spans="1:11" ht="12.5" x14ac:dyDescent="0.25">
      <c r="A3254" s="3" t="e">
        <f ca="1"/>
        <v>#NAME?</v>
      </c>
      <c r="B3254" s="2" t="s">
        <v>12</v>
      </c>
      <c r="C3254" s="2" t="s">
        <v>12</v>
      </c>
      <c r="D3254" s="2" t="s">
        <v>12</v>
      </c>
      <c r="E3254" s="2" t="s">
        <v>12</v>
      </c>
      <c r="F3254" s="2" t="s">
        <v>12</v>
      </c>
      <c r="G3254" s="2" t="s">
        <v>12</v>
      </c>
      <c r="H3254" s="2" t="s">
        <v>12</v>
      </c>
      <c r="I3254" s="2" t="s">
        <v>12</v>
      </c>
      <c r="J3254" s="2" t="s">
        <v>12</v>
      </c>
      <c r="K3254" s="2" t="s">
        <v>12</v>
      </c>
    </row>
    <row r="3255" spans="1:11" ht="12.5" x14ac:dyDescent="0.25">
      <c r="A3255" s="3" t="e">
        <f ca="1"/>
        <v>#NAME?</v>
      </c>
      <c r="B3255" s="2" t="s">
        <v>12</v>
      </c>
      <c r="C3255" s="2" t="s">
        <v>12</v>
      </c>
      <c r="D3255" s="2" t="s">
        <v>12</v>
      </c>
      <c r="E3255" s="2" t="s">
        <v>12</v>
      </c>
      <c r="F3255" s="2" t="s">
        <v>12</v>
      </c>
      <c r="G3255" s="2" t="s">
        <v>12</v>
      </c>
      <c r="H3255" s="2" t="s">
        <v>12</v>
      </c>
      <c r="I3255" s="2" t="s">
        <v>12</v>
      </c>
      <c r="J3255" s="2" t="s">
        <v>12</v>
      </c>
      <c r="K3255" s="2" t="s">
        <v>12</v>
      </c>
    </row>
    <row r="3256" spans="1:11" ht="12.5" x14ac:dyDescent="0.25">
      <c r="A3256" s="3" t="e">
        <f ca="1"/>
        <v>#NAME?</v>
      </c>
      <c r="B3256" s="2" t="s">
        <v>12</v>
      </c>
      <c r="C3256" s="2" t="s">
        <v>12</v>
      </c>
      <c r="D3256" s="2" t="s">
        <v>12</v>
      </c>
      <c r="E3256" s="2" t="s">
        <v>12</v>
      </c>
      <c r="F3256" s="2" t="s">
        <v>12</v>
      </c>
      <c r="G3256" s="2" t="s">
        <v>12</v>
      </c>
      <c r="H3256" s="2" t="s">
        <v>12</v>
      </c>
      <c r="I3256" s="2" t="s">
        <v>12</v>
      </c>
      <c r="J3256" s="2" t="s">
        <v>12</v>
      </c>
      <c r="K3256" s="2" t="s">
        <v>12</v>
      </c>
    </row>
    <row r="3257" spans="1:11" ht="12.5" x14ac:dyDescent="0.25">
      <c r="A3257" s="3" t="e">
        <f ca="1"/>
        <v>#NAME?</v>
      </c>
      <c r="B3257" s="2" t="s">
        <v>12</v>
      </c>
      <c r="C3257" s="2" t="s">
        <v>12</v>
      </c>
      <c r="D3257" s="2" t="s">
        <v>12</v>
      </c>
      <c r="E3257" s="2" t="s">
        <v>12</v>
      </c>
      <c r="F3257" s="2" t="s">
        <v>12</v>
      </c>
      <c r="G3257" s="2" t="s">
        <v>12</v>
      </c>
      <c r="H3257" s="2" t="s">
        <v>12</v>
      </c>
      <c r="I3257" s="2" t="s">
        <v>12</v>
      </c>
      <c r="J3257" s="2" t="s">
        <v>12</v>
      </c>
      <c r="K3257" s="2" t="s">
        <v>12</v>
      </c>
    </row>
    <row r="3258" spans="1:11" ht="12.5" x14ac:dyDescent="0.25">
      <c r="A3258" s="3" t="e">
        <f ca="1"/>
        <v>#NAME?</v>
      </c>
      <c r="B3258" s="2" t="s">
        <v>12</v>
      </c>
      <c r="C3258" s="2" t="s">
        <v>12</v>
      </c>
      <c r="D3258" s="2" t="s">
        <v>12</v>
      </c>
      <c r="E3258" s="2" t="s">
        <v>12</v>
      </c>
      <c r="F3258" s="2" t="s">
        <v>12</v>
      </c>
      <c r="G3258" s="2" t="s">
        <v>12</v>
      </c>
      <c r="H3258" s="2" t="s">
        <v>12</v>
      </c>
      <c r="I3258" s="2" t="s">
        <v>12</v>
      </c>
      <c r="J3258" s="2" t="s">
        <v>12</v>
      </c>
      <c r="K3258" s="2" t="s">
        <v>12</v>
      </c>
    </row>
    <row r="3259" spans="1:11" ht="12.5" x14ac:dyDescent="0.25">
      <c r="A3259" s="3" t="e">
        <f ca="1"/>
        <v>#NAME?</v>
      </c>
      <c r="B3259" s="2" t="s">
        <v>12</v>
      </c>
      <c r="C3259" s="2" t="s">
        <v>12</v>
      </c>
      <c r="D3259" s="2" t="s">
        <v>12</v>
      </c>
      <c r="E3259" s="2" t="s">
        <v>12</v>
      </c>
      <c r="F3259" s="2" t="s">
        <v>12</v>
      </c>
      <c r="G3259" s="2" t="s">
        <v>12</v>
      </c>
      <c r="H3259" s="2" t="s">
        <v>12</v>
      </c>
      <c r="I3259" s="2" t="s">
        <v>12</v>
      </c>
      <c r="J3259" s="2" t="s">
        <v>12</v>
      </c>
      <c r="K3259" s="2" t="s">
        <v>12</v>
      </c>
    </row>
    <row r="3260" spans="1:11" ht="12.5" x14ac:dyDescent="0.25">
      <c r="A3260" s="3" t="e">
        <f ca="1"/>
        <v>#NAME?</v>
      </c>
      <c r="B3260" s="2" t="s">
        <v>12</v>
      </c>
      <c r="C3260" s="2" t="s">
        <v>12</v>
      </c>
      <c r="D3260" s="2" t="s">
        <v>12</v>
      </c>
      <c r="E3260" s="2" t="s">
        <v>12</v>
      </c>
      <c r="F3260" s="2" t="s">
        <v>12</v>
      </c>
      <c r="G3260" s="2" t="s">
        <v>12</v>
      </c>
      <c r="H3260" s="2" t="s">
        <v>12</v>
      </c>
      <c r="I3260" s="2" t="s">
        <v>12</v>
      </c>
      <c r="J3260" s="2" t="s">
        <v>12</v>
      </c>
      <c r="K3260" s="2" t="s">
        <v>12</v>
      </c>
    </row>
    <row r="3261" spans="1:11" ht="12.5" x14ac:dyDescent="0.25">
      <c r="A3261" s="3" t="e">
        <f ca="1"/>
        <v>#NAME?</v>
      </c>
      <c r="B3261" s="2" t="s">
        <v>12</v>
      </c>
      <c r="C3261" s="2" t="s">
        <v>12</v>
      </c>
      <c r="D3261" s="2" t="s">
        <v>12</v>
      </c>
      <c r="E3261" s="2" t="s">
        <v>12</v>
      </c>
      <c r="F3261" s="2" t="s">
        <v>12</v>
      </c>
      <c r="G3261" s="2" t="s">
        <v>12</v>
      </c>
      <c r="H3261" s="2" t="s">
        <v>12</v>
      </c>
      <c r="I3261" s="2" t="s">
        <v>12</v>
      </c>
      <c r="J3261" s="2" t="s">
        <v>12</v>
      </c>
      <c r="K3261" s="2" t="s">
        <v>12</v>
      </c>
    </row>
    <row r="3262" spans="1:11" ht="12.5" x14ac:dyDescent="0.25">
      <c r="A3262" s="3" t="e">
        <f ca="1"/>
        <v>#NAME?</v>
      </c>
      <c r="B3262" s="2" t="s">
        <v>12</v>
      </c>
      <c r="C3262" s="2" t="s">
        <v>12</v>
      </c>
      <c r="D3262" s="2" t="s">
        <v>12</v>
      </c>
      <c r="E3262" s="2" t="s">
        <v>12</v>
      </c>
      <c r="F3262" s="2" t="s">
        <v>12</v>
      </c>
      <c r="G3262" s="2" t="s">
        <v>12</v>
      </c>
      <c r="H3262" s="2" t="s">
        <v>12</v>
      </c>
      <c r="I3262" s="2" t="s">
        <v>12</v>
      </c>
      <c r="J3262" s="2" t="s">
        <v>12</v>
      </c>
      <c r="K3262" s="2" t="s">
        <v>12</v>
      </c>
    </row>
    <row r="3263" spans="1:11" ht="12.5" x14ac:dyDescent="0.25">
      <c r="A3263" s="3" t="e">
        <f ca="1"/>
        <v>#NAME?</v>
      </c>
      <c r="B3263" s="2" t="s">
        <v>12</v>
      </c>
      <c r="C3263" s="2" t="s">
        <v>12</v>
      </c>
      <c r="D3263" s="2" t="s">
        <v>12</v>
      </c>
      <c r="E3263" s="2" t="s">
        <v>12</v>
      </c>
      <c r="F3263" s="2" t="s">
        <v>12</v>
      </c>
      <c r="G3263" s="2" t="s">
        <v>12</v>
      </c>
      <c r="H3263" s="2" t="s">
        <v>12</v>
      </c>
      <c r="I3263" s="2" t="s">
        <v>12</v>
      </c>
      <c r="J3263" s="2" t="s">
        <v>12</v>
      </c>
      <c r="K3263" s="2" t="s">
        <v>12</v>
      </c>
    </row>
    <row r="3264" spans="1:11" ht="12.5" x14ac:dyDescent="0.25">
      <c r="A3264" s="3" t="e">
        <f ca="1"/>
        <v>#NAME?</v>
      </c>
      <c r="B3264" s="2" t="s">
        <v>12</v>
      </c>
      <c r="C3264" s="2" t="s">
        <v>12</v>
      </c>
      <c r="D3264" s="2" t="s">
        <v>12</v>
      </c>
      <c r="E3264" s="2" t="s">
        <v>12</v>
      </c>
      <c r="F3264" s="2" t="s">
        <v>12</v>
      </c>
      <c r="G3264" s="2" t="s">
        <v>12</v>
      </c>
      <c r="H3264" s="2" t="s">
        <v>12</v>
      </c>
      <c r="I3264" s="2" t="s">
        <v>12</v>
      </c>
      <c r="J3264" s="2" t="s">
        <v>12</v>
      </c>
      <c r="K3264" s="2" t="s">
        <v>12</v>
      </c>
    </row>
    <row r="3265" spans="1:11" ht="12.5" x14ac:dyDescent="0.25">
      <c r="A3265" s="3" t="e">
        <f ca="1"/>
        <v>#NAME?</v>
      </c>
      <c r="B3265" s="2" t="s">
        <v>12</v>
      </c>
      <c r="C3265" s="2" t="s">
        <v>12</v>
      </c>
      <c r="D3265" s="2" t="s">
        <v>12</v>
      </c>
      <c r="E3265" s="2" t="s">
        <v>12</v>
      </c>
      <c r="F3265" s="2" t="s">
        <v>12</v>
      </c>
      <c r="G3265" s="2" t="s">
        <v>12</v>
      </c>
      <c r="H3265" s="2" t="s">
        <v>12</v>
      </c>
      <c r="I3265" s="2" t="s">
        <v>12</v>
      </c>
      <c r="J3265" s="2" t="s">
        <v>12</v>
      </c>
      <c r="K3265" s="2" t="s">
        <v>12</v>
      </c>
    </row>
    <row r="3266" spans="1:11" ht="12.5" x14ac:dyDescent="0.25">
      <c r="A3266" s="3" t="e">
        <f ca="1"/>
        <v>#NAME?</v>
      </c>
      <c r="B3266" s="2" t="s">
        <v>12</v>
      </c>
      <c r="C3266" s="2" t="s">
        <v>12</v>
      </c>
      <c r="D3266" s="2" t="s">
        <v>12</v>
      </c>
      <c r="E3266" s="2" t="s">
        <v>12</v>
      </c>
      <c r="F3266" s="2" t="s">
        <v>12</v>
      </c>
      <c r="G3266" s="2" t="s">
        <v>12</v>
      </c>
      <c r="H3266" s="2" t="s">
        <v>12</v>
      </c>
      <c r="I3266" s="2" t="s">
        <v>12</v>
      </c>
      <c r="J3266" s="2" t="s">
        <v>12</v>
      </c>
      <c r="K3266" s="2" t="s">
        <v>12</v>
      </c>
    </row>
    <row r="3267" spans="1:11" ht="12.5" x14ac:dyDescent="0.25">
      <c r="A3267" s="3" t="e">
        <f ca="1"/>
        <v>#NAME?</v>
      </c>
      <c r="B3267" s="2" t="s">
        <v>12</v>
      </c>
      <c r="C3267" s="2" t="s">
        <v>12</v>
      </c>
      <c r="D3267" s="2" t="s">
        <v>12</v>
      </c>
      <c r="E3267" s="2" t="s">
        <v>12</v>
      </c>
      <c r="F3267" s="2" t="s">
        <v>12</v>
      </c>
      <c r="G3267" s="2" t="s">
        <v>12</v>
      </c>
      <c r="H3267" s="2" t="s">
        <v>12</v>
      </c>
      <c r="I3267" s="2" t="s">
        <v>12</v>
      </c>
      <c r="J3267" s="2" t="s">
        <v>12</v>
      </c>
      <c r="K3267" s="2" t="s">
        <v>12</v>
      </c>
    </row>
    <row r="3268" spans="1:11" ht="12.5" x14ac:dyDescent="0.25">
      <c r="A3268" s="3" t="e">
        <f ca="1"/>
        <v>#NAME?</v>
      </c>
      <c r="B3268" s="2" t="s">
        <v>12</v>
      </c>
      <c r="C3268" s="2" t="s">
        <v>12</v>
      </c>
      <c r="D3268" s="2" t="s">
        <v>12</v>
      </c>
      <c r="E3268" s="2" t="s">
        <v>12</v>
      </c>
      <c r="F3268" s="2" t="s">
        <v>12</v>
      </c>
      <c r="G3268" s="2" t="s">
        <v>12</v>
      </c>
      <c r="H3268" s="2" t="s">
        <v>12</v>
      </c>
      <c r="I3268" s="2" t="s">
        <v>12</v>
      </c>
      <c r="J3268" s="2" t="s">
        <v>12</v>
      </c>
      <c r="K3268" s="2" t="s">
        <v>12</v>
      </c>
    </row>
    <row r="3269" spans="1:11" ht="12.5" x14ac:dyDescent="0.25">
      <c r="A3269" s="3" t="e">
        <f ca="1"/>
        <v>#NAME?</v>
      </c>
      <c r="B3269" s="2" t="s">
        <v>12</v>
      </c>
      <c r="C3269" s="2" t="s">
        <v>12</v>
      </c>
      <c r="D3269" s="2" t="s">
        <v>12</v>
      </c>
      <c r="E3269" s="2" t="s">
        <v>12</v>
      </c>
      <c r="F3269" s="2" t="s">
        <v>12</v>
      </c>
      <c r="G3269" s="2" t="s">
        <v>12</v>
      </c>
      <c r="H3269" s="2" t="s">
        <v>12</v>
      </c>
      <c r="I3269" s="2" t="s">
        <v>12</v>
      </c>
      <c r="J3269" s="2" t="s">
        <v>12</v>
      </c>
      <c r="K3269" s="2" t="s">
        <v>12</v>
      </c>
    </row>
    <row r="3270" spans="1:11" ht="12.5" x14ac:dyDescent="0.25">
      <c r="A3270" s="3" t="e">
        <f ca="1"/>
        <v>#NAME?</v>
      </c>
      <c r="B3270" s="2" t="s">
        <v>12</v>
      </c>
      <c r="C3270" s="2" t="s">
        <v>12</v>
      </c>
      <c r="D3270" s="2" t="s">
        <v>12</v>
      </c>
      <c r="E3270" s="2" t="s">
        <v>12</v>
      </c>
      <c r="F3270" s="2" t="s">
        <v>12</v>
      </c>
      <c r="G3270" s="2" t="s">
        <v>12</v>
      </c>
      <c r="H3270" s="2" t="s">
        <v>12</v>
      </c>
      <c r="I3270" s="2" t="s">
        <v>12</v>
      </c>
      <c r="J3270" s="2" t="s">
        <v>12</v>
      </c>
      <c r="K3270" s="2" t="s">
        <v>12</v>
      </c>
    </row>
    <row r="3271" spans="1:11" ht="12.5" x14ac:dyDescent="0.25">
      <c r="A3271" s="3" t="e">
        <f ca="1"/>
        <v>#NAME?</v>
      </c>
      <c r="B3271" s="2" t="s">
        <v>12</v>
      </c>
      <c r="C3271" s="2" t="s">
        <v>12</v>
      </c>
      <c r="D3271" s="2" t="s">
        <v>12</v>
      </c>
      <c r="E3271" s="2" t="s">
        <v>12</v>
      </c>
      <c r="F3271" s="2" t="s">
        <v>12</v>
      </c>
      <c r="G3271" s="2" t="s">
        <v>12</v>
      </c>
      <c r="H3271" s="2" t="s">
        <v>12</v>
      </c>
      <c r="I3271" s="2" t="s">
        <v>12</v>
      </c>
      <c r="J3271" s="2" t="s">
        <v>12</v>
      </c>
      <c r="K3271" s="2" t="s">
        <v>12</v>
      </c>
    </row>
    <row r="3272" spans="1:11" ht="12.5" x14ac:dyDescent="0.25">
      <c r="A3272" s="3" t="e">
        <f ca="1"/>
        <v>#NAME?</v>
      </c>
      <c r="B3272" s="2" t="s">
        <v>12</v>
      </c>
      <c r="C3272" s="2" t="s">
        <v>12</v>
      </c>
      <c r="D3272" s="2" t="s">
        <v>12</v>
      </c>
      <c r="E3272" s="2" t="s">
        <v>12</v>
      </c>
      <c r="F3272" s="2" t="s">
        <v>12</v>
      </c>
      <c r="G3272" s="2" t="s">
        <v>12</v>
      </c>
      <c r="H3272" s="2" t="s">
        <v>12</v>
      </c>
      <c r="I3272" s="2" t="s">
        <v>12</v>
      </c>
      <c r="J3272" s="2" t="s">
        <v>12</v>
      </c>
      <c r="K3272" s="2" t="s">
        <v>12</v>
      </c>
    </row>
    <row r="3273" spans="1:11" ht="12.5" x14ac:dyDescent="0.25">
      <c r="A3273" s="3" t="e">
        <f ca="1"/>
        <v>#NAME?</v>
      </c>
      <c r="B3273" s="2" t="s">
        <v>12</v>
      </c>
      <c r="C3273" s="2" t="s">
        <v>12</v>
      </c>
      <c r="D3273" s="2" t="s">
        <v>12</v>
      </c>
      <c r="E3273" s="2" t="s">
        <v>12</v>
      </c>
      <c r="F3273" s="2" t="s">
        <v>12</v>
      </c>
      <c r="G3273" s="2" t="s">
        <v>12</v>
      </c>
      <c r="H3273" s="2" t="s">
        <v>12</v>
      </c>
      <c r="I3273" s="2" t="s">
        <v>12</v>
      </c>
      <c r="J3273" s="2" t="s">
        <v>12</v>
      </c>
      <c r="K3273" s="2" t="s">
        <v>12</v>
      </c>
    </row>
    <row r="3274" spans="1:11" ht="12.5" x14ac:dyDescent="0.25">
      <c r="A3274" s="3" t="e">
        <f ca="1"/>
        <v>#NAME?</v>
      </c>
      <c r="B3274" s="2" t="s">
        <v>12</v>
      </c>
      <c r="C3274" s="2" t="s">
        <v>12</v>
      </c>
      <c r="D3274" s="2" t="s">
        <v>12</v>
      </c>
      <c r="E3274" s="2" t="s">
        <v>12</v>
      </c>
      <c r="F3274" s="2" t="s">
        <v>12</v>
      </c>
      <c r="G3274" s="2" t="s">
        <v>12</v>
      </c>
      <c r="H3274" s="2" t="s">
        <v>12</v>
      </c>
      <c r="I3274" s="2" t="s">
        <v>12</v>
      </c>
      <c r="J3274" s="2" t="s">
        <v>12</v>
      </c>
      <c r="K3274" s="2" t="s">
        <v>12</v>
      </c>
    </row>
    <row r="3275" spans="1:11" ht="12.5" x14ac:dyDescent="0.25">
      <c r="A3275" s="3" t="e">
        <f ca="1"/>
        <v>#NAME?</v>
      </c>
      <c r="B3275" s="2" t="s">
        <v>12</v>
      </c>
      <c r="C3275" s="2" t="s">
        <v>12</v>
      </c>
      <c r="D3275" s="2" t="s">
        <v>12</v>
      </c>
      <c r="E3275" s="2" t="s">
        <v>12</v>
      </c>
      <c r="F3275" s="2" t="s">
        <v>12</v>
      </c>
      <c r="G3275" s="2" t="s">
        <v>12</v>
      </c>
      <c r="H3275" s="2" t="s">
        <v>12</v>
      </c>
      <c r="I3275" s="2" t="s">
        <v>12</v>
      </c>
      <c r="J3275" s="2" t="s">
        <v>12</v>
      </c>
      <c r="K3275" s="2" t="s">
        <v>12</v>
      </c>
    </row>
    <row r="3276" spans="1:11" ht="12.5" x14ac:dyDescent="0.25">
      <c r="A3276" s="3" t="e">
        <f ca="1"/>
        <v>#NAME?</v>
      </c>
      <c r="B3276" s="2" t="s">
        <v>12</v>
      </c>
      <c r="C3276" s="2" t="s">
        <v>12</v>
      </c>
      <c r="D3276" s="2" t="s">
        <v>12</v>
      </c>
      <c r="E3276" s="2" t="s">
        <v>12</v>
      </c>
      <c r="F3276" s="2" t="s">
        <v>12</v>
      </c>
      <c r="G3276" s="2" t="s">
        <v>12</v>
      </c>
      <c r="H3276" s="2" t="s">
        <v>12</v>
      </c>
      <c r="I3276" s="2" t="s">
        <v>12</v>
      </c>
      <c r="J3276" s="2" t="s">
        <v>12</v>
      </c>
      <c r="K3276" s="2" t="s">
        <v>12</v>
      </c>
    </row>
    <row r="3277" spans="1:11" ht="12.5" x14ac:dyDescent="0.25">
      <c r="A3277" s="3" t="e">
        <f ca="1"/>
        <v>#NAME?</v>
      </c>
      <c r="B3277" s="2" t="s">
        <v>12</v>
      </c>
      <c r="C3277" s="2" t="s">
        <v>12</v>
      </c>
      <c r="D3277" s="2" t="s">
        <v>12</v>
      </c>
      <c r="E3277" s="2" t="s">
        <v>12</v>
      </c>
      <c r="F3277" s="2" t="s">
        <v>12</v>
      </c>
      <c r="G3277" s="2" t="s">
        <v>12</v>
      </c>
      <c r="H3277" s="2" t="s">
        <v>12</v>
      </c>
      <c r="I3277" s="2" t="s">
        <v>12</v>
      </c>
      <c r="J3277" s="2" t="s">
        <v>12</v>
      </c>
      <c r="K3277" s="2" t="s">
        <v>12</v>
      </c>
    </row>
    <row r="3278" spans="1:11" ht="12.5" x14ac:dyDescent="0.25">
      <c r="A3278" s="3" t="e">
        <f ca="1"/>
        <v>#NAME?</v>
      </c>
      <c r="B3278" s="2" t="s">
        <v>12</v>
      </c>
      <c r="C3278" s="2" t="s">
        <v>12</v>
      </c>
      <c r="D3278" s="2" t="s">
        <v>12</v>
      </c>
      <c r="E3278" s="2" t="s">
        <v>12</v>
      </c>
      <c r="F3278" s="2" t="s">
        <v>12</v>
      </c>
      <c r="G3278" s="2" t="s">
        <v>12</v>
      </c>
      <c r="H3278" s="2" t="s">
        <v>12</v>
      </c>
      <c r="I3278" s="2" t="s">
        <v>12</v>
      </c>
      <c r="J3278" s="2" t="s">
        <v>12</v>
      </c>
      <c r="K3278" s="2" t="s">
        <v>12</v>
      </c>
    </row>
    <row r="3279" spans="1:11" ht="12.5" x14ac:dyDescent="0.25">
      <c r="A3279" s="3" t="e">
        <f ca="1"/>
        <v>#NAME?</v>
      </c>
      <c r="B3279" s="2" t="s">
        <v>12</v>
      </c>
      <c r="C3279" s="2" t="s">
        <v>12</v>
      </c>
      <c r="D3279" s="2" t="s">
        <v>12</v>
      </c>
      <c r="E3279" s="2" t="s">
        <v>12</v>
      </c>
      <c r="F3279" s="2" t="s">
        <v>12</v>
      </c>
      <c r="G3279" s="2" t="s">
        <v>12</v>
      </c>
      <c r="H3279" s="2" t="s">
        <v>12</v>
      </c>
      <c r="I3279" s="2" t="s">
        <v>12</v>
      </c>
      <c r="J3279" s="2" t="s">
        <v>12</v>
      </c>
      <c r="K3279" s="2" t="s">
        <v>12</v>
      </c>
    </row>
    <row r="3280" spans="1:11" ht="12.5" x14ac:dyDescent="0.25">
      <c r="A3280" s="3" t="e">
        <f ca="1"/>
        <v>#NAME?</v>
      </c>
      <c r="B3280" s="2" t="s">
        <v>12</v>
      </c>
      <c r="C3280" s="2" t="s">
        <v>12</v>
      </c>
      <c r="D3280" s="2" t="s">
        <v>12</v>
      </c>
      <c r="E3280" s="2" t="s">
        <v>12</v>
      </c>
      <c r="F3280" s="2" t="s">
        <v>12</v>
      </c>
      <c r="G3280" s="2" t="s">
        <v>12</v>
      </c>
      <c r="H3280" s="2" t="s">
        <v>12</v>
      </c>
      <c r="I3280" s="2" t="s">
        <v>12</v>
      </c>
      <c r="J3280" s="2" t="s">
        <v>12</v>
      </c>
      <c r="K3280" s="2" t="s">
        <v>12</v>
      </c>
    </row>
    <row r="3281" spans="1:11" ht="12.5" x14ac:dyDescent="0.25">
      <c r="A3281" s="3" t="e">
        <f ca="1"/>
        <v>#NAME?</v>
      </c>
      <c r="B3281" s="2" t="s">
        <v>12</v>
      </c>
      <c r="C3281" s="2" t="s">
        <v>12</v>
      </c>
      <c r="D3281" s="2" t="s">
        <v>12</v>
      </c>
      <c r="E3281" s="2" t="s">
        <v>12</v>
      </c>
      <c r="F3281" s="2" t="s">
        <v>12</v>
      </c>
      <c r="G3281" s="2" t="s">
        <v>12</v>
      </c>
      <c r="H3281" s="2" t="s">
        <v>12</v>
      </c>
      <c r="I3281" s="2" t="s">
        <v>12</v>
      </c>
      <c r="J3281" s="2" t="s">
        <v>12</v>
      </c>
      <c r="K3281" s="2" t="s">
        <v>12</v>
      </c>
    </row>
    <row r="3282" spans="1:11" ht="12.5" x14ac:dyDescent="0.25">
      <c r="A3282" s="3" t="e">
        <f ca="1"/>
        <v>#NAME?</v>
      </c>
      <c r="B3282" s="2" t="s">
        <v>12</v>
      </c>
      <c r="C3282" s="2" t="s">
        <v>12</v>
      </c>
      <c r="D3282" s="2" t="s">
        <v>12</v>
      </c>
      <c r="E3282" s="2" t="s">
        <v>12</v>
      </c>
      <c r="F3282" s="2" t="s">
        <v>12</v>
      </c>
      <c r="G3282" s="2" t="s">
        <v>12</v>
      </c>
      <c r="H3282" s="2" t="s">
        <v>12</v>
      </c>
      <c r="I3282" s="2" t="s">
        <v>12</v>
      </c>
      <c r="J3282" s="2" t="s">
        <v>12</v>
      </c>
      <c r="K3282" s="2" t="s">
        <v>12</v>
      </c>
    </row>
    <row r="3283" spans="1:11" ht="12.5" x14ac:dyDescent="0.25">
      <c r="A3283" s="3" t="e">
        <f ca="1"/>
        <v>#NAME?</v>
      </c>
      <c r="B3283" s="2" t="s">
        <v>12</v>
      </c>
      <c r="C3283" s="2" t="s">
        <v>12</v>
      </c>
      <c r="D3283" s="2" t="s">
        <v>12</v>
      </c>
      <c r="E3283" s="2" t="s">
        <v>12</v>
      </c>
      <c r="F3283" s="2" t="s">
        <v>12</v>
      </c>
      <c r="G3283" s="2" t="s">
        <v>12</v>
      </c>
      <c r="H3283" s="2" t="s">
        <v>12</v>
      </c>
      <c r="I3283" s="2" t="s">
        <v>12</v>
      </c>
      <c r="J3283" s="2" t="s">
        <v>12</v>
      </c>
      <c r="K3283" s="2" t="s">
        <v>12</v>
      </c>
    </row>
    <row r="3284" spans="1:11" ht="12.5" x14ac:dyDescent="0.25">
      <c r="A3284" s="3" t="e">
        <f ca="1"/>
        <v>#NAME?</v>
      </c>
      <c r="B3284" s="2" t="s">
        <v>12</v>
      </c>
      <c r="C3284" s="2" t="s">
        <v>12</v>
      </c>
      <c r="D3284" s="2" t="s">
        <v>12</v>
      </c>
      <c r="E3284" s="2" t="s">
        <v>12</v>
      </c>
      <c r="F3284" s="2" t="s">
        <v>12</v>
      </c>
      <c r="G3284" s="2" t="s">
        <v>12</v>
      </c>
      <c r="H3284" s="2" t="s">
        <v>12</v>
      </c>
      <c r="I3284" s="2" t="s">
        <v>12</v>
      </c>
      <c r="J3284" s="2" t="s">
        <v>12</v>
      </c>
      <c r="K3284" s="2" t="s">
        <v>12</v>
      </c>
    </row>
    <row r="3285" spans="1:11" ht="12.5" x14ac:dyDescent="0.25">
      <c r="A3285" s="3" t="e">
        <f ca="1"/>
        <v>#NAME?</v>
      </c>
      <c r="B3285" s="2" t="s">
        <v>12</v>
      </c>
      <c r="C3285" s="2" t="s">
        <v>12</v>
      </c>
      <c r="D3285" s="2" t="s">
        <v>12</v>
      </c>
      <c r="E3285" s="2" t="s">
        <v>12</v>
      </c>
      <c r="F3285" s="2" t="s">
        <v>12</v>
      </c>
      <c r="G3285" s="2" t="s">
        <v>12</v>
      </c>
      <c r="H3285" s="2" t="s">
        <v>12</v>
      </c>
      <c r="I3285" s="2" t="s">
        <v>12</v>
      </c>
      <c r="J3285" s="2" t="s">
        <v>12</v>
      </c>
      <c r="K3285" s="2" t="s">
        <v>12</v>
      </c>
    </row>
    <row r="3286" spans="1:11" ht="12.5" x14ac:dyDescent="0.25">
      <c r="A3286" s="3" t="e">
        <f ca="1"/>
        <v>#NAME?</v>
      </c>
      <c r="B3286" s="2" t="s">
        <v>12</v>
      </c>
      <c r="C3286" s="2" t="s">
        <v>12</v>
      </c>
      <c r="D3286" s="2" t="s">
        <v>12</v>
      </c>
      <c r="E3286" s="2" t="s">
        <v>12</v>
      </c>
      <c r="F3286" s="2" t="s">
        <v>12</v>
      </c>
      <c r="G3286" s="2" t="s">
        <v>12</v>
      </c>
      <c r="H3286" s="2" t="s">
        <v>12</v>
      </c>
      <c r="I3286" s="2" t="s">
        <v>12</v>
      </c>
      <c r="J3286" s="2" t="s">
        <v>12</v>
      </c>
      <c r="K3286" s="2" t="s">
        <v>12</v>
      </c>
    </row>
    <row r="3287" spans="1:11" ht="12.5" x14ac:dyDescent="0.25">
      <c r="A3287" s="3" t="e">
        <f ca="1"/>
        <v>#NAME?</v>
      </c>
      <c r="B3287" s="2" t="s">
        <v>12</v>
      </c>
      <c r="C3287" s="2" t="s">
        <v>12</v>
      </c>
      <c r="D3287" s="2" t="s">
        <v>12</v>
      </c>
      <c r="E3287" s="2" t="s">
        <v>12</v>
      </c>
      <c r="F3287" s="2" t="s">
        <v>12</v>
      </c>
      <c r="G3287" s="2" t="s">
        <v>12</v>
      </c>
      <c r="H3287" s="2" t="s">
        <v>12</v>
      </c>
      <c r="I3287" s="2" t="s">
        <v>12</v>
      </c>
      <c r="J3287" s="2" t="s">
        <v>12</v>
      </c>
      <c r="K3287" s="2" t="s">
        <v>12</v>
      </c>
    </row>
    <row r="3288" spans="1:11" ht="12.5" x14ac:dyDescent="0.25">
      <c r="A3288" s="3" t="e">
        <f ca="1"/>
        <v>#NAME?</v>
      </c>
      <c r="B3288" s="2" t="s">
        <v>12</v>
      </c>
      <c r="C3288" s="2" t="s">
        <v>12</v>
      </c>
      <c r="D3288" s="2" t="s">
        <v>12</v>
      </c>
      <c r="E3288" s="2" t="s">
        <v>12</v>
      </c>
      <c r="F3288" s="2" t="s">
        <v>12</v>
      </c>
      <c r="G3288" s="2" t="s">
        <v>12</v>
      </c>
      <c r="H3288" s="2" t="s">
        <v>12</v>
      </c>
      <c r="I3288" s="2" t="s">
        <v>12</v>
      </c>
      <c r="J3288" s="2" t="s">
        <v>12</v>
      </c>
      <c r="K3288" s="2" t="s">
        <v>12</v>
      </c>
    </row>
    <row r="3289" spans="1:11" ht="12.5" x14ac:dyDescent="0.25">
      <c r="A3289" s="3" t="e">
        <f ca="1"/>
        <v>#NAME?</v>
      </c>
      <c r="B3289" s="2" t="s">
        <v>12</v>
      </c>
      <c r="C3289" s="2" t="s">
        <v>12</v>
      </c>
      <c r="D3289" s="2" t="s">
        <v>12</v>
      </c>
      <c r="E3289" s="2" t="s">
        <v>12</v>
      </c>
      <c r="F3289" s="2" t="s">
        <v>12</v>
      </c>
      <c r="G3289" s="2" t="s">
        <v>12</v>
      </c>
      <c r="H3289" s="2" t="s">
        <v>12</v>
      </c>
      <c r="I3289" s="2" t="s">
        <v>12</v>
      </c>
      <c r="J3289" s="2" t="s">
        <v>12</v>
      </c>
      <c r="K3289" s="2" t="s">
        <v>12</v>
      </c>
    </row>
    <row r="3290" spans="1:11" ht="12.5" x14ac:dyDescent="0.25">
      <c r="A3290" s="3" t="e">
        <f ca="1"/>
        <v>#NAME?</v>
      </c>
      <c r="B3290" s="2" t="s">
        <v>12</v>
      </c>
      <c r="C3290" s="2" t="s">
        <v>12</v>
      </c>
      <c r="D3290" s="2" t="s">
        <v>12</v>
      </c>
      <c r="E3290" s="2" t="s">
        <v>12</v>
      </c>
      <c r="F3290" s="2" t="s">
        <v>12</v>
      </c>
      <c r="G3290" s="2" t="s">
        <v>12</v>
      </c>
      <c r="H3290" s="2" t="s">
        <v>12</v>
      </c>
      <c r="I3290" s="2" t="s">
        <v>12</v>
      </c>
      <c r="J3290" s="2" t="s">
        <v>12</v>
      </c>
      <c r="K3290" s="2" t="s">
        <v>12</v>
      </c>
    </row>
    <row r="3291" spans="1:11" ht="12.5" x14ac:dyDescent="0.25">
      <c r="A3291" s="3" t="e">
        <f ca="1"/>
        <v>#NAME?</v>
      </c>
      <c r="B3291" s="2" t="s">
        <v>12</v>
      </c>
      <c r="C3291" s="2" t="s">
        <v>12</v>
      </c>
      <c r="D3291" s="2" t="s">
        <v>12</v>
      </c>
      <c r="E3291" s="2" t="s">
        <v>12</v>
      </c>
      <c r="F3291" s="2" t="s">
        <v>12</v>
      </c>
      <c r="G3291" s="2" t="s">
        <v>12</v>
      </c>
      <c r="H3291" s="2" t="s">
        <v>12</v>
      </c>
      <c r="I3291" s="2" t="s">
        <v>12</v>
      </c>
      <c r="J3291" s="2" t="s">
        <v>12</v>
      </c>
      <c r="K3291" s="2" t="s">
        <v>12</v>
      </c>
    </row>
    <row r="3292" spans="1:11" ht="12.5" x14ac:dyDescent="0.25">
      <c r="A3292" s="3" t="e">
        <f ca="1"/>
        <v>#NAME?</v>
      </c>
      <c r="B3292" s="2" t="s">
        <v>12</v>
      </c>
      <c r="C3292" s="2" t="s">
        <v>12</v>
      </c>
      <c r="D3292" s="2" t="s">
        <v>12</v>
      </c>
      <c r="E3292" s="2" t="s">
        <v>12</v>
      </c>
      <c r="F3292" s="2" t="s">
        <v>12</v>
      </c>
      <c r="G3292" s="2" t="s">
        <v>12</v>
      </c>
      <c r="H3292" s="2" t="s">
        <v>12</v>
      </c>
      <c r="I3292" s="2" t="s">
        <v>12</v>
      </c>
      <c r="J3292" s="2" t="s">
        <v>12</v>
      </c>
      <c r="K3292" s="2" t="s">
        <v>12</v>
      </c>
    </row>
    <row r="3293" spans="1:11" ht="12.5" x14ac:dyDescent="0.25">
      <c r="A3293" s="3" t="e">
        <f ca="1"/>
        <v>#NAME?</v>
      </c>
      <c r="B3293" s="2" t="s">
        <v>12</v>
      </c>
      <c r="C3293" s="2" t="s">
        <v>12</v>
      </c>
      <c r="D3293" s="2" t="s">
        <v>12</v>
      </c>
      <c r="E3293" s="2" t="s">
        <v>12</v>
      </c>
      <c r="F3293" s="2" t="s">
        <v>12</v>
      </c>
      <c r="G3293" s="2" t="s">
        <v>12</v>
      </c>
      <c r="H3293" s="2" t="s">
        <v>12</v>
      </c>
      <c r="I3293" s="2" t="s">
        <v>12</v>
      </c>
      <c r="J3293" s="2" t="s">
        <v>12</v>
      </c>
      <c r="K3293" s="2" t="s">
        <v>12</v>
      </c>
    </row>
    <row r="3294" spans="1:11" ht="12.5" x14ac:dyDescent="0.25">
      <c r="A3294" s="3" t="e">
        <f ca="1"/>
        <v>#NAME?</v>
      </c>
      <c r="B3294" s="2" t="s">
        <v>12</v>
      </c>
      <c r="C3294" s="2" t="s">
        <v>12</v>
      </c>
      <c r="D3294" s="2" t="s">
        <v>12</v>
      </c>
      <c r="E3294" s="2" t="s">
        <v>12</v>
      </c>
      <c r="F3294" s="2" t="s">
        <v>12</v>
      </c>
      <c r="G3294" s="2" t="s">
        <v>12</v>
      </c>
      <c r="H3294" s="2" t="s">
        <v>12</v>
      </c>
      <c r="I3294" s="2" t="s">
        <v>12</v>
      </c>
      <c r="J3294" s="2" t="s">
        <v>12</v>
      </c>
      <c r="K3294" s="2" t="s">
        <v>12</v>
      </c>
    </row>
    <row r="3295" spans="1:11" ht="12.5" x14ac:dyDescent="0.25">
      <c r="A3295" s="3" t="e">
        <f ca="1"/>
        <v>#NAME?</v>
      </c>
      <c r="B3295" s="2" t="s">
        <v>12</v>
      </c>
      <c r="C3295" s="2" t="s">
        <v>12</v>
      </c>
      <c r="D3295" s="2" t="s">
        <v>12</v>
      </c>
      <c r="E3295" s="2" t="s">
        <v>12</v>
      </c>
      <c r="F3295" s="2" t="s">
        <v>12</v>
      </c>
      <c r="G3295" s="2" t="s">
        <v>12</v>
      </c>
      <c r="H3295" s="2" t="s">
        <v>12</v>
      </c>
      <c r="I3295" s="2" t="s">
        <v>12</v>
      </c>
      <c r="J3295" s="2" t="s">
        <v>12</v>
      </c>
      <c r="K3295" s="2" t="s">
        <v>12</v>
      </c>
    </row>
    <row r="3296" spans="1:11" ht="12.5" x14ac:dyDescent="0.25">
      <c r="A3296" s="3" t="e">
        <f ca="1"/>
        <v>#NAME?</v>
      </c>
      <c r="B3296" s="2" t="s">
        <v>12</v>
      </c>
      <c r="C3296" s="2" t="s">
        <v>12</v>
      </c>
      <c r="D3296" s="2" t="s">
        <v>12</v>
      </c>
      <c r="E3296" s="2" t="s">
        <v>12</v>
      </c>
      <c r="F3296" s="2" t="s">
        <v>12</v>
      </c>
      <c r="G3296" s="2" t="s">
        <v>12</v>
      </c>
      <c r="H3296" s="2" t="s">
        <v>12</v>
      </c>
      <c r="I3296" s="2" t="s">
        <v>12</v>
      </c>
      <c r="J3296" s="2" t="s">
        <v>12</v>
      </c>
      <c r="K3296" s="2" t="s">
        <v>12</v>
      </c>
    </row>
    <row r="3297" spans="1:11" ht="12.5" x14ac:dyDescent="0.25">
      <c r="A3297" s="3" t="e">
        <f ca="1"/>
        <v>#NAME?</v>
      </c>
      <c r="B3297" s="2" t="s">
        <v>12</v>
      </c>
      <c r="C3297" s="2" t="s">
        <v>12</v>
      </c>
      <c r="D3297" s="2" t="s">
        <v>12</v>
      </c>
      <c r="E3297" s="2" t="s">
        <v>12</v>
      </c>
      <c r="F3297" s="2" t="s">
        <v>12</v>
      </c>
      <c r="G3297" s="2" t="s">
        <v>12</v>
      </c>
      <c r="H3297" s="2" t="s">
        <v>12</v>
      </c>
      <c r="I3297" s="2" t="s">
        <v>12</v>
      </c>
      <c r="J3297" s="2" t="s">
        <v>12</v>
      </c>
      <c r="K3297" s="2" t="s">
        <v>12</v>
      </c>
    </row>
    <row r="3298" spans="1:11" ht="12.5" x14ac:dyDescent="0.25">
      <c r="A3298" s="3" t="e">
        <f ca="1"/>
        <v>#NAME?</v>
      </c>
      <c r="B3298" s="2" t="s">
        <v>12</v>
      </c>
      <c r="C3298" s="2" t="s">
        <v>12</v>
      </c>
      <c r="D3298" s="2" t="s">
        <v>12</v>
      </c>
      <c r="E3298" s="2" t="s">
        <v>12</v>
      </c>
      <c r="F3298" s="2" t="s">
        <v>12</v>
      </c>
      <c r="G3298" s="2" t="s">
        <v>12</v>
      </c>
      <c r="H3298" s="2" t="s">
        <v>12</v>
      </c>
      <c r="I3298" s="2" t="s">
        <v>12</v>
      </c>
      <c r="J3298" s="2" t="s">
        <v>12</v>
      </c>
      <c r="K3298" s="2" t="s">
        <v>12</v>
      </c>
    </row>
    <row r="3299" spans="1:11" ht="12.5" x14ac:dyDescent="0.25">
      <c r="A3299" s="3" t="e">
        <f ca="1"/>
        <v>#NAME?</v>
      </c>
      <c r="B3299" s="2" t="s">
        <v>12</v>
      </c>
      <c r="C3299" s="2" t="s">
        <v>12</v>
      </c>
      <c r="D3299" s="2" t="s">
        <v>12</v>
      </c>
      <c r="E3299" s="2" t="s">
        <v>12</v>
      </c>
      <c r="F3299" s="2" t="s">
        <v>12</v>
      </c>
      <c r="G3299" s="2" t="s">
        <v>12</v>
      </c>
      <c r="H3299" s="2" t="s">
        <v>12</v>
      </c>
      <c r="I3299" s="2" t="s">
        <v>12</v>
      </c>
      <c r="J3299" s="2" t="s">
        <v>12</v>
      </c>
      <c r="K3299" s="2" t="s">
        <v>12</v>
      </c>
    </row>
    <row r="3300" spans="1:11" ht="12.5" x14ac:dyDescent="0.25">
      <c r="A3300" s="3" t="e">
        <f ca="1"/>
        <v>#NAME?</v>
      </c>
      <c r="B3300" s="2" t="s">
        <v>12</v>
      </c>
      <c r="C3300" s="2" t="s">
        <v>12</v>
      </c>
      <c r="D3300" s="2" t="s">
        <v>12</v>
      </c>
      <c r="E3300" s="2" t="s">
        <v>12</v>
      </c>
      <c r="F3300" s="2" t="s">
        <v>12</v>
      </c>
      <c r="G3300" s="2" t="s">
        <v>12</v>
      </c>
      <c r="H3300" s="2" t="s">
        <v>12</v>
      </c>
      <c r="I3300" s="2" t="s">
        <v>12</v>
      </c>
      <c r="J3300" s="2" t="s">
        <v>12</v>
      </c>
      <c r="K3300" s="2" t="s">
        <v>12</v>
      </c>
    </row>
    <row r="3301" spans="1:11" ht="12.5" x14ac:dyDescent="0.25">
      <c r="A3301" s="3" t="e">
        <f ca="1"/>
        <v>#NAME?</v>
      </c>
      <c r="B3301" s="2" t="s">
        <v>12</v>
      </c>
      <c r="C3301" s="2" t="s">
        <v>12</v>
      </c>
      <c r="D3301" s="2" t="s">
        <v>12</v>
      </c>
      <c r="E3301" s="2" t="s">
        <v>12</v>
      </c>
      <c r="F3301" s="2" t="s">
        <v>12</v>
      </c>
      <c r="G3301" s="2" t="s">
        <v>12</v>
      </c>
      <c r="H3301" s="2" t="s">
        <v>12</v>
      </c>
      <c r="I3301" s="2" t="s">
        <v>12</v>
      </c>
      <c r="J3301" s="2" t="s">
        <v>12</v>
      </c>
      <c r="K3301" s="2" t="s">
        <v>12</v>
      </c>
    </row>
    <row r="3302" spans="1:11" ht="12.5" x14ac:dyDescent="0.25">
      <c r="A3302" s="3" t="e">
        <f ca="1"/>
        <v>#NAME?</v>
      </c>
      <c r="B3302" s="2" t="s">
        <v>12</v>
      </c>
      <c r="C3302" s="2" t="s">
        <v>12</v>
      </c>
      <c r="D3302" s="2" t="s">
        <v>12</v>
      </c>
      <c r="E3302" s="2" t="s">
        <v>12</v>
      </c>
      <c r="F3302" s="2" t="s">
        <v>12</v>
      </c>
      <c r="G3302" s="2" t="s">
        <v>12</v>
      </c>
      <c r="H3302" s="2" t="s">
        <v>12</v>
      </c>
      <c r="I3302" s="2" t="s">
        <v>12</v>
      </c>
      <c r="J3302" s="2" t="s">
        <v>12</v>
      </c>
      <c r="K3302" s="2" t="s">
        <v>12</v>
      </c>
    </row>
    <row r="3303" spans="1:11" ht="12.5" x14ac:dyDescent="0.25">
      <c r="A3303" s="3" t="e">
        <f ca="1"/>
        <v>#NAME?</v>
      </c>
      <c r="B3303" s="2" t="s">
        <v>12</v>
      </c>
      <c r="C3303" s="2" t="s">
        <v>12</v>
      </c>
      <c r="D3303" s="2" t="s">
        <v>12</v>
      </c>
      <c r="E3303" s="2" t="s">
        <v>12</v>
      </c>
      <c r="F3303" s="2" t="s">
        <v>12</v>
      </c>
      <c r="G3303" s="2" t="s">
        <v>12</v>
      </c>
      <c r="H3303" s="2" t="s">
        <v>12</v>
      </c>
      <c r="I3303" s="2" t="s">
        <v>12</v>
      </c>
      <c r="J3303" s="2" t="s">
        <v>12</v>
      </c>
      <c r="K3303" s="2" t="s">
        <v>12</v>
      </c>
    </row>
    <row r="3304" spans="1:11" ht="12.5" x14ac:dyDescent="0.25">
      <c r="A3304" s="3" t="e">
        <f ca="1"/>
        <v>#NAME?</v>
      </c>
      <c r="B3304" s="2" t="s">
        <v>12</v>
      </c>
      <c r="C3304" s="2" t="s">
        <v>12</v>
      </c>
      <c r="D3304" s="2" t="s">
        <v>12</v>
      </c>
      <c r="E3304" s="2" t="s">
        <v>12</v>
      </c>
      <c r="F3304" s="2" t="s">
        <v>12</v>
      </c>
      <c r="G3304" s="2" t="s">
        <v>12</v>
      </c>
      <c r="H3304" s="2" t="s">
        <v>12</v>
      </c>
      <c r="I3304" s="2" t="s">
        <v>12</v>
      </c>
      <c r="J3304" s="2" t="s">
        <v>12</v>
      </c>
      <c r="K3304" s="2" t="s">
        <v>12</v>
      </c>
    </row>
    <row r="3305" spans="1:11" ht="12.5" x14ac:dyDescent="0.25">
      <c r="A3305" s="3" t="e">
        <f ca="1"/>
        <v>#NAME?</v>
      </c>
      <c r="B3305" s="2" t="s">
        <v>12</v>
      </c>
      <c r="C3305" s="2" t="s">
        <v>12</v>
      </c>
      <c r="D3305" s="2" t="s">
        <v>12</v>
      </c>
      <c r="E3305" s="2" t="s">
        <v>12</v>
      </c>
      <c r="F3305" s="2" t="s">
        <v>12</v>
      </c>
      <c r="G3305" s="2" t="s">
        <v>12</v>
      </c>
      <c r="H3305" s="2" t="s">
        <v>12</v>
      </c>
      <c r="I3305" s="2" t="s">
        <v>12</v>
      </c>
      <c r="J3305" s="2" t="s">
        <v>12</v>
      </c>
      <c r="K3305" s="2" t="s">
        <v>12</v>
      </c>
    </row>
    <row r="3306" spans="1:11" ht="12.5" x14ac:dyDescent="0.25">
      <c r="A3306" s="3" t="e">
        <f ca="1"/>
        <v>#NAME?</v>
      </c>
      <c r="B3306" s="2" t="s">
        <v>12</v>
      </c>
      <c r="C3306" s="2" t="s">
        <v>12</v>
      </c>
      <c r="D3306" s="2" t="s">
        <v>12</v>
      </c>
      <c r="E3306" s="2" t="s">
        <v>12</v>
      </c>
      <c r="F3306" s="2" t="s">
        <v>12</v>
      </c>
      <c r="G3306" s="2" t="s">
        <v>12</v>
      </c>
      <c r="H3306" s="2" t="s">
        <v>12</v>
      </c>
      <c r="I3306" s="2" t="s">
        <v>12</v>
      </c>
      <c r="J3306" s="2" t="s">
        <v>12</v>
      </c>
      <c r="K3306" s="2" t="s">
        <v>12</v>
      </c>
    </row>
    <row r="3307" spans="1:11" ht="12.5" x14ac:dyDescent="0.25">
      <c r="A3307" s="3" t="e">
        <f ca="1"/>
        <v>#NAME?</v>
      </c>
      <c r="B3307" s="2" t="s">
        <v>12</v>
      </c>
      <c r="C3307" s="2" t="s">
        <v>12</v>
      </c>
      <c r="D3307" s="2" t="s">
        <v>12</v>
      </c>
      <c r="E3307" s="2" t="s">
        <v>12</v>
      </c>
      <c r="F3307" s="2" t="s">
        <v>12</v>
      </c>
      <c r="G3307" s="2" t="s">
        <v>12</v>
      </c>
      <c r="H3307" s="2" t="s">
        <v>12</v>
      </c>
      <c r="I3307" s="2" t="s">
        <v>12</v>
      </c>
      <c r="J3307" s="2" t="s">
        <v>12</v>
      </c>
      <c r="K3307" s="2" t="s">
        <v>12</v>
      </c>
    </row>
    <row r="3308" spans="1:11" ht="12.5" x14ac:dyDescent="0.25">
      <c r="A3308" s="3" t="e">
        <f ca="1"/>
        <v>#NAME?</v>
      </c>
      <c r="B3308" s="2" t="s">
        <v>12</v>
      </c>
      <c r="C3308" s="2" t="s">
        <v>12</v>
      </c>
      <c r="D3308" s="2" t="s">
        <v>12</v>
      </c>
      <c r="E3308" s="2" t="s">
        <v>12</v>
      </c>
      <c r="F3308" s="2" t="s">
        <v>12</v>
      </c>
      <c r="G3308" s="2" t="s">
        <v>12</v>
      </c>
      <c r="H3308" s="2" t="s">
        <v>12</v>
      </c>
      <c r="I3308" s="2" t="s">
        <v>12</v>
      </c>
      <c r="J3308" s="2" t="s">
        <v>12</v>
      </c>
      <c r="K3308" s="2" t="s">
        <v>12</v>
      </c>
    </row>
    <row r="3309" spans="1:11" ht="12.5" x14ac:dyDescent="0.25">
      <c r="A3309" s="3" t="e">
        <f ca="1"/>
        <v>#NAME?</v>
      </c>
      <c r="B3309" s="2" t="s">
        <v>12</v>
      </c>
      <c r="C3309" s="2" t="s">
        <v>12</v>
      </c>
      <c r="D3309" s="2" t="s">
        <v>12</v>
      </c>
      <c r="E3309" s="2" t="s">
        <v>12</v>
      </c>
      <c r="F3309" s="2" t="s">
        <v>12</v>
      </c>
      <c r="G3309" s="2" t="s">
        <v>12</v>
      </c>
      <c r="H3309" s="2" t="s">
        <v>12</v>
      </c>
      <c r="I3309" s="2" t="s">
        <v>12</v>
      </c>
      <c r="J3309" s="2" t="s">
        <v>12</v>
      </c>
      <c r="K3309" s="2" t="s">
        <v>12</v>
      </c>
    </row>
    <row r="3310" spans="1:11" ht="12.5" x14ac:dyDescent="0.25">
      <c r="A3310" s="3" t="e">
        <f ca="1"/>
        <v>#NAME?</v>
      </c>
      <c r="B3310" s="2" t="s">
        <v>12</v>
      </c>
      <c r="C3310" s="2" t="s">
        <v>12</v>
      </c>
      <c r="D3310" s="2" t="s">
        <v>12</v>
      </c>
      <c r="E3310" s="2" t="s">
        <v>12</v>
      </c>
      <c r="F3310" s="2" t="s">
        <v>12</v>
      </c>
      <c r="G3310" s="2" t="s">
        <v>12</v>
      </c>
      <c r="H3310" s="2" t="s">
        <v>12</v>
      </c>
      <c r="I3310" s="2" t="s">
        <v>12</v>
      </c>
      <c r="J3310" s="2" t="s">
        <v>12</v>
      </c>
      <c r="K3310" s="2" t="s">
        <v>12</v>
      </c>
    </row>
    <row r="3311" spans="1:11" ht="12.5" x14ac:dyDescent="0.25">
      <c r="A3311" s="3" t="e">
        <f ca="1"/>
        <v>#NAME?</v>
      </c>
      <c r="B3311" s="2" t="s">
        <v>12</v>
      </c>
      <c r="C3311" s="2" t="s">
        <v>12</v>
      </c>
      <c r="D3311" s="2" t="s">
        <v>12</v>
      </c>
      <c r="E3311" s="2" t="s">
        <v>12</v>
      </c>
      <c r="F3311" s="2" t="s">
        <v>12</v>
      </c>
      <c r="G3311" s="2" t="s">
        <v>12</v>
      </c>
      <c r="H3311" s="2" t="s">
        <v>12</v>
      </c>
      <c r="I3311" s="2" t="s">
        <v>12</v>
      </c>
      <c r="J3311" s="2" t="s">
        <v>12</v>
      </c>
      <c r="K3311" s="2" t="s">
        <v>12</v>
      </c>
    </row>
    <row r="3312" spans="1:11" ht="12.5" x14ac:dyDescent="0.25">
      <c r="A3312" s="3" t="e">
        <f ca="1"/>
        <v>#NAME?</v>
      </c>
      <c r="B3312" s="2" t="s">
        <v>12</v>
      </c>
      <c r="C3312" s="2" t="s">
        <v>12</v>
      </c>
      <c r="D3312" s="2" t="s">
        <v>12</v>
      </c>
      <c r="E3312" s="2" t="s">
        <v>12</v>
      </c>
      <c r="F3312" s="2" t="s">
        <v>12</v>
      </c>
      <c r="G3312" s="2" t="s">
        <v>12</v>
      </c>
      <c r="H3312" s="2" t="s">
        <v>12</v>
      </c>
      <c r="I3312" s="2" t="s">
        <v>12</v>
      </c>
      <c r="J3312" s="2" t="s">
        <v>12</v>
      </c>
      <c r="K3312" s="2" t="s">
        <v>12</v>
      </c>
    </row>
    <row r="3313" spans="1:11" ht="12.5" x14ac:dyDescent="0.25">
      <c r="A3313" s="3" t="e">
        <f ca="1"/>
        <v>#NAME?</v>
      </c>
      <c r="B3313" s="2" t="s">
        <v>12</v>
      </c>
      <c r="C3313" s="2" t="s">
        <v>12</v>
      </c>
      <c r="D3313" s="2" t="s">
        <v>12</v>
      </c>
      <c r="E3313" s="2" t="s">
        <v>12</v>
      </c>
      <c r="F3313" s="2" t="s">
        <v>12</v>
      </c>
      <c r="G3313" s="2" t="s">
        <v>12</v>
      </c>
      <c r="H3313" s="2" t="s">
        <v>12</v>
      </c>
      <c r="I3313" s="2" t="s">
        <v>12</v>
      </c>
      <c r="J3313" s="2" t="s">
        <v>12</v>
      </c>
      <c r="K3313" s="2" t="s">
        <v>12</v>
      </c>
    </row>
    <row r="3314" spans="1:11" ht="12.5" x14ac:dyDescent="0.25">
      <c r="A3314" s="3" t="e">
        <f ca="1"/>
        <v>#NAME?</v>
      </c>
      <c r="B3314" s="2" t="s">
        <v>12</v>
      </c>
      <c r="C3314" s="2" t="s">
        <v>12</v>
      </c>
      <c r="D3314" s="2" t="s">
        <v>12</v>
      </c>
      <c r="E3314" s="2" t="s">
        <v>12</v>
      </c>
      <c r="F3314" s="2" t="s">
        <v>12</v>
      </c>
      <c r="G3314" s="2" t="s">
        <v>12</v>
      </c>
      <c r="H3314" s="2" t="s">
        <v>12</v>
      </c>
      <c r="I3314" s="2" t="s">
        <v>12</v>
      </c>
      <c r="J3314" s="2" t="s">
        <v>12</v>
      </c>
      <c r="K3314" s="2" t="s">
        <v>12</v>
      </c>
    </row>
    <row r="3315" spans="1:11" ht="12.5" x14ac:dyDescent="0.25">
      <c r="A3315" s="3" t="e">
        <f ca="1"/>
        <v>#NAME?</v>
      </c>
      <c r="B3315" s="2" t="s">
        <v>12</v>
      </c>
      <c r="C3315" s="2" t="s">
        <v>12</v>
      </c>
      <c r="D3315" s="2" t="s">
        <v>12</v>
      </c>
      <c r="E3315" s="2" t="s">
        <v>12</v>
      </c>
      <c r="F3315" s="2" t="s">
        <v>12</v>
      </c>
      <c r="G3315" s="2" t="s">
        <v>12</v>
      </c>
      <c r="H3315" s="2" t="s">
        <v>12</v>
      </c>
      <c r="I3315" s="2" t="s">
        <v>12</v>
      </c>
      <c r="J3315" s="2" t="s">
        <v>12</v>
      </c>
      <c r="K3315" s="2" t="s">
        <v>12</v>
      </c>
    </row>
    <row r="3316" spans="1:11" ht="12.5" x14ac:dyDescent="0.25">
      <c r="A3316" s="3" t="e">
        <f ca="1"/>
        <v>#NAME?</v>
      </c>
      <c r="B3316" s="2" t="s">
        <v>12</v>
      </c>
      <c r="C3316" s="2" t="s">
        <v>12</v>
      </c>
      <c r="D3316" s="2" t="s">
        <v>12</v>
      </c>
      <c r="E3316" s="2" t="s">
        <v>12</v>
      </c>
      <c r="F3316" s="2" t="s">
        <v>12</v>
      </c>
      <c r="G3316" s="2" t="s">
        <v>12</v>
      </c>
      <c r="H3316" s="2" t="s">
        <v>12</v>
      </c>
      <c r="I3316" s="2" t="s">
        <v>12</v>
      </c>
      <c r="J3316" s="2" t="s">
        <v>12</v>
      </c>
      <c r="K3316" s="2" t="s">
        <v>12</v>
      </c>
    </row>
    <row r="3317" spans="1:11" ht="12.5" x14ac:dyDescent="0.25">
      <c r="A3317" s="3" t="e">
        <f ca="1"/>
        <v>#NAME?</v>
      </c>
      <c r="B3317" s="2" t="s">
        <v>12</v>
      </c>
      <c r="C3317" s="2" t="s">
        <v>12</v>
      </c>
      <c r="D3317" s="2" t="s">
        <v>12</v>
      </c>
      <c r="E3317" s="2" t="s">
        <v>12</v>
      </c>
      <c r="F3317" s="2" t="s">
        <v>12</v>
      </c>
      <c r="G3317" s="2" t="s">
        <v>12</v>
      </c>
      <c r="H3317" s="2" t="s">
        <v>12</v>
      </c>
      <c r="I3317" s="2" t="s">
        <v>12</v>
      </c>
      <c r="J3317" s="2" t="s">
        <v>12</v>
      </c>
      <c r="K3317" s="2" t="s">
        <v>12</v>
      </c>
    </row>
    <row r="3318" spans="1:11" ht="12.5" x14ac:dyDescent="0.25">
      <c r="A3318" s="3" t="e">
        <f ca="1"/>
        <v>#NAME?</v>
      </c>
      <c r="B3318" s="2" t="s">
        <v>12</v>
      </c>
      <c r="C3318" s="2" t="s">
        <v>12</v>
      </c>
      <c r="D3318" s="2" t="s">
        <v>12</v>
      </c>
      <c r="E3318" s="2" t="s">
        <v>12</v>
      </c>
      <c r="F3318" s="2" t="s">
        <v>12</v>
      </c>
      <c r="G3318" s="2" t="s">
        <v>12</v>
      </c>
      <c r="H3318" s="2" t="s">
        <v>12</v>
      </c>
      <c r="I3318" s="2" t="s">
        <v>12</v>
      </c>
      <c r="J3318" s="2" t="s">
        <v>12</v>
      </c>
      <c r="K3318" s="2" t="s">
        <v>12</v>
      </c>
    </row>
    <row r="3319" spans="1:11" ht="12.5" x14ac:dyDescent="0.25">
      <c r="A3319" s="3" t="e">
        <f ca="1"/>
        <v>#NAME?</v>
      </c>
      <c r="B3319" s="2" t="s">
        <v>12</v>
      </c>
      <c r="C3319" s="2" t="s">
        <v>12</v>
      </c>
      <c r="D3319" s="2" t="s">
        <v>12</v>
      </c>
      <c r="E3319" s="2" t="s">
        <v>12</v>
      </c>
      <c r="F3319" s="2" t="s">
        <v>12</v>
      </c>
      <c r="G3319" s="2" t="s">
        <v>12</v>
      </c>
      <c r="H3319" s="2" t="s">
        <v>12</v>
      </c>
      <c r="I3319" s="2" t="s">
        <v>12</v>
      </c>
      <c r="J3319" s="2" t="s">
        <v>12</v>
      </c>
      <c r="K3319" s="2" t="s">
        <v>12</v>
      </c>
    </row>
    <row r="3320" spans="1:11" ht="12.5" x14ac:dyDescent="0.25">
      <c r="A3320" s="3" t="e">
        <f ca="1"/>
        <v>#NAME?</v>
      </c>
      <c r="B3320" s="2" t="s">
        <v>12</v>
      </c>
      <c r="C3320" s="2" t="s">
        <v>12</v>
      </c>
      <c r="D3320" s="2" t="s">
        <v>12</v>
      </c>
      <c r="E3320" s="2" t="s">
        <v>12</v>
      </c>
      <c r="F3320" s="2" t="s">
        <v>12</v>
      </c>
      <c r="G3320" s="2" t="s">
        <v>12</v>
      </c>
      <c r="H3320" s="2" t="s">
        <v>12</v>
      </c>
      <c r="I3320" s="2" t="s">
        <v>12</v>
      </c>
      <c r="J3320" s="2" t="s">
        <v>12</v>
      </c>
      <c r="K3320" s="2" t="s">
        <v>12</v>
      </c>
    </row>
    <row r="3321" spans="1:11" ht="12.5" x14ac:dyDescent="0.25">
      <c r="A3321" s="3" t="e">
        <f ca="1"/>
        <v>#NAME?</v>
      </c>
      <c r="B3321" s="2" t="s">
        <v>12</v>
      </c>
      <c r="C3321" s="2" t="s">
        <v>12</v>
      </c>
      <c r="D3321" s="2" t="s">
        <v>12</v>
      </c>
      <c r="E3321" s="2" t="s">
        <v>12</v>
      </c>
      <c r="F3321" s="2" t="s">
        <v>12</v>
      </c>
      <c r="G3321" s="2" t="s">
        <v>12</v>
      </c>
      <c r="H3321" s="2" t="s">
        <v>12</v>
      </c>
      <c r="I3321" s="2" t="s">
        <v>12</v>
      </c>
      <c r="J3321" s="2" t="s">
        <v>12</v>
      </c>
      <c r="K3321" s="2" t="s">
        <v>12</v>
      </c>
    </row>
    <row r="3322" spans="1:11" ht="12.5" x14ac:dyDescent="0.25">
      <c r="A3322" s="3" t="e">
        <f ca="1"/>
        <v>#NAME?</v>
      </c>
      <c r="B3322" s="2" t="s">
        <v>12</v>
      </c>
      <c r="C3322" s="2" t="s">
        <v>12</v>
      </c>
      <c r="D3322" s="2" t="s">
        <v>12</v>
      </c>
      <c r="E3322" s="2" t="s">
        <v>12</v>
      </c>
      <c r="F3322" s="2" t="s">
        <v>12</v>
      </c>
      <c r="G3322" s="2" t="s">
        <v>12</v>
      </c>
      <c r="H3322" s="2" t="s">
        <v>12</v>
      </c>
      <c r="I3322" s="2" t="s">
        <v>12</v>
      </c>
      <c r="J3322" s="2" t="s">
        <v>12</v>
      </c>
      <c r="K3322" s="2" t="s">
        <v>12</v>
      </c>
    </row>
    <row r="3323" spans="1:11" ht="12.5" x14ac:dyDescent="0.25">
      <c r="A3323" s="3" t="e">
        <f ca="1"/>
        <v>#NAME?</v>
      </c>
      <c r="B3323" s="2" t="s">
        <v>12</v>
      </c>
      <c r="C3323" s="2" t="s">
        <v>12</v>
      </c>
      <c r="D3323" s="2" t="s">
        <v>12</v>
      </c>
      <c r="E3323" s="2" t="s">
        <v>12</v>
      </c>
      <c r="F3323" s="2" t="s">
        <v>12</v>
      </c>
      <c r="G3323" s="2" t="s">
        <v>12</v>
      </c>
      <c r="H3323" s="2" t="s">
        <v>12</v>
      </c>
      <c r="I3323" s="2" t="s">
        <v>12</v>
      </c>
      <c r="J3323" s="2" t="s">
        <v>12</v>
      </c>
      <c r="K3323" s="2" t="s">
        <v>12</v>
      </c>
    </row>
    <row r="3324" spans="1:11" ht="12.5" x14ac:dyDescent="0.25">
      <c r="A3324" s="3" t="e">
        <f ca="1"/>
        <v>#NAME?</v>
      </c>
      <c r="B3324" s="2" t="s">
        <v>12</v>
      </c>
      <c r="C3324" s="2" t="s">
        <v>12</v>
      </c>
      <c r="D3324" s="2" t="s">
        <v>12</v>
      </c>
      <c r="E3324" s="2" t="s">
        <v>12</v>
      </c>
      <c r="F3324" s="2" t="s">
        <v>12</v>
      </c>
      <c r="G3324" s="2" t="s">
        <v>12</v>
      </c>
      <c r="H3324" s="2" t="s">
        <v>12</v>
      </c>
      <c r="I3324" s="2" t="s">
        <v>12</v>
      </c>
      <c r="J3324" s="2" t="s">
        <v>12</v>
      </c>
      <c r="K3324" s="2" t="s">
        <v>12</v>
      </c>
    </row>
    <row r="3325" spans="1:11" ht="12.5" x14ac:dyDescent="0.25">
      <c r="A3325" s="3" t="e">
        <f ca="1"/>
        <v>#NAME?</v>
      </c>
      <c r="B3325" s="2" t="s">
        <v>12</v>
      </c>
      <c r="C3325" s="2" t="s">
        <v>12</v>
      </c>
      <c r="D3325" s="2" t="s">
        <v>12</v>
      </c>
      <c r="E3325" s="2" t="s">
        <v>12</v>
      </c>
      <c r="F3325" s="2" t="s">
        <v>12</v>
      </c>
      <c r="G3325" s="2" t="s">
        <v>12</v>
      </c>
      <c r="H3325" s="2" t="s">
        <v>12</v>
      </c>
      <c r="I3325" s="2" t="s">
        <v>12</v>
      </c>
      <c r="J3325" s="2" t="s">
        <v>12</v>
      </c>
      <c r="K3325" s="2" t="s">
        <v>12</v>
      </c>
    </row>
    <row r="3326" spans="1:11" ht="12.5" x14ac:dyDescent="0.25">
      <c r="A3326" s="3" t="e">
        <f ca="1"/>
        <v>#NAME?</v>
      </c>
      <c r="B3326" s="2" t="s">
        <v>12</v>
      </c>
      <c r="C3326" s="2" t="s">
        <v>12</v>
      </c>
      <c r="D3326" s="2" t="s">
        <v>12</v>
      </c>
      <c r="E3326" s="2" t="s">
        <v>12</v>
      </c>
      <c r="F3326" s="2" t="s">
        <v>12</v>
      </c>
      <c r="G3326" s="2" t="s">
        <v>12</v>
      </c>
      <c r="H3326" s="2" t="s">
        <v>12</v>
      </c>
      <c r="I3326" s="2" t="s">
        <v>12</v>
      </c>
      <c r="J3326" s="2" t="s">
        <v>12</v>
      </c>
      <c r="K3326" s="2" t="s">
        <v>12</v>
      </c>
    </row>
    <row r="3327" spans="1:11" ht="12.5" x14ac:dyDescent="0.25">
      <c r="A3327" s="3" t="e">
        <f ca="1"/>
        <v>#NAME?</v>
      </c>
      <c r="B3327" s="2" t="s">
        <v>12</v>
      </c>
      <c r="C3327" s="2" t="s">
        <v>12</v>
      </c>
      <c r="D3327" s="2" t="s">
        <v>12</v>
      </c>
      <c r="E3327" s="2" t="s">
        <v>12</v>
      </c>
      <c r="F3327" s="2" t="s">
        <v>12</v>
      </c>
      <c r="G3327" s="2" t="s">
        <v>12</v>
      </c>
      <c r="H3327" s="2" t="s">
        <v>12</v>
      </c>
      <c r="I3327" s="2" t="s">
        <v>12</v>
      </c>
      <c r="J3327" s="2" t="s">
        <v>12</v>
      </c>
      <c r="K3327" s="2" t="s">
        <v>12</v>
      </c>
    </row>
    <row r="3328" spans="1:11" ht="12.5" x14ac:dyDescent="0.25">
      <c r="A3328" s="3" t="e">
        <f ca="1"/>
        <v>#NAME?</v>
      </c>
      <c r="B3328" s="2" t="s">
        <v>12</v>
      </c>
      <c r="C3328" s="2" t="s">
        <v>12</v>
      </c>
      <c r="D3328" s="2" t="s">
        <v>12</v>
      </c>
      <c r="E3328" s="2" t="s">
        <v>12</v>
      </c>
      <c r="F3328" s="2" t="s">
        <v>12</v>
      </c>
      <c r="G3328" s="2" t="s">
        <v>12</v>
      </c>
      <c r="H3328" s="2" t="s">
        <v>12</v>
      </c>
      <c r="I3328" s="2" t="s">
        <v>12</v>
      </c>
      <c r="J3328" s="2" t="s">
        <v>12</v>
      </c>
      <c r="K3328" s="2" t="s">
        <v>12</v>
      </c>
    </row>
    <row r="3329" spans="1:11" ht="12.5" x14ac:dyDescent="0.25">
      <c r="A3329" s="3" t="e">
        <f ca="1"/>
        <v>#NAME?</v>
      </c>
      <c r="B3329" s="2" t="s">
        <v>12</v>
      </c>
      <c r="C3329" s="2" t="s">
        <v>12</v>
      </c>
      <c r="D3329" s="2" t="s">
        <v>12</v>
      </c>
      <c r="E3329" s="2" t="s">
        <v>12</v>
      </c>
      <c r="F3329" s="2" t="s">
        <v>12</v>
      </c>
      <c r="G3329" s="2" t="s">
        <v>12</v>
      </c>
      <c r="H3329" s="2" t="s">
        <v>12</v>
      </c>
      <c r="I3329" s="2" t="s">
        <v>12</v>
      </c>
      <c r="J3329" s="2" t="s">
        <v>12</v>
      </c>
      <c r="K3329" s="2" t="s">
        <v>12</v>
      </c>
    </row>
    <row r="3330" spans="1:11" ht="12.5" x14ac:dyDescent="0.25">
      <c r="A3330" s="3" t="e">
        <f ca="1"/>
        <v>#NAME?</v>
      </c>
      <c r="B3330" s="2" t="s">
        <v>12</v>
      </c>
      <c r="C3330" s="2" t="s">
        <v>12</v>
      </c>
      <c r="D3330" s="2" t="s">
        <v>12</v>
      </c>
      <c r="E3330" s="2" t="s">
        <v>12</v>
      </c>
      <c r="F3330" s="2" t="s">
        <v>12</v>
      </c>
      <c r="G3330" s="2" t="s">
        <v>12</v>
      </c>
      <c r="H3330" s="2" t="s">
        <v>12</v>
      </c>
      <c r="I3330" s="2" t="s">
        <v>12</v>
      </c>
      <c r="J3330" s="2" t="s">
        <v>12</v>
      </c>
      <c r="K3330" s="2" t="s">
        <v>12</v>
      </c>
    </row>
    <row r="3331" spans="1:11" ht="12.5" x14ac:dyDescent="0.25">
      <c r="A3331" s="3" t="e">
        <f ca="1"/>
        <v>#NAME?</v>
      </c>
      <c r="B3331" s="2" t="s">
        <v>12</v>
      </c>
      <c r="C3331" s="2" t="s">
        <v>12</v>
      </c>
      <c r="D3331" s="2" t="s">
        <v>12</v>
      </c>
      <c r="E3331" s="2" t="s">
        <v>12</v>
      </c>
      <c r="F3331" s="2" t="s">
        <v>12</v>
      </c>
      <c r="G3331" s="2" t="s">
        <v>12</v>
      </c>
      <c r="H3331" s="2" t="s">
        <v>12</v>
      </c>
      <c r="I3331" s="2" t="s">
        <v>12</v>
      </c>
      <c r="J3331" s="2" t="s">
        <v>12</v>
      </c>
      <c r="K3331" s="2" t="s">
        <v>12</v>
      </c>
    </row>
    <row r="3332" spans="1:11" ht="12.5" x14ac:dyDescent="0.25">
      <c r="A3332" s="3" t="e">
        <f ca="1"/>
        <v>#NAME?</v>
      </c>
      <c r="B3332" s="2" t="s">
        <v>12</v>
      </c>
      <c r="C3332" s="2" t="s">
        <v>12</v>
      </c>
      <c r="D3332" s="2" t="s">
        <v>12</v>
      </c>
      <c r="E3332" s="2" t="s">
        <v>12</v>
      </c>
      <c r="F3332" s="2" t="s">
        <v>12</v>
      </c>
      <c r="G3332" s="2" t="s">
        <v>12</v>
      </c>
      <c r="H3332" s="2" t="s">
        <v>12</v>
      </c>
      <c r="I3332" s="2" t="s">
        <v>12</v>
      </c>
      <c r="J3332" s="2" t="s">
        <v>12</v>
      </c>
      <c r="K3332" s="2" t="s">
        <v>12</v>
      </c>
    </row>
    <row r="3333" spans="1:11" ht="12.5" x14ac:dyDescent="0.25">
      <c r="A3333" s="3" t="e">
        <f ca="1"/>
        <v>#NAME?</v>
      </c>
      <c r="B3333" s="2" t="s">
        <v>12</v>
      </c>
      <c r="C3333" s="2" t="s">
        <v>12</v>
      </c>
      <c r="D3333" s="2" t="s">
        <v>12</v>
      </c>
      <c r="E3333" s="2" t="s">
        <v>12</v>
      </c>
      <c r="F3333" s="2" t="s">
        <v>12</v>
      </c>
      <c r="G3333" s="2" t="s">
        <v>12</v>
      </c>
      <c r="H3333" s="2" t="s">
        <v>12</v>
      </c>
      <c r="I3333" s="2" t="s">
        <v>12</v>
      </c>
      <c r="J3333" s="2" t="s">
        <v>12</v>
      </c>
      <c r="K3333" s="2" t="s">
        <v>12</v>
      </c>
    </row>
    <row r="3334" spans="1:11" ht="12.5" x14ac:dyDescent="0.25">
      <c r="A3334" s="3" t="e">
        <f ca="1"/>
        <v>#NAME?</v>
      </c>
      <c r="B3334" s="2" t="s">
        <v>12</v>
      </c>
      <c r="C3334" s="2" t="s">
        <v>12</v>
      </c>
      <c r="D3334" s="2" t="s">
        <v>12</v>
      </c>
      <c r="E3334" s="2" t="s">
        <v>12</v>
      </c>
      <c r="F3334" s="2" t="s">
        <v>12</v>
      </c>
      <c r="G3334" s="2" t="s">
        <v>12</v>
      </c>
      <c r="H3334" s="2" t="s">
        <v>12</v>
      </c>
      <c r="I3334" s="2" t="s">
        <v>12</v>
      </c>
      <c r="J3334" s="2" t="s">
        <v>12</v>
      </c>
      <c r="K3334" s="2" t="s">
        <v>12</v>
      </c>
    </row>
    <row r="3335" spans="1:11" ht="12.5" x14ac:dyDescent="0.25">
      <c r="A3335" s="3" t="e">
        <f ca="1"/>
        <v>#NAME?</v>
      </c>
      <c r="B3335" s="2" t="s">
        <v>12</v>
      </c>
      <c r="C3335" s="2" t="s">
        <v>12</v>
      </c>
      <c r="D3335" s="2" t="s">
        <v>12</v>
      </c>
      <c r="E3335" s="2" t="s">
        <v>12</v>
      </c>
      <c r="F3335" s="2" t="s">
        <v>12</v>
      </c>
      <c r="G3335" s="2" t="s">
        <v>12</v>
      </c>
      <c r="H3335" s="2" t="s">
        <v>12</v>
      </c>
      <c r="I3335" s="2" t="s">
        <v>12</v>
      </c>
      <c r="J3335" s="2" t="s">
        <v>12</v>
      </c>
      <c r="K3335" s="2" t="s">
        <v>12</v>
      </c>
    </row>
    <row r="3336" spans="1:11" ht="12.5" x14ac:dyDescent="0.25">
      <c r="A3336" s="3" t="e">
        <f ca="1"/>
        <v>#NAME?</v>
      </c>
      <c r="B3336" s="2" t="s">
        <v>12</v>
      </c>
      <c r="C3336" s="2" t="s">
        <v>12</v>
      </c>
      <c r="D3336" s="2" t="s">
        <v>12</v>
      </c>
      <c r="E3336" s="2" t="s">
        <v>12</v>
      </c>
      <c r="F3336" s="2" t="s">
        <v>12</v>
      </c>
      <c r="G3336" s="2" t="s">
        <v>12</v>
      </c>
      <c r="H3336" s="2" t="s">
        <v>12</v>
      </c>
      <c r="I3336" s="2" t="s">
        <v>12</v>
      </c>
      <c r="J3336" s="2" t="s">
        <v>12</v>
      </c>
      <c r="K3336" s="2" t="s">
        <v>12</v>
      </c>
    </row>
    <row r="3337" spans="1:11" ht="12.5" x14ac:dyDescent="0.25">
      <c r="A3337" s="3" t="e">
        <f ca="1"/>
        <v>#NAME?</v>
      </c>
      <c r="B3337" s="2" t="s">
        <v>12</v>
      </c>
      <c r="C3337" s="2" t="s">
        <v>12</v>
      </c>
      <c r="D3337" s="2" t="s">
        <v>12</v>
      </c>
      <c r="E3337" s="2" t="s">
        <v>12</v>
      </c>
      <c r="F3337" s="2" t="s">
        <v>12</v>
      </c>
      <c r="G3337" s="2" t="s">
        <v>12</v>
      </c>
      <c r="H3337" s="2" t="s">
        <v>12</v>
      </c>
      <c r="I3337" s="2" t="s">
        <v>12</v>
      </c>
      <c r="J3337" s="2" t="s">
        <v>12</v>
      </c>
      <c r="K3337" s="2" t="s">
        <v>12</v>
      </c>
    </row>
    <row r="3338" spans="1:11" ht="12.5" x14ac:dyDescent="0.25">
      <c r="A3338" s="3" t="e">
        <f ca="1"/>
        <v>#NAME?</v>
      </c>
      <c r="B3338" s="2" t="s">
        <v>12</v>
      </c>
      <c r="C3338" s="2" t="s">
        <v>12</v>
      </c>
      <c r="D3338" s="2" t="s">
        <v>12</v>
      </c>
      <c r="E3338" s="2" t="s">
        <v>12</v>
      </c>
      <c r="F3338" s="2" t="s">
        <v>12</v>
      </c>
      <c r="G3338" s="2" t="s">
        <v>12</v>
      </c>
      <c r="H3338" s="2" t="s">
        <v>12</v>
      </c>
      <c r="I3338" s="2" t="s">
        <v>12</v>
      </c>
      <c r="J3338" s="2" t="s">
        <v>12</v>
      </c>
      <c r="K3338" s="2" t="s">
        <v>12</v>
      </c>
    </row>
    <row r="3339" spans="1:11" ht="12.5" x14ac:dyDescent="0.25">
      <c r="A3339" s="3" t="e">
        <f ca="1"/>
        <v>#NAME?</v>
      </c>
      <c r="B3339" s="2" t="s">
        <v>12</v>
      </c>
      <c r="C3339" s="2" t="s">
        <v>12</v>
      </c>
      <c r="D3339" s="2" t="s">
        <v>12</v>
      </c>
      <c r="E3339" s="2" t="s">
        <v>12</v>
      </c>
      <c r="F3339" s="2" t="s">
        <v>12</v>
      </c>
      <c r="G3339" s="2" t="s">
        <v>12</v>
      </c>
      <c r="H3339" s="2" t="s">
        <v>12</v>
      </c>
      <c r="I3339" s="2" t="s">
        <v>12</v>
      </c>
      <c r="J3339" s="2" t="s">
        <v>12</v>
      </c>
      <c r="K3339" s="2" t="s">
        <v>12</v>
      </c>
    </row>
    <row r="3340" spans="1:11" ht="12.5" x14ac:dyDescent="0.25">
      <c r="A3340" s="3" t="e">
        <f ca="1"/>
        <v>#NAME?</v>
      </c>
      <c r="B3340" s="2" t="s">
        <v>12</v>
      </c>
      <c r="C3340" s="2" t="s">
        <v>12</v>
      </c>
      <c r="D3340" s="2" t="s">
        <v>12</v>
      </c>
      <c r="E3340" s="2" t="s">
        <v>12</v>
      </c>
      <c r="F3340" s="2" t="s">
        <v>12</v>
      </c>
      <c r="G3340" s="2" t="s">
        <v>12</v>
      </c>
      <c r="H3340" s="2" t="s">
        <v>12</v>
      </c>
      <c r="I3340" s="2" t="s">
        <v>12</v>
      </c>
      <c r="J3340" s="2" t="s">
        <v>12</v>
      </c>
      <c r="K3340" s="2" t="s">
        <v>12</v>
      </c>
    </row>
    <row r="3341" spans="1:11" ht="12.5" x14ac:dyDescent="0.25">
      <c r="A3341" s="3" t="e">
        <f ca="1"/>
        <v>#NAME?</v>
      </c>
      <c r="B3341" s="2" t="s">
        <v>12</v>
      </c>
      <c r="C3341" s="2" t="s">
        <v>12</v>
      </c>
      <c r="D3341" s="2" t="s">
        <v>12</v>
      </c>
      <c r="E3341" s="2" t="s">
        <v>12</v>
      </c>
      <c r="F3341" s="2" t="s">
        <v>12</v>
      </c>
      <c r="G3341" s="2" t="s">
        <v>12</v>
      </c>
      <c r="H3341" s="2" t="s">
        <v>12</v>
      </c>
      <c r="I3341" s="2" t="s">
        <v>12</v>
      </c>
      <c r="J3341" s="2" t="s">
        <v>12</v>
      </c>
      <c r="K3341" s="2" t="s">
        <v>12</v>
      </c>
    </row>
    <row r="3342" spans="1:11" ht="12.5" x14ac:dyDescent="0.25">
      <c r="A3342" s="3" t="e">
        <f ca="1"/>
        <v>#NAME?</v>
      </c>
      <c r="B3342" s="2" t="s">
        <v>12</v>
      </c>
      <c r="C3342" s="2" t="s">
        <v>12</v>
      </c>
      <c r="D3342" s="2" t="s">
        <v>12</v>
      </c>
      <c r="E3342" s="2" t="s">
        <v>12</v>
      </c>
      <c r="F3342" s="2" t="s">
        <v>12</v>
      </c>
      <c r="G3342" s="2" t="s">
        <v>12</v>
      </c>
      <c r="H3342" s="2" t="s">
        <v>12</v>
      </c>
      <c r="I3342" s="2" t="s">
        <v>12</v>
      </c>
      <c r="J3342" s="2" t="s">
        <v>12</v>
      </c>
      <c r="K3342" s="2" t="s">
        <v>12</v>
      </c>
    </row>
    <row r="3343" spans="1:11" ht="12.5" x14ac:dyDescent="0.25">
      <c r="A3343" s="3" t="e">
        <f ca="1"/>
        <v>#NAME?</v>
      </c>
      <c r="B3343" s="2" t="s">
        <v>12</v>
      </c>
      <c r="C3343" s="2" t="s">
        <v>12</v>
      </c>
      <c r="D3343" s="2" t="s">
        <v>12</v>
      </c>
      <c r="E3343" s="2" t="s">
        <v>12</v>
      </c>
      <c r="F3343" s="2" t="s">
        <v>12</v>
      </c>
      <c r="G3343" s="2" t="s">
        <v>12</v>
      </c>
      <c r="H3343" s="2" t="s">
        <v>12</v>
      </c>
      <c r="I3343" s="2" t="s">
        <v>12</v>
      </c>
      <c r="J3343" s="2" t="s">
        <v>12</v>
      </c>
      <c r="K3343" s="2" t="s">
        <v>12</v>
      </c>
    </row>
    <row r="3344" spans="1:11" ht="12.5" x14ac:dyDescent="0.25">
      <c r="A3344" s="3" t="e">
        <f ca="1"/>
        <v>#NAME?</v>
      </c>
      <c r="B3344" s="2" t="s">
        <v>12</v>
      </c>
      <c r="C3344" s="2" t="s">
        <v>12</v>
      </c>
      <c r="D3344" s="2" t="s">
        <v>12</v>
      </c>
      <c r="E3344" s="2" t="s">
        <v>12</v>
      </c>
      <c r="F3344" s="2" t="s">
        <v>12</v>
      </c>
      <c r="G3344" s="2" t="s">
        <v>12</v>
      </c>
      <c r="H3344" s="2" t="s">
        <v>12</v>
      </c>
      <c r="I3344" s="2" t="s">
        <v>12</v>
      </c>
      <c r="J3344" s="2" t="s">
        <v>12</v>
      </c>
      <c r="K3344" s="2" t="s">
        <v>12</v>
      </c>
    </row>
    <row r="3345" spans="1:11" ht="12.5" x14ac:dyDescent="0.25">
      <c r="A3345" s="3" t="e">
        <f ca="1"/>
        <v>#NAME?</v>
      </c>
      <c r="B3345" s="2" t="s">
        <v>12</v>
      </c>
      <c r="C3345" s="2" t="s">
        <v>12</v>
      </c>
      <c r="D3345" s="2" t="s">
        <v>12</v>
      </c>
      <c r="E3345" s="2" t="s">
        <v>12</v>
      </c>
      <c r="F3345" s="2" t="s">
        <v>12</v>
      </c>
      <c r="G3345" s="2" t="s">
        <v>12</v>
      </c>
      <c r="H3345" s="2" t="s">
        <v>12</v>
      </c>
      <c r="I3345" s="2" t="s">
        <v>12</v>
      </c>
      <c r="J3345" s="2" t="s">
        <v>12</v>
      </c>
      <c r="K3345" s="2" t="s">
        <v>12</v>
      </c>
    </row>
    <row r="3346" spans="1:11" ht="12.5" x14ac:dyDescent="0.25">
      <c r="A3346" s="3" t="e">
        <f ca="1"/>
        <v>#NAME?</v>
      </c>
      <c r="B3346" s="2" t="s">
        <v>12</v>
      </c>
      <c r="C3346" s="2" t="s">
        <v>12</v>
      </c>
      <c r="D3346" s="2" t="s">
        <v>12</v>
      </c>
      <c r="E3346" s="2" t="s">
        <v>12</v>
      </c>
      <c r="F3346" s="2" t="s">
        <v>12</v>
      </c>
      <c r="G3346" s="2" t="s">
        <v>12</v>
      </c>
      <c r="H3346" s="2" t="s">
        <v>12</v>
      </c>
      <c r="I3346" s="2" t="s">
        <v>12</v>
      </c>
      <c r="J3346" s="2" t="s">
        <v>12</v>
      </c>
      <c r="K3346" s="2" t="s">
        <v>12</v>
      </c>
    </row>
    <row r="3347" spans="1:11" ht="12.5" x14ac:dyDescent="0.25">
      <c r="A3347" s="3" t="e">
        <f ca="1"/>
        <v>#NAME?</v>
      </c>
      <c r="B3347" s="2" t="s">
        <v>12</v>
      </c>
      <c r="C3347" s="2" t="s">
        <v>12</v>
      </c>
      <c r="D3347" s="2" t="s">
        <v>12</v>
      </c>
      <c r="E3347" s="2" t="s">
        <v>12</v>
      </c>
      <c r="F3347" s="2" t="s">
        <v>12</v>
      </c>
      <c r="G3347" s="2" t="s">
        <v>12</v>
      </c>
      <c r="H3347" s="2" t="s">
        <v>12</v>
      </c>
      <c r="I3347" s="2" t="s">
        <v>12</v>
      </c>
      <c r="J3347" s="2" t="s">
        <v>12</v>
      </c>
      <c r="K3347" s="2" t="s">
        <v>12</v>
      </c>
    </row>
    <row r="3348" spans="1:11" ht="12.5" x14ac:dyDescent="0.25">
      <c r="A3348" s="3" t="e">
        <f ca="1"/>
        <v>#NAME?</v>
      </c>
      <c r="B3348" s="2" t="s">
        <v>12</v>
      </c>
      <c r="C3348" s="2" t="s">
        <v>12</v>
      </c>
      <c r="D3348" s="2" t="s">
        <v>12</v>
      </c>
      <c r="E3348" s="2" t="s">
        <v>12</v>
      </c>
      <c r="F3348" s="2" t="s">
        <v>12</v>
      </c>
      <c r="G3348" s="2" t="s">
        <v>12</v>
      </c>
      <c r="H3348" s="2" t="s">
        <v>12</v>
      </c>
      <c r="I3348" s="2" t="s">
        <v>12</v>
      </c>
      <c r="J3348" s="2" t="s">
        <v>12</v>
      </c>
      <c r="K3348" s="2" t="s">
        <v>12</v>
      </c>
    </row>
    <row r="3349" spans="1:11" ht="12.5" x14ac:dyDescent="0.25">
      <c r="A3349" s="3" t="e">
        <f ca="1"/>
        <v>#NAME?</v>
      </c>
      <c r="B3349" s="2" t="s">
        <v>12</v>
      </c>
      <c r="C3349" s="2" t="s">
        <v>12</v>
      </c>
      <c r="D3349" s="2" t="s">
        <v>12</v>
      </c>
      <c r="E3349" s="2" t="s">
        <v>12</v>
      </c>
      <c r="F3349" s="2" t="s">
        <v>12</v>
      </c>
      <c r="G3349" s="2" t="s">
        <v>12</v>
      </c>
      <c r="H3349" s="2" t="s">
        <v>12</v>
      </c>
      <c r="I3349" s="2" t="s">
        <v>12</v>
      </c>
      <c r="J3349" s="2" t="s">
        <v>12</v>
      </c>
      <c r="K3349" s="2" t="s">
        <v>12</v>
      </c>
    </row>
    <row r="3350" spans="1:11" ht="12.5" x14ac:dyDescent="0.25">
      <c r="A3350" s="3" t="e">
        <f ca="1"/>
        <v>#NAME?</v>
      </c>
      <c r="B3350" s="2" t="s">
        <v>12</v>
      </c>
      <c r="C3350" s="2" t="s">
        <v>12</v>
      </c>
      <c r="D3350" s="2" t="s">
        <v>12</v>
      </c>
      <c r="E3350" s="2" t="s">
        <v>12</v>
      </c>
      <c r="F3350" s="2" t="s">
        <v>12</v>
      </c>
      <c r="G3350" s="2" t="s">
        <v>12</v>
      </c>
      <c r="H3350" s="2" t="s">
        <v>12</v>
      </c>
      <c r="I3350" s="2" t="s">
        <v>12</v>
      </c>
      <c r="J3350" s="2" t="s">
        <v>12</v>
      </c>
      <c r="K3350" s="2" t="s">
        <v>12</v>
      </c>
    </row>
    <row r="3351" spans="1:11" ht="12.5" x14ac:dyDescent="0.25">
      <c r="A3351" s="3" t="e">
        <f ca="1"/>
        <v>#NAME?</v>
      </c>
      <c r="B3351" s="2" t="s">
        <v>12</v>
      </c>
      <c r="C3351" s="2" t="s">
        <v>12</v>
      </c>
      <c r="D3351" s="2" t="s">
        <v>12</v>
      </c>
      <c r="E3351" s="2" t="s">
        <v>12</v>
      </c>
      <c r="F3351" s="2" t="s">
        <v>12</v>
      </c>
      <c r="G3351" s="2" t="s">
        <v>12</v>
      </c>
      <c r="H3351" s="2" t="s">
        <v>12</v>
      </c>
      <c r="I3351" s="2" t="s">
        <v>12</v>
      </c>
      <c r="J3351" s="2" t="s">
        <v>12</v>
      </c>
      <c r="K3351" s="2" t="s">
        <v>12</v>
      </c>
    </row>
    <row r="3352" spans="1:11" ht="12.5" x14ac:dyDescent="0.25">
      <c r="A3352" s="3" t="e">
        <f ca="1"/>
        <v>#NAME?</v>
      </c>
      <c r="B3352" s="2" t="s">
        <v>12</v>
      </c>
      <c r="C3352" s="2" t="s">
        <v>12</v>
      </c>
      <c r="D3352" s="2" t="s">
        <v>12</v>
      </c>
      <c r="E3352" s="2" t="s">
        <v>12</v>
      </c>
      <c r="F3352" s="2" t="s">
        <v>12</v>
      </c>
      <c r="G3352" s="2" t="s">
        <v>12</v>
      </c>
      <c r="H3352" s="2" t="s">
        <v>12</v>
      </c>
      <c r="I3352" s="2" t="s">
        <v>12</v>
      </c>
      <c r="J3352" s="2" t="s">
        <v>12</v>
      </c>
      <c r="K3352" s="2" t="s">
        <v>12</v>
      </c>
    </row>
    <row r="3353" spans="1:11" ht="12.5" x14ac:dyDescent="0.25">
      <c r="A3353" s="3" t="e">
        <f ca="1"/>
        <v>#NAME?</v>
      </c>
      <c r="B3353" s="2" t="s">
        <v>12</v>
      </c>
      <c r="C3353" s="2" t="s">
        <v>12</v>
      </c>
      <c r="D3353" s="2" t="s">
        <v>12</v>
      </c>
      <c r="E3353" s="2" t="s">
        <v>12</v>
      </c>
      <c r="F3353" s="2" t="s">
        <v>12</v>
      </c>
      <c r="G3353" s="2" t="s">
        <v>12</v>
      </c>
      <c r="H3353" s="2" t="s">
        <v>12</v>
      </c>
      <c r="I3353" s="2" t="s">
        <v>12</v>
      </c>
      <c r="J3353" s="2" t="s">
        <v>12</v>
      </c>
      <c r="K3353" s="2" t="s">
        <v>12</v>
      </c>
    </row>
    <row r="3354" spans="1:11" ht="12.5" x14ac:dyDescent="0.25">
      <c r="A3354" s="3" t="e">
        <f ca="1"/>
        <v>#NAME?</v>
      </c>
      <c r="B3354" s="2" t="s">
        <v>12</v>
      </c>
      <c r="C3354" s="2" t="s">
        <v>12</v>
      </c>
      <c r="D3354" s="2" t="s">
        <v>12</v>
      </c>
      <c r="E3354" s="2" t="s">
        <v>12</v>
      </c>
      <c r="F3354" s="2" t="s">
        <v>12</v>
      </c>
      <c r="G3354" s="2" t="s">
        <v>12</v>
      </c>
      <c r="H3354" s="2" t="s">
        <v>12</v>
      </c>
      <c r="I3354" s="2" t="s">
        <v>12</v>
      </c>
      <c r="J3354" s="2" t="s">
        <v>12</v>
      </c>
      <c r="K3354" s="2" t="s">
        <v>12</v>
      </c>
    </row>
    <row r="3355" spans="1:11" ht="12.5" x14ac:dyDescent="0.25">
      <c r="A3355" s="3" t="e">
        <f ca="1"/>
        <v>#NAME?</v>
      </c>
      <c r="B3355" s="2" t="s">
        <v>12</v>
      </c>
      <c r="C3355" s="2" t="s">
        <v>12</v>
      </c>
      <c r="D3355" s="2" t="s">
        <v>12</v>
      </c>
      <c r="E3355" s="2" t="s">
        <v>12</v>
      </c>
      <c r="F3355" s="2" t="s">
        <v>12</v>
      </c>
      <c r="G3355" s="2" t="s">
        <v>12</v>
      </c>
      <c r="H3355" s="2" t="s">
        <v>12</v>
      </c>
      <c r="I3355" s="2" t="s">
        <v>12</v>
      </c>
      <c r="J3355" s="2" t="s">
        <v>12</v>
      </c>
      <c r="K3355" s="2" t="s">
        <v>12</v>
      </c>
    </row>
    <row r="3356" spans="1:11" ht="12.5" x14ac:dyDescent="0.25">
      <c r="A3356" s="3" t="e">
        <f ca="1"/>
        <v>#NAME?</v>
      </c>
      <c r="B3356" s="2" t="s">
        <v>12</v>
      </c>
      <c r="C3356" s="2" t="s">
        <v>12</v>
      </c>
      <c r="D3356" s="2" t="s">
        <v>12</v>
      </c>
      <c r="E3356" s="2" t="s">
        <v>12</v>
      </c>
      <c r="F3356" s="2" t="s">
        <v>12</v>
      </c>
      <c r="G3356" s="2" t="s">
        <v>12</v>
      </c>
      <c r="H3356" s="2" t="s">
        <v>12</v>
      </c>
      <c r="I3356" s="2" t="s">
        <v>12</v>
      </c>
      <c r="J3356" s="2" t="s">
        <v>12</v>
      </c>
      <c r="K3356" s="2" t="s">
        <v>12</v>
      </c>
    </row>
    <row r="3357" spans="1:11" ht="12.5" x14ac:dyDescent="0.25">
      <c r="A3357" s="3" t="e">
        <f ca="1"/>
        <v>#NAME?</v>
      </c>
      <c r="B3357" s="2" t="s">
        <v>12</v>
      </c>
      <c r="C3357" s="2" t="s">
        <v>12</v>
      </c>
      <c r="D3357" s="2" t="s">
        <v>12</v>
      </c>
      <c r="E3357" s="2" t="s">
        <v>12</v>
      </c>
      <c r="F3357" s="2" t="s">
        <v>12</v>
      </c>
      <c r="G3357" s="2" t="s">
        <v>12</v>
      </c>
      <c r="H3357" s="2" t="s">
        <v>12</v>
      </c>
      <c r="I3357" s="2" t="s">
        <v>12</v>
      </c>
      <c r="J3357" s="2" t="s">
        <v>12</v>
      </c>
      <c r="K3357" s="2" t="s">
        <v>12</v>
      </c>
    </row>
    <row r="3358" spans="1:11" ht="12.5" x14ac:dyDescent="0.25">
      <c r="A3358" s="3" t="e">
        <f ca="1"/>
        <v>#NAME?</v>
      </c>
      <c r="B3358" s="2" t="s">
        <v>12</v>
      </c>
      <c r="C3358" s="2" t="s">
        <v>12</v>
      </c>
      <c r="D3358" s="2" t="s">
        <v>12</v>
      </c>
      <c r="E3358" s="2" t="s">
        <v>12</v>
      </c>
      <c r="F3358" s="2" t="s">
        <v>12</v>
      </c>
      <c r="G3358" s="2" t="s">
        <v>12</v>
      </c>
      <c r="H3358" s="2" t="s">
        <v>12</v>
      </c>
      <c r="I3358" s="2" t="s">
        <v>12</v>
      </c>
      <c r="J3358" s="2" t="s">
        <v>12</v>
      </c>
      <c r="K3358" s="2" t="s">
        <v>12</v>
      </c>
    </row>
    <row r="3359" spans="1:11" ht="12.5" x14ac:dyDescent="0.25">
      <c r="A3359" s="3" t="e">
        <f ca="1"/>
        <v>#NAME?</v>
      </c>
      <c r="B3359" s="2" t="s">
        <v>12</v>
      </c>
      <c r="C3359" s="2" t="s">
        <v>12</v>
      </c>
      <c r="D3359" s="2" t="s">
        <v>12</v>
      </c>
      <c r="E3359" s="2" t="s">
        <v>12</v>
      </c>
      <c r="F3359" s="2" t="s">
        <v>12</v>
      </c>
      <c r="G3359" s="2" t="s">
        <v>12</v>
      </c>
      <c r="H3359" s="2" t="s">
        <v>12</v>
      </c>
      <c r="I3359" s="2" t="s">
        <v>12</v>
      </c>
      <c r="J3359" s="2" t="s">
        <v>12</v>
      </c>
      <c r="K3359" s="2" t="s">
        <v>12</v>
      </c>
    </row>
    <row r="3360" spans="1:11" ht="12.5" x14ac:dyDescent="0.25">
      <c r="A3360" s="3" t="e">
        <f ca="1"/>
        <v>#NAME?</v>
      </c>
      <c r="B3360" s="2" t="s">
        <v>12</v>
      </c>
      <c r="C3360" s="2" t="s">
        <v>12</v>
      </c>
      <c r="D3360" s="2" t="s">
        <v>12</v>
      </c>
      <c r="E3360" s="2" t="s">
        <v>12</v>
      </c>
      <c r="F3360" s="2" t="s">
        <v>12</v>
      </c>
      <c r="G3360" s="2" t="s">
        <v>12</v>
      </c>
      <c r="H3360" s="2" t="s">
        <v>12</v>
      </c>
      <c r="I3360" s="2" t="s">
        <v>12</v>
      </c>
      <c r="J3360" s="2" t="s">
        <v>12</v>
      </c>
      <c r="K3360" s="2" t="s">
        <v>12</v>
      </c>
    </row>
    <row r="3361" spans="1:11" ht="12.5" x14ac:dyDescent="0.25">
      <c r="A3361" s="3" t="e">
        <f ca="1"/>
        <v>#NAME?</v>
      </c>
      <c r="B3361" s="2" t="s">
        <v>12</v>
      </c>
      <c r="C3361" s="2" t="s">
        <v>12</v>
      </c>
      <c r="D3361" s="2" t="s">
        <v>12</v>
      </c>
      <c r="E3361" s="2" t="s">
        <v>12</v>
      </c>
      <c r="F3361" s="2" t="s">
        <v>12</v>
      </c>
      <c r="G3361" s="2" t="s">
        <v>12</v>
      </c>
      <c r="H3361" s="2" t="s">
        <v>12</v>
      </c>
      <c r="I3361" s="2" t="s">
        <v>12</v>
      </c>
      <c r="J3361" s="2" t="s">
        <v>12</v>
      </c>
      <c r="K3361" s="2" t="s">
        <v>12</v>
      </c>
    </row>
    <row r="3362" spans="1:11" ht="12.5" x14ac:dyDescent="0.25">
      <c r="A3362" s="3" t="e">
        <f ca="1"/>
        <v>#NAME?</v>
      </c>
      <c r="B3362" s="2" t="s">
        <v>12</v>
      </c>
      <c r="C3362" s="2" t="s">
        <v>12</v>
      </c>
      <c r="D3362" s="2" t="s">
        <v>12</v>
      </c>
      <c r="E3362" s="2" t="s">
        <v>12</v>
      </c>
      <c r="F3362" s="2" t="s">
        <v>12</v>
      </c>
      <c r="G3362" s="2" t="s">
        <v>12</v>
      </c>
      <c r="H3362" s="2" t="s">
        <v>12</v>
      </c>
      <c r="I3362" s="2" t="s">
        <v>12</v>
      </c>
      <c r="J3362" s="2" t="s">
        <v>12</v>
      </c>
      <c r="K3362" s="2" t="s">
        <v>12</v>
      </c>
    </row>
    <row r="3363" spans="1:11" ht="12.5" x14ac:dyDescent="0.25">
      <c r="A3363" s="3" t="e">
        <f ca="1"/>
        <v>#NAME?</v>
      </c>
      <c r="B3363" s="2" t="s">
        <v>12</v>
      </c>
      <c r="C3363" s="2" t="s">
        <v>12</v>
      </c>
      <c r="D3363" s="2" t="s">
        <v>12</v>
      </c>
      <c r="E3363" s="2" t="s">
        <v>12</v>
      </c>
      <c r="F3363" s="2" t="s">
        <v>12</v>
      </c>
      <c r="G3363" s="2" t="s">
        <v>12</v>
      </c>
      <c r="H3363" s="2" t="s">
        <v>12</v>
      </c>
      <c r="I3363" s="2" t="s">
        <v>12</v>
      </c>
      <c r="J3363" s="2" t="s">
        <v>12</v>
      </c>
      <c r="K3363" s="2" t="s">
        <v>12</v>
      </c>
    </row>
    <row r="3364" spans="1:11" ht="12.5" x14ac:dyDescent="0.25">
      <c r="A3364" s="3" t="e">
        <f ca="1"/>
        <v>#NAME?</v>
      </c>
      <c r="B3364" s="2" t="s">
        <v>12</v>
      </c>
      <c r="C3364" s="2" t="s">
        <v>12</v>
      </c>
      <c r="D3364" s="2" t="s">
        <v>12</v>
      </c>
      <c r="E3364" s="2" t="s">
        <v>12</v>
      </c>
      <c r="F3364" s="2" t="s">
        <v>12</v>
      </c>
      <c r="G3364" s="2" t="s">
        <v>12</v>
      </c>
      <c r="H3364" s="2" t="s">
        <v>12</v>
      </c>
      <c r="I3364" s="2" t="s">
        <v>12</v>
      </c>
      <c r="J3364" s="2" t="s">
        <v>12</v>
      </c>
      <c r="K3364" s="2" t="s">
        <v>12</v>
      </c>
    </row>
    <row r="3365" spans="1:11" ht="12.5" x14ac:dyDescent="0.25">
      <c r="A3365" s="3" t="e">
        <f ca="1"/>
        <v>#NAME?</v>
      </c>
      <c r="B3365" s="2" t="s">
        <v>12</v>
      </c>
      <c r="C3365" s="2" t="s">
        <v>12</v>
      </c>
      <c r="D3365" s="2" t="s">
        <v>12</v>
      </c>
      <c r="E3365" s="2" t="s">
        <v>12</v>
      </c>
      <c r="F3365" s="2" t="s">
        <v>12</v>
      </c>
      <c r="G3365" s="2" t="s">
        <v>12</v>
      </c>
      <c r="H3365" s="2" t="s">
        <v>12</v>
      </c>
      <c r="I3365" s="2" t="s">
        <v>12</v>
      </c>
      <c r="J3365" s="2" t="s">
        <v>12</v>
      </c>
      <c r="K3365" s="2" t="s">
        <v>12</v>
      </c>
    </row>
    <row r="3366" spans="1:11" ht="12.5" x14ac:dyDescent="0.25">
      <c r="A3366" s="3" t="e">
        <f ca="1"/>
        <v>#NAME?</v>
      </c>
      <c r="B3366" s="2" t="s">
        <v>12</v>
      </c>
      <c r="C3366" s="2" t="s">
        <v>12</v>
      </c>
      <c r="D3366" s="2" t="s">
        <v>12</v>
      </c>
      <c r="E3366" s="2" t="s">
        <v>12</v>
      </c>
      <c r="F3366" s="2" t="s">
        <v>12</v>
      </c>
      <c r="G3366" s="2" t="s">
        <v>12</v>
      </c>
      <c r="H3366" s="2" t="s">
        <v>12</v>
      </c>
      <c r="I3366" s="2" t="s">
        <v>12</v>
      </c>
      <c r="J3366" s="2" t="s">
        <v>12</v>
      </c>
      <c r="K3366" s="2" t="s">
        <v>12</v>
      </c>
    </row>
    <row r="3367" spans="1:11" ht="12.5" x14ac:dyDescent="0.25">
      <c r="A3367" s="3" t="e">
        <f ca="1"/>
        <v>#NAME?</v>
      </c>
      <c r="B3367" s="2" t="s">
        <v>12</v>
      </c>
      <c r="C3367" s="2" t="s">
        <v>12</v>
      </c>
      <c r="D3367" s="2" t="s">
        <v>12</v>
      </c>
      <c r="E3367" s="2" t="s">
        <v>12</v>
      </c>
      <c r="F3367" s="2" t="s">
        <v>12</v>
      </c>
      <c r="G3367" s="2" t="s">
        <v>12</v>
      </c>
      <c r="H3367" s="2" t="s">
        <v>12</v>
      </c>
      <c r="I3367" s="2" t="s">
        <v>12</v>
      </c>
      <c r="J3367" s="2" t="s">
        <v>12</v>
      </c>
      <c r="K3367" s="2" t="s">
        <v>12</v>
      </c>
    </row>
    <row r="3368" spans="1:11" ht="12.5" x14ac:dyDescent="0.25">
      <c r="A3368" s="3" t="e">
        <f ca="1"/>
        <v>#NAME?</v>
      </c>
      <c r="B3368" s="2" t="s">
        <v>12</v>
      </c>
      <c r="C3368" s="2" t="s">
        <v>12</v>
      </c>
      <c r="D3368" s="2" t="s">
        <v>12</v>
      </c>
      <c r="E3368" s="2" t="s">
        <v>12</v>
      </c>
      <c r="F3368" s="2" t="s">
        <v>12</v>
      </c>
      <c r="G3368" s="2" t="s">
        <v>12</v>
      </c>
      <c r="H3368" s="2" t="s">
        <v>12</v>
      </c>
      <c r="I3368" s="2" t="s">
        <v>12</v>
      </c>
      <c r="J3368" s="2" t="s">
        <v>12</v>
      </c>
      <c r="K3368" s="2" t="s">
        <v>12</v>
      </c>
    </row>
    <row r="3369" spans="1:11" ht="12.5" x14ac:dyDescent="0.25">
      <c r="A3369" s="3" t="e">
        <f ca="1"/>
        <v>#NAME?</v>
      </c>
      <c r="B3369" s="2" t="s">
        <v>12</v>
      </c>
      <c r="C3369" s="2" t="s">
        <v>12</v>
      </c>
      <c r="D3369" s="2" t="s">
        <v>12</v>
      </c>
      <c r="E3369" s="2" t="s">
        <v>12</v>
      </c>
      <c r="F3369" s="2" t="s">
        <v>12</v>
      </c>
      <c r="G3369" s="2" t="s">
        <v>12</v>
      </c>
      <c r="H3369" s="2" t="s">
        <v>12</v>
      </c>
      <c r="I3369" s="2" t="s">
        <v>12</v>
      </c>
      <c r="J3369" s="2" t="s">
        <v>12</v>
      </c>
      <c r="K3369" s="2" t="s">
        <v>12</v>
      </c>
    </row>
    <row r="3370" spans="1:11" ht="12.5" x14ac:dyDescent="0.25">
      <c r="A3370" s="3" t="e">
        <f ca="1"/>
        <v>#NAME?</v>
      </c>
      <c r="B3370" s="2" t="s">
        <v>12</v>
      </c>
      <c r="C3370" s="2" t="s">
        <v>12</v>
      </c>
      <c r="D3370" s="2" t="s">
        <v>12</v>
      </c>
      <c r="E3370" s="2" t="s">
        <v>12</v>
      </c>
      <c r="F3370" s="2" t="s">
        <v>12</v>
      </c>
      <c r="G3370" s="2" t="s">
        <v>12</v>
      </c>
      <c r="H3370" s="2" t="s">
        <v>12</v>
      </c>
      <c r="I3370" s="2" t="s">
        <v>12</v>
      </c>
      <c r="J3370" s="2" t="s">
        <v>12</v>
      </c>
      <c r="K3370" s="2" t="s">
        <v>12</v>
      </c>
    </row>
    <row r="3371" spans="1:11" ht="12.5" x14ac:dyDescent="0.25">
      <c r="A3371" s="3" t="e">
        <f ca="1"/>
        <v>#NAME?</v>
      </c>
      <c r="B3371" s="2" t="s">
        <v>12</v>
      </c>
      <c r="C3371" s="2" t="s">
        <v>12</v>
      </c>
      <c r="D3371" s="2" t="s">
        <v>12</v>
      </c>
      <c r="E3371" s="2" t="s">
        <v>12</v>
      </c>
      <c r="F3371" s="2" t="s">
        <v>12</v>
      </c>
      <c r="G3371" s="2" t="s">
        <v>12</v>
      </c>
      <c r="H3371" s="2" t="s">
        <v>12</v>
      </c>
      <c r="I3371" s="2" t="s">
        <v>12</v>
      </c>
      <c r="J3371" s="2" t="s">
        <v>12</v>
      </c>
      <c r="K3371" s="2" t="s">
        <v>12</v>
      </c>
    </row>
    <row r="3372" spans="1:11" ht="12.5" x14ac:dyDescent="0.25">
      <c r="A3372" s="3" t="e">
        <f ca="1"/>
        <v>#NAME?</v>
      </c>
      <c r="B3372" s="2" t="s">
        <v>12</v>
      </c>
      <c r="C3372" s="2" t="s">
        <v>12</v>
      </c>
      <c r="D3372" s="2" t="s">
        <v>12</v>
      </c>
      <c r="E3372" s="2" t="s">
        <v>12</v>
      </c>
      <c r="F3372" s="2" t="s">
        <v>12</v>
      </c>
      <c r="G3372" s="2" t="s">
        <v>12</v>
      </c>
      <c r="H3372" s="2" t="s">
        <v>12</v>
      </c>
      <c r="I3372" s="2" t="s">
        <v>12</v>
      </c>
      <c r="J3372" s="2" t="s">
        <v>12</v>
      </c>
      <c r="K3372" s="2" t="s">
        <v>12</v>
      </c>
    </row>
    <row r="3373" spans="1:11" ht="12.5" x14ac:dyDescent="0.25">
      <c r="A3373" s="3" t="e">
        <f ca="1"/>
        <v>#NAME?</v>
      </c>
      <c r="B3373" s="2" t="s">
        <v>12</v>
      </c>
      <c r="C3373" s="2" t="s">
        <v>12</v>
      </c>
      <c r="D3373" s="2" t="s">
        <v>12</v>
      </c>
      <c r="E3373" s="2" t="s">
        <v>12</v>
      </c>
      <c r="F3373" s="2" t="s">
        <v>12</v>
      </c>
      <c r="G3373" s="2" t="s">
        <v>12</v>
      </c>
      <c r="H3373" s="2" t="s">
        <v>12</v>
      </c>
      <c r="I3373" s="2" t="s">
        <v>12</v>
      </c>
      <c r="J3373" s="2" t="s">
        <v>12</v>
      </c>
      <c r="K3373" s="2" t="s">
        <v>12</v>
      </c>
    </row>
    <row r="3374" spans="1:11" ht="12.5" x14ac:dyDescent="0.25">
      <c r="A3374" s="3" t="e">
        <f ca="1"/>
        <v>#NAME?</v>
      </c>
      <c r="B3374" s="2" t="s">
        <v>12</v>
      </c>
      <c r="C3374" s="2" t="s">
        <v>12</v>
      </c>
      <c r="D3374" s="2" t="s">
        <v>12</v>
      </c>
      <c r="E3374" s="2" t="s">
        <v>12</v>
      </c>
      <c r="F3374" s="2" t="s">
        <v>12</v>
      </c>
      <c r="G3374" s="2" t="s">
        <v>12</v>
      </c>
      <c r="H3374" s="2" t="s">
        <v>12</v>
      </c>
      <c r="I3374" s="2" t="s">
        <v>12</v>
      </c>
      <c r="J3374" s="2" t="s">
        <v>12</v>
      </c>
      <c r="K3374" s="2" t="s">
        <v>12</v>
      </c>
    </row>
    <row r="3375" spans="1:11" ht="12.5" x14ac:dyDescent="0.25">
      <c r="A3375" s="3" t="e">
        <f ca="1"/>
        <v>#NAME?</v>
      </c>
      <c r="B3375" s="2" t="s">
        <v>12</v>
      </c>
      <c r="C3375" s="2" t="s">
        <v>12</v>
      </c>
      <c r="D3375" s="2" t="s">
        <v>12</v>
      </c>
      <c r="E3375" s="2" t="s">
        <v>12</v>
      </c>
      <c r="F3375" s="2" t="s">
        <v>12</v>
      </c>
      <c r="G3375" s="2" t="s">
        <v>12</v>
      </c>
      <c r="H3375" s="2" t="s">
        <v>12</v>
      </c>
      <c r="I3375" s="2" t="s">
        <v>12</v>
      </c>
      <c r="J3375" s="2" t="s">
        <v>12</v>
      </c>
      <c r="K3375" s="2" t="s">
        <v>12</v>
      </c>
    </row>
    <row r="3376" spans="1:11" ht="12.5" x14ac:dyDescent="0.25">
      <c r="A3376" s="3" t="e">
        <f ca="1"/>
        <v>#NAME?</v>
      </c>
      <c r="B3376" s="2" t="s">
        <v>12</v>
      </c>
      <c r="C3376" s="2" t="s">
        <v>12</v>
      </c>
      <c r="D3376" s="2" t="s">
        <v>12</v>
      </c>
      <c r="E3376" s="2" t="s">
        <v>12</v>
      </c>
      <c r="F3376" s="2" t="s">
        <v>12</v>
      </c>
      <c r="G3376" s="2" t="s">
        <v>12</v>
      </c>
      <c r="H3376" s="2" t="s">
        <v>12</v>
      </c>
      <c r="I3376" s="2" t="s">
        <v>12</v>
      </c>
      <c r="J3376" s="2" t="s">
        <v>12</v>
      </c>
      <c r="K3376" s="2" t="s">
        <v>12</v>
      </c>
    </row>
    <row r="3377" spans="1:11" ht="12.5" x14ac:dyDescent="0.25">
      <c r="A3377" s="3" t="e">
        <f ca="1"/>
        <v>#NAME?</v>
      </c>
      <c r="B3377" s="2" t="s">
        <v>12</v>
      </c>
      <c r="C3377" s="2" t="s">
        <v>12</v>
      </c>
      <c r="D3377" s="2" t="s">
        <v>12</v>
      </c>
      <c r="E3377" s="2" t="s">
        <v>12</v>
      </c>
      <c r="F3377" s="2" t="s">
        <v>12</v>
      </c>
      <c r="G3377" s="2" t="s">
        <v>12</v>
      </c>
      <c r="H3377" s="2" t="s">
        <v>12</v>
      </c>
      <c r="I3377" s="2" t="s">
        <v>12</v>
      </c>
      <c r="J3377" s="2" t="s">
        <v>12</v>
      </c>
      <c r="K3377" s="2" t="s">
        <v>12</v>
      </c>
    </row>
    <row r="3378" spans="1:11" ht="12.5" x14ac:dyDescent="0.25">
      <c r="A3378" s="3" t="e">
        <f ca="1"/>
        <v>#NAME?</v>
      </c>
      <c r="B3378" s="2" t="s">
        <v>12</v>
      </c>
      <c r="C3378" s="2" t="s">
        <v>12</v>
      </c>
      <c r="D3378" s="2" t="s">
        <v>12</v>
      </c>
      <c r="E3378" s="2" t="s">
        <v>12</v>
      </c>
      <c r="F3378" s="2" t="s">
        <v>12</v>
      </c>
      <c r="G3378" s="2" t="s">
        <v>12</v>
      </c>
      <c r="H3378" s="2" t="s">
        <v>12</v>
      </c>
      <c r="I3378" s="2" t="s">
        <v>12</v>
      </c>
      <c r="J3378" s="2" t="s">
        <v>12</v>
      </c>
      <c r="K3378" s="2" t="s">
        <v>12</v>
      </c>
    </row>
    <row r="3379" spans="1:11" ht="12.5" x14ac:dyDescent="0.25">
      <c r="A3379" s="3" t="e">
        <f ca="1"/>
        <v>#NAME?</v>
      </c>
      <c r="B3379" s="2" t="s">
        <v>12</v>
      </c>
      <c r="C3379" s="2" t="s">
        <v>12</v>
      </c>
      <c r="D3379" s="2" t="s">
        <v>12</v>
      </c>
      <c r="E3379" s="2" t="s">
        <v>12</v>
      </c>
      <c r="F3379" s="2" t="s">
        <v>12</v>
      </c>
      <c r="G3379" s="2" t="s">
        <v>12</v>
      </c>
      <c r="H3379" s="2" t="s">
        <v>12</v>
      </c>
      <c r="I3379" s="2" t="s">
        <v>12</v>
      </c>
      <c r="J3379" s="2" t="s">
        <v>12</v>
      </c>
      <c r="K3379" s="2" t="s">
        <v>12</v>
      </c>
    </row>
    <row r="3380" spans="1:11" ht="12.5" x14ac:dyDescent="0.25">
      <c r="A3380" s="3" t="e">
        <f ca="1"/>
        <v>#NAME?</v>
      </c>
      <c r="B3380" s="2" t="s">
        <v>12</v>
      </c>
      <c r="C3380" s="2" t="s">
        <v>12</v>
      </c>
      <c r="D3380" s="2" t="s">
        <v>12</v>
      </c>
      <c r="E3380" s="2" t="s">
        <v>12</v>
      </c>
      <c r="F3380" s="2" t="s">
        <v>12</v>
      </c>
      <c r="G3380" s="2" t="s">
        <v>12</v>
      </c>
      <c r="H3380" s="2" t="s">
        <v>12</v>
      </c>
      <c r="I3380" s="2" t="s">
        <v>12</v>
      </c>
      <c r="J3380" s="2" t="s">
        <v>12</v>
      </c>
      <c r="K3380" s="2" t="s">
        <v>12</v>
      </c>
    </row>
    <row r="3381" spans="1:11" ht="12.5" x14ac:dyDescent="0.25">
      <c r="A3381" s="3" t="e">
        <f ca="1"/>
        <v>#NAME?</v>
      </c>
      <c r="B3381" s="2" t="s">
        <v>12</v>
      </c>
      <c r="C3381" s="2" t="s">
        <v>12</v>
      </c>
      <c r="D3381" s="2" t="s">
        <v>12</v>
      </c>
      <c r="E3381" s="2" t="s">
        <v>12</v>
      </c>
      <c r="F3381" s="2" t="s">
        <v>12</v>
      </c>
      <c r="G3381" s="2" t="s">
        <v>12</v>
      </c>
      <c r="H3381" s="2" t="s">
        <v>12</v>
      </c>
      <c r="I3381" s="2" t="s">
        <v>12</v>
      </c>
      <c r="J3381" s="2" t="s">
        <v>12</v>
      </c>
      <c r="K3381" s="2" t="s">
        <v>12</v>
      </c>
    </row>
    <row r="3382" spans="1:11" ht="12.5" x14ac:dyDescent="0.25">
      <c r="A3382" s="3" t="e">
        <f ca="1"/>
        <v>#NAME?</v>
      </c>
      <c r="B3382" s="2" t="s">
        <v>12</v>
      </c>
      <c r="C3382" s="2" t="s">
        <v>12</v>
      </c>
      <c r="D3382" s="2" t="s">
        <v>12</v>
      </c>
      <c r="E3382" s="2" t="s">
        <v>12</v>
      </c>
      <c r="F3382" s="2" t="s">
        <v>12</v>
      </c>
      <c r="G3382" s="2" t="s">
        <v>12</v>
      </c>
      <c r="H3382" s="2" t="s">
        <v>12</v>
      </c>
      <c r="I3382" s="2" t="s">
        <v>12</v>
      </c>
      <c r="J3382" s="2" t="s">
        <v>12</v>
      </c>
      <c r="K3382" s="2" t="s">
        <v>12</v>
      </c>
    </row>
    <row r="3383" spans="1:11" ht="12.5" x14ac:dyDescent="0.25">
      <c r="A3383" s="3" t="e">
        <f ca="1"/>
        <v>#NAME?</v>
      </c>
      <c r="B3383" s="2" t="s">
        <v>12</v>
      </c>
      <c r="C3383" s="2" t="s">
        <v>12</v>
      </c>
      <c r="D3383" s="2" t="s">
        <v>12</v>
      </c>
      <c r="E3383" s="2" t="s">
        <v>12</v>
      </c>
      <c r="F3383" s="2" t="s">
        <v>12</v>
      </c>
      <c r="G3383" s="2" t="s">
        <v>12</v>
      </c>
      <c r="H3383" s="2" t="s">
        <v>12</v>
      </c>
      <c r="I3383" s="2" t="s">
        <v>12</v>
      </c>
      <c r="J3383" s="2" t="s">
        <v>12</v>
      </c>
      <c r="K3383" s="2" t="s">
        <v>12</v>
      </c>
    </row>
    <row r="3384" spans="1:11" ht="12.5" x14ac:dyDescent="0.25">
      <c r="A3384" s="3" t="e">
        <f ca="1"/>
        <v>#NAME?</v>
      </c>
      <c r="B3384" s="2" t="s">
        <v>12</v>
      </c>
      <c r="C3384" s="2" t="s">
        <v>12</v>
      </c>
      <c r="D3384" s="2" t="s">
        <v>12</v>
      </c>
      <c r="E3384" s="2" t="s">
        <v>12</v>
      </c>
      <c r="F3384" s="2" t="s">
        <v>12</v>
      </c>
      <c r="G3384" s="2" t="s">
        <v>12</v>
      </c>
      <c r="H3384" s="2" t="s">
        <v>12</v>
      </c>
      <c r="I3384" s="2" t="s">
        <v>12</v>
      </c>
      <c r="J3384" s="2" t="s">
        <v>12</v>
      </c>
      <c r="K3384" s="2" t="s">
        <v>12</v>
      </c>
    </row>
    <row r="3385" spans="1:11" ht="12.5" x14ac:dyDescent="0.25">
      <c r="A3385" s="3" t="e">
        <f ca="1"/>
        <v>#NAME?</v>
      </c>
      <c r="B3385" s="2" t="s">
        <v>12</v>
      </c>
      <c r="C3385" s="2" t="s">
        <v>12</v>
      </c>
      <c r="D3385" s="2" t="s">
        <v>12</v>
      </c>
      <c r="E3385" s="2" t="s">
        <v>12</v>
      </c>
      <c r="F3385" s="2" t="s">
        <v>12</v>
      </c>
      <c r="G3385" s="2" t="s">
        <v>12</v>
      </c>
      <c r="H3385" s="2" t="s">
        <v>12</v>
      </c>
      <c r="I3385" s="2" t="s">
        <v>12</v>
      </c>
      <c r="J3385" s="2" t="s">
        <v>12</v>
      </c>
      <c r="K3385" s="2" t="s">
        <v>12</v>
      </c>
    </row>
    <row r="3386" spans="1:11" ht="12.5" x14ac:dyDescent="0.25">
      <c r="A3386" s="3" t="e">
        <f ca="1"/>
        <v>#NAME?</v>
      </c>
      <c r="B3386" s="2" t="s">
        <v>12</v>
      </c>
      <c r="C3386" s="2" t="s">
        <v>12</v>
      </c>
      <c r="D3386" s="2" t="s">
        <v>12</v>
      </c>
      <c r="E3386" s="2" t="s">
        <v>12</v>
      </c>
      <c r="F3386" s="2" t="s">
        <v>12</v>
      </c>
      <c r="G3386" s="2" t="s">
        <v>12</v>
      </c>
      <c r="H3386" s="2" t="s">
        <v>12</v>
      </c>
      <c r="I3386" s="2" t="s">
        <v>12</v>
      </c>
      <c r="J3386" s="2" t="s">
        <v>12</v>
      </c>
      <c r="K3386" s="2" t="s">
        <v>12</v>
      </c>
    </row>
    <row r="3387" spans="1:11" ht="12.5" x14ac:dyDescent="0.25">
      <c r="A3387" s="3" t="e">
        <f ca="1"/>
        <v>#NAME?</v>
      </c>
      <c r="B3387" s="2" t="s">
        <v>12</v>
      </c>
      <c r="C3387" s="2" t="s">
        <v>12</v>
      </c>
      <c r="D3387" s="2" t="s">
        <v>12</v>
      </c>
      <c r="E3387" s="2" t="s">
        <v>12</v>
      </c>
      <c r="F3387" s="2" t="s">
        <v>12</v>
      </c>
      <c r="G3387" s="2" t="s">
        <v>12</v>
      </c>
      <c r="H3387" s="2" t="s">
        <v>12</v>
      </c>
      <c r="I3387" s="2" t="s">
        <v>12</v>
      </c>
      <c r="J3387" s="2" t="s">
        <v>12</v>
      </c>
      <c r="K3387" s="2" t="s">
        <v>12</v>
      </c>
    </row>
    <row r="3388" spans="1:11" ht="12.5" x14ac:dyDescent="0.25">
      <c r="A3388" s="3" t="e">
        <f ca="1"/>
        <v>#NAME?</v>
      </c>
      <c r="B3388" s="2" t="s">
        <v>12</v>
      </c>
      <c r="C3388" s="2" t="s">
        <v>12</v>
      </c>
      <c r="D3388" s="2" t="s">
        <v>12</v>
      </c>
      <c r="E3388" s="2" t="s">
        <v>12</v>
      </c>
      <c r="F3388" s="2" t="s">
        <v>12</v>
      </c>
      <c r="G3388" s="2" t="s">
        <v>12</v>
      </c>
      <c r="H3388" s="2" t="s">
        <v>12</v>
      </c>
      <c r="I3388" s="2" t="s">
        <v>12</v>
      </c>
      <c r="J3388" s="2" t="s">
        <v>12</v>
      </c>
      <c r="K3388" s="2" t="s">
        <v>12</v>
      </c>
    </row>
    <row r="3389" spans="1:11" ht="12.5" x14ac:dyDescent="0.25">
      <c r="A3389" s="3" t="e">
        <f ca="1"/>
        <v>#NAME?</v>
      </c>
      <c r="B3389" s="2" t="s">
        <v>12</v>
      </c>
      <c r="C3389" s="2" t="s">
        <v>12</v>
      </c>
      <c r="D3389" s="2" t="s">
        <v>12</v>
      </c>
      <c r="E3389" s="2" t="s">
        <v>12</v>
      </c>
      <c r="F3389" s="2" t="s">
        <v>12</v>
      </c>
      <c r="G3389" s="2" t="s">
        <v>12</v>
      </c>
      <c r="H3389" s="2" t="s">
        <v>12</v>
      </c>
      <c r="I3389" s="2" t="s">
        <v>12</v>
      </c>
      <c r="J3389" s="2" t="s">
        <v>12</v>
      </c>
      <c r="K3389" s="2" t="s">
        <v>12</v>
      </c>
    </row>
    <row r="3390" spans="1:11" ht="12.5" x14ac:dyDescent="0.25">
      <c r="A3390" s="3" t="e">
        <f ca="1"/>
        <v>#NAME?</v>
      </c>
      <c r="B3390" s="2" t="s">
        <v>12</v>
      </c>
      <c r="C3390" s="2" t="s">
        <v>12</v>
      </c>
      <c r="D3390" s="2" t="s">
        <v>12</v>
      </c>
      <c r="E3390" s="2" t="s">
        <v>12</v>
      </c>
      <c r="F3390" s="2" t="s">
        <v>12</v>
      </c>
      <c r="G3390" s="2" t="s">
        <v>12</v>
      </c>
      <c r="H3390" s="2" t="s">
        <v>12</v>
      </c>
      <c r="I3390" s="2" t="s">
        <v>12</v>
      </c>
      <c r="J3390" s="2" t="s">
        <v>12</v>
      </c>
      <c r="K3390" s="2" t="s">
        <v>12</v>
      </c>
    </row>
    <row r="3391" spans="1:11" ht="12.5" x14ac:dyDescent="0.25">
      <c r="A3391" s="3" t="e">
        <f ca="1"/>
        <v>#NAME?</v>
      </c>
      <c r="B3391" s="2" t="s">
        <v>12</v>
      </c>
      <c r="C3391" s="2" t="s">
        <v>12</v>
      </c>
      <c r="D3391" s="2" t="s">
        <v>12</v>
      </c>
      <c r="E3391" s="2" t="s">
        <v>12</v>
      </c>
      <c r="F3391" s="2" t="s">
        <v>12</v>
      </c>
      <c r="G3391" s="2" t="s">
        <v>12</v>
      </c>
      <c r="H3391" s="2" t="s">
        <v>12</v>
      </c>
      <c r="I3391" s="2" t="s">
        <v>12</v>
      </c>
      <c r="J3391" s="2" t="s">
        <v>12</v>
      </c>
      <c r="K3391" s="2" t="s">
        <v>12</v>
      </c>
    </row>
    <row r="3392" spans="1:11" ht="12.5" x14ac:dyDescent="0.25">
      <c r="A3392" s="3" t="e">
        <f ca="1"/>
        <v>#NAME?</v>
      </c>
      <c r="B3392" s="2" t="s">
        <v>12</v>
      </c>
      <c r="C3392" s="2" t="s">
        <v>12</v>
      </c>
      <c r="D3392" s="2" t="s">
        <v>12</v>
      </c>
      <c r="E3392" s="2" t="s">
        <v>12</v>
      </c>
      <c r="F3392" s="2" t="s">
        <v>12</v>
      </c>
      <c r="G3392" s="2" t="s">
        <v>12</v>
      </c>
      <c r="H3392" s="2" t="s">
        <v>12</v>
      </c>
      <c r="I3392" s="2" t="s">
        <v>12</v>
      </c>
      <c r="J3392" s="2" t="s">
        <v>12</v>
      </c>
      <c r="K3392" s="2" t="s">
        <v>12</v>
      </c>
    </row>
    <row r="3393" spans="1:11" ht="12.5" x14ac:dyDescent="0.25">
      <c r="A3393" s="3" t="e">
        <f ca="1"/>
        <v>#NAME?</v>
      </c>
      <c r="B3393" s="2" t="s">
        <v>12</v>
      </c>
      <c r="C3393" s="2" t="s">
        <v>12</v>
      </c>
      <c r="D3393" s="2" t="s">
        <v>12</v>
      </c>
      <c r="E3393" s="2" t="s">
        <v>12</v>
      </c>
      <c r="F3393" s="2" t="s">
        <v>12</v>
      </c>
      <c r="G3393" s="2" t="s">
        <v>12</v>
      </c>
      <c r="H3393" s="2" t="s">
        <v>12</v>
      </c>
      <c r="I3393" s="2" t="s">
        <v>12</v>
      </c>
      <c r="J3393" s="2" t="s">
        <v>12</v>
      </c>
      <c r="K3393" s="2" t="s">
        <v>12</v>
      </c>
    </row>
    <row r="3394" spans="1:11" ht="12.5" x14ac:dyDescent="0.25">
      <c r="A3394" s="3" t="e">
        <f ca="1"/>
        <v>#NAME?</v>
      </c>
      <c r="B3394" s="2" t="s">
        <v>12</v>
      </c>
      <c r="C3394" s="2" t="s">
        <v>12</v>
      </c>
      <c r="D3394" s="2" t="s">
        <v>12</v>
      </c>
      <c r="E3394" s="2" t="s">
        <v>12</v>
      </c>
      <c r="F3394" s="2" t="s">
        <v>12</v>
      </c>
      <c r="G3394" s="2" t="s">
        <v>12</v>
      </c>
      <c r="H3394" s="2" t="s">
        <v>12</v>
      </c>
      <c r="I3394" s="2" t="s">
        <v>12</v>
      </c>
      <c r="J3394" s="2" t="s">
        <v>12</v>
      </c>
      <c r="K3394" s="2" t="s">
        <v>12</v>
      </c>
    </row>
    <row r="3395" spans="1:11" ht="12.5" x14ac:dyDescent="0.25">
      <c r="A3395" s="3" t="e">
        <f ca="1"/>
        <v>#NAME?</v>
      </c>
      <c r="B3395" s="2" t="s">
        <v>12</v>
      </c>
      <c r="C3395" s="2" t="s">
        <v>12</v>
      </c>
      <c r="D3395" s="2" t="s">
        <v>12</v>
      </c>
      <c r="E3395" s="2" t="s">
        <v>12</v>
      </c>
      <c r="F3395" s="2" t="s">
        <v>12</v>
      </c>
      <c r="G3395" s="2" t="s">
        <v>12</v>
      </c>
      <c r="H3395" s="2" t="s">
        <v>12</v>
      </c>
      <c r="I3395" s="2" t="s">
        <v>12</v>
      </c>
      <c r="J3395" s="2" t="s">
        <v>12</v>
      </c>
      <c r="K3395" s="2" t="s">
        <v>12</v>
      </c>
    </row>
    <row r="3396" spans="1:11" ht="12.5" x14ac:dyDescent="0.25">
      <c r="A3396" s="3" t="e">
        <f ca="1"/>
        <v>#NAME?</v>
      </c>
      <c r="B3396" s="2" t="s">
        <v>12</v>
      </c>
      <c r="C3396" s="2" t="s">
        <v>12</v>
      </c>
      <c r="D3396" s="2" t="s">
        <v>12</v>
      </c>
      <c r="E3396" s="2" t="s">
        <v>12</v>
      </c>
      <c r="F3396" s="2" t="s">
        <v>12</v>
      </c>
      <c r="G3396" s="2" t="s">
        <v>12</v>
      </c>
      <c r="H3396" s="2" t="s">
        <v>12</v>
      </c>
      <c r="I3396" s="2" t="s">
        <v>12</v>
      </c>
      <c r="J3396" s="2" t="s">
        <v>12</v>
      </c>
      <c r="K3396" s="2" t="s">
        <v>12</v>
      </c>
    </row>
    <row r="3397" spans="1:11" ht="12.5" x14ac:dyDescent="0.25">
      <c r="A3397" s="3" t="e">
        <f ca="1"/>
        <v>#NAME?</v>
      </c>
      <c r="B3397" s="2" t="s">
        <v>12</v>
      </c>
      <c r="C3397" s="2" t="s">
        <v>12</v>
      </c>
      <c r="D3397" s="2" t="s">
        <v>12</v>
      </c>
      <c r="E3397" s="2" t="s">
        <v>12</v>
      </c>
      <c r="F3397" s="2" t="s">
        <v>12</v>
      </c>
      <c r="G3397" s="2" t="s">
        <v>12</v>
      </c>
      <c r="H3397" s="2" t="s">
        <v>12</v>
      </c>
      <c r="I3397" s="2" t="s">
        <v>12</v>
      </c>
      <c r="J3397" s="2" t="s">
        <v>12</v>
      </c>
      <c r="K3397" s="2" t="s">
        <v>12</v>
      </c>
    </row>
    <row r="3398" spans="1:11" ht="12.5" x14ac:dyDescent="0.25">
      <c r="A3398" s="3" t="e">
        <f ca="1"/>
        <v>#NAME?</v>
      </c>
      <c r="B3398" s="2" t="s">
        <v>12</v>
      </c>
      <c r="C3398" s="2" t="s">
        <v>12</v>
      </c>
      <c r="D3398" s="2" t="s">
        <v>12</v>
      </c>
      <c r="E3398" s="2" t="s">
        <v>12</v>
      </c>
      <c r="F3398" s="2" t="s">
        <v>12</v>
      </c>
      <c r="G3398" s="2" t="s">
        <v>12</v>
      </c>
      <c r="H3398" s="2" t="s">
        <v>12</v>
      </c>
      <c r="I3398" s="2" t="s">
        <v>12</v>
      </c>
      <c r="J3398" s="2" t="s">
        <v>12</v>
      </c>
      <c r="K3398" s="2" t="s">
        <v>12</v>
      </c>
    </row>
    <row r="3399" spans="1:11" ht="12.5" x14ac:dyDescent="0.25">
      <c r="A3399" s="3" t="e">
        <f ca="1"/>
        <v>#NAME?</v>
      </c>
      <c r="B3399" s="2" t="s">
        <v>12</v>
      </c>
      <c r="C3399" s="2" t="s">
        <v>12</v>
      </c>
      <c r="D3399" s="2" t="s">
        <v>12</v>
      </c>
      <c r="E3399" s="2" t="s">
        <v>12</v>
      </c>
      <c r="F3399" s="2" t="s">
        <v>12</v>
      </c>
      <c r="G3399" s="2" t="s">
        <v>12</v>
      </c>
      <c r="H3399" s="2" t="s">
        <v>12</v>
      </c>
      <c r="I3399" s="2" t="s">
        <v>12</v>
      </c>
      <c r="J3399" s="2" t="s">
        <v>12</v>
      </c>
      <c r="K3399" s="2" t="s">
        <v>12</v>
      </c>
    </row>
    <row r="3400" spans="1:11" ht="12.5" x14ac:dyDescent="0.25">
      <c r="A3400" s="3" t="e">
        <f ca="1"/>
        <v>#NAME?</v>
      </c>
      <c r="B3400" s="2" t="s">
        <v>12</v>
      </c>
      <c r="C3400" s="2" t="s">
        <v>12</v>
      </c>
      <c r="D3400" s="2" t="s">
        <v>12</v>
      </c>
      <c r="E3400" s="2" t="s">
        <v>12</v>
      </c>
      <c r="F3400" s="2" t="s">
        <v>12</v>
      </c>
      <c r="G3400" s="2" t="s">
        <v>12</v>
      </c>
      <c r="H3400" s="2" t="s">
        <v>12</v>
      </c>
      <c r="I3400" s="2" t="s">
        <v>12</v>
      </c>
      <c r="J3400" s="2" t="s">
        <v>12</v>
      </c>
      <c r="K3400" s="2" t="s">
        <v>12</v>
      </c>
    </row>
    <row r="3401" spans="1:11" ht="12.5" x14ac:dyDescent="0.25">
      <c r="A3401" s="3" t="e">
        <f ca="1"/>
        <v>#NAME?</v>
      </c>
      <c r="B3401" s="2" t="s">
        <v>12</v>
      </c>
      <c r="C3401" s="2" t="s">
        <v>12</v>
      </c>
      <c r="D3401" s="2" t="s">
        <v>12</v>
      </c>
      <c r="E3401" s="2" t="s">
        <v>12</v>
      </c>
      <c r="F3401" s="2" t="s">
        <v>12</v>
      </c>
      <c r="G3401" s="2" t="s">
        <v>12</v>
      </c>
      <c r="H3401" s="2" t="s">
        <v>12</v>
      </c>
      <c r="I3401" s="2" t="s">
        <v>12</v>
      </c>
      <c r="J3401" s="2" t="s">
        <v>12</v>
      </c>
      <c r="K3401" s="2" t="s">
        <v>12</v>
      </c>
    </row>
    <row r="3402" spans="1:11" ht="12.5" x14ac:dyDescent="0.25">
      <c r="A3402" s="3" t="e">
        <f ca="1"/>
        <v>#NAME?</v>
      </c>
      <c r="B3402" s="2" t="s">
        <v>12</v>
      </c>
      <c r="C3402" s="2" t="s">
        <v>12</v>
      </c>
      <c r="D3402" s="2" t="s">
        <v>12</v>
      </c>
      <c r="E3402" s="2" t="s">
        <v>12</v>
      </c>
      <c r="F3402" s="2" t="s">
        <v>12</v>
      </c>
      <c r="G3402" s="2" t="s">
        <v>12</v>
      </c>
      <c r="H3402" s="2" t="s">
        <v>12</v>
      </c>
      <c r="I3402" s="2" t="s">
        <v>12</v>
      </c>
      <c r="J3402" s="2" t="s">
        <v>12</v>
      </c>
      <c r="K3402" s="2" t="s">
        <v>12</v>
      </c>
    </row>
    <row r="3403" spans="1:11" ht="12.5" x14ac:dyDescent="0.25">
      <c r="A3403" s="3" t="e">
        <f ca="1"/>
        <v>#NAME?</v>
      </c>
      <c r="B3403" s="2" t="s">
        <v>12</v>
      </c>
      <c r="C3403" s="2" t="s">
        <v>12</v>
      </c>
      <c r="D3403" s="2" t="s">
        <v>12</v>
      </c>
      <c r="E3403" s="2" t="s">
        <v>12</v>
      </c>
      <c r="F3403" s="2" t="s">
        <v>12</v>
      </c>
      <c r="G3403" s="2" t="s">
        <v>12</v>
      </c>
      <c r="H3403" s="2" t="s">
        <v>12</v>
      </c>
      <c r="I3403" s="2" t="s">
        <v>12</v>
      </c>
      <c r="J3403" s="2" t="s">
        <v>12</v>
      </c>
      <c r="K3403" s="2" t="s">
        <v>12</v>
      </c>
    </row>
    <row r="3404" spans="1:11" ht="12.5" x14ac:dyDescent="0.25">
      <c r="A3404" s="3" t="e">
        <f ca="1"/>
        <v>#NAME?</v>
      </c>
      <c r="B3404" s="2" t="s">
        <v>12</v>
      </c>
      <c r="C3404" s="2" t="s">
        <v>12</v>
      </c>
      <c r="D3404" s="2" t="s">
        <v>12</v>
      </c>
      <c r="E3404" s="2" t="s">
        <v>12</v>
      </c>
      <c r="F3404" s="2" t="s">
        <v>12</v>
      </c>
      <c r="G3404" s="2" t="s">
        <v>12</v>
      </c>
      <c r="H3404" s="2" t="s">
        <v>12</v>
      </c>
      <c r="I3404" s="2" t="s">
        <v>12</v>
      </c>
      <c r="J3404" s="2" t="s">
        <v>12</v>
      </c>
      <c r="K3404" s="2" t="s">
        <v>12</v>
      </c>
    </row>
    <row r="3405" spans="1:11" ht="12.5" x14ac:dyDescent="0.25">
      <c r="A3405" s="3" t="e">
        <f ca="1"/>
        <v>#NAME?</v>
      </c>
      <c r="B3405" s="2" t="s">
        <v>12</v>
      </c>
      <c r="C3405" s="2" t="s">
        <v>12</v>
      </c>
      <c r="D3405" s="2" t="s">
        <v>12</v>
      </c>
      <c r="E3405" s="2" t="s">
        <v>12</v>
      </c>
      <c r="F3405" s="2" t="s">
        <v>12</v>
      </c>
      <c r="G3405" s="2" t="s">
        <v>12</v>
      </c>
      <c r="H3405" s="2" t="s">
        <v>12</v>
      </c>
      <c r="I3405" s="2" t="s">
        <v>12</v>
      </c>
      <c r="J3405" s="2" t="s">
        <v>12</v>
      </c>
      <c r="K3405" s="2" t="s">
        <v>12</v>
      </c>
    </row>
    <row r="3406" spans="1:11" ht="12.5" x14ac:dyDescent="0.25">
      <c r="A3406" s="3" t="e">
        <f ca="1"/>
        <v>#NAME?</v>
      </c>
      <c r="B3406" s="2" t="s">
        <v>12</v>
      </c>
      <c r="C3406" s="2" t="s">
        <v>12</v>
      </c>
      <c r="D3406" s="2" t="s">
        <v>12</v>
      </c>
      <c r="E3406" s="2" t="s">
        <v>12</v>
      </c>
      <c r="F3406" s="2" t="s">
        <v>12</v>
      </c>
      <c r="G3406" s="2" t="s">
        <v>12</v>
      </c>
      <c r="H3406" s="2" t="s">
        <v>12</v>
      </c>
      <c r="I3406" s="2" t="s">
        <v>12</v>
      </c>
      <c r="J3406" s="2" t="s">
        <v>12</v>
      </c>
      <c r="K3406" s="2" t="s">
        <v>12</v>
      </c>
    </row>
    <row r="3407" spans="1:11" ht="12.5" x14ac:dyDescent="0.25">
      <c r="A3407" s="3" t="e">
        <f ca="1"/>
        <v>#NAME?</v>
      </c>
      <c r="B3407" s="2" t="s">
        <v>12</v>
      </c>
      <c r="C3407" s="2" t="s">
        <v>12</v>
      </c>
      <c r="D3407" s="2" t="s">
        <v>12</v>
      </c>
      <c r="E3407" s="2" t="s">
        <v>12</v>
      </c>
      <c r="F3407" s="2" t="s">
        <v>12</v>
      </c>
      <c r="G3407" s="2" t="s">
        <v>12</v>
      </c>
      <c r="H3407" s="2" t="s">
        <v>12</v>
      </c>
      <c r="I3407" s="2" t="s">
        <v>12</v>
      </c>
      <c r="J3407" s="2" t="s">
        <v>12</v>
      </c>
      <c r="K3407" s="2" t="s">
        <v>12</v>
      </c>
    </row>
    <row r="3408" spans="1:11" ht="12.5" x14ac:dyDescent="0.25">
      <c r="A3408" s="3" t="e">
        <f ca="1"/>
        <v>#NAME?</v>
      </c>
      <c r="B3408" s="2" t="s">
        <v>12</v>
      </c>
      <c r="C3408" s="2" t="s">
        <v>12</v>
      </c>
      <c r="D3408" s="2" t="s">
        <v>12</v>
      </c>
      <c r="E3408" s="2" t="s">
        <v>12</v>
      </c>
      <c r="F3408" s="2" t="s">
        <v>12</v>
      </c>
      <c r="G3408" s="2" t="s">
        <v>12</v>
      </c>
      <c r="H3408" s="2" t="s">
        <v>12</v>
      </c>
      <c r="I3408" s="2" t="s">
        <v>12</v>
      </c>
      <c r="J3408" s="2" t="s">
        <v>12</v>
      </c>
      <c r="K3408" s="2" t="s">
        <v>12</v>
      </c>
    </row>
    <row r="3409" spans="1:11" ht="12.5" x14ac:dyDescent="0.25">
      <c r="A3409" s="3" t="e">
        <f ca="1"/>
        <v>#NAME?</v>
      </c>
      <c r="B3409" s="2" t="s">
        <v>12</v>
      </c>
      <c r="C3409" s="2" t="s">
        <v>12</v>
      </c>
      <c r="D3409" s="2" t="s">
        <v>12</v>
      </c>
      <c r="E3409" s="2" t="s">
        <v>12</v>
      </c>
      <c r="F3409" s="2" t="s">
        <v>12</v>
      </c>
      <c r="G3409" s="2" t="s">
        <v>12</v>
      </c>
      <c r="H3409" s="2" t="s">
        <v>12</v>
      </c>
      <c r="I3409" s="2" t="s">
        <v>12</v>
      </c>
      <c r="J3409" s="2" t="s">
        <v>12</v>
      </c>
      <c r="K3409" s="2" t="s">
        <v>12</v>
      </c>
    </row>
    <row r="3410" spans="1:11" ht="12.5" x14ac:dyDescent="0.25">
      <c r="A3410" s="3" t="e">
        <f ca="1"/>
        <v>#NAME?</v>
      </c>
      <c r="B3410" s="2" t="s">
        <v>12</v>
      </c>
      <c r="C3410" s="2" t="s">
        <v>12</v>
      </c>
      <c r="D3410" s="2" t="s">
        <v>12</v>
      </c>
      <c r="E3410" s="2" t="s">
        <v>12</v>
      </c>
      <c r="F3410" s="2" t="s">
        <v>12</v>
      </c>
      <c r="G3410" s="2" t="s">
        <v>12</v>
      </c>
      <c r="H3410" s="2" t="s">
        <v>12</v>
      </c>
      <c r="I3410" s="2" t="s">
        <v>12</v>
      </c>
      <c r="J3410" s="2" t="s">
        <v>12</v>
      </c>
      <c r="K3410" s="2" t="s">
        <v>12</v>
      </c>
    </row>
    <row r="3411" spans="1:11" ht="12.5" x14ac:dyDescent="0.25">
      <c r="A3411" s="3" t="e">
        <f ca="1"/>
        <v>#NAME?</v>
      </c>
      <c r="B3411" s="2" t="s">
        <v>12</v>
      </c>
      <c r="C3411" s="2" t="s">
        <v>12</v>
      </c>
      <c r="D3411" s="2" t="s">
        <v>12</v>
      </c>
      <c r="E3411" s="2" t="s">
        <v>12</v>
      </c>
      <c r="F3411" s="2" t="s">
        <v>12</v>
      </c>
      <c r="G3411" s="2" t="s">
        <v>12</v>
      </c>
      <c r="H3411" s="2" t="s">
        <v>12</v>
      </c>
      <c r="I3411" s="2" t="s">
        <v>12</v>
      </c>
      <c r="J3411" s="2" t="s">
        <v>12</v>
      </c>
      <c r="K3411" s="2" t="s">
        <v>12</v>
      </c>
    </row>
    <row r="3412" spans="1:11" ht="12.5" x14ac:dyDescent="0.25">
      <c r="A3412" s="3" t="e">
        <f ca="1"/>
        <v>#NAME?</v>
      </c>
      <c r="B3412" s="2" t="s">
        <v>12</v>
      </c>
      <c r="C3412" s="2" t="s">
        <v>12</v>
      </c>
      <c r="D3412" s="2" t="s">
        <v>12</v>
      </c>
      <c r="E3412" s="2" t="s">
        <v>12</v>
      </c>
      <c r="F3412" s="2" t="s">
        <v>12</v>
      </c>
      <c r="G3412" s="2" t="s">
        <v>12</v>
      </c>
      <c r="H3412" s="2" t="s">
        <v>12</v>
      </c>
      <c r="I3412" s="2" t="s">
        <v>12</v>
      </c>
      <c r="J3412" s="2" t="s">
        <v>12</v>
      </c>
      <c r="K3412" s="2" t="s">
        <v>12</v>
      </c>
    </row>
    <row r="3413" spans="1:11" ht="12.5" x14ac:dyDescent="0.25">
      <c r="A3413" s="3" t="e">
        <f ca="1"/>
        <v>#NAME?</v>
      </c>
      <c r="B3413" s="2" t="s">
        <v>12</v>
      </c>
      <c r="C3413" s="2" t="s">
        <v>12</v>
      </c>
      <c r="D3413" s="2" t="s">
        <v>12</v>
      </c>
      <c r="E3413" s="2" t="s">
        <v>12</v>
      </c>
      <c r="F3413" s="2" t="s">
        <v>12</v>
      </c>
      <c r="G3413" s="2" t="s">
        <v>12</v>
      </c>
      <c r="H3413" s="2" t="s">
        <v>12</v>
      </c>
      <c r="I3413" s="2" t="s">
        <v>12</v>
      </c>
      <c r="J3413" s="2" t="s">
        <v>12</v>
      </c>
      <c r="K3413" s="2" t="s">
        <v>12</v>
      </c>
    </row>
    <row r="3414" spans="1:11" ht="12.5" x14ac:dyDescent="0.25">
      <c r="A3414" s="3" t="e">
        <f ca="1"/>
        <v>#NAME?</v>
      </c>
      <c r="B3414" s="2" t="s">
        <v>12</v>
      </c>
      <c r="C3414" s="2" t="s">
        <v>12</v>
      </c>
      <c r="D3414" s="2" t="s">
        <v>12</v>
      </c>
      <c r="E3414" s="2" t="s">
        <v>12</v>
      </c>
      <c r="F3414" s="2" t="s">
        <v>12</v>
      </c>
      <c r="G3414" s="2" t="s">
        <v>12</v>
      </c>
      <c r="H3414" s="2" t="s">
        <v>12</v>
      </c>
      <c r="I3414" s="2" t="s">
        <v>12</v>
      </c>
      <c r="J3414" s="2" t="s">
        <v>12</v>
      </c>
      <c r="K3414" s="2" t="s">
        <v>12</v>
      </c>
    </row>
    <row r="3415" spans="1:11" ht="12.5" x14ac:dyDescent="0.25">
      <c r="A3415" s="3" t="e">
        <f ca="1"/>
        <v>#NAME?</v>
      </c>
      <c r="B3415" s="2" t="s">
        <v>12</v>
      </c>
      <c r="C3415" s="2" t="s">
        <v>12</v>
      </c>
      <c r="D3415" s="2" t="s">
        <v>12</v>
      </c>
      <c r="E3415" s="2" t="s">
        <v>12</v>
      </c>
      <c r="F3415" s="2" t="s">
        <v>12</v>
      </c>
      <c r="G3415" s="2" t="s">
        <v>12</v>
      </c>
      <c r="H3415" s="2" t="s">
        <v>12</v>
      </c>
      <c r="I3415" s="2" t="s">
        <v>12</v>
      </c>
      <c r="J3415" s="2" t="s">
        <v>12</v>
      </c>
      <c r="K3415" s="2" t="s">
        <v>12</v>
      </c>
    </row>
    <row r="3416" spans="1:11" ht="12.5" x14ac:dyDescent="0.25">
      <c r="A3416" s="3" t="e">
        <f ca="1"/>
        <v>#NAME?</v>
      </c>
      <c r="B3416" s="2" t="s">
        <v>12</v>
      </c>
      <c r="C3416" s="2" t="s">
        <v>12</v>
      </c>
      <c r="D3416" s="2" t="s">
        <v>12</v>
      </c>
      <c r="E3416" s="2" t="s">
        <v>12</v>
      </c>
      <c r="F3416" s="2" t="s">
        <v>12</v>
      </c>
      <c r="G3416" s="2" t="s">
        <v>12</v>
      </c>
      <c r="H3416" s="2" t="s">
        <v>12</v>
      </c>
      <c r="I3416" s="2" t="s">
        <v>12</v>
      </c>
      <c r="J3416" s="2" t="s">
        <v>12</v>
      </c>
      <c r="K3416" s="2" t="s">
        <v>12</v>
      </c>
    </row>
    <row r="3417" spans="1:11" ht="12.5" x14ac:dyDescent="0.25">
      <c r="A3417" s="3" t="e">
        <f ca="1"/>
        <v>#NAME?</v>
      </c>
      <c r="B3417" s="2" t="s">
        <v>12</v>
      </c>
      <c r="C3417" s="2" t="s">
        <v>12</v>
      </c>
      <c r="D3417" s="2" t="s">
        <v>12</v>
      </c>
      <c r="E3417" s="2" t="s">
        <v>12</v>
      </c>
      <c r="F3417" s="2" t="s">
        <v>12</v>
      </c>
      <c r="G3417" s="2" t="s">
        <v>12</v>
      </c>
      <c r="H3417" s="2" t="s">
        <v>12</v>
      </c>
      <c r="I3417" s="2" t="s">
        <v>12</v>
      </c>
      <c r="J3417" s="2" t="s">
        <v>12</v>
      </c>
      <c r="K3417" s="2" t="s">
        <v>12</v>
      </c>
    </row>
    <row r="3418" spans="1:11" ht="12.5" x14ac:dyDescent="0.25">
      <c r="A3418" s="3" t="e">
        <f ca="1"/>
        <v>#NAME?</v>
      </c>
      <c r="B3418" s="2" t="s">
        <v>12</v>
      </c>
      <c r="C3418" s="2" t="s">
        <v>12</v>
      </c>
      <c r="D3418" s="2" t="s">
        <v>12</v>
      </c>
      <c r="E3418" s="2" t="s">
        <v>12</v>
      </c>
      <c r="F3418" s="2" t="s">
        <v>12</v>
      </c>
      <c r="G3418" s="2" t="s">
        <v>12</v>
      </c>
      <c r="H3418" s="2" t="s">
        <v>12</v>
      </c>
      <c r="I3418" s="2" t="s">
        <v>12</v>
      </c>
      <c r="J3418" s="2" t="s">
        <v>12</v>
      </c>
      <c r="K3418" s="2" t="s">
        <v>12</v>
      </c>
    </row>
    <row r="3419" spans="1:11" ht="12.5" x14ac:dyDescent="0.25">
      <c r="A3419" s="3" t="e">
        <f ca="1"/>
        <v>#NAME?</v>
      </c>
      <c r="B3419" s="2" t="s">
        <v>12</v>
      </c>
      <c r="C3419" s="2" t="s">
        <v>12</v>
      </c>
      <c r="D3419" s="2" t="s">
        <v>12</v>
      </c>
      <c r="E3419" s="2" t="s">
        <v>12</v>
      </c>
      <c r="F3419" s="2" t="s">
        <v>12</v>
      </c>
      <c r="G3419" s="2" t="s">
        <v>12</v>
      </c>
      <c r="H3419" s="2" t="s">
        <v>12</v>
      </c>
      <c r="I3419" s="2" t="s">
        <v>12</v>
      </c>
      <c r="J3419" s="2" t="s">
        <v>12</v>
      </c>
      <c r="K3419" s="2" t="s">
        <v>12</v>
      </c>
    </row>
    <row r="3420" spans="1:11" ht="12.5" x14ac:dyDescent="0.25">
      <c r="A3420" s="3" t="e">
        <f ca="1"/>
        <v>#NAME?</v>
      </c>
      <c r="B3420" s="2" t="s">
        <v>12</v>
      </c>
      <c r="C3420" s="2" t="s">
        <v>12</v>
      </c>
      <c r="D3420" s="2" t="s">
        <v>12</v>
      </c>
      <c r="E3420" s="2" t="s">
        <v>12</v>
      </c>
      <c r="F3420" s="2" t="s">
        <v>12</v>
      </c>
      <c r="G3420" s="2" t="s">
        <v>12</v>
      </c>
      <c r="H3420" s="2" t="s">
        <v>12</v>
      </c>
      <c r="I3420" s="2" t="s">
        <v>12</v>
      </c>
      <c r="J3420" s="2" t="s">
        <v>12</v>
      </c>
      <c r="K3420" s="2" t="s">
        <v>12</v>
      </c>
    </row>
    <row r="3421" spans="1:11" ht="12.5" x14ac:dyDescent="0.25">
      <c r="A3421" s="3" t="e">
        <f ca="1"/>
        <v>#NAME?</v>
      </c>
      <c r="B3421" s="2" t="s">
        <v>12</v>
      </c>
      <c r="C3421" s="2" t="s">
        <v>12</v>
      </c>
      <c r="D3421" s="2" t="s">
        <v>12</v>
      </c>
      <c r="E3421" s="2" t="s">
        <v>12</v>
      </c>
      <c r="F3421" s="2" t="s">
        <v>12</v>
      </c>
      <c r="G3421" s="2" t="s">
        <v>12</v>
      </c>
      <c r="H3421" s="2" t="s">
        <v>12</v>
      </c>
      <c r="I3421" s="2" t="s">
        <v>12</v>
      </c>
      <c r="J3421" s="2" t="s">
        <v>12</v>
      </c>
      <c r="K3421" s="2" t="s">
        <v>12</v>
      </c>
    </row>
    <row r="3422" spans="1:11" ht="12.5" x14ac:dyDescent="0.25">
      <c r="A3422" s="3" t="e">
        <f ca="1"/>
        <v>#NAME?</v>
      </c>
      <c r="B3422" s="2" t="s">
        <v>12</v>
      </c>
      <c r="C3422" s="2" t="s">
        <v>12</v>
      </c>
      <c r="D3422" s="2" t="s">
        <v>12</v>
      </c>
      <c r="E3422" s="2" t="s">
        <v>12</v>
      </c>
      <c r="F3422" s="2" t="s">
        <v>12</v>
      </c>
      <c r="G3422" s="2" t="s">
        <v>12</v>
      </c>
      <c r="H3422" s="2" t="s">
        <v>12</v>
      </c>
      <c r="I3422" s="2" t="s">
        <v>12</v>
      </c>
      <c r="J3422" s="2" t="s">
        <v>12</v>
      </c>
      <c r="K3422" s="2" t="s">
        <v>12</v>
      </c>
    </row>
    <row r="3423" spans="1:11" ht="12.5" x14ac:dyDescent="0.25">
      <c r="A3423" s="3" t="e">
        <f ca="1"/>
        <v>#NAME?</v>
      </c>
      <c r="B3423" s="2" t="s">
        <v>12</v>
      </c>
      <c r="C3423" s="2" t="s">
        <v>12</v>
      </c>
      <c r="D3423" s="2" t="s">
        <v>12</v>
      </c>
      <c r="E3423" s="2" t="s">
        <v>12</v>
      </c>
      <c r="F3423" s="2" t="s">
        <v>12</v>
      </c>
      <c r="G3423" s="2" t="s">
        <v>12</v>
      </c>
      <c r="H3423" s="2" t="s">
        <v>12</v>
      </c>
      <c r="I3423" s="2" t="s">
        <v>12</v>
      </c>
      <c r="J3423" s="2" t="s">
        <v>12</v>
      </c>
      <c r="K3423" s="2" t="s">
        <v>12</v>
      </c>
    </row>
    <row r="3424" spans="1:11" ht="12.5" x14ac:dyDescent="0.25">
      <c r="A3424" s="3" t="e">
        <f ca="1"/>
        <v>#NAME?</v>
      </c>
      <c r="B3424" s="2" t="s">
        <v>12</v>
      </c>
      <c r="C3424" s="2" t="s">
        <v>12</v>
      </c>
      <c r="D3424" s="2" t="s">
        <v>12</v>
      </c>
      <c r="E3424" s="2" t="s">
        <v>12</v>
      </c>
      <c r="F3424" s="2" t="s">
        <v>12</v>
      </c>
      <c r="G3424" s="2" t="s">
        <v>12</v>
      </c>
      <c r="H3424" s="2" t="s">
        <v>12</v>
      </c>
      <c r="I3424" s="2" t="s">
        <v>12</v>
      </c>
      <c r="J3424" s="2" t="s">
        <v>12</v>
      </c>
      <c r="K3424" s="2" t="s">
        <v>12</v>
      </c>
    </row>
    <row r="3425" spans="1:11" ht="12.5" x14ac:dyDescent="0.25">
      <c r="A3425" s="3" t="e">
        <f ca="1"/>
        <v>#NAME?</v>
      </c>
      <c r="B3425" s="2" t="s">
        <v>12</v>
      </c>
      <c r="C3425" s="2" t="s">
        <v>12</v>
      </c>
      <c r="D3425" s="2" t="s">
        <v>12</v>
      </c>
      <c r="E3425" s="2" t="s">
        <v>12</v>
      </c>
      <c r="F3425" s="2" t="s">
        <v>12</v>
      </c>
      <c r="G3425" s="2" t="s">
        <v>12</v>
      </c>
      <c r="H3425" s="2" t="s">
        <v>12</v>
      </c>
      <c r="I3425" s="2" t="s">
        <v>12</v>
      </c>
      <c r="J3425" s="2" t="s">
        <v>12</v>
      </c>
      <c r="K3425" s="2" t="s">
        <v>12</v>
      </c>
    </row>
    <row r="3426" spans="1:11" ht="12.5" x14ac:dyDescent="0.25">
      <c r="A3426" s="3" t="e">
        <f ca="1"/>
        <v>#NAME?</v>
      </c>
      <c r="B3426" s="2" t="s">
        <v>12</v>
      </c>
      <c r="C3426" s="2" t="s">
        <v>12</v>
      </c>
      <c r="D3426" s="2" t="s">
        <v>12</v>
      </c>
      <c r="E3426" s="2" t="s">
        <v>12</v>
      </c>
      <c r="F3426" s="2" t="s">
        <v>12</v>
      </c>
      <c r="G3426" s="2" t="s">
        <v>12</v>
      </c>
      <c r="H3426" s="2" t="s">
        <v>12</v>
      </c>
      <c r="I3426" s="2" t="s">
        <v>12</v>
      </c>
      <c r="J3426" s="2" t="s">
        <v>12</v>
      </c>
      <c r="K3426" s="2" t="s">
        <v>12</v>
      </c>
    </row>
    <row r="3427" spans="1:11" ht="12.5" x14ac:dyDescent="0.25">
      <c r="A3427" s="3" t="e">
        <f ca="1"/>
        <v>#NAME?</v>
      </c>
      <c r="B3427" s="2" t="s">
        <v>12</v>
      </c>
      <c r="C3427" s="2" t="s">
        <v>12</v>
      </c>
      <c r="D3427" s="2" t="s">
        <v>12</v>
      </c>
      <c r="E3427" s="2" t="s">
        <v>12</v>
      </c>
      <c r="F3427" s="2" t="s">
        <v>12</v>
      </c>
      <c r="G3427" s="2" t="s">
        <v>12</v>
      </c>
      <c r="H3427" s="2" t="s">
        <v>12</v>
      </c>
      <c r="I3427" s="2" t="s">
        <v>12</v>
      </c>
      <c r="J3427" s="2" t="s">
        <v>12</v>
      </c>
      <c r="K3427" s="2" t="s">
        <v>12</v>
      </c>
    </row>
    <row r="3428" spans="1:11" ht="12.5" x14ac:dyDescent="0.25">
      <c r="A3428" s="3" t="e">
        <f ca="1"/>
        <v>#NAME?</v>
      </c>
      <c r="B3428" s="2" t="s">
        <v>12</v>
      </c>
      <c r="C3428" s="2" t="s">
        <v>12</v>
      </c>
      <c r="D3428" s="2" t="s">
        <v>12</v>
      </c>
      <c r="E3428" s="2" t="s">
        <v>12</v>
      </c>
      <c r="F3428" s="2" t="s">
        <v>12</v>
      </c>
      <c r="G3428" s="2" t="s">
        <v>12</v>
      </c>
      <c r="H3428" s="2" t="s">
        <v>12</v>
      </c>
      <c r="I3428" s="2" t="s">
        <v>12</v>
      </c>
      <c r="J3428" s="2" t="s">
        <v>12</v>
      </c>
      <c r="K3428" s="2" t="s">
        <v>12</v>
      </c>
    </row>
    <row r="3429" spans="1:11" ht="12.5" x14ac:dyDescent="0.25">
      <c r="A3429" s="3" t="e">
        <f ca="1"/>
        <v>#NAME?</v>
      </c>
      <c r="B3429" s="2" t="s">
        <v>12</v>
      </c>
      <c r="C3429" s="2" t="s">
        <v>12</v>
      </c>
      <c r="D3429" s="2" t="s">
        <v>12</v>
      </c>
      <c r="E3429" s="2" t="s">
        <v>12</v>
      </c>
      <c r="F3429" s="2" t="s">
        <v>12</v>
      </c>
      <c r="G3429" s="2" t="s">
        <v>12</v>
      </c>
      <c r="H3429" s="2" t="s">
        <v>12</v>
      </c>
      <c r="I3429" s="2" t="s">
        <v>12</v>
      </c>
      <c r="J3429" s="2" t="s">
        <v>12</v>
      </c>
      <c r="K3429" s="2" t="s">
        <v>12</v>
      </c>
    </row>
    <row r="3430" spans="1:11" ht="12.5" x14ac:dyDescent="0.25">
      <c r="A3430" s="3" t="e">
        <f ca="1"/>
        <v>#NAME?</v>
      </c>
      <c r="B3430" s="2" t="s">
        <v>12</v>
      </c>
      <c r="C3430" s="2" t="s">
        <v>12</v>
      </c>
      <c r="D3430" s="2" t="s">
        <v>12</v>
      </c>
      <c r="E3430" s="2" t="s">
        <v>12</v>
      </c>
      <c r="F3430" s="2" t="s">
        <v>12</v>
      </c>
      <c r="G3430" s="2" t="s">
        <v>12</v>
      </c>
      <c r="H3430" s="2" t="s">
        <v>12</v>
      </c>
      <c r="I3430" s="2" t="s">
        <v>12</v>
      </c>
      <c r="J3430" s="2" t="s">
        <v>12</v>
      </c>
      <c r="K3430" s="2" t="s">
        <v>12</v>
      </c>
    </row>
    <row r="3431" spans="1:11" ht="12.5" x14ac:dyDescent="0.25">
      <c r="A3431" s="3" t="e">
        <f ca="1"/>
        <v>#NAME?</v>
      </c>
      <c r="B3431" s="2" t="s">
        <v>12</v>
      </c>
      <c r="C3431" s="2" t="s">
        <v>12</v>
      </c>
      <c r="D3431" s="2" t="s">
        <v>12</v>
      </c>
      <c r="E3431" s="2" t="s">
        <v>12</v>
      </c>
      <c r="F3431" s="2" t="s">
        <v>12</v>
      </c>
      <c r="G3431" s="2" t="s">
        <v>12</v>
      </c>
      <c r="H3431" s="2" t="s">
        <v>12</v>
      </c>
      <c r="I3431" s="2" t="s">
        <v>12</v>
      </c>
      <c r="J3431" s="2" t="s">
        <v>12</v>
      </c>
      <c r="K3431" s="2" t="s">
        <v>12</v>
      </c>
    </row>
    <row r="3432" spans="1:11" ht="12.5" x14ac:dyDescent="0.25">
      <c r="A3432" s="3" t="e">
        <f ca="1"/>
        <v>#NAME?</v>
      </c>
      <c r="B3432" s="2" t="s">
        <v>12</v>
      </c>
      <c r="C3432" s="2" t="s">
        <v>12</v>
      </c>
      <c r="D3432" s="2" t="s">
        <v>12</v>
      </c>
      <c r="E3432" s="2" t="s">
        <v>12</v>
      </c>
      <c r="F3432" s="2" t="s">
        <v>12</v>
      </c>
      <c r="G3432" s="2" t="s">
        <v>12</v>
      </c>
      <c r="H3432" s="2" t="s">
        <v>12</v>
      </c>
      <c r="I3432" s="2" t="s">
        <v>12</v>
      </c>
      <c r="J3432" s="2" t="s">
        <v>12</v>
      </c>
      <c r="K3432" s="2" t="s">
        <v>12</v>
      </c>
    </row>
    <row r="3433" spans="1:11" ht="12.5" x14ac:dyDescent="0.25">
      <c r="A3433" s="3" t="e">
        <f ca="1"/>
        <v>#NAME?</v>
      </c>
      <c r="B3433" s="2" t="s">
        <v>12</v>
      </c>
      <c r="C3433" s="2" t="s">
        <v>12</v>
      </c>
      <c r="D3433" s="2" t="s">
        <v>12</v>
      </c>
      <c r="E3433" s="2" t="s">
        <v>12</v>
      </c>
      <c r="F3433" s="2" t="s">
        <v>12</v>
      </c>
      <c r="G3433" s="2" t="s">
        <v>12</v>
      </c>
      <c r="H3433" s="2" t="s">
        <v>12</v>
      </c>
      <c r="I3433" s="2" t="s">
        <v>12</v>
      </c>
      <c r="J3433" s="2" t="s">
        <v>12</v>
      </c>
      <c r="K3433" s="2" t="s">
        <v>12</v>
      </c>
    </row>
    <row r="3434" spans="1:11" ht="12.5" x14ac:dyDescent="0.25">
      <c r="A3434" s="3" t="e">
        <f ca="1"/>
        <v>#NAME?</v>
      </c>
      <c r="B3434" s="2" t="s">
        <v>12</v>
      </c>
      <c r="C3434" s="2" t="s">
        <v>12</v>
      </c>
      <c r="D3434" s="2" t="s">
        <v>12</v>
      </c>
      <c r="E3434" s="2" t="s">
        <v>12</v>
      </c>
      <c r="F3434" s="2" t="s">
        <v>12</v>
      </c>
      <c r="G3434" s="2" t="s">
        <v>12</v>
      </c>
      <c r="H3434" s="2" t="s">
        <v>12</v>
      </c>
      <c r="I3434" s="2" t="s">
        <v>12</v>
      </c>
      <c r="J3434" s="2" t="s">
        <v>12</v>
      </c>
      <c r="K3434" s="2" t="s">
        <v>12</v>
      </c>
    </row>
    <row r="3435" spans="1:11" ht="12.5" x14ac:dyDescent="0.25">
      <c r="A3435" s="3" t="e">
        <f ca="1"/>
        <v>#NAME?</v>
      </c>
      <c r="B3435" s="2" t="s">
        <v>12</v>
      </c>
      <c r="C3435" s="2" t="s">
        <v>12</v>
      </c>
      <c r="D3435" s="2" t="s">
        <v>12</v>
      </c>
      <c r="E3435" s="2" t="s">
        <v>12</v>
      </c>
      <c r="F3435" s="2" t="s">
        <v>12</v>
      </c>
      <c r="G3435" s="2" t="s">
        <v>12</v>
      </c>
      <c r="H3435" s="2" t="s">
        <v>12</v>
      </c>
      <c r="I3435" s="2" t="s">
        <v>12</v>
      </c>
      <c r="J3435" s="2" t="s">
        <v>12</v>
      </c>
      <c r="K3435" s="2" t="s">
        <v>12</v>
      </c>
    </row>
    <row r="3436" spans="1:11" ht="12.5" x14ac:dyDescent="0.25">
      <c r="A3436" s="3" t="e">
        <f ca="1"/>
        <v>#NAME?</v>
      </c>
      <c r="B3436" s="2" t="s">
        <v>12</v>
      </c>
      <c r="C3436" s="2" t="s">
        <v>12</v>
      </c>
      <c r="D3436" s="2" t="s">
        <v>12</v>
      </c>
      <c r="E3436" s="2" t="s">
        <v>12</v>
      </c>
      <c r="F3436" s="2" t="s">
        <v>12</v>
      </c>
      <c r="G3436" s="2" t="s">
        <v>12</v>
      </c>
      <c r="H3436" s="2" t="s">
        <v>12</v>
      </c>
      <c r="I3436" s="2" t="s">
        <v>12</v>
      </c>
      <c r="J3436" s="2" t="s">
        <v>12</v>
      </c>
      <c r="K3436" s="2" t="s">
        <v>12</v>
      </c>
    </row>
    <row r="3437" spans="1:11" ht="12.5" x14ac:dyDescent="0.25">
      <c r="A3437" s="3" t="e">
        <f ca="1"/>
        <v>#NAME?</v>
      </c>
      <c r="B3437" s="2" t="s">
        <v>12</v>
      </c>
      <c r="C3437" s="2" t="s">
        <v>12</v>
      </c>
      <c r="D3437" s="2" t="s">
        <v>12</v>
      </c>
      <c r="E3437" s="2" t="s">
        <v>12</v>
      </c>
      <c r="F3437" s="2" t="s">
        <v>12</v>
      </c>
      <c r="G3437" s="2" t="s">
        <v>12</v>
      </c>
      <c r="H3437" s="2" t="s">
        <v>12</v>
      </c>
      <c r="I3437" s="2" t="s">
        <v>12</v>
      </c>
      <c r="J3437" s="2" t="s">
        <v>12</v>
      </c>
      <c r="K3437" s="2" t="s">
        <v>12</v>
      </c>
    </row>
    <row r="3438" spans="1:11" ht="12.5" x14ac:dyDescent="0.25">
      <c r="A3438" s="3" t="e">
        <f ca="1"/>
        <v>#NAME?</v>
      </c>
      <c r="B3438" s="2" t="s">
        <v>12</v>
      </c>
      <c r="C3438" s="2" t="s">
        <v>12</v>
      </c>
      <c r="D3438" s="2" t="s">
        <v>12</v>
      </c>
      <c r="E3438" s="2" t="s">
        <v>12</v>
      </c>
      <c r="F3438" s="2" t="s">
        <v>12</v>
      </c>
      <c r="G3438" s="2" t="s">
        <v>12</v>
      </c>
      <c r="H3438" s="2" t="s">
        <v>12</v>
      </c>
      <c r="I3438" s="2" t="s">
        <v>12</v>
      </c>
      <c r="J3438" s="2" t="s">
        <v>12</v>
      </c>
      <c r="K3438" s="2" t="s">
        <v>12</v>
      </c>
    </row>
    <row r="3439" spans="1:11" ht="12.5" x14ac:dyDescent="0.25">
      <c r="A3439" s="3" t="e">
        <f ca="1"/>
        <v>#NAME?</v>
      </c>
      <c r="B3439" s="2" t="s">
        <v>12</v>
      </c>
      <c r="C3439" s="2" t="s">
        <v>12</v>
      </c>
      <c r="D3439" s="2" t="s">
        <v>12</v>
      </c>
      <c r="E3439" s="2" t="s">
        <v>12</v>
      </c>
      <c r="F3439" s="2" t="s">
        <v>12</v>
      </c>
      <c r="G3439" s="2" t="s">
        <v>12</v>
      </c>
      <c r="H3439" s="2" t="s">
        <v>12</v>
      </c>
      <c r="I3439" s="2" t="s">
        <v>12</v>
      </c>
      <c r="J3439" s="2" t="s">
        <v>12</v>
      </c>
      <c r="K3439" s="2" t="s">
        <v>12</v>
      </c>
    </row>
    <row r="3440" spans="1:11" ht="12.5" x14ac:dyDescent="0.25">
      <c r="A3440" s="3" t="e">
        <f ca="1"/>
        <v>#NAME?</v>
      </c>
      <c r="B3440" s="2" t="s">
        <v>12</v>
      </c>
      <c r="C3440" s="2" t="s">
        <v>12</v>
      </c>
      <c r="D3440" s="2" t="s">
        <v>12</v>
      </c>
      <c r="E3440" s="2" t="s">
        <v>12</v>
      </c>
      <c r="F3440" s="2" t="s">
        <v>12</v>
      </c>
      <c r="G3440" s="2" t="s">
        <v>12</v>
      </c>
      <c r="H3440" s="2" t="s">
        <v>12</v>
      </c>
      <c r="I3440" s="2" t="s">
        <v>12</v>
      </c>
      <c r="J3440" s="2" t="s">
        <v>12</v>
      </c>
      <c r="K3440" s="2" t="s">
        <v>12</v>
      </c>
    </row>
    <row r="3441" spans="1:11" ht="12.5" x14ac:dyDescent="0.25">
      <c r="A3441" s="3" t="e">
        <f ca="1"/>
        <v>#NAME?</v>
      </c>
      <c r="B3441" s="2" t="s">
        <v>12</v>
      </c>
      <c r="C3441" s="2" t="s">
        <v>12</v>
      </c>
      <c r="D3441" s="2" t="s">
        <v>12</v>
      </c>
      <c r="E3441" s="2" t="s">
        <v>12</v>
      </c>
      <c r="F3441" s="2" t="s">
        <v>12</v>
      </c>
      <c r="G3441" s="2" t="s">
        <v>12</v>
      </c>
      <c r="H3441" s="2" t="s">
        <v>12</v>
      </c>
      <c r="I3441" s="2" t="s">
        <v>12</v>
      </c>
      <c r="J3441" s="2" t="s">
        <v>12</v>
      </c>
      <c r="K3441" s="2" t="s">
        <v>12</v>
      </c>
    </row>
    <row r="3442" spans="1:11" ht="12.5" x14ac:dyDescent="0.25">
      <c r="A3442" s="3" t="e">
        <f ca="1"/>
        <v>#NAME?</v>
      </c>
      <c r="B3442" s="2" t="s">
        <v>12</v>
      </c>
      <c r="C3442" s="2" t="s">
        <v>12</v>
      </c>
      <c r="D3442" s="2" t="s">
        <v>12</v>
      </c>
      <c r="E3442" s="2" t="s">
        <v>12</v>
      </c>
      <c r="F3442" s="2" t="s">
        <v>12</v>
      </c>
      <c r="G3442" s="2" t="s">
        <v>12</v>
      </c>
      <c r="H3442" s="2" t="s">
        <v>12</v>
      </c>
      <c r="I3442" s="2" t="s">
        <v>12</v>
      </c>
      <c r="J3442" s="2" t="s">
        <v>12</v>
      </c>
      <c r="K3442" s="2" t="s">
        <v>12</v>
      </c>
    </row>
    <row r="3443" spans="1:11" ht="12.5" x14ac:dyDescent="0.25">
      <c r="A3443" s="3" t="e">
        <f ca="1"/>
        <v>#NAME?</v>
      </c>
      <c r="B3443" s="2" t="s">
        <v>12</v>
      </c>
      <c r="C3443" s="2" t="s">
        <v>12</v>
      </c>
      <c r="D3443" s="2" t="s">
        <v>12</v>
      </c>
      <c r="E3443" s="2" t="s">
        <v>12</v>
      </c>
      <c r="F3443" s="2" t="s">
        <v>12</v>
      </c>
      <c r="G3443" s="2" t="s">
        <v>12</v>
      </c>
      <c r="H3443" s="2" t="s">
        <v>12</v>
      </c>
      <c r="I3443" s="2" t="s">
        <v>12</v>
      </c>
      <c r="J3443" s="2" t="s">
        <v>12</v>
      </c>
      <c r="K3443" s="2" t="s">
        <v>12</v>
      </c>
    </row>
    <row r="3444" spans="1:11" ht="12.5" x14ac:dyDescent="0.25">
      <c r="A3444" s="3" t="e">
        <f ca="1"/>
        <v>#NAME?</v>
      </c>
      <c r="B3444" s="2" t="s">
        <v>12</v>
      </c>
      <c r="C3444" s="2" t="s">
        <v>12</v>
      </c>
      <c r="D3444" s="2" t="s">
        <v>12</v>
      </c>
      <c r="E3444" s="2" t="s">
        <v>12</v>
      </c>
      <c r="F3444" s="2" t="s">
        <v>12</v>
      </c>
      <c r="G3444" s="2" t="s">
        <v>12</v>
      </c>
      <c r="H3444" s="2" t="s">
        <v>12</v>
      </c>
      <c r="I3444" s="2" t="s">
        <v>12</v>
      </c>
      <c r="J3444" s="2" t="s">
        <v>12</v>
      </c>
      <c r="K3444" s="2" t="s">
        <v>12</v>
      </c>
    </row>
    <row r="3445" spans="1:11" ht="12.5" x14ac:dyDescent="0.25">
      <c r="A3445" s="3" t="e">
        <f ca="1"/>
        <v>#NAME?</v>
      </c>
      <c r="B3445" s="2" t="s">
        <v>12</v>
      </c>
      <c r="C3445" s="2" t="s">
        <v>12</v>
      </c>
      <c r="D3445" s="2" t="s">
        <v>12</v>
      </c>
      <c r="E3445" s="2" t="s">
        <v>12</v>
      </c>
      <c r="F3445" s="2" t="s">
        <v>12</v>
      </c>
      <c r="G3445" s="2" t="s">
        <v>12</v>
      </c>
      <c r="H3445" s="2" t="s">
        <v>12</v>
      </c>
      <c r="I3445" s="2" t="s">
        <v>12</v>
      </c>
      <c r="J3445" s="2" t="s">
        <v>12</v>
      </c>
      <c r="K3445" s="2" t="s">
        <v>12</v>
      </c>
    </row>
    <row r="3446" spans="1:11" ht="12.5" x14ac:dyDescent="0.25">
      <c r="A3446" s="3" t="e">
        <f ca="1"/>
        <v>#NAME?</v>
      </c>
      <c r="B3446" s="2" t="s">
        <v>12</v>
      </c>
      <c r="C3446" s="2" t="s">
        <v>12</v>
      </c>
      <c r="D3446" s="2" t="s">
        <v>12</v>
      </c>
      <c r="E3446" s="2" t="s">
        <v>12</v>
      </c>
      <c r="F3446" s="2" t="s">
        <v>12</v>
      </c>
      <c r="G3446" s="2" t="s">
        <v>12</v>
      </c>
      <c r="H3446" s="2" t="s">
        <v>12</v>
      </c>
      <c r="I3446" s="2" t="s">
        <v>12</v>
      </c>
      <c r="J3446" s="2" t="s">
        <v>12</v>
      </c>
      <c r="K3446" s="2" t="s">
        <v>12</v>
      </c>
    </row>
    <row r="3447" spans="1:11" ht="12.5" x14ac:dyDescent="0.25">
      <c r="A3447" s="3" t="e">
        <f ca="1"/>
        <v>#NAME?</v>
      </c>
      <c r="B3447" s="2" t="s">
        <v>12</v>
      </c>
      <c r="C3447" s="2" t="s">
        <v>12</v>
      </c>
      <c r="D3447" s="2" t="s">
        <v>12</v>
      </c>
      <c r="E3447" s="2" t="s">
        <v>12</v>
      </c>
      <c r="F3447" s="2" t="s">
        <v>12</v>
      </c>
      <c r="G3447" s="2" t="s">
        <v>12</v>
      </c>
      <c r="H3447" s="2" t="s">
        <v>12</v>
      </c>
      <c r="I3447" s="2" t="s">
        <v>12</v>
      </c>
      <c r="J3447" s="2" t="s">
        <v>12</v>
      </c>
      <c r="K3447" s="2" t="s">
        <v>12</v>
      </c>
    </row>
    <row r="3448" spans="1:11" ht="12.5" x14ac:dyDescent="0.25">
      <c r="A3448" s="3" t="e">
        <f ca="1"/>
        <v>#NAME?</v>
      </c>
      <c r="B3448" s="2" t="s">
        <v>12</v>
      </c>
      <c r="C3448" s="2" t="s">
        <v>12</v>
      </c>
      <c r="D3448" s="2" t="s">
        <v>12</v>
      </c>
      <c r="E3448" s="2" t="s">
        <v>12</v>
      </c>
      <c r="F3448" s="2" t="s">
        <v>12</v>
      </c>
      <c r="G3448" s="2" t="s">
        <v>12</v>
      </c>
      <c r="H3448" s="2" t="s">
        <v>12</v>
      </c>
      <c r="I3448" s="2" t="s">
        <v>12</v>
      </c>
      <c r="J3448" s="2" t="s">
        <v>12</v>
      </c>
      <c r="K3448" s="2" t="s">
        <v>12</v>
      </c>
    </row>
    <row r="3449" spans="1:11" ht="12.5" x14ac:dyDescent="0.25">
      <c r="A3449" s="3" t="e">
        <f ca="1"/>
        <v>#NAME?</v>
      </c>
      <c r="B3449" s="2" t="s">
        <v>12</v>
      </c>
      <c r="C3449" s="2" t="s">
        <v>12</v>
      </c>
      <c r="D3449" s="2" t="s">
        <v>12</v>
      </c>
      <c r="E3449" s="2" t="s">
        <v>12</v>
      </c>
      <c r="F3449" s="2" t="s">
        <v>12</v>
      </c>
      <c r="G3449" s="2" t="s">
        <v>12</v>
      </c>
      <c r="H3449" s="2" t="s">
        <v>12</v>
      </c>
      <c r="I3449" s="2" t="s">
        <v>12</v>
      </c>
      <c r="J3449" s="2" t="s">
        <v>12</v>
      </c>
      <c r="K3449" s="2" t="s">
        <v>12</v>
      </c>
    </row>
    <row r="3450" spans="1:11" ht="12.5" x14ac:dyDescent="0.25">
      <c r="A3450" s="3" t="e">
        <f ca="1"/>
        <v>#NAME?</v>
      </c>
      <c r="B3450" s="2" t="s">
        <v>12</v>
      </c>
      <c r="C3450" s="2" t="s">
        <v>12</v>
      </c>
      <c r="D3450" s="2" t="s">
        <v>12</v>
      </c>
      <c r="E3450" s="2" t="s">
        <v>12</v>
      </c>
      <c r="F3450" s="2" t="s">
        <v>12</v>
      </c>
      <c r="G3450" s="2" t="s">
        <v>12</v>
      </c>
      <c r="H3450" s="2" t="s">
        <v>12</v>
      </c>
      <c r="I3450" s="2" t="s">
        <v>12</v>
      </c>
      <c r="J3450" s="2" t="s">
        <v>12</v>
      </c>
      <c r="K3450" s="2" t="s">
        <v>12</v>
      </c>
    </row>
    <row r="3451" spans="1:11" ht="12.5" x14ac:dyDescent="0.25">
      <c r="A3451" s="3" t="e">
        <f ca="1"/>
        <v>#NAME?</v>
      </c>
      <c r="B3451" s="2" t="s">
        <v>12</v>
      </c>
      <c r="C3451" s="2" t="s">
        <v>12</v>
      </c>
      <c r="D3451" s="2" t="s">
        <v>12</v>
      </c>
      <c r="E3451" s="2" t="s">
        <v>12</v>
      </c>
      <c r="F3451" s="2" t="s">
        <v>12</v>
      </c>
      <c r="G3451" s="2" t="s">
        <v>12</v>
      </c>
      <c r="H3451" s="2" t="s">
        <v>12</v>
      </c>
      <c r="I3451" s="2" t="s">
        <v>12</v>
      </c>
      <c r="J3451" s="2" t="s">
        <v>12</v>
      </c>
      <c r="K3451" s="2" t="s">
        <v>12</v>
      </c>
    </row>
    <row r="3452" spans="1:11" ht="12.5" x14ac:dyDescent="0.25">
      <c r="A3452" s="3" t="e">
        <f ca="1"/>
        <v>#NAME?</v>
      </c>
      <c r="B3452" s="2" t="s">
        <v>12</v>
      </c>
      <c r="C3452" s="2" t="s">
        <v>12</v>
      </c>
      <c r="D3452" s="2" t="s">
        <v>12</v>
      </c>
      <c r="E3452" s="2" t="s">
        <v>12</v>
      </c>
      <c r="F3452" s="2" t="s">
        <v>12</v>
      </c>
      <c r="G3452" s="2" t="s">
        <v>12</v>
      </c>
      <c r="H3452" s="2" t="s">
        <v>12</v>
      </c>
      <c r="I3452" s="2" t="s">
        <v>12</v>
      </c>
      <c r="J3452" s="2" t="s">
        <v>12</v>
      </c>
      <c r="K3452" s="2" t="s">
        <v>12</v>
      </c>
    </row>
    <row r="3453" spans="1:11" ht="12.5" x14ac:dyDescent="0.25">
      <c r="A3453" s="3" t="e">
        <f ca="1"/>
        <v>#NAME?</v>
      </c>
      <c r="B3453" s="2" t="s">
        <v>12</v>
      </c>
      <c r="C3453" s="2" t="s">
        <v>12</v>
      </c>
      <c r="D3453" s="2" t="s">
        <v>12</v>
      </c>
      <c r="E3453" s="2" t="s">
        <v>12</v>
      </c>
      <c r="F3453" s="2" t="s">
        <v>12</v>
      </c>
      <c r="G3453" s="2" t="s">
        <v>12</v>
      </c>
      <c r="H3453" s="2" t="s">
        <v>12</v>
      </c>
      <c r="I3453" s="2" t="s">
        <v>12</v>
      </c>
      <c r="J3453" s="2" t="s">
        <v>12</v>
      </c>
      <c r="K3453" s="2" t="s">
        <v>12</v>
      </c>
    </row>
    <row r="3454" spans="1:11" ht="12.5" x14ac:dyDescent="0.25">
      <c r="A3454" s="3" t="e">
        <f ca="1"/>
        <v>#NAME?</v>
      </c>
      <c r="B3454" s="2" t="s">
        <v>12</v>
      </c>
      <c r="C3454" s="2" t="s">
        <v>12</v>
      </c>
      <c r="D3454" s="2" t="s">
        <v>12</v>
      </c>
      <c r="E3454" s="2" t="s">
        <v>12</v>
      </c>
      <c r="F3454" s="2" t="s">
        <v>12</v>
      </c>
      <c r="G3454" s="2" t="s">
        <v>12</v>
      </c>
      <c r="H3454" s="2" t="s">
        <v>12</v>
      </c>
      <c r="I3454" s="2" t="s">
        <v>12</v>
      </c>
      <c r="J3454" s="2" t="s">
        <v>12</v>
      </c>
      <c r="K3454" s="2" t="s">
        <v>12</v>
      </c>
    </row>
    <row r="3455" spans="1:11" ht="12.5" x14ac:dyDescent="0.25">
      <c r="A3455" s="3" t="e">
        <f ca="1"/>
        <v>#NAME?</v>
      </c>
      <c r="B3455" s="2" t="s">
        <v>12</v>
      </c>
      <c r="C3455" s="2" t="s">
        <v>12</v>
      </c>
      <c r="D3455" s="2" t="s">
        <v>12</v>
      </c>
      <c r="E3455" s="2" t="s">
        <v>12</v>
      </c>
      <c r="F3455" s="2" t="s">
        <v>12</v>
      </c>
      <c r="G3455" s="2" t="s">
        <v>12</v>
      </c>
      <c r="H3455" s="2" t="s">
        <v>12</v>
      </c>
      <c r="I3455" s="2" t="s">
        <v>12</v>
      </c>
      <c r="J3455" s="2" t="s">
        <v>12</v>
      </c>
      <c r="K3455" s="2" t="s">
        <v>12</v>
      </c>
    </row>
    <row r="3456" spans="1:11" ht="12.5" x14ac:dyDescent="0.25">
      <c r="A3456" s="3" t="e">
        <f ca="1"/>
        <v>#NAME?</v>
      </c>
      <c r="B3456" s="2" t="s">
        <v>12</v>
      </c>
      <c r="C3456" s="2" t="s">
        <v>12</v>
      </c>
      <c r="D3456" s="2" t="s">
        <v>12</v>
      </c>
      <c r="E3456" s="2" t="s">
        <v>12</v>
      </c>
      <c r="F3456" s="2" t="s">
        <v>12</v>
      </c>
      <c r="G3456" s="2" t="s">
        <v>12</v>
      </c>
      <c r="H3456" s="2" t="s">
        <v>12</v>
      </c>
      <c r="I3456" s="2" t="s">
        <v>12</v>
      </c>
      <c r="J3456" s="2" t="s">
        <v>12</v>
      </c>
      <c r="K3456" s="2" t="s">
        <v>12</v>
      </c>
    </row>
    <row r="3457" spans="1:11" ht="12.5" x14ac:dyDescent="0.25">
      <c r="A3457" s="3" t="e">
        <f ca="1"/>
        <v>#NAME?</v>
      </c>
      <c r="B3457" s="2" t="s">
        <v>12</v>
      </c>
      <c r="C3457" s="2" t="s">
        <v>12</v>
      </c>
      <c r="D3457" s="2" t="s">
        <v>12</v>
      </c>
      <c r="E3457" s="2" t="s">
        <v>12</v>
      </c>
      <c r="F3457" s="2" t="s">
        <v>12</v>
      </c>
      <c r="G3457" s="2" t="s">
        <v>12</v>
      </c>
      <c r="H3457" s="2" t="s">
        <v>12</v>
      </c>
      <c r="I3457" s="2" t="s">
        <v>12</v>
      </c>
      <c r="J3457" s="2" t="s">
        <v>12</v>
      </c>
      <c r="K3457" s="2" t="s">
        <v>12</v>
      </c>
    </row>
    <row r="3458" spans="1:11" ht="12.5" x14ac:dyDescent="0.25">
      <c r="A3458" s="3" t="e">
        <f ca="1"/>
        <v>#NAME?</v>
      </c>
      <c r="B3458" s="2" t="s">
        <v>12</v>
      </c>
      <c r="C3458" s="2" t="s">
        <v>12</v>
      </c>
      <c r="D3458" s="2" t="s">
        <v>12</v>
      </c>
      <c r="E3458" s="2" t="s">
        <v>12</v>
      </c>
      <c r="F3458" s="2" t="s">
        <v>12</v>
      </c>
      <c r="G3458" s="2" t="s">
        <v>12</v>
      </c>
      <c r="H3458" s="2" t="s">
        <v>12</v>
      </c>
      <c r="I3458" s="2" t="s">
        <v>12</v>
      </c>
      <c r="J3458" s="2" t="s">
        <v>12</v>
      </c>
      <c r="K3458" s="2" t="s">
        <v>12</v>
      </c>
    </row>
    <row r="3459" spans="1:11" ht="12.5" x14ac:dyDescent="0.25">
      <c r="A3459" s="3" t="e">
        <f ca="1"/>
        <v>#NAME?</v>
      </c>
      <c r="B3459" s="2" t="s">
        <v>12</v>
      </c>
      <c r="C3459" s="2" t="s">
        <v>12</v>
      </c>
      <c r="D3459" s="2" t="s">
        <v>12</v>
      </c>
      <c r="E3459" s="2" t="s">
        <v>12</v>
      </c>
      <c r="F3459" s="2" t="s">
        <v>12</v>
      </c>
      <c r="G3459" s="2" t="s">
        <v>12</v>
      </c>
      <c r="H3459" s="2" t="s">
        <v>12</v>
      </c>
      <c r="I3459" s="2" t="s">
        <v>12</v>
      </c>
      <c r="J3459" s="2" t="s">
        <v>12</v>
      </c>
      <c r="K3459" s="2" t="s">
        <v>12</v>
      </c>
    </row>
    <row r="3460" spans="1:11" ht="12.5" x14ac:dyDescent="0.25">
      <c r="A3460" s="3" t="e">
        <f ca="1"/>
        <v>#NAME?</v>
      </c>
      <c r="B3460" s="2" t="s">
        <v>12</v>
      </c>
      <c r="C3460" s="2" t="s">
        <v>12</v>
      </c>
      <c r="D3460" s="2" t="s">
        <v>12</v>
      </c>
      <c r="E3460" s="2" t="s">
        <v>12</v>
      </c>
      <c r="F3460" s="2" t="s">
        <v>12</v>
      </c>
      <c r="G3460" s="2" t="s">
        <v>12</v>
      </c>
      <c r="H3460" s="2" t="s">
        <v>12</v>
      </c>
      <c r="I3460" s="2" t="s">
        <v>12</v>
      </c>
      <c r="J3460" s="2" t="s">
        <v>12</v>
      </c>
      <c r="K3460" s="2" t="s">
        <v>12</v>
      </c>
    </row>
    <row r="3461" spans="1:11" ht="12.5" x14ac:dyDescent="0.25">
      <c r="A3461" s="3" t="e">
        <f ca="1"/>
        <v>#NAME?</v>
      </c>
      <c r="B3461" s="2" t="s">
        <v>12</v>
      </c>
      <c r="C3461" s="2" t="s">
        <v>12</v>
      </c>
      <c r="D3461" s="2" t="s">
        <v>12</v>
      </c>
      <c r="E3461" s="2" t="s">
        <v>12</v>
      </c>
      <c r="F3461" s="2" t="s">
        <v>12</v>
      </c>
      <c r="G3461" s="2" t="s">
        <v>12</v>
      </c>
      <c r="H3461" s="2" t="s">
        <v>12</v>
      </c>
      <c r="I3461" s="2" t="s">
        <v>12</v>
      </c>
      <c r="J3461" s="2" t="s">
        <v>12</v>
      </c>
      <c r="K3461" s="2" t="s">
        <v>12</v>
      </c>
    </row>
    <row r="3462" spans="1:11" ht="12.5" x14ac:dyDescent="0.25">
      <c r="A3462" s="3" t="e">
        <f ca="1"/>
        <v>#NAME?</v>
      </c>
      <c r="B3462" s="2" t="s">
        <v>12</v>
      </c>
      <c r="C3462" s="2" t="s">
        <v>12</v>
      </c>
      <c r="D3462" s="2" t="s">
        <v>12</v>
      </c>
      <c r="E3462" s="2" t="s">
        <v>12</v>
      </c>
      <c r="F3462" s="2" t="s">
        <v>12</v>
      </c>
      <c r="G3462" s="2" t="s">
        <v>12</v>
      </c>
      <c r="H3462" s="2" t="s">
        <v>12</v>
      </c>
      <c r="I3462" s="2" t="s">
        <v>12</v>
      </c>
      <c r="J3462" s="2" t="s">
        <v>12</v>
      </c>
      <c r="K3462" s="2" t="s">
        <v>12</v>
      </c>
    </row>
    <row r="3463" spans="1:11" ht="12.5" x14ac:dyDescent="0.25">
      <c r="A3463" s="3" t="e">
        <f ca="1"/>
        <v>#NAME?</v>
      </c>
      <c r="B3463" s="2" t="s">
        <v>12</v>
      </c>
      <c r="C3463" s="2" t="s">
        <v>12</v>
      </c>
      <c r="D3463" s="2" t="s">
        <v>12</v>
      </c>
      <c r="E3463" s="2" t="s">
        <v>12</v>
      </c>
      <c r="F3463" s="2" t="s">
        <v>12</v>
      </c>
      <c r="G3463" s="2" t="s">
        <v>12</v>
      </c>
      <c r="H3463" s="2" t="s">
        <v>12</v>
      </c>
      <c r="I3463" s="2" t="s">
        <v>12</v>
      </c>
      <c r="J3463" s="2" t="s">
        <v>12</v>
      </c>
      <c r="K3463" s="2" t="s">
        <v>12</v>
      </c>
    </row>
    <row r="3464" spans="1:11" ht="12.5" x14ac:dyDescent="0.25">
      <c r="A3464" s="3" t="e">
        <f ca="1"/>
        <v>#NAME?</v>
      </c>
      <c r="B3464" s="2" t="s">
        <v>12</v>
      </c>
      <c r="C3464" s="2" t="s">
        <v>12</v>
      </c>
      <c r="D3464" s="2" t="s">
        <v>12</v>
      </c>
      <c r="E3464" s="2" t="s">
        <v>12</v>
      </c>
      <c r="F3464" s="2" t="s">
        <v>12</v>
      </c>
      <c r="G3464" s="2" t="s">
        <v>12</v>
      </c>
      <c r="H3464" s="2" t="s">
        <v>12</v>
      </c>
      <c r="I3464" s="2" t="s">
        <v>12</v>
      </c>
      <c r="J3464" s="2" t="s">
        <v>12</v>
      </c>
      <c r="K3464" s="2" t="s">
        <v>12</v>
      </c>
    </row>
    <row r="3465" spans="1:11" ht="12.5" x14ac:dyDescent="0.25">
      <c r="A3465" s="3" t="e">
        <f ca="1"/>
        <v>#NAME?</v>
      </c>
      <c r="B3465" s="2" t="s">
        <v>12</v>
      </c>
      <c r="C3465" s="2" t="s">
        <v>12</v>
      </c>
      <c r="D3465" s="2" t="s">
        <v>12</v>
      </c>
      <c r="E3465" s="2" t="s">
        <v>12</v>
      </c>
      <c r="F3465" s="2" t="s">
        <v>12</v>
      </c>
      <c r="G3465" s="2" t="s">
        <v>12</v>
      </c>
      <c r="H3465" s="2" t="s">
        <v>12</v>
      </c>
      <c r="I3465" s="2" t="s">
        <v>12</v>
      </c>
      <c r="J3465" s="2" t="s">
        <v>12</v>
      </c>
      <c r="K3465" s="2" t="s">
        <v>12</v>
      </c>
    </row>
    <row r="3466" spans="1:11" ht="12.5" x14ac:dyDescent="0.25">
      <c r="A3466" s="3" t="e">
        <f ca="1"/>
        <v>#NAME?</v>
      </c>
      <c r="B3466" s="2" t="s">
        <v>12</v>
      </c>
      <c r="C3466" s="2" t="s">
        <v>12</v>
      </c>
      <c r="D3466" s="2" t="s">
        <v>12</v>
      </c>
      <c r="E3466" s="2" t="s">
        <v>12</v>
      </c>
      <c r="F3466" s="2" t="s">
        <v>12</v>
      </c>
      <c r="G3466" s="2" t="s">
        <v>12</v>
      </c>
      <c r="H3466" s="2" t="s">
        <v>12</v>
      </c>
      <c r="I3466" s="2" t="s">
        <v>12</v>
      </c>
      <c r="J3466" s="2" t="s">
        <v>12</v>
      </c>
      <c r="K3466" s="2" t="s">
        <v>12</v>
      </c>
    </row>
    <row r="3467" spans="1:11" ht="12.5" x14ac:dyDescent="0.25">
      <c r="A3467" s="3" t="e">
        <f ca="1"/>
        <v>#NAME?</v>
      </c>
      <c r="B3467" s="2" t="s">
        <v>12</v>
      </c>
      <c r="C3467" s="2" t="s">
        <v>12</v>
      </c>
      <c r="D3467" s="2" t="s">
        <v>12</v>
      </c>
      <c r="E3467" s="2" t="s">
        <v>12</v>
      </c>
      <c r="F3467" s="2" t="s">
        <v>12</v>
      </c>
      <c r="G3467" s="2" t="s">
        <v>12</v>
      </c>
      <c r="H3467" s="2" t="s">
        <v>12</v>
      </c>
      <c r="I3467" s="2" t="s">
        <v>12</v>
      </c>
      <c r="J3467" s="2" t="s">
        <v>12</v>
      </c>
      <c r="K3467" s="2" t="s">
        <v>12</v>
      </c>
    </row>
    <row r="3468" spans="1:11" ht="12.5" x14ac:dyDescent="0.25">
      <c r="A3468" s="3" t="e">
        <f ca="1"/>
        <v>#NAME?</v>
      </c>
      <c r="B3468" s="2" t="s">
        <v>12</v>
      </c>
      <c r="C3468" s="2" t="s">
        <v>12</v>
      </c>
      <c r="D3468" s="2" t="s">
        <v>12</v>
      </c>
      <c r="E3468" s="2" t="s">
        <v>12</v>
      </c>
      <c r="F3468" s="2" t="s">
        <v>12</v>
      </c>
      <c r="G3468" s="2" t="s">
        <v>12</v>
      </c>
      <c r="H3468" s="2" t="s">
        <v>12</v>
      </c>
      <c r="I3468" s="2" t="s">
        <v>12</v>
      </c>
      <c r="J3468" s="2" t="s">
        <v>12</v>
      </c>
      <c r="K3468" s="2" t="s">
        <v>12</v>
      </c>
    </row>
    <row r="3469" spans="1:11" ht="12.5" x14ac:dyDescent="0.25">
      <c r="A3469" s="3" t="e">
        <f ca="1"/>
        <v>#NAME?</v>
      </c>
      <c r="B3469" s="2" t="s">
        <v>12</v>
      </c>
      <c r="C3469" s="2" t="s">
        <v>12</v>
      </c>
      <c r="D3469" s="2" t="s">
        <v>12</v>
      </c>
      <c r="E3469" s="2" t="s">
        <v>12</v>
      </c>
      <c r="F3469" s="2" t="s">
        <v>12</v>
      </c>
      <c r="G3469" s="2" t="s">
        <v>12</v>
      </c>
      <c r="H3469" s="2" t="s">
        <v>12</v>
      </c>
      <c r="I3469" s="2" t="s">
        <v>12</v>
      </c>
      <c r="J3469" s="2" t="s">
        <v>12</v>
      </c>
      <c r="K3469" s="2" t="s">
        <v>12</v>
      </c>
    </row>
    <row r="3470" spans="1:11" ht="12.5" x14ac:dyDescent="0.25">
      <c r="A3470" s="3" t="e">
        <f ca="1"/>
        <v>#NAME?</v>
      </c>
      <c r="B3470" s="2" t="s">
        <v>12</v>
      </c>
      <c r="C3470" s="2" t="s">
        <v>12</v>
      </c>
      <c r="D3470" s="2" t="s">
        <v>12</v>
      </c>
      <c r="E3470" s="2" t="s">
        <v>12</v>
      </c>
      <c r="F3470" s="2" t="s">
        <v>12</v>
      </c>
      <c r="G3470" s="2" t="s">
        <v>12</v>
      </c>
      <c r="H3470" s="2" t="s">
        <v>12</v>
      </c>
      <c r="I3470" s="2" t="s">
        <v>12</v>
      </c>
      <c r="J3470" s="2" t="s">
        <v>12</v>
      </c>
      <c r="K3470" s="2" t="s">
        <v>12</v>
      </c>
    </row>
    <row r="3471" spans="1:11" ht="12.5" x14ac:dyDescent="0.25">
      <c r="A3471" s="3" t="e">
        <f ca="1"/>
        <v>#NAME?</v>
      </c>
      <c r="B3471" s="2" t="s">
        <v>12</v>
      </c>
      <c r="C3471" s="2" t="s">
        <v>12</v>
      </c>
      <c r="D3471" s="2" t="s">
        <v>12</v>
      </c>
      <c r="E3471" s="2" t="s">
        <v>12</v>
      </c>
      <c r="F3471" s="2" t="s">
        <v>12</v>
      </c>
      <c r="G3471" s="2" t="s">
        <v>12</v>
      </c>
      <c r="H3471" s="2" t="s">
        <v>12</v>
      </c>
      <c r="I3471" s="2" t="s">
        <v>12</v>
      </c>
      <c r="J3471" s="2" t="s">
        <v>12</v>
      </c>
      <c r="K3471" s="2" t="s">
        <v>12</v>
      </c>
    </row>
    <row r="3472" spans="1:11" ht="12.5" x14ac:dyDescent="0.25">
      <c r="A3472" s="3" t="e">
        <f ca="1"/>
        <v>#NAME?</v>
      </c>
      <c r="B3472" s="2" t="s">
        <v>12</v>
      </c>
      <c r="C3472" s="2" t="s">
        <v>12</v>
      </c>
      <c r="D3472" s="2" t="s">
        <v>12</v>
      </c>
      <c r="E3472" s="2" t="s">
        <v>12</v>
      </c>
      <c r="F3472" s="2" t="s">
        <v>12</v>
      </c>
      <c r="G3472" s="2" t="s">
        <v>12</v>
      </c>
      <c r="H3472" s="2" t="s">
        <v>12</v>
      </c>
      <c r="I3472" s="2" t="s">
        <v>12</v>
      </c>
      <c r="J3472" s="2" t="s">
        <v>12</v>
      </c>
      <c r="K3472" s="2" t="s">
        <v>12</v>
      </c>
    </row>
    <row r="3473" spans="1:11" ht="12.5" x14ac:dyDescent="0.25">
      <c r="A3473" s="3" t="e">
        <f ca="1"/>
        <v>#NAME?</v>
      </c>
      <c r="B3473" s="2" t="s">
        <v>12</v>
      </c>
      <c r="C3473" s="2" t="s">
        <v>12</v>
      </c>
      <c r="D3473" s="2" t="s">
        <v>12</v>
      </c>
      <c r="E3473" s="2" t="s">
        <v>12</v>
      </c>
      <c r="F3473" s="2" t="s">
        <v>12</v>
      </c>
      <c r="G3473" s="2" t="s">
        <v>12</v>
      </c>
      <c r="H3473" s="2" t="s">
        <v>12</v>
      </c>
      <c r="I3473" s="2" t="s">
        <v>12</v>
      </c>
      <c r="J3473" s="2" t="s">
        <v>12</v>
      </c>
      <c r="K3473" s="2" t="s">
        <v>12</v>
      </c>
    </row>
    <row r="3474" spans="1:11" ht="12.5" x14ac:dyDescent="0.25">
      <c r="A3474" s="3" t="e">
        <f ca="1"/>
        <v>#NAME?</v>
      </c>
      <c r="B3474" s="2" t="s">
        <v>12</v>
      </c>
      <c r="C3474" s="2" t="s">
        <v>12</v>
      </c>
      <c r="D3474" s="2" t="s">
        <v>12</v>
      </c>
      <c r="E3474" s="2" t="s">
        <v>12</v>
      </c>
      <c r="F3474" s="2" t="s">
        <v>12</v>
      </c>
      <c r="G3474" s="2" t="s">
        <v>12</v>
      </c>
      <c r="H3474" s="2" t="s">
        <v>12</v>
      </c>
      <c r="I3474" s="2" t="s">
        <v>12</v>
      </c>
      <c r="J3474" s="2" t="s">
        <v>12</v>
      </c>
      <c r="K3474" s="2" t="s">
        <v>12</v>
      </c>
    </row>
    <row r="3475" spans="1:11" ht="12.5" x14ac:dyDescent="0.25">
      <c r="A3475" s="3" t="e">
        <f ca="1"/>
        <v>#NAME?</v>
      </c>
      <c r="B3475" s="2" t="s">
        <v>12</v>
      </c>
      <c r="C3475" s="2" t="s">
        <v>12</v>
      </c>
      <c r="D3475" s="2" t="s">
        <v>12</v>
      </c>
      <c r="E3475" s="2" t="s">
        <v>12</v>
      </c>
      <c r="F3475" s="2" t="s">
        <v>12</v>
      </c>
      <c r="G3475" s="2" t="s">
        <v>12</v>
      </c>
      <c r="H3475" s="2" t="s">
        <v>12</v>
      </c>
      <c r="I3475" s="2" t="s">
        <v>12</v>
      </c>
      <c r="J3475" s="2" t="s">
        <v>12</v>
      </c>
      <c r="K3475" s="2" t="s">
        <v>12</v>
      </c>
    </row>
    <row r="3476" spans="1:11" ht="12.5" x14ac:dyDescent="0.25">
      <c r="A3476" s="3" t="e">
        <f ca="1"/>
        <v>#NAME?</v>
      </c>
      <c r="B3476" s="2" t="s">
        <v>12</v>
      </c>
      <c r="C3476" s="2" t="s">
        <v>12</v>
      </c>
      <c r="D3476" s="2" t="s">
        <v>12</v>
      </c>
      <c r="E3476" s="2" t="s">
        <v>12</v>
      </c>
      <c r="F3476" s="2" t="s">
        <v>12</v>
      </c>
      <c r="G3476" s="2" t="s">
        <v>12</v>
      </c>
      <c r="H3476" s="2" t="s">
        <v>12</v>
      </c>
      <c r="I3476" s="2" t="s">
        <v>12</v>
      </c>
      <c r="J3476" s="2" t="s">
        <v>12</v>
      </c>
      <c r="K3476" s="2" t="s">
        <v>12</v>
      </c>
    </row>
    <row r="3477" spans="1:11" ht="12.5" x14ac:dyDescent="0.25">
      <c r="A3477" s="3" t="e">
        <f ca="1"/>
        <v>#NAME?</v>
      </c>
      <c r="B3477" s="2" t="s">
        <v>12</v>
      </c>
      <c r="C3477" s="2" t="s">
        <v>12</v>
      </c>
      <c r="D3477" s="2" t="s">
        <v>12</v>
      </c>
      <c r="E3477" s="2" t="s">
        <v>12</v>
      </c>
      <c r="F3477" s="2" t="s">
        <v>12</v>
      </c>
      <c r="G3477" s="2" t="s">
        <v>12</v>
      </c>
      <c r="H3477" s="2" t="s">
        <v>12</v>
      </c>
      <c r="I3477" s="2" t="s">
        <v>12</v>
      </c>
      <c r="J3477" s="2" t="s">
        <v>12</v>
      </c>
      <c r="K3477" s="2" t="s">
        <v>12</v>
      </c>
    </row>
    <row r="3478" spans="1:11" ht="12.5" x14ac:dyDescent="0.25">
      <c r="A3478" s="3" t="e">
        <f ca="1"/>
        <v>#NAME?</v>
      </c>
      <c r="B3478" s="2" t="s">
        <v>12</v>
      </c>
      <c r="C3478" s="2" t="s">
        <v>12</v>
      </c>
      <c r="D3478" s="2" t="s">
        <v>12</v>
      </c>
      <c r="E3478" s="2" t="s">
        <v>12</v>
      </c>
      <c r="F3478" s="2" t="s">
        <v>12</v>
      </c>
      <c r="G3478" s="2" t="s">
        <v>12</v>
      </c>
      <c r="H3478" s="2" t="s">
        <v>12</v>
      </c>
      <c r="I3478" s="2" t="s">
        <v>12</v>
      </c>
      <c r="J3478" s="2" t="s">
        <v>12</v>
      </c>
      <c r="K3478" s="2" t="s">
        <v>12</v>
      </c>
    </row>
    <row r="3479" spans="1:11" ht="12.5" x14ac:dyDescent="0.25">
      <c r="A3479" s="3" t="e">
        <f ca="1"/>
        <v>#NAME?</v>
      </c>
      <c r="B3479" s="2" t="s">
        <v>12</v>
      </c>
      <c r="C3479" s="2" t="s">
        <v>12</v>
      </c>
      <c r="D3479" s="2" t="s">
        <v>12</v>
      </c>
      <c r="E3479" s="2" t="s">
        <v>12</v>
      </c>
      <c r="F3479" s="2" t="s">
        <v>12</v>
      </c>
      <c r="G3479" s="2" t="s">
        <v>12</v>
      </c>
      <c r="H3479" s="2" t="s">
        <v>12</v>
      </c>
      <c r="I3479" s="2" t="s">
        <v>12</v>
      </c>
      <c r="J3479" s="2" t="s">
        <v>12</v>
      </c>
      <c r="K3479" s="2" t="s">
        <v>12</v>
      </c>
    </row>
    <row r="3480" spans="1:11" ht="12.5" x14ac:dyDescent="0.25">
      <c r="A3480" s="3" t="e">
        <f ca="1"/>
        <v>#NAME?</v>
      </c>
      <c r="B3480" s="2" t="s">
        <v>12</v>
      </c>
      <c r="C3480" s="2" t="s">
        <v>12</v>
      </c>
      <c r="D3480" s="2" t="s">
        <v>12</v>
      </c>
      <c r="E3480" s="2" t="s">
        <v>12</v>
      </c>
      <c r="F3480" s="2" t="s">
        <v>12</v>
      </c>
      <c r="G3480" s="2" t="s">
        <v>12</v>
      </c>
      <c r="H3480" s="2" t="s">
        <v>12</v>
      </c>
      <c r="I3480" s="2" t="s">
        <v>12</v>
      </c>
      <c r="J3480" s="2" t="s">
        <v>12</v>
      </c>
      <c r="K3480" s="2" t="s">
        <v>12</v>
      </c>
    </row>
    <row r="3481" spans="1:11" ht="12.5" x14ac:dyDescent="0.25">
      <c r="A3481" s="3" t="e">
        <f ca="1"/>
        <v>#NAME?</v>
      </c>
      <c r="B3481" s="2" t="s">
        <v>12</v>
      </c>
      <c r="C3481" s="2" t="s">
        <v>12</v>
      </c>
      <c r="D3481" s="2" t="s">
        <v>12</v>
      </c>
      <c r="E3481" s="2" t="s">
        <v>12</v>
      </c>
      <c r="F3481" s="2" t="s">
        <v>12</v>
      </c>
      <c r="G3481" s="2" t="s">
        <v>12</v>
      </c>
      <c r="H3481" s="2" t="s">
        <v>12</v>
      </c>
      <c r="I3481" s="2" t="s">
        <v>12</v>
      </c>
      <c r="J3481" s="2" t="s">
        <v>12</v>
      </c>
      <c r="K3481" s="2" t="s">
        <v>12</v>
      </c>
    </row>
    <row r="3482" spans="1:11" ht="12.5" x14ac:dyDescent="0.25">
      <c r="A3482" s="3" t="e">
        <f ca="1"/>
        <v>#NAME?</v>
      </c>
      <c r="B3482" s="2" t="s">
        <v>12</v>
      </c>
      <c r="C3482" s="2" t="s">
        <v>12</v>
      </c>
      <c r="D3482" s="2" t="s">
        <v>12</v>
      </c>
      <c r="E3482" s="2" t="s">
        <v>12</v>
      </c>
      <c r="F3482" s="2" t="s">
        <v>12</v>
      </c>
      <c r="G3482" s="2" t="s">
        <v>12</v>
      </c>
      <c r="H3482" s="2" t="s">
        <v>12</v>
      </c>
      <c r="I3482" s="2" t="s">
        <v>12</v>
      </c>
      <c r="J3482" s="2" t="s">
        <v>12</v>
      </c>
      <c r="K3482" s="2" t="s">
        <v>12</v>
      </c>
    </row>
    <row r="3483" spans="1:11" ht="12.5" x14ac:dyDescent="0.25">
      <c r="A3483" s="3" t="e">
        <f ca="1"/>
        <v>#NAME?</v>
      </c>
      <c r="B3483" s="2" t="s">
        <v>12</v>
      </c>
      <c r="C3483" s="2" t="s">
        <v>12</v>
      </c>
      <c r="D3483" s="2" t="s">
        <v>12</v>
      </c>
      <c r="E3483" s="2" t="s">
        <v>12</v>
      </c>
      <c r="F3483" s="2" t="s">
        <v>12</v>
      </c>
      <c r="G3483" s="2" t="s">
        <v>12</v>
      </c>
      <c r="H3483" s="2" t="s">
        <v>12</v>
      </c>
      <c r="I3483" s="2" t="s">
        <v>12</v>
      </c>
      <c r="J3483" s="2" t="s">
        <v>12</v>
      </c>
      <c r="K3483" s="2" t="s">
        <v>12</v>
      </c>
    </row>
    <row r="3484" spans="1:11" ht="12.5" x14ac:dyDescent="0.25">
      <c r="A3484" s="3" t="e">
        <f ca="1"/>
        <v>#NAME?</v>
      </c>
      <c r="B3484" s="2" t="s">
        <v>12</v>
      </c>
      <c r="C3484" s="2" t="s">
        <v>12</v>
      </c>
      <c r="D3484" s="2" t="s">
        <v>12</v>
      </c>
      <c r="E3484" s="2" t="s">
        <v>12</v>
      </c>
      <c r="F3484" s="2" t="s">
        <v>12</v>
      </c>
      <c r="G3484" s="2" t="s">
        <v>12</v>
      </c>
      <c r="H3484" s="2" t="s">
        <v>12</v>
      </c>
      <c r="I3484" s="2" t="s">
        <v>12</v>
      </c>
      <c r="J3484" s="2" t="s">
        <v>12</v>
      </c>
      <c r="K3484" s="2" t="s">
        <v>12</v>
      </c>
    </row>
    <row r="3485" spans="1:11" ht="12.5" x14ac:dyDescent="0.25">
      <c r="A3485" s="3" t="e">
        <f ca="1"/>
        <v>#NAME?</v>
      </c>
      <c r="B3485" s="2" t="s">
        <v>12</v>
      </c>
      <c r="C3485" s="2" t="s">
        <v>12</v>
      </c>
      <c r="D3485" s="2" t="s">
        <v>12</v>
      </c>
      <c r="E3485" s="2" t="s">
        <v>12</v>
      </c>
      <c r="F3485" s="2" t="s">
        <v>12</v>
      </c>
      <c r="G3485" s="2" t="s">
        <v>12</v>
      </c>
      <c r="H3485" s="2" t="s">
        <v>12</v>
      </c>
      <c r="I3485" s="2" t="s">
        <v>12</v>
      </c>
      <c r="J3485" s="2" t="s">
        <v>12</v>
      </c>
      <c r="K3485" s="2" t="s">
        <v>12</v>
      </c>
    </row>
    <row r="3486" spans="1:11" ht="12.5" x14ac:dyDescent="0.25">
      <c r="A3486" s="3" t="e">
        <f ca="1"/>
        <v>#NAME?</v>
      </c>
      <c r="B3486" s="2" t="s">
        <v>12</v>
      </c>
      <c r="C3486" s="2" t="s">
        <v>12</v>
      </c>
      <c r="D3486" s="2" t="s">
        <v>12</v>
      </c>
      <c r="E3486" s="2" t="s">
        <v>12</v>
      </c>
      <c r="F3486" s="2" t="s">
        <v>12</v>
      </c>
      <c r="G3486" s="2" t="s">
        <v>12</v>
      </c>
      <c r="H3486" s="2" t="s">
        <v>12</v>
      </c>
      <c r="I3486" s="2" t="s">
        <v>12</v>
      </c>
      <c r="J3486" s="2" t="s">
        <v>12</v>
      </c>
      <c r="K3486" s="2" t="s">
        <v>12</v>
      </c>
    </row>
    <row r="3487" spans="1:11" ht="12.5" x14ac:dyDescent="0.25">
      <c r="A3487" s="3" t="e">
        <f ca="1"/>
        <v>#NAME?</v>
      </c>
      <c r="B3487" s="2" t="s">
        <v>12</v>
      </c>
      <c r="C3487" s="2" t="s">
        <v>12</v>
      </c>
      <c r="D3487" s="2" t="s">
        <v>12</v>
      </c>
      <c r="E3487" s="2" t="s">
        <v>12</v>
      </c>
      <c r="F3487" s="2" t="s">
        <v>12</v>
      </c>
      <c r="G3487" s="2" t="s">
        <v>12</v>
      </c>
      <c r="H3487" s="2" t="s">
        <v>12</v>
      </c>
      <c r="I3487" s="2" t="s">
        <v>12</v>
      </c>
      <c r="J3487" s="2" t="s">
        <v>12</v>
      </c>
      <c r="K3487" s="2" t="s">
        <v>12</v>
      </c>
    </row>
    <row r="3488" spans="1:11" ht="12.5" x14ac:dyDescent="0.25">
      <c r="A3488" s="3" t="e">
        <f ca="1"/>
        <v>#NAME?</v>
      </c>
      <c r="B3488" s="2" t="s">
        <v>12</v>
      </c>
      <c r="C3488" s="2" t="s">
        <v>12</v>
      </c>
      <c r="D3488" s="2" t="s">
        <v>12</v>
      </c>
      <c r="E3488" s="2" t="s">
        <v>12</v>
      </c>
      <c r="F3488" s="2" t="s">
        <v>12</v>
      </c>
      <c r="G3488" s="2" t="s">
        <v>12</v>
      </c>
      <c r="H3488" s="2" t="s">
        <v>12</v>
      </c>
      <c r="I3488" s="2" t="s">
        <v>12</v>
      </c>
      <c r="J3488" s="2" t="s">
        <v>12</v>
      </c>
      <c r="K3488" s="2" t="s">
        <v>12</v>
      </c>
    </row>
    <row r="3489" spans="1:11" ht="12.5" x14ac:dyDescent="0.25">
      <c r="A3489" s="3" t="e">
        <f ca="1"/>
        <v>#NAME?</v>
      </c>
      <c r="B3489" s="2" t="s">
        <v>12</v>
      </c>
      <c r="C3489" s="2" t="s">
        <v>12</v>
      </c>
      <c r="D3489" s="2" t="s">
        <v>12</v>
      </c>
      <c r="E3489" s="2" t="s">
        <v>12</v>
      </c>
      <c r="F3489" s="2" t="s">
        <v>12</v>
      </c>
      <c r="G3489" s="2" t="s">
        <v>12</v>
      </c>
      <c r="H3489" s="2" t="s">
        <v>12</v>
      </c>
      <c r="I3489" s="2" t="s">
        <v>12</v>
      </c>
      <c r="J3489" s="2" t="s">
        <v>12</v>
      </c>
      <c r="K3489" s="2" t="s">
        <v>12</v>
      </c>
    </row>
    <row r="3490" spans="1:11" ht="12.5" x14ac:dyDescent="0.25">
      <c r="A3490" s="3" t="e">
        <f ca="1"/>
        <v>#NAME?</v>
      </c>
      <c r="B3490" s="2" t="s">
        <v>12</v>
      </c>
      <c r="C3490" s="2" t="s">
        <v>12</v>
      </c>
      <c r="D3490" s="2" t="s">
        <v>12</v>
      </c>
      <c r="E3490" s="2" t="s">
        <v>12</v>
      </c>
      <c r="F3490" s="2" t="s">
        <v>12</v>
      </c>
      <c r="G3490" s="2" t="s">
        <v>12</v>
      </c>
      <c r="H3490" s="2" t="s">
        <v>12</v>
      </c>
      <c r="I3490" s="2" t="s">
        <v>12</v>
      </c>
      <c r="J3490" s="2" t="s">
        <v>12</v>
      </c>
      <c r="K3490" s="2" t="s">
        <v>12</v>
      </c>
    </row>
    <row r="3491" spans="1:11" ht="12.5" x14ac:dyDescent="0.25">
      <c r="A3491" s="3" t="e">
        <f ca="1"/>
        <v>#NAME?</v>
      </c>
      <c r="B3491" s="2" t="s">
        <v>12</v>
      </c>
      <c r="C3491" s="2" t="s">
        <v>12</v>
      </c>
      <c r="D3491" s="2" t="s">
        <v>12</v>
      </c>
      <c r="E3491" s="2" t="s">
        <v>12</v>
      </c>
      <c r="F3491" s="2" t="s">
        <v>12</v>
      </c>
      <c r="G3491" s="2" t="s">
        <v>12</v>
      </c>
      <c r="H3491" s="2" t="s">
        <v>12</v>
      </c>
      <c r="I3491" s="2" t="s">
        <v>12</v>
      </c>
      <c r="J3491" s="2" t="s">
        <v>12</v>
      </c>
      <c r="K3491" s="2" t="s">
        <v>12</v>
      </c>
    </row>
    <row r="3492" spans="1:11" ht="12.5" x14ac:dyDescent="0.25">
      <c r="A3492" s="3" t="e">
        <f ca="1"/>
        <v>#NAME?</v>
      </c>
      <c r="B3492" s="2" t="s">
        <v>12</v>
      </c>
      <c r="C3492" s="2" t="s">
        <v>12</v>
      </c>
      <c r="D3492" s="2" t="s">
        <v>12</v>
      </c>
      <c r="E3492" s="2" t="s">
        <v>12</v>
      </c>
      <c r="F3492" s="2" t="s">
        <v>12</v>
      </c>
      <c r="G3492" s="2" t="s">
        <v>12</v>
      </c>
      <c r="H3492" s="2" t="s">
        <v>12</v>
      </c>
      <c r="I3492" s="2" t="s">
        <v>12</v>
      </c>
      <c r="J3492" s="2" t="s">
        <v>12</v>
      </c>
      <c r="K3492" s="2" t="s">
        <v>12</v>
      </c>
    </row>
    <row r="3493" spans="1:11" ht="12.5" x14ac:dyDescent="0.25">
      <c r="A3493" s="3" t="e">
        <f ca="1"/>
        <v>#NAME?</v>
      </c>
      <c r="B3493" s="2" t="s">
        <v>12</v>
      </c>
      <c r="C3493" s="2" t="s">
        <v>12</v>
      </c>
      <c r="D3493" s="2" t="s">
        <v>12</v>
      </c>
      <c r="E3493" s="2" t="s">
        <v>12</v>
      </c>
      <c r="F3493" s="2" t="s">
        <v>12</v>
      </c>
      <c r="G3493" s="2" t="s">
        <v>12</v>
      </c>
      <c r="H3493" s="2" t="s">
        <v>12</v>
      </c>
      <c r="I3493" s="2" t="s">
        <v>12</v>
      </c>
      <c r="J3493" s="2" t="s">
        <v>12</v>
      </c>
      <c r="K3493" s="2" t="s">
        <v>12</v>
      </c>
    </row>
    <row r="3494" spans="1:11" ht="12.5" x14ac:dyDescent="0.25">
      <c r="A3494" s="3" t="e">
        <f ca="1"/>
        <v>#NAME?</v>
      </c>
      <c r="B3494" s="2" t="s">
        <v>12</v>
      </c>
      <c r="C3494" s="2" t="s">
        <v>12</v>
      </c>
      <c r="D3494" s="2" t="s">
        <v>12</v>
      </c>
      <c r="E3494" s="2" t="s">
        <v>12</v>
      </c>
      <c r="F3494" s="2" t="s">
        <v>12</v>
      </c>
      <c r="G3494" s="2" t="s">
        <v>12</v>
      </c>
      <c r="H3494" s="2" t="s">
        <v>12</v>
      </c>
      <c r="I3494" s="2" t="s">
        <v>12</v>
      </c>
      <c r="J3494" s="2" t="s">
        <v>12</v>
      </c>
      <c r="K3494" s="2" t="s">
        <v>12</v>
      </c>
    </row>
    <row r="3495" spans="1:11" ht="12.5" x14ac:dyDescent="0.25">
      <c r="A3495" s="3" t="e">
        <f ca="1"/>
        <v>#NAME?</v>
      </c>
      <c r="B3495" s="2" t="s">
        <v>12</v>
      </c>
      <c r="C3495" s="2" t="s">
        <v>12</v>
      </c>
      <c r="D3495" s="2" t="s">
        <v>12</v>
      </c>
      <c r="E3495" s="2" t="s">
        <v>12</v>
      </c>
      <c r="F3495" s="2" t="s">
        <v>12</v>
      </c>
      <c r="G3495" s="2" t="s">
        <v>12</v>
      </c>
      <c r="H3495" s="2" t="s">
        <v>12</v>
      </c>
      <c r="I3495" s="2" t="s">
        <v>12</v>
      </c>
      <c r="J3495" s="2" t="s">
        <v>12</v>
      </c>
      <c r="K3495" s="2" t="s">
        <v>12</v>
      </c>
    </row>
    <row r="3496" spans="1:11" ht="12.5" x14ac:dyDescent="0.25">
      <c r="A3496" s="3" t="e">
        <f ca="1"/>
        <v>#NAME?</v>
      </c>
      <c r="B3496" s="2" t="s">
        <v>12</v>
      </c>
      <c r="C3496" s="2" t="s">
        <v>12</v>
      </c>
      <c r="D3496" s="2" t="s">
        <v>12</v>
      </c>
      <c r="E3496" s="2" t="s">
        <v>12</v>
      </c>
      <c r="F3496" s="2" t="s">
        <v>12</v>
      </c>
      <c r="G3496" s="2" t="s">
        <v>12</v>
      </c>
      <c r="H3496" s="2" t="s">
        <v>12</v>
      </c>
      <c r="I3496" s="2" t="s">
        <v>12</v>
      </c>
      <c r="J3496" s="2" t="s">
        <v>12</v>
      </c>
      <c r="K3496" s="2" t="s">
        <v>12</v>
      </c>
    </row>
    <row r="3497" spans="1:11" ht="12.5" x14ac:dyDescent="0.25">
      <c r="A3497" s="3" t="e">
        <f ca="1"/>
        <v>#NAME?</v>
      </c>
      <c r="B3497" s="2" t="s">
        <v>12</v>
      </c>
      <c r="C3497" s="2" t="s">
        <v>12</v>
      </c>
      <c r="D3497" s="2" t="s">
        <v>12</v>
      </c>
      <c r="E3497" s="2" t="s">
        <v>12</v>
      </c>
      <c r="F3497" s="2" t="s">
        <v>12</v>
      </c>
      <c r="G3497" s="2" t="s">
        <v>12</v>
      </c>
      <c r="H3497" s="2" t="s">
        <v>12</v>
      </c>
      <c r="I3497" s="2" t="s">
        <v>12</v>
      </c>
      <c r="J3497" s="2" t="s">
        <v>12</v>
      </c>
      <c r="K3497" s="2" t="s">
        <v>12</v>
      </c>
    </row>
    <row r="3498" spans="1:11" ht="12.5" x14ac:dyDescent="0.25">
      <c r="A3498" s="3" t="e">
        <f ca="1"/>
        <v>#NAME?</v>
      </c>
      <c r="B3498" s="2" t="s">
        <v>12</v>
      </c>
      <c r="C3498" s="2" t="s">
        <v>12</v>
      </c>
      <c r="D3498" s="2" t="s">
        <v>12</v>
      </c>
      <c r="E3498" s="2" t="s">
        <v>12</v>
      </c>
      <c r="F3498" s="2" t="s">
        <v>12</v>
      </c>
      <c r="G3498" s="2" t="s">
        <v>12</v>
      </c>
      <c r="H3498" s="2" t="s">
        <v>12</v>
      </c>
      <c r="I3498" s="2" t="s">
        <v>12</v>
      </c>
      <c r="J3498" s="2" t="s">
        <v>12</v>
      </c>
      <c r="K3498" s="2" t="s">
        <v>12</v>
      </c>
    </row>
    <row r="3499" spans="1:11" ht="12.5" x14ac:dyDescent="0.25">
      <c r="A3499" s="3" t="e">
        <f ca="1"/>
        <v>#NAME?</v>
      </c>
      <c r="B3499" s="2" t="s">
        <v>12</v>
      </c>
      <c r="C3499" s="2" t="s">
        <v>12</v>
      </c>
      <c r="D3499" s="2" t="s">
        <v>12</v>
      </c>
      <c r="E3499" s="2" t="s">
        <v>12</v>
      </c>
      <c r="F3499" s="2" t="s">
        <v>12</v>
      </c>
      <c r="G3499" s="2" t="s">
        <v>12</v>
      </c>
      <c r="H3499" s="2" t="s">
        <v>12</v>
      </c>
      <c r="I3499" s="2" t="s">
        <v>12</v>
      </c>
      <c r="J3499" s="2" t="s">
        <v>12</v>
      </c>
      <c r="K3499" s="2" t="s">
        <v>12</v>
      </c>
    </row>
    <row r="3500" spans="1:11" ht="12.5" x14ac:dyDescent="0.25">
      <c r="A3500" s="3" t="e">
        <f ca="1"/>
        <v>#NAME?</v>
      </c>
      <c r="B3500" s="2" t="s">
        <v>12</v>
      </c>
      <c r="C3500" s="2" t="s">
        <v>12</v>
      </c>
      <c r="D3500" s="2" t="s">
        <v>12</v>
      </c>
      <c r="E3500" s="2" t="s">
        <v>12</v>
      </c>
      <c r="F3500" s="2" t="s">
        <v>12</v>
      </c>
      <c r="G3500" s="2" t="s">
        <v>12</v>
      </c>
      <c r="H3500" s="2" t="s">
        <v>12</v>
      </c>
      <c r="I3500" s="2" t="s">
        <v>12</v>
      </c>
      <c r="J3500" s="2" t="s">
        <v>12</v>
      </c>
      <c r="K3500" s="2" t="s">
        <v>12</v>
      </c>
    </row>
    <row r="3501" spans="1:11" ht="12.5" x14ac:dyDescent="0.25">
      <c r="A3501" s="3" t="e">
        <f ca="1"/>
        <v>#NAME?</v>
      </c>
      <c r="B3501" s="2" t="s">
        <v>12</v>
      </c>
      <c r="C3501" s="2" t="s">
        <v>12</v>
      </c>
      <c r="D3501" s="2" t="s">
        <v>12</v>
      </c>
      <c r="E3501" s="2" t="s">
        <v>12</v>
      </c>
      <c r="F3501" s="2" t="s">
        <v>12</v>
      </c>
      <c r="G3501" s="2" t="s">
        <v>12</v>
      </c>
      <c r="H3501" s="2" t="s">
        <v>12</v>
      </c>
      <c r="I3501" s="2" t="s">
        <v>12</v>
      </c>
      <c r="J3501" s="2" t="s">
        <v>12</v>
      </c>
      <c r="K3501" s="2" t="s">
        <v>12</v>
      </c>
    </row>
    <row r="3502" spans="1:11" ht="12.5" x14ac:dyDescent="0.25">
      <c r="A3502" s="3" t="e">
        <f ca="1"/>
        <v>#NAME?</v>
      </c>
      <c r="B3502" s="2" t="s">
        <v>12</v>
      </c>
      <c r="C3502" s="2" t="s">
        <v>12</v>
      </c>
      <c r="D3502" s="2" t="s">
        <v>12</v>
      </c>
      <c r="E3502" s="2" t="s">
        <v>12</v>
      </c>
      <c r="F3502" s="2" t="s">
        <v>12</v>
      </c>
      <c r="G3502" s="2" t="s">
        <v>12</v>
      </c>
      <c r="H3502" s="2" t="s">
        <v>12</v>
      </c>
      <c r="I3502" s="2" t="s">
        <v>12</v>
      </c>
      <c r="J3502" s="2" t="s">
        <v>12</v>
      </c>
      <c r="K3502" s="2" t="s">
        <v>12</v>
      </c>
    </row>
    <row r="3503" spans="1:11" ht="12.5" x14ac:dyDescent="0.25">
      <c r="A3503" s="3" t="e">
        <f ca="1"/>
        <v>#NAME?</v>
      </c>
      <c r="B3503" s="2" t="s">
        <v>12</v>
      </c>
      <c r="C3503" s="2" t="s">
        <v>12</v>
      </c>
      <c r="D3503" s="2" t="s">
        <v>12</v>
      </c>
      <c r="E3503" s="2" t="s">
        <v>12</v>
      </c>
      <c r="F3503" s="2" t="s">
        <v>12</v>
      </c>
      <c r="G3503" s="2" t="s">
        <v>12</v>
      </c>
      <c r="H3503" s="2" t="s">
        <v>12</v>
      </c>
      <c r="I3503" s="2" t="s">
        <v>12</v>
      </c>
      <c r="J3503" s="2" t="s">
        <v>12</v>
      </c>
      <c r="K3503" s="2" t="s">
        <v>12</v>
      </c>
    </row>
    <row r="3504" spans="1:11" ht="12.5" x14ac:dyDescent="0.25">
      <c r="A3504" s="3" t="e">
        <f ca="1"/>
        <v>#NAME?</v>
      </c>
      <c r="B3504" s="2" t="s">
        <v>12</v>
      </c>
      <c r="C3504" s="2" t="s">
        <v>12</v>
      </c>
      <c r="D3504" s="2" t="s">
        <v>12</v>
      </c>
      <c r="E3504" s="2" t="s">
        <v>12</v>
      </c>
      <c r="F3504" s="2" t="s">
        <v>12</v>
      </c>
      <c r="G3504" s="2" t="s">
        <v>12</v>
      </c>
      <c r="H3504" s="2" t="s">
        <v>12</v>
      </c>
      <c r="I3504" s="2" t="s">
        <v>12</v>
      </c>
      <c r="J3504" s="2" t="s">
        <v>12</v>
      </c>
      <c r="K3504" s="2" t="s">
        <v>12</v>
      </c>
    </row>
    <row r="3505" spans="1:11" ht="12.5" x14ac:dyDescent="0.25">
      <c r="A3505" s="3" t="e">
        <f ca="1"/>
        <v>#NAME?</v>
      </c>
      <c r="B3505" s="2" t="s">
        <v>12</v>
      </c>
      <c r="C3505" s="2" t="s">
        <v>12</v>
      </c>
      <c r="D3505" s="2" t="s">
        <v>12</v>
      </c>
      <c r="E3505" s="2" t="s">
        <v>12</v>
      </c>
      <c r="F3505" s="2" t="s">
        <v>12</v>
      </c>
      <c r="G3505" s="2" t="s">
        <v>12</v>
      </c>
      <c r="H3505" s="2" t="s">
        <v>12</v>
      </c>
      <c r="I3505" s="2" t="s">
        <v>12</v>
      </c>
      <c r="J3505" s="2" t="s">
        <v>12</v>
      </c>
      <c r="K3505" s="2" t="s">
        <v>12</v>
      </c>
    </row>
    <row r="3506" spans="1:11" ht="12.5" x14ac:dyDescent="0.25">
      <c r="A3506" s="3" t="e">
        <f ca="1"/>
        <v>#NAME?</v>
      </c>
      <c r="B3506" s="2" t="s">
        <v>12</v>
      </c>
      <c r="C3506" s="2" t="s">
        <v>12</v>
      </c>
      <c r="D3506" s="2" t="s">
        <v>12</v>
      </c>
      <c r="E3506" s="2" t="s">
        <v>12</v>
      </c>
      <c r="F3506" s="2" t="s">
        <v>12</v>
      </c>
      <c r="G3506" s="2" t="s">
        <v>12</v>
      </c>
      <c r="H3506" s="2" t="s">
        <v>12</v>
      </c>
      <c r="I3506" s="2" t="s">
        <v>12</v>
      </c>
      <c r="J3506" s="2" t="s">
        <v>12</v>
      </c>
      <c r="K3506" s="2" t="s">
        <v>12</v>
      </c>
    </row>
    <row r="3507" spans="1:11" ht="12.5" x14ac:dyDescent="0.25">
      <c r="A3507" s="3" t="e">
        <f ca="1"/>
        <v>#NAME?</v>
      </c>
      <c r="B3507" s="2" t="s">
        <v>12</v>
      </c>
      <c r="C3507" s="2" t="s">
        <v>12</v>
      </c>
      <c r="D3507" s="2" t="s">
        <v>12</v>
      </c>
      <c r="E3507" s="2" t="s">
        <v>12</v>
      </c>
      <c r="F3507" s="2" t="s">
        <v>12</v>
      </c>
      <c r="G3507" s="2" t="s">
        <v>12</v>
      </c>
      <c r="H3507" s="2" t="s">
        <v>12</v>
      </c>
      <c r="I3507" s="2" t="s">
        <v>12</v>
      </c>
      <c r="J3507" s="2" t="s">
        <v>12</v>
      </c>
      <c r="K3507" s="2" t="s">
        <v>12</v>
      </c>
    </row>
    <row r="3508" spans="1:11" ht="12.5" x14ac:dyDescent="0.25">
      <c r="A3508" s="3" t="e">
        <f ca="1"/>
        <v>#NAME?</v>
      </c>
      <c r="B3508" s="2" t="s">
        <v>12</v>
      </c>
      <c r="C3508" s="2" t="s">
        <v>12</v>
      </c>
      <c r="D3508" s="2" t="s">
        <v>12</v>
      </c>
      <c r="E3508" s="2" t="s">
        <v>12</v>
      </c>
      <c r="F3508" s="2" t="s">
        <v>12</v>
      </c>
      <c r="G3508" s="2" t="s">
        <v>12</v>
      </c>
      <c r="H3508" s="2" t="s">
        <v>12</v>
      </c>
      <c r="I3508" s="2" t="s">
        <v>12</v>
      </c>
      <c r="J3508" s="2" t="s">
        <v>12</v>
      </c>
      <c r="K3508" s="2" t="s">
        <v>12</v>
      </c>
    </row>
    <row r="3509" spans="1:11" ht="12.5" x14ac:dyDescent="0.25">
      <c r="A3509" s="3" t="e">
        <f ca="1"/>
        <v>#NAME?</v>
      </c>
      <c r="B3509" s="2" t="s">
        <v>12</v>
      </c>
      <c r="C3509" s="2" t="s">
        <v>12</v>
      </c>
      <c r="D3509" s="2" t="s">
        <v>12</v>
      </c>
      <c r="E3509" s="2" t="s">
        <v>12</v>
      </c>
      <c r="F3509" s="2" t="s">
        <v>12</v>
      </c>
      <c r="G3509" s="2" t="s">
        <v>12</v>
      </c>
      <c r="H3509" s="2" t="s">
        <v>12</v>
      </c>
      <c r="I3509" s="2" t="s">
        <v>12</v>
      </c>
      <c r="J3509" s="2" t="s">
        <v>12</v>
      </c>
      <c r="K3509" s="2" t="s">
        <v>12</v>
      </c>
    </row>
    <row r="3510" spans="1:11" ht="12.5" x14ac:dyDescent="0.25">
      <c r="A3510" s="3" t="e">
        <f ca="1"/>
        <v>#NAME?</v>
      </c>
      <c r="B3510" s="2" t="s">
        <v>12</v>
      </c>
      <c r="C3510" s="2" t="s">
        <v>12</v>
      </c>
      <c r="D3510" s="2" t="s">
        <v>12</v>
      </c>
      <c r="E3510" s="2" t="s">
        <v>12</v>
      </c>
      <c r="F3510" s="2" t="s">
        <v>12</v>
      </c>
      <c r="G3510" s="2" t="s">
        <v>12</v>
      </c>
      <c r="H3510" s="2" t="s">
        <v>12</v>
      </c>
      <c r="I3510" s="2" t="s">
        <v>12</v>
      </c>
      <c r="J3510" s="2" t="s">
        <v>12</v>
      </c>
      <c r="K3510" s="2" t="s">
        <v>12</v>
      </c>
    </row>
    <row r="3511" spans="1:11" ht="12.5" x14ac:dyDescent="0.25">
      <c r="A3511" s="3" t="e">
        <f ca="1"/>
        <v>#NAME?</v>
      </c>
      <c r="B3511" s="2" t="s">
        <v>12</v>
      </c>
      <c r="C3511" s="2" t="s">
        <v>12</v>
      </c>
      <c r="D3511" s="2" t="s">
        <v>12</v>
      </c>
      <c r="E3511" s="2" t="s">
        <v>12</v>
      </c>
      <c r="F3511" s="2" t="s">
        <v>12</v>
      </c>
      <c r="G3511" s="2" t="s">
        <v>12</v>
      </c>
      <c r="H3511" s="2" t="s">
        <v>12</v>
      </c>
      <c r="I3511" s="2" t="s">
        <v>12</v>
      </c>
      <c r="J3511" s="2" t="s">
        <v>12</v>
      </c>
      <c r="K3511" s="2" t="s">
        <v>12</v>
      </c>
    </row>
    <row r="3512" spans="1:11" ht="12.5" x14ac:dyDescent="0.25">
      <c r="A3512" s="3" t="e">
        <f ca="1"/>
        <v>#NAME?</v>
      </c>
      <c r="B3512" s="2" t="s">
        <v>12</v>
      </c>
      <c r="C3512" s="2" t="s">
        <v>12</v>
      </c>
      <c r="D3512" s="2" t="s">
        <v>12</v>
      </c>
      <c r="E3512" s="2" t="s">
        <v>12</v>
      </c>
      <c r="F3512" s="2" t="s">
        <v>12</v>
      </c>
      <c r="G3512" s="2" t="s">
        <v>12</v>
      </c>
      <c r="H3512" s="2" t="s">
        <v>12</v>
      </c>
      <c r="I3512" s="2" t="s">
        <v>12</v>
      </c>
      <c r="J3512" s="2" t="s">
        <v>12</v>
      </c>
      <c r="K3512" s="2" t="s">
        <v>12</v>
      </c>
    </row>
    <row r="3513" spans="1:11" ht="12.5" x14ac:dyDescent="0.25">
      <c r="A3513" s="3" t="e">
        <f ca="1"/>
        <v>#NAME?</v>
      </c>
      <c r="B3513" s="2" t="s">
        <v>12</v>
      </c>
      <c r="C3513" s="2" t="s">
        <v>12</v>
      </c>
      <c r="D3513" s="2" t="s">
        <v>12</v>
      </c>
      <c r="E3513" s="2" t="s">
        <v>12</v>
      </c>
      <c r="F3513" s="2" t="s">
        <v>12</v>
      </c>
      <c r="G3513" s="2" t="s">
        <v>12</v>
      </c>
      <c r="H3513" s="2" t="s">
        <v>12</v>
      </c>
      <c r="I3513" s="2" t="s">
        <v>12</v>
      </c>
      <c r="J3513" s="2" t="s">
        <v>12</v>
      </c>
      <c r="K3513" s="2" t="s">
        <v>12</v>
      </c>
    </row>
    <row r="3514" spans="1:11" ht="12.5" x14ac:dyDescent="0.25">
      <c r="A3514" s="3" t="e">
        <f ca="1"/>
        <v>#NAME?</v>
      </c>
      <c r="B3514" s="2" t="s">
        <v>12</v>
      </c>
      <c r="C3514" s="2" t="s">
        <v>12</v>
      </c>
      <c r="D3514" s="2" t="s">
        <v>12</v>
      </c>
      <c r="E3514" s="2" t="s">
        <v>12</v>
      </c>
      <c r="F3514" s="2" t="s">
        <v>12</v>
      </c>
      <c r="G3514" s="2" t="s">
        <v>12</v>
      </c>
      <c r="H3514" s="2" t="s">
        <v>12</v>
      </c>
      <c r="I3514" s="2" t="s">
        <v>12</v>
      </c>
      <c r="J3514" s="2" t="s">
        <v>12</v>
      </c>
      <c r="K3514" s="2" t="s">
        <v>12</v>
      </c>
    </row>
    <row r="3515" spans="1:11" ht="12.5" x14ac:dyDescent="0.25">
      <c r="A3515" s="3" t="e">
        <f ca="1"/>
        <v>#NAME?</v>
      </c>
      <c r="B3515" s="2" t="s">
        <v>12</v>
      </c>
      <c r="C3515" s="2" t="s">
        <v>12</v>
      </c>
      <c r="D3515" s="2" t="s">
        <v>12</v>
      </c>
      <c r="E3515" s="2" t="s">
        <v>12</v>
      </c>
      <c r="F3515" s="2" t="s">
        <v>12</v>
      </c>
      <c r="G3515" s="2" t="s">
        <v>12</v>
      </c>
      <c r="H3515" s="2" t="s">
        <v>12</v>
      </c>
      <c r="I3515" s="2" t="s">
        <v>12</v>
      </c>
      <c r="J3515" s="2" t="s">
        <v>12</v>
      </c>
      <c r="K3515" s="2" t="s">
        <v>12</v>
      </c>
    </row>
    <row r="3516" spans="1:11" ht="12.5" x14ac:dyDescent="0.25">
      <c r="A3516" s="3" t="e">
        <f ca="1"/>
        <v>#NAME?</v>
      </c>
      <c r="B3516" s="2" t="s">
        <v>12</v>
      </c>
      <c r="C3516" s="2" t="s">
        <v>12</v>
      </c>
      <c r="D3516" s="2" t="s">
        <v>12</v>
      </c>
      <c r="E3516" s="2" t="s">
        <v>12</v>
      </c>
      <c r="F3516" s="2" t="s">
        <v>12</v>
      </c>
      <c r="G3516" s="2" t="s">
        <v>12</v>
      </c>
      <c r="H3516" s="2" t="s">
        <v>12</v>
      </c>
      <c r="I3516" s="2" t="s">
        <v>12</v>
      </c>
      <c r="J3516" s="2" t="s">
        <v>12</v>
      </c>
      <c r="K3516" s="2" t="s">
        <v>12</v>
      </c>
    </row>
    <row r="3517" spans="1:11" ht="12.5" x14ac:dyDescent="0.25">
      <c r="A3517" s="3" t="e">
        <f ca="1"/>
        <v>#NAME?</v>
      </c>
      <c r="B3517" s="2" t="s">
        <v>12</v>
      </c>
      <c r="C3517" s="2" t="s">
        <v>12</v>
      </c>
      <c r="D3517" s="2" t="s">
        <v>12</v>
      </c>
      <c r="E3517" s="2" t="s">
        <v>12</v>
      </c>
      <c r="F3517" s="2" t="s">
        <v>12</v>
      </c>
      <c r="G3517" s="2" t="s">
        <v>12</v>
      </c>
      <c r="H3517" s="2" t="s">
        <v>12</v>
      </c>
      <c r="I3517" s="2" t="s">
        <v>12</v>
      </c>
      <c r="J3517" s="2" t="s">
        <v>12</v>
      </c>
      <c r="K3517" s="2" t="s">
        <v>12</v>
      </c>
    </row>
    <row r="3518" spans="1:11" ht="12.5" x14ac:dyDescent="0.25">
      <c r="A3518" s="3" t="e">
        <f ca="1"/>
        <v>#NAME?</v>
      </c>
      <c r="B3518" s="2" t="s">
        <v>12</v>
      </c>
      <c r="C3518" s="2" t="s">
        <v>12</v>
      </c>
      <c r="D3518" s="2" t="s">
        <v>12</v>
      </c>
      <c r="E3518" s="2" t="s">
        <v>12</v>
      </c>
      <c r="F3518" s="2" t="s">
        <v>12</v>
      </c>
      <c r="G3518" s="2" t="s">
        <v>12</v>
      </c>
      <c r="H3518" s="2" t="s">
        <v>12</v>
      </c>
      <c r="I3518" s="2" t="s">
        <v>12</v>
      </c>
      <c r="J3518" s="2" t="s">
        <v>12</v>
      </c>
      <c r="K3518" s="2" t="s">
        <v>12</v>
      </c>
    </row>
    <row r="3519" spans="1:11" ht="12.5" x14ac:dyDescent="0.25">
      <c r="A3519" s="3" t="e">
        <f ca="1"/>
        <v>#NAME?</v>
      </c>
      <c r="B3519" s="2" t="s">
        <v>12</v>
      </c>
      <c r="C3519" s="2" t="s">
        <v>12</v>
      </c>
      <c r="D3519" s="2" t="s">
        <v>12</v>
      </c>
      <c r="E3519" s="2" t="s">
        <v>12</v>
      </c>
      <c r="F3519" s="2" t="s">
        <v>12</v>
      </c>
      <c r="G3519" s="2" t="s">
        <v>12</v>
      </c>
      <c r="H3519" s="2" t="s">
        <v>12</v>
      </c>
      <c r="I3519" s="2" t="s">
        <v>12</v>
      </c>
      <c r="J3519" s="2" t="s">
        <v>12</v>
      </c>
      <c r="K3519" s="2" t="s">
        <v>12</v>
      </c>
    </row>
    <row r="3520" spans="1:11" ht="12.5" x14ac:dyDescent="0.25">
      <c r="A3520" s="3" t="e">
        <f ca="1"/>
        <v>#NAME?</v>
      </c>
      <c r="B3520" s="2" t="s">
        <v>12</v>
      </c>
      <c r="C3520" s="2" t="s">
        <v>12</v>
      </c>
      <c r="D3520" s="2" t="s">
        <v>12</v>
      </c>
      <c r="E3520" s="2" t="s">
        <v>12</v>
      </c>
      <c r="F3520" s="2" t="s">
        <v>12</v>
      </c>
      <c r="G3520" s="2" t="s">
        <v>12</v>
      </c>
      <c r="H3520" s="2" t="s">
        <v>12</v>
      </c>
      <c r="I3520" s="2" t="s">
        <v>12</v>
      </c>
      <c r="J3520" s="2" t="s">
        <v>12</v>
      </c>
      <c r="K3520" s="2" t="s">
        <v>12</v>
      </c>
    </row>
    <row r="3521" spans="1:11" ht="12.5" x14ac:dyDescent="0.25">
      <c r="A3521" s="3" t="e">
        <f ca="1"/>
        <v>#NAME?</v>
      </c>
      <c r="B3521" s="2" t="s">
        <v>12</v>
      </c>
      <c r="C3521" s="2" t="s">
        <v>12</v>
      </c>
      <c r="D3521" s="2" t="s">
        <v>12</v>
      </c>
      <c r="E3521" s="2" t="s">
        <v>12</v>
      </c>
      <c r="F3521" s="2" t="s">
        <v>12</v>
      </c>
      <c r="G3521" s="2" t="s">
        <v>12</v>
      </c>
      <c r="H3521" s="2" t="s">
        <v>12</v>
      </c>
      <c r="I3521" s="2" t="s">
        <v>12</v>
      </c>
      <c r="J3521" s="2" t="s">
        <v>12</v>
      </c>
      <c r="K3521" s="2" t="s">
        <v>12</v>
      </c>
    </row>
    <row r="3522" spans="1:11" ht="12.5" x14ac:dyDescent="0.25">
      <c r="A3522" s="3" t="e">
        <f ca="1"/>
        <v>#NAME?</v>
      </c>
      <c r="B3522" s="2" t="s">
        <v>12</v>
      </c>
      <c r="C3522" s="2" t="s">
        <v>12</v>
      </c>
      <c r="D3522" s="2" t="s">
        <v>12</v>
      </c>
      <c r="E3522" s="2" t="s">
        <v>12</v>
      </c>
      <c r="F3522" s="2" t="s">
        <v>12</v>
      </c>
      <c r="G3522" s="2" t="s">
        <v>12</v>
      </c>
      <c r="H3522" s="2" t="s">
        <v>12</v>
      </c>
      <c r="I3522" s="2" t="s">
        <v>12</v>
      </c>
      <c r="J3522" s="2" t="s">
        <v>12</v>
      </c>
      <c r="K3522" s="2" t="s">
        <v>12</v>
      </c>
    </row>
    <row r="3523" spans="1:11" ht="12.5" x14ac:dyDescent="0.25">
      <c r="A3523" s="3" t="e">
        <f ca="1"/>
        <v>#NAME?</v>
      </c>
      <c r="B3523" s="2" t="s">
        <v>12</v>
      </c>
      <c r="C3523" s="2" t="s">
        <v>12</v>
      </c>
      <c r="D3523" s="2" t="s">
        <v>12</v>
      </c>
      <c r="E3523" s="2" t="s">
        <v>12</v>
      </c>
      <c r="F3523" s="2" t="s">
        <v>12</v>
      </c>
      <c r="G3523" s="2" t="s">
        <v>12</v>
      </c>
      <c r="H3523" s="2" t="s">
        <v>12</v>
      </c>
      <c r="I3523" s="2" t="s">
        <v>12</v>
      </c>
      <c r="J3523" s="2" t="s">
        <v>12</v>
      </c>
      <c r="K3523" s="2" t="s">
        <v>12</v>
      </c>
    </row>
    <row r="3524" spans="1:11" ht="12.5" x14ac:dyDescent="0.25">
      <c r="A3524" s="3" t="e">
        <f ca="1"/>
        <v>#NAME?</v>
      </c>
      <c r="B3524" s="2" t="s">
        <v>12</v>
      </c>
      <c r="C3524" s="2" t="s">
        <v>12</v>
      </c>
      <c r="D3524" s="2" t="s">
        <v>12</v>
      </c>
      <c r="E3524" s="2" t="s">
        <v>12</v>
      </c>
      <c r="F3524" s="2" t="s">
        <v>12</v>
      </c>
      <c r="G3524" s="2" t="s">
        <v>12</v>
      </c>
      <c r="H3524" s="2" t="s">
        <v>12</v>
      </c>
      <c r="I3524" s="2" t="s">
        <v>12</v>
      </c>
      <c r="J3524" s="2" t="s">
        <v>12</v>
      </c>
      <c r="K3524" s="2" t="s">
        <v>12</v>
      </c>
    </row>
    <row r="3525" spans="1:11" ht="12.5" x14ac:dyDescent="0.25">
      <c r="A3525" s="3" t="e">
        <f ca="1"/>
        <v>#NAME?</v>
      </c>
      <c r="B3525" s="2" t="s">
        <v>12</v>
      </c>
      <c r="C3525" s="2" t="s">
        <v>12</v>
      </c>
      <c r="D3525" s="2" t="s">
        <v>12</v>
      </c>
      <c r="E3525" s="2" t="s">
        <v>12</v>
      </c>
      <c r="F3525" s="2" t="s">
        <v>12</v>
      </c>
      <c r="G3525" s="2" t="s">
        <v>12</v>
      </c>
      <c r="H3525" s="2" t="s">
        <v>12</v>
      </c>
      <c r="I3525" s="2" t="s">
        <v>12</v>
      </c>
      <c r="J3525" s="2" t="s">
        <v>12</v>
      </c>
      <c r="K3525" s="2" t="s">
        <v>12</v>
      </c>
    </row>
    <row r="3526" spans="1:11" ht="12.5" x14ac:dyDescent="0.25">
      <c r="A3526" s="3" t="e">
        <f ca="1"/>
        <v>#NAME?</v>
      </c>
      <c r="B3526" s="2" t="s">
        <v>12</v>
      </c>
      <c r="C3526" s="2" t="s">
        <v>12</v>
      </c>
      <c r="D3526" s="2" t="s">
        <v>12</v>
      </c>
      <c r="E3526" s="2" t="s">
        <v>12</v>
      </c>
      <c r="F3526" s="2" t="s">
        <v>12</v>
      </c>
      <c r="G3526" s="2" t="s">
        <v>12</v>
      </c>
      <c r="H3526" s="2" t="s">
        <v>12</v>
      </c>
      <c r="I3526" s="2" t="s">
        <v>12</v>
      </c>
      <c r="J3526" s="2" t="s">
        <v>12</v>
      </c>
      <c r="K3526" s="2" t="s">
        <v>12</v>
      </c>
    </row>
    <row r="3527" spans="1:11" ht="12.5" x14ac:dyDescent="0.25">
      <c r="A3527" s="3" t="e">
        <f ca="1"/>
        <v>#NAME?</v>
      </c>
      <c r="B3527" s="2" t="s">
        <v>12</v>
      </c>
      <c r="C3527" s="2" t="s">
        <v>12</v>
      </c>
      <c r="D3527" s="2" t="s">
        <v>12</v>
      </c>
      <c r="E3527" s="2" t="s">
        <v>12</v>
      </c>
      <c r="F3527" s="2" t="s">
        <v>12</v>
      </c>
      <c r="G3527" s="2" t="s">
        <v>12</v>
      </c>
      <c r="H3527" s="2" t="s">
        <v>12</v>
      </c>
      <c r="I3527" s="2" t="s">
        <v>12</v>
      </c>
      <c r="J3527" s="2" t="s">
        <v>12</v>
      </c>
      <c r="K3527" s="2" t="s">
        <v>12</v>
      </c>
    </row>
    <row r="3528" spans="1:11" ht="12.5" x14ac:dyDescent="0.25">
      <c r="A3528" s="3" t="e">
        <f ca="1"/>
        <v>#NAME?</v>
      </c>
      <c r="B3528" s="2" t="s">
        <v>12</v>
      </c>
      <c r="C3528" s="2" t="s">
        <v>12</v>
      </c>
      <c r="D3528" s="2" t="s">
        <v>12</v>
      </c>
      <c r="E3528" s="2" t="s">
        <v>12</v>
      </c>
      <c r="F3528" s="2" t="s">
        <v>12</v>
      </c>
      <c r="G3528" s="2" t="s">
        <v>12</v>
      </c>
      <c r="H3528" s="2" t="s">
        <v>12</v>
      </c>
      <c r="I3528" s="2" t="s">
        <v>12</v>
      </c>
      <c r="J3528" s="2" t="s">
        <v>12</v>
      </c>
      <c r="K3528" s="2" t="s">
        <v>12</v>
      </c>
    </row>
    <row r="3529" spans="1:11" ht="12.5" x14ac:dyDescent="0.25">
      <c r="A3529" s="3" t="e">
        <f ca="1"/>
        <v>#NAME?</v>
      </c>
      <c r="B3529" s="2" t="s">
        <v>12</v>
      </c>
      <c r="C3529" s="2" t="s">
        <v>12</v>
      </c>
      <c r="D3529" s="2" t="s">
        <v>12</v>
      </c>
      <c r="E3529" s="2" t="s">
        <v>12</v>
      </c>
      <c r="F3529" s="2" t="s">
        <v>12</v>
      </c>
      <c r="G3529" s="2" t="s">
        <v>12</v>
      </c>
      <c r="H3529" s="2" t="s">
        <v>12</v>
      </c>
      <c r="I3529" s="2" t="s">
        <v>12</v>
      </c>
      <c r="J3529" s="2" t="s">
        <v>12</v>
      </c>
      <c r="K3529" s="2" t="s">
        <v>12</v>
      </c>
    </row>
    <row r="3530" spans="1:11" ht="12.5" x14ac:dyDescent="0.25">
      <c r="A3530" s="3" t="e">
        <f ca="1"/>
        <v>#NAME?</v>
      </c>
      <c r="B3530" s="2" t="s">
        <v>12</v>
      </c>
      <c r="C3530" s="2" t="s">
        <v>12</v>
      </c>
      <c r="D3530" s="2" t="s">
        <v>12</v>
      </c>
      <c r="E3530" s="2" t="s">
        <v>12</v>
      </c>
      <c r="F3530" s="2" t="s">
        <v>12</v>
      </c>
      <c r="G3530" s="2" t="s">
        <v>12</v>
      </c>
      <c r="H3530" s="2" t="s">
        <v>12</v>
      </c>
      <c r="I3530" s="2" t="s">
        <v>12</v>
      </c>
      <c r="J3530" s="2" t="s">
        <v>12</v>
      </c>
      <c r="K3530" s="2" t="s">
        <v>12</v>
      </c>
    </row>
    <row r="3531" spans="1:11" ht="12.5" x14ac:dyDescent="0.25">
      <c r="A3531" s="3" t="e">
        <f ca="1"/>
        <v>#NAME?</v>
      </c>
      <c r="B3531" s="2" t="s">
        <v>12</v>
      </c>
      <c r="C3531" s="2" t="s">
        <v>12</v>
      </c>
      <c r="D3531" s="2" t="s">
        <v>12</v>
      </c>
      <c r="E3531" s="2" t="s">
        <v>12</v>
      </c>
      <c r="F3531" s="2" t="s">
        <v>12</v>
      </c>
      <c r="G3531" s="2" t="s">
        <v>12</v>
      </c>
      <c r="H3531" s="2" t="s">
        <v>12</v>
      </c>
      <c r="I3531" s="2" t="s">
        <v>12</v>
      </c>
      <c r="J3531" s="2" t="s">
        <v>12</v>
      </c>
      <c r="K3531" s="2" t="s">
        <v>12</v>
      </c>
    </row>
    <row r="3532" spans="1:11" ht="12.5" x14ac:dyDescent="0.25">
      <c r="A3532" s="3" t="e">
        <f ca="1"/>
        <v>#NAME?</v>
      </c>
      <c r="B3532" s="2" t="s">
        <v>12</v>
      </c>
      <c r="C3532" s="2" t="s">
        <v>12</v>
      </c>
      <c r="D3532" s="2" t="s">
        <v>12</v>
      </c>
      <c r="E3532" s="2" t="s">
        <v>12</v>
      </c>
      <c r="F3532" s="2" t="s">
        <v>12</v>
      </c>
      <c r="G3532" s="2" t="s">
        <v>12</v>
      </c>
      <c r="H3532" s="2" t="s">
        <v>12</v>
      </c>
      <c r="I3532" s="2" t="s">
        <v>12</v>
      </c>
      <c r="J3532" s="2" t="s">
        <v>12</v>
      </c>
      <c r="K3532" s="2" t="s">
        <v>12</v>
      </c>
    </row>
    <row r="3533" spans="1:11" ht="12.5" x14ac:dyDescent="0.25">
      <c r="A3533" s="3" t="e">
        <f ca="1"/>
        <v>#NAME?</v>
      </c>
      <c r="B3533" s="2" t="s">
        <v>12</v>
      </c>
      <c r="C3533" s="2" t="s">
        <v>12</v>
      </c>
      <c r="D3533" s="2" t="s">
        <v>12</v>
      </c>
      <c r="E3533" s="2" t="s">
        <v>12</v>
      </c>
      <c r="F3533" s="2" t="s">
        <v>12</v>
      </c>
      <c r="G3533" s="2" t="s">
        <v>12</v>
      </c>
      <c r="H3533" s="2" t="s">
        <v>12</v>
      </c>
      <c r="I3533" s="2" t="s">
        <v>12</v>
      </c>
      <c r="J3533" s="2" t="s">
        <v>12</v>
      </c>
      <c r="K3533" s="2" t="s">
        <v>12</v>
      </c>
    </row>
    <row r="3534" spans="1:11" ht="12.5" x14ac:dyDescent="0.25">
      <c r="A3534" s="3" t="e">
        <f ca="1"/>
        <v>#NAME?</v>
      </c>
      <c r="B3534" s="2" t="s">
        <v>12</v>
      </c>
      <c r="C3534" s="2" t="s">
        <v>12</v>
      </c>
      <c r="D3534" s="2" t="s">
        <v>12</v>
      </c>
      <c r="E3534" s="2" t="s">
        <v>12</v>
      </c>
      <c r="F3534" s="2" t="s">
        <v>12</v>
      </c>
      <c r="G3534" s="2" t="s">
        <v>12</v>
      </c>
      <c r="H3534" s="2" t="s">
        <v>12</v>
      </c>
      <c r="I3534" s="2" t="s">
        <v>12</v>
      </c>
      <c r="J3534" s="2" t="s">
        <v>12</v>
      </c>
      <c r="K3534" s="2" t="s">
        <v>12</v>
      </c>
    </row>
    <row r="3535" spans="1:11" ht="12.5" x14ac:dyDescent="0.25">
      <c r="A3535" s="3" t="e">
        <f ca="1"/>
        <v>#NAME?</v>
      </c>
      <c r="B3535" s="2" t="s">
        <v>12</v>
      </c>
      <c r="C3535" s="2" t="s">
        <v>12</v>
      </c>
      <c r="D3535" s="2" t="s">
        <v>12</v>
      </c>
      <c r="E3535" s="2" t="s">
        <v>12</v>
      </c>
      <c r="F3535" s="2" t="s">
        <v>12</v>
      </c>
      <c r="G3535" s="2" t="s">
        <v>12</v>
      </c>
      <c r="H3535" s="2" t="s">
        <v>12</v>
      </c>
      <c r="I3535" s="2" t="s">
        <v>12</v>
      </c>
      <c r="J3535" s="2" t="s">
        <v>12</v>
      </c>
      <c r="K3535" s="2" t="s">
        <v>12</v>
      </c>
    </row>
    <row r="3536" spans="1:11" ht="12.5" x14ac:dyDescent="0.25">
      <c r="A3536" s="3" t="e">
        <f ca="1"/>
        <v>#NAME?</v>
      </c>
      <c r="B3536" s="2" t="s">
        <v>12</v>
      </c>
      <c r="C3536" s="2" t="s">
        <v>12</v>
      </c>
      <c r="D3536" s="2" t="s">
        <v>12</v>
      </c>
      <c r="E3536" s="2" t="s">
        <v>12</v>
      </c>
      <c r="F3536" s="2" t="s">
        <v>12</v>
      </c>
      <c r="G3536" s="2" t="s">
        <v>12</v>
      </c>
      <c r="H3536" s="2" t="s">
        <v>12</v>
      </c>
      <c r="I3536" s="2" t="s">
        <v>12</v>
      </c>
      <c r="J3536" s="2" t="s">
        <v>12</v>
      </c>
      <c r="K3536" s="2" t="s">
        <v>12</v>
      </c>
    </row>
    <row r="3537" spans="1:11" ht="12.5" x14ac:dyDescent="0.25">
      <c r="A3537" s="3" t="e">
        <f ca="1"/>
        <v>#NAME?</v>
      </c>
      <c r="B3537" s="2" t="s">
        <v>12</v>
      </c>
      <c r="C3537" s="2" t="s">
        <v>12</v>
      </c>
      <c r="D3537" s="2" t="s">
        <v>12</v>
      </c>
      <c r="E3537" s="2" t="s">
        <v>12</v>
      </c>
      <c r="F3537" s="2" t="s">
        <v>12</v>
      </c>
      <c r="G3537" s="2" t="s">
        <v>12</v>
      </c>
      <c r="H3537" s="2" t="s">
        <v>12</v>
      </c>
      <c r="I3537" s="2" t="s">
        <v>12</v>
      </c>
      <c r="J3537" s="2" t="s">
        <v>12</v>
      </c>
      <c r="K3537" s="2" t="s">
        <v>12</v>
      </c>
    </row>
    <row r="3538" spans="1:11" ht="12.5" x14ac:dyDescent="0.25">
      <c r="A3538" s="3" t="e">
        <f ca="1"/>
        <v>#NAME?</v>
      </c>
      <c r="B3538" s="2" t="s">
        <v>12</v>
      </c>
      <c r="C3538" s="2" t="s">
        <v>12</v>
      </c>
      <c r="D3538" s="2" t="s">
        <v>12</v>
      </c>
      <c r="E3538" s="2" t="s">
        <v>12</v>
      </c>
      <c r="F3538" s="2" t="s">
        <v>12</v>
      </c>
      <c r="G3538" s="2" t="s">
        <v>12</v>
      </c>
      <c r="H3538" s="2" t="s">
        <v>12</v>
      </c>
      <c r="I3538" s="2" t="s">
        <v>12</v>
      </c>
      <c r="J3538" s="2" t="s">
        <v>12</v>
      </c>
      <c r="K3538" s="2" t="s">
        <v>12</v>
      </c>
    </row>
    <row r="3539" spans="1:11" ht="12.5" x14ac:dyDescent="0.25">
      <c r="A3539" s="3" t="e">
        <f ca="1"/>
        <v>#NAME?</v>
      </c>
      <c r="B3539" s="2" t="s">
        <v>12</v>
      </c>
      <c r="C3539" s="2" t="s">
        <v>12</v>
      </c>
      <c r="D3539" s="2" t="s">
        <v>12</v>
      </c>
      <c r="E3539" s="2" t="s">
        <v>12</v>
      </c>
      <c r="F3539" s="2" t="s">
        <v>12</v>
      </c>
      <c r="G3539" s="2" t="s">
        <v>12</v>
      </c>
      <c r="H3539" s="2" t="s">
        <v>12</v>
      </c>
      <c r="I3539" s="2" t="s">
        <v>12</v>
      </c>
      <c r="J3539" s="2" t="s">
        <v>12</v>
      </c>
      <c r="K3539" s="2" t="s">
        <v>12</v>
      </c>
    </row>
    <row r="3540" spans="1:11" ht="12.5" x14ac:dyDescent="0.25">
      <c r="A3540" s="3" t="e">
        <f ca="1"/>
        <v>#NAME?</v>
      </c>
      <c r="B3540" s="2" t="s">
        <v>12</v>
      </c>
      <c r="C3540" s="2" t="s">
        <v>12</v>
      </c>
      <c r="D3540" s="2" t="s">
        <v>12</v>
      </c>
      <c r="E3540" s="2" t="s">
        <v>12</v>
      </c>
      <c r="F3540" s="2" t="s">
        <v>12</v>
      </c>
      <c r="G3540" s="2" t="s">
        <v>12</v>
      </c>
      <c r="H3540" s="2" t="s">
        <v>12</v>
      </c>
      <c r="I3540" s="2" t="s">
        <v>12</v>
      </c>
      <c r="J3540" s="2" t="s">
        <v>12</v>
      </c>
      <c r="K3540" s="2" t="s">
        <v>12</v>
      </c>
    </row>
    <row r="3541" spans="1:11" ht="12.5" x14ac:dyDescent="0.25">
      <c r="A3541" s="3" t="e">
        <f ca="1"/>
        <v>#NAME?</v>
      </c>
      <c r="B3541" s="2" t="s">
        <v>12</v>
      </c>
      <c r="C3541" s="2" t="s">
        <v>12</v>
      </c>
      <c r="D3541" s="2" t="s">
        <v>12</v>
      </c>
      <c r="E3541" s="2" t="s">
        <v>12</v>
      </c>
      <c r="F3541" s="2" t="s">
        <v>12</v>
      </c>
      <c r="G3541" s="2" t="s">
        <v>12</v>
      </c>
      <c r="H3541" s="2" t="s">
        <v>12</v>
      </c>
      <c r="I3541" s="2" t="s">
        <v>12</v>
      </c>
      <c r="J3541" s="2" t="s">
        <v>12</v>
      </c>
      <c r="K3541" s="2" t="s">
        <v>12</v>
      </c>
    </row>
    <row r="3542" spans="1:11" ht="12.5" x14ac:dyDescent="0.25">
      <c r="A3542" s="3" t="e">
        <f ca="1"/>
        <v>#NAME?</v>
      </c>
      <c r="B3542" s="2" t="s">
        <v>12</v>
      </c>
      <c r="C3542" s="2" t="s">
        <v>12</v>
      </c>
      <c r="D3542" s="2" t="s">
        <v>12</v>
      </c>
      <c r="E3542" s="2" t="s">
        <v>12</v>
      </c>
      <c r="F3542" s="2" t="s">
        <v>12</v>
      </c>
      <c r="G3542" s="2" t="s">
        <v>12</v>
      </c>
      <c r="H3542" s="2" t="s">
        <v>12</v>
      </c>
      <c r="I3542" s="2" t="s">
        <v>12</v>
      </c>
      <c r="J3542" s="2" t="s">
        <v>12</v>
      </c>
      <c r="K3542" s="2" t="s">
        <v>12</v>
      </c>
    </row>
    <row r="3543" spans="1:11" ht="12.5" x14ac:dyDescent="0.25">
      <c r="A3543" s="3" t="e">
        <f ca="1"/>
        <v>#NAME?</v>
      </c>
      <c r="B3543" s="2" t="s">
        <v>12</v>
      </c>
      <c r="C3543" s="2" t="s">
        <v>12</v>
      </c>
      <c r="D3543" s="2" t="s">
        <v>12</v>
      </c>
      <c r="E3543" s="2" t="s">
        <v>12</v>
      </c>
      <c r="F3543" s="2" t="s">
        <v>12</v>
      </c>
      <c r="G3543" s="2" t="s">
        <v>12</v>
      </c>
      <c r="H3543" s="2" t="s">
        <v>12</v>
      </c>
      <c r="I3543" s="2" t="s">
        <v>12</v>
      </c>
      <c r="J3543" s="2" t="s">
        <v>12</v>
      </c>
      <c r="K3543" s="2" t="s">
        <v>12</v>
      </c>
    </row>
    <row r="3544" spans="1:11" ht="12.5" x14ac:dyDescent="0.25">
      <c r="A3544" s="3" t="e">
        <f ca="1"/>
        <v>#NAME?</v>
      </c>
      <c r="B3544" s="2" t="s">
        <v>12</v>
      </c>
      <c r="C3544" s="2" t="s">
        <v>12</v>
      </c>
      <c r="D3544" s="2" t="s">
        <v>12</v>
      </c>
      <c r="E3544" s="2" t="s">
        <v>12</v>
      </c>
      <c r="F3544" s="2" t="s">
        <v>12</v>
      </c>
      <c r="G3544" s="2" t="s">
        <v>12</v>
      </c>
      <c r="H3544" s="2" t="s">
        <v>12</v>
      </c>
      <c r="I3544" s="2" t="s">
        <v>12</v>
      </c>
      <c r="J3544" s="2" t="s">
        <v>12</v>
      </c>
      <c r="K3544" s="2" t="s">
        <v>12</v>
      </c>
    </row>
    <row r="3545" spans="1:11" ht="12.5" x14ac:dyDescent="0.25">
      <c r="A3545" s="3" t="e">
        <f ca="1"/>
        <v>#NAME?</v>
      </c>
      <c r="B3545" s="2" t="s">
        <v>12</v>
      </c>
      <c r="C3545" s="2" t="s">
        <v>12</v>
      </c>
      <c r="D3545" s="2" t="s">
        <v>12</v>
      </c>
      <c r="E3545" s="2" t="s">
        <v>12</v>
      </c>
      <c r="F3545" s="2" t="s">
        <v>12</v>
      </c>
      <c r="G3545" s="2" t="s">
        <v>12</v>
      </c>
      <c r="H3545" s="2" t="s">
        <v>12</v>
      </c>
      <c r="I3545" s="2" t="s">
        <v>12</v>
      </c>
      <c r="J3545" s="2" t="s">
        <v>12</v>
      </c>
      <c r="K3545" s="2" t="s">
        <v>12</v>
      </c>
    </row>
    <row r="3546" spans="1:11" ht="12.5" x14ac:dyDescent="0.25">
      <c r="A3546" s="3" t="e">
        <f ca="1"/>
        <v>#NAME?</v>
      </c>
      <c r="B3546" s="2" t="s">
        <v>12</v>
      </c>
      <c r="C3546" s="2" t="s">
        <v>12</v>
      </c>
      <c r="D3546" s="2" t="s">
        <v>12</v>
      </c>
      <c r="E3546" s="2" t="s">
        <v>12</v>
      </c>
      <c r="F3546" s="2" t="s">
        <v>12</v>
      </c>
      <c r="G3546" s="2" t="s">
        <v>12</v>
      </c>
      <c r="H3546" s="2" t="s">
        <v>12</v>
      </c>
      <c r="I3546" s="2" t="s">
        <v>12</v>
      </c>
      <c r="J3546" s="2" t="s">
        <v>12</v>
      </c>
      <c r="K3546" s="2" t="s">
        <v>12</v>
      </c>
    </row>
    <row r="3547" spans="1:11" ht="12.5" x14ac:dyDescent="0.25">
      <c r="A3547" s="3" t="e">
        <f ca="1"/>
        <v>#NAME?</v>
      </c>
      <c r="B3547" s="2" t="s">
        <v>12</v>
      </c>
      <c r="C3547" s="2" t="s">
        <v>12</v>
      </c>
      <c r="D3547" s="2" t="s">
        <v>12</v>
      </c>
      <c r="E3547" s="2" t="s">
        <v>12</v>
      </c>
      <c r="F3547" s="2" t="s">
        <v>12</v>
      </c>
      <c r="G3547" s="2" t="s">
        <v>12</v>
      </c>
      <c r="H3547" s="2" t="s">
        <v>12</v>
      </c>
      <c r="I3547" s="2" t="s">
        <v>12</v>
      </c>
      <c r="J3547" s="2" t="s">
        <v>12</v>
      </c>
      <c r="K3547" s="2" t="s">
        <v>12</v>
      </c>
    </row>
    <row r="3548" spans="1:11" ht="12.5" x14ac:dyDescent="0.25">
      <c r="A3548" s="3" t="e">
        <f ca="1"/>
        <v>#NAME?</v>
      </c>
      <c r="B3548" s="2" t="s">
        <v>12</v>
      </c>
      <c r="C3548" s="2" t="s">
        <v>12</v>
      </c>
      <c r="D3548" s="2" t="s">
        <v>12</v>
      </c>
      <c r="E3548" s="2" t="s">
        <v>12</v>
      </c>
      <c r="F3548" s="2" t="s">
        <v>12</v>
      </c>
      <c r="G3548" s="2" t="s">
        <v>12</v>
      </c>
      <c r="H3548" s="2" t="s">
        <v>12</v>
      </c>
      <c r="I3548" s="2" t="s">
        <v>12</v>
      </c>
      <c r="J3548" s="2" t="s">
        <v>12</v>
      </c>
      <c r="K3548" s="2" t="s">
        <v>12</v>
      </c>
    </row>
    <row r="3549" spans="1:11" ht="12.5" x14ac:dyDescent="0.25">
      <c r="A3549" s="3" t="e">
        <f ca="1"/>
        <v>#NAME?</v>
      </c>
      <c r="B3549" s="2" t="s">
        <v>12</v>
      </c>
      <c r="C3549" s="2" t="s">
        <v>12</v>
      </c>
      <c r="D3549" s="2" t="s">
        <v>12</v>
      </c>
      <c r="E3549" s="2" t="s">
        <v>12</v>
      </c>
      <c r="F3549" s="2" t="s">
        <v>12</v>
      </c>
      <c r="G3549" s="2" t="s">
        <v>12</v>
      </c>
      <c r="H3549" s="2" t="s">
        <v>12</v>
      </c>
      <c r="I3549" s="2" t="s">
        <v>12</v>
      </c>
      <c r="J3549" s="2" t="s">
        <v>12</v>
      </c>
      <c r="K3549" s="2" t="s">
        <v>12</v>
      </c>
    </row>
    <row r="3550" spans="1:11" ht="12.5" x14ac:dyDescent="0.25">
      <c r="A3550" s="3" t="e">
        <f ca="1"/>
        <v>#NAME?</v>
      </c>
      <c r="B3550" s="2" t="s">
        <v>12</v>
      </c>
      <c r="C3550" s="2" t="s">
        <v>12</v>
      </c>
      <c r="D3550" s="2" t="s">
        <v>12</v>
      </c>
      <c r="E3550" s="2" t="s">
        <v>12</v>
      </c>
      <c r="F3550" s="2" t="s">
        <v>12</v>
      </c>
      <c r="G3550" s="2" t="s">
        <v>12</v>
      </c>
      <c r="H3550" s="2" t="s">
        <v>12</v>
      </c>
      <c r="I3550" s="2" t="s">
        <v>12</v>
      </c>
      <c r="J3550" s="2" t="s">
        <v>12</v>
      </c>
      <c r="K3550" s="2" t="s">
        <v>12</v>
      </c>
    </row>
    <row r="3551" spans="1:11" ht="12.5" x14ac:dyDescent="0.25">
      <c r="A3551" s="3" t="e">
        <f ca="1"/>
        <v>#NAME?</v>
      </c>
      <c r="B3551" s="2" t="s">
        <v>12</v>
      </c>
      <c r="C3551" s="2" t="s">
        <v>12</v>
      </c>
      <c r="D3551" s="2" t="s">
        <v>12</v>
      </c>
      <c r="E3551" s="2" t="s">
        <v>12</v>
      </c>
      <c r="F3551" s="2" t="s">
        <v>12</v>
      </c>
      <c r="G3551" s="2" t="s">
        <v>12</v>
      </c>
      <c r="H3551" s="2" t="s">
        <v>12</v>
      </c>
      <c r="I3551" s="2" t="s">
        <v>12</v>
      </c>
      <c r="J3551" s="2" t="s">
        <v>12</v>
      </c>
      <c r="K3551" s="2" t="s">
        <v>12</v>
      </c>
    </row>
    <row r="3552" spans="1:11" ht="12.5" x14ac:dyDescent="0.25">
      <c r="A3552" s="3" t="e">
        <f ca="1"/>
        <v>#NAME?</v>
      </c>
      <c r="B3552" s="2" t="s">
        <v>12</v>
      </c>
      <c r="C3552" s="2" t="s">
        <v>12</v>
      </c>
      <c r="D3552" s="2" t="s">
        <v>12</v>
      </c>
      <c r="E3552" s="2" t="s">
        <v>12</v>
      </c>
      <c r="F3552" s="2" t="s">
        <v>12</v>
      </c>
      <c r="G3552" s="2" t="s">
        <v>12</v>
      </c>
      <c r="H3552" s="2" t="s">
        <v>12</v>
      </c>
      <c r="I3552" s="2" t="s">
        <v>12</v>
      </c>
      <c r="J3552" s="2" t="s">
        <v>12</v>
      </c>
      <c r="K3552" s="2" t="s">
        <v>12</v>
      </c>
    </row>
    <row r="3553" spans="1:11" ht="12.5" x14ac:dyDescent="0.25">
      <c r="A3553" s="3" t="e">
        <f ca="1"/>
        <v>#NAME?</v>
      </c>
      <c r="B3553" s="2" t="s">
        <v>12</v>
      </c>
      <c r="C3553" s="2" t="s">
        <v>12</v>
      </c>
      <c r="D3553" s="2" t="s">
        <v>12</v>
      </c>
      <c r="E3553" s="2" t="s">
        <v>12</v>
      </c>
      <c r="F3553" s="2" t="s">
        <v>12</v>
      </c>
      <c r="G3553" s="2" t="s">
        <v>12</v>
      </c>
      <c r="H3553" s="2" t="s">
        <v>12</v>
      </c>
      <c r="I3553" s="2" t="s">
        <v>12</v>
      </c>
      <c r="J3553" s="2" t="s">
        <v>12</v>
      </c>
      <c r="K3553" s="2" t="s">
        <v>12</v>
      </c>
    </row>
    <row r="3554" spans="1:11" ht="12.5" x14ac:dyDescent="0.25">
      <c r="A3554" s="3" t="e">
        <f ca="1"/>
        <v>#NAME?</v>
      </c>
      <c r="B3554" s="2" t="s">
        <v>12</v>
      </c>
      <c r="C3554" s="2" t="s">
        <v>12</v>
      </c>
      <c r="D3554" s="2" t="s">
        <v>12</v>
      </c>
      <c r="E3554" s="2" t="s">
        <v>12</v>
      </c>
      <c r="F3554" s="2" t="s">
        <v>12</v>
      </c>
      <c r="G3554" s="2" t="s">
        <v>12</v>
      </c>
      <c r="H3554" s="2" t="s">
        <v>12</v>
      </c>
      <c r="I3554" s="2" t="s">
        <v>12</v>
      </c>
      <c r="J3554" s="2" t="s">
        <v>12</v>
      </c>
      <c r="K3554" s="2" t="s">
        <v>12</v>
      </c>
    </row>
    <row r="3555" spans="1:11" ht="12.5" x14ac:dyDescent="0.25">
      <c r="A3555" s="3" t="e">
        <f ca="1"/>
        <v>#NAME?</v>
      </c>
      <c r="B3555" s="2" t="s">
        <v>12</v>
      </c>
      <c r="C3555" s="2" t="s">
        <v>12</v>
      </c>
      <c r="D3555" s="2" t="s">
        <v>12</v>
      </c>
      <c r="E3555" s="2" t="s">
        <v>12</v>
      </c>
      <c r="F3555" s="2" t="s">
        <v>12</v>
      </c>
      <c r="G3555" s="2" t="s">
        <v>12</v>
      </c>
      <c r="H3555" s="2" t="s">
        <v>12</v>
      </c>
      <c r="I3555" s="2" t="s">
        <v>12</v>
      </c>
      <c r="J3555" s="2" t="s">
        <v>12</v>
      </c>
      <c r="K3555" s="2" t="s">
        <v>12</v>
      </c>
    </row>
    <row r="3556" spans="1:11" ht="12.5" x14ac:dyDescent="0.25">
      <c r="A3556" s="3" t="e">
        <f ca="1"/>
        <v>#NAME?</v>
      </c>
      <c r="B3556" s="2" t="s">
        <v>12</v>
      </c>
      <c r="C3556" s="2" t="s">
        <v>12</v>
      </c>
      <c r="D3556" s="2" t="s">
        <v>12</v>
      </c>
      <c r="E3556" s="2" t="s">
        <v>12</v>
      </c>
      <c r="F3556" s="2" t="s">
        <v>12</v>
      </c>
      <c r="G3556" s="2" t="s">
        <v>12</v>
      </c>
      <c r="H3556" s="2" t="s">
        <v>12</v>
      </c>
      <c r="I3556" s="2" t="s">
        <v>12</v>
      </c>
      <c r="J3556" s="2" t="s">
        <v>12</v>
      </c>
      <c r="K3556" s="2" t="s">
        <v>12</v>
      </c>
    </row>
    <row r="3557" spans="1:11" ht="12.5" x14ac:dyDescent="0.25">
      <c r="A3557" s="3" t="e">
        <f ca="1"/>
        <v>#NAME?</v>
      </c>
      <c r="B3557" s="2" t="s">
        <v>12</v>
      </c>
      <c r="C3557" s="2" t="s">
        <v>12</v>
      </c>
      <c r="D3557" s="2" t="s">
        <v>12</v>
      </c>
      <c r="E3557" s="2" t="s">
        <v>12</v>
      </c>
      <c r="F3557" s="2" t="s">
        <v>12</v>
      </c>
      <c r="G3557" s="2" t="s">
        <v>12</v>
      </c>
      <c r="H3557" s="2" t="s">
        <v>12</v>
      </c>
      <c r="I3557" s="2" t="s">
        <v>12</v>
      </c>
      <c r="J3557" s="2" t="s">
        <v>12</v>
      </c>
      <c r="K3557" s="2" t="s">
        <v>12</v>
      </c>
    </row>
    <row r="3558" spans="1:11" ht="12.5" x14ac:dyDescent="0.25">
      <c r="A3558" s="3" t="e">
        <f ca="1"/>
        <v>#NAME?</v>
      </c>
      <c r="B3558" s="2" t="s">
        <v>12</v>
      </c>
      <c r="C3558" s="2" t="s">
        <v>12</v>
      </c>
      <c r="D3558" s="2" t="s">
        <v>12</v>
      </c>
      <c r="E3558" s="2" t="s">
        <v>12</v>
      </c>
      <c r="F3558" s="2" t="s">
        <v>12</v>
      </c>
      <c r="G3558" s="2" t="s">
        <v>12</v>
      </c>
      <c r="H3558" s="2" t="s">
        <v>12</v>
      </c>
      <c r="I3558" s="2" t="s">
        <v>12</v>
      </c>
      <c r="J3558" s="2" t="s">
        <v>12</v>
      </c>
      <c r="K3558" s="2" t="s">
        <v>12</v>
      </c>
    </row>
    <row r="3559" spans="1:11" ht="12.5" x14ac:dyDescent="0.25">
      <c r="A3559" s="3" t="e">
        <f ca="1"/>
        <v>#NAME?</v>
      </c>
      <c r="B3559" s="2" t="s">
        <v>12</v>
      </c>
      <c r="C3559" s="2" t="s">
        <v>12</v>
      </c>
      <c r="D3559" s="2" t="s">
        <v>12</v>
      </c>
      <c r="E3559" s="2" t="s">
        <v>12</v>
      </c>
      <c r="F3559" s="2" t="s">
        <v>12</v>
      </c>
      <c r="G3559" s="2" t="s">
        <v>12</v>
      </c>
      <c r="H3559" s="2" t="s">
        <v>12</v>
      </c>
      <c r="I3559" s="2" t="s">
        <v>12</v>
      </c>
      <c r="J3559" s="2" t="s">
        <v>12</v>
      </c>
      <c r="K3559" s="2" t="s">
        <v>12</v>
      </c>
    </row>
    <row r="3560" spans="1:11" ht="12.5" x14ac:dyDescent="0.25">
      <c r="A3560" s="3" t="e">
        <f ca="1"/>
        <v>#NAME?</v>
      </c>
      <c r="B3560" s="2" t="s">
        <v>12</v>
      </c>
      <c r="C3560" s="2" t="s">
        <v>12</v>
      </c>
      <c r="D3560" s="2" t="s">
        <v>12</v>
      </c>
      <c r="E3560" s="2" t="s">
        <v>12</v>
      </c>
      <c r="F3560" s="2" t="s">
        <v>12</v>
      </c>
      <c r="G3560" s="2" t="s">
        <v>12</v>
      </c>
      <c r="H3560" s="2" t="s">
        <v>12</v>
      </c>
      <c r="I3560" s="2" t="s">
        <v>12</v>
      </c>
      <c r="J3560" s="2" t="s">
        <v>12</v>
      </c>
      <c r="K3560" s="2" t="s">
        <v>12</v>
      </c>
    </row>
    <row r="3561" spans="1:11" ht="12.5" x14ac:dyDescent="0.25">
      <c r="A3561" s="3" t="e">
        <f ca="1"/>
        <v>#NAME?</v>
      </c>
      <c r="B3561" s="2" t="s">
        <v>12</v>
      </c>
      <c r="C3561" s="2" t="s">
        <v>12</v>
      </c>
      <c r="D3561" s="2" t="s">
        <v>12</v>
      </c>
      <c r="E3561" s="2" t="s">
        <v>12</v>
      </c>
      <c r="F3561" s="2" t="s">
        <v>12</v>
      </c>
      <c r="G3561" s="2" t="s">
        <v>12</v>
      </c>
      <c r="H3561" s="2" t="s">
        <v>12</v>
      </c>
      <c r="I3561" s="2" t="s">
        <v>12</v>
      </c>
      <c r="J3561" s="2" t="s">
        <v>12</v>
      </c>
      <c r="K3561" s="2" t="s">
        <v>12</v>
      </c>
    </row>
    <row r="3562" spans="1:11" ht="12.5" x14ac:dyDescent="0.25">
      <c r="A3562" s="3" t="e">
        <f ca="1"/>
        <v>#NAME?</v>
      </c>
      <c r="B3562" s="2" t="s">
        <v>12</v>
      </c>
      <c r="C3562" s="2" t="s">
        <v>12</v>
      </c>
      <c r="D3562" s="2" t="s">
        <v>12</v>
      </c>
      <c r="E3562" s="2" t="s">
        <v>12</v>
      </c>
      <c r="F3562" s="2" t="s">
        <v>12</v>
      </c>
      <c r="G3562" s="2" t="s">
        <v>12</v>
      </c>
      <c r="H3562" s="2" t="s">
        <v>12</v>
      </c>
      <c r="I3562" s="2" t="s">
        <v>12</v>
      </c>
      <c r="J3562" s="2" t="s">
        <v>12</v>
      </c>
      <c r="K3562" s="2" t="s">
        <v>12</v>
      </c>
    </row>
    <row r="3563" spans="1:11" ht="12.5" x14ac:dyDescent="0.25">
      <c r="A3563" s="3" t="e">
        <f ca="1"/>
        <v>#NAME?</v>
      </c>
      <c r="B3563" s="2" t="s">
        <v>12</v>
      </c>
      <c r="C3563" s="2" t="s">
        <v>12</v>
      </c>
      <c r="D3563" s="2" t="s">
        <v>12</v>
      </c>
      <c r="E3563" s="2" t="s">
        <v>12</v>
      </c>
      <c r="F3563" s="2" t="s">
        <v>12</v>
      </c>
      <c r="G3563" s="2" t="s">
        <v>12</v>
      </c>
      <c r="H3563" s="2" t="s">
        <v>12</v>
      </c>
      <c r="I3563" s="2" t="s">
        <v>12</v>
      </c>
      <c r="J3563" s="2" t="s">
        <v>12</v>
      </c>
      <c r="K3563" s="2" t="s">
        <v>12</v>
      </c>
    </row>
    <row r="3564" spans="1:11" ht="12.5" x14ac:dyDescent="0.25">
      <c r="A3564" s="3" t="e">
        <f ca="1"/>
        <v>#NAME?</v>
      </c>
      <c r="B3564" s="2" t="s">
        <v>12</v>
      </c>
      <c r="C3564" s="2" t="s">
        <v>12</v>
      </c>
      <c r="D3564" s="2" t="s">
        <v>12</v>
      </c>
      <c r="E3564" s="2" t="s">
        <v>12</v>
      </c>
      <c r="F3564" s="2" t="s">
        <v>12</v>
      </c>
      <c r="G3564" s="2" t="s">
        <v>12</v>
      </c>
      <c r="H3564" s="2" t="s">
        <v>12</v>
      </c>
      <c r="I3564" s="2" t="s">
        <v>12</v>
      </c>
      <c r="J3564" s="2" t="s">
        <v>12</v>
      </c>
      <c r="K3564" s="2" t="s">
        <v>12</v>
      </c>
    </row>
    <row r="3565" spans="1:11" ht="12.5" x14ac:dyDescent="0.25">
      <c r="A3565" s="3" t="e">
        <f ca="1"/>
        <v>#NAME?</v>
      </c>
      <c r="B3565" s="2" t="s">
        <v>12</v>
      </c>
      <c r="C3565" s="2" t="s">
        <v>12</v>
      </c>
      <c r="D3565" s="2" t="s">
        <v>12</v>
      </c>
      <c r="E3565" s="2" t="s">
        <v>12</v>
      </c>
      <c r="F3565" s="2" t="s">
        <v>12</v>
      </c>
      <c r="G3565" s="2" t="s">
        <v>12</v>
      </c>
      <c r="H3565" s="2" t="s">
        <v>12</v>
      </c>
      <c r="I3565" s="2" t="s">
        <v>12</v>
      </c>
      <c r="J3565" s="2" t="s">
        <v>12</v>
      </c>
      <c r="K3565" s="2" t="s">
        <v>12</v>
      </c>
    </row>
    <row r="3566" spans="1:11" ht="12.5" x14ac:dyDescent="0.25">
      <c r="A3566" s="3" t="e">
        <f ca="1"/>
        <v>#NAME?</v>
      </c>
      <c r="B3566" s="2" t="s">
        <v>12</v>
      </c>
      <c r="C3566" s="2" t="s">
        <v>12</v>
      </c>
      <c r="D3566" s="2" t="s">
        <v>12</v>
      </c>
      <c r="E3566" s="2" t="s">
        <v>12</v>
      </c>
      <c r="F3566" s="2" t="s">
        <v>12</v>
      </c>
      <c r="G3566" s="2" t="s">
        <v>12</v>
      </c>
      <c r="H3566" s="2" t="s">
        <v>12</v>
      </c>
      <c r="I3566" s="2" t="s">
        <v>12</v>
      </c>
      <c r="J3566" s="2" t="s">
        <v>12</v>
      </c>
      <c r="K3566" s="2" t="s">
        <v>12</v>
      </c>
    </row>
    <row r="3567" spans="1:11" ht="12.5" x14ac:dyDescent="0.25">
      <c r="A3567" s="3" t="e">
        <f ca="1"/>
        <v>#NAME?</v>
      </c>
      <c r="B3567" s="2" t="s">
        <v>12</v>
      </c>
      <c r="C3567" s="2" t="s">
        <v>12</v>
      </c>
      <c r="D3567" s="2" t="s">
        <v>12</v>
      </c>
      <c r="E3567" s="2" t="s">
        <v>12</v>
      </c>
      <c r="F3567" s="2" t="s">
        <v>12</v>
      </c>
      <c r="G3567" s="2" t="s">
        <v>12</v>
      </c>
      <c r="H3567" s="2" t="s">
        <v>12</v>
      </c>
      <c r="I3567" s="2" t="s">
        <v>12</v>
      </c>
      <c r="J3567" s="2" t="s">
        <v>12</v>
      </c>
      <c r="K3567" s="2" t="s">
        <v>12</v>
      </c>
    </row>
    <row r="3568" spans="1:11" ht="12.5" x14ac:dyDescent="0.25">
      <c r="A3568" s="3" t="e">
        <f ca="1"/>
        <v>#NAME?</v>
      </c>
      <c r="B3568" s="2" t="s">
        <v>12</v>
      </c>
      <c r="C3568" s="2" t="s">
        <v>12</v>
      </c>
      <c r="D3568" s="2" t="s">
        <v>12</v>
      </c>
      <c r="E3568" s="2" t="s">
        <v>12</v>
      </c>
      <c r="F3568" s="2" t="s">
        <v>12</v>
      </c>
      <c r="G3568" s="2" t="s">
        <v>12</v>
      </c>
      <c r="H3568" s="2" t="s">
        <v>12</v>
      </c>
      <c r="I3568" s="2" t="s">
        <v>12</v>
      </c>
      <c r="J3568" s="2" t="s">
        <v>12</v>
      </c>
      <c r="K3568" s="2" t="s">
        <v>12</v>
      </c>
    </row>
    <row r="3569" spans="1:11" ht="12.5" x14ac:dyDescent="0.25">
      <c r="A3569" s="3" t="e">
        <f ca="1"/>
        <v>#NAME?</v>
      </c>
      <c r="B3569" s="2" t="s">
        <v>12</v>
      </c>
      <c r="C3569" s="2" t="s">
        <v>12</v>
      </c>
      <c r="D3569" s="2" t="s">
        <v>12</v>
      </c>
      <c r="E3569" s="2" t="s">
        <v>12</v>
      </c>
      <c r="F3569" s="2" t="s">
        <v>12</v>
      </c>
      <c r="G3569" s="2" t="s">
        <v>12</v>
      </c>
      <c r="H3569" s="2" t="s">
        <v>12</v>
      </c>
      <c r="I3569" s="2" t="s">
        <v>12</v>
      </c>
      <c r="J3569" s="2" t="s">
        <v>12</v>
      </c>
      <c r="K3569" s="2" t="s">
        <v>12</v>
      </c>
    </row>
    <row r="3570" spans="1:11" ht="12.5" x14ac:dyDescent="0.25">
      <c r="A3570" s="3" t="e">
        <f ca="1"/>
        <v>#NAME?</v>
      </c>
      <c r="B3570" s="2" t="s">
        <v>12</v>
      </c>
      <c r="C3570" s="2" t="s">
        <v>12</v>
      </c>
      <c r="D3570" s="2" t="s">
        <v>12</v>
      </c>
      <c r="E3570" s="2" t="s">
        <v>12</v>
      </c>
      <c r="F3570" s="2" t="s">
        <v>12</v>
      </c>
      <c r="G3570" s="2" t="s">
        <v>12</v>
      </c>
      <c r="H3570" s="2" t="s">
        <v>12</v>
      </c>
      <c r="I3570" s="2" t="s">
        <v>12</v>
      </c>
      <c r="J3570" s="2" t="s">
        <v>12</v>
      </c>
      <c r="K3570" s="2" t="s">
        <v>12</v>
      </c>
    </row>
    <row r="3571" spans="1:11" ht="12.5" x14ac:dyDescent="0.25">
      <c r="A3571" s="3" t="e">
        <f ca="1"/>
        <v>#NAME?</v>
      </c>
      <c r="B3571" s="2" t="s">
        <v>12</v>
      </c>
      <c r="C3571" s="2" t="s">
        <v>12</v>
      </c>
      <c r="D3571" s="2" t="s">
        <v>12</v>
      </c>
      <c r="E3571" s="2" t="s">
        <v>12</v>
      </c>
      <c r="F3571" s="2" t="s">
        <v>12</v>
      </c>
      <c r="G3571" s="2" t="s">
        <v>12</v>
      </c>
      <c r="H3571" s="2" t="s">
        <v>12</v>
      </c>
      <c r="I3571" s="2" t="s">
        <v>12</v>
      </c>
      <c r="J3571" s="2" t="s">
        <v>12</v>
      </c>
      <c r="K3571" s="2" t="s">
        <v>12</v>
      </c>
    </row>
    <row r="3572" spans="1:11" ht="12.5" x14ac:dyDescent="0.25">
      <c r="A3572" s="3" t="e">
        <f ca="1"/>
        <v>#NAME?</v>
      </c>
      <c r="B3572" s="2" t="s">
        <v>12</v>
      </c>
      <c r="C3572" s="2" t="s">
        <v>12</v>
      </c>
      <c r="D3572" s="2" t="s">
        <v>12</v>
      </c>
      <c r="E3572" s="2" t="s">
        <v>12</v>
      </c>
      <c r="F3572" s="2" t="s">
        <v>12</v>
      </c>
      <c r="G3572" s="2" t="s">
        <v>12</v>
      </c>
      <c r="H3572" s="2" t="s">
        <v>12</v>
      </c>
      <c r="I3572" s="2" t="s">
        <v>12</v>
      </c>
      <c r="J3572" s="2" t="s">
        <v>12</v>
      </c>
      <c r="K3572" s="2" t="s">
        <v>12</v>
      </c>
    </row>
    <row r="3573" spans="1:11" ht="12.5" x14ac:dyDescent="0.25">
      <c r="A3573" s="3" t="e">
        <f ca="1"/>
        <v>#NAME?</v>
      </c>
      <c r="B3573" s="2" t="s">
        <v>12</v>
      </c>
      <c r="C3573" s="2" t="s">
        <v>12</v>
      </c>
      <c r="D3573" s="2" t="s">
        <v>12</v>
      </c>
      <c r="E3573" s="2" t="s">
        <v>12</v>
      </c>
      <c r="F3573" s="2" t="s">
        <v>12</v>
      </c>
      <c r="G3573" s="2" t="s">
        <v>12</v>
      </c>
      <c r="H3573" s="2" t="s">
        <v>12</v>
      </c>
      <c r="I3573" s="2" t="s">
        <v>12</v>
      </c>
      <c r="J3573" s="2" t="s">
        <v>12</v>
      </c>
      <c r="K3573" s="2" t="s">
        <v>12</v>
      </c>
    </row>
    <row r="3574" spans="1:11" ht="12.5" x14ac:dyDescent="0.25">
      <c r="A3574" s="3" t="e">
        <f ca="1"/>
        <v>#NAME?</v>
      </c>
      <c r="B3574" s="2" t="s">
        <v>12</v>
      </c>
      <c r="C3574" s="2" t="s">
        <v>12</v>
      </c>
      <c r="D3574" s="2" t="s">
        <v>12</v>
      </c>
      <c r="E3574" s="2" t="s">
        <v>12</v>
      </c>
      <c r="F3574" s="2" t="s">
        <v>12</v>
      </c>
      <c r="G3574" s="2" t="s">
        <v>12</v>
      </c>
      <c r="H3574" s="2" t="s">
        <v>12</v>
      </c>
      <c r="I3574" s="2" t="s">
        <v>12</v>
      </c>
      <c r="J3574" s="2" t="s">
        <v>12</v>
      </c>
      <c r="K3574" s="2" t="s">
        <v>12</v>
      </c>
    </row>
    <row r="3575" spans="1:11" ht="12.5" x14ac:dyDescent="0.25">
      <c r="A3575" s="3" t="e">
        <f ca="1"/>
        <v>#NAME?</v>
      </c>
      <c r="B3575" s="2" t="s">
        <v>12</v>
      </c>
      <c r="C3575" s="2" t="s">
        <v>12</v>
      </c>
      <c r="D3575" s="2" t="s">
        <v>12</v>
      </c>
      <c r="E3575" s="2" t="s">
        <v>12</v>
      </c>
      <c r="F3575" s="2" t="s">
        <v>12</v>
      </c>
      <c r="G3575" s="2" t="s">
        <v>12</v>
      </c>
      <c r="H3575" s="2" t="s">
        <v>12</v>
      </c>
      <c r="I3575" s="2" t="s">
        <v>12</v>
      </c>
      <c r="J3575" s="2" t="s">
        <v>12</v>
      </c>
      <c r="K3575" s="2" t="s">
        <v>12</v>
      </c>
    </row>
    <row r="3576" spans="1:11" ht="12.5" x14ac:dyDescent="0.25">
      <c r="A3576" s="3" t="e">
        <f ca="1"/>
        <v>#NAME?</v>
      </c>
      <c r="B3576" s="2" t="s">
        <v>12</v>
      </c>
      <c r="C3576" s="2" t="s">
        <v>12</v>
      </c>
      <c r="D3576" s="2" t="s">
        <v>12</v>
      </c>
      <c r="E3576" s="2" t="s">
        <v>12</v>
      </c>
      <c r="F3576" s="2" t="s">
        <v>12</v>
      </c>
      <c r="G3576" s="2" t="s">
        <v>12</v>
      </c>
      <c r="H3576" s="2" t="s">
        <v>12</v>
      </c>
      <c r="I3576" s="2" t="s">
        <v>12</v>
      </c>
      <c r="J3576" s="2" t="s">
        <v>12</v>
      </c>
      <c r="K3576" s="2" t="s">
        <v>12</v>
      </c>
    </row>
    <row r="3577" spans="1:11" ht="12.5" x14ac:dyDescent="0.25">
      <c r="A3577" s="3" t="e">
        <f ca="1"/>
        <v>#NAME?</v>
      </c>
      <c r="B3577" s="2" t="s">
        <v>12</v>
      </c>
      <c r="C3577" s="2" t="s">
        <v>12</v>
      </c>
      <c r="D3577" s="2" t="s">
        <v>12</v>
      </c>
      <c r="E3577" s="2" t="s">
        <v>12</v>
      </c>
      <c r="F3577" s="2" t="s">
        <v>12</v>
      </c>
      <c r="G3577" s="2" t="s">
        <v>12</v>
      </c>
      <c r="H3577" s="2" t="s">
        <v>12</v>
      </c>
      <c r="I3577" s="2" t="s">
        <v>12</v>
      </c>
      <c r="J3577" s="2" t="s">
        <v>12</v>
      </c>
      <c r="K3577" s="2" t="s">
        <v>12</v>
      </c>
    </row>
    <row r="3578" spans="1:11" ht="12.5" x14ac:dyDescent="0.25">
      <c r="A3578" s="3" t="e">
        <f ca="1"/>
        <v>#NAME?</v>
      </c>
      <c r="B3578" s="2" t="s">
        <v>12</v>
      </c>
      <c r="C3578" s="2" t="s">
        <v>12</v>
      </c>
      <c r="D3578" s="2" t="s">
        <v>12</v>
      </c>
      <c r="E3578" s="2" t="s">
        <v>12</v>
      </c>
      <c r="F3578" s="2" t="s">
        <v>12</v>
      </c>
      <c r="G3578" s="2" t="s">
        <v>12</v>
      </c>
      <c r="H3578" s="2" t="s">
        <v>12</v>
      </c>
      <c r="I3578" s="2" t="s">
        <v>12</v>
      </c>
      <c r="J3578" s="2" t="s">
        <v>12</v>
      </c>
      <c r="K3578" s="2" t="s">
        <v>12</v>
      </c>
    </row>
    <row r="3579" spans="1:11" ht="12.5" x14ac:dyDescent="0.25">
      <c r="A3579" s="3" t="e">
        <f ca="1"/>
        <v>#NAME?</v>
      </c>
      <c r="B3579" s="2" t="s">
        <v>12</v>
      </c>
      <c r="C3579" s="2" t="s">
        <v>12</v>
      </c>
      <c r="D3579" s="2" t="s">
        <v>12</v>
      </c>
      <c r="E3579" s="2" t="s">
        <v>12</v>
      </c>
      <c r="F3579" s="2" t="s">
        <v>12</v>
      </c>
      <c r="G3579" s="2" t="s">
        <v>12</v>
      </c>
      <c r="H3579" s="2" t="s">
        <v>12</v>
      </c>
      <c r="I3579" s="2" t="s">
        <v>12</v>
      </c>
      <c r="J3579" s="2" t="s">
        <v>12</v>
      </c>
      <c r="K3579" s="2" t="s">
        <v>12</v>
      </c>
    </row>
    <row r="3580" spans="1:11" ht="12.5" x14ac:dyDescent="0.25">
      <c r="A3580" s="3" t="e">
        <f ca="1"/>
        <v>#NAME?</v>
      </c>
      <c r="B3580" s="2" t="s">
        <v>12</v>
      </c>
      <c r="C3580" s="2" t="s">
        <v>12</v>
      </c>
      <c r="D3580" s="2" t="s">
        <v>12</v>
      </c>
      <c r="E3580" s="2" t="s">
        <v>12</v>
      </c>
      <c r="F3580" s="2" t="s">
        <v>12</v>
      </c>
      <c r="G3580" s="2" t="s">
        <v>12</v>
      </c>
      <c r="H3580" s="2" t="s">
        <v>12</v>
      </c>
      <c r="I3580" s="2" t="s">
        <v>12</v>
      </c>
      <c r="J3580" s="2" t="s">
        <v>12</v>
      </c>
      <c r="K3580" s="2" t="s">
        <v>12</v>
      </c>
    </row>
    <row r="3581" spans="1:11" ht="12.5" x14ac:dyDescent="0.25">
      <c r="A3581" s="3" t="e">
        <f ca="1"/>
        <v>#NAME?</v>
      </c>
      <c r="B3581" s="2" t="s">
        <v>12</v>
      </c>
      <c r="C3581" s="2" t="s">
        <v>12</v>
      </c>
      <c r="D3581" s="2" t="s">
        <v>12</v>
      </c>
      <c r="E3581" s="2" t="s">
        <v>12</v>
      </c>
      <c r="F3581" s="2" t="s">
        <v>12</v>
      </c>
      <c r="G3581" s="2" t="s">
        <v>12</v>
      </c>
      <c r="H3581" s="2" t="s">
        <v>12</v>
      </c>
      <c r="I3581" s="2" t="s">
        <v>12</v>
      </c>
      <c r="J3581" s="2" t="s">
        <v>12</v>
      </c>
      <c r="K3581" s="2" t="s">
        <v>12</v>
      </c>
    </row>
    <row r="3582" spans="1:11" ht="12.5" x14ac:dyDescent="0.25">
      <c r="A3582" s="3" t="e">
        <f ca="1"/>
        <v>#NAME?</v>
      </c>
      <c r="B3582" s="2" t="s">
        <v>12</v>
      </c>
      <c r="C3582" s="2" t="s">
        <v>12</v>
      </c>
      <c r="D3582" s="2" t="s">
        <v>12</v>
      </c>
      <c r="E3582" s="2" t="s">
        <v>12</v>
      </c>
      <c r="F3582" s="2" t="s">
        <v>12</v>
      </c>
      <c r="G3582" s="2" t="s">
        <v>12</v>
      </c>
      <c r="H3582" s="2" t="s">
        <v>12</v>
      </c>
      <c r="I3582" s="2" t="s">
        <v>12</v>
      </c>
      <c r="J3582" s="2" t="s">
        <v>12</v>
      </c>
      <c r="K3582" s="2" t="s">
        <v>12</v>
      </c>
    </row>
    <row r="3583" spans="1:11" ht="12.5" x14ac:dyDescent="0.25">
      <c r="A3583" s="3" t="e">
        <f ca="1"/>
        <v>#NAME?</v>
      </c>
      <c r="B3583" s="2" t="s">
        <v>12</v>
      </c>
      <c r="C3583" s="2" t="s">
        <v>12</v>
      </c>
      <c r="D3583" s="2" t="s">
        <v>12</v>
      </c>
      <c r="E3583" s="2" t="s">
        <v>12</v>
      </c>
      <c r="F3583" s="2" t="s">
        <v>12</v>
      </c>
      <c r="G3583" s="2" t="s">
        <v>12</v>
      </c>
      <c r="H3583" s="2" t="s">
        <v>12</v>
      </c>
      <c r="I3583" s="2" t="s">
        <v>12</v>
      </c>
      <c r="J3583" s="2" t="s">
        <v>12</v>
      </c>
      <c r="K3583" s="2" t="s">
        <v>12</v>
      </c>
    </row>
    <row r="3584" spans="1:11" ht="12.5" x14ac:dyDescent="0.25">
      <c r="A3584" s="3" t="e">
        <f ca="1"/>
        <v>#NAME?</v>
      </c>
      <c r="B3584" s="2" t="s">
        <v>12</v>
      </c>
      <c r="C3584" s="2" t="s">
        <v>12</v>
      </c>
      <c r="D3584" s="2" t="s">
        <v>12</v>
      </c>
      <c r="E3584" s="2" t="s">
        <v>12</v>
      </c>
      <c r="F3584" s="2" t="s">
        <v>12</v>
      </c>
      <c r="G3584" s="2" t="s">
        <v>12</v>
      </c>
      <c r="H3584" s="2" t="s">
        <v>12</v>
      </c>
      <c r="I3584" s="2" t="s">
        <v>12</v>
      </c>
      <c r="J3584" s="2" t="s">
        <v>12</v>
      </c>
      <c r="K3584" s="2" t="s">
        <v>12</v>
      </c>
    </row>
    <row r="3585" spans="1:11" ht="12.5" x14ac:dyDescent="0.25">
      <c r="A3585" s="3" t="e">
        <f ca="1"/>
        <v>#NAME?</v>
      </c>
      <c r="B3585" s="2" t="s">
        <v>12</v>
      </c>
      <c r="C3585" s="2" t="s">
        <v>12</v>
      </c>
      <c r="D3585" s="2" t="s">
        <v>12</v>
      </c>
      <c r="E3585" s="2" t="s">
        <v>12</v>
      </c>
      <c r="F3585" s="2" t="s">
        <v>12</v>
      </c>
      <c r="G3585" s="2" t="s">
        <v>12</v>
      </c>
      <c r="H3585" s="2" t="s">
        <v>12</v>
      </c>
      <c r="I3585" s="2" t="s">
        <v>12</v>
      </c>
      <c r="J3585" s="2" t="s">
        <v>12</v>
      </c>
      <c r="K3585" s="2" t="s">
        <v>12</v>
      </c>
    </row>
    <row r="3586" spans="1:11" ht="12.5" x14ac:dyDescent="0.25">
      <c r="A3586" s="3" t="e">
        <f ca="1"/>
        <v>#NAME?</v>
      </c>
      <c r="B3586" s="2" t="s">
        <v>12</v>
      </c>
      <c r="C3586" s="2" t="s">
        <v>12</v>
      </c>
      <c r="D3586" s="2" t="s">
        <v>12</v>
      </c>
      <c r="E3586" s="2" t="s">
        <v>12</v>
      </c>
      <c r="F3586" s="2" t="s">
        <v>12</v>
      </c>
      <c r="G3586" s="2" t="s">
        <v>12</v>
      </c>
      <c r="H3586" s="2" t="s">
        <v>12</v>
      </c>
      <c r="I3586" s="2" t="s">
        <v>12</v>
      </c>
      <c r="J3586" s="2" t="s">
        <v>12</v>
      </c>
      <c r="K3586" s="2" t="s">
        <v>12</v>
      </c>
    </row>
    <row r="3587" spans="1:11" ht="12.5" x14ac:dyDescent="0.25">
      <c r="A3587" s="3" t="e">
        <f ca="1"/>
        <v>#NAME?</v>
      </c>
      <c r="B3587" s="2" t="s">
        <v>12</v>
      </c>
      <c r="C3587" s="2" t="s">
        <v>12</v>
      </c>
      <c r="D3587" s="2" t="s">
        <v>12</v>
      </c>
      <c r="E3587" s="2" t="s">
        <v>12</v>
      </c>
      <c r="F3587" s="2" t="s">
        <v>12</v>
      </c>
      <c r="G3587" s="2" t="s">
        <v>12</v>
      </c>
      <c r="H3587" s="2" t="s">
        <v>12</v>
      </c>
      <c r="I3587" s="2" t="s">
        <v>12</v>
      </c>
      <c r="J3587" s="2" t="s">
        <v>12</v>
      </c>
      <c r="K3587" s="2" t="s">
        <v>12</v>
      </c>
    </row>
    <row r="3588" spans="1:11" ht="12.5" x14ac:dyDescent="0.25">
      <c r="A3588" s="3" t="e">
        <f ca="1"/>
        <v>#NAME?</v>
      </c>
      <c r="B3588" s="2" t="s">
        <v>12</v>
      </c>
      <c r="C3588" s="2" t="s">
        <v>12</v>
      </c>
      <c r="D3588" s="2" t="s">
        <v>12</v>
      </c>
      <c r="E3588" s="2" t="s">
        <v>12</v>
      </c>
      <c r="F3588" s="2" t="s">
        <v>12</v>
      </c>
      <c r="G3588" s="2" t="s">
        <v>12</v>
      </c>
      <c r="H3588" s="2" t="s">
        <v>12</v>
      </c>
      <c r="I3588" s="2" t="s">
        <v>12</v>
      </c>
      <c r="J3588" s="2" t="s">
        <v>12</v>
      </c>
      <c r="K3588" s="2" t="s">
        <v>12</v>
      </c>
    </row>
    <row r="3589" spans="1:11" ht="12.5" x14ac:dyDescent="0.25">
      <c r="A3589" s="3" t="e">
        <f ca="1"/>
        <v>#NAME?</v>
      </c>
      <c r="B3589" s="2" t="s">
        <v>12</v>
      </c>
      <c r="C3589" s="2" t="s">
        <v>12</v>
      </c>
      <c r="D3589" s="2" t="s">
        <v>12</v>
      </c>
      <c r="E3589" s="2" t="s">
        <v>12</v>
      </c>
      <c r="F3589" s="2" t="s">
        <v>12</v>
      </c>
      <c r="G3589" s="2" t="s">
        <v>12</v>
      </c>
      <c r="H3589" s="2" t="s">
        <v>12</v>
      </c>
      <c r="I3589" s="2" t="s">
        <v>12</v>
      </c>
      <c r="J3589" s="2" t="s">
        <v>12</v>
      </c>
      <c r="K3589" s="2" t="s">
        <v>12</v>
      </c>
    </row>
    <row r="3590" spans="1:11" ht="12.5" x14ac:dyDescent="0.25">
      <c r="A3590" s="3" t="e">
        <f ca="1"/>
        <v>#NAME?</v>
      </c>
      <c r="B3590" s="2" t="s">
        <v>12</v>
      </c>
      <c r="C3590" s="2" t="s">
        <v>12</v>
      </c>
      <c r="D3590" s="2" t="s">
        <v>12</v>
      </c>
      <c r="E3590" s="2" t="s">
        <v>12</v>
      </c>
      <c r="F3590" s="2" t="s">
        <v>12</v>
      </c>
      <c r="G3590" s="2" t="s">
        <v>12</v>
      </c>
      <c r="H3590" s="2" t="s">
        <v>12</v>
      </c>
      <c r="I3590" s="2" t="s">
        <v>12</v>
      </c>
      <c r="J3590" s="2" t="s">
        <v>12</v>
      </c>
      <c r="K3590" s="2" t="s">
        <v>12</v>
      </c>
    </row>
    <row r="3591" spans="1:11" ht="12.5" x14ac:dyDescent="0.25">
      <c r="A3591" s="3" t="e">
        <f ca="1"/>
        <v>#NAME?</v>
      </c>
      <c r="B3591" s="2" t="s">
        <v>12</v>
      </c>
      <c r="C3591" s="2" t="s">
        <v>12</v>
      </c>
      <c r="D3591" s="2" t="s">
        <v>12</v>
      </c>
      <c r="E3591" s="2" t="s">
        <v>12</v>
      </c>
      <c r="F3591" s="2" t="s">
        <v>12</v>
      </c>
      <c r="G3591" s="2" t="s">
        <v>12</v>
      </c>
      <c r="H3591" s="2" t="s">
        <v>12</v>
      </c>
      <c r="I3591" s="2" t="s">
        <v>12</v>
      </c>
      <c r="J3591" s="2" t="s">
        <v>12</v>
      </c>
      <c r="K3591" s="2" t="s">
        <v>12</v>
      </c>
    </row>
    <row r="3592" spans="1:11" ht="12.5" x14ac:dyDescent="0.25">
      <c r="A3592" s="3" t="e">
        <f ca="1"/>
        <v>#NAME?</v>
      </c>
      <c r="B3592" s="2" t="s">
        <v>12</v>
      </c>
      <c r="C3592" s="2" t="s">
        <v>12</v>
      </c>
      <c r="D3592" s="2" t="s">
        <v>12</v>
      </c>
      <c r="E3592" s="2" t="s">
        <v>12</v>
      </c>
      <c r="F3592" s="2" t="s">
        <v>12</v>
      </c>
      <c r="G3592" s="2" t="s">
        <v>12</v>
      </c>
      <c r="H3592" s="2" t="s">
        <v>12</v>
      </c>
      <c r="I3592" s="2" t="s">
        <v>12</v>
      </c>
      <c r="J3592" s="2" t="s">
        <v>12</v>
      </c>
      <c r="K3592" s="2" t="s">
        <v>12</v>
      </c>
    </row>
    <row r="3593" spans="1:11" ht="12.5" x14ac:dyDescent="0.25">
      <c r="A3593" s="3" t="e">
        <f ca="1"/>
        <v>#NAME?</v>
      </c>
      <c r="B3593" s="2" t="s">
        <v>12</v>
      </c>
      <c r="C3593" s="2" t="s">
        <v>12</v>
      </c>
      <c r="D3593" s="2" t="s">
        <v>12</v>
      </c>
      <c r="E3593" s="2" t="s">
        <v>12</v>
      </c>
      <c r="F3593" s="2" t="s">
        <v>12</v>
      </c>
      <c r="G3593" s="2" t="s">
        <v>12</v>
      </c>
      <c r="H3593" s="2" t="s">
        <v>12</v>
      </c>
      <c r="I3593" s="2" t="s">
        <v>12</v>
      </c>
      <c r="J3593" s="2" t="s">
        <v>12</v>
      </c>
      <c r="K3593" s="2" t="s">
        <v>12</v>
      </c>
    </row>
    <row r="3594" spans="1:11" ht="12.5" x14ac:dyDescent="0.25">
      <c r="A3594" s="3" t="e">
        <f ca="1"/>
        <v>#NAME?</v>
      </c>
      <c r="B3594" s="2" t="s">
        <v>12</v>
      </c>
      <c r="C3594" s="2" t="s">
        <v>12</v>
      </c>
      <c r="D3594" s="2" t="s">
        <v>12</v>
      </c>
      <c r="E3594" s="2" t="s">
        <v>12</v>
      </c>
      <c r="F3594" s="2" t="s">
        <v>12</v>
      </c>
      <c r="G3594" s="2" t="s">
        <v>12</v>
      </c>
      <c r="H3594" s="2" t="s">
        <v>12</v>
      </c>
      <c r="I3594" s="2" t="s">
        <v>12</v>
      </c>
      <c r="J3594" s="2" t="s">
        <v>12</v>
      </c>
      <c r="K3594" s="2" t="s">
        <v>12</v>
      </c>
    </row>
    <row r="3595" spans="1:11" ht="12.5" x14ac:dyDescent="0.25">
      <c r="A3595" s="3" t="e">
        <f ca="1"/>
        <v>#NAME?</v>
      </c>
      <c r="B3595" s="2" t="s">
        <v>12</v>
      </c>
      <c r="C3595" s="2" t="s">
        <v>12</v>
      </c>
      <c r="D3595" s="2" t="s">
        <v>12</v>
      </c>
      <c r="E3595" s="2" t="s">
        <v>12</v>
      </c>
      <c r="F3595" s="2" t="s">
        <v>12</v>
      </c>
      <c r="G3595" s="2" t="s">
        <v>12</v>
      </c>
      <c r="H3595" s="2" t="s">
        <v>12</v>
      </c>
      <c r="I3595" s="2" t="s">
        <v>12</v>
      </c>
      <c r="J3595" s="2" t="s">
        <v>12</v>
      </c>
      <c r="K3595" s="2" t="s">
        <v>12</v>
      </c>
    </row>
    <row r="3596" spans="1:11" ht="12.5" x14ac:dyDescent="0.25">
      <c r="A3596" s="3" t="e">
        <f ca="1"/>
        <v>#NAME?</v>
      </c>
      <c r="B3596" s="2" t="s">
        <v>12</v>
      </c>
      <c r="C3596" s="2" t="s">
        <v>12</v>
      </c>
      <c r="D3596" s="2" t="s">
        <v>12</v>
      </c>
      <c r="E3596" s="2" t="s">
        <v>12</v>
      </c>
      <c r="F3596" s="2" t="s">
        <v>12</v>
      </c>
      <c r="G3596" s="2" t="s">
        <v>12</v>
      </c>
      <c r="H3596" s="2" t="s">
        <v>12</v>
      </c>
      <c r="I3596" s="2" t="s">
        <v>12</v>
      </c>
      <c r="J3596" s="2" t="s">
        <v>12</v>
      </c>
      <c r="K3596" s="2" t="s">
        <v>12</v>
      </c>
    </row>
    <row r="3597" spans="1:11" ht="12.5" x14ac:dyDescent="0.25">
      <c r="A3597" s="3" t="e">
        <f ca="1"/>
        <v>#NAME?</v>
      </c>
      <c r="B3597" s="2" t="s">
        <v>12</v>
      </c>
      <c r="C3597" s="2" t="s">
        <v>12</v>
      </c>
      <c r="D3597" s="2" t="s">
        <v>12</v>
      </c>
      <c r="E3597" s="2" t="s">
        <v>12</v>
      </c>
      <c r="F3597" s="2" t="s">
        <v>12</v>
      </c>
      <c r="G3597" s="2" t="s">
        <v>12</v>
      </c>
      <c r="H3597" s="2" t="s">
        <v>12</v>
      </c>
      <c r="I3597" s="2" t="s">
        <v>12</v>
      </c>
      <c r="J3597" s="2" t="s">
        <v>12</v>
      </c>
      <c r="K3597" s="2" t="s">
        <v>12</v>
      </c>
    </row>
    <row r="3598" spans="1:11" ht="12.5" x14ac:dyDescent="0.25">
      <c r="A3598" s="3" t="e">
        <f ca="1"/>
        <v>#NAME?</v>
      </c>
      <c r="B3598" s="2" t="s">
        <v>12</v>
      </c>
      <c r="C3598" s="2" t="s">
        <v>12</v>
      </c>
      <c r="D3598" s="2" t="s">
        <v>12</v>
      </c>
      <c r="E3598" s="2" t="s">
        <v>12</v>
      </c>
      <c r="F3598" s="2" t="s">
        <v>12</v>
      </c>
      <c r="G3598" s="2" t="s">
        <v>12</v>
      </c>
      <c r="H3598" s="2" t="s">
        <v>12</v>
      </c>
      <c r="I3598" s="2" t="s">
        <v>12</v>
      </c>
      <c r="J3598" s="2" t="s">
        <v>12</v>
      </c>
      <c r="K3598" s="2" t="s">
        <v>12</v>
      </c>
    </row>
    <row r="3599" spans="1:11" ht="12.5" x14ac:dyDescent="0.25">
      <c r="A3599" s="3" t="e">
        <f ca="1"/>
        <v>#NAME?</v>
      </c>
      <c r="B3599" s="2" t="s">
        <v>12</v>
      </c>
      <c r="C3599" s="2" t="s">
        <v>12</v>
      </c>
      <c r="D3599" s="2" t="s">
        <v>12</v>
      </c>
      <c r="E3599" s="2" t="s">
        <v>12</v>
      </c>
      <c r="F3599" s="2" t="s">
        <v>12</v>
      </c>
      <c r="G3599" s="2" t="s">
        <v>12</v>
      </c>
      <c r="H3599" s="2" t="s">
        <v>12</v>
      </c>
      <c r="I3599" s="2" t="s">
        <v>12</v>
      </c>
      <c r="J3599" s="2" t="s">
        <v>12</v>
      </c>
      <c r="K3599" s="2" t="s">
        <v>12</v>
      </c>
    </row>
    <row r="3600" spans="1:11" ht="12.5" x14ac:dyDescent="0.25">
      <c r="A3600" s="3" t="e">
        <f ca="1"/>
        <v>#NAME?</v>
      </c>
      <c r="B3600" s="2" t="s">
        <v>12</v>
      </c>
      <c r="C3600" s="2" t="s">
        <v>12</v>
      </c>
      <c r="D3600" s="2" t="s">
        <v>12</v>
      </c>
      <c r="E3600" s="2" t="s">
        <v>12</v>
      </c>
      <c r="F3600" s="2" t="s">
        <v>12</v>
      </c>
      <c r="G3600" s="2" t="s">
        <v>12</v>
      </c>
      <c r="H3600" s="2" t="s">
        <v>12</v>
      </c>
      <c r="I3600" s="2" t="s">
        <v>12</v>
      </c>
      <c r="J3600" s="2" t="s">
        <v>12</v>
      </c>
      <c r="K3600" s="2" t="s">
        <v>12</v>
      </c>
    </row>
    <row r="3601" spans="1:11" ht="12.5" x14ac:dyDescent="0.25">
      <c r="A3601" s="3" t="e">
        <f ca="1"/>
        <v>#NAME?</v>
      </c>
      <c r="B3601" s="2" t="s">
        <v>12</v>
      </c>
      <c r="C3601" s="2" t="s">
        <v>12</v>
      </c>
      <c r="D3601" s="2" t="s">
        <v>12</v>
      </c>
      <c r="E3601" s="2" t="s">
        <v>12</v>
      </c>
      <c r="F3601" s="2" t="s">
        <v>12</v>
      </c>
      <c r="G3601" s="2" t="s">
        <v>12</v>
      </c>
      <c r="H3601" s="2" t="s">
        <v>12</v>
      </c>
      <c r="I3601" s="2" t="s">
        <v>12</v>
      </c>
      <c r="J3601" s="2" t="s">
        <v>12</v>
      </c>
      <c r="K3601" s="2" t="s">
        <v>12</v>
      </c>
    </row>
    <row r="3602" spans="1:11" ht="12.5" x14ac:dyDescent="0.25">
      <c r="A3602" s="3" t="e">
        <f ca="1"/>
        <v>#NAME?</v>
      </c>
      <c r="B3602" s="2" t="s">
        <v>12</v>
      </c>
      <c r="C3602" s="2" t="s">
        <v>12</v>
      </c>
      <c r="D3602" s="2" t="s">
        <v>12</v>
      </c>
      <c r="E3602" s="2" t="s">
        <v>12</v>
      </c>
      <c r="F3602" s="2" t="s">
        <v>12</v>
      </c>
      <c r="G3602" s="2" t="s">
        <v>12</v>
      </c>
      <c r="H3602" s="2" t="s">
        <v>12</v>
      </c>
      <c r="I3602" s="2" t="s">
        <v>12</v>
      </c>
      <c r="J3602" s="2" t="s">
        <v>12</v>
      </c>
      <c r="K3602" s="2" t="s">
        <v>12</v>
      </c>
    </row>
    <row r="3603" spans="1:11" ht="12.5" x14ac:dyDescent="0.25">
      <c r="A3603" s="3" t="e">
        <f ca="1"/>
        <v>#NAME?</v>
      </c>
      <c r="B3603" s="2" t="s">
        <v>12</v>
      </c>
      <c r="C3603" s="2" t="s">
        <v>12</v>
      </c>
      <c r="D3603" s="2" t="s">
        <v>12</v>
      </c>
      <c r="E3603" s="2" t="s">
        <v>12</v>
      </c>
      <c r="F3603" s="2" t="s">
        <v>12</v>
      </c>
      <c r="G3603" s="2" t="s">
        <v>12</v>
      </c>
      <c r="H3603" s="2" t="s">
        <v>12</v>
      </c>
      <c r="I3603" s="2" t="s">
        <v>12</v>
      </c>
      <c r="J3603" s="2" t="s">
        <v>12</v>
      </c>
      <c r="K3603" s="2" t="s">
        <v>12</v>
      </c>
    </row>
    <row r="3604" spans="1:11" ht="12.5" x14ac:dyDescent="0.25">
      <c r="A3604" s="3" t="e">
        <f ca="1"/>
        <v>#NAME?</v>
      </c>
      <c r="B3604" s="2" t="s">
        <v>12</v>
      </c>
      <c r="C3604" s="2" t="s">
        <v>12</v>
      </c>
      <c r="D3604" s="2" t="s">
        <v>12</v>
      </c>
      <c r="E3604" s="2" t="s">
        <v>12</v>
      </c>
      <c r="F3604" s="2" t="s">
        <v>12</v>
      </c>
      <c r="G3604" s="2" t="s">
        <v>12</v>
      </c>
      <c r="H3604" s="2" t="s">
        <v>12</v>
      </c>
      <c r="I3604" s="2" t="s">
        <v>12</v>
      </c>
      <c r="J3604" s="2" t="s">
        <v>12</v>
      </c>
      <c r="K3604" s="2" t="s">
        <v>12</v>
      </c>
    </row>
    <row r="3605" spans="1:11" ht="12.5" x14ac:dyDescent="0.25">
      <c r="A3605" s="3" t="e">
        <f ca="1"/>
        <v>#NAME?</v>
      </c>
      <c r="B3605" s="2" t="s">
        <v>12</v>
      </c>
      <c r="C3605" s="2" t="s">
        <v>12</v>
      </c>
      <c r="D3605" s="2" t="s">
        <v>12</v>
      </c>
      <c r="E3605" s="2" t="s">
        <v>12</v>
      </c>
      <c r="F3605" s="2" t="s">
        <v>12</v>
      </c>
      <c r="G3605" s="2" t="s">
        <v>12</v>
      </c>
      <c r="H3605" s="2" t="s">
        <v>12</v>
      </c>
      <c r="I3605" s="2" t="s">
        <v>12</v>
      </c>
      <c r="J3605" s="2" t="s">
        <v>12</v>
      </c>
      <c r="K3605" s="2" t="s">
        <v>12</v>
      </c>
    </row>
    <row r="3606" spans="1:11" ht="12.5" x14ac:dyDescent="0.25">
      <c r="A3606" s="3" t="e">
        <f ca="1"/>
        <v>#NAME?</v>
      </c>
      <c r="B3606" s="2" t="s">
        <v>12</v>
      </c>
      <c r="C3606" s="2" t="s">
        <v>12</v>
      </c>
      <c r="D3606" s="2" t="s">
        <v>12</v>
      </c>
      <c r="E3606" s="2" t="s">
        <v>12</v>
      </c>
      <c r="F3606" s="2" t="s">
        <v>12</v>
      </c>
      <c r="G3606" s="2" t="s">
        <v>12</v>
      </c>
      <c r="H3606" s="2" t="s">
        <v>12</v>
      </c>
      <c r="I3606" s="2" t="s">
        <v>12</v>
      </c>
      <c r="J3606" s="2" t="s">
        <v>12</v>
      </c>
      <c r="K3606" s="2" t="s">
        <v>12</v>
      </c>
    </row>
    <row r="3607" spans="1:11" ht="12.5" x14ac:dyDescent="0.25">
      <c r="A3607" s="3" t="e">
        <f ca="1"/>
        <v>#NAME?</v>
      </c>
      <c r="B3607" s="2" t="s">
        <v>12</v>
      </c>
      <c r="C3607" s="2" t="s">
        <v>12</v>
      </c>
      <c r="D3607" s="2" t="s">
        <v>12</v>
      </c>
      <c r="E3607" s="2" t="s">
        <v>12</v>
      </c>
      <c r="F3607" s="2" t="s">
        <v>12</v>
      </c>
      <c r="G3607" s="2" t="s">
        <v>12</v>
      </c>
      <c r="H3607" s="2" t="s">
        <v>12</v>
      </c>
      <c r="I3607" s="2" t="s">
        <v>12</v>
      </c>
      <c r="J3607" s="2" t="s">
        <v>12</v>
      </c>
      <c r="K3607" s="2" t="s">
        <v>12</v>
      </c>
    </row>
    <row r="3608" spans="1:11" ht="12.5" x14ac:dyDescent="0.25">
      <c r="A3608" s="3" t="e">
        <f ca="1"/>
        <v>#NAME?</v>
      </c>
      <c r="B3608" s="2" t="s">
        <v>12</v>
      </c>
      <c r="C3608" s="2" t="s">
        <v>12</v>
      </c>
      <c r="D3608" s="2" t="s">
        <v>12</v>
      </c>
      <c r="E3608" s="2" t="s">
        <v>12</v>
      </c>
      <c r="F3608" s="2" t="s">
        <v>12</v>
      </c>
      <c r="G3608" s="2" t="s">
        <v>12</v>
      </c>
      <c r="H3608" s="2" t="s">
        <v>12</v>
      </c>
      <c r="I3608" s="2" t="s">
        <v>12</v>
      </c>
      <c r="J3608" s="2" t="s">
        <v>12</v>
      </c>
      <c r="K3608" s="2" t="s">
        <v>12</v>
      </c>
    </row>
    <row r="3609" spans="1:11" ht="12.5" x14ac:dyDescent="0.25">
      <c r="A3609" s="3" t="e">
        <f ca="1"/>
        <v>#NAME?</v>
      </c>
      <c r="B3609" s="2" t="s">
        <v>12</v>
      </c>
      <c r="C3609" s="2" t="s">
        <v>12</v>
      </c>
      <c r="D3609" s="2" t="s">
        <v>12</v>
      </c>
      <c r="E3609" s="2" t="s">
        <v>12</v>
      </c>
      <c r="F3609" s="2" t="s">
        <v>12</v>
      </c>
      <c r="G3609" s="2" t="s">
        <v>12</v>
      </c>
      <c r="H3609" s="2" t="s">
        <v>12</v>
      </c>
      <c r="I3609" s="2" t="s">
        <v>12</v>
      </c>
      <c r="J3609" s="2" t="s">
        <v>12</v>
      </c>
      <c r="K3609" s="2" t="s">
        <v>12</v>
      </c>
    </row>
    <row r="3610" spans="1:11" ht="12.5" x14ac:dyDescent="0.25">
      <c r="A3610" s="3" t="e">
        <f ca="1"/>
        <v>#NAME?</v>
      </c>
      <c r="B3610" s="2" t="s">
        <v>12</v>
      </c>
      <c r="C3610" s="2" t="s">
        <v>12</v>
      </c>
      <c r="D3610" s="2" t="s">
        <v>12</v>
      </c>
      <c r="E3610" s="2" t="s">
        <v>12</v>
      </c>
      <c r="F3610" s="2" t="s">
        <v>12</v>
      </c>
      <c r="G3610" s="2" t="s">
        <v>12</v>
      </c>
      <c r="H3610" s="2" t="s">
        <v>12</v>
      </c>
      <c r="I3610" s="2" t="s">
        <v>12</v>
      </c>
      <c r="J3610" s="2" t="s">
        <v>12</v>
      </c>
      <c r="K3610" s="2" t="s">
        <v>12</v>
      </c>
    </row>
    <row r="3611" spans="1:11" ht="12.5" x14ac:dyDescent="0.25">
      <c r="A3611" s="3" t="e">
        <f ca="1"/>
        <v>#NAME?</v>
      </c>
      <c r="B3611" s="2" t="s">
        <v>12</v>
      </c>
      <c r="C3611" s="2" t="s">
        <v>12</v>
      </c>
      <c r="D3611" s="2" t="s">
        <v>12</v>
      </c>
      <c r="E3611" s="2" t="s">
        <v>12</v>
      </c>
      <c r="F3611" s="2" t="s">
        <v>12</v>
      </c>
      <c r="G3611" s="2" t="s">
        <v>12</v>
      </c>
      <c r="H3611" s="2" t="s">
        <v>12</v>
      </c>
      <c r="I3611" s="2" t="s">
        <v>12</v>
      </c>
      <c r="J3611" s="2" t="s">
        <v>12</v>
      </c>
      <c r="K3611" s="2" t="s">
        <v>12</v>
      </c>
    </row>
    <row r="3612" spans="1:11" ht="12.5" x14ac:dyDescent="0.25">
      <c r="A3612" s="3" t="e">
        <f ca="1"/>
        <v>#NAME?</v>
      </c>
      <c r="B3612" s="2" t="s">
        <v>12</v>
      </c>
      <c r="C3612" s="2" t="s">
        <v>12</v>
      </c>
      <c r="D3612" s="2" t="s">
        <v>12</v>
      </c>
      <c r="E3612" s="2" t="s">
        <v>12</v>
      </c>
      <c r="F3612" s="2" t="s">
        <v>12</v>
      </c>
      <c r="G3612" s="2" t="s">
        <v>12</v>
      </c>
      <c r="H3612" s="2" t="s">
        <v>12</v>
      </c>
      <c r="I3612" s="2" t="s">
        <v>12</v>
      </c>
      <c r="J3612" s="2" t="s">
        <v>12</v>
      </c>
      <c r="K3612" s="2" t="s">
        <v>12</v>
      </c>
    </row>
    <row r="3613" spans="1:11" ht="12.5" x14ac:dyDescent="0.25">
      <c r="A3613" s="3" t="e">
        <f ca="1"/>
        <v>#NAME?</v>
      </c>
      <c r="B3613" s="2" t="s">
        <v>12</v>
      </c>
      <c r="C3613" s="2" t="s">
        <v>12</v>
      </c>
      <c r="D3613" s="2" t="s">
        <v>12</v>
      </c>
      <c r="E3613" s="2" t="s">
        <v>12</v>
      </c>
      <c r="F3613" s="2" t="s">
        <v>12</v>
      </c>
      <c r="G3613" s="2" t="s">
        <v>12</v>
      </c>
      <c r="H3613" s="2" t="s">
        <v>12</v>
      </c>
      <c r="I3613" s="2" t="s">
        <v>12</v>
      </c>
      <c r="J3613" s="2" t="s">
        <v>12</v>
      </c>
      <c r="K3613" s="2" t="s">
        <v>12</v>
      </c>
    </row>
    <row r="3614" spans="1:11" ht="12.5" x14ac:dyDescent="0.25">
      <c r="A3614" s="3" t="e">
        <f ca="1"/>
        <v>#NAME?</v>
      </c>
      <c r="B3614" s="2" t="s">
        <v>12</v>
      </c>
      <c r="C3614" s="2" t="s">
        <v>12</v>
      </c>
      <c r="D3614" s="2" t="s">
        <v>12</v>
      </c>
      <c r="E3614" s="2" t="s">
        <v>12</v>
      </c>
      <c r="F3614" s="2" t="s">
        <v>12</v>
      </c>
      <c r="G3614" s="2" t="s">
        <v>12</v>
      </c>
      <c r="H3614" s="2" t="s">
        <v>12</v>
      </c>
      <c r="I3614" s="2" t="s">
        <v>12</v>
      </c>
      <c r="J3614" s="2" t="s">
        <v>12</v>
      </c>
      <c r="K3614" s="2" t="s">
        <v>12</v>
      </c>
    </row>
    <row r="3615" spans="1:11" ht="12.5" x14ac:dyDescent="0.25">
      <c r="A3615" s="3" t="e">
        <f ca="1"/>
        <v>#NAME?</v>
      </c>
      <c r="B3615" s="2" t="s">
        <v>12</v>
      </c>
      <c r="C3615" s="2" t="s">
        <v>12</v>
      </c>
      <c r="D3615" s="2" t="s">
        <v>12</v>
      </c>
      <c r="E3615" s="2" t="s">
        <v>12</v>
      </c>
      <c r="F3615" s="2" t="s">
        <v>12</v>
      </c>
      <c r="G3615" s="2" t="s">
        <v>12</v>
      </c>
      <c r="H3615" s="2" t="s">
        <v>12</v>
      </c>
      <c r="I3615" s="2" t="s">
        <v>12</v>
      </c>
      <c r="J3615" s="2" t="s">
        <v>12</v>
      </c>
      <c r="K3615" s="2" t="s">
        <v>12</v>
      </c>
    </row>
    <row r="3616" spans="1:11" ht="12.5" x14ac:dyDescent="0.25">
      <c r="A3616" s="3" t="e">
        <f ca="1"/>
        <v>#NAME?</v>
      </c>
      <c r="B3616" s="2" t="s">
        <v>12</v>
      </c>
      <c r="C3616" s="2" t="s">
        <v>12</v>
      </c>
      <c r="D3616" s="2" t="s">
        <v>12</v>
      </c>
      <c r="E3616" s="2" t="s">
        <v>12</v>
      </c>
      <c r="F3616" s="2" t="s">
        <v>12</v>
      </c>
      <c r="G3616" s="2" t="s">
        <v>12</v>
      </c>
      <c r="H3616" s="2" t="s">
        <v>12</v>
      </c>
      <c r="I3616" s="2" t="s">
        <v>12</v>
      </c>
      <c r="J3616" s="2" t="s">
        <v>12</v>
      </c>
      <c r="K3616" s="2" t="s">
        <v>12</v>
      </c>
    </row>
    <row r="3617" spans="1:11" ht="12.5" x14ac:dyDescent="0.25">
      <c r="A3617" s="3" t="e">
        <f ca="1"/>
        <v>#NAME?</v>
      </c>
      <c r="B3617" s="2" t="s">
        <v>12</v>
      </c>
      <c r="C3617" s="2" t="s">
        <v>12</v>
      </c>
      <c r="D3617" s="2" t="s">
        <v>12</v>
      </c>
      <c r="E3617" s="2" t="s">
        <v>12</v>
      </c>
      <c r="F3617" s="2" t="s">
        <v>12</v>
      </c>
      <c r="G3617" s="2" t="s">
        <v>12</v>
      </c>
      <c r="H3617" s="2" t="s">
        <v>12</v>
      </c>
      <c r="I3617" s="2" t="s">
        <v>12</v>
      </c>
      <c r="J3617" s="2" t="s">
        <v>12</v>
      </c>
      <c r="K3617" s="2" t="s">
        <v>12</v>
      </c>
    </row>
    <row r="3618" spans="1:11" ht="12.5" x14ac:dyDescent="0.25">
      <c r="A3618" s="3" t="e">
        <f ca="1"/>
        <v>#NAME?</v>
      </c>
      <c r="B3618" s="2" t="s">
        <v>12</v>
      </c>
      <c r="C3618" s="2" t="s">
        <v>12</v>
      </c>
      <c r="D3618" s="2" t="s">
        <v>12</v>
      </c>
      <c r="E3618" s="2" t="s">
        <v>12</v>
      </c>
      <c r="F3618" s="2" t="s">
        <v>12</v>
      </c>
      <c r="G3618" s="2" t="s">
        <v>12</v>
      </c>
      <c r="H3618" s="2" t="s">
        <v>12</v>
      </c>
      <c r="I3618" s="2" t="s">
        <v>12</v>
      </c>
      <c r="J3618" s="2" t="s">
        <v>12</v>
      </c>
      <c r="K3618" s="2" t="s">
        <v>12</v>
      </c>
    </row>
    <row r="3619" spans="1:11" ht="12.5" x14ac:dyDescent="0.25">
      <c r="A3619" s="3" t="e">
        <f ca="1"/>
        <v>#NAME?</v>
      </c>
      <c r="B3619" s="2" t="s">
        <v>12</v>
      </c>
      <c r="C3619" s="2" t="s">
        <v>12</v>
      </c>
      <c r="D3619" s="2" t="s">
        <v>12</v>
      </c>
      <c r="E3619" s="2" t="s">
        <v>12</v>
      </c>
      <c r="F3619" s="2" t="s">
        <v>12</v>
      </c>
      <c r="G3619" s="2" t="s">
        <v>12</v>
      </c>
      <c r="H3619" s="2" t="s">
        <v>12</v>
      </c>
      <c r="I3619" s="2" t="s">
        <v>12</v>
      </c>
      <c r="J3619" s="2" t="s">
        <v>12</v>
      </c>
      <c r="K3619" s="2" t="s">
        <v>12</v>
      </c>
    </row>
    <row r="3620" spans="1:11" ht="12.5" x14ac:dyDescent="0.25">
      <c r="A3620" s="3" t="e">
        <f ca="1"/>
        <v>#NAME?</v>
      </c>
      <c r="B3620" s="2" t="s">
        <v>12</v>
      </c>
      <c r="C3620" s="2" t="s">
        <v>12</v>
      </c>
      <c r="D3620" s="2" t="s">
        <v>12</v>
      </c>
      <c r="E3620" s="2" t="s">
        <v>12</v>
      </c>
      <c r="F3620" s="2" t="s">
        <v>12</v>
      </c>
      <c r="G3620" s="2" t="s">
        <v>12</v>
      </c>
      <c r="H3620" s="2" t="s">
        <v>12</v>
      </c>
      <c r="I3620" s="2" t="s">
        <v>12</v>
      </c>
      <c r="J3620" s="2" t="s">
        <v>12</v>
      </c>
      <c r="K3620" s="2" t="s">
        <v>12</v>
      </c>
    </row>
    <row r="3621" spans="1:11" ht="12.5" x14ac:dyDescent="0.25">
      <c r="A3621" s="3" t="e">
        <f ca="1"/>
        <v>#NAME?</v>
      </c>
      <c r="B3621" s="2" t="s">
        <v>12</v>
      </c>
      <c r="C3621" s="2" t="s">
        <v>12</v>
      </c>
      <c r="D3621" s="2" t="s">
        <v>12</v>
      </c>
      <c r="E3621" s="2" t="s">
        <v>12</v>
      </c>
      <c r="F3621" s="2" t="s">
        <v>12</v>
      </c>
      <c r="G3621" s="2" t="s">
        <v>12</v>
      </c>
      <c r="H3621" s="2" t="s">
        <v>12</v>
      </c>
      <c r="I3621" s="2" t="s">
        <v>12</v>
      </c>
      <c r="J3621" s="2" t="s">
        <v>12</v>
      </c>
      <c r="K3621" s="2" t="s">
        <v>12</v>
      </c>
    </row>
    <row r="3622" spans="1:11" ht="12.5" x14ac:dyDescent="0.25">
      <c r="A3622" s="3" t="e">
        <f ca="1"/>
        <v>#NAME?</v>
      </c>
      <c r="B3622" s="2" t="s">
        <v>12</v>
      </c>
      <c r="C3622" s="2" t="s">
        <v>12</v>
      </c>
      <c r="D3622" s="2" t="s">
        <v>12</v>
      </c>
      <c r="E3622" s="2" t="s">
        <v>12</v>
      </c>
      <c r="F3622" s="2" t="s">
        <v>12</v>
      </c>
      <c r="G3622" s="2" t="s">
        <v>12</v>
      </c>
      <c r="H3622" s="2" t="s">
        <v>12</v>
      </c>
      <c r="I3622" s="2" t="s">
        <v>12</v>
      </c>
      <c r="J3622" s="2" t="s">
        <v>12</v>
      </c>
      <c r="K3622" s="2" t="s">
        <v>12</v>
      </c>
    </row>
    <row r="3623" spans="1:11" ht="12.5" x14ac:dyDescent="0.25">
      <c r="A3623" s="3" t="e">
        <f ca="1"/>
        <v>#NAME?</v>
      </c>
      <c r="B3623" s="2" t="s">
        <v>12</v>
      </c>
      <c r="C3623" s="2" t="s">
        <v>12</v>
      </c>
      <c r="D3623" s="2" t="s">
        <v>12</v>
      </c>
      <c r="E3623" s="2" t="s">
        <v>12</v>
      </c>
      <c r="F3623" s="2" t="s">
        <v>12</v>
      </c>
      <c r="G3623" s="2" t="s">
        <v>12</v>
      </c>
      <c r="H3623" s="2" t="s">
        <v>12</v>
      </c>
      <c r="I3623" s="2" t="s">
        <v>12</v>
      </c>
      <c r="J3623" s="2" t="s">
        <v>12</v>
      </c>
      <c r="K3623" s="2" t="s">
        <v>12</v>
      </c>
    </row>
    <row r="3624" spans="1:11" ht="12.5" x14ac:dyDescent="0.25">
      <c r="A3624" s="3" t="e">
        <f ca="1"/>
        <v>#NAME?</v>
      </c>
      <c r="B3624" s="2" t="s">
        <v>12</v>
      </c>
      <c r="C3624" s="2" t="s">
        <v>12</v>
      </c>
      <c r="D3624" s="2" t="s">
        <v>12</v>
      </c>
      <c r="E3624" s="2" t="s">
        <v>12</v>
      </c>
      <c r="F3624" s="2" t="s">
        <v>12</v>
      </c>
      <c r="G3624" s="2" t="s">
        <v>12</v>
      </c>
      <c r="H3624" s="2" t="s">
        <v>12</v>
      </c>
      <c r="I3624" s="2" t="s">
        <v>12</v>
      </c>
      <c r="J3624" s="2" t="s">
        <v>12</v>
      </c>
      <c r="K3624" s="2" t="s">
        <v>12</v>
      </c>
    </row>
    <row r="3625" spans="1:11" ht="12.5" x14ac:dyDescent="0.25">
      <c r="A3625" s="3" t="e">
        <f ca="1"/>
        <v>#NAME?</v>
      </c>
      <c r="B3625" s="2" t="s">
        <v>12</v>
      </c>
      <c r="C3625" s="2" t="s">
        <v>12</v>
      </c>
      <c r="D3625" s="2" t="s">
        <v>12</v>
      </c>
      <c r="E3625" s="2" t="s">
        <v>12</v>
      </c>
      <c r="F3625" s="2" t="s">
        <v>12</v>
      </c>
      <c r="G3625" s="2" t="s">
        <v>12</v>
      </c>
      <c r="H3625" s="2" t="s">
        <v>12</v>
      </c>
      <c r="I3625" s="2" t="s">
        <v>12</v>
      </c>
      <c r="J3625" s="2" t="s">
        <v>12</v>
      </c>
      <c r="K3625" s="2" t="s">
        <v>12</v>
      </c>
    </row>
    <row r="3626" spans="1:11" ht="12.5" x14ac:dyDescent="0.25">
      <c r="A3626" s="3" t="e">
        <f ca="1"/>
        <v>#NAME?</v>
      </c>
      <c r="B3626" s="2" t="s">
        <v>12</v>
      </c>
      <c r="C3626" s="2" t="s">
        <v>12</v>
      </c>
      <c r="D3626" s="2" t="s">
        <v>12</v>
      </c>
      <c r="E3626" s="2" t="s">
        <v>12</v>
      </c>
      <c r="F3626" s="2" t="s">
        <v>12</v>
      </c>
      <c r="G3626" s="2" t="s">
        <v>12</v>
      </c>
      <c r="H3626" s="2" t="s">
        <v>12</v>
      </c>
      <c r="I3626" s="2" t="s">
        <v>12</v>
      </c>
      <c r="J3626" s="2" t="s">
        <v>12</v>
      </c>
      <c r="K3626" s="2" t="s">
        <v>12</v>
      </c>
    </row>
    <row r="3627" spans="1:11" ht="12.5" x14ac:dyDescent="0.25">
      <c r="A3627" s="3" t="e">
        <f ca="1"/>
        <v>#NAME?</v>
      </c>
      <c r="B3627" s="2" t="s">
        <v>12</v>
      </c>
      <c r="C3627" s="2" t="s">
        <v>12</v>
      </c>
      <c r="D3627" s="2" t="s">
        <v>12</v>
      </c>
      <c r="E3627" s="2" t="s">
        <v>12</v>
      </c>
      <c r="F3627" s="2" t="s">
        <v>12</v>
      </c>
      <c r="G3627" s="2" t="s">
        <v>12</v>
      </c>
      <c r="H3627" s="2" t="s">
        <v>12</v>
      </c>
      <c r="I3627" s="2" t="s">
        <v>12</v>
      </c>
      <c r="J3627" s="2" t="s">
        <v>12</v>
      </c>
      <c r="K3627" s="2" t="s">
        <v>12</v>
      </c>
    </row>
    <row r="3628" spans="1:11" ht="12.5" x14ac:dyDescent="0.25">
      <c r="A3628" s="3" t="e">
        <f ca="1"/>
        <v>#NAME?</v>
      </c>
      <c r="B3628" s="2" t="s">
        <v>12</v>
      </c>
      <c r="C3628" s="2" t="s">
        <v>12</v>
      </c>
      <c r="D3628" s="2" t="s">
        <v>12</v>
      </c>
      <c r="E3628" s="2" t="s">
        <v>12</v>
      </c>
      <c r="F3628" s="2" t="s">
        <v>12</v>
      </c>
      <c r="G3628" s="2" t="s">
        <v>12</v>
      </c>
      <c r="H3628" s="2" t="s">
        <v>12</v>
      </c>
      <c r="I3628" s="2" t="s">
        <v>12</v>
      </c>
      <c r="J3628" s="2" t="s">
        <v>12</v>
      </c>
      <c r="K3628" s="2" t="s">
        <v>12</v>
      </c>
    </row>
    <row r="3629" spans="1:11" ht="12.5" x14ac:dyDescent="0.25">
      <c r="A3629" s="3" t="e">
        <f ca="1"/>
        <v>#NAME?</v>
      </c>
      <c r="B3629" s="2" t="s">
        <v>12</v>
      </c>
      <c r="C3629" s="2" t="s">
        <v>12</v>
      </c>
      <c r="D3629" s="2" t="s">
        <v>12</v>
      </c>
      <c r="E3629" s="2" t="s">
        <v>12</v>
      </c>
      <c r="F3629" s="2" t="s">
        <v>12</v>
      </c>
      <c r="G3629" s="2" t="s">
        <v>12</v>
      </c>
      <c r="H3629" s="2" t="s">
        <v>12</v>
      </c>
      <c r="I3629" s="2" t="s">
        <v>12</v>
      </c>
      <c r="J3629" s="2" t="s">
        <v>12</v>
      </c>
      <c r="K3629" s="2" t="s">
        <v>12</v>
      </c>
    </row>
    <row r="3630" spans="1:11" ht="12.5" x14ac:dyDescent="0.25">
      <c r="A3630" s="3" t="e">
        <f ca="1"/>
        <v>#NAME?</v>
      </c>
      <c r="B3630" s="2" t="s">
        <v>12</v>
      </c>
      <c r="C3630" s="2" t="s">
        <v>12</v>
      </c>
      <c r="D3630" s="2" t="s">
        <v>12</v>
      </c>
      <c r="E3630" s="2" t="s">
        <v>12</v>
      </c>
      <c r="F3630" s="2" t="s">
        <v>12</v>
      </c>
      <c r="G3630" s="2" t="s">
        <v>12</v>
      </c>
      <c r="H3630" s="2" t="s">
        <v>12</v>
      </c>
      <c r="I3630" s="2" t="s">
        <v>12</v>
      </c>
      <c r="J3630" s="2" t="s">
        <v>12</v>
      </c>
      <c r="K3630" s="2" t="s">
        <v>12</v>
      </c>
    </row>
    <row r="3631" spans="1:11" ht="12.5" x14ac:dyDescent="0.25">
      <c r="A3631" s="3" t="e">
        <f ca="1"/>
        <v>#NAME?</v>
      </c>
      <c r="B3631" s="2" t="s">
        <v>12</v>
      </c>
      <c r="C3631" s="2" t="s">
        <v>12</v>
      </c>
      <c r="D3631" s="2" t="s">
        <v>12</v>
      </c>
      <c r="E3631" s="2" t="s">
        <v>12</v>
      </c>
      <c r="F3631" s="2" t="s">
        <v>12</v>
      </c>
      <c r="G3631" s="2" t="s">
        <v>12</v>
      </c>
      <c r="H3631" s="2" t="s">
        <v>12</v>
      </c>
      <c r="I3631" s="2" t="s">
        <v>12</v>
      </c>
      <c r="J3631" s="2" t="s">
        <v>12</v>
      </c>
      <c r="K3631" s="2" t="s">
        <v>12</v>
      </c>
    </row>
    <row r="3632" spans="1:11" ht="12.5" x14ac:dyDescent="0.25">
      <c r="A3632" s="3" t="e">
        <f ca="1"/>
        <v>#NAME?</v>
      </c>
      <c r="B3632" s="2" t="s">
        <v>12</v>
      </c>
      <c r="C3632" s="2" t="s">
        <v>12</v>
      </c>
      <c r="D3632" s="2" t="s">
        <v>12</v>
      </c>
      <c r="E3632" s="2" t="s">
        <v>12</v>
      </c>
      <c r="F3632" s="2" t="s">
        <v>12</v>
      </c>
      <c r="G3632" s="2" t="s">
        <v>12</v>
      </c>
      <c r="H3632" s="2" t="s">
        <v>12</v>
      </c>
      <c r="I3632" s="2" t="s">
        <v>12</v>
      </c>
      <c r="J3632" s="2" t="s">
        <v>12</v>
      </c>
      <c r="K3632" s="2" t="s">
        <v>12</v>
      </c>
    </row>
    <row r="3633" spans="1:11" ht="12.5" x14ac:dyDescent="0.25">
      <c r="A3633" s="3" t="e">
        <f ca="1"/>
        <v>#NAME?</v>
      </c>
      <c r="B3633" s="2" t="s">
        <v>12</v>
      </c>
      <c r="C3633" s="2" t="s">
        <v>12</v>
      </c>
      <c r="D3633" s="2" t="s">
        <v>12</v>
      </c>
      <c r="E3633" s="2" t="s">
        <v>12</v>
      </c>
      <c r="F3633" s="2" t="s">
        <v>12</v>
      </c>
      <c r="G3633" s="2" t="s">
        <v>12</v>
      </c>
      <c r="H3633" s="2" t="s">
        <v>12</v>
      </c>
      <c r="I3633" s="2" t="s">
        <v>12</v>
      </c>
      <c r="J3633" s="2" t="s">
        <v>12</v>
      </c>
      <c r="K3633" s="2" t="s">
        <v>12</v>
      </c>
    </row>
    <row r="3634" spans="1:11" ht="12.5" x14ac:dyDescent="0.25">
      <c r="A3634" s="3" t="e">
        <f ca="1"/>
        <v>#NAME?</v>
      </c>
      <c r="B3634" s="2" t="s">
        <v>12</v>
      </c>
      <c r="C3634" s="2" t="s">
        <v>12</v>
      </c>
      <c r="D3634" s="2" t="s">
        <v>12</v>
      </c>
      <c r="E3634" s="2" t="s">
        <v>12</v>
      </c>
      <c r="F3634" s="2" t="s">
        <v>12</v>
      </c>
      <c r="G3634" s="2" t="s">
        <v>12</v>
      </c>
      <c r="H3634" s="2" t="s">
        <v>12</v>
      </c>
      <c r="I3634" s="2" t="s">
        <v>12</v>
      </c>
      <c r="J3634" s="2" t="s">
        <v>12</v>
      </c>
      <c r="K3634" s="2" t="s">
        <v>12</v>
      </c>
    </row>
    <row r="3635" spans="1:11" ht="12.5" x14ac:dyDescent="0.25">
      <c r="A3635" s="3" t="e">
        <f ca="1"/>
        <v>#NAME?</v>
      </c>
      <c r="B3635" s="2" t="s">
        <v>12</v>
      </c>
      <c r="C3635" s="2" t="s">
        <v>12</v>
      </c>
      <c r="D3635" s="2" t="s">
        <v>12</v>
      </c>
      <c r="E3635" s="2" t="s">
        <v>12</v>
      </c>
      <c r="F3635" s="2" t="s">
        <v>12</v>
      </c>
      <c r="G3635" s="2" t="s">
        <v>12</v>
      </c>
      <c r="H3635" s="2" t="s">
        <v>12</v>
      </c>
      <c r="I3635" s="2" t="s">
        <v>12</v>
      </c>
      <c r="J3635" s="2" t="s">
        <v>12</v>
      </c>
      <c r="K3635" s="2" t="s">
        <v>12</v>
      </c>
    </row>
    <row r="3636" spans="1:11" ht="12.5" x14ac:dyDescent="0.25">
      <c r="A3636" s="3" t="e">
        <f ca="1"/>
        <v>#NAME?</v>
      </c>
      <c r="B3636" s="2" t="s">
        <v>12</v>
      </c>
      <c r="C3636" s="2" t="s">
        <v>12</v>
      </c>
      <c r="D3636" s="2" t="s">
        <v>12</v>
      </c>
      <c r="E3636" s="2" t="s">
        <v>12</v>
      </c>
      <c r="F3636" s="2" t="s">
        <v>12</v>
      </c>
      <c r="G3636" s="2" t="s">
        <v>12</v>
      </c>
      <c r="H3636" s="2" t="s">
        <v>12</v>
      </c>
      <c r="I3636" s="2" t="s">
        <v>12</v>
      </c>
      <c r="J3636" s="2" t="s">
        <v>12</v>
      </c>
      <c r="K3636" s="2" t="s">
        <v>12</v>
      </c>
    </row>
    <row r="3637" spans="1:11" ht="12.5" x14ac:dyDescent="0.25">
      <c r="A3637" s="3" t="e">
        <f ca="1"/>
        <v>#NAME?</v>
      </c>
      <c r="B3637" s="2" t="s">
        <v>12</v>
      </c>
      <c r="C3637" s="2" t="s">
        <v>12</v>
      </c>
      <c r="D3637" s="2" t="s">
        <v>12</v>
      </c>
      <c r="E3637" s="2" t="s">
        <v>12</v>
      </c>
      <c r="F3637" s="2" t="s">
        <v>12</v>
      </c>
      <c r="G3637" s="2" t="s">
        <v>12</v>
      </c>
      <c r="H3637" s="2" t="s">
        <v>12</v>
      </c>
      <c r="I3637" s="2" t="s">
        <v>12</v>
      </c>
      <c r="J3637" s="2" t="s">
        <v>12</v>
      </c>
      <c r="K3637" s="2" t="s">
        <v>12</v>
      </c>
    </row>
    <row r="3638" spans="1:11" ht="12.5" x14ac:dyDescent="0.25">
      <c r="A3638" s="3" t="e">
        <f ca="1"/>
        <v>#NAME?</v>
      </c>
      <c r="B3638" s="2" t="s">
        <v>12</v>
      </c>
      <c r="C3638" s="2" t="s">
        <v>12</v>
      </c>
      <c r="D3638" s="2" t="s">
        <v>12</v>
      </c>
      <c r="E3638" s="2" t="s">
        <v>12</v>
      </c>
      <c r="F3638" s="2" t="s">
        <v>12</v>
      </c>
      <c r="G3638" s="2" t="s">
        <v>12</v>
      </c>
      <c r="H3638" s="2" t="s">
        <v>12</v>
      </c>
      <c r="I3638" s="2" t="s">
        <v>12</v>
      </c>
      <c r="J3638" s="2" t="s">
        <v>12</v>
      </c>
      <c r="K3638" s="2" t="s">
        <v>12</v>
      </c>
    </row>
    <row r="3639" spans="1:11" ht="12.5" x14ac:dyDescent="0.25">
      <c r="A3639" s="3" t="e">
        <f ca="1"/>
        <v>#NAME?</v>
      </c>
      <c r="B3639" s="2" t="s">
        <v>12</v>
      </c>
      <c r="C3639" s="2" t="s">
        <v>12</v>
      </c>
      <c r="D3639" s="2" t="s">
        <v>12</v>
      </c>
      <c r="E3639" s="2" t="s">
        <v>12</v>
      </c>
      <c r="F3639" s="2" t="s">
        <v>12</v>
      </c>
      <c r="G3639" s="2" t="s">
        <v>12</v>
      </c>
      <c r="H3639" s="2" t="s">
        <v>12</v>
      </c>
      <c r="I3639" s="2" t="s">
        <v>12</v>
      </c>
      <c r="J3639" s="2" t="s">
        <v>12</v>
      </c>
      <c r="K3639" s="2" t="s">
        <v>12</v>
      </c>
    </row>
    <row r="3640" spans="1:11" ht="12.5" x14ac:dyDescent="0.25">
      <c r="A3640" s="3" t="e">
        <f ca="1"/>
        <v>#NAME?</v>
      </c>
      <c r="B3640" s="2" t="s">
        <v>12</v>
      </c>
      <c r="C3640" s="2" t="s">
        <v>12</v>
      </c>
      <c r="D3640" s="2" t="s">
        <v>12</v>
      </c>
      <c r="E3640" s="2" t="s">
        <v>12</v>
      </c>
      <c r="F3640" s="2" t="s">
        <v>12</v>
      </c>
      <c r="G3640" s="2" t="s">
        <v>12</v>
      </c>
      <c r="H3640" s="2" t="s">
        <v>12</v>
      </c>
      <c r="I3640" s="2" t="s">
        <v>12</v>
      </c>
      <c r="J3640" s="2" t="s">
        <v>12</v>
      </c>
      <c r="K3640" s="2" t="s">
        <v>12</v>
      </c>
    </row>
    <row r="3641" spans="1:11" ht="12.5" x14ac:dyDescent="0.25">
      <c r="A3641" s="3" t="e">
        <f ca="1"/>
        <v>#NAME?</v>
      </c>
      <c r="B3641" s="2" t="s">
        <v>12</v>
      </c>
      <c r="C3641" s="2" t="s">
        <v>12</v>
      </c>
      <c r="D3641" s="2" t="s">
        <v>12</v>
      </c>
      <c r="E3641" s="2" t="s">
        <v>12</v>
      </c>
      <c r="F3641" s="2" t="s">
        <v>12</v>
      </c>
      <c r="G3641" s="2" t="s">
        <v>12</v>
      </c>
      <c r="H3641" s="2" t="s">
        <v>12</v>
      </c>
      <c r="I3641" s="2" t="s">
        <v>12</v>
      </c>
      <c r="J3641" s="2" t="s">
        <v>12</v>
      </c>
      <c r="K3641" s="2" t="s">
        <v>12</v>
      </c>
    </row>
    <row r="3642" spans="1:11" ht="12.5" x14ac:dyDescent="0.25">
      <c r="A3642" s="3" t="e">
        <f ca="1"/>
        <v>#NAME?</v>
      </c>
      <c r="B3642" s="2" t="s">
        <v>12</v>
      </c>
      <c r="C3642" s="2" t="s">
        <v>12</v>
      </c>
      <c r="D3642" s="2" t="s">
        <v>12</v>
      </c>
      <c r="E3642" s="2" t="s">
        <v>12</v>
      </c>
      <c r="F3642" s="2" t="s">
        <v>12</v>
      </c>
      <c r="G3642" s="2" t="s">
        <v>12</v>
      </c>
      <c r="H3642" s="2" t="s">
        <v>12</v>
      </c>
      <c r="I3642" s="2" t="s">
        <v>12</v>
      </c>
      <c r="J3642" s="2" t="s">
        <v>12</v>
      </c>
      <c r="K3642" s="2" t="s">
        <v>12</v>
      </c>
    </row>
    <row r="3643" spans="1:11" ht="12.5" x14ac:dyDescent="0.25">
      <c r="A3643" s="3" t="e">
        <f ca="1"/>
        <v>#NAME?</v>
      </c>
      <c r="B3643" s="2" t="s">
        <v>12</v>
      </c>
      <c r="C3643" s="2" t="s">
        <v>12</v>
      </c>
      <c r="D3643" s="2" t="s">
        <v>12</v>
      </c>
      <c r="E3643" s="2" t="s">
        <v>12</v>
      </c>
      <c r="F3643" s="2" t="s">
        <v>12</v>
      </c>
      <c r="G3643" s="2" t="s">
        <v>12</v>
      </c>
      <c r="H3643" s="2" t="s">
        <v>12</v>
      </c>
      <c r="I3643" s="2" t="s">
        <v>12</v>
      </c>
      <c r="J3643" s="2" t="s">
        <v>12</v>
      </c>
      <c r="K3643" s="2" t="s">
        <v>12</v>
      </c>
    </row>
    <row r="3644" spans="1:11" ht="12.5" x14ac:dyDescent="0.25">
      <c r="A3644" s="3" t="e">
        <f ca="1"/>
        <v>#NAME?</v>
      </c>
      <c r="B3644" s="2" t="s">
        <v>12</v>
      </c>
      <c r="C3644" s="2" t="s">
        <v>12</v>
      </c>
      <c r="D3644" s="2" t="s">
        <v>12</v>
      </c>
      <c r="E3644" s="2" t="s">
        <v>12</v>
      </c>
      <c r="F3644" s="2" t="s">
        <v>12</v>
      </c>
      <c r="G3644" s="2" t="s">
        <v>12</v>
      </c>
      <c r="H3644" s="2" t="s">
        <v>12</v>
      </c>
      <c r="I3644" s="2" t="s">
        <v>12</v>
      </c>
      <c r="J3644" s="2" t="s">
        <v>12</v>
      </c>
      <c r="K3644" s="2" t="s">
        <v>12</v>
      </c>
    </row>
    <row r="3645" spans="1:11" ht="12.5" x14ac:dyDescent="0.25">
      <c r="A3645" s="3" t="e">
        <f ca="1"/>
        <v>#NAME?</v>
      </c>
      <c r="B3645" s="2" t="s">
        <v>12</v>
      </c>
      <c r="C3645" s="2" t="s">
        <v>12</v>
      </c>
      <c r="D3645" s="2" t="s">
        <v>12</v>
      </c>
      <c r="E3645" s="2" t="s">
        <v>12</v>
      </c>
      <c r="F3645" s="2" t="s">
        <v>12</v>
      </c>
      <c r="G3645" s="2" t="s">
        <v>12</v>
      </c>
      <c r="H3645" s="2" t="s">
        <v>12</v>
      </c>
      <c r="I3645" s="2" t="s">
        <v>12</v>
      </c>
      <c r="J3645" s="2" t="s">
        <v>12</v>
      </c>
      <c r="K3645" s="2" t="s">
        <v>12</v>
      </c>
    </row>
    <row r="3646" spans="1:11" ht="12.5" x14ac:dyDescent="0.25">
      <c r="A3646" s="3" t="e">
        <f ca="1"/>
        <v>#NAME?</v>
      </c>
      <c r="B3646" s="2" t="s">
        <v>12</v>
      </c>
      <c r="C3646" s="2" t="s">
        <v>12</v>
      </c>
      <c r="D3646" s="2" t="s">
        <v>12</v>
      </c>
      <c r="E3646" s="2" t="s">
        <v>12</v>
      </c>
      <c r="F3646" s="2" t="s">
        <v>12</v>
      </c>
      <c r="G3646" s="2" t="s">
        <v>12</v>
      </c>
      <c r="H3646" s="2" t="s">
        <v>12</v>
      </c>
      <c r="I3646" s="2" t="s">
        <v>12</v>
      </c>
      <c r="J3646" s="2" t="s">
        <v>12</v>
      </c>
      <c r="K3646" s="2" t="s">
        <v>12</v>
      </c>
    </row>
    <row r="3647" spans="1:11" ht="12.5" x14ac:dyDescent="0.25">
      <c r="A3647" s="3" t="e">
        <f ca="1"/>
        <v>#NAME?</v>
      </c>
      <c r="B3647" s="2" t="s">
        <v>12</v>
      </c>
      <c r="C3647" s="2" t="s">
        <v>12</v>
      </c>
      <c r="D3647" s="2" t="s">
        <v>12</v>
      </c>
      <c r="E3647" s="2" t="s">
        <v>12</v>
      </c>
      <c r="F3647" s="2" t="s">
        <v>12</v>
      </c>
      <c r="G3647" s="2" t="s">
        <v>12</v>
      </c>
      <c r="H3647" s="2" t="s">
        <v>12</v>
      </c>
      <c r="I3647" s="2" t="s">
        <v>12</v>
      </c>
      <c r="J3647" s="2" t="s">
        <v>12</v>
      </c>
      <c r="K3647" s="2" t="s">
        <v>12</v>
      </c>
    </row>
    <row r="3648" spans="1:11" ht="12.5" x14ac:dyDescent="0.25">
      <c r="A3648" s="3" t="e">
        <f ca="1"/>
        <v>#NAME?</v>
      </c>
      <c r="B3648" s="2" t="s">
        <v>12</v>
      </c>
      <c r="C3648" s="2" t="s">
        <v>12</v>
      </c>
      <c r="D3648" s="2" t="s">
        <v>12</v>
      </c>
      <c r="E3648" s="2" t="s">
        <v>12</v>
      </c>
      <c r="F3648" s="2" t="s">
        <v>12</v>
      </c>
      <c r="G3648" s="2" t="s">
        <v>12</v>
      </c>
      <c r="H3648" s="2" t="s">
        <v>12</v>
      </c>
      <c r="I3648" s="2" t="s">
        <v>12</v>
      </c>
      <c r="J3648" s="2" t="s">
        <v>12</v>
      </c>
      <c r="K3648" s="2" t="s">
        <v>12</v>
      </c>
    </row>
    <row r="3649" spans="1:11" ht="12.5" x14ac:dyDescent="0.25">
      <c r="A3649" s="3" t="e">
        <f ca="1"/>
        <v>#NAME?</v>
      </c>
      <c r="B3649" s="2" t="s">
        <v>12</v>
      </c>
      <c r="C3649" s="2" t="s">
        <v>12</v>
      </c>
      <c r="D3649" s="2" t="s">
        <v>12</v>
      </c>
      <c r="E3649" s="2" t="s">
        <v>12</v>
      </c>
      <c r="F3649" s="2" t="s">
        <v>12</v>
      </c>
      <c r="G3649" s="2" t="s">
        <v>12</v>
      </c>
      <c r="H3649" s="2" t="s">
        <v>12</v>
      </c>
      <c r="I3649" s="2" t="s">
        <v>12</v>
      </c>
      <c r="J3649" s="2" t="s">
        <v>12</v>
      </c>
      <c r="K3649" s="2" t="s">
        <v>12</v>
      </c>
    </row>
    <row r="3650" spans="1:11" ht="12.5" x14ac:dyDescent="0.25">
      <c r="A3650" s="3" t="e">
        <f ca="1"/>
        <v>#NAME?</v>
      </c>
      <c r="B3650" s="2" t="s">
        <v>12</v>
      </c>
      <c r="C3650" s="2" t="s">
        <v>12</v>
      </c>
      <c r="D3650" s="2" t="s">
        <v>12</v>
      </c>
      <c r="E3650" s="2" t="s">
        <v>12</v>
      </c>
      <c r="F3650" s="2" t="s">
        <v>12</v>
      </c>
      <c r="G3650" s="2" t="s">
        <v>12</v>
      </c>
      <c r="H3650" s="2" t="s">
        <v>12</v>
      </c>
      <c r="I3650" s="2" t="s">
        <v>12</v>
      </c>
      <c r="J3650" s="2" t="s">
        <v>12</v>
      </c>
      <c r="K3650" s="2" t="s">
        <v>12</v>
      </c>
    </row>
    <row r="3651" spans="1:11" ht="12.5" x14ac:dyDescent="0.25">
      <c r="A3651" s="3" t="e">
        <f ca="1"/>
        <v>#NAME?</v>
      </c>
      <c r="B3651" s="2" t="s">
        <v>12</v>
      </c>
      <c r="C3651" s="2" t="s">
        <v>12</v>
      </c>
      <c r="D3651" s="2" t="s">
        <v>12</v>
      </c>
      <c r="E3651" s="2" t="s">
        <v>12</v>
      </c>
      <c r="F3651" s="2" t="s">
        <v>12</v>
      </c>
      <c r="G3651" s="2" t="s">
        <v>12</v>
      </c>
      <c r="H3651" s="2" t="s">
        <v>12</v>
      </c>
      <c r="I3651" s="2" t="s">
        <v>12</v>
      </c>
      <c r="J3651" s="2" t="s">
        <v>12</v>
      </c>
      <c r="K3651" s="2" t="s">
        <v>12</v>
      </c>
    </row>
    <row r="3652" spans="1:11" ht="12.5" x14ac:dyDescent="0.25">
      <c r="A3652" s="3" t="e">
        <f ca="1"/>
        <v>#NAME?</v>
      </c>
      <c r="B3652" s="2" t="s">
        <v>12</v>
      </c>
      <c r="C3652" s="2" t="s">
        <v>12</v>
      </c>
      <c r="D3652" s="2" t="s">
        <v>12</v>
      </c>
      <c r="E3652" s="2" t="s">
        <v>12</v>
      </c>
      <c r="F3652" s="2" t="s">
        <v>12</v>
      </c>
      <c r="G3652" s="2" t="s">
        <v>12</v>
      </c>
      <c r="H3652" s="2" t="s">
        <v>12</v>
      </c>
      <c r="I3652" s="2" t="s">
        <v>12</v>
      </c>
      <c r="J3652" s="2" t="s">
        <v>12</v>
      </c>
      <c r="K3652" s="2" t="s">
        <v>12</v>
      </c>
    </row>
    <row r="3653" spans="1:11" ht="12.5" x14ac:dyDescent="0.25">
      <c r="A3653" s="3" t="e">
        <f ca="1"/>
        <v>#NAME?</v>
      </c>
      <c r="B3653" s="2" t="s">
        <v>12</v>
      </c>
      <c r="C3653" s="2" t="s">
        <v>12</v>
      </c>
      <c r="D3653" s="2" t="s">
        <v>12</v>
      </c>
      <c r="E3653" s="2" t="s">
        <v>12</v>
      </c>
      <c r="F3653" s="2" t="s">
        <v>12</v>
      </c>
      <c r="G3653" s="2" t="s">
        <v>12</v>
      </c>
      <c r="H3653" s="2" t="s">
        <v>12</v>
      </c>
      <c r="I3653" s="2" t="s">
        <v>12</v>
      </c>
      <c r="J3653" s="2" t="s">
        <v>12</v>
      </c>
      <c r="K3653" s="2" t="s">
        <v>12</v>
      </c>
    </row>
    <row r="3654" spans="1:11" ht="12.5" x14ac:dyDescent="0.25">
      <c r="A3654" s="3" t="e">
        <f ca="1"/>
        <v>#NAME?</v>
      </c>
      <c r="B3654" s="2" t="s">
        <v>12</v>
      </c>
      <c r="C3654" s="2" t="s">
        <v>12</v>
      </c>
      <c r="D3654" s="2" t="s">
        <v>12</v>
      </c>
      <c r="E3654" s="2" t="s">
        <v>12</v>
      </c>
      <c r="F3654" s="2" t="s">
        <v>12</v>
      </c>
      <c r="G3654" s="2" t="s">
        <v>12</v>
      </c>
      <c r="H3654" s="2" t="s">
        <v>12</v>
      </c>
      <c r="I3654" s="2" t="s">
        <v>12</v>
      </c>
      <c r="J3654" s="2" t="s">
        <v>12</v>
      </c>
      <c r="K3654" s="2" t="s">
        <v>12</v>
      </c>
    </row>
    <row r="3655" spans="1:11" ht="12.5" x14ac:dyDescent="0.25">
      <c r="A3655" s="3" t="e">
        <f ca="1"/>
        <v>#NAME?</v>
      </c>
      <c r="B3655" s="2" t="s">
        <v>12</v>
      </c>
      <c r="C3655" s="2" t="s">
        <v>12</v>
      </c>
      <c r="D3655" s="2" t="s">
        <v>12</v>
      </c>
      <c r="E3655" s="2" t="s">
        <v>12</v>
      </c>
      <c r="F3655" s="2" t="s">
        <v>12</v>
      </c>
      <c r="G3655" s="2" t="s">
        <v>12</v>
      </c>
      <c r="H3655" s="2" t="s">
        <v>12</v>
      </c>
      <c r="I3655" s="2" t="s">
        <v>12</v>
      </c>
      <c r="J3655" s="2" t="s">
        <v>12</v>
      </c>
      <c r="K3655" s="2" t="s">
        <v>12</v>
      </c>
    </row>
    <row r="3656" spans="1:11" ht="12.5" x14ac:dyDescent="0.25">
      <c r="A3656" s="3" t="e">
        <f ca="1"/>
        <v>#NAME?</v>
      </c>
      <c r="B3656" s="2" t="s">
        <v>12</v>
      </c>
      <c r="C3656" s="2" t="s">
        <v>12</v>
      </c>
      <c r="D3656" s="2" t="s">
        <v>12</v>
      </c>
      <c r="E3656" s="2" t="s">
        <v>12</v>
      </c>
      <c r="F3656" s="2" t="s">
        <v>12</v>
      </c>
      <c r="G3656" s="2" t="s">
        <v>12</v>
      </c>
      <c r="H3656" s="2" t="s">
        <v>12</v>
      </c>
      <c r="I3656" s="2" t="s">
        <v>12</v>
      </c>
      <c r="J3656" s="2" t="s">
        <v>12</v>
      </c>
      <c r="K3656" s="2" t="s">
        <v>12</v>
      </c>
    </row>
    <row r="3657" spans="1:11" ht="12.5" x14ac:dyDescent="0.25">
      <c r="A3657" s="3" t="e">
        <f ca="1"/>
        <v>#NAME?</v>
      </c>
      <c r="B3657" s="2" t="s">
        <v>12</v>
      </c>
      <c r="C3657" s="2" t="s">
        <v>12</v>
      </c>
      <c r="D3657" s="2" t="s">
        <v>12</v>
      </c>
      <c r="E3657" s="2" t="s">
        <v>12</v>
      </c>
      <c r="F3657" s="2" t="s">
        <v>12</v>
      </c>
      <c r="G3657" s="2" t="s">
        <v>12</v>
      </c>
      <c r="H3657" s="2" t="s">
        <v>12</v>
      </c>
      <c r="I3657" s="2" t="s">
        <v>12</v>
      </c>
      <c r="J3657" s="2" t="s">
        <v>12</v>
      </c>
      <c r="K3657" s="2" t="s">
        <v>12</v>
      </c>
    </row>
    <row r="3658" spans="1:11" ht="12.5" x14ac:dyDescent="0.25">
      <c r="A3658" s="3" t="e">
        <f ca="1"/>
        <v>#NAME?</v>
      </c>
      <c r="B3658" s="2" t="s">
        <v>12</v>
      </c>
      <c r="C3658" s="2" t="s">
        <v>12</v>
      </c>
      <c r="D3658" s="2" t="s">
        <v>12</v>
      </c>
      <c r="E3658" s="2" t="s">
        <v>12</v>
      </c>
      <c r="F3658" s="2" t="s">
        <v>12</v>
      </c>
      <c r="G3658" s="2" t="s">
        <v>12</v>
      </c>
      <c r="H3658" s="2" t="s">
        <v>12</v>
      </c>
      <c r="I3658" s="2" t="s">
        <v>12</v>
      </c>
      <c r="J3658" s="2" t="s">
        <v>12</v>
      </c>
      <c r="K3658" s="2" t="s">
        <v>12</v>
      </c>
    </row>
    <row r="3659" spans="1:11" ht="12.5" x14ac:dyDescent="0.25">
      <c r="A3659" s="3" t="e">
        <f ca="1"/>
        <v>#NAME?</v>
      </c>
      <c r="B3659" s="2" t="s">
        <v>12</v>
      </c>
      <c r="C3659" s="2" t="s">
        <v>12</v>
      </c>
      <c r="D3659" s="2" t="s">
        <v>12</v>
      </c>
      <c r="E3659" s="2" t="s">
        <v>12</v>
      </c>
      <c r="F3659" s="2" t="s">
        <v>12</v>
      </c>
      <c r="G3659" s="2" t="s">
        <v>12</v>
      </c>
      <c r="H3659" s="2" t="s">
        <v>12</v>
      </c>
      <c r="I3659" s="2" t="s">
        <v>12</v>
      </c>
      <c r="J3659" s="2" t="s">
        <v>12</v>
      </c>
      <c r="K3659" s="2" t="s">
        <v>12</v>
      </c>
    </row>
    <row r="3660" spans="1:11" ht="12.5" x14ac:dyDescent="0.25">
      <c r="A3660" s="3" t="e">
        <f ca="1"/>
        <v>#NAME?</v>
      </c>
      <c r="B3660" s="2" t="s">
        <v>12</v>
      </c>
      <c r="C3660" s="2" t="s">
        <v>12</v>
      </c>
      <c r="D3660" s="2" t="s">
        <v>12</v>
      </c>
      <c r="E3660" s="2" t="s">
        <v>12</v>
      </c>
      <c r="F3660" s="2" t="s">
        <v>12</v>
      </c>
      <c r="G3660" s="2" t="s">
        <v>12</v>
      </c>
      <c r="H3660" s="2" t="s">
        <v>12</v>
      </c>
      <c r="I3660" s="2" t="s">
        <v>12</v>
      </c>
      <c r="J3660" s="2" t="s">
        <v>12</v>
      </c>
      <c r="K3660" s="2" t="s">
        <v>12</v>
      </c>
    </row>
    <row r="3661" spans="1:11" ht="12.5" x14ac:dyDescent="0.25">
      <c r="A3661" s="3" t="e">
        <f ca="1"/>
        <v>#NAME?</v>
      </c>
      <c r="B3661" s="2" t="s">
        <v>12</v>
      </c>
      <c r="C3661" s="2" t="s">
        <v>12</v>
      </c>
      <c r="D3661" s="2" t="s">
        <v>12</v>
      </c>
      <c r="E3661" s="2" t="s">
        <v>12</v>
      </c>
      <c r="F3661" s="2" t="s">
        <v>12</v>
      </c>
      <c r="G3661" s="2" t="s">
        <v>12</v>
      </c>
      <c r="H3661" s="2" t="s">
        <v>12</v>
      </c>
      <c r="I3661" s="2" t="s">
        <v>12</v>
      </c>
      <c r="J3661" s="2" t="s">
        <v>12</v>
      </c>
      <c r="K3661" s="2" t="s">
        <v>12</v>
      </c>
    </row>
    <row r="3662" spans="1:11" ht="12.5" x14ac:dyDescent="0.25">
      <c r="A3662" s="3" t="e">
        <f ca="1"/>
        <v>#NAME?</v>
      </c>
      <c r="B3662" s="2" t="s">
        <v>12</v>
      </c>
      <c r="C3662" s="2" t="s">
        <v>12</v>
      </c>
      <c r="D3662" s="2" t="s">
        <v>12</v>
      </c>
      <c r="E3662" s="2" t="s">
        <v>12</v>
      </c>
      <c r="F3662" s="2" t="s">
        <v>12</v>
      </c>
      <c r="G3662" s="2" t="s">
        <v>12</v>
      </c>
      <c r="H3662" s="2" t="s">
        <v>12</v>
      </c>
      <c r="I3662" s="2" t="s">
        <v>12</v>
      </c>
      <c r="J3662" s="2" t="s">
        <v>12</v>
      </c>
      <c r="K3662" s="2" t="s">
        <v>12</v>
      </c>
    </row>
    <row r="3663" spans="1:11" ht="12.5" x14ac:dyDescent="0.25">
      <c r="A3663" s="3" t="e">
        <f ca="1"/>
        <v>#NAME?</v>
      </c>
      <c r="B3663" s="2" t="s">
        <v>12</v>
      </c>
      <c r="C3663" s="2" t="s">
        <v>12</v>
      </c>
      <c r="D3663" s="2" t="s">
        <v>12</v>
      </c>
      <c r="E3663" s="2" t="s">
        <v>12</v>
      </c>
      <c r="F3663" s="2" t="s">
        <v>12</v>
      </c>
      <c r="G3663" s="2" t="s">
        <v>12</v>
      </c>
      <c r="H3663" s="2" t="s">
        <v>12</v>
      </c>
      <c r="I3663" s="2" t="s">
        <v>12</v>
      </c>
      <c r="J3663" s="2" t="s">
        <v>12</v>
      </c>
      <c r="K3663" s="2" t="s">
        <v>12</v>
      </c>
    </row>
    <row r="3664" spans="1:11" ht="12.5" x14ac:dyDescent="0.25">
      <c r="A3664" s="3" t="e">
        <f ca="1"/>
        <v>#NAME?</v>
      </c>
      <c r="B3664" s="2" t="s">
        <v>12</v>
      </c>
      <c r="C3664" s="2" t="s">
        <v>12</v>
      </c>
      <c r="D3664" s="2" t="s">
        <v>12</v>
      </c>
      <c r="E3664" s="2" t="s">
        <v>12</v>
      </c>
      <c r="F3664" s="2" t="s">
        <v>12</v>
      </c>
      <c r="G3664" s="2" t="s">
        <v>12</v>
      </c>
      <c r="H3664" s="2" t="s">
        <v>12</v>
      </c>
      <c r="I3664" s="2" t="s">
        <v>12</v>
      </c>
      <c r="J3664" s="2" t="s">
        <v>12</v>
      </c>
      <c r="K3664" s="2" t="s">
        <v>12</v>
      </c>
    </row>
    <row r="3665" spans="1:11" ht="12.5" x14ac:dyDescent="0.25">
      <c r="A3665" s="3" t="e">
        <f ca="1"/>
        <v>#NAME?</v>
      </c>
      <c r="B3665" s="2" t="s">
        <v>12</v>
      </c>
      <c r="C3665" s="2" t="s">
        <v>12</v>
      </c>
      <c r="D3665" s="2" t="s">
        <v>12</v>
      </c>
      <c r="E3665" s="2" t="s">
        <v>12</v>
      </c>
      <c r="F3665" s="2" t="s">
        <v>12</v>
      </c>
      <c r="G3665" s="2" t="s">
        <v>12</v>
      </c>
      <c r="H3665" s="2" t="s">
        <v>12</v>
      </c>
      <c r="I3665" s="2" t="s">
        <v>12</v>
      </c>
      <c r="J3665" s="2" t="s">
        <v>12</v>
      </c>
      <c r="K3665" s="2" t="s">
        <v>12</v>
      </c>
    </row>
    <row r="3666" spans="1:11" ht="12.5" x14ac:dyDescent="0.25">
      <c r="A3666" s="3" t="e">
        <f ca="1"/>
        <v>#NAME?</v>
      </c>
      <c r="B3666" s="2" t="s">
        <v>12</v>
      </c>
      <c r="C3666" s="2" t="s">
        <v>12</v>
      </c>
      <c r="D3666" s="2" t="s">
        <v>12</v>
      </c>
      <c r="E3666" s="2" t="s">
        <v>12</v>
      </c>
      <c r="F3666" s="2" t="s">
        <v>12</v>
      </c>
      <c r="G3666" s="2" t="s">
        <v>12</v>
      </c>
      <c r="H3666" s="2" t="s">
        <v>12</v>
      </c>
      <c r="I3666" s="2" t="s">
        <v>12</v>
      </c>
      <c r="J3666" s="2" t="s">
        <v>12</v>
      </c>
      <c r="K3666" s="2" t="s">
        <v>12</v>
      </c>
    </row>
    <row r="3667" spans="1:11" ht="12.5" x14ac:dyDescent="0.25">
      <c r="A3667" s="3" t="e">
        <f ca="1"/>
        <v>#NAME?</v>
      </c>
      <c r="B3667" s="2" t="s">
        <v>12</v>
      </c>
      <c r="C3667" s="2" t="s">
        <v>12</v>
      </c>
      <c r="D3667" s="2" t="s">
        <v>12</v>
      </c>
      <c r="E3667" s="2" t="s">
        <v>12</v>
      </c>
      <c r="F3667" s="2" t="s">
        <v>12</v>
      </c>
      <c r="G3667" s="2" t="s">
        <v>12</v>
      </c>
      <c r="H3667" s="2" t="s">
        <v>12</v>
      </c>
      <c r="I3667" s="2" t="s">
        <v>12</v>
      </c>
      <c r="J3667" s="2" t="s">
        <v>12</v>
      </c>
      <c r="K3667" s="2" t="s">
        <v>12</v>
      </c>
    </row>
    <row r="3668" spans="1:11" ht="12.5" x14ac:dyDescent="0.25">
      <c r="A3668" s="3" t="e">
        <f ca="1"/>
        <v>#NAME?</v>
      </c>
      <c r="B3668" s="2" t="s">
        <v>12</v>
      </c>
      <c r="C3668" s="2" t="s">
        <v>12</v>
      </c>
      <c r="D3668" s="2" t="s">
        <v>12</v>
      </c>
      <c r="E3668" s="2" t="s">
        <v>12</v>
      </c>
      <c r="F3668" s="2" t="s">
        <v>12</v>
      </c>
      <c r="G3668" s="2" t="s">
        <v>12</v>
      </c>
      <c r="H3668" s="2" t="s">
        <v>12</v>
      </c>
      <c r="I3668" s="2" t="s">
        <v>12</v>
      </c>
      <c r="J3668" s="2" t="s">
        <v>12</v>
      </c>
      <c r="K3668" s="2" t="s">
        <v>12</v>
      </c>
    </row>
    <row r="3669" spans="1:11" ht="12.5" x14ac:dyDescent="0.25">
      <c r="A3669" s="3" t="e">
        <f ca="1"/>
        <v>#NAME?</v>
      </c>
      <c r="B3669" s="2" t="s">
        <v>12</v>
      </c>
      <c r="C3669" s="2" t="s">
        <v>12</v>
      </c>
      <c r="D3669" s="2" t="s">
        <v>12</v>
      </c>
      <c r="E3669" s="2" t="s">
        <v>12</v>
      </c>
      <c r="F3669" s="2" t="s">
        <v>12</v>
      </c>
      <c r="G3669" s="2" t="s">
        <v>12</v>
      </c>
      <c r="H3669" s="2" t="s">
        <v>12</v>
      </c>
      <c r="I3669" s="2" t="s">
        <v>12</v>
      </c>
      <c r="J3669" s="2" t="s">
        <v>12</v>
      </c>
      <c r="K3669" s="2" t="s">
        <v>12</v>
      </c>
    </row>
    <row r="3670" spans="1:11" ht="12.5" x14ac:dyDescent="0.25">
      <c r="A3670" s="3" t="e">
        <f ca="1"/>
        <v>#NAME?</v>
      </c>
      <c r="B3670" s="2" t="s">
        <v>12</v>
      </c>
      <c r="C3670" s="2" t="s">
        <v>12</v>
      </c>
      <c r="D3670" s="2" t="s">
        <v>12</v>
      </c>
      <c r="E3670" s="2" t="s">
        <v>12</v>
      </c>
      <c r="F3670" s="2" t="s">
        <v>12</v>
      </c>
      <c r="G3670" s="2" t="s">
        <v>12</v>
      </c>
      <c r="H3670" s="2" t="s">
        <v>12</v>
      </c>
      <c r="I3670" s="2" t="s">
        <v>12</v>
      </c>
      <c r="J3670" s="2" t="s">
        <v>12</v>
      </c>
      <c r="K3670" s="2" t="s">
        <v>12</v>
      </c>
    </row>
    <row r="3671" spans="1:11" ht="12.5" x14ac:dyDescent="0.25">
      <c r="A3671" s="3" t="e">
        <f ca="1"/>
        <v>#NAME?</v>
      </c>
      <c r="B3671" s="2" t="s">
        <v>12</v>
      </c>
      <c r="C3671" s="2" t="s">
        <v>12</v>
      </c>
      <c r="D3671" s="2" t="s">
        <v>12</v>
      </c>
      <c r="E3671" s="2" t="s">
        <v>12</v>
      </c>
      <c r="F3671" s="2" t="s">
        <v>12</v>
      </c>
      <c r="G3671" s="2" t="s">
        <v>12</v>
      </c>
      <c r="H3671" s="2" t="s">
        <v>12</v>
      </c>
      <c r="I3671" s="2" t="s">
        <v>12</v>
      </c>
      <c r="J3671" s="2" t="s">
        <v>12</v>
      </c>
      <c r="K3671" s="2" t="s">
        <v>12</v>
      </c>
    </row>
    <row r="3672" spans="1:11" ht="12.5" x14ac:dyDescent="0.25">
      <c r="A3672" s="3" t="e">
        <f ca="1"/>
        <v>#NAME?</v>
      </c>
      <c r="B3672" s="2" t="s">
        <v>12</v>
      </c>
      <c r="C3672" s="2" t="s">
        <v>12</v>
      </c>
      <c r="D3672" s="2" t="s">
        <v>12</v>
      </c>
      <c r="E3672" s="2" t="s">
        <v>12</v>
      </c>
      <c r="F3672" s="2" t="s">
        <v>12</v>
      </c>
      <c r="G3672" s="2" t="s">
        <v>12</v>
      </c>
      <c r="H3672" s="2" t="s">
        <v>12</v>
      </c>
      <c r="I3672" s="2" t="s">
        <v>12</v>
      </c>
      <c r="J3672" s="2" t="s">
        <v>12</v>
      </c>
      <c r="K3672" s="2" t="s">
        <v>12</v>
      </c>
    </row>
    <row r="3673" spans="1:11" ht="12.5" x14ac:dyDescent="0.25">
      <c r="A3673" s="3" t="e">
        <f ca="1"/>
        <v>#NAME?</v>
      </c>
      <c r="B3673" s="2" t="s">
        <v>12</v>
      </c>
      <c r="C3673" s="2" t="s">
        <v>12</v>
      </c>
      <c r="D3673" s="2" t="s">
        <v>12</v>
      </c>
      <c r="E3673" s="2" t="s">
        <v>12</v>
      </c>
      <c r="F3673" s="2" t="s">
        <v>12</v>
      </c>
      <c r="G3673" s="2" t="s">
        <v>12</v>
      </c>
      <c r="H3673" s="2" t="s">
        <v>12</v>
      </c>
      <c r="I3673" s="2" t="s">
        <v>12</v>
      </c>
      <c r="J3673" s="2" t="s">
        <v>12</v>
      </c>
      <c r="K3673" s="2" t="s">
        <v>12</v>
      </c>
    </row>
    <row r="3674" spans="1:11" ht="12.5" x14ac:dyDescent="0.25">
      <c r="A3674" s="3" t="e">
        <f ca="1"/>
        <v>#NAME?</v>
      </c>
      <c r="B3674" s="2" t="s">
        <v>12</v>
      </c>
      <c r="C3674" s="2" t="s">
        <v>12</v>
      </c>
      <c r="D3674" s="2" t="s">
        <v>12</v>
      </c>
      <c r="E3674" s="2" t="s">
        <v>12</v>
      </c>
      <c r="F3674" s="2" t="s">
        <v>12</v>
      </c>
      <c r="G3674" s="2" t="s">
        <v>12</v>
      </c>
      <c r="H3674" s="2" t="s">
        <v>12</v>
      </c>
      <c r="I3674" s="2" t="s">
        <v>12</v>
      </c>
      <c r="J3674" s="2" t="s">
        <v>12</v>
      </c>
      <c r="K3674" s="2" t="s">
        <v>12</v>
      </c>
    </row>
    <row r="3675" spans="1:11" ht="12.5" x14ac:dyDescent="0.25">
      <c r="A3675" s="3" t="e">
        <f ca="1"/>
        <v>#NAME?</v>
      </c>
      <c r="B3675" s="2" t="s">
        <v>12</v>
      </c>
      <c r="C3675" s="2" t="s">
        <v>12</v>
      </c>
      <c r="D3675" s="2" t="s">
        <v>12</v>
      </c>
      <c r="E3675" s="2" t="s">
        <v>12</v>
      </c>
      <c r="F3675" s="2" t="s">
        <v>12</v>
      </c>
      <c r="G3675" s="2" t="s">
        <v>12</v>
      </c>
      <c r="H3675" s="2" t="s">
        <v>12</v>
      </c>
      <c r="I3675" s="2" t="s">
        <v>12</v>
      </c>
      <c r="J3675" s="2" t="s">
        <v>12</v>
      </c>
      <c r="K3675" s="2" t="s">
        <v>12</v>
      </c>
    </row>
    <row r="3676" spans="1:11" ht="12.5" x14ac:dyDescent="0.25">
      <c r="A3676" s="3" t="e">
        <f ca="1"/>
        <v>#NAME?</v>
      </c>
      <c r="B3676" s="2" t="s">
        <v>12</v>
      </c>
      <c r="C3676" s="2" t="s">
        <v>12</v>
      </c>
      <c r="D3676" s="2" t="s">
        <v>12</v>
      </c>
      <c r="E3676" s="2" t="s">
        <v>12</v>
      </c>
      <c r="F3676" s="2" t="s">
        <v>12</v>
      </c>
      <c r="G3676" s="2" t="s">
        <v>12</v>
      </c>
      <c r="H3676" s="2" t="s">
        <v>12</v>
      </c>
      <c r="I3676" s="2" t="s">
        <v>12</v>
      </c>
      <c r="J3676" s="2" t="s">
        <v>12</v>
      </c>
      <c r="K3676" s="2" t="s">
        <v>12</v>
      </c>
    </row>
    <row r="3677" spans="1:11" ht="12.5" x14ac:dyDescent="0.25">
      <c r="A3677" s="3" t="e">
        <f ca="1"/>
        <v>#NAME?</v>
      </c>
      <c r="B3677" s="2" t="s">
        <v>12</v>
      </c>
      <c r="C3677" s="2" t="s">
        <v>12</v>
      </c>
      <c r="D3677" s="2" t="s">
        <v>12</v>
      </c>
      <c r="E3677" s="2" t="s">
        <v>12</v>
      </c>
      <c r="F3677" s="2" t="s">
        <v>12</v>
      </c>
      <c r="G3677" s="2" t="s">
        <v>12</v>
      </c>
      <c r="H3677" s="2" t="s">
        <v>12</v>
      </c>
      <c r="I3677" s="2" t="s">
        <v>12</v>
      </c>
      <c r="J3677" s="2" t="s">
        <v>12</v>
      </c>
      <c r="K3677" s="2" t="s">
        <v>12</v>
      </c>
    </row>
    <row r="3678" spans="1:11" ht="12.5" x14ac:dyDescent="0.25">
      <c r="A3678" s="3" t="e">
        <f ca="1"/>
        <v>#NAME?</v>
      </c>
      <c r="B3678" s="2" t="s">
        <v>12</v>
      </c>
      <c r="C3678" s="2" t="s">
        <v>12</v>
      </c>
      <c r="D3678" s="2" t="s">
        <v>12</v>
      </c>
      <c r="E3678" s="2" t="s">
        <v>12</v>
      </c>
      <c r="F3678" s="2" t="s">
        <v>12</v>
      </c>
      <c r="G3678" s="2" t="s">
        <v>12</v>
      </c>
      <c r="H3678" s="2" t="s">
        <v>12</v>
      </c>
      <c r="I3678" s="2" t="s">
        <v>12</v>
      </c>
      <c r="J3678" s="2" t="s">
        <v>12</v>
      </c>
      <c r="K3678" s="2" t="s">
        <v>12</v>
      </c>
    </row>
    <row r="3679" spans="1:11" ht="12.5" x14ac:dyDescent="0.25">
      <c r="A3679" s="3" t="e">
        <f ca="1"/>
        <v>#NAME?</v>
      </c>
      <c r="B3679" s="2" t="s">
        <v>12</v>
      </c>
      <c r="C3679" s="2" t="s">
        <v>12</v>
      </c>
      <c r="D3679" s="2" t="s">
        <v>12</v>
      </c>
      <c r="E3679" s="2" t="s">
        <v>12</v>
      </c>
      <c r="F3679" s="2" t="s">
        <v>12</v>
      </c>
      <c r="G3679" s="2" t="s">
        <v>12</v>
      </c>
      <c r="H3679" s="2" t="s">
        <v>12</v>
      </c>
      <c r="I3679" s="2" t="s">
        <v>12</v>
      </c>
      <c r="J3679" s="2" t="s">
        <v>12</v>
      </c>
      <c r="K3679" s="2" t="s">
        <v>12</v>
      </c>
    </row>
    <row r="3680" spans="1:11" ht="12.5" x14ac:dyDescent="0.25">
      <c r="A3680" s="3" t="e">
        <f ca="1"/>
        <v>#NAME?</v>
      </c>
      <c r="B3680" s="2" t="s">
        <v>12</v>
      </c>
      <c r="C3680" s="2" t="s">
        <v>12</v>
      </c>
      <c r="D3680" s="2" t="s">
        <v>12</v>
      </c>
      <c r="E3680" s="2" t="s">
        <v>12</v>
      </c>
      <c r="F3680" s="2" t="s">
        <v>12</v>
      </c>
      <c r="G3680" s="2" t="s">
        <v>12</v>
      </c>
      <c r="H3680" s="2" t="s">
        <v>12</v>
      </c>
      <c r="I3680" s="2" t="s">
        <v>12</v>
      </c>
      <c r="J3680" s="2" t="s">
        <v>12</v>
      </c>
      <c r="K3680" s="2" t="s">
        <v>12</v>
      </c>
    </row>
    <row r="3681" spans="1:11" ht="12.5" x14ac:dyDescent="0.25">
      <c r="A3681" s="3" t="e">
        <f ca="1"/>
        <v>#NAME?</v>
      </c>
      <c r="B3681" s="2" t="s">
        <v>12</v>
      </c>
      <c r="C3681" s="2" t="s">
        <v>12</v>
      </c>
      <c r="D3681" s="2" t="s">
        <v>12</v>
      </c>
      <c r="E3681" s="2" t="s">
        <v>12</v>
      </c>
      <c r="F3681" s="2" t="s">
        <v>12</v>
      </c>
      <c r="G3681" s="2" t="s">
        <v>12</v>
      </c>
      <c r="H3681" s="2" t="s">
        <v>12</v>
      </c>
      <c r="I3681" s="2" t="s">
        <v>12</v>
      </c>
      <c r="J3681" s="2" t="s">
        <v>12</v>
      </c>
      <c r="K3681" s="2" t="s">
        <v>12</v>
      </c>
    </row>
    <row r="3682" spans="1:11" ht="12.5" x14ac:dyDescent="0.25">
      <c r="A3682" s="3" t="e">
        <f ca="1"/>
        <v>#NAME?</v>
      </c>
      <c r="B3682" s="2" t="s">
        <v>12</v>
      </c>
      <c r="C3682" s="2" t="s">
        <v>12</v>
      </c>
      <c r="D3682" s="2" t="s">
        <v>12</v>
      </c>
      <c r="E3682" s="2" t="s">
        <v>12</v>
      </c>
      <c r="F3682" s="2" t="s">
        <v>12</v>
      </c>
      <c r="G3682" s="2" t="s">
        <v>12</v>
      </c>
      <c r="H3682" s="2" t="s">
        <v>12</v>
      </c>
      <c r="I3682" s="2" t="s">
        <v>12</v>
      </c>
      <c r="J3682" s="2" t="s">
        <v>12</v>
      </c>
      <c r="K3682" s="2" t="s">
        <v>12</v>
      </c>
    </row>
    <row r="3683" spans="1:11" ht="12.5" x14ac:dyDescent="0.25">
      <c r="A3683" s="3" t="e">
        <f ca="1"/>
        <v>#NAME?</v>
      </c>
      <c r="B3683" s="2" t="s">
        <v>12</v>
      </c>
      <c r="C3683" s="2" t="s">
        <v>12</v>
      </c>
      <c r="D3683" s="2" t="s">
        <v>12</v>
      </c>
      <c r="E3683" s="2" t="s">
        <v>12</v>
      </c>
      <c r="F3683" s="2" t="s">
        <v>12</v>
      </c>
      <c r="G3683" s="2" t="s">
        <v>12</v>
      </c>
      <c r="H3683" s="2" t="s">
        <v>12</v>
      </c>
      <c r="I3683" s="2" t="s">
        <v>12</v>
      </c>
      <c r="J3683" s="2" t="s">
        <v>12</v>
      </c>
      <c r="K3683" s="2" t="s">
        <v>12</v>
      </c>
    </row>
    <row r="3684" spans="1:11" ht="12.5" x14ac:dyDescent="0.25">
      <c r="A3684" s="3" t="e">
        <f ca="1"/>
        <v>#NAME?</v>
      </c>
      <c r="B3684" s="2" t="s">
        <v>12</v>
      </c>
      <c r="C3684" s="2" t="s">
        <v>12</v>
      </c>
      <c r="D3684" s="2" t="s">
        <v>12</v>
      </c>
      <c r="E3684" s="2" t="s">
        <v>12</v>
      </c>
      <c r="F3684" s="2" t="s">
        <v>12</v>
      </c>
      <c r="G3684" s="2" t="s">
        <v>12</v>
      </c>
      <c r="H3684" s="2" t="s">
        <v>12</v>
      </c>
      <c r="I3684" s="2" t="s">
        <v>12</v>
      </c>
      <c r="J3684" s="2" t="s">
        <v>12</v>
      </c>
      <c r="K3684" s="2" t="s">
        <v>12</v>
      </c>
    </row>
    <row r="3685" spans="1:11" ht="12.5" x14ac:dyDescent="0.25">
      <c r="A3685" s="3" t="e">
        <f ca="1"/>
        <v>#NAME?</v>
      </c>
      <c r="B3685" s="2" t="s">
        <v>12</v>
      </c>
      <c r="C3685" s="2" t="s">
        <v>12</v>
      </c>
      <c r="D3685" s="2" t="s">
        <v>12</v>
      </c>
      <c r="E3685" s="2" t="s">
        <v>12</v>
      </c>
      <c r="F3685" s="2" t="s">
        <v>12</v>
      </c>
      <c r="G3685" s="2" t="s">
        <v>12</v>
      </c>
      <c r="H3685" s="2" t="s">
        <v>12</v>
      </c>
      <c r="I3685" s="2" t="s">
        <v>12</v>
      </c>
      <c r="J3685" s="2" t="s">
        <v>12</v>
      </c>
      <c r="K3685" s="2" t="s">
        <v>12</v>
      </c>
    </row>
    <row r="3686" spans="1:11" ht="12.5" x14ac:dyDescent="0.25">
      <c r="A3686" s="3" t="e">
        <f ca="1"/>
        <v>#NAME?</v>
      </c>
      <c r="B3686" s="2" t="s">
        <v>12</v>
      </c>
      <c r="C3686" s="2" t="s">
        <v>12</v>
      </c>
      <c r="D3686" s="2" t="s">
        <v>12</v>
      </c>
      <c r="E3686" s="2" t="s">
        <v>12</v>
      </c>
      <c r="F3686" s="2" t="s">
        <v>12</v>
      </c>
      <c r="G3686" s="2" t="s">
        <v>12</v>
      </c>
      <c r="H3686" s="2" t="s">
        <v>12</v>
      </c>
      <c r="I3686" s="2" t="s">
        <v>12</v>
      </c>
      <c r="J3686" s="2" t="s">
        <v>12</v>
      </c>
      <c r="K3686" s="2" t="s">
        <v>12</v>
      </c>
    </row>
    <row r="3687" spans="1:11" ht="12.5" x14ac:dyDescent="0.25">
      <c r="A3687" s="3" t="e">
        <f ca="1"/>
        <v>#NAME?</v>
      </c>
      <c r="B3687" s="2" t="s">
        <v>12</v>
      </c>
      <c r="C3687" s="2" t="s">
        <v>12</v>
      </c>
      <c r="D3687" s="2" t="s">
        <v>12</v>
      </c>
      <c r="E3687" s="2" t="s">
        <v>12</v>
      </c>
      <c r="F3687" s="2" t="s">
        <v>12</v>
      </c>
      <c r="G3687" s="2" t="s">
        <v>12</v>
      </c>
      <c r="H3687" s="2" t="s">
        <v>12</v>
      </c>
      <c r="I3687" s="2" t="s">
        <v>12</v>
      </c>
      <c r="J3687" s="2" t="s">
        <v>12</v>
      </c>
      <c r="K3687" s="2" t="s">
        <v>12</v>
      </c>
    </row>
    <row r="3688" spans="1:11" ht="12.5" x14ac:dyDescent="0.25">
      <c r="A3688" s="3" t="e">
        <f ca="1"/>
        <v>#NAME?</v>
      </c>
      <c r="B3688" s="2" t="s">
        <v>12</v>
      </c>
      <c r="C3688" s="2" t="s">
        <v>12</v>
      </c>
      <c r="D3688" s="2" t="s">
        <v>12</v>
      </c>
      <c r="E3688" s="2" t="s">
        <v>12</v>
      </c>
      <c r="F3688" s="2" t="s">
        <v>12</v>
      </c>
      <c r="G3688" s="2" t="s">
        <v>12</v>
      </c>
      <c r="H3688" s="2" t="s">
        <v>12</v>
      </c>
      <c r="I3688" s="2" t="s">
        <v>12</v>
      </c>
      <c r="J3688" s="2" t="s">
        <v>12</v>
      </c>
      <c r="K3688" s="2" t="s">
        <v>12</v>
      </c>
    </row>
    <row r="3689" spans="1:11" ht="12.5" x14ac:dyDescent="0.25">
      <c r="A3689" s="3" t="e">
        <f ca="1"/>
        <v>#NAME?</v>
      </c>
      <c r="B3689" s="2" t="s">
        <v>12</v>
      </c>
      <c r="C3689" s="2" t="s">
        <v>12</v>
      </c>
      <c r="D3689" s="2" t="s">
        <v>12</v>
      </c>
      <c r="E3689" s="2" t="s">
        <v>12</v>
      </c>
      <c r="F3689" s="2" t="s">
        <v>12</v>
      </c>
      <c r="G3689" s="2" t="s">
        <v>12</v>
      </c>
      <c r="H3689" s="2" t="s">
        <v>12</v>
      </c>
      <c r="I3689" s="2" t="s">
        <v>12</v>
      </c>
      <c r="J3689" s="2" t="s">
        <v>12</v>
      </c>
      <c r="K3689" s="2" t="s">
        <v>12</v>
      </c>
    </row>
    <row r="3690" spans="1:11" ht="12.5" x14ac:dyDescent="0.25">
      <c r="A3690" s="3" t="e">
        <f ca="1"/>
        <v>#NAME?</v>
      </c>
      <c r="B3690" s="2" t="s">
        <v>12</v>
      </c>
      <c r="C3690" s="2" t="s">
        <v>12</v>
      </c>
      <c r="D3690" s="2" t="s">
        <v>12</v>
      </c>
      <c r="E3690" s="2" t="s">
        <v>12</v>
      </c>
      <c r="F3690" s="2" t="s">
        <v>12</v>
      </c>
      <c r="G3690" s="2" t="s">
        <v>12</v>
      </c>
      <c r="H3690" s="2" t="s">
        <v>12</v>
      </c>
      <c r="I3690" s="2" t="s">
        <v>12</v>
      </c>
      <c r="J3690" s="2" t="s">
        <v>12</v>
      </c>
      <c r="K3690" s="2" t="s">
        <v>12</v>
      </c>
    </row>
    <row r="3691" spans="1:11" ht="12.5" x14ac:dyDescent="0.25">
      <c r="A3691" s="3" t="e">
        <f ca="1"/>
        <v>#NAME?</v>
      </c>
      <c r="B3691" s="2" t="s">
        <v>12</v>
      </c>
      <c r="C3691" s="2" t="s">
        <v>12</v>
      </c>
      <c r="D3691" s="2" t="s">
        <v>12</v>
      </c>
      <c r="E3691" s="2" t="s">
        <v>12</v>
      </c>
      <c r="F3691" s="2" t="s">
        <v>12</v>
      </c>
      <c r="G3691" s="2" t="s">
        <v>12</v>
      </c>
      <c r="H3691" s="2" t="s">
        <v>12</v>
      </c>
      <c r="I3691" s="2" t="s">
        <v>12</v>
      </c>
      <c r="J3691" s="2" t="s">
        <v>12</v>
      </c>
      <c r="K3691" s="2" t="s">
        <v>12</v>
      </c>
    </row>
    <row r="3692" spans="1:11" ht="12.5" x14ac:dyDescent="0.25">
      <c r="A3692" s="3" t="e">
        <f ca="1"/>
        <v>#NAME?</v>
      </c>
      <c r="B3692" s="2" t="s">
        <v>12</v>
      </c>
      <c r="C3692" s="2" t="s">
        <v>12</v>
      </c>
      <c r="D3692" s="2" t="s">
        <v>12</v>
      </c>
      <c r="E3692" s="2" t="s">
        <v>12</v>
      </c>
      <c r="F3692" s="2" t="s">
        <v>12</v>
      </c>
      <c r="G3692" s="2" t="s">
        <v>12</v>
      </c>
      <c r="H3692" s="2" t="s">
        <v>12</v>
      </c>
      <c r="I3692" s="2" t="s">
        <v>12</v>
      </c>
      <c r="J3692" s="2" t="s">
        <v>12</v>
      </c>
      <c r="K3692" s="2" t="s">
        <v>12</v>
      </c>
    </row>
    <row r="3693" spans="1:11" ht="12.5" x14ac:dyDescent="0.25">
      <c r="A3693" s="3" t="e">
        <f ca="1"/>
        <v>#NAME?</v>
      </c>
      <c r="B3693" s="2" t="s">
        <v>12</v>
      </c>
      <c r="C3693" s="2" t="s">
        <v>12</v>
      </c>
      <c r="D3693" s="2" t="s">
        <v>12</v>
      </c>
      <c r="E3693" s="2" t="s">
        <v>12</v>
      </c>
      <c r="F3693" s="2" t="s">
        <v>12</v>
      </c>
      <c r="G3693" s="2" t="s">
        <v>12</v>
      </c>
      <c r="H3693" s="2" t="s">
        <v>12</v>
      </c>
      <c r="I3693" s="2" t="s">
        <v>12</v>
      </c>
      <c r="J3693" s="2" t="s">
        <v>12</v>
      </c>
      <c r="K3693" s="2" t="s">
        <v>12</v>
      </c>
    </row>
    <row r="3694" spans="1:11" ht="12.5" x14ac:dyDescent="0.25">
      <c r="A3694" s="3" t="e">
        <f ca="1"/>
        <v>#NAME?</v>
      </c>
      <c r="B3694" s="2" t="s">
        <v>12</v>
      </c>
      <c r="C3694" s="2" t="s">
        <v>12</v>
      </c>
      <c r="D3694" s="2" t="s">
        <v>12</v>
      </c>
      <c r="E3694" s="2" t="s">
        <v>12</v>
      </c>
      <c r="F3694" s="2" t="s">
        <v>12</v>
      </c>
      <c r="G3694" s="2" t="s">
        <v>12</v>
      </c>
      <c r="H3694" s="2" t="s">
        <v>12</v>
      </c>
      <c r="I3694" s="2" t="s">
        <v>12</v>
      </c>
      <c r="J3694" s="2" t="s">
        <v>12</v>
      </c>
      <c r="K3694" s="2" t="s">
        <v>12</v>
      </c>
    </row>
    <row r="3695" spans="1:11" ht="12.5" x14ac:dyDescent="0.25">
      <c r="A3695" s="3" t="e">
        <f ca="1"/>
        <v>#NAME?</v>
      </c>
      <c r="B3695" s="2" t="s">
        <v>12</v>
      </c>
      <c r="C3695" s="2" t="s">
        <v>12</v>
      </c>
      <c r="D3695" s="2" t="s">
        <v>12</v>
      </c>
      <c r="E3695" s="2" t="s">
        <v>12</v>
      </c>
      <c r="F3695" s="2" t="s">
        <v>12</v>
      </c>
      <c r="G3695" s="2" t="s">
        <v>12</v>
      </c>
      <c r="H3695" s="2" t="s">
        <v>12</v>
      </c>
      <c r="I3695" s="2" t="s">
        <v>12</v>
      </c>
      <c r="J3695" s="2" t="s">
        <v>12</v>
      </c>
      <c r="K3695" s="2" t="s">
        <v>12</v>
      </c>
    </row>
    <row r="3696" spans="1:11" ht="12.5" x14ac:dyDescent="0.25">
      <c r="A3696" s="3" t="e">
        <f ca="1"/>
        <v>#NAME?</v>
      </c>
      <c r="B3696" s="2" t="s">
        <v>12</v>
      </c>
      <c r="C3696" s="2" t="s">
        <v>12</v>
      </c>
      <c r="D3696" s="2" t="s">
        <v>12</v>
      </c>
      <c r="E3696" s="2" t="s">
        <v>12</v>
      </c>
      <c r="F3696" s="2" t="s">
        <v>12</v>
      </c>
      <c r="G3696" s="2" t="s">
        <v>12</v>
      </c>
      <c r="H3696" s="2" t="s">
        <v>12</v>
      </c>
      <c r="I3696" s="2" t="s">
        <v>12</v>
      </c>
      <c r="J3696" s="2" t="s">
        <v>12</v>
      </c>
      <c r="K3696" s="2" t="s">
        <v>12</v>
      </c>
    </row>
    <row r="3697" spans="1:11" ht="12.5" x14ac:dyDescent="0.25">
      <c r="A3697" s="3" t="e">
        <f ca="1"/>
        <v>#NAME?</v>
      </c>
      <c r="B3697" s="2" t="s">
        <v>12</v>
      </c>
      <c r="C3697" s="2" t="s">
        <v>12</v>
      </c>
      <c r="D3697" s="2" t="s">
        <v>12</v>
      </c>
      <c r="E3697" s="2" t="s">
        <v>12</v>
      </c>
      <c r="F3697" s="2" t="s">
        <v>12</v>
      </c>
      <c r="G3697" s="2" t="s">
        <v>12</v>
      </c>
      <c r="H3697" s="2" t="s">
        <v>12</v>
      </c>
      <c r="I3697" s="2" t="s">
        <v>12</v>
      </c>
      <c r="J3697" s="2" t="s">
        <v>12</v>
      </c>
      <c r="K3697" s="2" t="s">
        <v>12</v>
      </c>
    </row>
    <row r="3698" spans="1:11" ht="12.5" x14ac:dyDescent="0.25">
      <c r="A3698" s="3" t="e">
        <f ca="1"/>
        <v>#NAME?</v>
      </c>
      <c r="B3698" s="2" t="s">
        <v>12</v>
      </c>
      <c r="C3698" s="2" t="s">
        <v>12</v>
      </c>
      <c r="D3698" s="2" t="s">
        <v>12</v>
      </c>
      <c r="E3698" s="2" t="s">
        <v>12</v>
      </c>
      <c r="F3698" s="2" t="s">
        <v>12</v>
      </c>
      <c r="G3698" s="2" t="s">
        <v>12</v>
      </c>
      <c r="H3698" s="2" t="s">
        <v>12</v>
      </c>
      <c r="I3698" s="2" t="s">
        <v>12</v>
      </c>
      <c r="J3698" s="2" t="s">
        <v>12</v>
      </c>
      <c r="K3698" s="2" t="s">
        <v>12</v>
      </c>
    </row>
    <row r="3699" spans="1:11" ht="12.5" x14ac:dyDescent="0.25">
      <c r="A3699" s="3" t="e">
        <f ca="1"/>
        <v>#NAME?</v>
      </c>
      <c r="B3699" s="2" t="s">
        <v>12</v>
      </c>
      <c r="C3699" s="2" t="s">
        <v>12</v>
      </c>
      <c r="D3699" s="2" t="s">
        <v>12</v>
      </c>
      <c r="E3699" s="2" t="s">
        <v>12</v>
      </c>
      <c r="F3699" s="2" t="s">
        <v>12</v>
      </c>
      <c r="G3699" s="2" t="s">
        <v>12</v>
      </c>
      <c r="H3699" s="2" t="s">
        <v>12</v>
      </c>
      <c r="I3699" s="2" t="s">
        <v>12</v>
      </c>
      <c r="J3699" s="2" t="s">
        <v>12</v>
      </c>
      <c r="K3699" s="2" t="s">
        <v>12</v>
      </c>
    </row>
    <row r="3700" spans="1:11" ht="12.5" x14ac:dyDescent="0.25">
      <c r="A3700" s="3" t="e">
        <f ca="1"/>
        <v>#NAME?</v>
      </c>
      <c r="B3700" s="2" t="s">
        <v>12</v>
      </c>
      <c r="C3700" s="2" t="s">
        <v>12</v>
      </c>
      <c r="D3700" s="2" t="s">
        <v>12</v>
      </c>
      <c r="E3700" s="2" t="s">
        <v>12</v>
      </c>
      <c r="F3700" s="2" t="s">
        <v>12</v>
      </c>
      <c r="G3700" s="2" t="s">
        <v>12</v>
      </c>
      <c r="H3700" s="2" t="s">
        <v>12</v>
      </c>
      <c r="I3700" s="2" t="s">
        <v>12</v>
      </c>
      <c r="J3700" s="2" t="s">
        <v>12</v>
      </c>
      <c r="K3700" s="2" t="s">
        <v>12</v>
      </c>
    </row>
    <row r="3701" spans="1:11" ht="12.5" x14ac:dyDescent="0.25">
      <c r="A3701" s="3" t="e">
        <f ca="1"/>
        <v>#NAME?</v>
      </c>
      <c r="B3701" s="2" t="s">
        <v>12</v>
      </c>
      <c r="C3701" s="2" t="s">
        <v>12</v>
      </c>
      <c r="D3701" s="2" t="s">
        <v>12</v>
      </c>
      <c r="E3701" s="2" t="s">
        <v>12</v>
      </c>
      <c r="F3701" s="2" t="s">
        <v>12</v>
      </c>
      <c r="G3701" s="2" t="s">
        <v>12</v>
      </c>
      <c r="H3701" s="2" t="s">
        <v>12</v>
      </c>
      <c r="I3701" s="2" t="s">
        <v>12</v>
      </c>
      <c r="J3701" s="2" t="s">
        <v>12</v>
      </c>
      <c r="K3701" s="2" t="s">
        <v>12</v>
      </c>
    </row>
    <row r="3702" spans="1:11" ht="12.5" x14ac:dyDescent="0.25">
      <c r="A3702" s="3" t="e">
        <f ca="1"/>
        <v>#NAME?</v>
      </c>
      <c r="B3702" s="2" t="s">
        <v>12</v>
      </c>
      <c r="C3702" s="2" t="s">
        <v>12</v>
      </c>
      <c r="D3702" s="2" t="s">
        <v>12</v>
      </c>
      <c r="E3702" s="2" t="s">
        <v>12</v>
      </c>
      <c r="F3702" s="2" t="s">
        <v>12</v>
      </c>
      <c r="G3702" s="2" t="s">
        <v>12</v>
      </c>
      <c r="H3702" s="2" t="s">
        <v>12</v>
      </c>
      <c r="I3702" s="2" t="s">
        <v>12</v>
      </c>
      <c r="J3702" s="2" t="s">
        <v>12</v>
      </c>
      <c r="K3702" s="2" t="s">
        <v>12</v>
      </c>
    </row>
    <row r="3703" spans="1:11" ht="12.5" x14ac:dyDescent="0.25">
      <c r="A3703" s="3" t="e">
        <f ca="1"/>
        <v>#NAME?</v>
      </c>
      <c r="B3703" s="2" t="s">
        <v>12</v>
      </c>
      <c r="C3703" s="2" t="s">
        <v>12</v>
      </c>
      <c r="D3703" s="2" t="s">
        <v>12</v>
      </c>
      <c r="E3703" s="2" t="s">
        <v>12</v>
      </c>
      <c r="F3703" s="2" t="s">
        <v>12</v>
      </c>
      <c r="G3703" s="2" t="s">
        <v>12</v>
      </c>
      <c r="H3703" s="2" t="s">
        <v>12</v>
      </c>
      <c r="I3703" s="2" t="s">
        <v>12</v>
      </c>
      <c r="J3703" s="2" t="s">
        <v>12</v>
      </c>
      <c r="K3703" s="2" t="s">
        <v>12</v>
      </c>
    </row>
    <row r="3704" spans="1:11" ht="12.5" x14ac:dyDescent="0.25">
      <c r="A3704" s="3" t="e">
        <f ca="1"/>
        <v>#NAME?</v>
      </c>
      <c r="B3704" s="2" t="s">
        <v>12</v>
      </c>
      <c r="C3704" s="2" t="s">
        <v>12</v>
      </c>
      <c r="D3704" s="2" t="s">
        <v>12</v>
      </c>
      <c r="E3704" s="2" t="s">
        <v>12</v>
      </c>
      <c r="F3704" s="2" t="s">
        <v>12</v>
      </c>
      <c r="G3704" s="2" t="s">
        <v>12</v>
      </c>
      <c r="H3704" s="2" t="s">
        <v>12</v>
      </c>
      <c r="I3704" s="2" t="s">
        <v>12</v>
      </c>
      <c r="J3704" s="2" t="s">
        <v>12</v>
      </c>
      <c r="K3704" s="2" t="s">
        <v>12</v>
      </c>
    </row>
    <row r="3705" spans="1:11" ht="12.5" x14ac:dyDescent="0.25">
      <c r="A3705" s="3" t="e">
        <f ca="1"/>
        <v>#NAME?</v>
      </c>
      <c r="B3705" s="2" t="s">
        <v>12</v>
      </c>
      <c r="C3705" s="2" t="s">
        <v>12</v>
      </c>
      <c r="D3705" s="2" t="s">
        <v>12</v>
      </c>
      <c r="E3705" s="2" t="s">
        <v>12</v>
      </c>
      <c r="F3705" s="2" t="s">
        <v>12</v>
      </c>
      <c r="G3705" s="2" t="s">
        <v>12</v>
      </c>
      <c r="H3705" s="2" t="s">
        <v>12</v>
      </c>
      <c r="I3705" s="2" t="s">
        <v>12</v>
      </c>
      <c r="J3705" s="2" t="s">
        <v>12</v>
      </c>
      <c r="K3705" s="2" t="s">
        <v>12</v>
      </c>
    </row>
    <row r="3706" spans="1:11" ht="12.5" x14ac:dyDescent="0.25">
      <c r="A3706" s="3" t="e">
        <f ca="1"/>
        <v>#NAME?</v>
      </c>
      <c r="B3706" s="2" t="s">
        <v>12</v>
      </c>
      <c r="C3706" s="2" t="s">
        <v>12</v>
      </c>
      <c r="D3706" s="2" t="s">
        <v>12</v>
      </c>
      <c r="E3706" s="2" t="s">
        <v>12</v>
      </c>
      <c r="F3706" s="2" t="s">
        <v>12</v>
      </c>
      <c r="G3706" s="2" t="s">
        <v>12</v>
      </c>
      <c r="H3706" s="2" t="s">
        <v>12</v>
      </c>
      <c r="I3706" s="2" t="s">
        <v>12</v>
      </c>
      <c r="J3706" s="2" t="s">
        <v>12</v>
      </c>
      <c r="K3706" s="2" t="s">
        <v>12</v>
      </c>
    </row>
    <row r="3707" spans="1:11" ht="12.5" x14ac:dyDescent="0.25">
      <c r="A3707" s="3" t="e">
        <f ca="1"/>
        <v>#NAME?</v>
      </c>
      <c r="B3707" s="2" t="s">
        <v>12</v>
      </c>
      <c r="C3707" s="2" t="s">
        <v>12</v>
      </c>
      <c r="D3707" s="2" t="s">
        <v>12</v>
      </c>
      <c r="E3707" s="2" t="s">
        <v>12</v>
      </c>
      <c r="F3707" s="2" t="s">
        <v>12</v>
      </c>
      <c r="G3707" s="2" t="s">
        <v>12</v>
      </c>
      <c r="H3707" s="2" t="s">
        <v>12</v>
      </c>
      <c r="I3707" s="2" t="s">
        <v>12</v>
      </c>
      <c r="J3707" s="2" t="s">
        <v>12</v>
      </c>
      <c r="K3707" s="2" t="s">
        <v>12</v>
      </c>
    </row>
    <row r="3708" spans="1:11" ht="12.5" x14ac:dyDescent="0.25">
      <c r="A3708" s="3" t="e">
        <f ca="1"/>
        <v>#NAME?</v>
      </c>
      <c r="B3708" s="2" t="s">
        <v>12</v>
      </c>
      <c r="C3708" s="2" t="s">
        <v>12</v>
      </c>
      <c r="D3708" s="2" t="s">
        <v>12</v>
      </c>
      <c r="E3708" s="2" t="s">
        <v>12</v>
      </c>
      <c r="F3708" s="2" t="s">
        <v>12</v>
      </c>
      <c r="G3708" s="2" t="s">
        <v>12</v>
      </c>
      <c r="H3708" s="2" t="s">
        <v>12</v>
      </c>
      <c r="I3708" s="2" t="s">
        <v>12</v>
      </c>
      <c r="J3708" s="2" t="s">
        <v>12</v>
      </c>
      <c r="K3708" s="2" t="s">
        <v>12</v>
      </c>
    </row>
    <row r="3709" spans="1:11" ht="12.5" x14ac:dyDescent="0.25">
      <c r="A3709" s="3" t="e">
        <f ca="1"/>
        <v>#NAME?</v>
      </c>
      <c r="B3709" s="2" t="s">
        <v>12</v>
      </c>
      <c r="C3709" s="2" t="s">
        <v>12</v>
      </c>
      <c r="D3709" s="2" t="s">
        <v>12</v>
      </c>
      <c r="E3709" s="2" t="s">
        <v>12</v>
      </c>
      <c r="F3709" s="2" t="s">
        <v>12</v>
      </c>
      <c r="G3709" s="2" t="s">
        <v>12</v>
      </c>
      <c r="H3709" s="2" t="s">
        <v>12</v>
      </c>
      <c r="I3709" s="2" t="s">
        <v>12</v>
      </c>
      <c r="J3709" s="2" t="s">
        <v>12</v>
      </c>
      <c r="K3709" s="2" t="s">
        <v>12</v>
      </c>
    </row>
    <row r="3710" spans="1:11" ht="12.5" x14ac:dyDescent="0.25">
      <c r="A3710" s="3" t="e">
        <f ca="1"/>
        <v>#NAME?</v>
      </c>
      <c r="B3710" s="2" t="s">
        <v>12</v>
      </c>
      <c r="C3710" s="2" t="s">
        <v>12</v>
      </c>
      <c r="D3710" s="2" t="s">
        <v>12</v>
      </c>
      <c r="E3710" s="2" t="s">
        <v>12</v>
      </c>
      <c r="F3710" s="2" t="s">
        <v>12</v>
      </c>
      <c r="G3710" s="2" t="s">
        <v>12</v>
      </c>
      <c r="H3710" s="2" t="s">
        <v>12</v>
      </c>
      <c r="I3710" s="2" t="s">
        <v>12</v>
      </c>
      <c r="J3710" s="2" t="s">
        <v>12</v>
      </c>
      <c r="K3710" s="2" t="s">
        <v>12</v>
      </c>
    </row>
    <row r="3711" spans="1:11" ht="12.5" x14ac:dyDescent="0.25">
      <c r="A3711" s="3" t="e">
        <f ca="1"/>
        <v>#NAME?</v>
      </c>
      <c r="B3711" s="2" t="s">
        <v>12</v>
      </c>
      <c r="C3711" s="2" t="s">
        <v>12</v>
      </c>
      <c r="D3711" s="2" t="s">
        <v>12</v>
      </c>
      <c r="E3711" s="2" t="s">
        <v>12</v>
      </c>
      <c r="F3711" s="2" t="s">
        <v>12</v>
      </c>
      <c r="G3711" s="2" t="s">
        <v>12</v>
      </c>
      <c r="H3711" s="2" t="s">
        <v>12</v>
      </c>
      <c r="I3711" s="2" t="s">
        <v>12</v>
      </c>
      <c r="J3711" s="2" t="s">
        <v>12</v>
      </c>
      <c r="K3711" s="2" t="s">
        <v>12</v>
      </c>
    </row>
    <row r="3712" spans="1:11" ht="12.5" x14ac:dyDescent="0.25">
      <c r="A3712" s="3" t="e">
        <f ca="1"/>
        <v>#NAME?</v>
      </c>
      <c r="B3712" s="2" t="s">
        <v>12</v>
      </c>
      <c r="C3712" s="2" t="s">
        <v>12</v>
      </c>
      <c r="D3712" s="2" t="s">
        <v>12</v>
      </c>
      <c r="E3712" s="2" t="s">
        <v>12</v>
      </c>
      <c r="F3712" s="2" t="s">
        <v>12</v>
      </c>
      <c r="G3712" s="2" t="s">
        <v>12</v>
      </c>
      <c r="H3712" s="2" t="s">
        <v>12</v>
      </c>
      <c r="I3712" s="2" t="s">
        <v>12</v>
      </c>
      <c r="J3712" s="2" t="s">
        <v>12</v>
      </c>
      <c r="K3712" s="2" t="s">
        <v>12</v>
      </c>
    </row>
    <row r="3713" spans="1:11" ht="12.5" x14ac:dyDescent="0.25">
      <c r="A3713" s="3" t="e">
        <f ca="1"/>
        <v>#NAME?</v>
      </c>
      <c r="B3713" s="2" t="s">
        <v>12</v>
      </c>
      <c r="C3713" s="2" t="s">
        <v>12</v>
      </c>
      <c r="D3713" s="2" t="s">
        <v>12</v>
      </c>
      <c r="E3713" s="2" t="s">
        <v>12</v>
      </c>
      <c r="F3713" s="2" t="s">
        <v>12</v>
      </c>
      <c r="G3713" s="2" t="s">
        <v>12</v>
      </c>
      <c r="H3713" s="2" t="s">
        <v>12</v>
      </c>
      <c r="I3713" s="2" t="s">
        <v>12</v>
      </c>
      <c r="J3713" s="2" t="s">
        <v>12</v>
      </c>
      <c r="K3713" s="2" t="s">
        <v>12</v>
      </c>
    </row>
    <row r="3714" spans="1:11" ht="12.5" x14ac:dyDescent="0.25">
      <c r="A3714" s="3" t="e">
        <f ca="1"/>
        <v>#NAME?</v>
      </c>
      <c r="B3714" s="2" t="s">
        <v>12</v>
      </c>
      <c r="C3714" s="2" t="s">
        <v>12</v>
      </c>
      <c r="D3714" s="2" t="s">
        <v>12</v>
      </c>
      <c r="E3714" s="2" t="s">
        <v>12</v>
      </c>
      <c r="F3714" s="2" t="s">
        <v>12</v>
      </c>
      <c r="G3714" s="2" t="s">
        <v>12</v>
      </c>
      <c r="H3714" s="2" t="s">
        <v>12</v>
      </c>
      <c r="I3714" s="2" t="s">
        <v>12</v>
      </c>
      <c r="J3714" s="2" t="s">
        <v>12</v>
      </c>
      <c r="K3714" s="2" t="s">
        <v>12</v>
      </c>
    </row>
    <row r="3715" spans="1:11" ht="12.5" x14ac:dyDescent="0.25">
      <c r="A3715" s="3" t="e">
        <f ca="1"/>
        <v>#NAME?</v>
      </c>
      <c r="B3715" s="2" t="s">
        <v>12</v>
      </c>
      <c r="C3715" s="2" t="s">
        <v>12</v>
      </c>
      <c r="D3715" s="2" t="s">
        <v>12</v>
      </c>
      <c r="E3715" s="2" t="s">
        <v>12</v>
      </c>
      <c r="F3715" s="2" t="s">
        <v>12</v>
      </c>
      <c r="G3715" s="2" t="s">
        <v>12</v>
      </c>
      <c r="H3715" s="2" t="s">
        <v>12</v>
      </c>
      <c r="I3715" s="2" t="s">
        <v>12</v>
      </c>
      <c r="J3715" s="2" t="s">
        <v>12</v>
      </c>
      <c r="K3715" s="2" t="s">
        <v>12</v>
      </c>
    </row>
    <row r="3716" spans="1:11" ht="12.5" x14ac:dyDescent="0.25">
      <c r="A3716" s="3" t="e">
        <f ca="1"/>
        <v>#NAME?</v>
      </c>
      <c r="B3716" s="2" t="s">
        <v>12</v>
      </c>
      <c r="C3716" s="2" t="s">
        <v>12</v>
      </c>
      <c r="D3716" s="2" t="s">
        <v>12</v>
      </c>
      <c r="E3716" s="2" t="s">
        <v>12</v>
      </c>
      <c r="F3716" s="2" t="s">
        <v>12</v>
      </c>
      <c r="G3716" s="2" t="s">
        <v>12</v>
      </c>
      <c r="H3716" s="2" t="s">
        <v>12</v>
      </c>
      <c r="I3716" s="2" t="s">
        <v>12</v>
      </c>
      <c r="J3716" s="2" t="s">
        <v>12</v>
      </c>
      <c r="K3716" s="2" t="s">
        <v>12</v>
      </c>
    </row>
    <row r="3717" spans="1:11" ht="12.5" x14ac:dyDescent="0.25">
      <c r="A3717" s="3" t="e">
        <f ca="1"/>
        <v>#NAME?</v>
      </c>
      <c r="B3717" s="2" t="s">
        <v>12</v>
      </c>
      <c r="C3717" s="2" t="s">
        <v>12</v>
      </c>
      <c r="D3717" s="2" t="s">
        <v>12</v>
      </c>
      <c r="E3717" s="2" t="s">
        <v>12</v>
      </c>
      <c r="F3717" s="2" t="s">
        <v>12</v>
      </c>
      <c r="G3717" s="2" t="s">
        <v>12</v>
      </c>
      <c r="H3717" s="2" t="s">
        <v>12</v>
      </c>
      <c r="I3717" s="2" t="s">
        <v>12</v>
      </c>
      <c r="J3717" s="2" t="s">
        <v>12</v>
      </c>
      <c r="K3717" s="2" t="s">
        <v>12</v>
      </c>
    </row>
    <row r="3718" spans="1:11" ht="12.5" x14ac:dyDescent="0.25">
      <c r="A3718" s="3" t="e">
        <f ca="1"/>
        <v>#NAME?</v>
      </c>
      <c r="B3718" s="2" t="s">
        <v>12</v>
      </c>
      <c r="C3718" s="2" t="s">
        <v>12</v>
      </c>
      <c r="D3718" s="2" t="s">
        <v>12</v>
      </c>
      <c r="E3718" s="2" t="s">
        <v>12</v>
      </c>
      <c r="F3718" s="2" t="s">
        <v>12</v>
      </c>
      <c r="G3718" s="2" t="s">
        <v>12</v>
      </c>
      <c r="H3718" s="2" t="s">
        <v>12</v>
      </c>
      <c r="I3718" s="2" t="s">
        <v>12</v>
      </c>
      <c r="J3718" s="2" t="s">
        <v>12</v>
      </c>
      <c r="K3718" s="2" t="s">
        <v>12</v>
      </c>
    </row>
    <row r="3719" spans="1:11" ht="12.5" x14ac:dyDescent="0.25">
      <c r="A3719" s="3" t="e">
        <f ca="1"/>
        <v>#NAME?</v>
      </c>
      <c r="B3719" s="2" t="s">
        <v>12</v>
      </c>
      <c r="C3719" s="2" t="s">
        <v>12</v>
      </c>
      <c r="D3719" s="2" t="s">
        <v>12</v>
      </c>
      <c r="E3719" s="2" t="s">
        <v>12</v>
      </c>
      <c r="F3719" s="2" t="s">
        <v>12</v>
      </c>
      <c r="G3719" s="2" t="s">
        <v>12</v>
      </c>
      <c r="H3719" s="2" t="s">
        <v>12</v>
      </c>
      <c r="I3719" s="2" t="s">
        <v>12</v>
      </c>
      <c r="J3719" s="2" t="s">
        <v>12</v>
      </c>
      <c r="K3719" s="2" t="s">
        <v>12</v>
      </c>
    </row>
    <row r="3720" spans="1:11" ht="12.5" x14ac:dyDescent="0.25">
      <c r="A3720" s="3" t="e">
        <f ca="1"/>
        <v>#NAME?</v>
      </c>
      <c r="B3720" s="2" t="s">
        <v>12</v>
      </c>
      <c r="C3720" s="2" t="s">
        <v>12</v>
      </c>
      <c r="D3720" s="2" t="s">
        <v>12</v>
      </c>
      <c r="E3720" s="2" t="s">
        <v>12</v>
      </c>
      <c r="F3720" s="2" t="s">
        <v>12</v>
      </c>
      <c r="G3720" s="2" t="s">
        <v>12</v>
      </c>
      <c r="H3720" s="2" t="s">
        <v>12</v>
      </c>
      <c r="I3720" s="2" t="s">
        <v>12</v>
      </c>
      <c r="J3720" s="2" t="s">
        <v>12</v>
      </c>
      <c r="K3720" s="2" t="s">
        <v>12</v>
      </c>
    </row>
    <row r="3721" spans="1:11" ht="12.5" x14ac:dyDescent="0.25">
      <c r="A3721" s="3" t="e">
        <f ca="1"/>
        <v>#NAME?</v>
      </c>
      <c r="B3721" s="2" t="s">
        <v>12</v>
      </c>
      <c r="C3721" s="2" t="s">
        <v>12</v>
      </c>
      <c r="D3721" s="2" t="s">
        <v>12</v>
      </c>
      <c r="E3721" s="2" t="s">
        <v>12</v>
      </c>
      <c r="F3721" s="2" t="s">
        <v>12</v>
      </c>
      <c r="G3721" s="2" t="s">
        <v>12</v>
      </c>
      <c r="H3721" s="2" t="s">
        <v>12</v>
      </c>
      <c r="I3721" s="2" t="s">
        <v>12</v>
      </c>
      <c r="J3721" s="2" t="s">
        <v>12</v>
      </c>
      <c r="K3721" s="2" t="s">
        <v>12</v>
      </c>
    </row>
    <row r="3722" spans="1:11" ht="12.5" x14ac:dyDescent="0.25">
      <c r="A3722" s="3" t="e">
        <f ca="1"/>
        <v>#NAME?</v>
      </c>
      <c r="B3722" s="2" t="s">
        <v>12</v>
      </c>
      <c r="C3722" s="2" t="s">
        <v>12</v>
      </c>
      <c r="D3722" s="2" t="s">
        <v>12</v>
      </c>
      <c r="E3722" s="2" t="s">
        <v>12</v>
      </c>
      <c r="F3722" s="2" t="s">
        <v>12</v>
      </c>
      <c r="G3722" s="2" t="s">
        <v>12</v>
      </c>
      <c r="H3722" s="2" t="s">
        <v>12</v>
      </c>
      <c r="I3722" s="2" t="s">
        <v>12</v>
      </c>
      <c r="J3722" s="2" t="s">
        <v>12</v>
      </c>
      <c r="K3722" s="2" t="s">
        <v>12</v>
      </c>
    </row>
    <row r="3723" spans="1:11" ht="12.5" x14ac:dyDescent="0.25">
      <c r="A3723" s="3" t="e">
        <f ca="1"/>
        <v>#NAME?</v>
      </c>
      <c r="B3723" s="2" t="s">
        <v>12</v>
      </c>
      <c r="C3723" s="2" t="s">
        <v>12</v>
      </c>
      <c r="D3723" s="2" t="s">
        <v>12</v>
      </c>
      <c r="E3723" s="2" t="s">
        <v>12</v>
      </c>
      <c r="F3723" s="2" t="s">
        <v>12</v>
      </c>
      <c r="G3723" s="2" t="s">
        <v>12</v>
      </c>
      <c r="H3723" s="2" t="s">
        <v>12</v>
      </c>
      <c r="I3723" s="2" t="s">
        <v>12</v>
      </c>
      <c r="J3723" s="2" t="s">
        <v>12</v>
      </c>
      <c r="K3723" s="2" t="s">
        <v>12</v>
      </c>
    </row>
    <row r="3724" spans="1:11" ht="12.5" x14ac:dyDescent="0.25">
      <c r="A3724" s="3" t="e">
        <f ca="1"/>
        <v>#NAME?</v>
      </c>
      <c r="B3724" s="2" t="s">
        <v>12</v>
      </c>
      <c r="C3724" s="2" t="s">
        <v>12</v>
      </c>
      <c r="D3724" s="2" t="s">
        <v>12</v>
      </c>
      <c r="E3724" s="2" t="s">
        <v>12</v>
      </c>
      <c r="F3724" s="2" t="s">
        <v>12</v>
      </c>
      <c r="G3724" s="2" t="s">
        <v>12</v>
      </c>
      <c r="H3724" s="2" t="s">
        <v>12</v>
      </c>
      <c r="I3724" s="2" t="s">
        <v>12</v>
      </c>
      <c r="J3724" s="2" t="s">
        <v>12</v>
      </c>
      <c r="K3724" s="2" t="s">
        <v>12</v>
      </c>
    </row>
    <row r="3725" spans="1:11" ht="12.5" x14ac:dyDescent="0.25">
      <c r="A3725" s="3" t="e">
        <f ca="1"/>
        <v>#NAME?</v>
      </c>
      <c r="B3725" s="2" t="s">
        <v>12</v>
      </c>
      <c r="C3725" s="2" t="s">
        <v>12</v>
      </c>
      <c r="D3725" s="2" t="s">
        <v>12</v>
      </c>
      <c r="E3725" s="2" t="s">
        <v>12</v>
      </c>
      <c r="F3725" s="2" t="s">
        <v>12</v>
      </c>
      <c r="G3725" s="2" t="s">
        <v>12</v>
      </c>
      <c r="H3725" s="2" t="s">
        <v>12</v>
      </c>
      <c r="I3725" s="2" t="s">
        <v>12</v>
      </c>
      <c r="J3725" s="2" t="s">
        <v>12</v>
      </c>
      <c r="K3725" s="2" t="s">
        <v>12</v>
      </c>
    </row>
    <row r="3726" spans="1:11" ht="12.5" x14ac:dyDescent="0.25">
      <c r="A3726" s="3" t="e">
        <f ca="1"/>
        <v>#NAME?</v>
      </c>
      <c r="B3726" s="2" t="s">
        <v>12</v>
      </c>
      <c r="C3726" s="2" t="s">
        <v>12</v>
      </c>
      <c r="D3726" s="2" t="s">
        <v>12</v>
      </c>
      <c r="E3726" s="2" t="s">
        <v>12</v>
      </c>
      <c r="F3726" s="2" t="s">
        <v>12</v>
      </c>
      <c r="G3726" s="2" t="s">
        <v>12</v>
      </c>
      <c r="H3726" s="2" t="s">
        <v>12</v>
      </c>
      <c r="I3726" s="2" t="s">
        <v>12</v>
      </c>
      <c r="J3726" s="2" t="s">
        <v>12</v>
      </c>
      <c r="K3726" s="2" t="s">
        <v>12</v>
      </c>
    </row>
    <row r="3727" spans="1:11" ht="12.5" x14ac:dyDescent="0.25">
      <c r="A3727" s="3" t="e">
        <f ca="1"/>
        <v>#NAME?</v>
      </c>
      <c r="B3727" s="2" t="s">
        <v>12</v>
      </c>
      <c r="C3727" s="2" t="s">
        <v>12</v>
      </c>
      <c r="D3727" s="2" t="s">
        <v>12</v>
      </c>
      <c r="E3727" s="2" t="s">
        <v>12</v>
      </c>
      <c r="F3727" s="2" t="s">
        <v>12</v>
      </c>
      <c r="G3727" s="2" t="s">
        <v>12</v>
      </c>
      <c r="H3727" s="2" t="s">
        <v>12</v>
      </c>
      <c r="I3727" s="2" t="s">
        <v>12</v>
      </c>
      <c r="J3727" s="2" t="s">
        <v>12</v>
      </c>
      <c r="K3727" s="2" t="s">
        <v>12</v>
      </c>
    </row>
    <row r="3728" spans="1:11" ht="12.5" x14ac:dyDescent="0.25">
      <c r="A3728" s="3" t="e">
        <f ca="1"/>
        <v>#NAME?</v>
      </c>
      <c r="B3728" s="2" t="s">
        <v>12</v>
      </c>
      <c r="C3728" s="2" t="s">
        <v>12</v>
      </c>
      <c r="D3728" s="2" t="s">
        <v>12</v>
      </c>
      <c r="E3728" s="2" t="s">
        <v>12</v>
      </c>
      <c r="F3728" s="2" t="s">
        <v>12</v>
      </c>
      <c r="G3728" s="2" t="s">
        <v>12</v>
      </c>
      <c r="H3728" s="2" t="s">
        <v>12</v>
      </c>
      <c r="I3728" s="2" t="s">
        <v>12</v>
      </c>
      <c r="J3728" s="2" t="s">
        <v>12</v>
      </c>
      <c r="K3728" s="2" t="s">
        <v>12</v>
      </c>
    </row>
    <row r="3729" spans="1:11" ht="12.5" x14ac:dyDescent="0.25">
      <c r="A3729" s="3" t="e">
        <f ca="1"/>
        <v>#NAME?</v>
      </c>
      <c r="B3729" s="2" t="s">
        <v>12</v>
      </c>
      <c r="C3729" s="2" t="s">
        <v>12</v>
      </c>
      <c r="D3729" s="2" t="s">
        <v>12</v>
      </c>
      <c r="E3729" s="2" t="s">
        <v>12</v>
      </c>
      <c r="F3729" s="2" t="s">
        <v>12</v>
      </c>
      <c r="G3729" s="2" t="s">
        <v>12</v>
      </c>
      <c r="H3729" s="2" t="s">
        <v>12</v>
      </c>
      <c r="I3729" s="2" t="s">
        <v>12</v>
      </c>
      <c r="J3729" s="2" t="s">
        <v>12</v>
      </c>
      <c r="K3729" s="2" t="s">
        <v>12</v>
      </c>
    </row>
    <row r="3730" spans="1:11" ht="12.5" x14ac:dyDescent="0.25">
      <c r="A3730" s="3" t="e">
        <f ca="1"/>
        <v>#NAME?</v>
      </c>
      <c r="B3730" s="2" t="s">
        <v>12</v>
      </c>
      <c r="C3730" s="2" t="s">
        <v>12</v>
      </c>
      <c r="D3730" s="2" t="s">
        <v>12</v>
      </c>
      <c r="E3730" s="2" t="s">
        <v>12</v>
      </c>
      <c r="F3730" s="2" t="s">
        <v>12</v>
      </c>
      <c r="G3730" s="2" t="s">
        <v>12</v>
      </c>
      <c r="H3730" s="2" t="s">
        <v>12</v>
      </c>
      <c r="I3730" s="2" t="s">
        <v>12</v>
      </c>
      <c r="J3730" s="2" t="s">
        <v>12</v>
      </c>
      <c r="K3730" s="2" t="s">
        <v>12</v>
      </c>
    </row>
    <row r="3731" spans="1:11" ht="12.5" x14ac:dyDescent="0.25">
      <c r="A3731" s="3" t="e">
        <f ca="1"/>
        <v>#NAME?</v>
      </c>
      <c r="B3731" s="2" t="s">
        <v>12</v>
      </c>
      <c r="C3731" s="2" t="s">
        <v>12</v>
      </c>
      <c r="D3731" s="2" t="s">
        <v>12</v>
      </c>
      <c r="E3731" s="2" t="s">
        <v>12</v>
      </c>
      <c r="F3731" s="2" t="s">
        <v>12</v>
      </c>
      <c r="G3731" s="2" t="s">
        <v>12</v>
      </c>
      <c r="H3731" s="2" t="s">
        <v>12</v>
      </c>
      <c r="I3731" s="2" t="s">
        <v>12</v>
      </c>
      <c r="J3731" s="2" t="s">
        <v>12</v>
      </c>
      <c r="K3731" s="2" t="s">
        <v>12</v>
      </c>
    </row>
    <row r="3732" spans="1:11" ht="12.5" x14ac:dyDescent="0.25">
      <c r="A3732" s="3" t="e">
        <f ca="1"/>
        <v>#NAME?</v>
      </c>
      <c r="B3732" s="2" t="s">
        <v>12</v>
      </c>
      <c r="C3732" s="2" t="s">
        <v>12</v>
      </c>
      <c r="D3732" s="2" t="s">
        <v>12</v>
      </c>
      <c r="E3732" s="2" t="s">
        <v>12</v>
      </c>
      <c r="F3732" s="2" t="s">
        <v>12</v>
      </c>
      <c r="G3732" s="2" t="s">
        <v>12</v>
      </c>
      <c r="H3732" s="2" t="s">
        <v>12</v>
      </c>
      <c r="I3732" s="2" t="s">
        <v>12</v>
      </c>
      <c r="J3732" s="2" t="s">
        <v>12</v>
      </c>
      <c r="K3732" s="2" t="s">
        <v>12</v>
      </c>
    </row>
    <row r="3733" spans="1:11" ht="12.5" x14ac:dyDescent="0.25">
      <c r="A3733" s="3" t="e">
        <f ca="1"/>
        <v>#NAME?</v>
      </c>
      <c r="B3733" s="2" t="s">
        <v>12</v>
      </c>
      <c r="C3733" s="2" t="s">
        <v>12</v>
      </c>
      <c r="D3733" s="2" t="s">
        <v>12</v>
      </c>
      <c r="E3733" s="2" t="s">
        <v>12</v>
      </c>
      <c r="F3733" s="2" t="s">
        <v>12</v>
      </c>
      <c r="G3733" s="2" t="s">
        <v>12</v>
      </c>
      <c r="H3733" s="2" t="s">
        <v>12</v>
      </c>
      <c r="I3733" s="2" t="s">
        <v>12</v>
      </c>
      <c r="J3733" s="2" t="s">
        <v>12</v>
      </c>
      <c r="K3733" s="2" t="s">
        <v>12</v>
      </c>
    </row>
    <row r="3734" spans="1:11" ht="12.5" x14ac:dyDescent="0.25">
      <c r="A3734" s="3" t="e">
        <f ca="1"/>
        <v>#NAME?</v>
      </c>
      <c r="B3734" s="2" t="s">
        <v>12</v>
      </c>
      <c r="C3734" s="2" t="s">
        <v>12</v>
      </c>
      <c r="D3734" s="2" t="s">
        <v>12</v>
      </c>
      <c r="E3734" s="2" t="s">
        <v>12</v>
      </c>
      <c r="F3734" s="2" t="s">
        <v>12</v>
      </c>
      <c r="G3734" s="2" t="s">
        <v>12</v>
      </c>
      <c r="H3734" s="2" t="s">
        <v>12</v>
      </c>
      <c r="I3734" s="2" t="s">
        <v>12</v>
      </c>
      <c r="J3734" s="2" t="s">
        <v>12</v>
      </c>
      <c r="K3734" s="2" t="s">
        <v>12</v>
      </c>
    </row>
    <row r="3735" spans="1:11" ht="12.5" x14ac:dyDescent="0.25">
      <c r="A3735" s="3" t="e">
        <f ca="1"/>
        <v>#NAME?</v>
      </c>
      <c r="B3735" s="2" t="s">
        <v>12</v>
      </c>
      <c r="C3735" s="2" t="s">
        <v>12</v>
      </c>
      <c r="D3735" s="2" t="s">
        <v>12</v>
      </c>
      <c r="E3735" s="2" t="s">
        <v>12</v>
      </c>
      <c r="F3735" s="2" t="s">
        <v>12</v>
      </c>
      <c r="G3735" s="2" t="s">
        <v>12</v>
      </c>
      <c r="H3735" s="2" t="s">
        <v>12</v>
      </c>
      <c r="I3735" s="2" t="s">
        <v>12</v>
      </c>
      <c r="J3735" s="2" t="s">
        <v>12</v>
      </c>
      <c r="K3735" s="2" t="s">
        <v>12</v>
      </c>
    </row>
    <row r="3736" spans="1:11" ht="12.5" x14ac:dyDescent="0.25">
      <c r="A3736" s="3" t="e">
        <f ca="1"/>
        <v>#NAME?</v>
      </c>
      <c r="B3736" s="2" t="s">
        <v>12</v>
      </c>
      <c r="C3736" s="2" t="s">
        <v>12</v>
      </c>
      <c r="D3736" s="2" t="s">
        <v>12</v>
      </c>
      <c r="E3736" s="2" t="s">
        <v>12</v>
      </c>
      <c r="F3736" s="2" t="s">
        <v>12</v>
      </c>
      <c r="G3736" s="2" t="s">
        <v>12</v>
      </c>
      <c r="H3736" s="2" t="s">
        <v>12</v>
      </c>
      <c r="I3736" s="2" t="s">
        <v>12</v>
      </c>
      <c r="J3736" s="2" t="s">
        <v>12</v>
      </c>
      <c r="K3736" s="2" t="s">
        <v>12</v>
      </c>
    </row>
    <row r="3737" spans="1:11" ht="12.5" x14ac:dyDescent="0.25">
      <c r="A3737" s="3" t="e">
        <f ca="1"/>
        <v>#NAME?</v>
      </c>
      <c r="B3737" s="2" t="s">
        <v>12</v>
      </c>
      <c r="C3737" s="2" t="s">
        <v>12</v>
      </c>
      <c r="D3737" s="2" t="s">
        <v>12</v>
      </c>
      <c r="E3737" s="2" t="s">
        <v>12</v>
      </c>
      <c r="F3737" s="2" t="s">
        <v>12</v>
      </c>
      <c r="G3737" s="2" t="s">
        <v>12</v>
      </c>
      <c r="H3737" s="2" t="s">
        <v>12</v>
      </c>
      <c r="I3737" s="2" t="s">
        <v>12</v>
      </c>
      <c r="J3737" s="2" t="s">
        <v>12</v>
      </c>
      <c r="K3737" s="2" t="s">
        <v>12</v>
      </c>
    </row>
    <row r="3738" spans="1:11" ht="12.5" x14ac:dyDescent="0.25">
      <c r="A3738" s="3" t="e">
        <f ca="1"/>
        <v>#NAME?</v>
      </c>
      <c r="B3738" s="2" t="s">
        <v>12</v>
      </c>
      <c r="C3738" s="2" t="s">
        <v>12</v>
      </c>
      <c r="D3738" s="2" t="s">
        <v>12</v>
      </c>
      <c r="E3738" s="2" t="s">
        <v>12</v>
      </c>
      <c r="F3738" s="2" t="s">
        <v>12</v>
      </c>
      <c r="G3738" s="2" t="s">
        <v>12</v>
      </c>
      <c r="H3738" s="2" t="s">
        <v>12</v>
      </c>
      <c r="I3738" s="2" t="s">
        <v>12</v>
      </c>
      <c r="J3738" s="2" t="s">
        <v>12</v>
      </c>
      <c r="K3738" s="2" t="s">
        <v>12</v>
      </c>
    </row>
    <row r="3739" spans="1:11" ht="12.5" x14ac:dyDescent="0.25">
      <c r="A3739" s="3" t="e">
        <f ca="1"/>
        <v>#NAME?</v>
      </c>
      <c r="B3739" s="2" t="s">
        <v>12</v>
      </c>
      <c r="C3739" s="2" t="s">
        <v>12</v>
      </c>
      <c r="D3739" s="2" t="s">
        <v>12</v>
      </c>
      <c r="E3739" s="2" t="s">
        <v>12</v>
      </c>
      <c r="F3739" s="2" t="s">
        <v>12</v>
      </c>
      <c r="G3739" s="2" t="s">
        <v>12</v>
      </c>
      <c r="H3739" s="2" t="s">
        <v>12</v>
      </c>
      <c r="I3739" s="2" t="s">
        <v>12</v>
      </c>
      <c r="J3739" s="2" t="s">
        <v>12</v>
      </c>
      <c r="K3739" s="2" t="s">
        <v>12</v>
      </c>
    </row>
    <row r="3740" spans="1:11" ht="12.5" x14ac:dyDescent="0.25">
      <c r="A3740" s="3" t="e">
        <f ca="1"/>
        <v>#NAME?</v>
      </c>
      <c r="B3740" s="2" t="s">
        <v>12</v>
      </c>
      <c r="C3740" s="2" t="s">
        <v>12</v>
      </c>
      <c r="D3740" s="2" t="s">
        <v>12</v>
      </c>
      <c r="E3740" s="2" t="s">
        <v>12</v>
      </c>
      <c r="F3740" s="2" t="s">
        <v>12</v>
      </c>
      <c r="G3740" s="2" t="s">
        <v>12</v>
      </c>
      <c r="H3740" s="2" t="s">
        <v>12</v>
      </c>
      <c r="I3740" s="2" t="s">
        <v>12</v>
      </c>
      <c r="J3740" s="2" t="s">
        <v>12</v>
      </c>
      <c r="K3740" s="2" t="s">
        <v>12</v>
      </c>
    </row>
    <row r="3741" spans="1:11" ht="12.5" x14ac:dyDescent="0.25">
      <c r="A3741" s="3" t="e">
        <f ca="1"/>
        <v>#NAME?</v>
      </c>
      <c r="B3741" s="2" t="s">
        <v>12</v>
      </c>
      <c r="C3741" s="2" t="s">
        <v>12</v>
      </c>
      <c r="D3741" s="2" t="s">
        <v>12</v>
      </c>
      <c r="E3741" s="2" t="s">
        <v>12</v>
      </c>
      <c r="F3741" s="2" t="s">
        <v>12</v>
      </c>
      <c r="G3741" s="2" t="s">
        <v>12</v>
      </c>
      <c r="H3741" s="2" t="s">
        <v>12</v>
      </c>
      <c r="I3741" s="2" t="s">
        <v>12</v>
      </c>
      <c r="J3741" s="2" t="s">
        <v>12</v>
      </c>
      <c r="K3741" s="2" t="s">
        <v>12</v>
      </c>
    </row>
    <row r="3742" spans="1:11" ht="12.5" x14ac:dyDescent="0.25">
      <c r="A3742" s="3" t="e">
        <f ca="1"/>
        <v>#NAME?</v>
      </c>
      <c r="B3742" s="2" t="s">
        <v>12</v>
      </c>
      <c r="C3742" s="2" t="s">
        <v>12</v>
      </c>
      <c r="D3742" s="2" t="s">
        <v>12</v>
      </c>
      <c r="E3742" s="2" t="s">
        <v>12</v>
      </c>
      <c r="F3742" s="2" t="s">
        <v>12</v>
      </c>
      <c r="G3742" s="2" t="s">
        <v>12</v>
      </c>
      <c r="H3742" s="2" t="s">
        <v>12</v>
      </c>
      <c r="I3742" s="2" t="s">
        <v>12</v>
      </c>
      <c r="J3742" s="2" t="s">
        <v>12</v>
      </c>
      <c r="K3742" s="2" t="s">
        <v>12</v>
      </c>
    </row>
    <row r="3743" spans="1:11" ht="12.5" x14ac:dyDescent="0.25">
      <c r="A3743" s="3" t="e">
        <f ca="1"/>
        <v>#NAME?</v>
      </c>
      <c r="B3743" s="2" t="s">
        <v>12</v>
      </c>
      <c r="C3743" s="2" t="s">
        <v>12</v>
      </c>
      <c r="D3743" s="2" t="s">
        <v>12</v>
      </c>
      <c r="E3743" s="2" t="s">
        <v>12</v>
      </c>
      <c r="F3743" s="2" t="s">
        <v>12</v>
      </c>
      <c r="G3743" s="2" t="s">
        <v>12</v>
      </c>
      <c r="H3743" s="2" t="s">
        <v>12</v>
      </c>
      <c r="I3743" s="2" t="s">
        <v>12</v>
      </c>
      <c r="J3743" s="2" t="s">
        <v>12</v>
      </c>
      <c r="K3743" s="2" t="s">
        <v>12</v>
      </c>
    </row>
    <row r="3744" spans="1:11" ht="12.5" x14ac:dyDescent="0.25">
      <c r="A3744" s="3" t="e">
        <f ca="1"/>
        <v>#NAME?</v>
      </c>
      <c r="B3744" s="2" t="s">
        <v>12</v>
      </c>
      <c r="C3744" s="2" t="s">
        <v>12</v>
      </c>
      <c r="D3744" s="2" t="s">
        <v>12</v>
      </c>
      <c r="E3744" s="2" t="s">
        <v>12</v>
      </c>
      <c r="F3744" s="2" t="s">
        <v>12</v>
      </c>
      <c r="G3744" s="2" t="s">
        <v>12</v>
      </c>
      <c r="H3744" s="2" t="s">
        <v>12</v>
      </c>
      <c r="I3744" s="2" t="s">
        <v>12</v>
      </c>
      <c r="J3744" s="2" t="s">
        <v>12</v>
      </c>
      <c r="K3744" s="2" t="s">
        <v>12</v>
      </c>
    </row>
    <row r="3745" spans="1:11" ht="12.5" x14ac:dyDescent="0.25">
      <c r="A3745" s="3" t="e">
        <f ca="1"/>
        <v>#NAME?</v>
      </c>
      <c r="B3745" s="2" t="s">
        <v>12</v>
      </c>
      <c r="C3745" s="2" t="s">
        <v>12</v>
      </c>
      <c r="D3745" s="2" t="s">
        <v>12</v>
      </c>
      <c r="E3745" s="2" t="s">
        <v>12</v>
      </c>
      <c r="F3745" s="2" t="s">
        <v>12</v>
      </c>
      <c r="G3745" s="2" t="s">
        <v>12</v>
      </c>
      <c r="H3745" s="2" t="s">
        <v>12</v>
      </c>
      <c r="I3745" s="2" t="s">
        <v>12</v>
      </c>
      <c r="J3745" s="2" t="s">
        <v>12</v>
      </c>
      <c r="K3745" s="2" t="s">
        <v>12</v>
      </c>
    </row>
    <row r="3746" spans="1:11" ht="12.5" x14ac:dyDescent="0.25">
      <c r="A3746" s="3" t="e">
        <f ca="1"/>
        <v>#NAME?</v>
      </c>
      <c r="B3746" s="2" t="s">
        <v>12</v>
      </c>
      <c r="C3746" s="2" t="s">
        <v>12</v>
      </c>
      <c r="D3746" s="2" t="s">
        <v>12</v>
      </c>
      <c r="E3746" s="2" t="s">
        <v>12</v>
      </c>
      <c r="F3746" s="2" t="s">
        <v>12</v>
      </c>
      <c r="G3746" s="2" t="s">
        <v>12</v>
      </c>
      <c r="H3746" s="2" t="s">
        <v>12</v>
      </c>
      <c r="I3746" s="2" t="s">
        <v>12</v>
      </c>
      <c r="J3746" s="2" t="s">
        <v>12</v>
      </c>
      <c r="K3746" s="2" t="s">
        <v>12</v>
      </c>
    </row>
    <row r="3747" spans="1:11" ht="12.5" x14ac:dyDescent="0.25">
      <c r="A3747" s="3" t="e">
        <f ca="1"/>
        <v>#NAME?</v>
      </c>
      <c r="B3747" s="2" t="s">
        <v>12</v>
      </c>
      <c r="C3747" s="2" t="s">
        <v>12</v>
      </c>
      <c r="D3747" s="2" t="s">
        <v>12</v>
      </c>
      <c r="E3747" s="2" t="s">
        <v>12</v>
      </c>
      <c r="F3747" s="2" t="s">
        <v>12</v>
      </c>
      <c r="G3747" s="2" t="s">
        <v>12</v>
      </c>
      <c r="H3747" s="2" t="s">
        <v>12</v>
      </c>
      <c r="I3747" s="2" t="s">
        <v>12</v>
      </c>
      <c r="J3747" s="2" t="s">
        <v>12</v>
      </c>
      <c r="K3747" s="2" t="s">
        <v>12</v>
      </c>
    </row>
    <row r="3748" spans="1:11" ht="12.5" x14ac:dyDescent="0.25">
      <c r="A3748" s="3" t="e">
        <f ca="1"/>
        <v>#NAME?</v>
      </c>
      <c r="B3748" s="2" t="s">
        <v>12</v>
      </c>
      <c r="C3748" s="2" t="s">
        <v>12</v>
      </c>
      <c r="D3748" s="2" t="s">
        <v>12</v>
      </c>
      <c r="E3748" s="2" t="s">
        <v>12</v>
      </c>
      <c r="F3748" s="2" t="s">
        <v>12</v>
      </c>
      <c r="G3748" s="2" t="s">
        <v>12</v>
      </c>
      <c r="H3748" s="2" t="s">
        <v>12</v>
      </c>
      <c r="I3748" s="2" t="s">
        <v>12</v>
      </c>
      <c r="J3748" s="2" t="s">
        <v>12</v>
      </c>
      <c r="K3748" s="2" t="s">
        <v>12</v>
      </c>
    </row>
    <row r="3749" spans="1:11" ht="12.5" x14ac:dyDescent="0.25">
      <c r="A3749" s="3" t="e">
        <f ca="1"/>
        <v>#NAME?</v>
      </c>
      <c r="B3749" s="2" t="s">
        <v>12</v>
      </c>
      <c r="C3749" s="2" t="s">
        <v>12</v>
      </c>
      <c r="D3749" s="2" t="s">
        <v>12</v>
      </c>
      <c r="E3749" s="2" t="s">
        <v>12</v>
      </c>
      <c r="F3749" s="2" t="s">
        <v>12</v>
      </c>
      <c r="G3749" s="2" t="s">
        <v>12</v>
      </c>
      <c r="H3749" s="2" t="s">
        <v>12</v>
      </c>
      <c r="I3749" s="2" t="s">
        <v>12</v>
      </c>
      <c r="J3749" s="2" t="s">
        <v>12</v>
      </c>
      <c r="K3749" s="2" t="s">
        <v>12</v>
      </c>
    </row>
    <row r="3750" spans="1:11" ht="12.5" x14ac:dyDescent="0.25">
      <c r="A3750" s="3" t="e">
        <f ca="1"/>
        <v>#NAME?</v>
      </c>
      <c r="B3750" s="2" t="s">
        <v>12</v>
      </c>
      <c r="C3750" s="2" t="s">
        <v>12</v>
      </c>
      <c r="D3750" s="2" t="s">
        <v>12</v>
      </c>
      <c r="E3750" s="2" t="s">
        <v>12</v>
      </c>
      <c r="F3750" s="2" t="s">
        <v>12</v>
      </c>
      <c r="G3750" s="2" t="s">
        <v>12</v>
      </c>
      <c r="H3750" s="2" t="s">
        <v>12</v>
      </c>
      <c r="I3750" s="2" t="s">
        <v>12</v>
      </c>
      <c r="J3750" s="2" t="s">
        <v>12</v>
      </c>
      <c r="K3750" s="2" t="s">
        <v>12</v>
      </c>
    </row>
    <row r="3751" spans="1:11" ht="12.5" x14ac:dyDescent="0.25">
      <c r="A3751" s="3" t="e">
        <f ca="1"/>
        <v>#NAME?</v>
      </c>
      <c r="B3751" s="2" t="s">
        <v>12</v>
      </c>
      <c r="C3751" s="2" t="s">
        <v>12</v>
      </c>
      <c r="D3751" s="2" t="s">
        <v>12</v>
      </c>
      <c r="E3751" s="2" t="s">
        <v>12</v>
      </c>
      <c r="F3751" s="2" t="s">
        <v>12</v>
      </c>
      <c r="G3751" s="2" t="s">
        <v>12</v>
      </c>
      <c r="H3751" s="2" t="s">
        <v>12</v>
      </c>
      <c r="I3751" s="2" t="s">
        <v>12</v>
      </c>
      <c r="J3751" s="2" t="s">
        <v>12</v>
      </c>
      <c r="K3751" s="2" t="s">
        <v>12</v>
      </c>
    </row>
    <row r="3752" spans="1:11" ht="12.5" x14ac:dyDescent="0.25">
      <c r="A3752" s="3" t="e">
        <f ca="1"/>
        <v>#NAME?</v>
      </c>
      <c r="B3752" s="2" t="s">
        <v>12</v>
      </c>
      <c r="C3752" s="2" t="s">
        <v>12</v>
      </c>
      <c r="D3752" s="2" t="s">
        <v>12</v>
      </c>
      <c r="E3752" s="2" t="s">
        <v>12</v>
      </c>
      <c r="F3752" s="2" t="s">
        <v>12</v>
      </c>
      <c r="G3752" s="2" t="s">
        <v>12</v>
      </c>
      <c r="H3752" s="2" t="s">
        <v>12</v>
      </c>
      <c r="I3752" s="2" t="s">
        <v>12</v>
      </c>
      <c r="J3752" s="2" t="s">
        <v>12</v>
      </c>
      <c r="K3752" s="2" t="s">
        <v>12</v>
      </c>
    </row>
    <row r="3753" spans="1:11" ht="12.5" x14ac:dyDescent="0.25">
      <c r="A3753" s="3" t="e">
        <f ca="1"/>
        <v>#NAME?</v>
      </c>
      <c r="B3753" s="2" t="s">
        <v>12</v>
      </c>
      <c r="C3753" s="2" t="s">
        <v>12</v>
      </c>
      <c r="D3753" s="2" t="s">
        <v>12</v>
      </c>
      <c r="E3753" s="2" t="s">
        <v>12</v>
      </c>
      <c r="F3753" s="2" t="s">
        <v>12</v>
      </c>
      <c r="G3753" s="2" t="s">
        <v>12</v>
      </c>
      <c r="H3753" s="2" t="s">
        <v>12</v>
      </c>
      <c r="I3753" s="2" t="s">
        <v>12</v>
      </c>
      <c r="J3753" s="2" t="s">
        <v>12</v>
      </c>
      <c r="K3753" s="2" t="s">
        <v>12</v>
      </c>
    </row>
    <row r="3754" spans="1:11" ht="12.5" x14ac:dyDescent="0.25">
      <c r="A3754" s="3" t="e">
        <f ca="1"/>
        <v>#NAME?</v>
      </c>
      <c r="B3754" s="2" t="s">
        <v>12</v>
      </c>
      <c r="C3754" s="2" t="s">
        <v>12</v>
      </c>
      <c r="D3754" s="2" t="s">
        <v>12</v>
      </c>
      <c r="E3754" s="2" t="s">
        <v>12</v>
      </c>
      <c r="F3754" s="2" t="s">
        <v>12</v>
      </c>
      <c r="G3754" s="2" t="s">
        <v>12</v>
      </c>
      <c r="H3754" s="2" t="s">
        <v>12</v>
      </c>
      <c r="I3754" s="2" t="s">
        <v>12</v>
      </c>
      <c r="J3754" s="2" t="s">
        <v>12</v>
      </c>
      <c r="K3754" s="2" t="s">
        <v>12</v>
      </c>
    </row>
    <row r="3755" spans="1:11" ht="12.5" x14ac:dyDescent="0.25">
      <c r="A3755" s="3" t="e">
        <f ca="1"/>
        <v>#NAME?</v>
      </c>
      <c r="B3755" s="2" t="s">
        <v>12</v>
      </c>
      <c r="C3755" s="2" t="s">
        <v>12</v>
      </c>
      <c r="D3755" s="2" t="s">
        <v>12</v>
      </c>
      <c r="E3755" s="2" t="s">
        <v>12</v>
      </c>
      <c r="F3755" s="2" t="s">
        <v>12</v>
      </c>
      <c r="G3755" s="2" t="s">
        <v>12</v>
      </c>
      <c r="H3755" s="2" t="s">
        <v>12</v>
      </c>
      <c r="I3755" s="2" t="s">
        <v>12</v>
      </c>
      <c r="J3755" s="2" t="s">
        <v>12</v>
      </c>
      <c r="K3755" s="2" t="s">
        <v>12</v>
      </c>
    </row>
    <row r="3756" spans="1:11" ht="12.5" x14ac:dyDescent="0.25">
      <c r="A3756" s="3" t="e">
        <f ca="1"/>
        <v>#NAME?</v>
      </c>
      <c r="B3756" s="2" t="s">
        <v>12</v>
      </c>
      <c r="C3756" s="2" t="s">
        <v>12</v>
      </c>
      <c r="D3756" s="2" t="s">
        <v>12</v>
      </c>
      <c r="E3756" s="2" t="s">
        <v>12</v>
      </c>
      <c r="F3756" s="2" t="s">
        <v>12</v>
      </c>
      <c r="G3756" s="2" t="s">
        <v>12</v>
      </c>
      <c r="H3756" s="2" t="s">
        <v>12</v>
      </c>
      <c r="I3756" s="2" t="s">
        <v>12</v>
      </c>
      <c r="J3756" s="2" t="s">
        <v>12</v>
      </c>
      <c r="K3756" s="2" t="s">
        <v>12</v>
      </c>
    </row>
    <row r="3757" spans="1:11" ht="12.5" x14ac:dyDescent="0.25">
      <c r="A3757" s="3" t="e">
        <f ca="1"/>
        <v>#NAME?</v>
      </c>
      <c r="B3757" s="2" t="s">
        <v>12</v>
      </c>
      <c r="C3757" s="2" t="s">
        <v>12</v>
      </c>
      <c r="D3757" s="2" t="s">
        <v>12</v>
      </c>
      <c r="E3757" s="2" t="s">
        <v>12</v>
      </c>
      <c r="F3757" s="2" t="s">
        <v>12</v>
      </c>
      <c r="G3757" s="2" t="s">
        <v>12</v>
      </c>
      <c r="H3757" s="2" t="s">
        <v>12</v>
      </c>
      <c r="I3757" s="2" t="s">
        <v>12</v>
      </c>
      <c r="J3757" s="2" t="s">
        <v>12</v>
      </c>
      <c r="K3757" s="2" t="s">
        <v>12</v>
      </c>
    </row>
    <row r="3758" spans="1:11" ht="12.5" x14ac:dyDescent="0.25">
      <c r="A3758" s="3" t="e">
        <f ca="1"/>
        <v>#NAME?</v>
      </c>
      <c r="B3758" s="2" t="s">
        <v>12</v>
      </c>
      <c r="C3758" s="2" t="s">
        <v>12</v>
      </c>
      <c r="D3758" s="2" t="s">
        <v>12</v>
      </c>
      <c r="E3758" s="2" t="s">
        <v>12</v>
      </c>
      <c r="F3758" s="2" t="s">
        <v>12</v>
      </c>
      <c r="G3758" s="2" t="s">
        <v>12</v>
      </c>
      <c r="H3758" s="2" t="s">
        <v>12</v>
      </c>
      <c r="I3758" s="2" t="s">
        <v>12</v>
      </c>
      <c r="J3758" s="2" t="s">
        <v>12</v>
      </c>
      <c r="K3758" s="2" t="s">
        <v>12</v>
      </c>
    </row>
    <row r="3759" spans="1:11" ht="12.5" x14ac:dyDescent="0.25">
      <c r="A3759" s="3" t="e">
        <f ca="1"/>
        <v>#NAME?</v>
      </c>
      <c r="B3759" s="2" t="s">
        <v>12</v>
      </c>
      <c r="C3759" s="2" t="s">
        <v>12</v>
      </c>
      <c r="D3759" s="2" t="s">
        <v>12</v>
      </c>
      <c r="E3759" s="2" t="s">
        <v>12</v>
      </c>
      <c r="F3759" s="2" t="s">
        <v>12</v>
      </c>
      <c r="G3759" s="2" t="s">
        <v>12</v>
      </c>
      <c r="H3759" s="2" t="s">
        <v>12</v>
      </c>
      <c r="I3759" s="2" t="s">
        <v>12</v>
      </c>
      <c r="J3759" s="2" t="s">
        <v>12</v>
      </c>
      <c r="K3759" s="2" t="s">
        <v>12</v>
      </c>
    </row>
    <row r="3760" spans="1:11" ht="12.5" x14ac:dyDescent="0.25">
      <c r="A3760" s="3" t="e">
        <f ca="1"/>
        <v>#NAME?</v>
      </c>
      <c r="B3760" s="2" t="s">
        <v>12</v>
      </c>
      <c r="C3760" s="2" t="s">
        <v>12</v>
      </c>
      <c r="D3760" s="2" t="s">
        <v>12</v>
      </c>
      <c r="E3760" s="2" t="s">
        <v>12</v>
      </c>
      <c r="F3760" s="2" t="s">
        <v>12</v>
      </c>
      <c r="G3760" s="2" t="s">
        <v>12</v>
      </c>
      <c r="H3760" s="2" t="s">
        <v>12</v>
      </c>
      <c r="I3760" s="2" t="s">
        <v>12</v>
      </c>
      <c r="J3760" s="2" t="s">
        <v>12</v>
      </c>
      <c r="K3760" s="2" t="s">
        <v>12</v>
      </c>
    </row>
    <row r="3761" spans="1:11" ht="12.5" x14ac:dyDescent="0.25">
      <c r="A3761" s="3" t="e">
        <f ca="1"/>
        <v>#NAME?</v>
      </c>
      <c r="B3761" s="2" t="s">
        <v>12</v>
      </c>
      <c r="C3761" s="2" t="s">
        <v>12</v>
      </c>
      <c r="D3761" s="2" t="s">
        <v>12</v>
      </c>
      <c r="E3761" s="2" t="s">
        <v>12</v>
      </c>
      <c r="F3761" s="2" t="s">
        <v>12</v>
      </c>
      <c r="G3761" s="2" t="s">
        <v>12</v>
      </c>
      <c r="H3761" s="2" t="s">
        <v>12</v>
      </c>
      <c r="I3761" s="2" t="s">
        <v>12</v>
      </c>
      <c r="J3761" s="2" t="s">
        <v>12</v>
      </c>
      <c r="K3761" s="2" t="s">
        <v>12</v>
      </c>
    </row>
    <row r="3762" spans="1:11" ht="12.5" x14ac:dyDescent="0.25">
      <c r="A3762" s="3" t="e">
        <f ca="1"/>
        <v>#NAME?</v>
      </c>
      <c r="B3762" s="2" t="s">
        <v>12</v>
      </c>
      <c r="C3762" s="2" t="s">
        <v>12</v>
      </c>
      <c r="D3762" s="2" t="s">
        <v>12</v>
      </c>
      <c r="E3762" s="2" t="s">
        <v>12</v>
      </c>
      <c r="F3762" s="2" t="s">
        <v>12</v>
      </c>
      <c r="G3762" s="2" t="s">
        <v>12</v>
      </c>
      <c r="H3762" s="2" t="s">
        <v>12</v>
      </c>
      <c r="I3762" s="2" t="s">
        <v>12</v>
      </c>
      <c r="J3762" s="2" t="s">
        <v>12</v>
      </c>
      <c r="K3762" s="2" t="s">
        <v>12</v>
      </c>
    </row>
    <row r="3763" spans="1:11" ht="12.5" x14ac:dyDescent="0.25">
      <c r="A3763" s="3" t="e">
        <f ca="1"/>
        <v>#NAME?</v>
      </c>
      <c r="B3763" s="2" t="s">
        <v>12</v>
      </c>
      <c r="C3763" s="2" t="s">
        <v>12</v>
      </c>
      <c r="D3763" s="2" t="s">
        <v>12</v>
      </c>
      <c r="E3763" s="2" t="s">
        <v>12</v>
      </c>
      <c r="F3763" s="2" t="s">
        <v>12</v>
      </c>
      <c r="G3763" s="2" t="s">
        <v>12</v>
      </c>
      <c r="H3763" s="2" t="s">
        <v>12</v>
      </c>
      <c r="I3763" s="2" t="s">
        <v>12</v>
      </c>
      <c r="J3763" s="2" t="s">
        <v>12</v>
      </c>
      <c r="K3763" s="2" t="s">
        <v>12</v>
      </c>
    </row>
    <row r="3764" spans="1:11" ht="12.5" x14ac:dyDescent="0.25">
      <c r="A3764" s="3" t="e">
        <f ca="1"/>
        <v>#NAME?</v>
      </c>
      <c r="B3764" s="2" t="s">
        <v>12</v>
      </c>
      <c r="C3764" s="2" t="s">
        <v>12</v>
      </c>
      <c r="D3764" s="2" t="s">
        <v>12</v>
      </c>
      <c r="E3764" s="2" t="s">
        <v>12</v>
      </c>
      <c r="F3764" s="2" t="s">
        <v>12</v>
      </c>
      <c r="G3764" s="2" t="s">
        <v>12</v>
      </c>
      <c r="H3764" s="2" t="s">
        <v>12</v>
      </c>
      <c r="I3764" s="2" t="s">
        <v>12</v>
      </c>
      <c r="J3764" s="2" t="s">
        <v>12</v>
      </c>
      <c r="K3764" s="2" t="s">
        <v>12</v>
      </c>
    </row>
    <row r="3765" spans="1:11" ht="12.5" x14ac:dyDescent="0.25">
      <c r="A3765" s="3" t="e">
        <f ca="1"/>
        <v>#NAME?</v>
      </c>
      <c r="B3765" s="2" t="s">
        <v>12</v>
      </c>
      <c r="C3765" s="2" t="s">
        <v>12</v>
      </c>
      <c r="D3765" s="2" t="s">
        <v>12</v>
      </c>
      <c r="E3765" s="2" t="s">
        <v>12</v>
      </c>
      <c r="F3765" s="2" t="s">
        <v>12</v>
      </c>
      <c r="G3765" s="2" t="s">
        <v>12</v>
      </c>
      <c r="H3765" s="2" t="s">
        <v>12</v>
      </c>
      <c r="I3765" s="2" t="s">
        <v>12</v>
      </c>
      <c r="J3765" s="2" t="s">
        <v>12</v>
      </c>
      <c r="K3765" s="2" t="s">
        <v>12</v>
      </c>
    </row>
    <row r="3766" spans="1:11" ht="12.5" x14ac:dyDescent="0.25">
      <c r="A3766" s="3" t="e">
        <f ca="1"/>
        <v>#NAME?</v>
      </c>
      <c r="B3766" s="2" t="s">
        <v>12</v>
      </c>
      <c r="C3766" s="2" t="s">
        <v>12</v>
      </c>
      <c r="D3766" s="2" t="s">
        <v>12</v>
      </c>
      <c r="E3766" s="2" t="s">
        <v>12</v>
      </c>
      <c r="F3766" s="2" t="s">
        <v>12</v>
      </c>
      <c r="G3766" s="2" t="s">
        <v>12</v>
      </c>
      <c r="H3766" s="2" t="s">
        <v>12</v>
      </c>
      <c r="I3766" s="2" t="s">
        <v>12</v>
      </c>
      <c r="J3766" s="2" t="s">
        <v>12</v>
      </c>
      <c r="K3766" s="2" t="s">
        <v>12</v>
      </c>
    </row>
    <row r="3767" spans="1:11" ht="12.5" x14ac:dyDescent="0.25">
      <c r="A3767" s="3" t="e">
        <f ca="1"/>
        <v>#NAME?</v>
      </c>
      <c r="B3767" s="2" t="s">
        <v>12</v>
      </c>
      <c r="C3767" s="2" t="s">
        <v>12</v>
      </c>
      <c r="D3767" s="2" t="s">
        <v>12</v>
      </c>
      <c r="E3767" s="2" t="s">
        <v>12</v>
      </c>
      <c r="F3767" s="2" t="s">
        <v>12</v>
      </c>
      <c r="G3767" s="2" t="s">
        <v>12</v>
      </c>
      <c r="H3767" s="2" t="s">
        <v>12</v>
      </c>
      <c r="I3767" s="2" t="s">
        <v>12</v>
      </c>
      <c r="J3767" s="2" t="s">
        <v>12</v>
      </c>
      <c r="K3767" s="2" t="s">
        <v>12</v>
      </c>
    </row>
    <row r="3768" spans="1:11" ht="12.5" x14ac:dyDescent="0.25">
      <c r="A3768" s="3" t="e">
        <f ca="1"/>
        <v>#NAME?</v>
      </c>
      <c r="B3768" s="2" t="s">
        <v>12</v>
      </c>
      <c r="C3768" s="2" t="s">
        <v>12</v>
      </c>
      <c r="D3768" s="2" t="s">
        <v>12</v>
      </c>
      <c r="E3768" s="2" t="s">
        <v>12</v>
      </c>
      <c r="F3768" s="2" t="s">
        <v>12</v>
      </c>
      <c r="G3768" s="2" t="s">
        <v>12</v>
      </c>
      <c r="H3768" s="2" t="s">
        <v>12</v>
      </c>
      <c r="I3768" s="2" t="s">
        <v>12</v>
      </c>
      <c r="J3768" s="2" t="s">
        <v>12</v>
      </c>
      <c r="K3768" s="2" t="s">
        <v>12</v>
      </c>
    </row>
    <row r="3769" spans="1:11" ht="12.5" x14ac:dyDescent="0.25">
      <c r="A3769" s="3" t="e">
        <f ca="1"/>
        <v>#NAME?</v>
      </c>
      <c r="B3769" s="2" t="s">
        <v>12</v>
      </c>
      <c r="C3769" s="2" t="s">
        <v>12</v>
      </c>
      <c r="D3769" s="2" t="s">
        <v>12</v>
      </c>
      <c r="E3769" s="2" t="s">
        <v>12</v>
      </c>
      <c r="F3769" s="2" t="s">
        <v>12</v>
      </c>
      <c r="G3769" s="2" t="s">
        <v>12</v>
      </c>
      <c r="H3769" s="2" t="s">
        <v>12</v>
      </c>
      <c r="I3769" s="2" t="s">
        <v>12</v>
      </c>
      <c r="J3769" s="2" t="s">
        <v>12</v>
      </c>
      <c r="K3769" s="2" t="s">
        <v>12</v>
      </c>
    </row>
    <row r="3770" spans="1:11" ht="12.5" x14ac:dyDescent="0.25">
      <c r="A3770" s="3" t="e">
        <f ca="1"/>
        <v>#NAME?</v>
      </c>
      <c r="B3770" s="2" t="s">
        <v>12</v>
      </c>
      <c r="C3770" s="2" t="s">
        <v>12</v>
      </c>
      <c r="D3770" s="2" t="s">
        <v>12</v>
      </c>
      <c r="E3770" s="2" t="s">
        <v>12</v>
      </c>
      <c r="F3770" s="2" t="s">
        <v>12</v>
      </c>
      <c r="G3770" s="2" t="s">
        <v>12</v>
      </c>
      <c r="H3770" s="2" t="s">
        <v>12</v>
      </c>
      <c r="I3770" s="2" t="s">
        <v>12</v>
      </c>
      <c r="J3770" s="2" t="s">
        <v>12</v>
      </c>
      <c r="K3770" s="2" t="s">
        <v>12</v>
      </c>
    </row>
    <row r="3771" spans="1:11" ht="12.5" x14ac:dyDescent="0.25">
      <c r="A3771" s="3" t="e">
        <f ca="1"/>
        <v>#NAME?</v>
      </c>
      <c r="B3771" s="2" t="s">
        <v>12</v>
      </c>
      <c r="C3771" s="2" t="s">
        <v>12</v>
      </c>
      <c r="D3771" s="2" t="s">
        <v>12</v>
      </c>
      <c r="E3771" s="2" t="s">
        <v>12</v>
      </c>
      <c r="F3771" s="2" t="s">
        <v>12</v>
      </c>
      <c r="G3771" s="2" t="s">
        <v>12</v>
      </c>
      <c r="H3771" s="2" t="s">
        <v>12</v>
      </c>
      <c r="I3771" s="2" t="s">
        <v>12</v>
      </c>
      <c r="J3771" s="2" t="s">
        <v>12</v>
      </c>
      <c r="K3771" s="2" t="s">
        <v>12</v>
      </c>
    </row>
    <row r="3772" spans="1:11" ht="12.5" x14ac:dyDescent="0.25">
      <c r="A3772" s="3" t="e">
        <f ca="1"/>
        <v>#NAME?</v>
      </c>
      <c r="B3772" s="2" t="s">
        <v>12</v>
      </c>
      <c r="C3772" s="2" t="s">
        <v>12</v>
      </c>
      <c r="D3772" s="2" t="s">
        <v>12</v>
      </c>
      <c r="E3772" s="2" t="s">
        <v>12</v>
      </c>
      <c r="F3772" s="2" t="s">
        <v>12</v>
      </c>
      <c r="G3772" s="2" t="s">
        <v>12</v>
      </c>
      <c r="H3772" s="2" t="s">
        <v>12</v>
      </c>
      <c r="I3772" s="2" t="s">
        <v>12</v>
      </c>
      <c r="J3772" s="2" t="s">
        <v>12</v>
      </c>
      <c r="K3772" s="2" t="s">
        <v>12</v>
      </c>
    </row>
    <row r="3773" spans="1:11" ht="12.5" x14ac:dyDescent="0.25">
      <c r="A3773" s="3" t="e">
        <f ca="1"/>
        <v>#NAME?</v>
      </c>
      <c r="B3773" s="2" t="s">
        <v>12</v>
      </c>
      <c r="C3773" s="2" t="s">
        <v>12</v>
      </c>
      <c r="D3773" s="2" t="s">
        <v>12</v>
      </c>
      <c r="E3773" s="2" t="s">
        <v>12</v>
      </c>
      <c r="F3773" s="2" t="s">
        <v>12</v>
      </c>
      <c r="G3773" s="2" t="s">
        <v>12</v>
      </c>
      <c r="H3773" s="2" t="s">
        <v>12</v>
      </c>
      <c r="I3773" s="2" t="s">
        <v>12</v>
      </c>
      <c r="J3773" s="2" t="s">
        <v>12</v>
      </c>
      <c r="K3773" s="2" t="s">
        <v>12</v>
      </c>
    </row>
    <row r="3774" spans="1:11" ht="12.5" x14ac:dyDescent="0.25">
      <c r="A3774" s="3" t="e">
        <f ca="1"/>
        <v>#NAME?</v>
      </c>
      <c r="B3774" s="2" t="s">
        <v>12</v>
      </c>
      <c r="C3774" s="2" t="s">
        <v>12</v>
      </c>
      <c r="D3774" s="2" t="s">
        <v>12</v>
      </c>
      <c r="E3774" s="2" t="s">
        <v>12</v>
      </c>
      <c r="F3774" s="2" t="s">
        <v>12</v>
      </c>
      <c r="G3774" s="2" t="s">
        <v>12</v>
      </c>
      <c r="H3774" s="2" t="s">
        <v>12</v>
      </c>
      <c r="I3774" s="2" t="s">
        <v>12</v>
      </c>
      <c r="J3774" s="2" t="s">
        <v>12</v>
      </c>
      <c r="K3774" s="2" t="s">
        <v>12</v>
      </c>
    </row>
    <row r="3775" spans="1:11" ht="12.5" x14ac:dyDescent="0.25">
      <c r="A3775" s="3" t="e">
        <f ca="1"/>
        <v>#NAME?</v>
      </c>
      <c r="B3775" s="2" t="s">
        <v>12</v>
      </c>
      <c r="C3775" s="2" t="s">
        <v>12</v>
      </c>
      <c r="D3775" s="2" t="s">
        <v>12</v>
      </c>
      <c r="E3775" s="2" t="s">
        <v>12</v>
      </c>
      <c r="F3775" s="2" t="s">
        <v>12</v>
      </c>
      <c r="G3775" s="2" t="s">
        <v>12</v>
      </c>
      <c r="H3775" s="2" t="s">
        <v>12</v>
      </c>
      <c r="I3775" s="2" t="s">
        <v>12</v>
      </c>
      <c r="J3775" s="2" t="s">
        <v>12</v>
      </c>
      <c r="K3775" s="2" t="s">
        <v>12</v>
      </c>
    </row>
    <row r="3776" spans="1:11" ht="12.5" x14ac:dyDescent="0.25">
      <c r="A3776" s="3" t="e">
        <f ca="1"/>
        <v>#NAME?</v>
      </c>
      <c r="B3776" s="2" t="s">
        <v>12</v>
      </c>
      <c r="C3776" s="2" t="s">
        <v>12</v>
      </c>
      <c r="D3776" s="2" t="s">
        <v>12</v>
      </c>
      <c r="E3776" s="2" t="s">
        <v>12</v>
      </c>
      <c r="F3776" s="2" t="s">
        <v>12</v>
      </c>
      <c r="G3776" s="2" t="s">
        <v>12</v>
      </c>
      <c r="H3776" s="2" t="s">
        <v>12</v>
      </c>
      <c r="I3776" s="2" t="s">
        <v>12</v>
      </c>
      <c r="J3776" s="2" t="s">
        <v>12</v>
      </c>
      <c r="K3776" s="2" t="s">
        <v>12</v>
      </c>
    </row>
    <row r="3777" spans="1:11" ht="12.5" x14ac:dyDescent="0.25">
      <c r="A3777" s="3" t="e">
        <f ca="1"/>
        <v>#NAME?</v>
      </c>
      <c r="B3777" s="2" t="s">
        <v>12</v>
      </c>
      <c r="C3777" s="2" t="s">
        <v>12</v>
      </c>
      <c r="D3777" s="2" t="s">
        <v>12</v>
      </c>
      <c r="E3777" s="2" t="s">
        <v>12</v>
      </c>
      <c r="F3777" s="2" t="s">
        <v>12</v>
      </c>
      <c r="G3777" s="2" t="s">
        <v>12</v>
      </c>
      <c r="H3777" s="2" t="s">
        <v>12</v>
      </c>
      <c r="I3777" s="2" t="s">
        <v>12</v>
      </c>
      <c r="J3777" s="2" t="s">
        <v>12</v>
      </c>
      <c r="K3777" s="2" t="s">
        <v>12</v>
      </c>
    </row>
    <row r="3778" spans="1:11" ht="12.5" x14ac:dyDescent="0.25">
      <c r="A3778" s="3" t="e">
        <f ca="1"/>
        <v>#NAME?</v>
      </c>
      <c r="B3778" s="2" t="s">
        <v>12</v>
      </c>
      <c r="C3778" s="2" t="s">
        <v>12</v>
      </c>
      <c r="D3778" s="2" t="s">
        <v>12</v>
      </c>
      <c r="E3778" s="2" t="s">
        <v>12</v>
      </c>
      <c r="F3778" s="2" t="s">
        <v>12</v>
      </c>
      <c r="G3778" s="2" t="s">
        <v>12</v>
      </c>
      <c r="H3778" s="2" t="s">
        <v>12</v>
      </c>
      <c r="I3778" s="2" t="s">
        <v>12</v>
      </c>
      <c r="J3778" s="2" t="s">
        <v>12</v>
      </c>
      <c r="K3778" s="2" t="s">
        <v>12</v>
      </c>
    </row>
    <row r="3779" spans="1:11" ht="12.5" x14ac:dyDescent="0.25">
      <c r="A3779" s="3" t="e">
        <f ca="1"/>
        <v>#NAME?</v>
      </c>
      <c r="B3779" s="2" t="s">
        <v>12</v>
      </c>
      <c r="C3779" s="2" t="s">
        <v>12</v>
      </c>
      <c r="D3779" s="2" t="s">
        <v>12</v>
      </c>
      <c r="E3779" s="2" t="s">
        <v>12</v>
      </c>
      <c r="F3779" s="2" t="s">
        <v>12</v>
      </c>
      <c r="G3779" s="2" t="s">
        <v>12</v>
      </c>
      <c r="H3779" s="2" t="s">
        <v>12</v>
      </c>
      <c r="I3779" s="2" t="s">
        <v>12</v>
      </c>
      <c r="J3779" s="2" t="s">
        <v>12</v>
      </c>
      <c r="K3779" s="2" t="s">
        <v>12</v>
      </c>
    </row>
    <row r="3780" spans="1:11" ht="12.5" x14ac:dyDescent="0.25">
      <c r="A3780" s="3" t="e">
        <f ca="1"/>
        <v>#NAME?</v>
      </c>
      <c r="B3780" s="2" t="s">
        <v>12</v>
      </c>
      <c r="C3780" s="2" t="s">
        <v>12</v>
      </c>
      <c r="D3780" s="2" t="s">
        <v>12</v>
      </c>
      <c r="E3780" s="2" t="s">
        <v>12</v>
      </c>
      <c r="F3780" s="2" t="s">
        <v>12</v>
      </c>
      <c r="G3780" s="2" t="s">
        <v>12</v>
      </c>
      <c r="H3780" s="2" t="s">
        <v>12</v>
      </c>
      <c r="I3780" s="2" t="s">
        <v>12</v>
      </c>
      <c r="J3780" s="2" t="s">
        <v>12</v>
      </c>
      <c r="K3780" s="2" t="s">
        <v>12</v>
      </c>
    </row>
    <row r="3781" spans="1:11" ht="12.5" x14ac:dyDescent="0.25">
      <c r="A3781" s="3" t="e">
        <f ca="1"/>
        <v>#NAME?</v>
      </c>
      <c r="B3781" s="2" t="s">
        <v>12</v>
      </c>
      <c r="C3781" s="2" t="s">
        <v>12</v>
      </c>
      <c r="D3781" s="2" t="s">
        <v>12</v>
      </c>
      <c r="E3781" s="2" t="s">
        <v>12</v>
      </c>
      <c r="F3781" s="2" t="s">
        <v>12</v>
      </c>
      <c r="G3781" s="2" t="s">
        <v>12</v>
      </c>
      <c r="H3781" s="2" t="s">
        <v>12</v>
      </c>
      <c r="I3781" s="2" t="s">
        <v>12</v>
      </c>
      <c r="J3781" s="2" t="s">
        <v>12</v>
      </c>
      <c r="K3781" s="2" t="s">
        <v>12</v>
      </c>
    </row>
    <row r="3782" spans="1:11" ht="12.5" x14ac:dyDescent="0.25">
      <c r="A3782" s="3" t="e">
        <f ca="1"/>
        <v>#NAME?</v>
      </c>
      <c r="B3782" s="2" t="s">
        <v>12</v>
      </c>
      <c r="C3782" s="2" t="s">
        <v>12</v>
      </c>
      <c r="D3782" s="2" t="s">
        <v>12</v>
      </c>
      <c r="E3782" s="2" t="s">
        <v>12</v>
      </c>
      <c r="F3782" s="2" t="s">
        <v>12</v>
      </c>
      <c r="G3782" s="2" t="s">
        <v>12</v>
      </c>
      <c r="H3782" s="2" t="s">
        <v>12</v>
      </c>
      <c r="I3782" s="2" t="s">
        <v>12</v>
      </c>
      <c r="J3782" s="2" t="s">
        <v>12</v>
      </c>
      <c r="K3782" s="2" t="s">
        <v>12</v>
      </c>
    </row>
    <row r="3783" spans="1:11" ht="12.5" x14ac:dyDescent="0.25">
      <c r="A3783" s="3" t="e">
        <f ca="1"/>
        <v>#NAME?</v>
      </c>
      <c r="B3783" s="2" t="s">
        <v>12</v>
      </c>
      <c r="C3783" s="2" t="s">
        <v>12</v>
      </c>
      <c r="D3783" s="2" t="s">
        <v>12</v>
      </c>
      <c r="E3783" s="2" t="s">
        <v>12</v>
      </c>
      <c r="F3783" s="2" t="s">
        <v>12</v>
      </c>
      <c r="G3783" s="2" t="s">
        <v>12</v>
      </c>
      <c r="H3783" s="2" t="s">
        <v>12</v>
      </c>
      <c r="I3783" s="2" t="s">
        <v>12</v>
      </c>
      <c r="J3783" s="2" t="s">
        <v>12</v>
      </c>
      <c r="K3783" s="2" t="s">
        <v>12</v>
      </c>
    </row>
    <row r="3784" spans="1:11" ht="12.5" x14ac:dyDescent="0.25">
      <c r="A3784" s="3" t="e">
        <f ca="1"/>
        <v>#NAME?</v>
      </c>
      <c r="B3784" s="2" t="s">
        <v>12</v>
      </c>
      <c r="C3784" s="2" t="s">
        <v>12</v>
      </c>
      <c r="D3784" s="2" t="s">
        <v>12</v>
      </c>
      <c r="E3784" s="2" t="s">
        <v>12</v>
      </c>
      <c r="F3784" s="2" t="s">
        <v>12</v>
      </c>
      <c r="G3784" s="2" t="s">
        <v>12</v>
      </c>
      <c r="H3784" s="2" t="s">
        <v>12</v>
      </c>
      <c r="I3784" s="2" t="s">
        <v>12</v>
      </c>
      <c r="J3784" s="2" t="s">
        <v>12</v>
      </c>
      <c r="K3784" s="2" t="s">
        <v>12</v>
      </c>
    </row>
    <row r="3785" spans="1:11" ht="12.5" x14ac:dyDescent="0.25">
      <c r="A3785" s="3" t="e">
        <f ca="1"/>
        <v>#NAME?</v>
      </c>
      <c r="B3785" s="2" t="s">
        <v>12</v>
      </c>
      <c r="C3785" s="2" t="s">
        <v>12</v>
      </c>
      <c r="D3785" s="2" t="s">
        <v>12</v>
      </c>
      <c r="E3785" s="2" t="s">
        <v>12</v>
      </c>
      <c r="F3785" s="2" t="s">
        <v>12</v>
      </c>
      <c r="G3785" s="2" t="s">
        <v>12</v>
      </c>
      <c r="H3785" s="2" t="s">
        <v>12</v>
      </c>
      <c r="I3785" s="2" t="s">
        <v>12</v>
      </c>
      <c r="J3785" s="2" t="s">
        <v>12</v>
      </c>
      <c r="K3785" s="2" t="s">
        <v>12</v>
      </c>
    </row>
    <row r="3786" spans="1:11" ht="12.5" x14ac:dyDescent="0.25">
      <c r="A3786" s="3" t="e">
        <f ca="1"/>
        <v>#NAME?</v>
      </c>
      <c r="B3786" s="2" t="s">
        <v>12</v>
      </c>
      <c r="C3786" s="2" t="s">
        <v>12</v>
      </c>
      <c r="D3786" s="2" t="s">
        <v>12</v>
      </c>
      <c r="E3786" s="2" t="s">
        <v>12</v>
      </c>
      <c r="F3786" s="2" t="s">
        <v>12</v>
      </c>
      <c r="G3786" s="2" t="s">
        <v>12</v>
      </c>
      <c r="H3786" s="2" t="s">
        <v>12</v>
      </c>
      <c r="I3786" s="2" t="s">
        <v>12</v>
      </c>
      <c r="J3786" s="2" t="s">
        <v>12</v>
      </c>
      <c r="K3786" s="2" t="s">
        <v>12</v>
      </c>
    </row>
    <row r="3787" spans="1:11" ht="12.5" x14ac:dyDescent="0.25">
      <c r="A3787" s="3" t="e">
        <f ca="1"/>
        <v>#NAME?</v>
      </c>
      <c r="B3787" s="2" t="s">
        <v>12</v>
      </c>
      <c r="C3787" s="2" t="s">
        <v>12</v>
      </c>
      <c r="D3787" s="2" t="s">
        <v>12</v>
      </c>
      <c r="E3787" s="2" t="s">
        <v>12</v>
      </c>
      <c r="F3787" s="2" t="s">
        <v>12</v>
      </c>
      <c r="G3787" s="2" t="s">
        <v>12</v>
      </c>
      <c r="H3787" s="2" t="s">
        <v>12</v>
      </c>
      <c r="I3787" s="2" t="s">
        <v>12</v>
      </c>
      <c r="J3787" s="2" t="s">
        <v>12</v>
      </c>
      <c r="K3787" s="2" t="s">
        <v>12</v>
      </c>
    </row>
    <row r="3788" spans="1:11" ht="12.5" x14ac:dyDescent="0.25">
      <c r="A3788" s="3" t="e">
        <f ca="1"/>
        <v>#NAME?</v>
      </c>
      <c r="B3788" s="2" t="s">
        <v>12</v>
      </c>
      <c r="C3788" s="2" t="s">
        <v>12</v>
      </c>
      <c r="D3788" s="2" t="s">
        <v>12</v>
      </c>
      <c r="E3788" s="2" t="s">
        <v>12</v>
      </c>
      <c r="F3788" s="2" t="s">
        <v>12</v>
      </c>
      <c r="G3788" s="2" t="s">
        <v>12</v>
      </c>
      <c r="H3788" s="2" t="s">
        <v>12</v>
      </c>
      <c r="I3788" s="2" t="s">
        <v>12</v>
      </c>
      <c r="J3788" s="2" t="s">
        <v>12</v>
      </c>
      <c r="K3788" s="2" t="s">
        <v>12</v>
      </c>
    </row>
    <row r="3789" spans="1:11" ht="12.5" x14ac:dyDescent="0.25">
      <c r="A3789" s="3" t="e">
        <f ca="1"/>
        <v>#NAME?</v>
      </c>
      <c r="B3789" s="2" t="s">
        <v>12</v>
      </c>
      <c r="C3789" s="2" t="s">
        <v>12</v>
      </c>
      <c r="D3789" s="2" t="s">
        <v>12</v>
      </c>
      <c r="E3789" s="2" t="s">
        <v>12</v>
      </c>
      <c r="F3789" s="2" t="s">
        <v>12</v>
      </c>
      <c r="G3789" s="2" t="s">
        <v>12</v>
      </c>
      <c r="H3789" s="2" t="s">
        <v>12</v>
      </c>
      <c r="I3789" s="2" t="s">
        <v>12</v>
      </c>
      <c r="J3789" s="2" t="s">
        <v>12</v>
      </c>
      <c r="K3789" s="2" t="s">
        <v>12</v>
      </c>
    </row>
    <row r="3790" spans="1:11" ht="12.5" x14ac:dyDescent="0.25">
      <c r="A3790" s="3" t="e">
        <f ca="1"/>
        <v>#NAME?</v>
      </c>
      <c r="B3790" s="2" t="s">
        <v>12</v>
      </c>
      <c r="C3790" s="2" t="s">
        <v>12</v>
      </c>
      <c r="D3790" s="2" t="s">
        <v>12</v>
      </c>
      <c r="E3790" s="2" t="s">
        <v>12</v>
      </c>
      <c r="F3790" s="2" t="s">
        <v>12</v>
      </c>
      <c r="G3790" s="2" t="s">
        <v>12</v>
      </c>
      <c r="H3790" s="2" t="s">
        <v>12</v>
      </c>
      <c r="I3790" s="2" t="s">
        <v>12</v>
      </c>
      <c r="J3790" s="2" t="s">
        <v>12</v>
      </c>
      <c r="K3790" s="2" t="s">
        <v>12</v>
      </c>
    </row>
    <row r="3791" spans="1:11" ht="12.5" x14ac:dyDescent="0.25">
      <c r="A3791" s="3" t="e">
        <f ca="1"/>
        <v>#NAME?</v>
      </c>
      <c r="B3791" s="2" t="s">
        <v>12</v>
      </c>
      <c r="C3791" s="2" t="s">
        <v>12</v>
      </c>
      <c r="D3791" s="2" t="s">
        <v>12</v>
      </c>
      <c r="E3791" s="2" t="s">
        <v>12</v>
      </c>
      <c r="F3791" s="2" t="s">
        <v>12</v>
      </c>
      <c r="G3791" s="2" t="s">
        <v>12</v>
      </c>
      <c r="H3791" s="2" t="s">
        <v>12</v>
      </c>
      <c r="I3791" s="2" t="s">
        <v>12</v>
      </c>
      <c r="J3791" s="2" t="s">
        <v>12</v>
      </c>
      <c r="K3791" s="2" t="s">
        <v>12</v>
      </c>
    </row>
    <row r="3792" spans="1:11" ht="12.5" x14ac:dyDescent="0.25">
      <c r="A3792" s="3" t="e">
        <f ca="1"/>
        <v>#NAME?</v>
      </c>
      <c r="B3792" s="2" t="s">
        <v>12</v>
      </c>
      <c r="C3792" s="2" t="s">
        <v>12</v>
      </c>
      <c r="D3792" s="2" t="s">
        <v>12</v>
      </c>
      <c r="E3792" s="2" t="s">
        <v>12</v>
      </c>
      <c r="F3792" s="2" t="s">
        <v>12</v>
      </c>
      <c r="G3792" s="2" t="s">
        <v>12</v>
      </c>
      <c r="H3792" s="2" t="s">
        <v>12</v>
      </c>
      <c r="I3792" s="2" t="s">
        <v>12</v>
      </c>
      <c r="J3792" s="2" t="s">
        <v>12</v>
      </c>
      <c r="K3792" s="2" t="s">
        <v>12</v>
      </c>
    </row>
    <row r="3793" spans="1:11" ht="12.5" x14ac:dyDescent="0.25">
      <c r="A3793" s="3" t="e">
        <f ca="1"/>
        <v>#NAME?</v>
      </c>
      <c r="B3793" s="2" t="s">
        <v>12</v>
      </c>
      <c r="C3793" s="2" t="s">
        <v>12</v>
      </c>
      <c r="D3793" s="2" t="s">
        <v>12</v>
      </c>
      <c r="E3793" s="2" t="s">
        <v>12</v>
      </c>
      <c r="F3793" s="2" t="s">
        <v>12</v>
      </c>
      <c r="G3793" s="2" t="s">
        <v>12</v>
      </c>
      <c r="H3793" s="2" t="s">
        <v>12</v>
      </c>
      <c r="I3793" s="2" t="s">
        <v>12</v>
      </c>
      <c r="J3793" s="2" t="s">
        <v>12</v>
      </c>
      <c r="K3793" s="2" t="s">
        <v>12</v>
      </c>
    </row>
    <row r="3794" spans="1:11" ht="12.5" x14ac:dyDescent="0.25">
      <c r="A3794" s="3" t="e">
        <f ca="1"/>
        <v>#NAME?</v>
      </c>
      <c r="B3794" s="2" t="s">
        <v>12</v>
      </c>
      <c r="C3794" s="2" t="s">
        <v>12</v>
      </c>
      <c r="D3794" s="2" t="s">
        <v>12</v>
      </c>
      <c r="E3794" s="2" t="s">
        <v>12</v>
      </c>
      <c r="F3794" s="2" t="s">
        <v>12</v>
      </c>
      <c r="G3794" s="2" t="s">
        <v>12</v>
      </c>
      <c r="H3794" s="2" t="s">
        <v>12</v>
      </c>
      <c r="I3794" s="2" t="s">
        <v>12</v>
      </c>
      <c r="J3794" s="2" t="s">
        <v>12</v>
      </c>
      <c r="K3794" s="2" t="s">
        <v>12</v>
      </c>
    </row>
    <row r="3795" spans="1:11" ht="12.5" x14ac:dyDescent="0.25">
      <c r="A3795" s="3" t="e">
        <f ca="1"/>
        <v>#NAME?</v>
      </c>
      <c r="B3795" s="2" t="s">
        <v>12</v>
      </c>
      <c r="C3795" s="2" t="s">
        <v>12</v>
      </c>
      <c r="D3795" s="2" t="s">
        <v>12</v>
      </c>
      <c r="E3795" s="2" t="s">
        <v>12</v>
      </c>
      <c r="F3795" s="2" t="s">
        <v>12</v>
      </c>
      <c r="G3795" s="2" t="s">
        <v>12</v>
      </c>
      <c r="H3795" s="2" t="s">
        <v>12</v>
      </c>
      <c r="I3795" s="2" t="s">
        <v>12</v>
      </c>
      <c r="J3795" s="2" t="s">
        <v>12</v>
      </c>
      <c r="K3795" s="2" t="s">
        <v>12</v>
      </c>
    </row>
    <row r="3796" spans="1:11" ht="12.5" x14ac:dyDescent="0.25">
      <c r="A3796" s="3" t="e">
        <f ca="1"/>
        <v>#NAME?</v>
      </c>
      <c r="B3796" s="2" t="s">
        <v>12</v>
      </c>
      <c r="C3796" s="2" t="s">
        <v>12</v>
      </c>
      <c r="D3796" s="2" t="s">
        <v>12</v>
      </c>
      <c r="E3796" s="2" t="s">
        <v>12</v>
      </c>
      <c r="F3796" s="2" t="s">
        <v>12</v>
      </c>
      <c r="G3796" s="2" t="s">
        <v>12</v>
      </c>
      <c r="H3796" s="2" t="s">
        <v>12</v>
      </c>
      <c r="I3796" s="2" t="s">
        <v>12</v>
      </c>
      <c r="J3796" s="2" t="s">
        <v>12</v>
      </c>
      <c r="K3796" s="2" t="s">
        <v>12</v>
      </c>
    </row>
    <row r="3797" spans="1:11" ht="12.5" x14ac:dyDescent="0.25">
      <c r="A3797" s="3" t="e">
        <f ca="1"/>
        <v>#NAME?</v>
      </c>
      <c r="B3797" s="2" t="s">
        <v>12</v>
      </c>
      <c r="C3797" s="2" t="s">
        <v>12</v>
      </c>
      <c r="D3797" s="2" t="s">
        <v>12</v>
      </c>
      <c r="E3797" s="2" t="s">
        <v>12</v>
      </c>
      <c r="F3797" s="2" t="s">
        <v>12</v>
      </c>
      <c r="G3797" s="2" t="s">
        <v>12</v>
      </c>
      <c r="H3797" s="2" t="s">
        <v>12</v>
      </c>
      <c r="I3797" s="2" t="s">
        <v>12</v>
      </c>
      <c r="J3797" s="2" t="s">
        <v>12</v>
      </c>
      <c r="K3797" s="2" t="s">
        <v>12</v>
      </c>
    </row>
    <row r="3798" spans="1:11" ht="12.5" x14ac:dyDescent="0.25">
      <c r="A3798" s="3" t="e">
        <f ca="1"/>
        <v>#NAME?</v>
      </c>
      <c r="B3798" s="2" t="s">
        <v>12</v>
      </c>
      <c r="C3798" s="2" t="s">
        <v>12</v>
      </c>
      <c r="D3798" s="2" t="s">
        <v>12</v>
      </c>
      <c r="E3798" s="2" t="s">
        <v>12</v>
      </c>
      <c r="F3798" s="2" t="s">
        <v>12</v>
      </c>
      <c r="G3798" s="2" t="s">
        <v>12</v>
      </c>
      <c r="H3798" s="2" t="s">
        <v>12</v>
      </c>
      <c r="I3798" s="2" t="s">
        <v>12</v>
      </c>
      <c r="J3798" s="2" t="s">
        <v>12</v>
      </c>
      <c r="K3798" s="2" t="s">
        <v>12</v>
      </c>
    </row>
    <row r="3799" spans="1:11" ht="12.5" x14ac:dyDescent="0.25">
      <c r="A3799" s="3" t="e">
        <f ca="1"/>
        <v>#NAME?</v>
      </c>
      <c r="B3799" s="2" t="s">
        <v>12</v>
      </c>
      <c r="C3799" s="2" t="s">
        <v>12</v>
      </c>
      <c r="D3799" s="2" t="s">
        <v>12</v>
      </c>
      <c r="E3799" s="2" t="s">
        <v>12</v>
      </c>
      <c r="F3799" s="2" t="s">
        <v>12</v>
      </c>
      <c r="G3799" s="2" t="s">
        <v>12</v>
      </c>
      <c r="H3799" s="2" t="s">
        <v>12</v>
      </c>
      <c r="I3799" s="2" t="s">
        <v>12</v>
      </c>
      <c r="J3799" s="2" t="s">
        <v>12</v>
      </c>
      <c r="K3799" s="2" t="s">
        <v>12</v>
      </c>
    </row>
    <row r="3800" spans="1:11" ht="12.5" x14ac:dyDescent="0.25">
      <c r="A3800" s="3" t="e">
        <f ca="1"/>
        <v>#NAME?</v>
      </c>
      <c r="B3800" s="2" t="s">
        <v>12</v>
      </c>
      <c r="C3800" s="2" t="s">
        <v>12</v>
      </c>
      <c r="D3800" s="2" t="s">
        <v>12</v>
      </c>
      <c r="E3800" s="2" t="s">
        <v>12</v>
      </c>
      <c r="F3800" s="2" t="s">
        <v>12</v>
      </c>
      <c r="G3800" s="2" t="s">
        <v>12</v>
      </c>
      <c r="H3800" s="2" t="s">
        <v>12</v>
      </c>
      <c r="I3800" s="2" t="s">
        <v>12</v>
      </c>
      <c r="J3800" s="2" t="s">
        <v>12</v>
      </c>
      <c r="K3800" s="2" t="s">
        <v>12</v>
      </c>
    </row>
    <row r="3801" spans="1:11" ht="12.5" x14ac:dyDescent="0.25">
      <c r="A3801" s="3" t="e">
        <f ca="1"/>
        <v>#NAME?</v>
      </c>
      <c r="B3801" s="2" t="s">
        <v>12</v>
      </c>
      <c r="C3801" s="2" t="s">
        <v>12</v>
      </c>
      <c r="D3801" s="2" t="s">
        <v>12</v>
      </c>
      <c r="E3801" s="2" t="s">
        <v>12</v>
      </c>
      <c r="F3801" s="2" t="s">
        <v>12</v>
      </c>
      <c r="G3801" s="2" t="s">
        <v>12</v>
      </c>
      <c r="H3801" s="2" t="s">
        <v>12</v>
      </c>
      <c r="I3801" s="2" t="s">
        <v>12</v>
      </c>
      <c r="J3801" s="2" t="s">
        <v>12</v>
      </c>
      <c r="K3801" s="2" t="s">
        <v>12</v>
      </c>
    </row>
    <row r="3802" spans="1:11" ht="12.5" x14ac:dyDescent="0.25">
      <c r="A3802" s="3" t="e">
        <f ca="1"/>
        <v>#NAME?</v>
      </c>
      <c r="B3802" s="2" t="s">
        <v>12</v>
      </c>
      <c r="C3802" s="2" t="s">
        <v>12</v>
      </c>
      <c r="D3802" s="2" t="s">
        <v>12</v>
      </c>
      <c r="E3802" s="2" t="s">
        <v>12</v>
      </c>
      <c r="F3802" s="2" t="s">
        <v>12</v>
      </c>
      <c r="G3802" s="2" t="s">
        <v>12</v>
      </c>
      <c r="H3802" s="2" t="s">
        <v>12</v>
      </c>
      <c r="I3802" s="2" t="s">
        <v>12</v>
      </c>
      <c r="J3802" s="2" t="s">
        <v>12</v>
      </c>
      <c r="K3802" s="2" t="s">
        <v>12</v>
      </c>
    </row>
    <row r="3803" spans="1:11" ht="12.5" x14ac:dyDescent="0.25">
      <c r="A3803" s="3" t="e">
        <f ca="1"/>
        <v>#NAME?</v>
      </c>
      <c r="B3803" s="2" t="s">
        <v>12</v>
      </c>
      <c r="C3803" s="2" t="s">
        <v>12</v>
      </c>
      <c r="D3803" s="2" t="s">
        <v>12</v>
      </c>
      <c r="E3803" s="2" t="s">
        <v>12</v>
      </c>
      <c r="F3803" s="2" t="s">
        <v>12</v>
      </c>
      <c r="G3803" s="2" t="s">
        <v>12</v>
      </c>
      <c r="H3803" s="2" t="s">
        <v>12</v>
      </c>
      <c r="I3803" s="2" t="s">
        <v>12</v>
      </c>
      <c r="J3803" s="2" t="s">
        <v>12</v>
      </c>
      <c r="K3803" s="2" t="s">
        <v>12</v>
      </c>
    </row>
    <row r="3804" spans="1:11" ht="12.5" x14ac:dyDescent="0.25">
      <c r="A3804" s="3" t="e">
        <f ca="1"/>
        <v>#NAME?</v>
      </c>
      <c r="B3804" s="2" t="s">
        <v>12</v>
      </c>
      <c r="C3804" s="2" t="s">
        <v>12</v>
      </c>
      <c r="D3804" s="2" t="s">
        <v>12</v>
      </c>
      <c r="E3804" s="2" t="s">
        <v>12</v>
      </c>
      <c r="F3804" s="2" t="s">
        <v>12</v>
      </c>
      <c r="G3804" s="2" t="s">
        <v>12</v>
      </c>
      <c r="H3804" s="2" t="s">
        <v>12</v>
      </c>
      <c r="I3804" s="2" t="s">
        <v>12</v>
      </c>
      <c r="J3804" s="2" t="s">
        <v>12</v>
      </c>
      <c r="K3804" s="2" t="s">
        <v>12</v>
      </c>
    </row>
    <row r="3805" spans="1:11" ht="12.5" x14ac:dyDescent="0.25">
      <c r="A3805" s="3" t="e">
        <f ca="1"/>
        <v>#NAME?</v>
      </c>
      <c r="B3805" s="2" t="s">
        <v>12</v>
      </c>
      <c r="C3805" s="2" t="s">
        <v>12</v>
      </c>
      <c r="D3805" s="2" t="s">
        <v>12</v>
      </c>
      <c r="E3805" s="2" t="s">
        <v>12</v>
      </c>
      <c r="F3805" s="2" t="s">
        <v>12</v>
      </c>
      <c r="G3805" s="2" t="s">
        <v>12</v>
      </c>
      <c r="H3805" s="2" t="s">
        <v>12</v>
      </c>
      <c r="I3805" s="2" t="s">
        <v>12</v>
      </c>
      <c r="J3805" s="2" t="s">
        <v>12</v>
      </c>
      <c r="K3805" s="2" t="s">
        <v>12</v>
      </c>
    </row>
    <row r="3806" spans="1:11" ht="12.5" x14ac:dyDescent="0.25">
      <c r="A3806" s="3" t="e">
        <f ca="1"/>
        <v>#NAME?</v>
      </c>
      <c r="B3806" s="2" t="s">
        <v>12</v>
      </c>
      <c r="C3806" s="2" t="s">
        <v>12</v>
      </c>
      <c r="D3806" s="2" t="s">
        <v>12</v>
      </c>
      <c r="E3806" s="2" t="s">
        <v>12</v>
      </c>
      <c r="F3806" s="2" t="s">
        <v>12</v>
      </c>
      <c r="G3806" s="2" t="s">
        <v>12</v>
      </c>
      <c r="H3806" s="2" t="s">
        <v>12</v>
      </c>
      <c r="I3806" s="2" t="s">
        <v>12</v>
      </c>
      <c r="J3806" s="2" t="s">
        <v>12</v>
      </c>
      <c r="K3806" s="2" t="s">
        <v>12</v>
      </c>
    </row>
    <row r="3807" spans="1:11" ht="12.5" x14ac:dyDescent="0.25">
      <c r="A3807" s="3" t="e">
        <f ca="1"/>
        <v>#NAME?</v>
      </c>
      <c r="B3807" s="2" t="s">
        <v>12</v>
      </c>
      <c r="C3807" s="2" t="s">
        <v>12</v>
      </c>
      <c r="D3807" s="2" t="s">
        <v>12</v>
      </c>
      <c r="E3807" s="2" t="s">
        <v>12</v>
      </c>
      <c r="F3807" s="2" t="s">
        <v>12</v>
      </c>
      <c r="G3807" s="2" t="s">
        <v>12</v>
      </c>
      <c r="H3807" s="2" t="s">
        <v>12</v>
      </c>
      <c r="I3807" s="2" t="s">
        <v>12</v>
      </c>
      <c r="J3807" s="2" t="s">
        <v>12</v>
      </c>
      <c r="K3807" s="2" t="s">
        <v>12</v>
      </c>
    </row>
    <row r="3808" spans="1:11" ht="12.5" x14ac:dyDescent="0.25">
      <c r="A3808" s="3" t="e">
        <f ca="1"/>
        <v>#NAME?</v>
      </c>
      <c r="B3808" s="2" t="s">
        <v>12</v>
      </c>
      <c r="C3808" s="2" t="s">
        <v>12</v>
      </c>
      <c r="D3808" s="2" t="s">
        <v>12</v>
      </c>
      <c r="E3808" s="2" t="s">
        <v>12</v>
      </c>
      <c r="F3808" s="2" t="s">
        <v>12</v>
      </c>
      <c r="G3808" s="2" t="s">
        <v>12</v>
      </c>
      <c r="H3808" s="2" t="s">
        <v>12</v>
      </c>
      <c r="I3808" s="2" t="s">
        <v>12</v>
      </c>
      <c r="J3808" s="2" t="s">
        <v>12</v>
      </c>
      <c r="K3808" s="2" t="s">
        <v>12</v>
      </c>
    </row>
    <row r="3809" spans="1:11" ht="12.5" x14ac:dyDescent="0.25">
      <c r="A3809" s="3" t="e">
        <f ca="1"/>
        <v>#NAME?</v>
      </c>
      <c r="B3809" s="2" t="s">
        <v>12</v>
      </c>
      <c r="C3809" s="2" t="s">
        <v>12</v>
      </c>
      <c r="D3809" s="2" t="s">
        <v>12</v>
      </c>
      <c r="E3809" s="2" t="s">
        <v>12</v>
      </c>
      <c r="F3809" s="2" t="s">
        <v>12</v>
      </c>
      <c r="G3809" s="2" t="s">
        <v>12</v>
      </c>
      <c r="H3809" s="2" t="s">
        <v>12</v>
      </c>
      <c r="I3809" s="2" t="s">
        <v>12</v>
      </c>
      <c r="J3809" s="2" t="s">
        <v>12</v>
      </c>
      <c r="K3809" s="2" t="s">
        <v>12</v>
      </c>
    </row>
    <row r="3810" spans="1:11" ht="12.5" x14ac:dyDescent="0.25">
      <c r="A3810" s="3" t="e">
        <f ca="1"/>
        <v>#NAME?</v>
      </c>
      <c r="B3810" s="2" t="s">
        <v>12</v>
      </c>
      <c r="C3810" s="2" t="s">
        <v>12</v>
      </c>
      <c r="D3810" s="2" t="s">
        <v>12</v>
      </c>
      <c r="E3810" s="2" t="s">
        <v>12</v>
      </c>
      <c r="F3810" s="2" t="s">
        <v>12</v>
      </c>
      <c r="G3810" s="2" t="s">
        <v>12</v>
      </c>
      <c r="H3810" s="2" t="s">
        <v>12</v>
      </c>
      <c r="I3810" s="2" t="s">
        <v>12</v>
      </c>
      <c r="J3810" s="2" t="s">
        <v>12</v>
      </c>
      <c r="K3810" s="2" t="s">
        <v>12</v>
      </c>
    </row>
    <row r="3811" spans="1:11" ht="12.5" x14ac:dyDescent="0.25">
      <c r="A3811" s="3" t="e">
        <f ca="1"/>
        <v>#NAME?</v>
      </c>
      <c r="B3811" s="2" t="s">
        <v>12</v>
      </c>
      <c r="C3811" s="2" t="s">
        <v>12</v>
      </c>
      <c r="D3811" s="2" t="s">
        <v>12</v>
      </c>
      <c r="E3811" s="2" t="s">
        <v>12</v>
      </c>
      <c r="F3811" s="2" t="s">
        <v>12</v>
      </c>
      <c r="G3811" s="2" t="s">
        <v>12</v>
      </c>
      <c r="H3811" s="2" t="s">
        <v>12</v>
      </c>
      <c r="I3811" s="2" t="s">
        <v>12</v>
      </c>
      <c r="J3811" s="2" t="s">
        <v>12</v>
      </c>
      <c r="K3811" s="2" t="s">
        <v>12</v>
      </c>
    </row>
    <row r="3812" spans="1:11" ht="12.5" x14ac:dyDescent="0.25">
      <c r="A3812" s="3" t="e">
        <f ca="1"/>
        <v>#NAME?</v>
      </c>
      <c r="B3812" s="2" t="s">
        <v>12</v>
      </c>
      <c r="C3812" s="2" t="s">
        <v>12</v>
      </c>
      <c r="D3812" s="2" t="s">
        <v>12</v>
      </c>
      <c r="E3812" s="2" t="s">
        <v>12</v>
      </c>
      <c r="F3812" s="2" t="s">
        <v>12</v>
      </c>
      <c r="G3812" s="2" t="s">
        <v>12</v>
      </c>
      <c r="H3812" s="2" t="s">
        <v>12</v>
      </c>
      <c r="I3812" s="2" t="s">
        <v>12</v>
      </c>
      <c r="J3812" s="2" t="s">
        <v>12</v>
      </c>
      <c r="K3812" s="2" t="s">
        <v>12</v>
      </c>
    </row>
    <row r="3813" spans="1:11" ht="12.5" x14ac:dyDescent="0.25">
      <c r="A3813" s="3" t="e">
        <f ca="1"/>
        <v>#NAME?</v>
      </c>
      <c r="B3813" s="2" t="s">
        <v>12</v>
      </c>
      <c r="C3813" s="2" t="s">
        <v>12</v>
      </c>
      <c r="D3813" s="2" t="s">
        <v>12</v>
      </c>
      <c r="E3813" s="2" t="s">
        <v>12</v>
      </c>
      <c r="F3813" s="2" t="s">
        <v>12</v>
      </c>
      <c r="G3813" s="2" t="s">
        <v>12</v>
      </c>
      <c r="H3813" s="2" t="s">
        <v>12</v>
      </c>
      <c r="I3813" s="2" t="s">
        <v>12</v>
      </c>
      <c r="J3813" s="2" t="s">
        <v>12</v>
      </c>
      <c r="K3813" s="2" t="s">
        <v>12</v>
      </c>
    </row>
    <row r="3814" spans="1:11" ht="12.5" x14ac:dyDescent="0.25">
      <c r="A3814" s="3" t="e">
        <f ca="1"/>
        <v>#NAME?</v>
      </c>
      <c r="B3814" s="2" t="s">
        <v>12</v>
      </c>
      <c r="C3814" s="2" t="s">
        <v>12</v>
      </c>
      <c r="D3814" s="2" t="s">
        <v>12</v>
      </c>
      <c r="E3814" s="2" t="s">
        <v>12</v>
      </c>
      <c r="F3814" s="2" t="s">
        <v>12</v>
      </c>
      <c r="G3814" s="2" t="s">
        <v>12</v>
      </c>
      <c r="H3814" s="2" t="s">
        <v>12</v>
      </c>
      <c r="I3814" s="2" t="s">
        <v>12</v>
      </c>
      <c r="J3814" s="2" t="s">
        <v>12</v>
      </c>
      <c r="K3814" s="2" t="s">
        <v>12</v>
      </c>
    </row>
    <row r="3815" spans="1:11" ht="12.5" x14ac:dyDescent="0.25">
      <c r="A3815" s="3" t="e">
        <f ca="1"/>
        <v>#NAME?</v>
      </c>
      <c r="B3815" s="2" t="s">
        <v>12</v>
      </c>
      <c r="C3815" s="2" t="s">
        <v>12</v>
      </c>
      <c r="D3815" s="2" t="s">
        <v>12</v>
      </c>
      <c r="E3815" s="2" t="s">
        <v>12</v>
      </c>
      <c r="F3815" s="2" t="s">
        <v>12</v>
      </c>
      <c r="G3815" s="2" t="s">
        <v>12</v>
      </c>
      <c r="H3815" s="2" t="s">
        <v>12</v>
      </c>
      <c r="I3815" s="2" t="s">
        <v>12</v>
      </c>
      <c r="J3815" s="2" t="s">
        <v>12</v>
      </c>
      <c r="K3815" s="2" t="s">
        <v>12</v>
      </c>
    </row>
    <row r="3816" spans="1:11" ht="12.5" x14ac:dyDescent="0.25">
      <c r="A3816" s="3" t="e">
        <f ca="1"/>
        <v>#NAME?</v>
      </c>
      <c r="B3816" s="2" t="s">
        <v>12</v>
      </c>
      <c r="C3816" s="2" t="s">
        <v>12</v>
      </c>
      <c r="D3816" s="2" t="s">
        <v>12</v>
      </c>
      <c r="E3816" s="2" t="s">
        <v>12</v>
      </c>
      <c r="F3816" s="2" t="s">
        <v>12</v>
      </c>
      <c r="G3816" s="2" t="s">
        <v>12</v>
      </c>
      <c r="H3816" s="2" t="s">
        <v>12</v>
      </c>
      <c r="I3816" s="2" t="s">
        <v>12</v>
      </c>
      <c r="J3816" s="2" t="s">
        <v>12</v>
      </c>
      <c r="K3816" s="2" t="s">
        <v>12</v>
      </c>
    </row>
    <row r="3817" spans="1:11" ht="12.5" x14ac:dyDescent="0.25">
      <c r="A3817" s="3" t="e">
        <f ca="1"/>
        <v>#NAME?</v>
      </c>
      <c r="B3817" s="2" t="s">
        <v>12</v>
      </c>
      <c r="C3817" s="2" t="s">
        <v>12</v>
      </c>
      <c r="D3817" s="2" t="s">
        <v>12</v>
      </c>
      <c r="E3817" s="2" t="s">
        <v>12</v>
      </c>
      <c r="F3817" s="2" t="s">
        <v>12</v>
      </c>
      <c r="G3817" s="2" t="s">
        <v>12</v>
      </c>
      <c r="H3817" s="2" t="s">
        <v>12</v>
      </c>
      <c r="I3817" s="2" t="s">
        <v>12</v>
      </c>
      <c r="J3817" s="2" t="s">
        <v>12</v>
      </c>
      <c r="K3817" s="2" t="s">
        <v>12</v>
      </c>
    </row>
    <row r="3818" spans="1:11" ht="12.5" x14ac:dyDescent="0.25">
      <c r="A3818" s="3" t="e">
        <f ca="1"/>
        <v>#NAME?</v>
      </c>
      <c r="B3818" s="2" t="s">
        <v>12</v>
      </c>
      <c r="C3818" s="2" t="s">
        <v>12</v>
      </c>
      <c r="D3818" s="2" t="s">
        <v>12</v>
      </c>
      <c r="E3818" s="2" t="s">
        <v>12</v>
      </c>
      <c r="F3818" s="2" t="s">
        <v>12</v>
      </c>
      <c r="G3818" s="2" t="s">
        <v>12</v>
      </c>
      <c r="H3818" s="2" t="s">
        <v>12</v>
      </c>
      <c r="I3818" s="2" t="s">
        <v>12</v>
      </c>
      <c r="J3818" s="2" t="s">
        <v>12</v>
      </c>
      <c r="K3818" s="2" t="s">
        <v>12</v>
      </c>
    </row>
    <row r="3819" spans="1:11" ht="12.5" x14ac:dyDescent="0.25">
      <c r="A3819" s="3" t="e">
        <f ca="1"/>
        <v>#NAME?</v>
      </c>
      <c r="B3819" s="2" t="s">
        <v>12</v>
      </c>
      <c r="C3819" s="2" t="s">
        <v>12</v>
      </c>
      <c r="D3819" s="2" t="s">
        <v>12</v>
      </c>
      <c r="E3819" s="2" t="s">
        <v>12</v>
      </c>
      <c r="F3819" s="2" t="s">
        <v>12</v>
      </c>
      <c r="G3819" s="2" t="s">
        <v>12</v>
      </c>
      <c r="H3819" s="2" t="s">
        <v>12</v>
      </c>
      <c r="I3819" s="2" t="s">
        <v>12</v>
      </c>
      <c r="J3819" s="2" t="s">
        <v>12</v>
      </c>
      <c r="K3819" s="2" t="s">
        <v>12</v>
      </c>
    </row>
    <row r="3820" spans="1:11" ht="12.5" x14ac:dyDescent="0.25">
      <c r="A3820" s="3" t="e">
        <f ca="1"/>
        <v>#NAME?</v>
      </c>
      <c r="B3820" s="2" t="s">
        <v>12</v>
      </c>
      <c r="C3820" s="2" t="s">
        <v>12</v>
      </c>
      <c r="D3820" s="2" t="s">
        <v>12</v>
      </c>
      <c r="E3820" s="2" t="s">
        <v>12</v>
      </c>
      <c r="F3820" s="2" t="s">
        <v>12</v>
      </c>
      <c r="G3820" s="2" t="s">
        <v>12</v>
      </c>
      <c r="H3820" s="2" t="s">
        <v>12</v>
      </c>
      <c r="I3820" s="2" t="s">
        <v>12</v>
      </c>
      <c r="J3820" s="2" t="s">
        <v>12</v>
      </c>
      <c r="K3820" s="2" t="s">
        <v>12</v>
      </c>
    </row>
    <row r="3821" spans="1:11" ht="12.5" x14ac:dyDescent="0.25">
      <c r="A3821" s="3" t="e">
        <f ca="1"/>
        <v>#NAME?</v>
      </c>
      <c r="B3821" s="2" t="s">
        <v>12</v>
      </c>
      <c r="C3821" s="2" t="s">
        <v>12</v>
      </c>
      <c r="D3821" s="2" t="s">
        <v>12</v>
      </c>
      <c r="E3821" s="2" t="s">
        <v>12</v>
      </c>
      <c r="F3821" s="2" t="s">
        <v>12</v>
      </c>
      <c r="G3821" s="2" t="s">
        <v>12</v>
      </c>
      <c r="H3821" s="2" t="s">
        <v>12</v>
      </c>
      <c r="I3821" s="2" t="s">
        <v>12</v>
      </c>
      <c r="J3821" s="2" t="s">
        <v>12</v>
      </c>
      <c r="K3821" s="2" t="s">
        <v>12</v>
      </c>
    </row>
    <row r="3822" spans="1:11" ht="12.5" x14ac:dyDescent="0.25">
      <c r="A3822" s="3" t="e">
        <f ca="1"/>
        <v>#NAME?</v>
      </c>
      <c r="B3822" s="2" t="s">
        <v>12</v>
      </c>
      <c r="C3822" s="2" t="s">
        <v>12</v>
      </c>
      <c r="D3822" s="2" t="s">
        <v>12</v>
      </c>
      <c r="E3822" s="2" t="s">
        <v>12</v>
      </c>
      <c r="F3822" s="2" t="s">
        <v>12</v>
      </c>
      <c r="G3822" s="2" t="s">
        <v>12</v>
      </c>
      <c r="H3822" s="2" t="s">
        <v>12</v>
      </c>
      <c r="I3822" s="2" t="s">
        <v>12</v>
      </c>
      <c r="J3822" s="2" t="s">
        <v>12</v>
      </c>
      <c r="K3822" s="2" t="s">
        <v>12</v>
      </c>
    </row>
    <row r="3823" spans="1:11" ht="12.5" x14ac:dyDescent="0.25">
      <c r="A3823" s="3" t="e">
        <f ca="1"/>
        <v>#NAME?</v>
      </c>
      <c r="B3823" s="2" t="s">
        <v>12</v>
      </c>
      <c r="C3823" s="2" t="s">
        <v>12</v>
      </c>
      <c r="D3823" s="2" t="s">
        <v>12</v>
      </c>
      <c r="E3823" s="2" t="s">
        <v>12</v>
      </c>
      <c r="F3823" s="2" t="s">
        <v>12</v>
      </c>
      <c r="G3823" s="2" t="s">
        <v>12</v>
      </c>
      <c r="H3823" s="2" t="s">
        <v>12</v>
      </c>
      <c r="I3823" s="2" t="s">
        <v>12</v>
      </c>
      <c r="J3823" s="2" t="s">
        <v>12</v>
      </c>
      <c r="K3823" s="2" t="s">
        <v>12</v>
      </c>
    </row>
    <row r="3824" spans="1:11" ht="12.5" x14ac:dyDescent="0.25">
      <c r="A3824" s="3" t="e">
        <f ca="1"/>
        <v>#NAME?</v>
      </c>
      <c r="B3824" s="2" t="s">
        <v>12</v>
      </c>
      <c r="C3824" s="2" t="s">
        <v>12</v>
      </c>
      <c r="D3824" s="2" t="s">
        <v>12</v>
      </c>
      <c r="E3824" s="2" t="s">
        <v>12</v>
      </c>
      <c r="F3824" s="2" t="s">
        <v>12</v>
      </c>
      <c r="G3824" s="2" t="s">
        <v>12</v>
      </c>
      <c r="H3824" s="2" t="s">
        <v>12</v>
      </c>
      <c r="I3824" s="2" t="s">
        <v>12</v>
      </c>
      <c r="J3824" s="2" t="s">
        <v>12</v>
      </c>
      <c r="K3824" s="2" t="s">
        <v>12</v>
      </c>
    </row>
    <row r="3825" spans="1:11" ht="12.5" x14ac:dyDescent="0.25">
      <c r="A3825" s="3" t="e">
        <f ca="1"/>
        <v>#NAME?</v>
      </c>
      <c r="B3825" s="2" t="s">
        <v>12</v>
      </c>
      <c r="C3825" s="2" t="s">
        <v>12</v>
      </c>
      <c r="D3825" s="2" t="s">
        <v>12</v>
      </c>
      <c r="E3825" s="2" t="s">
        <v>12</v>
      </c>
      <c r="F3825" s="2" t="s">
        <v>12</v>
      </c>
      <c r="G3825" s="2" t="s">
        <v>12</v>
      </c>
      <c r="H3825" s="2" t="s">
        <v>12</v>
      </c>
      <c r="I3825" s="2" t="s">
        <v>12</v>
      </c>
      <c r="J3825" s="2" t="s">
        <v>12</v>
      </c>
      <c r="K3825" s="2" t="s">
        <v>12</v>
      </c>
    </row>
    <row r="3826" spans="1:11" ht="12.5" x14ac:dyDescent="0.25">
      <c r="A3826" s="3" t="e">
        <f ca="1"/>
        <v>#NAME?</v>
      </c>
      <c r="B3826" s="2" t="s">
        <v>12</v>
      </c>
      <c r="C3826" s="2" t="s">
        <v>12</v>
      </c>
      <c r="D3826" s="2" t="s">
        <v>12</v>
      </c>
      <c r="E3826" s="2" t="s">
        <v>12</v>
      </c>
      <c r="F3826" s="2" t="s">
        <v>12</v>
      </c>
      <c r="G3826" s="2" t="s">
        <v>12</v>
      </c>
      <c r="H3826" s="2" t="s">
        <v>12</v>
      </c>
      <c r="I3826" s="2" t="s">
        <v>12</v>
      </c>
      <c r="J3826" s="2" t="s">
        <v>12</v>
      </c>
      <c r="K3826" s="2" t="s">
        <v>12</v>
      </c>
    </row>
    <row r="3827" spans="1:11" ht="12.5" x14ac:dyDescent="0.25">
      <c r="A3827" s="3" t="e">
        <f ca="1"/>
        <v>#NAME?</v>
      </c>
      <c r="B3827" s="2" t="s">
        <v>12</v>
      </c>
      <c r="C3827" s="2" t="s">
        <v>12</v>
      </c>
      <c r="D3827" s="2" t="s">
        <v>12</v>
      </c>
      <c r="E3827" s="2" t="s">
        <v>12</v>
      </c>
      <c r="F3827" s="2" t="s">
        <v>12</v>
      </c>
      <c r="G3827" s="2" t="s">
        <v>12</v>
      </c>
      <c r="H3827" s="2" t="s">
        <v>12</v>
      </c>
      <c r="I3827" s="2" t="s">
        <v>12</v>
      </c>
      <c r="J3827" s="2" t="s">
        <v>12</v>
      </c>
      <c r="K3827" s="2" t="s">
        <v>12</v>
      </c>
    </row>
    <row r="3828" spans="1:11" ht="12.5" x14ac:dyDescent="0.25">
      <c r="A3828" s="3" t="e">
        <f ca="1"/>
        <v>#NAME?</v>
      </c>
      <c r="B3828" s="2" t="s">
        <v>12</v>
      </c>
      <c r="C3828" s="2" t="s">
        <v>12</v>
      </c>
      <c r="D3828" s="2" t="s">
        <v>12</v>
      </c>
      <c r="E3828" s="2" t="s">
        <v>12</v>
      </c>
      <c r="F3828" s="2" t="s">
        <v>12</v>
      </c>
      <c r="G3828" s="2" t="s">
        <v>12</v>
      </c>
      <c r="H3828" s="2" t="s">
        <v>12</v>
      </c>
      <c r="I3828" s="2" t="s">
        <v>12</v>
      </c>
      <c r="J3828" s="2" t="s">
        <v>12</v>
      </c>
      <c r="K3828" s="2" t="s">
        <v>12</v>
      </c>
    </row>
    <row r="3829" spans="1:11" ht="12.5" x14ac:dyDescent="0.25">
      <c r="A3829" s="3" t="e">
        <f ca="1"/>
        <v>#NAME?</v>
      </c>
      <c r="B3829" s="2" t="s">
        <v>12</v>
      </c>
      <c r="C3829" s="2" t="s">
        <v>12</v>
      </c>
      <c r="D3829" s="2" t="s">
        <v>12</v>
      </c>
      <c r="E3829" s="2" t="s">
        <v>12</v>
      </c>
      <c r="F3829" s="2" t="s">
        <v>12</v>
      </c>
      <c r="G3829" s="2" t="s">
        <v>12</v>
      </c>
      <c r="H3829" s="2" t="s">
        <v>12</v>
      </c>
      <c r="I3829" s="2" t="s">
        <v>12</v>
      </c>
      <c r="J3829" s="2" t="s">
        <v>12</v>
      </c>
      <c r="K3829" s="2" t="s">
        <v>12</v>
      </c>
    </row>
    <row r="3830" spans="1:11" ht="12.5" x14ac:dyDescent="0.25">
      <c r="A3830" s="3" t="e">
        <f ca="1"/>
        <v>#NAME?</v>
      </c>
      <c r="B3830" s="2" t="s">
        <v>12</v>
      </c>
      <c r="C3830" s="2" t="s">
        <v>12</v>
      </c>
      <c r="D3830" s="2" t="s">
        <v>12</v>
      </c>
      <c r="E3830" s="2" t="s">
        <v>12</v>
      </c>
      <c r="F3830" s="2" t="s">
        <v>12</v>
      </c>
      <c r="G3830" s="2" t="s">
        <v>12</v>
      </c>
      <c r="H3830" s="2" t="s">
        <v>12</v>
      </c>
      <c r="I3830" s="2" t="s">
        <v>12</v>
      </c>
      <c r="J3830" s="2" t="s">
        <v>12</v>
      </c>
      <c r="K3830" s="2" t="s">
        <v>12</v>
      </c>
    </row>
    <row r="3831" spans="1:11" ht="12.5" x14ac:dyDescent="0.25">
      <c r="A3831" s="3" t="e">
        <f ca="1"/>
        <v>#NAME?</v>
      </c>
      <c r="B3831" s="2" t="s">
        <v>12</v>
      </c>
      <c r="C3831" s="2" t="s">
        <v>12</v>
      </c>
      <c r="D3831" s="2" t="s">
        <v>12</v>
      </c>
      <c r="E3831" s="2" t="s">
        <v>12</v>
      </c>
      <c r="F3831" s="2" t="s">
        <v>12</v>
      </c>
      <c r="G3831" s="2" t="s">
        <v>12</v>
      </c>
      <c r="H3831" s="2" t="s">
        <v>12</v>
      </c>
      <c r="I3831" s="2" t="s">
        <v>12</v>
      </c>
      <c r="J3831" s="2" t="s">
        <v>12</v>
      </c>
      <c r="K3831" s="2" t="s">
        <v>12</v>
      </c>
    </row>
    <row r="3832" spans="1:11" ht="12.5" x14ac:dyDescent="0.25">
      <c r="A3832" s="3" t="e">
        <f ca="1"/>
        <v>#NAME?</v>
      </c>
      <c r="B3832" s="2" t="s">
        <v>12</v>
      </c>
      <c r="C3832" s="2" t="s">
        <v>12</v>
      </c>
      <c r="D3832" s="2" t="s">
        <v>12</v>
      </c>
      <c r="E3832" s="2" t="s">
        <v>12</v>
      </c>
      <c r="F3832" s="2" t="s">
        <v>12</v>
      </c>
      <c r="G3832" s="2" t="s">
        <v>12</v>
      </c>
      <c r="H3832" s="2" t="s">
        <v>12</v>
      </c>
      <c r="I3832" s="2" t="s">
        <v>12</v>
      </c>
      <c r="J3832" s="2" t="s">
        <v>12</v>
      </c>
      <c r="K3832" s="2" t="s">
        <v>12</v>
      </c>
    </row>
    <row r="3833" spans="1:11" ht="12.5" x14ac:dyDescent="0.25">
      <c r="A3833" s="3" t="e">
        <f ca="1"/>
        <v>#NAME?</v>
      </c>
      <c r="B3833" s="2" t="s">
        <v>12</v>
      </c>
      <c r="C3833" s="2" t="s">
        <v>12</v>
      </c>
      <c r="D3833" s="2" t="s">
        <v>12</v>
      </c>
      <c r="E3833" s="2" t="s">
        <v>12</v>
      </c>
      <c r="F3833" s="2" t="s">
        <v>12</v>
      </c>
      <c r="G3833" s="2" t="s">
        <v>12</v>
      </c>
      <c r="H3833" s="2" t="s">
        <v>12</v>
      </c>
      <c r="I3833" s="2" t="s">
        <v>12</v>
      </c>
      <c r="J3833" s="2" t="s">
        <v>12</v>
      </c>
      <c r="K3833" s="2" t="s">
        <v>12</v>
      </c>
    </row>
    <row r="3834" spans="1:11" ht="12.5" x14ac:dyDescent="0.25">
      <c r="A3834" s="3" t="e">
        <f ca="1"/>
        <v>#NAME?</v>
      </c>
      <c r="B3834" s="2" t="s">
        <v>12</v>
      </c>
      <c r="C3834" s="2" t="s">
        <v>12</v>
      </c>
      <c r="D3834" s="2" t="s">
        <v>12</v>
      </c>
      <c r="E3834" s="2" t="s">
        <v>12</v>
      </c>
      <c r="F3834" s="2" t="s">
        <v>12</v>
      </c>
      <c r="G3834" s="2" t="s">
        <v>12</v>
      </c>
      <c r="H3834" s="2" t="s">
        <v>12</v>
      </c>
      <c r="I3834" s="2" t="s">
        <v>12</v>
      </c>
      <c r="J3834" s="2" t="s">
        <v>12</v>
      </c>
      <c r="K3834" s="2" t="s">
        <v>12</v>
      </c>
    </row>
    <row r="3835" spans="1:11" ht="12.5" x14ac:dyDescent="0.25">
      <c r="A3835" s="3" t="e">
        <f ca="1"/>
        <v>#NAME?</v>
      </c>
      <c r="B3835" s="2" t="s">
        <v>12</v>
      </c>
      <c r="C3835" s="2" t="s">
        <v>12</v>
      </c>
      <c r="D3835" s="2" t="s">
        <v>12</v>
      </c>
      <c r="E3835" s="2" t="s">
        <v>12</v>
      </c>
      <c r="F3835" s="2" t="s">
        <v>12</v>
      </c>
      <c r="G3835" s="2" t="s">
        <v>12</v>
      </c>
      <c r="H3835" s="2" t="s">
        <v>12</v>
      </c>
      <c r="I3835" s="2" t="s">
        <v>12</v>
      </c>
      <c r="J3835" s="2" t="s">
        <v>12</v>
      </c>
      <c r="K3835" s="2" t="s">
        <v>12</v>
      </c>
    </row>
    <row r="3836" spans="1:11" ht="12.5" x14ac:dyDescent="0.25">
      <c r="A3836" s="3" t="e">
        <f ca="1"/>
        <v>#NAME?</v>
      </c>
      <c r="B3836" s="2" t="s">
        <v>12</v>
      </c>
      <c r="C3836" s="2" t="s">
        <v>12</v>
      </c>
      <c r="D3836" s="2" t="s">
        <v>12</v>
      </c>
      <c r="E3836" s="2" t="s">
        <v>12</v>
      </c>
      <c r="F3836" s="2" t="s">
        <v>12</v>
      </c>
      <c r="G3836" s="2" t="s">
        <v>12</v>
      </c>
      <c r="H3836" s="2" t="s">
        <v>12</v>
      </c>
      <c r="I3836" s="2" t="s">
        <v>12</v>
      </c>
      <c r="J3836" s="2" t="s">
        <v>12</v>
      </c>
      <c r="K3836" s="2" t="s">
        <v>12</v>
      </c>
    </row>
    <row r="3837" spans="1:11" ht="12.5" x14ac:dyDescent="0.25">
      <c r="A3837" s="3" t="e">
        <f ca="1"/>
        <v>#NAME?</v>
      </c>
      <c r="B3837" s="2" t="s">
        <v>12</v>
      </c>
      <c r="C3837" s="2" t="s">
        <v>12</v>
      </c>
      <c r="D3837" s="2" t="s">
        <v>12</v>
      </c>
      <c r="E3837" s="2" t="s">
        <v>12</v>
      </c>
      <c r="F3837" s="2" t="s">
        <v>12</v>
      </c>
      <c r="G3837" s="2" t="s">
        <v>12</v>
      </c>
      <c r="H3837" s="2" t="s">
        <v>12</v>
      </c>
      <c r="I3837" s="2" t="s">
        <v>12</v>
      </c>
      <c r="J3837" s="2" t="s">
        <v>12</v>
      </c>
      <c r="K3837" s="2" t="s">
        <v>12</v>
      </c>
    </row>
    <row r="3838" spans="1:11" ht="12.5" x14ac:dyDescent="0.25">
      <c r="A3838" s="3" t="e">
        <f ca="1"/>
        <v>#NAME?</v>
      </c>
      <c r="B3838" s="2" t="s">
        <v>12</v>
      </c>
      <c r="C3838" s="2" t="s">
        <v>12</v>
      </c>
      <c r="D3838" s="2" t="s">
        <v>12</v>
      </c>
      <c r="E3838" s="2" t="s">
        <v>12</v>
      </c>
      <c r="F3838" s="2" t="s">
        <v>12</v>
      </c>
      <c r="G3838" s="2" t="s">
        <v>12</v>
      </c>
      <c r="H3838" s="2" t="s">
        <v>12</v>
      </c>
      <c r="I3838" s="2" t="s">
        <v>12</v>
      </c>
      <c r="J3838" s="2" t="s">
        <v>12</v>
      </c>
      <c r="K3838" s="2" t="s">
        <v>12</v>
      </c>
    </row>
    <row r="3839" spans="1:11" ht="12.5" x14ac:dyDescent="0.25">
      <c r="A3839" s="3" t="e">
        <f ca="1"/>
        <v>#NAME?</v>
      </c>
      <c r="B3839" s="2" t="s">
        <v>12</v>
      </c>
      <c r="C3839" s="2" t="s">
        <v>12</v>
      </c>
      <c r="D3839" s="2" t="s">
        <v>12</v>
      </c>
      <c r="E3839" s="2" t="s">
        <v>12</v>
      </c>
      <c r="F3839" s="2" t="s">
        <v>12</v>
      </c>
      <c r="G3839" s="2" t="s">
        <v>12</v>
      </c>
      <c r="H3839" s="2" t="s">
        <v>12</v>
      </c>
      <c r="I3839" s="2" t="s">
        <v>12</v>
      </c>
      <c r="J3839" s="2" t="s">
        <v>12</v>
      </c>
      <c r="K3839" s="2" t="s">
        <v>12</v>
      </c>
    </row>
    <row r="3840" spans="1:11" ht="12.5" x14ac:dyDescent="0.25">
      <c r="A3840" s="3" t="e">
        <f ca="1"/>
        <v>#NAME?</v>
      </c>
      <c r="B3840" s="2" t="s">
        <v>12</v>
      </c>
      <c r="C3840" s="2" t="s">
        <v>12</v>
      </c>
      <c r="D3840" s="2" t="s">
        <v>12</v>
      </c>
      <c r="E3840" s="2" t="s">
        <v>12</v>
      </c>
      <c r="F3840" s="2" t="s">
        <v>12</v>
      </c>
      <c r="G3840" s="2" t="s">
        <v>12</v>
      </c>
      <c r="H3840" s="2" t="s">
        <v>12</v>
      </c>
      <c r="I3840" s="2" t="s">
        <v>12</v>
      </c>
      <c r="J3840" s="2" t="s">
        <v>12</v>
      </c>
      <c r="K3840" s="2" t="s">
        <v>12</v>
      </c>
    </row>
    <row r="3841" spans="1:11" ht="12.5" x14ac:dyDescent="0.25">
      <c r="A3841" s="3" t="e">
        <f ca="1"/>
        <v>#NAME?</v>
      </c>
      <c r="B3841" s="2" t="s">
        <v>12</v>
      </c>
      <c r="C3841" s="2" t="s">
        <v>12</v>
      </c>
      <c r="D3841" s="2" t="s">
        <v>12</v>
      </c>
      <c r="E3841" s="2" t="s">
        <v>12</v>
      </c>
      <c r="F3841" s="2" t="s">
        <v>12</v>
      </c>
      <c r="G3841" s="2" t="s">
        <v>12</v>
      </c>
      <c r="H3841" s="2" t="s">
        <v>12</v>
      </c>
      <c r="I3841" s="2" t="s">
        <v>12</v>
      </c>
      <c r="J3841" s="2" t="s">
        <v>12</v>
      </c>
      <c r="K3841" s="2" t="s">
        <v>12</v>
      </c>
    </row>
    <row r="3842" spans="1:11" ht="12.5" x14ac:dyDescent="0.25">
      <c r="A3842" s="3" t="e">
        <f ca="1"/>
        <v>#NAME?</v>
      </c>
      <c r="B3842" s="2" t="s">
        <v>12</v>
      </c>
      <c r="C3842" s="2" t="s">
        <v>12</v>
      </c>
      <c r="D3842" s="2" t="s">
        <v>12</v>
      </c>
      <c r="E3842" s="2" t="s">
        <v>12</v>
      </c>
      <c r="F3842" s="2" t="s">
        <v>12</v>
      </c>
      <c r="G3842" s="2" t="s">
        <v>12</v>
      </c>
      <c r="H3842" s="2" t="s">
        <v>12</v>
      </c>
      <c r="I3842" s="2" t="s">
        <v>12</v>
      </c>
      <c r="J3842" s="2" t="s">
        <v>12</v>
      </c>
      <c r="K3842" s="2" t="s">
        <v>12</v>
      </c>
    </row>
    <row r="3843" spans="1:11" ht="12.5" x14ac:dyDescent="0.25">
      <c r="A3843" s="3" t="e">
        <f ca="1"/>
        <v>#NAME?</v>
      </c>
      <c r="B3843" s="2" t="s">
        <v>12</v>
      </c>
      <c r="C3843" s="2" t="s">
        <v>12</v>
      </c>
      <c r="D3843" s="2" t="s">
        <v>12</v>
      </c>
      <c r="E3843" s="2" t="s">
        <v>12</v>
      </c>
      <c r="F3843" s="2" t="s">
        <v>12</v>
      </c>
      <c r="G3843" s="2" t="s">
        <v>12</v>
      </c>
      <c r="H3843" s="2" t="s">
        <v>12</v>
      </c>
      <c r="I3843" s="2" t="s">
        <v>12</v>
      </c>
      <c r="J3843" s="2" t="s">
        <v>12</v>
      </c>
      <c r="K3843" s="2" t="s">
        <v>12</v>
      </c>
    </row>
    <row r="3844" spans="1:11" ht="12.5" x14ac:dyDescent="0.25">
      <c r="A3844" s="3" t="e">
        <f ca="1"/>
        <v>#NAME?</v>
      </c>
      <c r="B3844" s="2" t="s">
        <v>12</v>
      </c>
      <c r="C3844" s="2" t="s">
        <v>12</v>
      </c>
      <c r="D3844" s="2" t="s">
        <v>12</v>
      </c>
      <c r="E3844" s="2" t="s">
        <v>12</v>
      </c>
      <c r="F3844" s="2" t="s">
        <v>12</v>
      </c>
      <c r="G3844" s="2" t="s">
        <v>12</v>
      </c>
      <c r="H3844" s="2" t="s">
        <v>12</v>
      </c>
      <c r="I3844" s="2" t="s">
        <v>12</v>
      </c>
      <c r="J3844" s="2" t="s">
        <v>12</v>
      </c>
      <c r="K3844" s="2" t="s">
        <v>12</v>
      </c>
    </row>
    <row r="3845" spans="1:11" ht="12.5" x14ac:dyDescent="0.25">
      <c r="A3845" s="3" t="e">
        <f ca="1"/>
        <v>#NAME?</v>
      </c>
      <c r="B3845" s="2" t="s">
        <v>12</v>
      </c>
      <c r="C3845" s="2" t="s">
        <v>12</v>
      </c>
      <c r="D3845" s="2" t="s">
        <v>12</v>
      </c>
      <c r="E3845" s="2" t="s">
        <v>12</v>
      </c>
      <c r="F3845" s="2" t="s">
        <v>12</v>
      </c>
      <c r="G3845" s="2" t="s">
        <v>12</v>
      </c>
      <c r="H3845" s="2" t="s">
        <v>12</v>
      </c>
      <c r="I3845" s="2" t="s">
        <v>12</v>
      </c>
      <c r="J3845" s="2" t="s">
        <v>12</v>
      </c>
      <c r="K3845" s="2" t="s">
        <v>12</v>
      </c>
    </row>
    <row r="3846" spans="1:11" ht="12.5" x14ac:dyDescent="0.25">
      <c r="A3846" s="3" t="e">
        <f ca="1"/>
        <v>#NAME?</v>
      </c>
      <c r="B3846" s="2" t="s">
        <v>12</v>
      </c>
      <c r="C3846" s="2" t="s">
        <v>12</v>
      </c>
      <c r="D3846" s="2" t="s">
        <v>12</v>
      </c>
      <c r="E3846" s="2" t="s">
        <v>12</v>
      </c>
      <c r="F3846" s="2" t="s">
        <v>12</v>
      </c>
      <c r="G3846" s="2" t="s">
        <v>12</v>
      </c>
      <c r="H3846" s="2" t="s">
        <v>12</v>
      </c>
      <c r="I3846" s="2" t="s">
        <v>12</v>
      </c>
      <c r="J3846" s="2" t="s">
        <v>12</v>
      </c>
      <c r="K3846" s="2" t="s">
        <v>12</v>
      </c>
    </row>
    <row r="3847" spans="1:11" ht="12.5" x14ac:dyDescent="0.25">
      <c r="A3847" s="3" t="e">
        <f ca="1"/>
        <v>#NAME?</v>
      </c>
      <c r="B3847" s="2" t="s">
        <v>12</v>
      </c>
      <c r="C3847" s="2" t="s">
        <v>12</v>
      </c>
      <c r="D3847" s="2" t="s">
        <v>12</v>
      </c>
      <c r="E3847" s="2" t="s">
        <v>12</v>
      </c>
      <c r="F3847" s="2" t="s">
        <v>12</v>
      </c>
      <c r="G3847" s="2" t="s">
        <v>12</v>
      </c>
      <c r="H3847" s="2" t="s">
        <v>12</v>
      </c>
      <c r="I3847" s="2" t="s">
        <v>12</v>
      </c>
      <c r="J3847" s="2" t="s">
        <v>12</v>
      </c>
      <c r="K3847" s="2" t="s">
        <v>12</v>
      </c>
    </row>
    <row r="3848" spans="1:11" ht="12.5" x14ac:dyDescent="0.25">
      <c r="A3848" s="3" t="e">
        <f ca="1"/>
        <v>#NAME?</v>
      </c>
      <c r="B3848" s="2" t="s">
        <v>12</v>
      </c>
      <c r="C3848" s="2" t="s">
        <v>12</v>
      </c>
      <c r="D3848" s="2" t="s">
        <v>12</v>
      </c>
      <c r="E3848" s="2" t="s">
        <v>12</v>
      </c>
      <c r="F3848" s="2" t="s">
        <v>12</v>
      </c>
      <c r="G3848" s="2" t="s">
        <v>12</v>
      </c>
      <c r="H3848" s="2" t="s">
        <v>12</v>
      </c>
      <c r="I3848" s="2" t="s">
        <v>12</v>
      </c>
      <c r="J3848" s="2" t="s">
        <v>12</v>
      </c>
      <c r="K3848" s="2" t="s">
        <v>12</v>
      </c>
    </row>
    <row r="3849" spans="1:11" ht="12.5" x14ac:dyDescent="0.25">
      <c r="A3849" s="3" t="e">
        <f ca="1"/>
        <v>#NAME?</v>
      </c>
      <c r="B3849" s="2" t="s">
        <v>12</v>
      </c>
      <c r="C3849" s="2" t="s">
        <v>12</v>
      </c>
      <c r="D3849" s="2" t="s">
        <v>12</v>
      </c>
      <c r="E3849" s="2" t="s">
        <v>12</v>
      </c>
      <c r="F3849" s="2" t="s">
        <v>12</v>
      </c>
      <c r="G3849" s="2" t="s">
        <v>12</v>
      </c>
      <c r="H3849" s="2" t="s">
        <v>12</v>
      </c>
      <c r="I3849" s="2" t="s">
        <v>12</v>
      </c>
      <c r="J3849" s="2" t="s">
        <v>12</v>
      </c>
      <c r="K3849" s="2" t="s">
        <v>12</v>
      </c>
    </row>
    <row r="3850" spans="1:11" ht="12.5" x14ac:dyDescent="0.25">
      <c r="A3850" s="3" t="e">
        <f ca="1"/>
        <v>#NAME?</v>
      </c>
      <c r="B3850" s="2" t="s">
        <v>12</v>
      </c>
      <c r="C3850" s="2" t="s">
        <v>12</v>
      </c>
      <c r="D3850" s="2" t="s">
        <v>12</v>
      </c>
      <c r="E3850" s="2" t="s">
        <v>12</v>
      </c>
      <c r="F3850" s="2" t="s">
        <v>12</v>
      </c>
      <c r="G3850" s="2" t="s">
        <v>12</v>
      </c>
      <c r="H3850" s="2" t="s">
        <v>12</v>
      </c>
      <c r="I3850" s="2" t="s">
        <v>12</v>
      </c>
      <c r="J3850" s="2" t="s">
        <v>12</v>
      </c>
      <c r="K3850" s="2" t="s">
        <v>12</v>
      </c>
    </row>
    <row r="3851" spans="1:11" ht="12.5" x14ac:dyDescent="0.25">
      <c r="A3851" s="3" t="e">
        <f ca="1"/>
        <v>#NAME?</v>
      </c>
      <c r="B3851" s="2" t="s">
        <v>12</v>
      </c>
      <c r="C3851" s="2" t="s">
        <v>12</v>
      </c>
      <c r="D3851" s="2" t="s">
        <v>12</v>
      </c>
      <c r="E3851" s="2" t="s">
        <v>12</v>
      </c>
      <c r="F3851" s="2" t="s">
        <v>12</v>
      </c>
      <c r="G3851" s="2" t="s">
        <v>12</v>
      </c>
      <c r="H3851" s="2" t="s">
        <v>12</v>
      </c>
      <c r="I3851" s="2" t="s">
        <v>12</v>
      </c>
      <c r="J3851" s="2" t="s">
        <v>12</v>
      </c>
      <c r="K3851" s="2" t="s">
        <v>12</v>
      </c>
    </row>
    <row r="3852" spans="1:11" ht="12.5" x14ac:dyDescent="0.25">
      <c r="A3852" s="3" t="e">
        <f ca="1"/>
        <v>#NAME?</v>
      </c>
      <c r="B3852" s="2" t="s">
        <v>12</v>
      </c>
      <c r="C3852" s="2" t="s">
        <v>12</v>
      </c>
      <c r="D3852" s="2" t="s">
        <v>12</v>
      </c>
      <c r="E3852" s="2" t="s">
        <v>12</v>
      </c>
      <c r="F3852" s="2" t="s">
        <v>12</v>
      </c>
      <c r="G3852" s="2" t="s">
        <v>12</v>
      </c>
      <c r="H3852" s="2" t="s">
        <v>12</v>
      </c>
      <c r="I3852" s="2" t="s">
        <v>12</v>
      </c>
      <c r="J3852" s="2" t="s">
        <v>12</v>
      </c>
      <c r="K3852" s="2" t="s">
        <v>12</v>
      </c>
    </row>
    <row r="3853" spans="1:11" ht="12.5" x14ac:dyDescent="0.25">
      <c r="A3853" s="3" t="e">
        <f ca="1"/>
        <v>#NAME?</v>
      </c>
      <c r="B3853" s="2" t="s">
        <v>12</v>
      </c>
      <c r="C3853" s="2" t="s">
        <v>12</v>
      </c>
      <c r="D3853" s="2" t="s">
        <v>12</v>
      </c>
      <c r="E3853" s="2" t="s">
        <v>12</v>
      </c>
      <c r="F3853" s="2" t="s">
        <v>12</v>
      </c>
      <c r="G3853" s="2" t="s">
        <v>12</v>
      </c>
      <c r="H3853" s="2" t="s">
        <v>12</v>
      </c>
      <c r="I3853" s="2" t="s">
        <v>12</v>
      </c>
      <c r="J3853" s="2" t="s">
        <v>12</v>
      </c>
      <c r="K3853" s="2" t="s">
        <v>12</v>
      </c>
    </row>
    <row r="3854" spans="1:11" ht="12.5" x14ac:dyDescent="0.25">
      <c r="A3854" s="3" t="e">
        <f ca="1"/>
        <v>#NAME?</v>
      </c>
      <c r="B3854" s="2" t="s">
        <v>12</v>
      </c>
      <c r="C3854" s="2" t="s">
        <v>12</v>
      </c>
      <c r="D3854" s="2" t="s">
        <v>12</v>
      </c>
      <c r="E3854" s="2" t="s">
        <v>12</v>
      </c>
      <c r="F3854" s="2" t="s">
        <v>12</v>
      </c>
      <c r="G3854" s="2" t="s">
        <v>12</v>
      </c>
      <c r="H3854" s="2" t="s">
        <v>12</v>
      </c>
      <c r="I3854" s="2" t="s">
        <v>12</v>
      </c>
      <c r="J3854" s="2" t="s">
        <v>12</v>
      </c>
      <c r="K3854" s="2" t="s">
        <v>12</v>
      </c>
    </row>
    <row r="3855" spans="1:11" ht="12.5" x14ac:dyDescent="0.25">
      <c r="A3855" s="3" t="e">
        <f ca="1"/>
        <v>#NAME?</v>
      </c>
      <c r="B3855" s="2" t="s">
        <v>12</v>
      </c>
      <c r="C3855" s="2" t="s">
        <v>12</v>
      </c>
      <c r="D3855" s="2" t="s">
        <v>12</v>
      </c>
      <c r="E3855" s="2" t="s">
        <v>12</v>
      </c>
      <c r="F3855" s="2" t="s">
        <v>12</v>
      </c>
      <c r="G3855" s="2" t="s">
        <v>12</v>
      </c>
      <c r="H3855" s="2" t="s">
        <v>12</v>
      </c>
      <c r="I3855" s="2" t="s">
        <v>12</v>
      </c>
      <c r="J3855" s="2" t="s">
        <v>12</v>
      </c>
      <c r="K3855" s="2" t="s">
        <v>12</v>
      </c>
    </row>
    <row r="3856" spans="1:11" ht="12.5" x14ac:dyDescent="0.25">
      <c r="A3856" s="3" t="e">
        <f ca="1"/>
        <v>#NAME?</v>
      </c>
      <c r="B3856" s="2" t="s">
        <v>12</v>
      </c>
      <c r="C3856" s="2" t="s">
        <v>12</v>
      </c>
      <c r="D3856" s="2" t="s">
        <v>12</v>
      </c>
      <c r="E3856" s="2" t="s">
        <v>12</v>
      </c>
      <c r="F3856" s="2" t="s">
        <v>12</v>
      </c>
      <c r="G3856" s="2" t="s">
        <v>12</v>
      </c>
      <c r="H3856" s="2" t="s">
        <v>12</v>
      </c>
      <c r="I3856" s="2" t="s">
        <v>12</v>
      </c>
      <c r="J3856" s="2" t="s">
        <v>12</v>
      </c>
      <c r="K3856" s="2" t="s">
        <v>12</v>
      </c>
    </row>
    <row r="3857" spans="1:11" ht="12.5" x14ac:dyDescent="0.25">
      <c r="A3857" s="3" t="e">
        <f ca="1"/>
        <v>#NAME?</v>
      </c>
      <c r="B3857" s="2" t="s">
        <v>12</v>
      </c>
      <c r="C3857" s="2" t="s">
        <v>12</v>
      </c>
      <c r="D3857" s="2" t="s">
        <v>12</v>
      </c>
      <c r="E3857" s="2" t="s">
        <v>12</v>
      </c>
      <c r="F3857" s="2" t="s">
        <v>12</v>
      </c>
      <c r="G3857" s="2" t="s">
        <v>12</v>
      </c>
      <c r="H3857" s="2" t="s">
        <v>12</v>
      </c>
      <c r="I3857" s="2" t="s">
        <v>12</v>
      </c>
      <c r="J3857" s="2" t="s">
        <v>12</v>
      </c>
      <c r="K3857" s="2" t="s">
        <v>12</v>
      </c>
    </row>
    <row r="3858" spans="1:11" ht="12.5" x14ac:dyDescent="0.25">
      <c r="A3858" s="3" t="e">
        <f ca="1"/>
        <v>#NAME?</v>
      </c>
      <c r="B3858" s="2" t="s">
        <v>12</v>
      </c>
      <c r="C3858" s="2" t="s">
        <v>12</v>
      </c>
      <c r="D3858" s="2" t="s">
        <v>12</v>
      </c>
      <c r="E3858" s="2" t="s">
        <v>12</v>
      </c>
      <c r="F3858" s="2" t="s">
        <v>12</v>
      </c>
      <c r="G3858" s="2" t="s">
        <v>12</v>
      </c>
      <c r="H3858" s="2" t="s">
        <v>12</v>
      </c>
      <c r="I3858" s="2" t="s">
        <v>12</v>
      </c>
      <c r="J3858" s="2" t="s">
        <v>12</v>
      </c>
      <c r="K3858" s="2" t="s">
        <v>12</v>
      </c>
    </row>
    <row r="3859" spans="1:11" ht="12.5" x14ac:dyDescent="0.25">
      <c r="A3859" s="3" t="e">
        <f ca="1"/>
        <v>#NAME?</v>
      </c>
      <c r="B3859" s="2" t="s">
        <v>12</v>
      </c>
      <c r="C3859" s="2" t="s">
        <v>12</v>
      </c>
      <c r="D3859" s="2" t="s">
        <v>12</v>
      </c>
      <c r="E3859" s="2" t="s">
        <v>12</v>
      </c>
      <c r="F3859" s="2" t="s">
        <v>12</v>
      </c>
      <c r="G3859" s="2" t="s">
        <v>12</v>
      </c>
      <c r="H3859" s="2" t="s">
        <v>12</v>
      </c>
      <c r="I3859" s="2" t="s">
        <v>12</v>
      </c>
      <c r="J3859" s="2" t="s">
        <v>12</v>
      </c>
      <c r="K3859" s="2" t="s">
        <v>12</v>
      </c>
    </row>
    <row r="3860" spans="1:11" ht="12.5" x14ac:dyDescent="0.25">
      <c r="A3860" s="3" t="e">
        <f ca="1"/>
        <v>#NAME?</v>
      </c>
      <c r="B3860" s="2" t="s">
        <v>12</v>
      </c>
      <c r="C3860" s="2" t="s">
        <v>12</v>
      </c>
      <c r="D3860" s="2" t="s">
        <v>12</v>
      </c>
      <c r="E3860" s="2" t="s">
        <v>12</v>
      </c>
      <c r="F3860" s="2" t="s">
        <v>12</v>
      </c>
      <c r="G3860" s="2" t="s">
        <v>12</v>
      </c>
      <c r="H3860" s="2" t="s">
        <v>12</v>
      </c>
      <c r="I3860" s="2" t="s">
        <v>12</v>
      </c>
      <c r="J3860" s="2" t="s">
        <v>12</v>
      </c>
      <c r="K3860" s="2" t="s">
        <v>12</v>
      </c>
    </row>
    <row r="3861" spans="1:11" ht="12.5" x14ac:dyDescent="0.25">
      <c r="A3861" s="3" t="e">
        <f ca="1"/>
        <v>#NAME?</v>
      </c>
      <c r="B3861" s="2" t="s">
        <v>12</v>
      </c>
      <c r="C3861" s="2" t="s">
        <v>12</v>
      </c>
      <c r="D3861" s="2" t="s">
        <v>12</v>
      </c>
      <c r="E3861" s="2" t="s">
        <v>12</v>
      </c>
      <c r="F3861" s="2" t="s">
        <v>12</v>
      </c>
      <c r="G3861" s="2" t="s">
        <v>12</v>
      </c>
      <c r="H3861" s="2" t="s">
        <v>12</v>
      </c>
      <c r="I3861" s="2" t="s">
        <v>12</v>
      </c>
      <c r="J3861" s="2" t="s">
        <v>12</v>
      </c>
      <c r="K3861" s="2" t="s">
        <v>12</v>
      </c>
    </row>
    <row r="3862" spans="1:11" ht="12.5" x14ac:dyDescent="0.25">
      <c r="A3862" s="3" t="e">
        <f ca="1"/>
        <v>#NAME?</v>
      </c>
      <c r="B3862" s="2" t="s">
        <v>12</v>
      </c>
      <c r="C3862" s="2" t="s">
        <v>12</v>
      </c>
      <c r="D3862" s="2" t="s">
        <v>12</v>
      </c>
      <c r="E3862" s="2" t="s">
        <v>12</v>
      </c>
      <c r="F3862" s="2" t="s">
        <v>12</v>
      </c>
      <c r="G3862" s="2" t="s">
        <v>12</v>
      </c>
      <c r="H3862" s="2" t="s">
        <v>12</v>
      </c>
      <c r="I3862" s="2" t="s">
        <v>12</v>
      </c>
      <c r="J3862" s="2" t="s">
        <v>12</v>
      </c>
      <c r="K3862" s="2" t="s">
        <v>12</v>
      </c>
    </row>
    <row r="3863" spans="1:11" ht="12.5" x14ac:dyDescent="0.25">
      <c r="A3863" s="3" t="e">
        <f ca="1"/>
        <v>#NAME?</v>
      </c>
      <c r="B3863" s="2" t="s">
        <v>12</v>
      </c>
      <c r="C3863" s="2" t="s">
        <v>12</v>
      </c>
      <c r="D3863" s="2" t="s">
        <v>12</v>
      </c>
      <c r="E3863" s="2" t="s">
        <v>12</v>
      </c>
      <c r="F3863" s="2" t="s">
        <v>12</v>
      </c>
      <c r="G3863" s="2" t="s">
        <v>12</v>
      </c>
      <c r="H3863" s="2" t="s">
        <v>12</v>
      </c>
      <c r="I3863" s="2" t="s">
        <v>12</v>
      </c>
      <c r="J3863" s="2" t="s">
        <v>12</v>
      </c>
      <c r="K3863" s="2" t="s">
        <v>12</v>
      </c>
    </row>
    <row r="3864" spans="1:11" ht="12.5" x14ac:dyDescent="0.25">
      <c r="A3864" s="3" t="e">
        <f ca="1"/>
        <v>#NAME?</v>
      </c>
      <c r="B3864" s="2" t="s">
        <v>12</v>
      </c>
      <c r="C3864" s="2" t="s">
        <v>12</v>
      </c>
      <c r="D3864" s="2" t="s">
        <v>12</v>
      </c>
      <c r="E3864" s="2" t="s">
        <v>12</v>
      </c>
      <c r="F3864" s="2" t="s">
        <v>12</v>
      </c>
      <c r="G3864" s="2" t="s">
        <v>12</v>
      </c>
      <c r="H3864" s="2" t="s">
        <v>12</v>
      </c>
      <c r="I3864" s="2" t="s">
        <v>12</v>
      </c>
      <c r="J3864" s="2" t="s">
        <v>12</v>
      </c>
      <c r="K3864" s="2" t="s">
        <v>12</v>
      </c>
    </row>
    <row r="3865" spans="1:11" ht="12.5" x14ac:dyDescent="0.25">
      <c r="A3865" s="3" t="e">
        <f ca="1"/>
        <v>#NAME?</v>
      </c>
      <c r="B3865" s="2" t="s">
        <v>12</v>
      </c>
      <c r="C3865" s="2" t="s">
        <v>12</v>
      </c>
      <c r="D3865" s="2" t="s">
        <v>12</v>
      </c>
      <c r="E3865" s="2" t="s">
        <v>12</v>
      </c>
      <c r="F3865" s="2" t="s">
        <v>12</v>
      </c>
      <c r="G3865" s="2" t="s">
        <v>12</v>
      </c>
      <c r="H3865" s="2" t="s">
        <v>12</v>
      </c>
      <c r="I3865" s="2" t="s">
        <v>12</v>
      </c>
      <c r="J3865" s="2" t="s">
        <v>12</v>
      </c>
      <c r="K3865" s="2" t="s">
        <v>12</v>
      </c>
    </row>
    <row r="3866" spans="1:11" ht="12.5" x14ac:dyDescent="0.25">
      <c r="A3866" s="3" t="e">
        <f ca="1"/>
        <v>#NAME?</v>
      </c>
      <c r="B3866" s="2" t="s">
        <v>12</v>
      </c>
      <c r="C3866" s="2" t="s">
        <v>12</v>
      </c>
      <c r="D3866" s="2" t="s">
        <v>12</v>
      </c>
      <c r="E3866" s="2" t="s">
        <v>12</v>
      </c>
      <c r="F3866" s="2" t="s">
        <v>12</v>
      </c>
      <c r="G3866" s="2" t="s">
        <v>12</v>
      </c>
      <c r="H3866" s="2" t="s">
        <v>12</v>
      </c>
      <c r="I3866" s="2" t="s">
        <v>12</v>
      </c>
      <c r="J3866" s="2" t="s">
        <v>12</v>
      </c>
      <c r="K3866" s="2" t="s">
        <v>12</v>
      </c>
    </row>
    <row r="3867" spans="1:11" ht="12.5" x14ac:dyDescent="0.25">
      <c r="A3867" s="3" t="e">
        <f ca="1"/>
        <v>#NAME?</v>
      </c>
      <c r="B3867" s="2" t="s">
        <v>12</v>
      </c>
      <c r="C3867" s="2" t="s">
        <v>12</v>
      </c>
      <c r="D3867" s="2" t="s">
        <v>12</v>
      </c>
      <c r="E3867" s="2" t="s">
        <v>12</v>
      </c>
      <c r="F3867" s="2" t="s">
        <v>12</v>
      </c>
      <c r="G3867" s="2" t="s">
        <v>12</v>
      </c>
      <c r="H3867" s="2" t="s">
        <v>12</v>
      </c>
      <c r="I3867" s="2" t="s">
        <v>12</v>
      </c>
      <c r="J3867" s="2" t="s">
        <v>12</v>
      </c>
      <c r="K3867" s="2" t="s">
        <v>12</v>
      </c>
    </row>
    <row r="3868" spans="1:11" ht="12.5" x14ac:dyDescent="0.25">
      <c r="A3868" s="3" t="e">
        <f ca="1"/>
        <v>#NAME?</v>
      </c>
      <c r="B3868" s="2" t="s">
        <v>12</v>
      </c>
      <c r="C3868" s="2" t="s">
        <v>12</v>
      </c>
      <c r="D3868" s="2" t="s">
        <v>12</v>
      </c>
      <c r="E3868" s="2" t="s">
        <v>12</v>
      </c>
      <c r="F3868" s="2" t="s">
        <v>12</v>
      </c>
      <c r="G3868" s="2" t="s">
        <v>12</v>
      </c>
      <c r="H3868" s="2" t="s">
        <v>12</v>
      </c>
      <c r="I3868" s="2" t="s">
        <v>12</v>
      </c>
      <c r="J3868" s="2" t="s">
        <v>12</v>
      </c>
      <c r="K3868" s="2" t="s">
        <v>12</v>
      </c>
    </row>
    <row r="3869" spans="1:11" ht="12.5" x14ac:dyDescent="0.25">
      <c r="A3869" s="3" t="e">
        <f ca="1"/>
        <v>#NAME?</v>
      </c>
      <c r="B3869" s="2" t="s">
        <v>12</v>
      </c>
      <c r="C3869" s="2" t="s">
        <v>12</v>
      </c>
      <c r="D3869" s="2" t="s">
        <v>12</v>
      </c>
      <c r="E3869" s="2" t="s">
        <v>12</v>
      </c>
      <c r="F3869" s="2" t="s">
        <v>12</v>
      </c>
      <c r="G3869" s="2" t="s">
        <v>12</v>
      </c>
      <c r="H3869" s="2" t="s">
        <v>12</v>
      </c>
      <c r="I3869" s="2" t="s">
        <v>12</v>
      </c>
      <c r="J3869" s="2" t="s">
        <v>12</v>
      </c>
      <c r="K3869" s="2" t="s">
        <v>12</v>
      </c>
    </row>
    <row r="3870" spans="1:11" ht="12.5" x14ac:dyDescent="0.25">
      <c r="A3870" s="3" t="e">
        <f ca="1"/>
        <v>#NAME?</v>
      </c>
      <c r="B3870" s="2" t="s">
        <v>12</v>
      </c>
      <c r="C3870" s="2" t="s">
        <v>12</v>
      </c>
      <c r="D3870" s="2" t="s">
        <v>12</v>
      </c>
      <c r="E3870" s="2" t="s">
        <v>12</v>
      </c>
      <c r="F3870" s="2" t="s">
        <v>12</v>
      </c>
      <c r="G3870" s="2" t="s">
        <v>12</v>
      </c>
      <c r="H3870" s="2" t="s">
        <v>12</v>
      </c>
      <c r="I3870" s="2" t="s">
        <v>12</v>
      </c>
      <c r="J3870" s="2" t="s">
        <v>12</v>
      </c>
      <c r="K3870" s="2" t="s">
        <v>12</v>
      </c>
    </row>
    <row r="3871" spans="1:11" ht="12.5" x14ac:dyDescent="0.25">
      <c r="A3871" s="3" t="e">
        <f ca="1"/>
        <v>#NAME?</v>
      </c>
      <c r="B3871" s="2" t="s">
        <v>12</v>
      </c>
      <c r="C3871" s="2" t="s">
        <v>12</v>
      </c>
      <c r="D3871" s="2" t="s">
        <v>12</v>
      </c>
      <c r="E3871" s="2" t="s">
        <v>12</v>
      </c>
      <c r="F3871" s="2" t="s">
        <v>12</v>
      </c>
      <c r="G3871" s="2" t="s">
        <v>12</v>
      </c>
      <c r="H3871" s="2" t="s">
        <v>12</v>
      </c>
      <c r="I3871" s="2" t="s">
        <v>12</v>
      </c>
      <c r="J3871" s="2" t="s">
        <v>12</v>
      </c>
      <c r="K3871" s="2" t="s">
        <v>12</v>
      </c>
    </row>
    <row r="3872" spans="1:11" ht="12.5" x14ac:dyDescent="0.25">
      <c r="A3872" s="3" t="e">
        <f ca="1"/>
        <v>#NAME?</v>
      </c>
      <c r="B3872" s="2" t="s">
        <v>12</v>
      </c>
      <c r="C3872" s="2" t="s">
        <v>12</v>
      </c>
      <c r="D3872" s="2" t="s">
        <v>12</v>
      </c>
      <c r="E3872" s="2" t="s">
        <v>12</v>
      </c>
      <c r="F3872" s="2" t="s">
        <v>12</v>
      </c>
      <c r="G3872" s="2" t="s">
        <v>12</v>
      </c>
      <c r="H3872" s="2" t="s">
        <v>12</v>
      </c>
      <c r="I3872" s="2" t="s">
        <v>12</v>
      </c>
      <c r="J3872" s="2" t="s">
        <v>12</v>
      </c>
      <c r="K3872" s="2" t="s">
        <v>12</v>
      </c>
    </row>
    <row r="3873" spans="1:11" ht="12.5" x14ac:dyDescent="0.25">
      <c r="A3873" s="3" t="e">
        <f ca="1"/>
        <v>#NAME?</v>
      </c>
      <c r="B3873" s="2" t="s">
        <v>12</v>
      </c>
      <c r="C3873" s="2" t="s">
        <v>12</v>
      </c>
      <c r="D3873" s="2" t="s">
        <v>12</v>
      </c>
      <c r="E3873" s="2" t="s">
        <v>12</v>
      </c>
      <c r="F3873" s="2" t="s">
        <v>12</v>
      </c>
      <c r="G3873" s="2" t="s">
        <v>12</v>
      </c>
      <c r="H3873" s="2" t="s">
        <v>12</v>
      </c>
      <c r="I3873" s="2" t="s">
        <v>12</v>
      </c>
      <c r="J3873" s="2" t="s">
        <v>12</v>
      </c>
      <c r="K3873" s="2" t="s">
        <v>12</v>
      </c>
    </row>
    <row r="3874" spans="1:11" ht="12.5" x14ac:dyDescent="0.25">
      <c r="A3874" s="3" t="e">
        <f ca="1"/>
        <v>#NAME?</v>
      </c>
      <c r="B3874" s="2" t="s">
        <v>12</v>
      </c>
      <c r="C3874" s="2" t="s">
        <v>12</v>
      </c>
      <c r="D3874" s="2" t="s">
        <v>12</v>
      </c>
      <c r="E3874" s="2" t="s">
        <v>12</v>
      </c>
      <c r="F3874" s="2" t="s">
        <v>12</v>
      </c>
      <c r="G3874" s="2" t="s">
        <v>12</v>
      </c>
      <c r="H3874" s="2" t="s">
        <v>12</v>
      </c>
      <c r="I3874" s="2" t="s">
        <v>12</v>
      </c>
      <c r="J3874" s="2" t="s">
        <v>12</v>
      </c>
      <c r="K3874" s="2" t="s">
        <v>12</v>
      </c>
    </row>
    <row r="3875" spans="1:11" ht="12.5" x14ac:dyDescent="0.25">
      <c r="A3875" s="3" t="e">
        <f ca="1"/>
        <v>#NAME?</v>
      </c>
      <c r="B3875" s="2" t="s">
        <v>12</v>
      </c>
      <c r="C3875" s="2" t="s">
        <v>12</v>
      </c>
      <c r="D3875" s="2" t="s">
        <v>12</v>
      </c>
      <c r="E3875" s="2" t="s">
        <v>12</v>
      </c>
      <c r="F3875" s="2" t="s">
        <v>12</v>
      </c>
      <c r="G3875" s="2" t="s">
        <v>12</v>
      </c>
      <c r="H3875" s="2" t="s">
        <v>12</v>
      </c>
      <c r="I3875" s="2" t="s">
        <v>12</v>
      </c>
      <c r="J3875" s="2" t="s">
        <v>12</v>
      </c>
      <c r="K3875" s="2" t="s">
        <v>12</v>
      </c>
    </row>
    <row r="3876" spans="1:11" ht="12.5" x14ac:dyDescent="0.25">
      <c r="A3876" s="3" t="e">
        <f ca="1"/>
        <v>#NAME?</v>
      </c>
      <c r="B3876" s="2" t="s">
        <v>12</v>
      </c>
      <c r="C3876" s="2" t="s">
        <v>12</v>
      </c>
      <c r="D3876" s="2" t="s">
        <v>12</v>
      </c>
      <c r="E3876" s="2" t="s">
        <v>12</v>
      </c>
      <c r="F3876" s="2" t="s">
        <v>12</v>
      </c>
      <c r="G3876" s="2" t="s">
        <v>12</v>
      </c>
      <c r="H3876" s="2" t="s">
        <v>12</v>
      </c>
      <c r="I3876" s="2" t="s">
        <v>12</v>
      </c>
      <c r="J3876" s="2" t="s">
        <v>12</v>
      </c>
      <c r="K3876" s="2" t="s">
        <v>12</v>
      </c>
    </row>
    <row r="3877" spans="1:11" ht="12.5" x14ac:dyDescent="0.25">
      <c r="A3877" s="3" t="e">
        <f ca="1"/>
        <v>#NAME?</v>
      </c>
      <c r="B3877" s="2" t="s">
        <v>12</v>
      </c>
      <c r="C3877" s="2" t="s">
        <v>12</v>
      </c>
      <c r="D3877" s="2" t="s">
        <v>12</v>
      </c>
      <c r="E3877" s="2" t="s">
        <v>12</v>
      </c>
      <c r="F3877" s="2" t="s">
        <v>12</v>
      </c>
      <c r="G3877" s="2" t="s">
        <v>12</v>
      </c>
      <c r="H3877" s="2" t="s">
        <v>12</v>
      </c>
      <c r="I3877" s="2" t="s">
        <v>12</v>
      </c>
      <c r="J3877" s="2" t="s">
        <v>12</v>
      </c>
      <c r="K3877" s="2" t="s">
        <v>12</v>
      </c>
    </row>
    <row r="3878" spans="1:11" ht="12.5" x14ac:dyDescent="0.25">
      <c r="A3878" s="3" t="e">
        <f ca="1"/>
        <v>#NAME?</v>
      </c>
      <c r="B3878" s="2" t="s">
        <v>12</v>
      </c>
      <c r="C3878" s="2" t="s">
        <v>12</v>
      </c>
      <c r="D3878" s="2" t="s">
        <v>12</v>
      </c>
      <c r="E3878" s="2" t="s">
        <v>12</v>
      </c>
      <c r="F3878" s="2" t="s">
        <v>12</v>
      </c>
      <c r="G3878" s="2" t="s">
        <v>12</v>
      </c>
      <c r="H3878" s="2" t="s">
        <v>12</v>
      </c>
      <c r="I3878" s="2" t="s">
        <v>12</v>
      </c>
      <c r="J3878" s="2" t="s">
        <v>12</v>
      </c>
      <c r="K3878" s="2" t="s">
        <v>12</v>
      </c>
    </row>
    <row r="3879" spans="1:11" ht="12.5" x14ac:dyDescent="0.25">
      <c r="A3879" s="3" t="e">
        <f ca="1"/>
        <v>#NAME?</v>
      </c>
      <c r="B3879" s="2" t="s">
        <v>12</v>
      </c>
      <c r="C3879" s="2" t="s">
        <v>12</v>
      </c>
      <c r="D3879" s="2" t="s">
        <v>12</v>
      </c>
      <c r="E3879" s="2" t="s">
        <v>12</v>
      </c>
      <c r="F3879" s="2" t="s">
        <v>12</v>
      </c>
      <c r="G3879" s="2" t="s">
        <v>12</v>
      </c>
      <c r="H3879" s="2" t="s">
        <v>12</v>
      </c>
      <c r="I3879" s="2" t="s">
        <v>12</v>
      </c>
      <c r="J3879" s="2" t="s">
        <v>12</v>
      </c>
      <c r="K3879" s="2" t="s">
        <v>12</v>
      </c>
    </row>
    <row r="3880" spans="1:11" ht="12.5" x14ac:dyDescent="0.25">
      <c r="A3880" s="3" t="e">
        <f ca="1"/>
        <v>#NAME?</v>
      </c>
      <c r="B3880" s="2" t="s">
        <v>12</v>
      </c>
      <c r="C3880" s="2" t="s">
        <v>12</v>
      </c>
      <c r="D3880" s="2" t="s">
        <v>12</v>
      </c>
      <c r="E3880" s="2" t="s">
        <v>12</v>
      </c>
      <c r="F3880" s="2" t="s">
        <v>12</v>
      </c>
      <c r="G3880" s="2" t="s">
        <v>12</v>
      </c>
      <c r="H3880" s="2" t="s">
        <v>12</v>
      </c>
      <c r="I3880" s="2" t="s">
        <v>12</v>
      </c>
      <c r="J3880" s="2" t="s">
        <v>12</v>
      </c>
      <c r="K3880" s="2" t="s">
        <v>12</v>
      </c>
    </row>
    <row r="3881" spans="1:11" ht="12.5" x14ac:dyDescent="0.25">
      <c r="A3881" s="3" t="e">
        <f ca="1"/>
        <v>#NAME?</v>
      </c>
      <c r="B3881" s="2" t="s">
        <v>12</v>
      </c>
      <c r="C3881" s="2" t="s">
        <v>12</v>
      </c>
      <c r="D3881" s="2" t="s">
        <v>12</v>
      </c>
      <c r="E3881" s="2" t="s">
        <v>12</v>
      </c>
      <c r="F3881" s="2" t="s">
        <v>12</v>
      </c>
      <c r="G3881" s="2" t="s">
        <v>12</v>
      </c>
      <c r="H3881" s="2" t="s">
        <v>12</v>
      </c>
      <c r="I3881" s="2" t="s">
        <v>12</v>
      </c>
      <c r="J3881" s="2" t="s">
        <v>12</v>
      </c>
      <c r="K3881" s="2" t="s">
        <v>12</v>
      </c>
    </row>
    <row r="3882" spans="1:11" ht="12.5" x14ac:dyDescent="0.25">
      <c r="A3882" s="3" t="e">
        <f ca="1"/>
        <v>#NAME?</v>
      </c>
      <c r="B3882" s="2" t="s">
        <v>12</v>
      </c>
      <c r="C3882" s="2" t="s">
        <v>12</v>
      </c>
      <c r="D3882" s="2" t="s">
        <v>12</v>
      </c>
      <c r="E3882" s="2" t="s">
        <v>12</v>
      </c>
      <c r="F3882" s="2" t="s">
        <v>12</v>
      </c>
      <c r="G3882" s="2" t="s">
        <v>12</v>
      </c>
      <c r="H3882" s="2" t="s">
        <v>12</v>
      </c>
      <c r="I3882" s="2" t="s">
        <v>12</v>
      </c>
      <c r="J3882" s="2" t="s">
        <v>12</v>
      </c>
      <c r="K3882" s="2" t="s">
        <v>12</v>
      </c>
    </row>
    <row r="3883" spans="1:11" ht="12.5" x14ac:dyDescent="0.25">
      <c r="A3883" s="3" t="e">
        <f ca="1"/>
        <v>#NAME?</v>
      </c>
      <c r="B3883" s="2" t="s">
        <v>12</v>
      </c>
      <c r="C3883" s="2" t="s">
        <v>12</v>
      </c>
      <c r="D3883" s="2" t="s">
        <v>12</v>
      </c>
      <c r="E3883" s="2" t="s">
        <v>12</v>
      </c>
      <c r="F3883" s="2" t="s">
        <v>12</v>
      </c>
      <c r="G3883" s="2" t="s">
        <v>12</v>
      </c>
      <c r="H3883" s="2" t="s">
        <v>12</v>
      </c>
      <c r="I3883" s="2" t="s">
        <v>12</v>
      </c>
      <c r="J3883" s="2" t="s">
        <v>12</v>
      </c>
      <c r="K3883" s="2" t="s">
        <v>12</v>
      </c>
    </row>
    <row r="3884" spans="1:11" ht="12.5" x14ac:dyDescent="0.25">
      <c r="A3884" s="3" t="e">
        <f ca="1"/>
        <v>#NAME?</v>
      </c>
      <c r="B3884" s="2" t="s">
        <v>12</v>
      </c>
      <c r="C3884" s="2" t="s">
        <v>12</v>
      </c>
      <c r="D3884" s="2" t="s">
        <v>12</v>
      </c>
      <c r="E3884" s="2" t="s">
        <v>12</v>
      </c>
      <c r="F3884" s="2" t="s">
        <v>12</v>
      </c>
      <c r="G3884" s="2" t="s">
        <v>12</v>
      </c>
      <c r="H3884" s="2" t="s">
        <v>12</v>
      </c>
      <c r="I3884" s="2" t="s">
        <v>12</v>
      </c>
      <c r="J3884" s="2" t="s">
        <v>12</v>
      </c>
      <c r="K3884" s="2" t="s">
        <v>12</v>
      </c>
    </row>
    <row r="3885" spans="1:11" ht="12.5" x14ac:dyDescent="0.25">
      <c r="A3885" s="3" t="e">
        <f ca="1"/>
        <v>#NAME?</v>
      </c>
      <c r="B3885" s="2" t="s">
        <v>12</v>
      </c>
      <c r="C3885" s="2" t="s">
        <v>12</v>
      </c>
      <c r="D3885" s="2" t="s">
        <v>12</v>
      </c>
      <c r="E3885" s="2" t="s">
        <v>12</v>
      </c>
      <c r="F3885" s="2" t="s">
        <v>12</v>
      </c>
      <c r="G3885" s="2" t="s">
        <v>12</v>
      </c>
      <c r="H3885" s="2" t="s">
        <v>12</v>
      </c>
      <c r="I3885" s="2" t="s">
        <v>12</v>
      </c>
      <c r="J3885" s="2" t="s">
        <v>12</v>
      </c>
      <c r="K3885" s="2" t="s">
        <v>12</v>
      </c>
    </row>
    <row r="3886" spans="1:11" ht="12.5" x14ac:dyDescent="0.25">
      <c r="A3886" s="3" t="e">
        <f ca="1"/>
        <v>#NAME?</v>
      </c>
      <c r="B3886" s="2" t="s">
        <v>12</v>
      </c>
      <c r="C3886" s="2" t="s">
        <v>12</v>
      </c>
      <c r="D3886" s="2" t="s">
        <v>12</v>
      </c>
      <c r="E3886" s="2" t="s">
        <v>12</v>
      </c>
      <c r="F3886" s="2" t="s">
        <v>12</v>
      </c>
      <c r="G3886" s="2" t="s">
        <v>12</v>
      </c>
      <c r="H3886" s="2" t="s">
        <v>12</v>
      </c>
      <c r="I3886" s="2" t="s">
        <v>12</v>
      </c>
      <c r="J3886" s="2" t="s">
        <v>12</v>
      </c>
      <c r="K3886" s="2" t="s">
        <v>12</v>
      </c>
    </row>
    <row r="3887" spans="1:11" ht="12.5" x14ac:dyDescent="0.25">
      <c r="A3887" s="3" t="e">
        <f ca="1"/>
        <v>#NAME?</v>
      </c>
      <c r="B3887" s="2" t="s">
        <v>12</v>
      </c>
      <c r="C3887" s="2" t="s">
        <v>12</v>
      </c>
      <c r="D3887" s="2" t="s">
        <v>12</v>
      </c>
      <c r="E3887" s="2" t="s">
        <v>12</v>
      </c>
      <c r="F3887" s="2" t="s">
        <v>12</v>
      </c>
      <c r="G3887" s="2" t="s">
        <v>12</v>
      </c>
      <c r="H3887" s="2" t="s">
        <v>12</v>
      </c>
      <c r="I3887" s="2" t="s">
        <v>12</v>
      </c>
      <c r="J3887" s="2" t="s">
        <v>12</v>
      </c>
      <c r="K3887" s="2" t="s">
        <v>12</v>
      </c>
    </row>
    <row r="3888" spans="1:11" ht="12.5" x14ac:dyDescent="0.25">
      <c r="A3888" s="3" t="e">
        <f ca="1"/>
        <v>#NAME?</v>
      </c>
      <c r="B3888" s="2" t="s">
        <v>12</v>
      </c>
      <c r="C3888" s="2" t="s">
        <v>12</v>
      </c>
      <c r="D3888" s="2" t="s">
        <v>12</v>
      </c>
      <c r="E3888" s="2" t="s">
        <v>12</v>
      </c>
      <c r="F3888" s="2" t="s">
        <v>12</v>
      </c>
      <c r="G3888" s="2" t="s">
        <v>12</v>
      </c>
      <c r="H3888" s="2" t="s">
        <v>12</v>
      </c>
      <c r="I3888" s="2" t="s">
        <v>12</v>
      </c>
      <c r="J3888" s="2" t="s">
        <v>12</v>
      </c>
      <c r="K3888" s="2" t="s">
        <v>12</v>
      </c>
    </row>
    <row r="3889" spans="1:11" ht="12.5" x14ac:dyDescent="0.25">
      <c r="A3889" s="3" t="e">
        <f ca="1"/>
        <v>#NAME?</v>
      </c>
      <c r="B3889" s="2" t="s">
        <v>12</v>
      </c>
      <c r="C3889" s="2" t="s">
        <v>12</v>
      </c>
      <c r="D3889" s="2" t="s">
        <v>12</v>
      </c>
      <c r="E3889" s="2" t="s">
        <v>12</v>
      </c>
      <c r="F3889" s="2" t="s">
        <v>12</v>
      </c>
      <c r="G3889" s="2" t="s">
        <v>12</v>
      </c>
      <c r="H3889" s="2" t="s">
        <v>12</v>
      </c>
      <c r="I3889" s="2" t="s">
        <v>12</v>
      </c>
      <c r="J3889" s="2" t="s">
        <v>12</v>
      </c>
      <c r="K3889" s="2" t="s">
        <v>12</v>
      </c>
    </row>
    <row r="3890" spans="1:11" ht="12.5" x14ac:dyDescent="0.25">
      <c r="A3890" s="3" t="e">
        <f ca="1"/>
        <v>#NAME?</v>
      </c>
      <c r="B3890" s="2" t="s">
        <v>12</v>
      </c>
      <c r="C3890" s="2" t="s">
        <v>12</v>
      </c>
      <c r="D3890" s="2" t="s">
        <v>12</v>
      </c>
      <c r="E3890" s="2" t="s">
        <v>12</v>
      </c>
      <c r="F3890" s="2" t="s">
        <v>12</v>
      </c>
      <c r="G3890" s="2" t="s">
        <v>12</v>
      </c>
      <c r="H3890" s="2" t="s">
        <v>12</v>
      </c>
      <c r="I3890" s="2" t="s">
        <v>12</v>
      </c>
      <c r="J3890" s="2" t="s">
        <v>12</v>
      </c>
      <c r="K3890" s="2" t="s">
        <v>12</v>
      </c>
    </row>
    <row r="3891" spans="1:11" ht="12.5" x14ac:dyDescent="0.25">
      <c r="A3891" s="3" t="e">
        <f ca="1"/>
        <v>#NAME?</v>
      </c>
      <c r="B3891" s="2" t="s">
        <v>12</v>
      </c>
      <c r="C3891" s="2" t="s">
        <v>12</v>
      </c>
      <c r="D3891" s="2" t="s">
        <v>12</v>
      </c>
      <c r="E3891" s="2" t="s">
        <v>12</v>
      </c>
      <c r="F3891" s="2" t="s">
        <v>12</v>
      </c>
      <c r="G3891" s="2" t="s">
        <v>12</v>
      </c>
      <c r="H3891" s="2" t="s">
        <v>12</v>
      </c>
      <c r="I3891" s="2" t="s">
        <v>12</v>
      </c>
      <c r="J3891" s="2" t="s">
        <v>12</v>
      </c>
      <c r="K3891" s="2" t="s">
        <v>12</v>
      </c>
    </row>
    <row r="3892" spans="1:11" ht="12.5" x14ac:dyDescent="0.25">
      <c r="A3892" s="3" t="e">
        <f ca="1"/>
        <v>#NAME?</v>
      </c>
      <c r="B3892" s="2" t="s">
        <v>12</v>
      </c>
      <c r="C3892" s="2" t="s">
        <v>12</v>
      </c>
      <c r="D3892" s="2" t="s">
        <v>12</v>
      </c>
      <c r="E3892" s="2" t="s">
        <v>12</v>
      </c>
      <c r="F3892" s="2" t="s">
        <v>12</v>
      </c>
      <c r="G3892" s="2" t="s">
        <v>12</v>
      </c>
      <c r="H3892" s="2" t="s">
        <v>12</v>
      </c>
      <c r="I3892" s="2" t="s">
        <v>12</v>
      </c>
      <c r="J3892" s="2" t="s">
        <v>12</v>
      </c>
      <c r="K3892" s="2" t="s">
        <v>12</v>
      </c>
    </row>
    <row r="3893" spans="1:11" ht="12.5" x14ac:dyDescent="0.25">
      <c r="A3893" s="3" t="e">
        <f ca="1"/>
        <v>#NAME?</v>
      </c>
      <c r="B3893" s="2" t="s">
        <v>12</v>
      </c>
      <c r="C3893" s="2" t="s">
        <v>12</v>
      </c>
      <c r="D3893" s="2" t="s">
        <v>12</v>
      </c>
      <c r="E3893" s="2" t="s">
        <v>12</v>
      </c>
      <c r="F3893" s="2" t="s">
        <v>12</v>
      </c>
      <c r="G3893" s="2" t="s">
        <v>12</v>
      </c>
      <c r="H3893" s="2" t="s">
        <v>12</v>
      </c>
      <c r="I3893" s="2" t="s">
        <v>12</v>
      </c>
      <c r="J3893" s="2" t="s">
        <v>12</v>
      </c>
      <c r="K3893" s="2" t="s">
        <v>12</v>
      </c>
    </row>
    <row r="3894" spans="1:11" ht="12.5" x14ac:dyDescent="0.25">
      <c r="A3894" s="3" t="e">
        <f ca="1"/>
        <v>#NAME?</v>
      </c>
      <c r="B3894" s="2" t="s">
        <v>12</v>
      </c>
      <c r="C3894" s="2" t="s">
        <v>12</v>
      </c>
      <c r="D3894" s="2" t="s">
        <v>12</v>
      </c>
      <c r="E3894" s="2" t="s">
        <v>12</v>
      </c>
      <c r="F3894" s="2" t="s">
        <v>12</v>
      </c>
      <c r="G3894" s="2" t="s">
        <v>12</v>
      </c>
      <c r="H3894" s="2" t="s">
        <v>12</v>
      </c>
      <c r="I3894" s="2" t="s">
        <v>12</v>
      </c>
      <c r="J3894" s="2" t="s">
        <v>12</v>
      </c>
      <c r="K3894" s="2" t="s">
        <v>12</v>
      </c>
    </row>
    <row r="3895" spans="1:11" ht="12.5" x14ac:dyDescent="0.25">
      <c r="A3895" s="3" t="e">
        <f ca="1"/>
        <v>#NAME?</v>
      </c>
      <c r="B3895" s="2" t="s">
        <v>12</v>
      </c>
      <c r="C3895" s="2" t="s">
        <v>12</v>
      </c>
      <c r="D3895" s="2" t="s">
        <v>12</v>
      </c>
      <c r="E3895" s="2" t="s">
        <v>12</v>
      </c>
      <c r="F3895" s="2" t="s">
        <v>12</v>
      </c>
      <c r="G3895" s="2" t="s">
        <v>12</v>
      </c>
      <c r="H3895" s="2" t="s">
        <v>12</v>
      </c>
      <c r="I3895" s="2" t="s">
        <v>12</v>
      </c>
      <c r="J3895" s="2" t="s">
        <v>12</v>
      </c>
      <c r="K3895" s="2" t="s">
        <v>12</v>
      </c>
    </row>
    <row r="3896" spans="1:11" ht="12.5" x14ac:dyDescent="0.25">
      <c r="A3896" s="3" t="e">
        <f ca="1"/>
        <v>#NAME?</v>
      </c>
      <c r="B3896" s="2" t="s">
        <v>12</v>
      </c>
      <c r="C3896" s="2" t="s">
        <v>12</v>
      </c>
      <c r="D3896" s="2" t="s">
        <v>12</v>
      </c>
      <c r="E3896" s="2" t="s">
        <v>12</v>
      </c>
      <c r="F3896" s="2" t="s">
        <v>12</v>
      </c>
      <c r="G3896" s="2" t="s">
        <v>12</v>
      </c>
      <c r="H3896" s="2" t="s">
        <v>12</v>
      </c>
      <c r="I3896" s="2" t="s">
        <v>12</v>
      </c>
      <c r="J3896" s="2" t="s">
        <v>12</v>
      </c>
      <c r="K3896" s="2" t="s">
        <v>12</v>
      </c>
    </row>
    <row r="3897" spans="1:11" ht="12.5" x14ac:dyDescent="0.25">
      <c r="A3897" s="3" t="e">
        <f ca="1"/>
        <v>#NAME?</v>
      </c>
      <c r="B3897" s="2" t="s">
        <v>12</v>
      </c>
      <c r="C3897" s="2" t="s">
        <v>12</v>
      </c>
      <c r="D3897" s="2" t="s">
        <v>12</v>
      </c>
      <c r="E3897" s="2" t="s">
        <v>12</v>
      </c>
      <c r="F3897" s="2" t="s">
        <v>12</v>
      </c>
      <c r="G3897" s="2" t="s">
        <v>12</v>
      </c>
      <c r="H3897" s="2" t="s">
        <v>12</v>
      </c>
      <c r="I3897" s="2" t="s">
        <v>12</v>
      </c>
      <c r="J3897" s="2" t="s">
        <v>12</v>
      </c>
      <c r="K3897" s="2" t="s">
        <v>12</v>
      </c>
    </row>
    <row r="3898" spans="1:11" ht="12.5" x14ac:dyDescent="0.25">
      <c r="A3898" s="3" t="e">
        <f ca="1"/>
        <v>#NAME?</v>
      </c>
      <c r="B3898" s="2" t="s">
        <v>12</v>
      </c>
      <c r="C3898" s="2" t="s">
        <v>12</v>
      </c>
      <c r="D3898" s="2" t="s">
        <v>12</v>
      </c>
      <c r="E3898" s="2" t="s">
        <v>12</v>
      </c>
      <c r="F3898" s="2" t="s">
        <v>12</v>
      </c>
      <c r="G3898" s="2" t="s">
        <v>12</v>
      </c>
      <c r="H3898" s="2" t="s">
        <v>12</v>
      </c>
      <c r="I3898" s="2" t="s">
        <v>12</v>
      </c>
      <c r="J3898" s="2" t="s">
        <v>12</v>
      </c>
      <c r="K3898" s="2" t="s">
        <v>12</v>
      </c>
    </row>
    <row r="3899" spans="1:11" ht="12.5" x14ac:dyDescent="0.25">
      <c r="A3899" s="3" t="e">
        <f ca="1"/>
        <v>#NAME?</v>
      </c>
      <c r="B3899" s="2" t="s">
        <v>12</v>
      </c>
      <c r="C3899" s="2" t="s">
        <v>12</v>
      </c>
      <c r="D3899" s="2" t="s">
        <v>12</v>
      </c>
      <c r="E3899" s="2" t="s">
        <v>12</v>
      </c>
      <c r="F3899" s="2" t="s">
        <v>12</v>
      </c>
      <c r="G3899" s="2" t="s">
        <v>12</v>
      </c>
      <c r="H3899" s="2" t="s">
        <v>12</v>
      </c>
      <c r="I3899" s="2" t="s">
        <v>12</v>
      </c>
      <c r="J3899" s="2" t="s">
        <v>12</v>
      </c>
      <c r="K3899" s="2" t="s">
        <v>12</v>
      </c>
    </row>
    <row r="3900" spans="1:11" ht="12.5" x14ac:dyDescent="0.25">
      <c r="A3900" s="3" t="e">
        <f ca="1"/>
        <v>#NAME?</v>
      </c>
      <c r="B3900" s="2" t="s">
        <v>12</v>
      </c>
      <c r="C3900" s="2" t="s">
        <v>12</v>
      </c>
      <c r="D3900" s="2" t="s">
        <v>12</v>
      </c>
      <c r="E3900" s="2" t="s">
        <v>12</v>
      </c>
      <c r="F3900" s="2" t="s">
        <v>12</v>
      </c>
      <c r="G3900" s="2" t="s">
        <v>12</v>
      </c>
      <c r="H3900" s="2" t="s">
        <v>12</v>
      </c>
      <c r="I3900" s="2" t="s">
        <v>12</v>
      </c>
      <c r="J3900" s="2" t="s">
        <v>12</v>
      </c>
      <c r="K3900" s="2" t="s">
        <v>12</v>
      </c>
    </row>
    <row r="3901" spans="1:11" ht="12.5" x14ac:dyDescent="0.25">
      <c r="A3901" s="3" t="e">
        <f ca="1"/>
        <v>#NAME?</v>
      </c>
      <c r="B3901" s="2" t="s">
        <v>12</v>
      </c>
      <c r="C3901" s="2" t="s">
        <v>12</v>
      </c>
      <c r="D3901" s="2" t="s">
        <v>12</v>
      </c>
      <c r="E3901" s="2" t="s">
        <v>12</v>
      </c>
      <c r="F3901" s="2" t="s">
        <v>12</v>
      </c>
      <c r="G3901" s="2" t="s">
        <v>12</v>
      </c>
      <c r="H3901" s="2" t="s">
        <v>12</v>
      </c>
      <c r="I3901" s="2" t="s">
        <v>12</v>
      </c>
      <c r="J3901" s="2" t="s">
        <v>12</v>
      </c>
      <c r="K3901" s="2" t="s">
        <v>12</v>
      </c>
    </row>
    <row r="3902" spans="1:11" ht="12.5" x14ac:dyDescent="0.25">
      <c r="A3902" s="3" t="e">
        <f ca="1"/>
        <v>#NAME?</v>
      </c>
      <c r="B3902" s="2" t="s">
        <v>12</v>
      </c>
      <c r="C3902" s="2" t="s">
        <v>12</v>
      </c>
      <c r="D3902" s="2" t="s">
        <v>12</v>
      </c>
      <c r="E3902" s="2" t="s">
        <v>12</v>
      </c>
      <c r="F3902" s="2" t="s">
        <v>12</v>
      </c>
      <c r="G3902" s="2" t="s">
        <v>12</v>
      </c>
      <c r="H3902" s="2" t="s">
        <v>12</v>
      </c>
      <c r="I3902" s="2" t="s">
        <v>12</v>
      </c>
      <c r="J3902" s="2" t="s">
        <v>12</v>
      </c>
      <c r="K3902" s="2" t="s">
        <v>12</v>
      </c>
    </row>
    <row r="3903" spans="1:11" ht="12.5" x14ac:dyDescent="0.25">
      <c r="A3903" s="3" t="e">
        <f ca="1"/>
        <v>#NAME?</v>
      </c>
      <c r="B3903" s="2" t="s">
        <v>12</v>
      </c>
      <c r="C3903" s="2" t="s">
        <v>12</v>
      </c>
      <c r="D3903" s="2" t="s">
        <v>12</v>
      </c>
      <c r="E3903" s="2" t="s">
        <v>12</v>
      </c>
      <c r="F3903" s="2" t="s">
        <v>12</v>
      </c>
      <c r="G3903" s="2" t="s">
        <v>12</v>
      </c>
      <c r="H3903" s="2" t="s">
        <v>12</v>
      </c>
      <c r="I3903" s="2" t="s">
        <v>12</v>
      </c>
      <c r="J3903" s="2" t="s">
        <v>12</v>
      </c>
      <c r="K3903" s="2" t="s">
        <v>12</v>
      </c>
    </row>
    <row r="3904" spans="1:11" ht="12.5" x14ac:dyDescent="0.25">
      <c r="A3904" s="3" t="e">
        <f ca="1"/>
        <v>#NAME?</v>
      </c>
      <c r="B3904" s="2" t="s">
        <v>12</v>
      </c>
      <c r="C3904" s="2" t="s">
        <v>12</v>
      </c>
      <c r="D3904" s="2" t="s">
        <v>12</v>
      </c>
      <c r="E3904" s="2" t="s">
        <v>12</v>
      </c>
      <c r="F3904" s="2" t="s">
        <v>12</v>
      </c>
      <c r="G3904" s="2" t="s">
        <v>12</v>
      </c>
      <c r="H3904" s="2" t="s">
        <v>12</v>
      </c>
      <c r="I3904" s="2" t="s">
        <v>12</v>
      </c>
      <c r="J3904" s="2" t="s">
        <v>12</v>
      </c>
      <c r="K3904" s="2" t="s">
        <v>12</v>
      </c>
    </row>
    <row r="3905" spans="1:11" ht="12.5" x14ac:dyDescent="0.25">
      <c r="A3905" s="3" t="e">
        <f ca="1"/>
        <v>#NAME?</v>
      </c>
      <c r="B3905" s="2" t="s">
        <v>12</v>
      </c>
      <c r="C3905" s="2" t="s">
        <v>12</v>
      </c>
      <c r="D3905" s="2" t="s">
        <v>12</v>
      </c>
      <c r="E3905" s="2" t="s">
        <v>12</v>
      </c>
      <c r="F3905" s="2" t="s">
        <v>12</v>
      </c>
      <c r="G3905" s="2" t="s">
        <v>12</v>
      </c>
      <c r="H3905" s="2" t="s">
        <v>12</v>
      </c>
      <c r="I3905" s="2" t="s">
        <v>12</v>
      </c>
      <c r="J3905" s="2" t="s">
        <v>12</v>
      </c>
      <c r="K3905" s="2" t="s">
        <v>12</v>
      </c>
    </row>
    <row r="3906" spans="1:11" ht="12.5" x14ac:dyDescent="0.25">
      <c r="A3906" s="3" t="e">
        <f ca="1"/>
        <v>#NAME?</v>
      </c>
      <c r="B3906" s="2" t="s">
        <v>12</v>
      </c>
      <c r="C3906" s="2" t="s">
        <v>12</v>
      </c>
      <c r="D3906" s="2" t="s">
        <v>12</v>
      </c>
      <c r="E3906" s="2" t="s">
        <v>12</v>
      </c>
      <c r="F3906" s="2" t="s">
        <v>12</v>
      </c>
      <c r="G3906" s="2" t="s">
        <v>12</v>
      </c>
      <c r="H3906" s="2" t="s">
        <v>12</v>
      </c>
      <c r="I3906" s="2" t="s">
        <v>12</v>
      </c>
      <c r="J3906" s="2" t="s">
        <v>12</v>
      </c>
      <c r="K3906" s="2" t="s">
        <v>12</v>
      </c>
    </row>
    <row r="3907" spans="1:11" ht="12.5" x14ac:dyDescent="0.25">
      <c r="A3907" s="3" t="e">
        <f ca="1"/>
        <v>#NAME?</v>
      </c>
      <c r="B3907" s="2" t="s">
        <v>12</v>
      </c>
      <c r="C3907" s="2" t="s">
        <v>12</v>
      </c>
      <c r="D3907" s="2" t="s">
        <v>12</v>
      </c>
      <c r="E3907" s="2" t="s">
        <v>12</v>
      </c>
      <c r="F3907" s="2" t="s">
        <v>12</v>
      </c>
      <c r="G3907" s="2" t="s">
        <v>12</v>
      </c>
      <c r="H3907" s="2" t="s">
        <v>12</v>
      </c>
      <c r="I3907" s="2" t="s">
        <v>12</v>
      </c>
      <c r="J3907" s="2" t="s">
        <v>12</v>
      </c>
      <c r="K3907" s="2" t="s">
        <v>12</v>
      </c>
    </row>
    <row r="3908" spans="1:11" ht="12.5" x14ac:dyDescent="0.25">
      <c r="A3908" s="3" t="e">
        <f ca="1"/>
        <v>#NAME?</v>
      </c>
      <c r="B3908" s="2" t="s">
        <v>12</v>
      </c>
      <c r="C3908" s="2" t="s">
        <v>12</v>
      </c>
      <c r="D3908" s="2" t="s">
        <v>12</v>
      </c>
      <c r="E3908" s="2" t="s">
        <v>12</v>
      </c>
      <c r="F3908" s="2" t="s">
        <v>12</v>
      </c>
      <c r="G3908" s="2" t="s">
        <v>12</v>
      </c>
      <c r="H3908" s="2" t="s">
        <v>12</v>
      </c>
      <c r="I3908" s="2" t="s">
        <v>12</v>
      </c>
      <c r="J3908" s="2" t="s">
        <v>12</v>
      </c>
      <c r="K3908" s="2" t="s">
        <v>12</v>
      </c>
    </row>
    <row r="3909" spans="1:11" ht="12.5" x14ac:dyDescent="0.25">
      <c r="A3909" s="3" t="e">
        <f ca="1"/>
        <v>#NAME?</v>
      </c>
      <c r="B3909" s="2" t="s">
        <v>12</v>
      </c>
      <c r="C3909" s="2" t="s">
        <v>12</v>
      </c>
      <c r="D3909" s="2" t="s">
        <v>12</v>
      </c>
      <c r="E3909" s="2" t="s">
        <v>12</v>
      </c>
      <c r="F3909" s="2" t="s">
        <v>12</v>
      </c>
      <c r="G3909" s="2" t="s">
        <v>12</v>
      </c>
      <c r="H3909" s="2" t="s">
        <v>12</v>
      </c>
      <c r="I3909" s="2" t="s">
        <v>12</v>
      </c>
      <c r="J3909" s="2" t="s">
        <v>12</v>
      </c>
      <c r="K3909" s="2" t="s">
        <v>12</v>
      </c>
    </row>
    <row r="3910" spans="1:11" ht="12.5" x14ac:dyDescent="0.25">
      <c r="A3910" s="3" t="e">
        <f ca="1"/>
        <v>#NAME?</v>
      </c>
      <c r="B3910" s="2" t="s">
        <v>12</v>
      </c>
      <c r="C3910" s="2" t="s">
        <v>12</v>
      </c>
      <c r="D3910" s="2" t="s">
        <v>12</v>
      </c>
      <c r="E3910" s="2" t="s">
        <v>12</v>
      </c>
      <c r="F3910" s="2" t="s">
        <v>12</v>
      </c>
      <c r="G3910" s="2" t="s">
        <v>12</v>
      </c>
      <c r="H3910" s="2" t="s">
        <v>12</v>
      </c>
      <c r="I3910" s="2" t="s">
        <v>12</v>
      </c>
      <c r="J3910" s="2" t="s">
        <v>12</v>
      </c>
      <c r="K3910" s="2" t="s">
        <v>12</v>
      </c>
    </row>
    <row r="3911" spans="1:11" ht="12.5" x14ac:dyDescent="0.25">
      <c r="A3911" s="3" t="e">
        <f ca="1"/>
        <v>#NAME?</v>
      </c>
      <c r="B3911" s="2" t="s">
        <v>12</v>
      </c>
      <c r="C3911" s="2" t="s">
        <v>12</v>
      </c>
      <c r="D3911" s="2" t="s">
        <v>12</v>
      </c>
      <c r="E3911" s="2" t="s">
        <v>12</v>
      </c>
      <c r="F3911" s="2" t="s">
        <v>12</v>
      </c>
      <c r="G3911" s="2" t="s">
        <v>12</v>
      </c>
      <c r="H3911" s="2" t="s">
        <v>12</v>
      </c>
      <c r="I3911" s="2" t="s">
        <v>12</v>
      </c>
      <c r="J3911" s="2" t="s">
        <v>12</v>
      </c>
      <c r="K3911" s="2" t="s">
        <v>12</v>
      </c>
    </row>
    <row r="3912" spans="1:11" ht="12.5" x14ac:dyDescent="0.25">
      <c r="A3912" s="3" t="e">
        <f ca="1"/>
        <v>#NAME?</v>
      </c>
      <c r="B3912" s="2" t="s">
        <v>12</v>
      </c>
      <c r="C3912" s="2" t="s">
        <v>12</v>
      </c>
      <c r="D3912" s="2" t="s">
        <v>12</v>
      </c>
      <c r="E3912" s="2" t="s">
        <v>12</v>
      </c>
      <c r="F3912" s="2" t="s">
        <v>12</v>
      </c>
      <c r="G3912" s="2" t="s">
        <v>12</v>
      </c>
      <c r="H3912" s="2" t="s">
        <v>12</v>
      </c>
      <c r="I3912" s="2" t="s">
        <v>12</v>
      </c>
      <c r="J3912" s="2" t="s">
        <v>12</v>
      </c>
      <c r="K3912" s="2" t="s">
        <v>12</v>
      </c>
    </row>
    <row r="3913" spans="1:11" ht="12.5" x14ac:dyDescent="0.25">
      <c r="A3913" s="3" t="e">
        <f ca="1"/>
        <v>#NAME?</v>
      </c>
      <c r="B3913" s="2" t="s">
        <v>12</v>
      </c>
      <c r="C3913" s="2" t="s">
        <v>12</v>
      </c>
      <c r="D3913" s="2" t="s">
        <v>12</v>
      </c>
      <c r="E3913" s="2" t="s">
        <v>12</v>
      </c>
      <c r="F3913" s="2" t="s">
        <v>12</v>
      </c>
      <c r="G3913" s="2" t="s">
        <v>12</v>
      </c>
      <c r="H3913" s="2" t="s">
        <v>12</v>
      </c>
      <c r="I3913" s="2" t="s">
        <v>12</v>
      </c>
      <c r="J3913" s="2" t="s">
        <v>12</v>
      </c>
      <c r="K3913" s="2" t="s">
        <v>12</v>
      </c>
    </row>
    <row r="3914" spans="1:11" ht="12.5" x14ac:dyDescent="0.25">
      <c r="A3914" s="3" t="e">
        <f ca="1"/>
        <v>#NAME?</v>
      </c>
      <c r="B3914" s="2" t="s">
        <v>12</v>
      </c>
      <c r="C3914" s="2" t="s">
        <v>12</v>
      </c>
      <c r="D3914" s="2" t="s">
        <v>12</v>
      </c>
      <c r="E3914" s="2" t="s">
        <v>12</v>
      </c>
      <c r="F3914" s="2" t="s">
        <v>12</v>
      </c>
      <c r="G3914" s="2" t="s">
        <v>12</v>
      </c>
      <c r="H3914" s="2" t="s">
        <v>12</v>
      </c>
      <c r="I3914" s="2" t="s">
        <v>12</v>
      </c>
      <c r="J3914" s="2" t="s">
        <v>12</v>
      </c>
      <c r="K3914" s="2" t="s">
        <v>12</v>
      </c>
    </row>
    <row r="3915" spans="1:11" ht="12.5" x14ac:dyDescent="0.25">
      <c r="A3915" s="3" t="e">
        <f ca="1"/>
        <v>#NAME?</v>
      </c>
      <c r="B3915" s="2" t="s">
        <v>12</v>
      </c>
      <c r="C3915" s="2" t="s">
        <v>12</v>
      </c>
      <c r="D3915" s="2" t="s">
        <v>12</v>
      </c>
      <c r="E3915" s="2" t="s">
        <v>12</v>
      </c>
      <c r="F3915" s="2" t="s">
        <v>12</v>
      </c>
      <c r="G3915" s="2" t="s">
        <v>12</v>
      </c>
      <c r="H3915" s="2" t="s">
        <v>12</v>
      </c>
      <c r="I3915" s="2" t="s">
        <v>12</v>
      </c>
      <c r="J3915" s="2" t="s">
        <v>12</v>
      </c>
      <c r="K3915" s="2" t="s">
        <v>12</v>
      </c>
    </row>
    <row r="3916" spans="1:11" ht="12.5" x14ac:dyDescent="0.25">
      <c r="A3916" s="3" t="e">
        <f ca="1"/>
        <v>#NAME?</v>
      </c>
      <c r="B3916" s="2" t="s">
        <v>12</v>
      </c>
      <c r="C3916" s="2" t="s">
        <v>12</v>
      </c>
      <c r="D3916" s="2" t="s">
        <v>12</v>
      </c>
      <c r="E3916" s="2" t="s">
        <v>12</v>
      </c>
      <c r="F3916" s="2" t="s">
        <v>12</v>
      </c>
      <c r="G3916" s="2" t="s">
        <v>12</v>
      </c>
      <c r="H3916" s="2" t="s">
        <v>12</v>
      </c>
      <c r="I3916" s="2" t="s">
        <v>12</v>
      </c>
      <c r="J3916" s="2" t="s">
        <v>12</v>
      </c>
      <c r="K3916" s="2" t="s">
        <v>12</v>
      </c>
    </row>
    <row r="3917" spans="1:11" ht="12.5" x14ac:dyDescent="0.25">
      <c r="A3917" s="3" t="e">
        <f ca="1"/>
        <v>#NAME?</v>
      </c>
      <c r="B3917" s="2" t="s">
        <v>12</v>
      </c>
      <c r="C3917" s="2" t="s">
        <v>12</v>
      </c>
      <c r="D3917" s="2" t="s">
        <v>12</v>
      </c>
      <c r="E3917" s="2" t="s">
        <v>12</v>
      </c>
      <c r="F3917" s="2" t="s">
        <v>12</v>
      </c>
      <c r="G3917" s="2" t="s">
        <v>12</v>
      </c>
      <c r="H3917" s="2" t="s">
        <v>12</v>
      </c>
      <c r="I3917" s="2" t="s">
        <v>12</v>
      </c>
      <c r="J3917" s="2" t="s">
        <v>12</v>
      </c>
      <c r="K3917" s="2" t="s">
        <v>12</v>
      </c>
    </row>
    <row r="3918" spans="1:11" ht="12.5" x14ac:dyDescent="0.25">
      <c r="A3918" s="3" t="e">
        <f ca="1"/>
        <v>#NAME?</v>
      </c>
      <c r="B3918" s="2" t="s">
        <v>12</v>
      </c>
      <c r="C3918" s="2" t="s">
        <v>12</v>
      </c>
      <c r="D3918" s="2" t="s">
        <v>12</v>
      </c>
      <c r="E3918" s="2" t="s">
        <v>12</v>
      </c>
      <c r="F3918" s="2" t="s">
        <v>12</v>
      </c>
      <c r="G3918" s="2" t="s">
        <v>12</v>
      </c>
      <c r="H3918" s="2" t="s">
        <v>12</v>
      </c>
      <c r="I3918" s="2" t="s">
        <v>12</v>
      </c>
      <c r="J3918" s="2" t="s">
        <v>12</v>
      </c>
      <c r="K3918" s="2" t="s">
        <v>12</v>
      </c>
    </row>
    <row r="3919" spans="1:11" ht="12.5" x14ac:dyDescent="0.25">
      <c r="A3919" s="3" t="e">
        <f ca="1"/>
        <v>#NAME?</v>
      </c>
      <c r="B3919" s="2" t="s">
        <v>12</v>
      </c>
      <c r="C3919" s="2" t="s">
        <v>12</v>
      </c>
      <c r="D3919" s="2" t="s">
        <v>12</v>
      </c>
      <c r="E3919" s="2" t="s">
        <v>12</v>
      </c>
      <c r="F3919" s="2" t="s">
        <v>12</v>
      </c>
      <c r="G3919" s="2" t="s">
        <v>12</v>
      </c>
      <c r="H3919" s="2" t="s">
        <v>12</v>
      </c>
      <c r="I3919" s="2" t="s">
        <v>12</v>
      </c>
      <c r="J3919" s="2" t="s">
        <v>12</v>
      </c>
      <c r="K3919" s="2" t="s">
        <v>12</v>
      </c>
    </row>
    <row r="3920" spans="1:11" ht="12.5" x14ac:dyDescent="0.25">
      <c r="A3920" s="3" t="e">
        <f ca="1"/>
        <v>#NAME?</v>
      </c>
      <c r="B3920" s="2" t="s">
        <v>12</v>
      </c>
      <c r="C3920" s="2" t="s">
        <v>12</v>
      </c>
      <c r="D3920" s="2" t="s">
        <v>12</v>
      </c>
      <c r="E3920" s="2" t="s">
        <v>12</v>
      </c>
      <c r="F3920" s="2" t="s">
        <v>12</v>
      </c>
      <c r="G3920" s="2" t="s">
        <v>12</v>
      </c>
      <c r="H3920" s="2" t="s">
        <v>12</v>
      </c>
      <c r="I3920" s="2" t="s">
        <v>12</v>
      </c>
      <c r="J3920" s="2" t="s">
        <v>12</v>
      </c>
      <c r="K3920" s="2" t="s">
        <v>12</v>
      </c>
    </row>
    <row r="3921" spans="1:11" ht="12.5" x14ac:dyDescent="0.25">
      <c r="A3921" s="3" t="e">
        <f ca="1"/>
        <v>#NAME?</v>
      </c>
      <c r="B3921" s="2" t="s">
        <v>12</v>
      </c>
      <c r="C3921" s="2" t="s">
        <v>12</v>
      </c>
      <c r="D3921" s="2" t="s">
        <v>12</v>
      </c>
      <c r="E3921" s="2" t="s">
        <v>12</v>
      </c>
      <c r="F3921" s="2" t="s">
        <v>12</v>
      </c>
      <c r="G3921" s="2" t="s">
        <v>12</v>
      </c>
      <c r="H3921" s="2" t="s">
        <v>12</v>
      </c>
      <c r="I3921" s="2" t="s">
        <v>12</v>
      </c>
      <c r="J3921" s="2" t="s">
        <v>12</v>
      </c>
      <c r="K3921" s="2" t="s">
        <v>12</v>
      </c>
    </row>
    <row r="3922" spans="1:11" ht="12.5" x14ac:dyDescent="0.25">
      <c r="A3922" s="3" t="e">
        <f ca="1"/>
        <v>#NAME?</v>
      </c>
      <c r="B3922" s="2" t="s">
        <v>12</v>
      </c>
      <c r="C3922" s="2" t="s">
        <v>12</v>
      </c>
      <c r="D3922" s="2" t="s">
        <v>12</v>
      </c>
      <c r="E3922" s="2" t="s">
        <v>12</v>
      </c>
      <c r="F3922" s="2" t="s">
        <v>12</v>
      </c>
      <c r="G3922" s="2" t="s">
        <v>12</v>
      </c>
      <c r="H3922" s="2" t="s">
        <v>12</v>
      </c>
      <c r="I3922" s="2" t="s">
        <v>12</v>
      </c>
      <c r="J3922" s="2" t="s">
        <v>12</v>
      </c>
      <c r="K3922" s="2" t="s">
        <v>12</v>
      </c>
    </row>
    <row r="3923" spans="1:11" ht="12.5" x14ac:dyDescent="0.25">
      <c r="A3923" s="3" t="e">
        <f ca="1"/>
        <v>#NAME?</v>
      </c>
      <c r="B3923" s="2" t="s">
        <v>12</v>
      </c>
      <c r="C3923" s="2" t="s">
        <v>12</v>
      </c>
      <c r="D3923" s="2" t="s">
        <v>12</v>
      </c>
      <c r="E3923" s="2" t="s">
        <v>12</v>
      </c>
      <c r="F3923" s="2" t="s">
        <v>12</v>
      </c>
      <c r="G3923" s="2" t="s">
        <v>12</v>
      </c>
      <c r="H3923" s="2" t="s">
        <v>12</v>
      </c>
      <c r="I3923" s="2" t="s">
        <v>12</v>
      </c>
      <c r="J3923" s="2" t="s">
        <v>12</v>
      </c>
      <c r="K3923" s="2" t="s">
        <v>12</v>
      </c>
    </row>
    <row r="3924" spans="1:11" ht="12.5" x14ac:dyDescent="0.25">
      <c r="A3924" s="3" t="e">
        <f ca="1"/>
        <v>#NAME?</v>
      </c>
      <c r="B3924" s="2" t="s">
        <v>12</v>
      </c>
      <c r="C3924" s="2" t="s">
        <v>12</v>
      </c>
      <c r="D3924" s="2" t="s">
        <v>12</v>
      </c>
      <c r="E3924" s="2" t="s">
        <v>12</v>
      </c>
      <c r="F3924" s="2" t="s">
        <v>12</v>
      </c>
      <c r="G3924" s="2" t="s">
        <v>12</v>
      </c>
      <c r="H3924" s="2" t="s">
        <v>12</v>
      </c>
      <c r="I3924" s="2" t="s">
        <v>12</v>
      </c>
      <c r="J3924" s="2" t="s">
        <v>12</v>
      </c>
      <c r="K3924" s="2" t="s">
        <v>12</v>
      </c>
    </row>
    <row r="3925" spans="1:11" ht="12.5" x14ac:dyDescent="0.25">
      <c r="A3925" s="3" t="e">
        <f ca="1"/>
        <v>#NAME?</v>
      </c>
      <c r="B3925" s="2" t="s">
        <v>12</v>
      </c>
      <c r="C3925" s="2" t="s">
        <v>12</v>
      </c>
      <c r="D3925" s="2" t="s">
        <v>12</v>
      </c>
      <c r="E3925" s="2" t="s">
        <v>12</v>
      </c>
      <c r="F3925" s="2" t="s">
        <v>12</v>
      </c>
      <c r="G3925" s="2" t="s">
        <v>12</v>
      </c>
      <c r="H3925" s="2" t="s">
        <v>12</v>
      </c>
      <c r="I3925" s="2" t="s">
        <v>12</v>
      </c>
      <c r="J3925" s="2" t="s">
        <v>12</v>
      </c>
      <c r="K3925" s="2" t="s">
        <v>12</v>
      </c>
    </row>
    <row r="3926" spans="1:11" ht="12.5" x14ac:dyDescent="0.25">
      <c r="A3926" s="3" t="e">
        <f ca="1"/>
        <v>#NAME?</v>
      </c>
      <c r="B3926" s="2" t="s">
        <v>12</v>
      </c>
      <c r="C3926" s="2" t="s">
        <v>12</v>
      </c>
      <c r="D3926" s="2" t="s">
        <v>12</v>
      </c>
      <c r="E3926" s="2" t="s">
        <v>12</v>
      </c>
      <c r="F3926" s="2" t="s">
        <v>12</v>
      </c>
      <c r="G3926" s="2" t="s">
        <v>12</v>
      </c>
      <c r="H3926" s="2" t="s">
        <v>12</v>
      </c>
      <c r="I3926" s="2" t="s">
        <v>12</v>
      </c>
      <c r="J3926" s="2" t="s">
        <v>12</v>
      </c>
      <c r="K3926" s="2" t="s">
        <v>12</v>
      </c>
    </row>
    <row r="3927" spans="1:11" ht="12.5" x14ac:dyDescent="0.25">
      <c r="A3927" s="3" t="e">
        <f ca="1"/>
        <v>#NAME?</v>
      </c>
      <c r="B3927" s="2" t="s">
        <v>12</v>
      </c>
      <c r="C3927" s="2" t="s">
        <v>12</v>
      </c>
      <c r="D3927" s="2" t="s">
        <v>12</v>
      </c>
      <c r="E3927" s="2" t="s">
        <v>12</v>
      </c>
      <c r="F3927" s="2" t="s">
        <v>12</v>
      </c>
      <c r="G3927" s="2" t="s">
        <v>12</v>
      </c>
      <c r="H3927" s="2" t="s">
        <v>12</v>
      </c>
      <c r="I3927" s="2" t="s">
        <v>12</v>
      </c>
      <c r="J3927" s="2" t="s">
        <v>12</v>
      </c>
      <c r="K3927" s="2" t="s">
        <v>12</v>
      </c>
    </row>
    <row r="3928" spans="1:11" ht="12.5" x14ac:dyDescent="0.25">
      <c r="A3928" s="3" t="e">
        <f ca="1"/>
        <v>#NAME?</v>
      </c>
      <c r="B3928" s="2" t="s">
        <v>12</v>
      </c>
      <c r="C3928" s="2" t="s">
        <v>12</v>
      </c>
      <c r="D3928" s="2" t="s">
        <v>12</v>
      </c>
      <c r="E3928" s="2" t="s">
        <v>12</v>
      </c>
      <c r="F3928" s="2" t="s">
        <v>12</v>
      </c>
      <c r="G3928" s="2" t="s">
        <v>12</v>
      </c>
      <c r="H3928" s="2" t="s">
        <v>12</v>
      </c>
      <c r="I3928" s="2" t="s">
        <v>12</v>
      </c>
      <c r="J3928" s="2" t="s">
        <v>12</v>
      </c>
      <c r="K3928" s="2" t="s">
        <v>12</v>
      </c>
    </row>
    <row r="3929" spans="1:11" ht="12.5" x14ac:dyDescent="0.25">
      <c r="A3929" s="3" t="e">
        <f ca="1"/>
        <v>#NAME?</v>
      </c>
      <c r="B3929" s="2" t="s">
        <v>12</v>
      </c>
      <c r="C3929" s="2" t="s">
        <v>12</v>
      </c>
      <c r="D3929" s="2" t="s">
        <v>12</v>
      </c>
      <c r="E3929" s="2" t="s">
        <v>12</v>
      </c>
      <c r="F3929" s="2" t="s">
        <v>12</v>
      </c>
      <c r="G3929" s="2" t="s">
        <v>12</v>
      </c>
      <c r="H3929" s="2" t="s">
        <v>12</v>
      </c>
      <c r="I3929" s="2" t="s">
        <v>12</v>
      </c>
      <c r="J3929" s="2" t="s">
        <v>12</v>
      </c>
      <c r="K3929" s="2" t="s">
        <v>12</v>
      </c>
    </row>
    <row r="3930" spans="1:11" ht="12.5" x14ac:dyDescent="0.25">
      <c r="A3930" s="3" t="e">
        <f ca="1"/>
        <v>#NAME?</v>
      </c>
      <c r="B3930" s="2" t="s">
        <v>12</v>
      </c>
      <c r="C3930" s="2" t="s">
        <v>12</v>
      </c>
      <c r="D3930" s="2" t="s">
        <v>12</v>
      </c>
      <c r="E3930" s="2" t="s">
        <v>12</v>
      </c>
      <c r="F3930" s="2" t="s">
        <v>12</v>
      </c>
      <c r="G3930" s="2" t="s">
        <v>12</v>
      </c>
      <c r="H3930" s="2" t="s">
        <v>12</v>
      </c>
      <c r="I3930" s="2" t="s">
        <v>12</v>
      </c>
      <c r="J3930" s="2" t="s">
        <v>12</v>
      </c>
      <c r="K3930" s="2" t="s">
        <v>12</v>
      </c>
    </row>
    <row r="3931" spans="1:11" ht="12.5" x14ac:dyDescent="0.25">
      <c r="A3931" s="3" t="e">
        <f ca="1"/>
        <v>#NAME?</v>
      </c>
      <c r="B3931" s="2" t="s">
        <v>12</v>
      </c>
      <c r="C3931" s="2" t="s">
        <v>12</v>
      </c>
      <c r="D3931" s="2" t="s">
        <v>12</v>
      </c>
      <c r="E3931" s="2" t="s">
        <v>12</v>
      </c>
      <c r="F3931" s="2" t="s">
        <v>12</v>
      </c>
      <c r="G3931" s="2" t="s">
        <v>12</v>
      </c>
      <c r="H3931" s="2" t="s">
        <v>12</v>
      </c>
      <c r="I3931" s="2" t="s">
        <v>12</v>
      </c>
      <c r="J3931" s="2" t="s">
        <v>12</v>
      </c>
      <c r="K3931" s="2" t="s">
        <v>12</v>
      </c>
    </row>
    <row r="3932" spans="1:11" ht="12.5" x14ac:dyDescent="0.25">
      <c r="A3932" s="3" t="e">
        <f ca="1"/>
        <v>#NAME?</v>
      </c>
      <c r="B3932" s="2" t="s">
        <v>12</v>
      </c>
      <c r="C3932" s="2" t="s">
        <v>12</v>
      </c>
      <c r="D3932" s="2" t="s">
        <v>12</v>
      </c>
      <c r="E3932" s="2" t="s">
        <v>12</v>
      </c>
      <c r="F3932" s="2" t="s">
        <v>12</v>
      </c>
      <c r="G3932" s="2" t="s">
        <v>12</v>
      </c>
      <c r="H3932" s="2" t="s">
        <v>12</v>
      </c>
      <c r="I3932" s="2" t="s">
        <v>12</v>
      </c>
      <c r="J3932" s="2" t="s">
        <v>12</v>
      </c>
      <c r="K3932" s="2" t="s">
        <v>12</v>
      </c>
    </row>
    <row r="3933" spans="1:11" ht="12.5" x14ac:dyDescent="0.25">
      <c r="A3933" s="3" t="e">
        <f ca="1"/>
        <v>#NAME?</v>
      </c>
      <c r="B3933" s="2" t="s">
        <v>12</v>
      </c>
      <c r="C3933" s="2" t="s">
        <v>12</v>
      </c>
      <c r="D3933" s="2" t="s">
        <v>12</v>
      </c>
      <c r="E3933" s="2" t="s">
        <v>12</v>
      </c>
      <c r="F3933" s="2" t="s">
        <v>12</v>
      </c>
      <c r="G3933" s="2" t="s">
        <v>12</v>
      </c>
      <c r="H3933" s="2" t="s">
        <v>12</v>
      </c>
      <c r="I3933" s="2" t="s">
        <v>12</v>
      </c>
      <c r="J3933" s="2" t="s">
        <v>12</v>
      </c>
      <c r="K3933" s="2" t="s">
        <v>12</v>
      </c>
    </row>
    <row r="3934" spans="1:11" ht="12.5" x14ac:dyDescent="0.25">
      <c r="A3934" s="3" t="e">
        <f ca="1"/>
        <v>#NAME?</v>
      </c>
      <c r="B3934" s="2" t="s">
        <v>12</v>
      </c>
      <c r="C3934" s="2" t="s">
        <v>12</v>
      </c>
      <c r="D3934" s="2" t="s">
        <v>12</v>
      </c>
      <c r="E3934" s="2" t="s">
        <v>12</v>
      </c>
      <c r="F3934" s="2" t="s">
        <v>12</v>
      </c>
      <c r="G3934" s="2" t="s">
        <v>12</v>
      </c>
      <c r="H3934" s="2" t="s">
        <v>12</v>
      </c>
      <c r="I3934" s="2" t="s">
        <v>12</v>
      </c>
      <c r="J3934" s="2" t="s">
        <v>12</v>
      </c>
      <c r="K3934" s="2" t="s">
        <v>12</v>
      </c>
    </row>
    <row r="3935" spans="1:11" ht="12.5" x14ac:dyDescent="0.25">
      <c r="A3935" s="3" t="e">
        <f ca="1"/>
        <v>#NAME?</v>
      </c>
      <c r="B3935" s="2" t="s">
        <v>12</v>
      </c>
      <c r="C3935" s="2" t="s">
        <v>12</v>
      </c>
      <c r="D3935" s="2" t="s">
        <v>12</v>
      </c>
      <c r="E3935" s="2" t="s">
        <v>12</v>
      </c>
      <c r="F3935" s="2" t="s">
        <v>12</v>
      </c>
      <c r="G3935" s="2" t="s">
        <v>12</v>
      </c>
      <c r="H3935" s="2" t="s">
        <v>12</v>
      </c>
      <c r="I3935" s="2" t="s">
        <v>12</v>
      </c>
      <c r="J3935" s="2" t="s">
        <v>12</v>
      </c>
      <c r="K3935" s="2" t="s">
        <v>12</v>
      </c>
    </row>
    <row r="3936" spans="1:11" ht="12.5" x14ac:dyDescent="0.25">
      <c r="A3936" s="3" t="e">
        <f ca="1"/>
        <v>#NAME?</v>
      </c>
      <c r="B3936" s="2" t="s">
        <v>12</v>
      </c>
      <c r="C3936" s="2" t="s">
        <v>12</v>
      </c>
      <c r="D3936" s="2" t="s">
        <v>12</v>
      </c>
      <c r="E3936" s="2" t="s">
        <v>12</v>
      </c>
      <c r="F3936" s="2" t="s">
        <v>12</v>
      </c>
      <c r="G3936" s="2" t="s">
        <v>12</v>
      </c>
      <c r="H3936" s="2" t="s">
        <v>12</v>
      </c>
      <c r="I3936" s="2" t="s">
        <v>12</v>
      </c>
      <c r="J3936" s="2" t="s">
        <v>12</v>
      </c>
      <c r="K3936" s="2" t="s">
        <v>12</v>
      </c>
    </row>
    <row r="3937" spans="1:11" ht="12.5" x14ac:dyDescent="0.25">
      <c r="A3937" s="3" t="e">
        <f ca="1"/>
        <v>#NAME?</v>
      </c>
      <c r="B3937" s="2" t="s">
        <v>12</v>
      </c>
      <c r="C3937" s="2" t="s">
        <v>12</v>
      </c>
      <c r="D3937" s="2" t="s">
        <v>12</v>
      </c>
      <c r="E3937" s="2" t="s">
        <v>12</v>
      </c>
      <c r="F3937" s="2" t="s">
        <v>12</v>
      </c>
      <c r="G3937" s="2" t="s">
        <v>12</v>
      </c>
      <c r="H3937" s="2" t="s">
        <v>12</v>
      </c>
      <c r="I3937" s="2" t="s">
        <v>12</v>
      </c>
      <c r="J3937" s="2" t="s">
        <v>12</v>
      </c>
      <c r="K3937" s="2" t="s">
        <v>12</v>
      </c>
    </row>
    <row r="3938" spans="1:11" ht="12.5" x14ac:dyDescent="0.25">
      <c r="A3938" s="3" t="e">
        <f ca="1"/>
        <v>#NAME?</v>
      </c>
      <c r="B3938" s="2" t="s">
        <v>12</v>
      </c>
      <c r="C3938" s="2" t="s">
        <v>12</v>
      </c>
      <c r="D3938" s="2" t="s">
        <v>12</v>
      </c>
      <c r="E3938" s="2" t="s">
        <v>12</v>
      </c>
      <c r="F3938" s="2" t="s">
        <v>12</v>
      </c>
      <c r="G3938" s="2" t="s">
        <v>12</v>
      </c>
      <c r="H3938" s="2" t="s">
        <v>12</v>
      </c>
      <c r="I3938" s="2" t="s">
        <v>12</v>
      </c>
      <c r="J3938" s="2" t="s">
        <v>12</v>
      </c>
      <c r="K3938" s="2" t="s">
        <v>12</v>
      </c>
    </row>
    <row r="3939" spans="1:11" ht="12.5" x14ac:dyDescent="0.25">
      <c r="A3939" s="3" t="e">
        <f ca="1"/>
        <v>#NAME?</v>
      </c>
      <c r="B3939" s="2" t="s">
        <v>12</v>
      </c>
      <c r="C3939" s="2" t="s">
        <v>12</v>
      </c>
      <c r="D3939" s="2" t="s">
        <v>12</v>
      </c>
      <c r="E3939" s="2" t="s">
        <v>12</v>
      </c>
      <c r="F3939" s="2" t="s">
        <v>12</v>
      </c>
      <c r="G3939" s="2" t="s">
        <v>12</v>
      </c>
      <c r="H3939" s="2" t="s">
        <v>12</v>
      </c>
      <c r="I3939" s="2" t="s">
        <v>12</v>
      </c>
      <c r="J3939" s="2" t="s">
        <v>12</v>
      </c>
      <c r="K3939" s="2" t="s">
        <v>12</v>
      </c>
    </row>
    <row r="3940" spans="1:11" ht="12.5" x14ac:dyDescent="0.25">
      <c r="A3940" s="3" t="e">
        <f ca="1"/>
        <v>#NAME?</v>
      </c>
      <c r="B3940" s="2" t="s">
        <v>12</v>
      </c>
      <c r="C3940" s="2" t="s">
        <v>12</v>
      </c>
      <c r="D3940" s="2" t="s">
        <v>12</v>
      </c>
      <c r="E3940" s="2" t="s">
        <v>12</v>
      </c>
      <c r="F3940" s="2" t="s">
        <v>12</v>
      </c>
      <c r="G3940" s="2" t="s">
        <v>12</v>
      </c>
      <c r="H3940" s="2" t="s">
        <v>12</v>
      </c>
      <c r="I3940" s="2" t="s">
        <v>12</v>
      </c>
      <c r="J3940" s="2" t="s">
        <v>12</v>
      </c>
      <c r="K3940" s="2" t="s">
        <v>12</v>
      </c>
    </row>
    <row r="3941" spans="1:11" ht="12.5" x14ac:dyDescent="0.25">
      <c r="A3941" s="3" t="e">
        <f ca="1"/>
        <v>#NAME?</v>
      </c>
      <c r="B3941" s="2" t="s">
        <v>12</v>
      </c>
      <c r="C3941" s="2" t="s">
        <v>12</v>
      </c>
      <c r="D3941" s="2" t="s">
        <v>12</v>
      </c>
      <c r="E3941" s="2" t="s">
        <v>12</v>
      </c>
      <c r="F3941" s="2" t="s">
        <v>12</v>
      </c>
      <c r="G3941" s="2" t="s">
        <v>12</v>
      </c>
      <c r="H3941" s="2" t="s">
        <v>12</v>
      </c>
      <c r="I3941" s="2" t="s">
        <v>12</v>
      </c>
      <c r="J3941" s="2" t="s">
        <v>12</v>
      </c>
      <c r="K3941" s="2" t="s">
        <v>12</v>
      </c>
    </row>
    <row r="3942" spans="1:11" ht="12.5" x14ac:dyDescent="0.25">
      <c r="A3942" s="3" t="e">
        <f ca="1"/>
        <v>#NAME?</v>
      </c>
      <c r="B3942" s="2" t="s">
        <v>12</v>
      </c>
      <c r="C3942" s="2" t="s">
        <v>12</v>
      </c>
      <c r="D3942" s="2" t="s">
        <v>12</v>
      </c>
      <c r="E3942" s="2" t="s">
        <v>12</v>
      </c>
      <c r="F3942" s="2" t="s">
        <v>12</v>
      </c>
      <c r="G3942" s="2" t="s">
        <v>12</v>
      </c>
      <c r="H3942" s="2" t="s">
        <v>12</v>
      </c>
      <c r="I3942" s="2" t="s">
        <v>12</v>
      </c>
      <c r="J3942" s="2" t="s">
        <v>12</v>
      </c>
      <c r="K3942" s="2" t="s">
        <v>12</v>
      </c>
    </row>
    <row r="3943" spans="1:11" ht="12.5" x14ac:dyDescent="0.25">
      <c r="A3943" s="3" t="e">
        <f ca="1"/>
        <v>#NAME?</v>
      </c>
      <c r="B3943" s="2" t="s">
        <v>12</v>
      </c>
      <c r="C3943" s="2" t="s">
        <v>12</v>
      </c>
      <c r="D3943" s="2" t="s">
        <v>12</v>
      </c>
      <c r="E3943" s="2" t="s">
        <v>12</v>
      </c>
      <c r="F3943" s="2" t="s">
        <v>12</v>
      </c>
      <c r="G3943" s="2" t="s">
        <v>12</v>
      </c>
      <c r="H3943" s="2" t="s">
        <v>12</v>
      </c>
      <c r="I3943" s="2" t="s">
        <v>12</v>
      </c>
      <c r="J3943" s="2" t="s">
        <v>12</v>
      </c>
      <c r="K3943" s="2" t="s">
        <v>12</v>
      </c>
    </row>
    <row r="3944" spans="1:11" ht="12.5" x14ac:dyDescent="0.25">
      <c r="A3944" s="3" t="e">
        <f ca="1"/>
        <v>#NAME?</v>
      </c>
      <c r="B3944" s="2" t="s">
        <v>12</v>
      </c>
      <c r="C3944" s="2" t="s">
        <v>12</v>
      </c>
      <c r="D3944" s="2" t="s">
        <v>12</v>
      </c>
      <c r="E3944" s="2" t="s">
        <v>12</v>
      </c>
      <c r="F3944" s="2" t="s">
        <v>12</v>
      </c>
      <c r="G3944" s="2" t="s">
        <v>12</v>
      </c>
      <c r="H3944" s="2" t="s">
        <v>12</v>
      </c>
      <c r="I3944" s="2" t="s">
        <v>12</v>
      </c>
      <c r="J3944" s="2" t="s">
        <v>12</v>
      </c>
      <c r="K3944" s="2" t="s">
        <v>12</v>
      </c>
    </row>
    <row r="3945" spans="1:11" ht="12.5" x14ac:dyDescent="0.25">
      <c r="A3945" s="3" t="e">
        <f ca="1"/>
        <v>#NAME?</v>
      </c>
      <c r="B3945" s="2" t="s">
        <v>12</v>
      </c>
      <c r="C3945" s="2" t="s">
        <v>12</v>
      </c>
      <c r="D3945" s="2" t="s">
        <v>12</v>
      </c>
      <c r="E3945" s="2" t="s">
        <v>12</v>
      </c>
      <c r="F3945" s="2" t="s">
        <v>12</v>
      </c>
      <c r="G3945" s="2" t="s">
        <v>12</v>
      </c>
      <c r="H3945" s="2" t="s">
        <v>12</v>
      </c>
      <c r="I3945" s="2" t="s">
        <v>12</v>
      </c>
      <c r="J3945" s="2" t="s">
        <v>12</v>
      </c>
      <c r="K3945" s="2" t="s">
        <v>12</v>
      </c>
    </row>
    <row r="3946" spans="1:11" ht="12.5" x14ac:dyDescent="0.25">
      <c r="A3946" s="3" t="e">
        <f ca="1"/>
        <v>#NAME?</v>
      </c>
      <c r="B3946" s="2" t="s">
        <v>12</v>
      </c>
      <c r="C3946" s="2" t="s">
        <v>12</v>
      </c>
      <c r="D3946" s="2" t="s">
        <v>12</v>
      </c>
      <c r="E3946" s="2" t="s">
        <v>12</v>
      </c>
      <c r="F3946" s="2" t="s">
        <v>12</v>
      </c>
      <c r="G3946" s="2" t="s">
        <v>12</v>
      </c>
      <c r="H3946" s="2" t="s">
        <v>12</v>
      </c>
      <c r="I3946" s="2" t="s">
        <v>12</v>
      </c>
      <c r="J3946" s="2" t="s">
        <v>12</v>
      </c>
      <c r="K3946" s="2" t="s">
        <v>12</v>
      </c>
    </row>
    <row r="3947" spans="1:11" ht="12.5" x14ac:dyDescent="0.25">
      <c r="A3947" s="3" t="e">
        <f ca="1"/>
        <v>#NAME?</v>
      </c>
      <c r="B3947" s="2" t="s">
        <v>12</v>
      </c>
      <c r="C3947" s="2" t="s">
        <v>12</v>
      </c>
      <c r="D3947" s="2" t="s">
        <v>12</v>
      </c>
      <c r="E3947" s="2" t="s">
        <v>12</v>
      </c>
      <c r="F3947" s="2" t="s">
        <v>12</v>
      </c>
      <c r="G3947" s="2" t="s">
        <v>12</v>
      </c>
      <c r="H3947" s="2" t="s">
        <v>12</v>
      </c>
      <c r="I3947" s="2" t="s">
        <v>12</v>
      </c>
      <c r="J3947" s="2" t="s">
        <v>12</v>
      </c>
      <c r="K3947" s="2" t="s">
        <v>12</v>
      </c>
    </row>
    <row r="3948" spans="1:11" ht="12.5" x14ac:dyDescent="0.25">
      <c r="A3948" s="3" t="e">
        <f ca="1"/>
        <v>#NAME?</v>
      </c>
      <c r="B3948" s="2" t="s">
        <v>12</v>
      </c>
      <c r="C3948" s="2" t="s">
        <v>12</v>
      </c>
      <c r="D3948" s="2" t="s">
        <v>12</v>
      </c>
      <c r="E3948" s="2" t="s">
        <v>12</v>
      </c>
      <c r="F3948" s="2" t="s">
        <v>12</v>
      </c>
      <c r="G3948" s="2" t="s">
        <v>12</v>
      </c>
      <c r="H3948" s="2" t="s">
        <v>12</v>
      </c>
      <c r="I3948" s="2" t="s">
        <v>12</v>
      </c>
      <c r="J3948" s="2" t="s">
        <v>12</v>
      </c>
      <c r="K3948" s="2" t="s">
        <v>12</v>
      </c>
    </row>
    <row r="3949" spans="1:11" ht="12.5" x14ac:dyDescent="0.25">
      <c r="A3949" s="3" t="e">
        <f ca="1"/>
        <v>#NAME?</v>
      </c>
      <c r="B3949" s="2" t="s">
        <v>12</v>
      </c>
      <c r="C3949" s="2" t="s">
        <v>12</v>
      </c>
      <c r="D3949" s="2" t="s">
        <v>12</v>
      </c>
      <c r="E3949" s="2" t="s">
        <v>12</v>
      </c>
      <c r="F3949" s="2" t="s">
        <v>12</v>
      </c>
      <c r="G3949" s="2" t="s">
        <v>12</v>
      </c>
      <c r="H3949" s="2" t="s">
        <v>12</v>
      </c>
      <c r="I3949" s="2" t="s">
        <v>12</v>
      </c>
      <c r="J3949" s="2" t="s">
        <v>12</v>
      </c>
      <c r="K3949" s="2" t="s">
        <v>12</v>
      </c>
    </row>
    <row r="3950" spans="1:11" ht="12.5" x14ac:dyDescent="0.25">
      <c r="A3950" s="3" t="e">
        <f ca="1"/>
        <v>#NAME?</v>
      </c>
      <c r="B3950" s="2" t="s">
        <v>12</v>
      </c>
      <c r="C3950" s="2" t="s">
        <v>12</v>
      </c>
      <c r="D3950" s="2" t="s">
        <v>12</v>
      </c>
      <c r="E3950" s="2" t="s">
        <v>12</v>
      </c>
      <c r="F3950" s="2" t="s">
        <v>12</v>
      </c>
      <c r="G3950" s="2" t="s">
        <v>12</v>
      </c>
      <c r="H3950" s="2" t="s">
        <v>12</v>
      </c>
      <c r="I3950" s="2" t="s">
        <v>12</v>
      </c>
      <c r="J3950" s="2" t="s">
        <v>12</v>
      </c>
      <c r="K3950" s="2" t="s">
        <v>12</v>
      </c>
    </row>
    <row r="3951" spans="1:11" ht="12.5" x14ac:dyDescent="0.25">
      <c r="A3951" s="3" t="e">
        <f ca="1"/>
        <v>#NAME?</v>
      </c>
      <c r="B3951" s="2" t="s">
        <v>12</v>
      </c>
      <c r="C3951" s="2" t="s">
        <v>12</v>
      </c>
      <c r="D3951" s="2" t="s">
        <v>12</v>
      </c>
      <c r="E3951" s="2" t="s">
        <v>12</v>
      </c>
      <c r="F3951" s="2" t="s">
        <v>12</v>
      </c>
      <c r="G3951" s="2" t="s">
        <v>12</v>
      </c>
      <c r="H3951" s="2" t="s">
        <v>12</v>
      </c>
      <c r="I3951" s="2" t="s">
        <v>12</v>
      </c>
      <c r="J3951" s="2" t="s">
        <v>12</v>
      </c>
      <c r="K3951" s="2" t="s">
        <v>12</v>
      </c>
    </row>
    <row r="3952" spans="1:11" ht="12.5" x14ac:dyDescent="0.25">
      <c r="A3952" s="3" t="e">
        <f ca="1"/>
        <v>#NAME?</v>
      </c>
      <c r="B3952" s="2" t="s">
        <v>12</v>
      </c>
      <c r="C3952" s="2" t="s">
        <v>12</v>
      </c>
      <c r="D3952" s="2" t="s">
        <v>12</v>
      </c>
      <c r="E3952" s="2" t="s">
        <v>12</v>
      </c>
      <c r="F3952" s="2" t="s">
        <v>12</v>
      </c>
      <c r="G3952" s="2" t="s">
        <v>12</v>
      </c>
      <c r="H3952" s="2" t="s">
        <v>12</v>
      </c>
      <c r="I3952" s="2" t="s">
        <v>12</v>
      </c>
      <c r="J3952" s="2" t="s">
        <v>12</v>
      </c>
      <c r="K3952" s="2" t="s">
        <v>12</v>
      </c>
    </row>
    <row r="3953" spans="1:11" ht="12.5" x14ac:dyDescent="0.25">
      <c r="A3953" s="3" t="e">
        <f ca="1"/>
        <v>#NAME?</v>
      </c>
      <c r="B3953" s="2" t="s">
        <v>12</v>
      </c>
      <c r="C3953" s="2" t="s">
        <v>12</v>
      </c>
      <c r="D3953" s="2" t="s">
        <v>12</v>
      </c>
      <c r="E3953" s="2" t="s">
        <v>12</v>
      </c>
      <c r="F3953" s="2" t="s">
        <v>12</v>
      </c>
      <c r="G3953" s="2" t="s">
        <v>12</v>
      </c>
      <c r="H3953" s="2" t="s">
        <v>12</v>
      </c>
      <c r="I3953" s="2" t="s">
        <v>12</v>
      </c>
      <c r="J3953" s="2" t="s">
        <v>12</v>
      </c>
      <c r="K3953" s="2" t="s">
        <v>12</v>
      </c>
    </row>
    <row r="3954" spans="1:11" ht="12.5" x14ac:dyDescent="0.25">
      <c r="A3954" s="3" t="e">
        <f ca="1"/>
        <v>#NAME?</v>
      </c>
      <c r="B3954" s="2" t="s">
        <v>12</v>
      </c>
      <c r="C3954" s="2" t="s">
        <v>12</v>
      </c>
      <c r="D3954" s="2" t="s">
        <v>12</v>
      </c>
      <c r="E3954" s="2" t="s">
        <v>12</v>
      </c>
      <c r="F3954" s="2" t="s">
        <v>12</v>
      </c>
      <c r="G3954" s="2" t="s">
        <v>12</v>
      </c>
      <c r="H3954" s="2" t="s">
        <v>12</v>
      </c>
      <c r="I3954" s="2" t="s">
        <v>12</v>
      </c>
      <c r="J3954" s="2" t="s">
        <v>12</v>
      </c>
      <c r="K3954" s="2" t="s">
        <v>12</v>
      </c>
    </row>
    <row r="3955" spans="1:11" ht="12.5" x14ac:dyDescent="0.25">
      <c r="A3955" s="3" t="e">
        <f ca="1"/>
        <v>#NAME?</v>
      </c>
      <c r="B3955" s="2" t="s">
        <v>12</v>
      </c>
      <c r="C3955" s="2" t="s">
        <v>12</v>
      </c>
      <c r="D3955" s="2" t="s">
        <v>12</v>
      </c>
      <c r="E3955" s="2" t="s">
        <v>12</v>
      </c>
      <c r="F3955" s="2" t="s">
        <v>12</v>
      </c>
      <c r="G3955" s="2" t="s">
        <v>12</v>
      </c>
      <c r="H3955" s="2" t="s">
        <v>12</v>
      </c>
      <c r="I3955" s="2" t="s">
        <v>12</v>
      </c>
      <c r="J3955" s="2" t="s">
        <v>12</v>
      </c>
      <c r="K3955" s="2" t="s">
        <v>12</v>
      </c>
    </row>
    <row r="3956" spans="1:11" ht="12.5" x14ac:dyDescent="0.25">
      <c r="A3956" s="3" t="e">
        <f ca="1"/>
        <v>#NAME?</v>
      </c>
      <c r="B3956" s="2" t="s">
        <v>12</v>
      </c>
      <c r="C3956" s="2" t="s">
        <v>12</v>
      </c>
      <c r="D3956" s="2" t="s">
        <v>12</v>
      </c>
      <c r="E3956" s="2" t="s">
        <v>12</v>
      </c>
      <c r="F3956" s="2" t="s">
        <v>12</v>
      </c>
      <c r="G3956" s="2" t="s">
        <v>12</v>
      </c>
      <c r="H3956" s="2" t="s">
        <v>12</v>
      </c>
      <c r="I3956" s="2" t="s">
        <v>12</v>
      </c>
      <c r="J3956" s="2" t="s">
        <v>12</v>
      </c>
      <c r="K3956" s="2" t="s">
        <v>12</v>
      </c>
    </row>
    <row r="3957" spans="1:11" ht="12.5" x14ac:dyDescent="0.25">
      <c r="A3957" s="3" t="e">
        <f ca="1"/>
        <v>#NAME?</v>
      </c>
      <c r="B3957" s="2" t="s">
        <v>12</v>
      </c>
      <c r="C3957" s="2" t="s">
        <v>12</v>
      </c>
      <c r="D3957" s="2" t="s">
        <v>12</v>
      </c>
      <c r="E3957" s="2" t="s">
        <v>12</v>
      </c>
      <c r="F3957" s="2" t="s">
        <v>12</v>
      </c>
      <c r="G3957" s="2" t="s">
        <v>12</v>
      </c>
      <c r="H3957" s="2" t="s">
        <v>12</v>
      </c>
      <c r="I3957" s="2" t="s">
        <v>12</v>
      </c>
      <c r="J3957" s="2" t="s">
        <v>12</v>
      </c>
      <c r="K3957" s="2" t="s">
        <v>12</v>
      </c>
    </row>
    <row r="3958" spans="1:11" ht="12.5" x14ac:dyDescent="0.25">
      <c r="A3958" s="3" t="e">
        <f ca="1"/>
        <v>#NAME?</v>
      </c>
      <c r="B3958" s="2" t="s">
        <v>12</v>
      </c>
      <c r="C3958" s="2" t="s">
        <v>12</v>
      </c>
      <c r="D3958" s="2" t="s">
        <v>12</v>
      </c>
      <c r="E3958" s="2" t="s">
        <v>12</v>
      </c>
      <c r="F3958" s="2" t="s">
        <v>12</v>
      </c>
      <c r="G3958" s="2" t="s">
        <v>12</v>
      </c>
      <c r="H3958" s="2" t="s">
        <v>12</v>
      </c>
      <c r="I3958" s="2" t="s">
        <v>12</v>
      </c>
      <c r="J3958" s="2" t="s">
        <v>12</v>
      </c>
      <c r="K3958" s="2" t="s">
        <v>12</v>
      </c>
    </row>
    <row r="3959" spans="1:11" ht="12.5" x14ac:dyDescent="0.25">
      <c r="A3959" s="3" t="e">
        <f ca="1"/>
        <v>#NAME?</v>
      </c>
      <c r="B3959" s="2" t="s">
        <v>12</v>
      </c>
      <c r="C3959" s="2" t="s">
        <v>12</v>
      </c>
      <c r="D3959" s="2" t="s">
        <v>12</v>
      </c>
      <c r="E3959" s="2" t="s">
        <v>12</v>
      </c>
      <c r="F3959" s="2" t="s">
        <v>12</v>
      </c>
      <c r="G3959" s="2" t="s">
        <v>12</v>
      </c>
      <c r="H3959" s="2" t="s">
        <v>12</v>
      </c>
      <c r="I3959" s="2" t="s">
        <v>12</v>
      </c>
      <c r="J3959" s="2" t="s">
        <v>12</v>
      </c>
      <c r="K3959" s="2" t="s">
        <v>12</v>
      </c>
    </row>
    <row r="3960" spans="1:11" ht="12.5" x14ac:dyDescent="0.25">
      <c r="A3960" s="3" t="e">
        <f ca="1"/>
        <v>#NAME?</v>
      </c>
      <c r="B3960" s="2" t="s">
        <v>12</v>
      </c>
      <c r="C3960" s="2" t="s">
        <v>12</v>
      </c>
      <c r="D3960" s="2" t="s">
        <v>12</v>
      </c>
      <c r="E3960" s="2" t="s">
        <v>12</v>
      </c>
      <c r="F3960" s="2" t="s">
        <v>12</v>
      </c>
      <c r="G3960" s="2" t="s">
        <v>12</v>
      </c>
      <c r="H3960" s="2" t="s">
        <v>12</v>
      </c>
      <c r="I3960" s="2" t="s">
        <v>12</v>
      </c>
      <c r="J3960" s="2" t="s">
        <v>12</v>
      </c>
      <c r="K3960" s="2" t="s">
        <v>12</v>
      </c>
    </row>
    <row r="3961" spans="1:11" ht="12.5" x14ac:dyDescent="0.25">
      <c r="A3961" s="3" t="e">
        <f ca="1"/>
        <v>#NAME?</v>
      </c>
      <c r="B3961" s="2" t="s">
        <v>12</v>
      </c>
      <c r="C3961" s="2" t="s">
        <v>12</v>
      </c>
      <c r="D3961" s="2" t="s">
        <v>12</v>
      </c>
      <c r="E3961" s="2" t="s">
        <v>12</v>
      </c>
      <c r="F3961" s="2" t="s">
        <v>12</v>
      </c>
      <c r="G3961" s="2" t="s">
        <v>12</v>
      </c>
      <c r="H3961" s="2" t="s">
        <v>12</v>
      </c>
      <c r="I3961" s="2" t="s">
        <v>12</v>
      </c>
      <c r="J3961" s="2" t="s">
        <v>12</v>
      </c>
      <c r="K3961" s="2" t="s">
        <v>12</v>
      </c>
    </row>
    <row r="3962" spans="1:11" ht="12.5" x14ac:dyDescent="0.25">
      <c r="A3962" s="3" t="e">
        <f ca="1"/>
        <v>#NAME?</v>
      </c>
      <c r="B3962" s="2" t="s">
        <v>12</v>
      </c>
      <c r="C3962" s="2" t="s">
        <v>12</v>
      </c>
      <c r="D3962" s="2" t="s">
        <v>12</v>
      </c>
      <c r="E3962" s="2" t="s">
        <v>12</v>
      </c>
      <c r="F3962" s="2" t="s">
        <v>12</v>
      </c>
      <c r="G3962" s="2" t="s">
        <v>12</v>
      </c>
      <c r="H3962" s="2" t="s">
        <v>12</v>
      </c>
      <c r="I3962" s="2" t="s">
        <v>12</v>
      </c>
      <c r="J3962" s="2" t="s">
        <v>12</v>
      </c>
      <c r="K3962" s="2" t="s">
        <v>12</v>
      </c>
    </row>
    <row r="3963" spans="1:11" ht="12.5" x14ac:dyDescent="0.25">
      <c r="A3963" s="3" t="e">
        <f ca="1"/>
        <v>#NAME?</v>
      </c>
      <c r="B3963" s="2" t="s">
        <v>12</v>
      </c>
      <c r="C3963" s="2" t="s">
        <v>12</v>
      </c>
      <c r="D3963" s="2" t="s">
        <v>12</v>
      </c>
      <c r="E3963" s="2" t="s">
        <v>12</v>
      </c>
      <c r="F3963" s="2" t="s">
        <v>12</v>
      </c>
      <c r="G3963" s="2" t="s">
        <v>12</v>
      </c>
      <c r="H3963" s="2" t="s">
        <v>12</v>
      </c>
      <c r="I3963" s="2" t="s">
        <v>12</v>
      </c>
      <c r="J3963" s="2" t="s">
        <v>12</v>
      </c>
      <c r="K3963" s="2" t="s">
        <v>12</v>
      </c>
    </row>
    <row r="3964" spans="1:11" ht="12.5" x14ac:dyDescent="0.25">
      <c r="A3964" s="3" t="e">
        <f ca="1"/>
        <v>#NAME?</v>
      </c>
      <c r="B3964" s="2" t="s">
        <v>12</v>
      </c>
      <c r="C3964" s="2" t="s">
        <v>12</v>
      </c>
      <c r="D3964" s="2" t="s">
        <v>12</v>
      </c>
      <c r="E3964" s="2" t="s">
        <v>12</v>
      </c>
      <c r="F3964" s="2" t="s">
        <v>12</v>
      </c>
      <c r="G3964" s="2" t="s">
        <v>12</v>
      </c>
      <c r="H3964" s="2" t="s">
        <v>12</v>
      </c>
      <c r="I3964" s="2" t="s">
        <v>12</v>
      </c>
      <c r="J3964" s="2" t="s">
        <v>12</v>
      </c>
      <c r="K3964" s="2" t="s">
        <v>12</v>
      </c>
    </row>
    <row r="3965" spans="1:11" ht="12.5" x14ac:dyDescent="0.25">
      <c r="A3965" s="3" t="e">
        <f ca="1"/>
        <v>#NAME?</v>
      </c>
      <c r="B3965" s="2" t="s">
        <v>12</v>
      </c>
      <c r="C3965" s="2" t="s">
        <v>12</v>
      </c>
      <c r="D3965" s="2" t="s">
        <v>12</v>
      </c>
      <c r="E3965" s="2" t="s">
        <v>12</v>
      </c>
      <c r="F3965" s="2" t="s">
        <v>12</v>
      </c>
      <c r="G3965" s="2" t="s">
        <v>12</v>
      </c>
      <c r="H3965" s="2" t="s">
        <v>12</v>
      </c>
      <c r="I3965" s="2" t="s">
        <v>12</v>
      </c>
      <c r="J3965" s="2" t="s">
        <v>12</v>
      </c>
      <c r="K3965" s="2" t="s">
        <v>12</v>
      </c>
    </row>
    <row r="3966" spans="1:11" ht="12.5" x14ac:dyDescent="0.25">
      <c r="A3966" s="3" t="e">
        <f ca="1"/>
        <v>#NAME?</v>
      </c>
      <c r="B3966" s="2" t="s">
        <v>12</v>
      </c>
      <c r="C3966" s="2" t="s">
        <v>12</v>
      </c>
      <c r="D3966" s="2" t="s">
        <v>12</v>
      </c>
      <c r="E3966" s="2" t="s">
        <v>12</v>
      </c>
      <c r="F3966" s="2" t="s">
        <v>12</v>
      </c>
      <c r="G3966" s="2" t="s">
        <v>12</v>
      </c>
      <c r="H3966" s="2" t="s">
        <v>12</v>
      </c>
      <c r="I3966" s="2" t="s">
        <v>12</v>
      </c>
      <c r="J3966" s="2" t="s">
        <v>12</v>
      </c>
      <c r="K3966" s="2" t="s">
        <v>12</v>
      </c>
    </row>
    <row r="3967" spans="1:11" ht="12.5" x14ac:dyDescent="0.25">
      <c r="A3967" s="3" t="e">
        <f ca="1"/>
        <v>#NAME?</v>
      </c>
      <c r="B3967" s="2" t="s">
        <v>12</v>
      </c>
      <c r="C3967" s="2" t="s">
        <v>12</v>
      </c>
      <c r="D3967" s="2" t="s">
        <v>12</v>
      </c>
      <c r="E3967" s="2" t="s">
        <v>12</v>
      </c>
      <c r="F3967" s="2" t="s">
        <v>12</v>
      </c>
      <c r="G3967" s="2" t="s">
        <v>12</v>
      </c>
      <c r="H3967" s="2" t="s">
        <v>12</v>
      </c>
      <c r="I3967" s="2" t="s">
        <v>12</v>
      </c>
      <c r="J3967" s="2" t="s">
        <v>12</v>
      </c>
      <c r="K3967" s="2" t="s">
        <v>12</v>
      </c>
    </row>
    <row r="3968" spans="1:11" ht="12.5" x14ac:dyDescent="0.25">
      <c r="A3968" s="3" t="e">
        <f ca="1"/>
        <v>#NAME?</v>
      </c>
      <c r="B3968" s="2" t="s">
        <v>12</v>
      </c>
      <c r="C3968" s="2" t="s">
        <v>12</v>
      </c>
      <c r="D3968" s="2" t="s">
        <v>12</v>
      </c>
      <c r="E3968" s="2" t="s">
        <v>12</v>
      </c>
      <c r="F3968" s="2" t="s">
        <v>12</v>
      </c>
      <c r="G3968" s="2" t="s">
        <v>12</v>
      </c>
      <c r="H3968" s="2" t="s">
        <v>12</v>
      </c>
      <c r="I3968" s="2" t="s">
        <v>12</v>
      </c>
      <c r="J3968" s="2" t="s">
        <v>12</v>
      </c>
      <c r="K3968" s="2" t="s">
        <v>12</v>
      </c>
    </row>
    <row r="3969" spans="1:11" ht="12.5" x14ac:dyDescent="0.25">
      <c r="A3969" s="3" t="e">
        <f ca="1"/>
        <v>#NAME?</v>
      </c>
      <c r="B3969" s="2" t="s">
        <v>12</v>
      </c>
      <c r="C3969" s="2" t="s">
        <v>12</v>
      </c>
      <c r="D3969" s="2" t="s">
        <v>12</v>
      </c>
      <c r="E3969" s="2" t="s">
        <v>12</v>
      </c>
      <c r="F3969" s="2" t="s">
        <v>12</v>
      </c>
      <c r="G3969" s="2" t="s">
        <v>12</v>
      </c>
      <c r="H3969" s="2" t="s">
        <v>12</v>
      </c>
      <c r="I3969" s="2" t="s">
        <v>12</v>
      </c>
      <c r="J3969" s="2" t="s">
        <v>12</v>
      </c>
      <c r="K3969" s="2" t="s">
        <v>12</v>
      </c>
    </row>
    <row r="3970" spans="1:11" ht="12.5" x14ac:dyDescent="0.25">
      <c r="A3970" s="3" t="e">
        <f ca="1"/>
        <v>#NAME?</v>
      </c>
      <c r="B3970" s="2" t="s">
        <v>12</v>
      </c>
      <c r="C3970" s="2" t="s">
        <v>12</v>
      </c>
      <c r="D3970" s="2" t="s">
        <v>12</v>
      </c>
      <c r="E3970" s="2" t="s">
        <v>12</v>
      </c>
      <c r="F3970" s="2" t="s">
        <v>12</v>
      </c>
      <c r="G3970" s="2" t="s">
        <v>12</v>
      </c>
      <c r="H3970" s="2" t="s">
        <v>12</v>
      </c>
      <c r="I3970" s="2" t="s">
        <v>12</v>
      </c>
      <c r="J3970" s="2" t="s">
        <v>12</v>
      </c>
      <c r="K3970" s="2" t="s">
        <v>12</v>
      </c>
    </row>
    <row r="3971" spans="1:11" ht="12.5" x14ac:dyDescent="0.25">
      <c r="A3971" s="3" t="e">
        <f ca="1"/>
        <v>#NAME?</v>
      </c>
      <c r="B3971" s="2" t="s">
        <v>12</v>
      </c>
      <c r="C3971" s="2" t="s">
        <v>12</v>
      </c>
      <c r="D3971" s="2" t="s">
        <v>12</v>
      </c>
      <c r="E3971" s="2" t="s">
        <v>12</v>
      </c>
      <c r="F3971" s="2" t="s">
        <v>12</v>
      </c>
      <c r="G3971" s="2" t="s">
        <v>12</v>
      </c>
      <c r="H3971" s="2" t="s">
        <v>12</v>
      </c>
      <c r="I3971" s="2" t="s">
        <v>12</v>
      </c>
      <c r="J3971" s="2" t="s">
        <v>12</v>
      </c>
      <c r="K3971" s="2" t="s">
        <v>12</v>
      </c>
    </row>
    <row r="3972" spans="1:11" ht="12.5" x14ac:dyDescent="0.25">
      <c r="A3972" s="3" t="e">
        <f ca="1"/>
        <v>#NAME?</v>
      </c>
      <c r="B3972" s="2" t="s">
        <v>12</v>
      </c>
      <c r="C3972" s="2" t="s">
        <v>12</v>
      </c>
      <c r="D3972" s="2" t="s">
        <v>12</v>
      </c>
      <c r="E3972" s="2" t="s">
        <v>12</v>
      </c>
      <c r="F3972" s="2" t="s">
        <v>12</v>
      </c>
      <c r="G3972" s="2" t="s">
        <v>12</v>
      </c>
      <c r="H3972" s="2" t="s">
        <v>12</v>
      </c>
      <c r="I3972" s="2" t="s">
        <v>12</v>
      </c>
      <c r="J3972" s="2" t="s">
        <v>12</v>
      </c>
      <c r="K3972" s="2" t="s">
        <v>12</v>
      </c>
    </row>
    <row r="3973" spans="1:11" ht="12.5" x14ac:dyDescent="0.25">
      <c r="A3973" s="3" t="e">
        <f ca="1"/>
        <v>#NAME?</v>
      </c>
      <c r="B3973" s="2" t="s">
        <v>12</v>
      </c>
      <c r="C3973" s="2" t="s">
        <v>12</v>
      </c>
      <c r="D3973" s="2" t="s">
        <v>12</v>
      </c>
      <c r="E3973" s="2" t="s">
        <v>12</v>
      </c>
      <c r="F3973" s="2" t="s">
        <v>12</v>
      </c>
      <c r="G3973" s="2" t="s">
        <v>12</v>
      </c>
      <c r="H3973" s="2" t="s">
        <v>12</v>
      </c>
      <c r="I3973" s="2" t="s">
        <v>12</v>
      </c>
      <c r="J3973" s="2" t="s">
        <v>12</v>
      </c>
      <c r="K3973" s="2" t="s">
        <v>12</v>
      </c>
    </row>
    <row r="3974" spans="1:11" ht="12.5" x14ac:dyDescent="0.25">
      <c r="A3974" s="3" t="e">
        <f ca="1"/>
        <v>#NAME?</v>
      </c>
      <c r="B3974" s="2" t="s">
        <v>12</v>
      </c>
      <c r="C3974" s="2" t="s">
        <v>12</v>
      </c>
      <c r="D3974" s="2" t="s">
        <v>12</v>
      </c>
      <c r="E3974" s="2" t="s">
        <v>12</v>
      </c>
      <c r="F3974" s="2" t="s">
        <v>12</v>
      </c>
      <c r="G3974" s="2" t="s">
        <v>12</v>
      </c>
      <c r="H3974" s="2" t="s">
        <v>12</v>
      </c>
      <c r="I3974" s="2" t="s">
        <v>12</v>
      </c>
      <c r="J3974" s="2" t="s">
        <v>12</v>
      </c>
      <c r="K3974" s="2" t="s">
        <v>12</v>
      </c>
    </row>
    <row r="3975" spans="1:11" ht="12.5" x14ac:dyDescent="0.25">
      <c r="A3975" s="3" t="e">
        <f ca="1"/>
        <v>#NAME?</v>
      </c>
      <c r="B3975" s="2" t="s">
        <v>12</v>
      </c>
      <c r="C3975" s="2" t="s">
        <v>12</v>
      </c>
      <c r="D3975" s="2" t="s">
        <v>12</v>
      </c>
      <c r="E3975" s="2" t="s">
        <v>12</v>
      </c>
      <c r="F3975" s="2" t="s">
        <v>12</v>
      </c>
      <c r="G3975" s="2" t="s">
        <v>12</v>
      </c>
      <c r="H3975" s="2" t="s">
        <v>12</v>
      </c>
      <c r="I3975" s="2" t="s">
        <v>12</v>
      </c>
      <c r="J3975" s="2" t="s">
        <v>12</v>
      </c>
      <c r="K3975" s="2" t="s">
        <v>12</v>
      </c>
    </row>
    <row r="3976" spans="1:11" ht="12.5" x14ac:dyDescent="0.25">
      <c r="A3976" s="3" t="e">
        <f ca="1"/>
        <v>#NAME?</v>
      </c>
      <c r="B3976" s="2" t="s">
        <v>12</v>
      </c>
      <c r="C3976" s="2" t="s">
        <v>12</v>
      </c>
      <c r="D3976" s="2" t="s">
        <v>12</v>
      </c>
      <c r="E3976" s="2" t="s">
        <v>12</v>
      </c>
      <c r="F3976" s="2" t="s">
        <v>12</v>
      </c>
      <c r="G3976" s="2" t="s">
        <v>12</v>
      </c>
      <c r="H3976" s="2" t="s">
        <v>12</v>
      </c>
      <c r="I3976" s="2" t="s">
        <v>12</v>
      </c>
      <c r="J3976" s="2" t="s">
        <v>12</v>
      </c>
      <c r="K3976" s="2" t="s">
        <v>12</v>
      </c>
    </row>
    <row r="3977" spans="1:11" ht="12.5" x14ac:dyDescent="0.25">
      <c r="A3977" s="3" t="e">
        <f ca="1"/>
        <v>#NAME?</v>
      </c>
      <c r="B3977" s="2" t="s">
        <v>12</v>
      </c>
      <c r="C3977" s="2" t="s">
        <v>12</v>
      </c>
      <c r="D3977" s="2" t="s">
        <v>12</v>
      </c>
      <c r="E3977" s="2" t="s">
        <v>12</v>
      </c>
      <c r="F3977" s="2" t="s">
        <v>12</v>
      </c>
      <c r="G3977" s="2" t="s">
        <v>12</v>
      </c>
      <c r="H3977" s="2" t="s">
        <v>12</v>
      </c>
      <c r="I3977" s="2" t="s">
        <v>12</v>
      </c>
      <c r="J3977" s="2" t="s">
        <v>12</v>
      </c>
      <c r="K3977" s="2" t="s">
        <v>12</v>
      </c>
    </row>
    <row r="3978" spans="1:11" ht="12.5" x14ac:dyDescent="0.25">
      <c r="A3978" s="3" t="e">
        <f ca="1"/>
        <v>#NAME?</v>
      </c>
      <c r="B3978" s="2" t="s">
        <v>12</v>
      </c>
      <c r="C3978" s="2" t="s">
        <v>12</v>
      </c>
      <c r="D3978" s="2" t="s">
        <v>12</v>
      </c>
      <c r="E3978" s="2" t="s">
        <v>12</v>
      </c>
      <c r="F3978" s="2" t="s">
        <v>12</v>
      </c>
      <c r="G3978" s="2" t="s">
        <v>12</v>
      </c>
      <c r="H3978" s="2" t="s">
        <v>12</v>
      </c>
      <c r="I3978" s="2" t="s">
        <v>12</v>
      </c>
      <c r="J3978" s="2" t="s">
        <v>12</v>
      </c>
      <c r="K3978" s="2" t="s">
        <v>12</v>
      </c>
    </row>
    <row r="3979" spans="1:11" ht="12.5" x14ac:dyDescent="0.25">
      <c r="A3979" s="3" t="e">
        <f ca="1"/>
        <v>#NAME?</v>
      </c>
      <c r="B3979" s="2" t="s">
        <v>12</v>
      </c>
      <c r="C3979" s="2" t="s">
        <v>12</v>
      </c>
      <c r="D3979" s="2" t="s">
        <v>12</v>
      </c>
      <c r="E3979" s="2" t="s">
        <v>12</v>
      </c>
      <c r="F3979" s="2" t="s">
        <v>12</v>
      </c>
      <c r="G3979" s="2" t="s">
        <v>12</v>
      </c>
      <c r="H3979" s="2" t="s">
        <v>12</v>
      </c>
      <c r="I3979" s="2" t="s">
        <v>12</v>
      </c>
      <c r="J3979" s="2" t="s">
        <v>12</v>
      </c>
      <c r="K3979" s="2" t="s">
        <v>12</v>
      </c>
    </row>
    <row r="3980" spans="1:11" ht="12.5" x14ac:dyDescent="0.25">
      <c r="A3980" s="3" t="e">
        <f ca="1"/>
        <v>#NAME?</v>
      </c>
      <c r="B3980" s="2" t="s">
        <v>12</v>
      </c>
      <c r="C3980" s="2" t="s">
        <v>12</v>
      </c>
      <c r="D3980" s="2" t="s">
        <v>12</v>
      </c>
      <c r="E3980" s="2" t="s">
        <v>12</v>
      </c>
      <c r="F3980" s="2" t="s">
        <v>12</v>
      </c>
      <c r="G3980" s="2" t="s">
        <v>12</v>
      </c>
      <c r="H3980" s="2" t="s">
        <v>12</v>
      </c>
      <c r="I3980" s="2" t="s">
        <v>12</v>
      </c>
      <c r="J3980" s="2" t="s">
        <v>12</v>
      </c>
      <c r="K3980" s="2" t="s">
        <v>12</v>
      </c>
    </row>
    <row r="3981" spans="1:11" ht="12.5" x14ac:dyDescent="0.25">
      <c r="A3981" s="3" t="e">
        <f ca="1"/>
        <v>#NAME?</v>
      </c>
      <c r="B3981" s="2" t="s">
        <v>12</v>
      </c>
      <c r="C3981" s="2" t="s">
        <v>12</v>
      </c>
      <c r="D3981" s="2" t="s">
        <v>12</v>
      </c>
      <c r="E3981" s="2" t="s">
        <v>12</v>
      </c>
      <c r="F3981" s="2" t="s">
        <v>12</v>
      </c>
      <c r="G3981" s="2" t="s">
        <v>12</v>
      </c>
      <c r="H3981" s="2" t="s">
        <v>12</v>
      </c>
      <c r="I3981" s="2" t="s">
        <v>12</v>
      </c>
      <c r="J3981" s="2" t="s">
        <v>12</v>
      </c>
      <c r="K3981" s="2" t="s">
        <v>12</v>
      </c>
    </row>
    <row r="3982" spans="1:11" ht="12.5" x14ac:dyDescent="0.25">
      <c r="A3982" s="3" t="e">
        <f ca="1"/>
        <v>#NAME?</v>
      </c>
      <c r="B3982" s="2" t="s">
        <v>12</v>
      </c>
      <c r="C3982" s="2" t="s">
        <v>12</v>
      </c>
      <c r="D3982" s="2" t="s">
        <v>12</v>
      </c>
      <c r="E3982" s="2" t="s">
        <v>12</v>
      </c>
      <c r="F3982" s="2" t="s">
        <v>12</v>
      </c>
      <c r="G3982" s="2" t="s">
        <v>12</v>
      </c>
      <c r="H3982" s="2" t="s">
        <v>12</v>
      </c>
      <c r="I3982" s="2" t="s">
        <v>12</v>
      </c>
      <c r="J3982" s="2" t="s">
        <v>12</v>
      </c>
      <c r="K3982" s="2" t="s">
        <v>12</v>
      </c>
    </row>
    <row r="3983" spans="1:11" ht="12.5" x14ac:dyDescent="0.25">
      <c r="A3983" s="3" t="e">
        <f ca="1"/>
        <v>#NAME?</v>
      </c>
      <c r="B3983" s="2" t="s">
        <v>12</v>
      </c>
      <c r="C3983" s="2" t="s">
        <v>12</v>
      </c>
      <c r="D3983" s="2" t="s">
        <v>12</v>
      </c>
      <c r="E3983" s="2" t="s">
        <v>12</v>
      </c>
      <c r="F3983" s="2" t="s">
        <v>12</v>
      </c>
      <c r="G3983" s="2" t="s">
        <v>12</v>
      </c>
      <c r="H3983" s="2" t="s">
        <v>12</v>
      </c>
      <c r="I3983" s="2" t="s">
        <v>12</v>
      </c>
      <c r="J3983" s="2" t="s">
        <v>12</v>
      </c>
      <c r="K3983" s="2" t="s">
        <v>12</v>
      </c>
    </row>
    <row r="3984" spans="1:11" ht="12.5" x14ac:dyDescent="0.25">
      <c r="A3984" s="3" t="e">
        <f ca="1"/>
        <v>#NAME?</v>
      </c>
      <c r="B3984" s="2" t="s">
        <v>12</v>
      </c>
      <c r="C3984" s="2" t="s">
        <v>12</v>
      </c>
      <c r="D3984" s="2" t="s">
        <v>12</v>
      </c>
      <c r="E3984" s="2" t="s">
        <v>12</v>
      </c>
      <c r="F3984" s="2" t="s">
        <v>12</v>
      </c>
      <c r="G3984" s="2" t="s">
        <v>12</v>
      </c>
      <c r="H3984" s="2" t="s">
        <v>12</v>
      </c>
      <c r="I3984" s="2" t="s">
        <v>12</v>
      </c>
      <c r="J3984" s="2" t="s">
        <v>12</v>
      </c>
      <c r="K3984" s="2" t="s">
        <v>12</v>
      </c>
    </row>
    <row r="3985" spans="1:11" ht="12.5" x14ac:dyDescent="0.25">
      <c r="A3985" s="3" t="e">
        <f ca="1"/>
        <v>#NAME?</v>
      </c>
      <c r="B3985" s="2" t="s">
        <v>12</v>
      </c>
      <c r="C3985" s="2" t="s">
        <v>12</v>
      </c>
      <c r="D3985" s="2" t="s">
        <v>12</v>
      </c>
      <c r="E3985" s="2" t="s">
        <v>12</v>
      </c>
      <c r="F3985" s="2" t="s">
        <v>12</v>
      </c>
      <c r="G3985" s="2" t="s">
        <v>12</v>
      </c>
      <c r="H3985" s="2" t="s">
        <v>12</v>
      </c>
      <c r="I3985" s="2" t="s">
        <v>12</v>
      </c>
      <c r="J3985" s="2" t="s">
        <v>12</v>
      </c>
      <c r="K3985" s="2" t="s">
        <v>12</v>
      </c>
    </row>
    <row r="3986" spans="1:11" ht="12.5" x14ac:dyDescent="0.25">
      <c r="A3986" s="3" t="e">
        <f ca="1"/>
        <v>#NAME?</v>
      </c>
      <c r="B3986" s="2" t="s">
        <v>12</v>
      </c>
      <c r="C3986" s="2" t="s">
        <v>12</v>
      </c>
      <c r="D3986" s="2" t="s">
        <v>12</v>
      </c>
      <c r="E3986" s="2" t="s">
        <v>12</v>
      </c>
      <c r="F3986" s="2" t="s">
        <v>12</v>
      </c>
      <c r="G3986" s="2" t="s">
        <v>12</v>
      </c>
      <c r="H3986" s="2" t="s">
        <v>12</v>
      </c>
      <c r="I3986" s="2" t="s">
        <v>12</v>
      </c>
      <c r="J3986" s="2" t="s">
        <v>12</v>
      </c>
      <c r="K3986" s="2" t="s">
        <v>12</v>
      </c>
    </row>
    <row r="3987" spans="1:11" ht="12.5" x14ac:dyDescent="0.25">
      <c r="A3987" s="3" t="e">
        <f ca="1"/>
        <v>#NAME?</v>
      </c>
      <c r="B3987" s="2" t="s">
        <v>12</v>
      </c>
      <c r="C3987" s="2" t="s">
        <v>12</v>
      </c>
      <c r="D3987" s="2" t="s">
        <v>12</v>
      </c>
      <c r="E3987" s="2" t="s">
        <v>12</v>
      </c>
      <c r="F3987" s="2" t="s">
        <v>12</v>
      </c>
      <c r="G3987" s="2" t="s">
        <v>12</v>
      </c>
      <c r="H3987" s="2" t="s">
        <v>12</v>
      </c>
      <c r="I3987" s="2" t="s">
        <v>12</v>
      </c>
      <c r="J3987" s="2" t="s">
        <v>12</v>
      </c>
      <c r="K3987" s="2" t="s">
        <v>12</v>
      </c>
    </row>
    <row r="3988" spans="1:11" ht="12.5" x14ac:dyDescent="0.25">
      <c r="A3988" s="3" t="e">
        <f ca="1"/>
        <v>#NAME?</v>
      </c>
      <c r="B3988" s="2" t="s">
        <v>12</v>
      </c>
      <c r="C3988" s="2" t="s">
        <v>12</v>
      </c>
      <c r="D3988" s="2" t="s">
        <v>12</v>
      </c>
      <c r="E3988" s="2" t="s">
        <v>12</v>
      </c>
      <c r="F3988" s="2" t="s">
        <v>12</v>
      </c>
      <c r="G3988" s="2" t="s">
        <v>12</v>
      </c>
      <c r="H3988" s="2" t="s">
        <v>12</v>
      </c>
      <c r="I3988" s="2" t="s">
        <v>12</v>
      </c>
      <c r="J3988" s="2" t="s">
        <v>12</v>
      </c>
      <c r="K3988" s="2" t="s">
        <v>12</v>
      </c>
    </row>
    <row r="3989" spans="1:11" ht="12.5" x14ac:dyDescent="0.25">
      <c r="A3989" s="3" t="e">
        <f ca="1"/>
        <v>#NAME?</v>
      </c>
      <c r="B3989" s="2" t="s">
        <v>12</v>
      </c>
      <c r="C3989" s="2" t="s">
        <v>12</v>
      </c>
      <c r="D3989" s="2" t="s">
        <v>12</v>
      </c>
      <c r="E3989" s="2" t="s">
        <v>12</v>
      </c>
      <c r="F3989" s="2" t="s">
        <v>12</v>
      </c>
      <c r="G3989" s="2" t="s">
        <v>12</v>
      </c>
      <c r="H3989" s="2" t="s">
        <v>12</v>
      </c>
      <c r="I3989" s="2" t="s">
        <v>12</v>
      </c>
      <c r="J3989" s="2" t="s">
        <v>12</v>
      </c>
      <c r="K3989" s="2" t="s">
        <v>12</v>
      </c>
    </row>
    <row r="3990" spans="1:11" ht="12.5" x14ac:dyDescent="0.25">
      <c r="A3990" s="3" t="e">
        <f ca="1"/>
        <v>#NAME?</v>
      </c>
      <c r="B3990" s="2" t="s">
        <v>12</v>
      </c>
      <c r="C3990" s="2" t="s">
        <v>12</v>
      </c>
      <c r="D3990" s="2" t="s">
        <v>12</v>
      </c>
      <c r="E3990" s="2" t="s">
        <v>12</v>
      </c>
      <c r="F3990" s="2" t="s">
        <v>12</v>
      </c>
      <c r="G3990" s="2" t="s">
        <v>12</v>
      </c>
      <c r="H3990" s="2" t="s">
        <v>12</v>
      </c>
      <c r="I3990" s="2" t="s">
        <v>12</v>
      </c>
      <c r="J3990" s="2" t="s">
        <v>12</v>
      </c>
      <c r="K3990" s="2" t="s">
        <v>12</v>
      </c>
    </row>
    <row r="3991" spans="1:11" ht="12.5" x14ac:dyDescent="0.25">
      <c r="A3991" s="3" t="e">
        <f ca="1"/>
        <v>#NAME?</v>
      </c>
      <c r="B3991" s="2" t="s">
        <v>12</v>
      </c>
      <c r="C3991" s="2" t="s">
        <v>12</v>
      </c>
      <c r="D3991" s="2" t="s">
        <v>12</v>
      </c>
      <c r="E3991" s="2" t="s">
        <v>12</v>
      </c>
      <c r="F3991" s="2" t="s">
        <v>12</v>
      </c>
      <c r="G3991" s="2" t="s">
        <v>12</v>
      </c>
      <c r="H3991" s="2" t="s">
        <v>12</v>
      </c>
      <c r="I3991" s="2" t="s">
        <v>12</v>
      </c>
      <c r="J3991" s="2" t="s">
        <v>12</v>
      </c>
      <c r="K3991" s="2" t="s">
        <v>12</v>
      </c>
    </row>
    <row r="3992" spans="1:11" ht="12.5" x14ac:dyDescent="0.25">
      <c r="A3992" s="3" t="e">
        <f ca="1"/>
        <v>#NAME?</v>
      </c>
      <c r="B3992" s="2" t="s">
        <v>12</v>
      </c>
      <c r="C3992" s="2" t="s">
        <v>12</v>
      </c>
      <c r="D3992" s="2" t="s">
        <v>12</v>
      </c>
      <c r="E3992" s="2" t="s">
        <v>12</v>
      </c>
      <c r="F3992" s="2" t="s">
        <v>12</v>
      </c>
      <c r="G3992" s="2" t="s">
        <v>12</v>
      </c>
      <c r="H3992" s="2" t="s">
        <v>12</v>
      </c>
      <c r="I3992" s="2" t="s">
        <v>12</v>
      </c>
      <c r="J3992" s="2" t="s">
        <v>12</v>
      </c>
      <c r="K3992" s="2" t="s">
        <v>12</v>
      </c>
    </row>
    <row r="3993" spans="1:11" ht="12.5" x14ac:dyDescent="0.25">
      <c r="A3993" s="3" t="e">
        <f ca="1"/>
        <v>#NAME?</v>
      </c>
      <c r="B3993" s="2" t="s">
        <v>12</v>
      </c>
      <c r="C3993" s="2" t="s">
        <v>12</v>
      </c>
      <c r="D3993" s="2" t="s">
        <v>12</v>
      </c>
      <c r="E3993" s="2" t="s">
        <v>12</v>
      </c>
      <c r="F3993" s="2" t="s">
        <v>12</v>
      </c>
      <c r="G3993" s="2" t="s">
        <v>12</v>
      </c>
      <c r="H3993" s="2" t="s">
        <v>12</v>
      </c>
      <c r="I3993" s="2" t="s">
        <v>12</v>
      </c>
      <c r="J3993" s="2" t="s">
        <v>12</v>
      </c>
      <c r="K3993" s="2" t="s">
        <v>12</v>
      </c>
    </row>
    <row r="3994" spans="1:11" ht="12.5" x14ac:dyDescent="0.25">
      <c r="A3994" s="3" t="e">
        <f ca="1"/>
        <v>#NAME?</v>
      </c>
      <c r="B3994" s="2" t="s">
        <v>12</v>
      </c>
      <c r="C3994" s="2" t="s">
        <v>12</v>
      </c>
      <c r="D3994" s="2" t="s">
        <v>12</v>
      </c>
      <c r="E3994" s="2" t="s">
        <v>12</v>
      </c>
      <c r="F3994" s="2" t="s">
        <v>12</v>
      </c>
      <c r="G3994" s="2" t="s">
        <v>12</v>
      </c>
      <c r="H3994" s="2" t="s">
        <v>12</v>
      </c>
      <c r="I3994" s="2" t="s">
        <v>12</v>
      </c>
      <c r="J3994" s="2" t="s">
        <v>12</v>
      </c>
      <c r="K3994" s="2" t="s">
        <v>12</v>
      </c>
    </row>
    <row r="3995" spans="1:11" ht="12.5" x14ac:dyDescent="0.25">
      <c r="A3995" s="3" t="e">
        <f ca="1"/>
        <v>#NAME?</v>
      </c>
      <c r="B3995" s="2" t="s">
        <v>12</v>
      </c>
      <c r="C3995" s="2" t="s">
        <v>12</v>
      </c>
      <c r="D3995" s="2" t="s">
        <v>12</v>
      </c>
      <c r="E3995" s="2" t="s">
        <v>12</v>
      </c>
      <c r="F3995" s="2" t="s">
        <v>12</v>
      </c>
      <c r="G3995" s="2" t="s">
        <v>12</v>
      </c>
      <c r="H3995" s="2" t="s">
        <v>12</v>
      </c>
      <c r="I3995" s="2" t="s">
        <v>12</v>
      </c>
      <c r="J3995" s="2" t="s">
        <v>12</v>
      </c>
      <c r="K3995" s="2" t="s">
        <v>12</v>
      </c>
    </row>
    <row r="3996" spans="1:11" ht="12.5" x14ac:dyDescent="0.25">
      <c r="A3996" s="3" t="e">
        <f ca="1"/>
        <v>#NAME?</v>
      </c>
      <c r="B3996" s="2" t="s">
        <v>12</v>
      </c>
      <c r="C3996" s="2" t="s">
        <v>12</v>
      </c>
      <c r="D3996" s="2" t="s">
        <v>12</v>
      </c>
      <c r="E3996" s="2" t="s">
        <v>12</v>
      </c>
      <c r="F3996" s="2" t="s">
        <v>12</v>
      </c>
      <c r="G3996" s="2" t="s">
        <v>12</v>
      </c>
      <c r="H3996" s="2" t="s">
        <v>12</v>
      </c>
      <c r="I3996" s="2" t="s">
        <v>12</v>
      </c>
      <c r="J3996" s="2" t="s">
        <v>12</v>
      </c>
      <c r="K3996" s="2" t="s">
        <v>12</v>
      </c>
    </row>
    <row r="3997" spans="1:11" ht="12.5" x14ac:dyDescent="0.25">
      <c r="A3997" s="3" t="e">
        <f ca="1"/>
        <v>#NAME?</v>
      </c>
      <c r="B3997" s="2" t="s">
        <v>12</v>
      </c>
      <c r="C3997" s="2" t="s">
        <v>12</v>
      </c>
      <c r="D3997" s="2" t="s">
        <v>12</v>
      </c>
      <c r="E3997" s="2" t="s">
        <v>12</v>
      </c>
      <c r="F3997" s="2" t="s">
        <v>12</v>
      </c>
      <c r="G3997" s="2" t="s">
        <v>12</v>
      </c>
      <c r="H3997" s="2" t="s">
        <v>12</v>
      </c>
      <c r="I3997" s="2" t="s">
        <v>12</v>
      </c>
      <c r="J3997" s="2" t="s">
        <v>12</v>
      </c>
      <c r="K3997" s="2" t="s">
        <v>12</v>
      </c>
    </row>
    <row r="3998" spans="1:11" ht="12.5" x14ac:dyDescent="0.25">
      <c r="A3998" s="3" t="e">
        <f ca="1"/>
        <v>#NAME?</v>
      </c>
      <c r="B3998" s="2" t="s">
        <v>12</v>
      </c>
      <c r="C3998" s="2" t="s">
        <v>12</v>
      </c>
      <c r="D3998" s="2" t="s">
        <v>12</v>
      </c>
      <c r="E3998" s="2" t="s">
        <v>12</v>
      </c>
      <c r="F3998" s="2" t="s">
        <v>12</v>
      </c>
      <c r="G3998" s="2" t="s">
        <v>12</v>
      </c>
      <c r="H3998" s="2" t="s">
        <v>12</v>
      </c>
      <c r="I3998" s="2" t="s">
        <v>12</v>
      </c>
      <c r="J3998" s="2" t="s">
        <v>12</v>
      </c>
      <c r="K3998" s="2" t="s">
        <v>12</v>
      </c>
    </row>
    <row r="3999" spans="1:11" ht="12.5" x14ac:dyDescent="0.25">
      <c r="A3999" s="3" t="e">
        <f ca="1"/>
        <v>#NAME?</v>
      </c>
      <c r="B3999" s="2" t="s">
        <v>12</v>
      </c>
      <c r="C3999" s="2" t="s">
        <v>12</v>
      </c>
      <c r="D3999" s="2" t="s">
        <v>12</v>
      </c>
      <c r="E3999" s="2" t="s">
        <v>12</v>
      </c>
      <c r="F3999" s="2" t="s">
        <v>12</v>
      </c>
      <c r="G3999" s="2" t="s">
        <v>12</v>
      </c>
      <c r="H3999" s="2" t="s">
        <v>12</v>
      </c>
      <c r="I3999" s="2" t="s">
        <v>12</v>
      </c>
      <c r="J3999" s="2" t="s">
        <v>12</v>
      </c>
      <c r="K3999" s="2" t="s">
        <v>12</v>
      </c>
    </row>
    <row r="4000" spans="1:11" ht="12.5" x14ac:dyDescent="0.25">
      <c r="A4000" s="3" t="e">
        <f ca="1"/>
        <v>#NAME?</v>
      </c>
      <c r="B4000" s="2" t="s">
        <v>12</v>
      </c>
      <c r="C4000" s="2" t="s">
        <v>12</v>
      </c>
      <c r="D4000" s="2" t="s">
        <v>12</v>
      </c>
      <c r="E4000" s="2" t="s">
        <v>12</v>
      </c>
      <c r="F4000" s="2" t="s">
        <v>12</v>
      </c>
      <c r="G4000" s="2" t="s">
        <v>12</v>
      </c>
      <c r="H4000" s="2" t="s">
        <v>12</v>
      </c>
      <c r="I4000" s="2" t="s">
        <v>12</v>
      </c>
      <c r="J4000" s="2" t="s">
        <v>12</v>
      </c>
      <c r="K4000" s="2" t="s">
        <v>12</v>
      </c>
    </row>
    <row r="4001" spans="1:11" ht="12.5" x14ac:dyDescent="0.25">
      <c r="A4001" s="3" t="e">
        <f ca="1"/>
        <v>#NAME?</v>
      </c>
      <c r="B4001" s="2" t="s">
        <v>12</v>
      </c>
      <c r="C4001" s="2" t="s">
        <v>12</v>
      </c>
      <c r="D4001" s="2" t="s">
        <v>12</v>
      </c>
      <c r="E4001" s="2" t="s">
        <v>12</v>
      </c>
      <c r="F4001" s="2" t="s">
        <v>12</v>
      </c>
      <c r="G4001" s="2" t="s">
        <v>12</v>
      </c>
      <c r="H4001" s="2" t="s">
        <v>12</v>
      </c>
      <c r="I4001" s="2" t="s">
        <v>12</v>
      </c>
      <c r="J4001" s="2" t="s">
        <v>12</v>
      </c>
      <c r="K4001" s="2" t="s">
        <v>12</v>
      </c>
    </row>
    <row r="4002" spans="1:11" ht="12.5" x14ac:dyDescent="0.25">
      <c r="A4002" s="3" t="e">
        <f ca="1"/>
        <v>#NAME?</v>
      </c>
      <c r="B4002" s="2" t="s">
        <v>12</v>
      </c>
      <c r="C4002" s="2" t="s">
        <v>12</v>
      </c>
      <c r="D4002" s="2" t="s">
        <v>12</v>
      </c>
      <c r="E4002" s="2" t="s">
        <v>12</v>
      </c>
      <c r="F4002" s="2" t="s">
        <v>12</v>
      </c>
      <c r="G4002" s="2" t="s">
        <v>12</v>
      </c>
      <c r="H4002" s="2" t="s">
        <v>12</v>
      </c>
      <c r="I4002" s="2" t="s">
        <v>12</v>
      </c>
      <c r="J4002" s="2" t="s">
        <v>12</v>
      </c>
      <c r="K4002" s="2" t="s">
        <v>12</v>
      </c>
    </row>
    <row r="4003" spans="1:11" ht="12.5" x14ac:dyDescent="0.25">
      <c r="A4003" s="3" t="e">
        <f ca="1"/>
        <v>#NAME?</v>
      </c>
      <c r="B4003" s="2" t="s">
        <v>12</v>
      </c>
      <c r="C4003" s="2" t="s">
        <v>12</v>
      </c>
      <c r="D4003" s="2" t="s">
        <v>12</v>
      </c>
      <c r="E4003" s="2" t="s">
        <v>12</v>
      </c>
      <c r="F4003" s="2" t="s">
        <v>12</v>
      </c>
      <c r="G4003" s="2" t="s">
        <v>12</v>
      </c>
      <c r="H4003" s="2" t="s">
        <v>12</v>
      </c>
      <c r="I4003" s="2" t="s">
        <v>12</v>
      </c>
      <c r="J4003" s="2" t="s">
        <v>12</v>
      </c>
      <c r="K4003" s="2" t="s">
        <v>12</v>
      </c>
    </row>
    <row r="4004" spans="1:11" ht="12.5" x14ac:dyDescent="0.25">
      <c r="A4004" s="3" t="e">
        <f ca="1"/>
        <v>#NAME?</v>
      </c>
      <c r="B4004" s="2" t="s">
        <v>12</v>
      </c>
      <c r="C4004" s="2" t="s">
        <v>12</v>
      </c>
      <c r="D4004" s="2" t="s">
        <v>12</v>
      </c>
      <c r="E4004" s="2" t="s">
        <v>12</v>
      </c>
      <c r="F4004" s="2" t="s">
        <v>12</v>
      </c>
      <c r="G4004" s="2" t="s">
        <v>12</v>
      </c>
      <c r="H4004" s="2" t="s">
        <v>12</v>
      </c>
      <c r="I4004" s="2" t="s">
        <v>12</v>
      </c>
      <c r="J4004" s="2" t="s">
        <v>12</v>
      </c>
      <c r="K4004" s="2" t="s">
        <v>12</v>
      </c>
    </row>
    <row r="4005" spans="1:11" ht="12.5" x14ac:dyDescent="0.25">
      <c r="A4005" s="3" t="e">
        <f ca="1"/>
        <v>#NAME?</v>
      </c>
      <c r="B4005" s="2" t="s">
        <v>12</v>
      </c>
      <c r="C4005" s="2" t="s">
        <v>12</v>
      </c>
      <c r="D4005" s="2" t="s">
        <v>12</v>
      </c>
      <c r="E4005" s="2" t="s">
        <v>12</v>
      </c>
      <c r="F4005" s="2" t="s">
        <v>12</v>
      </c>
      <c r="G4005" s="2" t="s">
        <v>12</v>
      </c>
      <c r="H4005" s="2" t="s">
        <v>12</v>
      </c>
      <c r="I4005" s="2" t="s">
        <v>12</v>
      </c>
      <c r="J4005" s="2" t="s">
        <v>12</v>
      </c>
      <c r="K4005" s="2" t="s">
        <v>12</v>
      </c>
    </row>
    <row r="4006" spans="1:11" ht="12.5" x14ac:dyDescent="0.25">
      <c r="A4006" s="3" t="e">
        <f ca="1"/>
        <v>#NAME?</v>
      </c>
      <c r="B4006" s="2" t="s">
        <v>12</v>
      </c>
      <c r="C4006" s="2" t="s">
        <v>12</v>
      </c>
      <c r="D4006" s="2" t="s">
        <v>12</v>
      </c>
      <c r="E4006" s="2" t="s">
        <v>12</v>
      </c>
      <c r="F4006" s="2" t="s">
        <v>12</v>
      </c>
      <c r="G4006" s="2" t="s">
        <v>12</v>
      </c>
      <c r="H4006" s="2" t="s">
        <v>12</v>
      </c>
      <c r="I4006" s="2" t="s">
        <v>12</v>
      </c>
      <c r="J4006" s="2" t="s">
        <v>12</v>
      </c>
      <c r="K4006" s="2" t="s">
        <v>12</v>
      </c>
    </row>
    <row r="4007" spans="1:11" ht="12.5" x14ac:dyDescent="0.25">
      <c r="A4007" s="3" t="e">
        <f ca="1"/>
        <v>#NAME?</v>
      </c>
      <c r="B4007" s="2" t="s">
        <v>12</v>
      </c>
      <c r="C4007" s="2" t="s">
        <v>12</v>
      </c>
      <c r="D4007" s="2" t="s">
        <v>12</v>
      </c>
      <c r="E4007" s="2" t="s">
        <v>12</v>
      </c>
      <c r="F4007" s="2" t="s">
        <v>12</v>
      </c>
      <c r="G4007" s="2" t="s">
        <v>12</v>
      </c>
      <c r="H4007" s="2" t="s">
        <v>12</v>
      </c>
      <c r="I4007" s="2" t="s">
        <v>12</v>
      </c>
      <c r="J4007" s="2" t="s">
        <v>12</v>
      </c>
      <c r="K4007" s="2" t="s">
        <v>12</v>
      </c>
    </row>
    <row r="4008" spans="1:11" ht="12.5" x14ac:dyDescent="0.25">
      <c r="A4008" s="3" t="e">
        <f ca="1"/>
        <v>#NAME?</v>
      </c>
      <c r="B4008" s="2" t="s">
        <v>12</v>
      </c>
      <c r="C4008" s="2" t="s">
        <v>12</v>
      </c>
      <c r="D4008" s="2" t="s">
        <v>12</v>
      </c>
      <c r="E4008" s="2" t="s">
        <v>12</v>
      </c>
      <c r="F4008" s="2" t="s">
        <v>12</v>
      </c>
      <c r="G4008" s="2" t="s">
        <v>12</v>
      </c>
      <c r="H4008" s="2" t="s">
        <v>12</v>
      </c>
      <c r="I4008" s="2" t="s">
        <v>12</v>
      </c>
      <c r="J4008" s="2" t="s">
        <v>12</v>
      </c>
      <c r="K4008" s="2" t="s">
        <v>12</v>
      </c>
    </row>
    <row r="4009" spans="1:11" ht="12.5" x14ac:dyDescent="0.25">
      <c r="A4009" s="3" t="e">
        <f ca="1"/>
        <v>#NAME?</v>
      </c>
      <c r="B4009" s="2" t="s">
        <v>12</v>
      </c>
      <c r="C4009" s="2" t="s">
        <v>12</v>
      </c>
      <c r="D4009" s="2" t="s">
        <v>12</v>
      </c>
      <c r="E4009" s="2" t="s">
        <v>12</v>
      </c>
      <c r="F4009" s="2" t="s">
        <v>12</v>
      </c>
      <c r="G4009" s="2" t="s">
        <v>12</v>
      </c>
      <c r="H4009" s="2" t="s">
        <v>12</v>
      </c>
      <c r="I4009" s="2" t="s">
        <v>12</v>
      </c>
      <c r="J4009" s="2" t="s">
        <v>12</v>
      </c>
      <c r="K4009" s="2" t="s">
        <v>12</v>
      </c>
    </row>
    <row r="4010" spans="1:11" ht="12.5" x14ac:dyDescent="0.25">
      <c r="A4010" s="3" t="e">
        <f ca="1"/>
        <v>#NAME?</v>
      </c>
      <c r="B4010" s="2" t="s">
        <v>12</v>
      </c>
      <c r="C4010" s="2" t="s">
        <v>12</v>
      </c>
      <c r="D4010" s="2" t="s">
        <v>12</v>
      </c>
      <c r="E4010" s="2" t="s">
        <v>12</v>
      </c>
      <c r="F4010" s="2" t="s">
        <v>12</v>
      </c>
      <c r="G4010" s="2" t="s">
        <v>12</v>
      </c>
      <c r="H4010" s="2" t="s">
        <v>12</v>
      </c>
      <c r="I4010" s="2" t="s">
        <v>12</v>
      </c>
      <c r="J4010" s="2" t="s">
        <v>12</v>
      </c>
      <c r="K4010" s="2" t="s">
        <v>12</v>
      </c>
    </row>
    <row r="4011" spans="1:11" ht="12.5" x14ac:dyDescent="0.25">
      <c r="A4011" s="3" t="e">
        <f ca="1"/>
        <v>#NAME?</v>
      </c>
      <c r="B4011" s="2" t="s">
        <v>12</v>
      </c>
      <c r="C4011" s="2" t="s">
        <v>12</v>
      </c>
      <c r="D4011" s="2" t="s">
        <v>12</v>
      </c>
      <c r="E4011" s="2" t="s">
        <v>12</v>
      </c>
      <c r="F4011" s="2" t="s">
        <v>12</v>
      </c>
      <c r="G4011" s="2" t="s">
        <v>12</v>
      </c>
      <c r="H4011" s="2" t="s">
        <v>12</v>
      </c>
      <c r="I4011" s="2" t="s">
        <v>12</v>
      </c>
      <c r="J4011" s="2" t="s">
        <v>12</v>
      </c>
      <c r="K4011" s="2" t="s">
        <v>12</v>
      </c>
    </row>
    <row r="4012" spans="1:11" ht="12.5" x14ac:dyDescent="0.25">
      <c r="A4012" s="3" t="e">
        <f ca="1"/>
        <v>#NAME?</v>
      </c>
      <c r="B4012" s="2" t="s">
        <v>12</v>
      </c>
      <c r="C4012" s="2" t="s">
        <v>12</v>
      </c>
      <c r="D4012" s="2" t="s">
        <v>12</v>
      </c>
      <c r="E4012" s="2" t="s">
        <v>12</v>
      </c>
      <c r="F4012" s="2" t="s">
        <v>12</v>
      </c>
      <c r="G4012" s="2" t="s">
        <v>12</v>
      </c>
      <c r="H4012" s="2" t="s">
        <v>12</v>
      </c>
      <c r="I4012" s="2" t="s">
        <v>12</v>
      </c>
      <c r="J4012" s="2" t="s">
        <v>12</v>
      </c>
      <c r="K4012" s="2" t="s">
        <v>12</v>
      </c>
    </row>
    <row r="4013" spans="1:11" ht="12.5" x14ac:dyDescent="0.25">
      <c r="A4013" s="3" t="e">
        <f ca="1"/>
        <v>#NAME?</v>
      </c>
      <c r="B4013" s="2" t="s">
        <v>12</v>
      </c>
      <c r="C4013" s="2" t="s">
        <v>12</v>
      </c>
      <c r="D4013" s="2" t="s">
        <v>12</v>
      </c>
      <c r="E4013" s="2" t="s">
        <v>12</v>
      </c>
      <c r="F4013" s="2" t="s">
        <v>12</v>
      </c>
      <c r="G4013" s="2" t="s">
        <v>12</v>
      </c>
      <c r="H4013" s="2" t="s">
        <v>12</v>
      </c>
      <c r="I4013" s="2" t="s">
        <v>12</v>
      </c>
      <c r="J4013" s="2" t="s">
        <v>12</v>
      </c>
      <c r="K4013" s="2" t="s">
        <v>12</v>
      </c>
    </row>
    <row r="4014" spans="1:11" ht="12.5" x14ac:dyDescent="0.25">
      <c r="A4014" s="3" t="e">
        <f ca="1"/>
        <v>#NAME?</v>
      </c>
      <c r="B4014" s="2" t="s">
        <v>12</v>
      </c>
      <c r="C4014" s="2" t="s">
        <v>12</v>
      </c>
      <c r="D4014" s="2" t="s">
        <v>12</v>
      </c>
      <c r="E4014" s="2" t="s">
        <v>12</v>
      </c>
      <c r="F4014" s="2" t="s">
        <v>12</v>
      </c>
      <c r="G4014" s="2" t="s">
        <v>12</v>
      </c>
      <c r="H4014" s="2" t="s">
        <v>12</v>
      </c>
      <c r="I4014" s="2" t="s">
        <v>12</v>
      </c>
      <c r="J4014" s="2" t="s">
        <v>12</v>
      </c>
      <c r="K4014" s="2" t="s">
        <v>12</v>
      </c>
    </row>
    <row r="4015" spans="1:11" ht="12.5" x14ac:dyDescent="0.25">
      <c r="A4015" s="3" t="e">
        <f ca="1"/>
        <v>#NAME?</v>
      </c>
      <c r="B4015" s="2" t="s">
        <v>12</v>
      </c>
      <c r="C4015" s="2" t="s">
        <v>12</v>
      </c>
      <c r="D4015" s="2" t="s">
        <v>12</v>
      </c>
      <c r="E4015" s="2" t="s">
        <v>12</v>
      </c>
      <c r="F4015" s="2" t="s">
        <v>12</v>
      </c>
      <c r="G4015" s="2" t="s">
        <v>12</v>
      </c>
      <c r="H4015" s="2" t="s">
        <v>12</v>
      </c>
      <c r="I4015" s="2" t="s">
        <v>12</v>
      </c>
      <c r="J4015" s="2" t="s">
        <v>12</v>
      </c>
      <c r="K4015" s="2" t="s">
        <v>12</v>
      </c>
    </row>
    <row r="4016" spans="1:11" ht="12.5" x14ac:dyDescent="0.25">
      <c r="A4016" s="3" t="e">
        <f ca="1"/>
        <v>#NAME?</v>
      </c>
      <c r="B4016" s="2" t="s">
        <v>12</v>
      </c>
      <c r="C4016" s="2" t="s">
        <v>12</v>
      </c>
      <c r="D4016" s="2" t="s">
        <v>12</v>
      </c>
      <c r="E4016" s="2" t="s">
        <v>12</v>
      </c>
      <c r="F4016" s="2" t="s">
        <v>12</v>
      </c>
      <c r="G4016" s="2" t="s">
        <v>12</v>
      </c>
      <c r="H4016" s="2" t="s">
        <v>12</v>
      </c>
      <c r="I4016" s="2" t="s">
        <v>12</v>
      </c>
      <c r="J4016" s="2" t="s">
        <v>12</v>
      </c>
      <c r="K4016" s="2" t="s">
        <v>12</v>
      </c>
    </row>
    <row r="4017" spans="1:11" ht="12.5" x14ac:dyDescent="0.25">
      <c r="A4017" s="3" t="e">
        <f ca="1"/>
        <v>#NAME?</v>
      </c>
      <c r="B4017" s="2" t="s">
        <v>12</v>
      </c>
      <c r="C4017" s="2" t="s">
        <v>12</v>
      </c>
      <c r="D4017" s="2" t="s">
        <v>12</v>
      </c>
      <c r="E4017" s="2" t="s">
        <v>12</v>
      </c>
      <c r="F4017" s="2" t="s">
        <v>12</v>
      </c>
      <c r="G4017" s="2" t="s">
        <v>12</v>
      </c>
      <c r="H4017" s="2" t="s">
        <v>12</v>
      </c>
      <c r="I4017" s="2" t="s">
        <v>12</v>
      </c>
      <c r="J4017" s="2" t="s">
        <v>12</v>
      </c>
      <c r="K4017" s="2" t="s">
        <v>12</v>
      </c>
    </row>
    <row r="4018" spans="1:11" ht="12.5" x14ac:dyDescent="0.25">
      <c r="A4018" s="3" t="e">
        <f ca="1"/>
        <v>#NAME?</v>
      </c>
      <c r="B4018" s="2" t="s">
        <v>12</v>
      </c>
      <c r="C4018" s="2" t="s">
        <v>12</v>
      </c>
      <c r="D4018" s="2" t="s">
        <v>12</v>
      </c>
      <c r="E4018" s="2" t="s">
        <v>12</v>
      </c>
      <c r="F4018" s="2" t="s">
        <v>12</v>
      </c>
      <c r="G4018" s="2" t="s">
        <v>12</v>
      </c>
      <c r="H4018" s="2" t="s">
        <v>12</v>
      </c>
      <c r="I4018" s="2" t="s">
        <v>12</v>
      </c>
      <c r="J4018" s="2" t="s">
        <v>12</v>
      </c>
      <c r="K4018" s="2" t="s">
        <v>12</v>
      </c>
    </row>
    <row r="4019" spans="1:11" ht="12.5" x14ac:dyDescent="0.25">
      <c r="A4019" s="3" t="e">
        <f ca="1"/>
        <v>#NAME?</v>
      </c>
      <c r="B4019" s="2" t="s">
        <v>12</v>
      </c>
      <c r="C4019" s="2" t="s">
        <v>12</v>
      </c>
      <c r="D4019" s="2" t="s">
        <v>12</v>
      </c>
      <c r="E4019" s="2" t="s">
        <v>12</v>
      </c>
      <c r="F4019" s="2" t="s">
        <v>12</v>
      </c>
      <c r="G4019" s="2" t="s">
        <v>12</v>
      </c>
      <c r="H4019" s="2" t="s">
        <v>12</v>
      </c>
      <c r="I4019" s="2" t="s">
        <v>12</v>
      </c>
      <c r="J4019" s="2" t="s">
        <v>12</v>
      </c>
      <c r="K4019" s="2" t="s">
        <v>12</v>
      </c>
    </row>
    <row r="4020" spans="1:11" ht="12.5" x14ac:dyDescent="0.25">
      <c r="A4020" s="3" t="e">
        <f ca="1"/>
        <v>#NAME?</v>
      </c>
      <c r="B4020" s="2" t="s">
        <v>12</v>
      </c>
      <c r="C4020" s="2" t="s">
        <v>12</v>
      </c>
      <c r="D4020" s="2" t="s">
        <v>12</v>
      </c>
      <c r="E4020" s="2" t="s">
        <v>12</v>
      </c>
      <c r="F4020" s="2" t="s">
        <v>12</v>
      </c>
      <c r="G4020" s="2" t="s">
        <v>12</v>
      </c>
      <c r="H4020" s="2" t="s">
        <v>12</v>
      </c>
      <c r="I4020" s="2" t="s">
        <v>12</v>
      </c>
      <c r="J4020" s="2" t="s">
        <v>12</v>
      </c>
      <c r="K4020" s="2" t="s">
        <v>12</v>
      </c>
    </row>
    <row r="4021" spans="1:11" ht="12.5" x14ac:dyDescent="0.25">
      <c r="A4021" s="3" t="e">
        <f ca="1"/>
        <v>#NAME?</v>
      </c>
      <c r="B4021" s="2" t="s">
        <v>12</v>
      </c>
      <c r="C4021" s="2" t="s">
        <v>12</v>
      </c>
      <c r="D4021" s="2" t="s">
        <v>12</v>
      </c>
      <c r="E4021" s="2" t="s">
        <v>12</v>
      </c>
      <c r="F4021" s="2" t="s">
        <v>12</v>
      </c>
      <c r="G4021" s="2" t="s">
        <v>12</v>
      </c>
      <c r="H4021" s="2" t="s">
        <v>12</v>
      </c>
      <c r="I4021" s="2" t="s">
        <v>12</v>
      </c>
      <c r="J4021" s="2" t="s">
        <v>12</v>
      </c>
      <c r="K4021" s="2" t="s">
        <v>12</v>
      </c>
    </row>
    <row r="4022" spans="1:11" ht="12.5" x14ac:dyDescent="0.25">
      <c r="A4022" s="3" t="e">
        <f ca="1"/>
        <v>#NAME?</v>
      </c>
      <c r="B4022" s="2" t="s">
        <v>12</v>
      </c>
      <c r="C4022" s="2" t="s">
        <v>12</v>
      </c>
      <c r="D4022" s="2" t="s">
        <v>12</v>
      </c>
      <c r="E4022" s="2" t="s">
        <v>12</v>
      </c>
      <c r="F4022" s="2" t="s">
        <v>12</v>
      </c>
      <c r="G4022" s="2" t="s">
        <v>12</v>
      </c>
      <c r="H4022" s="2" t="s">
        <v>12</v>
      </c>
      <c r="I4022" s="2" t="s">
        <v>12</v>
      </c>
      <c r="J4022" s="2" t="s">
        <v>12</v>
      </c>
      <c r="K4022" s="2" t="s">
        <v>12</v>
      </c>
    </row>
    <row r="4023" spans="1:11" ht="12.5" x14ac:dyDescent="0.25">
      <c r="A4023" s="3" t="e">
        <f ca="1"/>
        <v>#NAME?</v>
      </c>
      <c r="B4023" s="2" t="s">
        <v>12</v>
      </c>
      <c r="C4023" s="2" t="s">
        <v>12</v>
      </c>
      <c r="D4023" s="2" t="s">
        <v>12</v>
      </c>
      <c r="E4023" s="2" t="s">
        <v>12</v>
      </c>
      <c r="F4023" s="2" t="s">
        <v>12</v>
      </c>
      <c r="G4023" s="2" t="s">
        <v>12</v>
      </c>
      <c r="H4023" s="2" t="s">
        <v>12</v>
      </c>
      <c r="I4023" s="2" t="s">
        <v>12</v>
      </c>
      <c r="J4023" s="2" t="s">
        <v>12</v>
      </c>
      <c r="K4023" s="2" t="s">
        <v>12</v>
      </c>
    </row>
    <row r="4024" spans="1:11" ht="12.5" x14ac:dyDescent="0.25">
      <c r="A4024" s="3" t="e">
        <f ca="1"/>
        <v>#NAME?</v>
      </c>
      <c r="B4024" s="2" t="s">
        <v>12</v>
      </c>
      <c r="C4024" s="2" t="s">
        <v>12</v>
      </c>
      <c r="D4024" s="2" t="s">
        <v>12</v>
      </c>
      <c r="E4024" s="2" t="s">
        <v>12</v>
      </c>
      <c r="F4024" s="2" t="s">
        <v>12</v>
      </c>
      <c r="G4024" s="2" t="s">
        <v>12</v>
      </c>
      <c r="H4024" s="2" t="s">
        <v>12</v>
      </c>
      <c r="I4024" s="2" t="s">
        <v>12</v>
      </c>
      <c r="J4024" s="2" t="s">
        <v>12</v>
      </c>
      <c r="K4024" s="2" t="s">
        <v>12</v>
      </c>
    </row>
    <row r="4025" spans="1:11" ht="12.5" x14ac:dyDescent="0.25">
      <c r="A4025" s="3" t="e">
        <f ca="1"/>
        <v>#NAME?</v>
      </c>
      <c r="B4025" s="2" t="s">
        <v>12</v>
      </c>
      <c r="C4025" s="2" t="s">
        <v>12</v>
      </c>
      <c r="D4025" s="2" t="s">
        <v>12</v>
      </c>
      <c r="E4025" s="2" t="s">
        <v>12</v>
      </c>
      <c r="F4025" s="2" t="s">
        <v>12</v>
      </c>
      <c r="G4025" s="2" t="s">
        <v>12</v>
      </c>
      <c r="H4025" s="2" t="s">
        <v>12</v>
      </c>
      <c r="I4025" s="2" t="s">
        <v>12</v>
      </c>
      <c r="J4025" s="2" t="s">
        <v>12</v>
      </c>
      <c r="K4025" s="2" t="s">
        <v>12</v>
      </c>
    </row>
    <row r="4026" spans="1:11" ht="12.5" x14ac:dyDescent="0.25">
      <c r="A4026" s="3" t="e">
        <f ca="1"/>
        <v>#NAME?</v>
      </c>
      <c r="B4026" s="2" t="s">
        <v>12</v>
      </c>
      <c r="C4026" s="2" t="s">
        <v>12</v>
      </c>
      <c r="D4026" s="2" t="s">
        <v>12</v>
      </c>
      <c r="E4026" s="2" t="s">
        <v>12</v>
      </c>
      <c r="F4026" s="2" t="s">
        <v>12</v>
      </c>
      <c r="G4026" s="2" t="s">
        <v>12</v>
      </c>
      <c r="H4026" s="2" t="s">
        <v>12</v>
      </c>
      <c r="I4026" s="2" t="s">
        <v>12</v>
      </c>
      <c r="J4026" s="2" t="s">
        <v>12</v>
      </c>
      <c r="K4026" s="2" t="s">
        <v>12</v>
      </c>
    </row>
    <row r="4027" spans="1:11" ht="12.5" x14ac:dyDescent="0.25">
      <c r="A4027" s="3" t="e">
        <f ca="1"/>
        <v>#NAME?</v>
      </c>
      <c r="B4027" s="2" t="s">
        <v>12</v>
      </c>
      <c r="C4027" s="2" t="s">
        <v>12</v>
      </c>
      <c r="D4027" s="2" t="s">
        <v>12</v>
      </c>
      <c r="E4027" s="2" t="s">
        <v>12</v>
      </c>
      <c r="F4027" s="2" t="s">
        <v>12</v>
      </c>
      <c r="G4027" s="2" t="s">
        <v>12</v>
      </c>
      <c r="H4027" s="2" t="s">
        <v>12</v>
      </c>
      <c r="I4027" s="2" t="s">
        <v>12</v>
      </c>
      <c r="J4027" s="2" t="s">
        <v>12</v>
      </c>
      <c r="K4027" s="2" t="s">
        <v>12</v>
      </c>
    </row>
    <row r="4028" spans="1:11" ht="12.5" x14ac:dyDescent="0.25">
      <c r="A4028" s="3" t="e">
        <f ca="1"/>
        <v>#NAME?</v>
      </c>
      <c r="B4028" s="2" t="s">
        <v>12</v>
      </c>
      <c r="C4028" s="2" t="s">
        <v>12</v>
      </c>
      <c r="D4028" s="2" t="s">
        <v>12</v>
      </c>
      <c r="E4028" s="2" t="s">
        <v>12</v>
      </c>
      <c r="F4028" s="2" t="s">
        <v>12</v>
      </c>
      <c r="G4028" s="2" t="s">
        <v>12</v>
      </c>
      <c r="H4028" s="2" t="s">
        <v>12</v>
      </c>
      <c r="I4028" s="2" t="s">
        <v>12</v>
      </c>
      <c r="J4028" s="2" t="s">
        <v>12</v>
      </c>
      <c r="K4028" s="2" t="s">
        <v>12</v>
      </c>
    </row>
    <row r="4029" spans="1:11" ht="12.5" x14ac:dyDescent="0.25">
      <c r="A4029" s="3" t="e">
        <f ca="1"/>
        <v>#NAME?</v>
      </c>
      <c r="B4029" s="2" t="s">
        <v>12</v>
      </c>
      <c r="C4029" s="2" t="s">
        <v>12</v>
      </c>
      <c r="D4029" s="2" t="s">
        <v>12</v>
      </c>
      <c r="E4029" s="2" t="s">
        <v>12</v>
      </c>
      <c r="F4029" s="2" t="s">
        <v>12</v>
      </c>
      <c r="G4029" s="2" t="s">
        <v>12</v>
      </c>
      <c r="H4029" s="2" t="s">
        <v>12</v>
      </c>
      <c r="I4029" s="2" t="s">
        <v>12</v>
      </c>
      <c r="J4029" s="2" t="s">
        <v>12</v>
      </c>
      <c r="K4029" s="2" t="s">
        <v>12</v>
      </c>
    </row>
    <row r="4030" spans="1:11" ht="12.5" x14ac:dyDescent="0.25">
      <c r="A4030" s="3" t="e">
        <f ca="1"/>
        <v>#NAME?</v>
      </c>
      <c r="B4030" s="2" t="s">
        <v>12</v>
      </c>
      <c r="C4030" s="2" t="s">
        <v>12</v>
      </c>
      <c r="D4030" s="2" t="s">
        <v>12</v>
      </c>
      <c r="E4030" s="2" t="s">
        <v>12</v>
      </c>
      <c r="F4030" s="2" t="s">
        <v>12</v>
      </c>
      <c r="G4030" s="2" t="s">
        <v>12</v>
      </c>
      <c r="H4030" s="2" t="s">
        <v>12</v>
      </c>
      <c r="I4030" s="2" t="s">
        <v>12</v>
      </c>
      <c r="J4030" s="2" t="s">
        <v>12</v>
      </c>
      <c r="K4030" s="2" t="s">
        <v>12</v>
      </c>
    </row>
    <row r="4031" spans="1:11" ht="12.5" x14ac:dyDescent="0.25">
      <c r="A4031" s="3" t="e">
        <f ca="1"/>
        <v>#NAME?</v>
      </c>
      <c r="B4031" s="2" t="s">
        <v>12</v>
      </c>
      <c r="C4031" s="2" t="s">
        <v>12</v>
      </c>
      <c r="D4031" s="2" t="s">
        <v>12</v>
      </c>
      <c r="E4031" s="2" t="s">
        <v>12</v>
      </c>
      <c r="F4031" s="2" t="s">
        <v>12</v>
      </c>
      <c r="G4031" s="2" t="s">
        <v>12</v>
      </c>
      <c r="H4031" s="2" t="s">
        <v>12</v>
      </c>
      <c r="I4031" s="2" t="s">
        <v>12</v>
      </c>
      <c r="J4031" s="2" t="s">
        <v>12</v>
      </c>
      <c r="K4031" s="2" t="s">
        <v>12</v>
      </c>
    </row>
    <row r="4032" spans="1:11" ht="12.5" x14ac:dyDescent="0.25">
      <c r="A4032" s="3" t="e">
        <f ca="1"/>
        <v>#NAME?</v>
      </c>
      <c r="B4032" s="2" t="s">
        <v>12</v>
      </c>
      <c r="C4032" s="2" t="s">
        <v>12</v>
      </c>
      <c r="D4032" s="2" t="s">
        <v>12</v>
      </c>
      <c r="E4032" s="2" t="s">
        <v>12</v>
      </c>
      <c r="F4032" s="2" t="s">
        <v>12</v>
      </c>
      <c r="G4032" s="2" t="s">
        <v>12</v>
      </c>
      <c r="H4032" s="2" t="s">
        <v>12</v>
      </c>
      <c r="I4032" s="2" t="s">
        <v>12</v>
      </c>
      <c r="J4032" s="2" t="s">
        <v>12</v>
      </c>
      <c r="K4032" s="2" t="s">
        <v>12</v>
      </c>
    </row>
    <row r="4033" spans="1:11" ht="12.5" x14ac:dyDescent="0.25">
      <c r="A4033" s="3" t="e">
        <f ca="1"/>
        <v>#NAME?</v>
      </c>
      <c r="B4033" s="2" t="s">
        <v>12</v>
      </c>
      <c r="C4033" s="2" t="s">
        <v>12</v>
      </c>
      <c r="D4033" s="2" t="s">
        <v>12</v>
      </c>
      <c r="E4033" s="2" t="s">
        <v>12</v>
      </c>
      <c r="F4033" s="2" t="s">
        <v>12</v>
      </c>
      <c r="G4033" s="2" t="s">
        <v>12</v>
      </c>
      <c r="H4033" s="2" t="s">
        <v>12</v>
      </c>
      <c r="I4033" s="2" t="s">
        <v>12</v>
      </c>
      <c r="J4033" s="2" t="s">
        <v>12</v>
      </c>
      <c r="K4033" s="2" t="s">
        <v>12</v>
      </c>
    </row>
    <row r="4034" spans="1:11" ht="12.5" x14ac:dyDescent="0.25">
      <c r="A4034" s="3" t="e">
        <f ca="1"/>
        <v>#NAME?</v>
      </c>
      <c r="B4034" s="2" t="s">
        <v>12</v>
      </c>
      <c r="C4034" s="2" t="s">
        <v>12</v>
      </c>
      <c r="D4034" s="2" t="s">
        <v>12</v>
      </c>
      <c r="E4034" s="2" t="s">
        <v>12</v>
      </c>
      <c r="F4034" s="2" t="s">
        <v>12</v>
      </c>
      <c r="G4034" s="2" t="s">
        <v>12</v>
      </c>
      <c r="H4034" s="2" t="s">
        <v>12</v>
      </c>
      <c r="I4034" s="2" t="s">
        <v>12</v>
      </c>
      <c r="J4034" s="2" t="s">
        <v>12</v>
      </c>
      <c r="K4034" s="2" t="s">
        <v>12</v>
      </c>
    </row>
    <row r="4035" spans="1:11" ht="12.5" x14ac:dyDescent="0.25">
      <c r="A4035" s="3" t="e">
        <f ca="1"/>
        <v>#NAME?</v>
      </c>
      <c r="B4035" s="2" t="s">
        <v>12</v>
      </c>
      <c r="C4035" s="2" t="s">
        <v>12</v>
      </c>
      <c r="D4035" s="2" t="s">
        <v>12</v>
      </c>
      <c r="E4035" s="2" t="s">
        <v>12</v>
      </c>
      <c r="F4035" s="2" t="s">
        <v>12</v>
      </c>
      <c r="G4035" s="2" t="s">
        <v>12</v>
      </c>
      <c r="H4035" s="2" t="s">
        <v>12</v>
      </c>
      <c r="I4035" s="2" t="s">
        <v>12</v>
      </c>
      <c r="J4035" s="2" t="s">
        <v>12</v>
      </c>
      <c r="K4035" s="2" t="s">
        <v>12</v>
      </c>
    </row>
    <row r="4036" spans="1:11" ht="12.5" x14ac:dyDescent="0.25">
      <c r="A4036" s="3" t="e">
        <f ca="1"/>
        <v>#NAME?</v>
      </c>
      <c r="B4036" s="2" t="s">
        <v>12</v>
      </c>
      <c r="C4036" s="2" t="s">
        <v>12</v>
      </c>
      <c r="D4036" s="2" t="s">
        <v>12</v>
      </c>
      <c r="E4036" s="2" t="s">
        <v>12</v>
      </c>
      <c r="F4036" s="2" t="s">
        <v>12</v>
      </c>
      <c r="G4036" s="2" t="s">
        <v>12</v>
      </c>
      <c r="H4036" s="2" t="s">
        <v>12</v>
      </c>
      <c r="I4036" s="2" t="s">
        <v>12</v>
      </c>
      <c r="J4036" s="2" t="s">
        <v>12</v>
      </c>
      <c r="K4036" s="2" t="s">
        <v>12</v>
      </c>
    </row>
    <row r="4037" spans="1:11" ht="12.5" x14ac:dyDescent="0.25">
      <c r="A4037" s="3" t="e">
        <f ca="1"/>
        <v>#NAME?</v>
      </c>
      <c r="B4037" s="2" t="s">
        <v>12</v>
      </c>
      <c r="C4037" s="2" t="s">
        <v>12</v>
      </c>
      <c r="D4037" s="2" t="s">
        <v>12</v>
      </c>
      <c r="E4037" s="2" t="s">
        <v>12</v>
      </c>
      <c r="F4037" s="2" t="s">
        <v>12</v>
      </c>
      <c r="G4037" s="2" t="s">
        <v>12</v>
      </c>
      <c r="H4037" s="2" t="s">
        <v>12</v>
      </c>
      <c r="I4037" s="2" t="s">
        <v>12</v>
      </c>
      <c r="J4037" s="2" t="s">
        <v>12</v>
      </c>
      <c r="K4037" s="2" t="s">
        <v>12</v>
      </c>
    </row>
    <row r="4038" spans="1:11" ht="12.5" x14ac:dyDescent="0.25">
      <c r="A4038" s="3" t="e">
        <f ca="1"/>
        <v>#NAME?</v>
      </c>
      <c r="B4038" s="2" t="s">
        <v>12</v>
      </c>
      <c r="C4038" s="2" t="s">
        <v>12</v>
      </c>
      <c r="D4038" s="2" t="s">
        <v>12</v>
      </c>
      <c r="E4038" s="2" t="s">
        <v>12</v>
      </c>
      <c r="F4038" s="2" t="s">
        <v>12</v>
      </c>
      <c r="G4038" s="2" t="s">
        <v>12</v>
      </c>
      <c r="H4038" s="2" t="s">
        <v>12</v>
      </c>
      <c r="I4038" s="2" t="s">
        <v>12</v>
      </c>
      <c r="J4038" s="2" t="s">
        <v>12</v>
      </c>
      <c r="K4038" s="2" t="s">
        <v>12</v>
      </c>
    </row>
    <row r="4039" spans="1:11" ht="12.5" x14ac:dyDescent="0.25">
      <c r="A4039" s="3" t="e">
        <f ca="1"/>
        <v>#NAME?</v>
      </c>
      <c r="B4039" s="2" t="s">
        <v>12</v>
      </c>
      <c r="C4039" s="2" t="s">
        <v>12</v>
      </c>
      <c r="D4039" s="2" t="s">
        <v>12</v>
      </c>
      <c r="E4039" s="2" t="s">
        <v>12</v>
      </c>
      <c r="F4039" s="2" t="s">
        <v>12</v>
      </c>
      <c r="G4039" s="2" t="s">
        <v>12</v>
      </c>
      <c r="H4039" s="2" t="s">
        <v>12</v>
      </c>
      <c r="I4039" s="2" t="s">
        <v>12</v>
      </c>
      <c r="J4039" s="2" t="s">
        <v>12</v>
      </c>
      <c r="K4039" s="2" t="s">
        <v>12</v>
      </c>
    </row>
    <row r="4040" spans="1:11" ht="12.5" x14ac:dyDescent="0.25">
      <c r="A4040" s="3" t="e">
        <f ca="1"/>
        <v>#NAME?</v>
      </c>
      <c r="B4040" s="2" t="s">
        <v>12</v>
      </c>
      <c r="C4040" s="2" t="s">
        <v>12</v>
      </c>
      <c r="D4040" s="2" t="s">
        <v>12</v>
      </c>
      <c r="E4040" s="2" t="s">
        <v>12</v>
      </c>
      <c r="F4040" s="2" t="s">
        <v>12</v>
      </c>
      <c r="G4040" s="2" t="s">
        <v>12</v>
      </c>
      <c r="H4040" s="2" t="s">
        <v>12</v>
      </c>
      <c r="I4040" s="2" t="s">
        <v>12</v>
      </c>
      <c r="J4040" s="2" t="s">
        <v>12</v>
      </c>
      <c r="K4040" s="2" t="s">
        <v>12</v>
      </c>
    </row>
    <row r="4041" spans="1:11" ht="12.5" x14ac:dyDescent="0.25">
      <c r="A4041" s="3" t="e">
        <f ca="1"/>
        <v>#NAME?</v>
      </c>
      <c r="B4041" s="2" t="s">
        <v>12</v>
      </c>
      <c r="C4041" s="2" t="s">
        <v>12</v>
      </c>
      <c r="D4041" s="2" t="s">
        <v>12</v>
      </c>
      <c r="E4041" s="2" t="s">
        <v>12</v>
      </c>
      <c r="F4041" s="2" t="s">
        <v>12</v>
      </c>
      <c r="G4041" s="2" t="s">
        <v>12</v>
      </c>
      <c r="H4041" s="2" t="s">
        <v>12</v>
      </c>
      <c r="I4041" s="2" t="s">
        <v>12</v>
      </c>
      <c r="J4041" s="2" t="s">
        <v>12</v>
      </c>
      <c r="K4041" s="2" t="s">
        <v>12</v>
      </c>
    </row>
    <row r="4042" spans="1:11" ht="12.5" x14ac:dyDescent="0.25">
      <c r="A4042" s="3" t="e">
        <f ca="1"/>
        <v>#NAME?</v>
      </c>
      <c r="B4042" s="2" t="s">
        <v>12</v>
      </c>
      <c r="C4042" s="2" t="s">
        <v>12</v>
      </c>
      <c r="D4042" s="2" t="s">
        <v>12</v>
      </c>
      <c r="E4042" s="2" t="s">
        <v>12</v>
      </c>
      <c r="F4042" s="2" t="s">
        <v>12</v>
      </c>
      <c r="G4042" s="2" t="s">
        <v>12</v>
      </c>
      <c r="H4042" s="2" t="s">
        <v>12</v>
      </c>
      <c r="I4042" s="2" t="s">
        <v>12</v>
      </c>
      <c r="J4042" s="2" t="s">
        <v>12</v>
      </c>
      <c r="K4042" s="2" t="s">
        <v>12</v>
      </c>
    </row>
    <row r="4043" spans="1:11" ht="12.5" x14ac:dyDescent="0.25">
      <c r="A4043" s="3" t="e">
        <f ca="1"/>
        <v>#NAME?</v>
      </c>
      <c r="B4043" s="2" t="s">
        <v>12</v>
      </c>
      <c r="C4043" s="2" t="s">
        <v>12</v>
      </c>
      <c r="D4043" s="2" t="s">
        <v>12</v>
      </c>
      <c r="E4043" s="2" t="s">
        <v>12</v>
      </c>
      <c r="F4043" s="2" t="s">
        <v>12</v>
      </c>
      <c r="G4043" s="2" t="s">
        <v>12</v>
      </c>
      <c r="H4043" s="2" t="s">
        <v>12</v>
      </c>
      <c r="I4043" s="2" t="s">
        <v>12</v>
      </c>
      <c r="J4043" s="2" t="s">
        <v>12</v>
      </c>
      <c r="K4043" s="2" t="s">
        <v>12</v>
      </c>
    </row>
    <row r="4044" spans="1:11" ht="12.5" x14ac:dyDescent="0.25">
      <c r="A4044" s="3" t="e">
        <f ca="1"/>
        <v>#NAME?</v>
      </c>
      <c r="B4044" s="2" t="s">
        <v>12</v>
      </c>
      <c r="C4044" s="2" t="s">
        <v>12</v>
      </c>
      <c r="D4044" s="2" t="s">
        <v>12</v>
      </c>
      <c r="E4044" s="2" t="s">
        <v>12</v>
      </c>
      <c r="F4044" s="2" t="s">
        <v>12</v>
      </c>
      <c r="G4044" s="2" t="s">
        <v>12</v>
      </c>
      <c r="H4044" s="2" t="s">
        <v>12</v>
      </c>
      <c r="I4044" s="2" t="s">
        <v>12</v>
      </c>
      <c r="J4044" s="2" t="s">
        <v>12</v>
      </c>
      <c r="K4044" s="2" t="s">
        <v>12</v>
      </c>
    </row>
    <row r="4045" spans="1:11" ht="12.5" x14ac:dyDescent="0.25">
      <c r="A4045" s="3" t="e">
        <f ca="1"/>
        <v>#NAME?</v>
      </c>
      <c r="B4045" s="2" t="s">
        <v>12</v>
      </c>
      <c r="C4045" s="2" t="s">
        <v>12</v>
      </c>
      <c r="D4045" s="2" t="s">
        <v>12</v>
      </c>
      <c r="E4045" s="2" t="s">
        <v>12</v>
      </c>
      <c r="F4045" s="2" t="s">
        <v>12</v>
      </c>
      <c r="G4045" s="2" t="s">
        <v>12</v>
      </c>
      <c r="H4045" s="2" t="s">
        <v>12</v>
      </c>
      <c r="I4045" s="2" t="s">
        <v>12</v>
      </c>
      <c r="J4045" s="2" t="s">
        <v>12</v>
      </c>
      <c r="K4045" s="2" t="s">
        <v>12</v>
      </c>
    </row>
    <row r="4046" spans="1:11" ht="12.5" x14ac:dyDescent="0.25">
      <c r="A4046" s="3" t="e">
        <f ca="1"/>
        <v>#NAME?</v>
      </c>
      <c r="B4046" s="2" t="s">
        <v>12</v>
      </c>
      <c r="C4046" s="2" t="s">
        <v>12</v>
      </c>
      <c r="D4046" s="2" t="s">
        <v>12</v>
      </c>
      <c r="E4046" s="2" t="s">
        <v>12</v>
      </c>
      <c r="F4046" s="2" t="s">
        <v>12</v>
      </c>
      <c r="G4046" s="2" t="s">
        <v>12</v>
      </c>
      <c r="H4046" s="2" t="s">
        <v>12</v>
      </c>
      <c r="I4046" s="2" t="s">
        <v>12</v>
      </c>
      <c r="J4046" s="2" t="s">
        <v>12</v>
      </c>
      <c r="K4046" s="2" t="s">
        <v>12</v>
      </c>
    </row>
    <row r="4047" spans="1:11" ht="12.5" x14ac:dyDescent="0.25">
      <c r="A4047" s="3" t="e">
        <f ca="1"/>
        <v>#NAME?</v>
      </c>
      <c r="B4047" s="2" t="s">
        <v>12</v>
      </c>
      <c r="C4047" s="2" t="s">
        <v>12</v>
      </c>
      <c r="D4047" s="2" t="s">
        <v>12</v>
      </c>
      <c r="E4047" s="2" t="s">
        <v>12</v>
      </c>
      <c r="F4047" s="2" t="s">
        <v>12</v>
      </c>
      <c r="G4047" s="2" t="s">
        <v>12</v>
      </c>
      <c r="H4047" s="2" t="s">
        <v>12</v>
      </c>
      <c r="I4047" s="2" t="s">
        <v>12</v>
      </c>
      <c r="J4047" s="2" t="s">
        <v>12</v>
      </c>
      <c r="K4047" s="2" t="s">
        <v>12</v>
      </c>
    </row>
    <row r="4048" spans="1:11" ht="12.5" x14ac:dyDescent="0.25">
      <c r="A4048" s="3" t="e">
        <f ca="1"/>
        <v>#NAME?</v>
      </c>
      <c r="B4048" s="2" t="s">
        <v>12</v>
      </c>
      <c r="C4048" s="2" t="s">
        <v>12</v>
      </c>
      <c r="D4048" s="2" t="s">
        <v>12</v>
      </c>
      <c r="E4048" s="2" t="s">
        <v>12</v>
      </c>
      <c r="F4048" s="2" t="s">
        <v>12</v>
      </c>
      <c r="G4048" s="2" t="s">
        <v>12</v>
      </c>
      <c r="H4048" s="2" t="s">
        <v>12</v>
      </c>
      <c r="I4048" s="2" t="s">
        <v>12</v>
      </c>
      <c r="J4048" s="2" t="s">
        <v>12</v>
      </c>
      <c r="K4048" s="2" t="s">
        <v>12</v>
      </c>
    </row>
    <row r="4049" spans="1:11" ht="12.5" x14ac:dyDescent="0.25">
      <c r="A4049" s="3" t="e">
        <f ca="1"/>
        <v>#NAME?</v>
      </c>
      <c r="B4049" s="2" t="s">
        <v>12</v>
      </c>
      <c r="C4049" s="2" t="s">
        <v>12</v>
      </c>
      <c r="D4049" s="2" t="s">
        <v>12</v>
      </c>
      <c r="E4049" s="2" t="s">
        <v>12</v>
      </c>
      <c r="F4049" s="2" t="s">
        <v>12</v>
      </c>
      <c r="G4049" s="2" t="s">
        <v>12</v>
      </c>
      <c r="H4049" s="2" t="s">
        <v>12</v>
      </c>
      <c r="I4049" s="2" t="s">
        <v>12</v>
      </c>
      <c r="J4049" s="2" t="s">
        <v>12</v>
      </c>
      <c r="K4049" s="2" t="s">
        <v>12</v>
      </c>
    </row>
    <row r="4050" spans="1:11" ht="12.5" x14ac:dyDescent="0.25">
      <c r="A4050" s="3" t="e">
        <f ca="1"/>
        <v>#NAME?</v>
      </c>
      <c r="B4050" s="2" t="s">
        <v>12</v>
      </c>
      <c r="C4050" s="2" t="s">
        <v>12</v>
      </c>
      <c r="D4050" s="2" t="s">
        <v>12</v>
      </c>
      <c r="E4050" s="2" t="s">
        <v>12</v>
      </c>
      <c r="F4050" s="2" t="s">
        <v>12</v>
      </c>
      <c r="G4050" s="2" t="s">
        <v>12</v>
      </c>
      <c r="H4050" s="2" t="s">
        <v>12</v>
      </c>
      <c r="I4050" s="2" t="s">
        <v>12</v>
      </c>
      <c r="J4050" s="2" t="s">
        <v>12</v>
      </c>
      <c r="K4050" s="2" t="s">
        <v>12</v>
      </c>
    </row>
    <row r="4051" spans="1:11" ht="12.5" x14ac:dyDescent="0.25">
      <c r="A4051" s="3" t="e">
        <f ca="1"/>
        <v>#NAME?</v>
      </c>
      <c r="B4051" s="2" t="s">
        <v>12</v>
      </c>
      <c r="C4051" s="2" t="s">
        <v>12</v>
      </c>
      <c r="D4051" s="2" t="s">
        <v>12</v>
      </c>
      <c r="E4051" s="2" t="s">
        <v>12</v>
      </c>
      <c r="F4051" s="2" t="s">
        <v>12</v>
      </c>
      <c r="G4051" s="2" t="s">
        <v>12</v>
      </c>
      <c r="H4051" s="2" t="s">
        <v>12</v>
      </c>
      <c r="I4051" s="2" t="s">
        <v>12</v>
      </c>
      <c r="J4051" s="2" t="s">
        <v>12</v>
      </c>
      <c r="K4051" s="2" t="s">
        <v>12</v>
      </c>
    </row>
    <row r="4052" spans="1:11" ht="12.5" x14ac:dyDescent="0.25">
      <c r="A4052" s="3" t="e">
        <f ca="1"/>
        <v>#NAME?</v>
      </c>
      <c r="B4052" s="2" t="s">
        <v>12</v>
      </c>
      <c r="C4052" s="2" t="s">
        <v>12</v>
      </c>
      <c r="D4052" s="2" t="s">
        <v>12</v>
      </c>
      <c r="E4052" s="2" t="s">
        <v>12</v>
      </c>
      <c r="F4052" s="2" t="s">
        <v>12</v>
      </c>
      <c r="G4052" s="2" t="s">
        <v>12</v>
      </c>
      <c r="H4052" s="2" t="s">
        <v>12</v>
      </c>
      <c r="I4052" s="2" t="s">
        <v>12</v>
      </c>
      <c r="J4052" s="2" t="s">
        <v>12</v>
      </c>
      <c r="K4052" s="2" t="s">
        <v>12</v>
      </c>
    </row>
    <row r="4053" spans="1:11" ht="12.5" x14ac:dyDescent="0.25">
      <c r="A4053" s="3" t="e">
        <f ca="1"/>
        <v>#NAME?</v>
      </c>
      <c r="B4053" s="2" t="s">
        <v>12</v>
      </c>
      <c r="C4053" s="2" t="s">
        <v>12</v>
      </c>
      <c r="D4053" s="2" t="s">
        <v>12</v>
      </c>
      <c r="E4053" s="2" t="s">
        <v>12</v>
      </c>
      <c r="F4053" s="2" t="s">
        <v>12</v>
      </c>
      <c r="G4053" s="2" t="s">
        <v>12</v>
      </c>
      <c r="H4053" s="2" t="s">
        <v>12</v>
      </c>
      <c r="I4053" s="2" t="s">
        <v>12</v>
      </c>
      <c r="J4053" s="2" t="s">
        <v>12</v>
      </c>
      <c r="K4053" s="2" t="s">
        <v>12</v>
      </c>
    </row>
    <row r="4054" spans="1:11" ht="12.5" x14ac:dyDescent="0.25">
      <c r="A4054" s="3" t="e">
        <f ca="1"/>
        <v>#NAME?</v>
      </c>
      <c r="B4054" s="2" t="s">
        <v>12</v>
      </c>
      <c r="C4054" s="2" t="s">
        <v>12</v>
      </c>
      <c r="D4054" s="2" t="s">
        <v>12</v>
      </c>
      <c r="E4054" s="2" t="s">
        <v>12</v>
      </c>
      <c r="F4054" s="2" t="s">
        <v>12</v>
      </c>
      <c r="G4054" s="2" t="s">
        <v>12</v>
      </c>
      <c r="H4054" s="2" t="s">
        <v>12</v>
      </c>
      <c r="I4054" s="2" t="s">
        <v>12</v>
      </c>
      <c r="J4054" s="2" t="s">
        <v>12</v>
      </c>
      <c r="K4054" s="2" t="s">
        <v>12</v>
      </c>
    </row>
    <row r="4055" spans="1:11" ht="12.5" x14ac:dyDescent="0.25">
      <c r="A4055" s="3" t="e">
        <f ca="1"/>
        <v>#NAME?</v>
      </c>
      <c r="B4055" s="2" t="s">
        <v>12</v>
      </c>
      <c r="C4055" s="2" t="s">
        <v>12</v>
      </c>
      <c r="D4055" s="2" t="s">
        <v>12</v>
      </c>
      <c r="E4055" s="2" t="s">
        <v>12</v>
      </c>
      <c r="F4055" s="2" t="s">
        <v>12</v>
      </c>
      <c r="G4055" s="2" t="s">
        <v>12</v>
      </c>
      <c r="H4055" s="2" t="s">
        <v>12</v>
      </c>
      <c r="I4055" s="2" t="s">
        <v>12</v>
      </c>
      <c r="J4055" s="2" t="s">
        <v>12</v>
      </c>
      <c r="K4055" s="2" t="s">
        <v>12</v>
      </c>
    </row>
    <row r="4056" spans="1:11" ht="12.5" x14ac:dyDescent="0.25">
      <c r="A4056" s="3" t="e">
        <f ca="1"/>
        <v>#NAME?</v>
      </c>
      <c r="B4056" s="2" t="s">
        <v>12</v>
      </c>
      <c r="C4056" s="2" t="s">
        <v>12</v>
      </c>
      <c r="D4056" s="2" t="s">
        <v>12</v>
      </c>
      <c r="E4056" s="2" t="s">
        <v>12</v>
      </c>
      <c r="F4056" s="2" t="s">
        <v>12</v>
      </c>
      <c r="G4056" s="2" t="s">
        <v>12</v>
      </c>
      <c r="H4056" s="2" t="s">
        <v>12</v>
      </c>
      <c r="I4056" s="2" t="s">
        <v>12</v>
      </c>
      <c r="J4056" s="2" t="s">
        <v>12</v>
      </c>
      <c r="K4056" s="2" t="s">
        <v>12</v>
      </c>
    </row>
    <row r="4057" spans="1:11" ht="12.5" x14ac:dyDescent="0.25">
      <c r="A4057" s="3" t="e">
        <f ca="1"/>
        <v>#NAME?</v>
      </c>
      <c r="B4057" s="2" t="s">
        <v>12</v>
      </c>
      <c r="C4057" s="2" t="s">
        <v>12</v>
      </c>
      <c r="D4057" s="2" t="s">
        <v>12</v>
      </c>
      <c r="E4057" s="2" t="s">
        <v>12</v>
      </c>
      <c r="F4057" s="2" t="s">
        <v>12</v>
      </c>
      <c r="G4057" s="2" t="s">
        <v>12</v>
      </c>
      <c r="H4057" s="2" t="s">
        <v>12</v>
      </c>
      <c r="I4057" s="2" t="s">
        <v>12</v>
      </c>
      <c r="J4057" s="2" t="s">
        <v>12</v>
      </c>
      <c r="K4057" s="2" t="s">
        <v>12</v>
      </c>
    </row>
    <row r="4058" spans="1:11" ht="12.5" x14ac:dyDescent="0.25">
      <c r="A4058" s="3" t="e">
        <f ca="1"/>
        <v>#NAME?</v>
      </c>
      <c r="B4058" s="2" t="s">
        <v>12</v>
      </c>
      <c r="C4058" s="2" t="s">
        <v>12</v>
      </c>
      <c r="D4058" s="2" t="s">
        <v>12</v>
      </c>
      <c r="E4058" s="2" t="s">
        <v>12</v>
      </c>
      <c r="F4058" s="2" t="s">
        <v>12</v>
      </c>
      <c r="G4058" s="2" t="s">
        <v>12</v>
      </c>
      <c r="H4058" s="2" t="s">
        <v>12</v>
      </c>
      <c r="I4058" s="2" t="s">
        <v>12</v>
      </c>
      <c r="J4058" s="2" t="s">
        <v>12</v>
      </c>
      <c r="K4058" s="2" t="s">
        <v>12</v>
      </c>
    </row>
    <row r="4059" spans="1:11" ht="12.5" x14ac:dyDescent="0.25">
      <c r="A4059" s="3" t="e">
        <f ca="1"/>
        <v>#NAME?</v>
      </c>
      <c r="B4059" s="2" t="s">
        <v>12</v>
      </c>
      <c r="C4059" s="2" t="s">
        <v>12</v>
      </c>
      <c r="D4059" s="2" t="s">
        <v>12</v>
      </c>
      <c r="E4059" s="2" t="s">
        <v>12</v>
      </c>
      <c r="F4059" s="2" t="s">
        <v>12</v>
      </c>
      <c r="G4059" s="2" t="s">
        <v>12</v>
      </c>
      <c r="H4059" s="2" t="s">
        <v>12</v>
      </c>
      <c r="I4059" s="2" t="s">
        <v>12</v>
      </c>
      <c r="J4059" s="2" t="s">
        <v>12</v>
      </c>
      <c r="K4059" s="2" t="s">
        <v>12</v>
      </c>
    </row>
    <row r="4060" spans="1:11" ht="12.5" x14ac:dyDescent="0.25">
      <c r="A4060" s="3" t="e">
        <f ca="1"/>
        <v>#NAME?</v>
      </c>
      <c r="B4060" s="2" t="s">
        <v>12</v>
      </c>
      <c r="C4060" s="2" t="s">
        <v>12</v>
      </c>
      <c r="D4060" s="2" t="s">
        <v>12</v>
      </c>
      <c r="E4060" s="2" t="s">
        <v>12</v>
      </c>
      <c r="F4060" s="2" t="s">
        <v>12</v>
      </c>
      <c r="G4060" s="2" t="s">
        <v>12</v>
      </c>
      <c r="H4060" s="2" t="s">
        <v>12</v>
      </c>
      <c r="I4060" s="2" t="s">
        <v>12</v>
      </c>
      <c r="J4060" s="2" t="s">
        <v>12</v>
      </c>
      <c r="K4060" s="2" t="s">
        <v>12</v>
      </c>
    </row>
    <row r="4061" spans="1:11" ht="12.5" x14ac:dyDescent="0.25">
      <c r="A4061" s="3" t="e">
        <f ca="1"/>
        <v>#NAME?</v>
      </c>
      <c r="B4061" s="2" t="s">
        <v>12</v>
      </c>
      <c r="C4061" s="2" t="s">
        <v>12</v>
      </c>
      <c r="D4061" s="2" t="s">
        <v>12</v>
      </c>
      <c r="E4061" s="2" t="s">
        <v>12</v>
      </c>
      <c r="F4061" s="2" t="s">
        <v>12</v>
      </c>
      <c r="G4061" s="2" t="s">
        <v>12</v>
      </c>
      <c r="H4061" s="2" t="s">
        <v>12</v>
      </c>
      <c r="I4061" s="2" t="s">
        <v>12</v>
      </c>
      <c r="J4061" s="2" t="s">
        <v>12</v>
      </c>
      <c r="K4061" s="2" t="s">
        <v>12</v>
      </c>
    </row>
    <row r="4062" spans="1:11" ht="12.5" x14ac:dyDescent="0.25">
      <c r="A4062" s="3" t="e">
        <f ca="1"/>
        <v>#NAME?</v>
      </c>
      <c r="B4062" s="2" t="s">
        <v>12</v>
      </c>
      <c r="C4062" s="2" t="s">
        <v>12</v>
      </c>
      <c r="D4062" s="2" t="s">
        <v>12</v>
      </c>
      <c r="E4062" s="2" t="s">
        <v>12</v>
      </c>
      <c r="F4062" s="2" t="s">
        <v>12</v>
      </c>
      <c r="G4062" s="2" t="s">
        <v>12</v>
      </c>
      <c r="H4062" s="2" t="s">
        <v>12</v>
      </c>
      <c r="I4062" s="2" t="s">
        <v>12</v>
      </c>
      <c r="J4062" s="2" t="s">
        <v>12</v>
      </c>
      <c r="K4062" s="2" t="s">
        <v>12</v>
      </c>
    </row>
    <row r="4063" spans="1:11" ht="12.5" x14ac:dyDescent="0.25">
      <c r="A4063" s="3" t="e">
        <f ca="1"/>
        <v>#NAME?</v>
      </c>
      <c r="B4063" s="2" t="s">
        <v>12</v>
      </c>
      <c r="C4063" s="2" t="s">
        <v>12</v>
      </c>
      <c r="D4063" s="2" t="s">
        <v>12</v>
      </c>
      <c r="E4063" s="2" t="s">
        <v>12</v>
      </c>
      <c r="F4063" s="2" t="s">
        <v>12</v>
      </c>
      <c r="G4063" s="2" t="s">
        <v>12</v>
      </c>
      <c r="H4063" s="2" t="s">
        <v>12</v>
      </c>
      <c r="I4063" s="2" t="s">
        <v>12</v>
      </c>
      <c r="J4063" s="2" t="s">
        <v>12</v>
      </c>
      <c r="K4063" s="2" t="s">
        <v>12</v>
      </c>
    </row>
    <row r="4064" spans="1:11" ht="12.5" x14ac:dyDescent="0.25">
      <c r="A4064" s="3" t="e">
        <f ca="1"/>
        <v>#NAME?</v>
      </c>
      <c r="B4064" s="2" t="s">
        <v>12</v>
      </c>
      <c r="C4064" s="2" t="s">
        <v>12</v>
      </c>
      <c r="D4064" s="2" t="s">
        <v>12</v>
      </c>
      <c r="E4064" s="2" t="s">
        <v>12</v>
      </c>
      <c r="F4064" s="2" t="s">
        <v>12</v>
      </c>
      <c r="G4064" s="2" t="s">
        <v>12</v>
      </c>
      <c r="H4064" s="2" t="s">
        <v>12</v>
      </c>
      <c r="I4064" s="2" t="s">
        <v>12</v>
      </c>
      <c r="J4064" s="2" t="s">
        <v>12</v>
      </c>
      <c r="K4064" s="2" t="s">
        <v>12</v>
      </c>
    </row>
    <row r="4065" spans="1:11" ht="12.5" x14ac:dyDescent="0.25">
      <c r="A4065" s="3" t="e">
        <f ca="1"/>
        <v>#NAME?</v>
      </c>
      <c r="B4065" s="2" t="s">
        <v>12</v>
      </c>
      <c r="C4065" s="2" t="s">
        <v>12</v>
      </c>
      <c r="D4065" s="2" t="s">
        <v>12</v>
      </c>
      <c r="E4065" s="2" t="s">
        <v>12</v>
      </c>
      <c r="F4065" s="2" t="s">
        <v>12</v>
      </c>
      <c r="G4065" s="2" t="s">
        <v>12</v>
      </c>
      <c r="H4065" s="2" t="s">
        <v>12</v>
      </c>
      <c r="I4065" s="2" t="s">
        <v>12</v>
      </c>
      <c r="J4065" s="2" t="s">
        <v>12</v>
      </c>
      <c r="K4065" s="2" t="s">
        <v>12</v>
      </c>
    </row>
    <row r="4066" spans="1:11" ht="12.5" x14ac:dyDescent="0.25">
      <c r="A4066" s="3" t="e">
        <f ca="1"/>
        <v>#NAME?</v>
      </c>
      <c r="B4066" s="2" t="s">
        <v>12</v>
      </c>
      <c r="C4066" s="2" t="s">
        <v>12</v>
      </c>
      <c r="D4066" s="2" t="s">
        <v>12</v>
      </c>
      <c r="E4066" s="2" t="s">
        <v>12</v>
      </c>
      <c r="F4066" s="2" t="s">
        <v>12</v>
      </c>
      <c r="G4066" s="2" t="s">
        <v>12</v>
      </c>
      <c r="H4066" s="2" t="s">
        <v>12</v>
      </c>
      <c r="I4066" s="2" t="s">
        <v>12</v>
      </c>
      <c r="J4066" s="2" t="s">
        <v>12</v>
      </c>
      <c r="K4066" s="2" t="s">
        <v>12</v>
      </c>
    </row>
    <row r="4067" spans="1:11" ht="12.5" x14ac:dyDescent="0.25">
      <c r="A4067" s="3" t="e">
        <f ca="1"/>
        <v>#NAME?</v>
      </c>
      <c r="B4067" s="2" t="s">
        <v>12</v>
      </c>
      <c r="C4067" s="2" t="s">
        <v>12</v>
      </c>
      <c r="D4067" s="2" t="s">
        <v>12</v>
      </c>
      <c r="E4067" s="2" t="s">
        <v>12</v>
      </c>
      <c r="F4067" s="2" t="s">
        <v>12</v>
      </c>
      <c r="G4067" s="2" t="s">
        <v>12</v>
      </c>
      <c r="H4067" s="2" t="s">
        <v>12</v>
      </c>
      <c r="I4067" s="2" t="s">
        <v>12</v>
      </c>
      <c r="J4067" s="2" t="s">
        <v>12</v>
      </c>
      <c r="K4067" s="2" t="s">
        <v>12</v>
      </c>
    </row>
    <row r="4068" spans="1:11" ht="12.5" x14ac:dyDescent="0.25">
      <c r="A4068" s="3" t="e">
        <f ca="1"/>
        <v>#NAME?</v>
      </c>
      <c r="B4068" s="2" t="s">
        <v>12</v>
      </c>
      <c r="C4068" s="2" t="s">
        <v>12</v>
      </c>
      <c r="D4068" s="2" t="s">
        <v>12</v>
      </c>
      <c r="E4068" s="2" t="s">
        <v>12</v>
      </c>
      <c r="F4068" s="2" t="s">
        <v>12</v>
      </c>
      <c r="G4068" s="2" t="s">
        <v>12</v>
      </c>
      <c r="H4068" s="2" t="s">
        <v>12</v>
      </c>
      <c r="I4068" s="2" t="s">
        <v>12</v>
      </c>
      <c r="J4068" s="2" t="s">
        <v>12</v>
      </c>
      <c r="K4068" s="2" t="s">
        <v>12</v>
      </c>
    </row>
    <row r="4069" spans="1:11" ht="12.5" x14ac:dyDescent="0.25">
      <c r="A4069" s="3" t="e">
        <f ca="1"/>
        <v>#NAME?</v>
      </c>
      <c r="B4069" s="2" t="s">
        <v>12</v>
      </c>
      <c r="C4069" s="2" t="s">
        <v>12</v>
      </c>
      <c r="D4069" s="2" t="s">
        <v>12</v>
      </c>
      <c r="E4069" s="2" t="s">
        <v>12</v>
      </c>
      <c r="F4069" s="2" t="s">
        <v>12</v>
      </c>
      <c r="G4069" s="2" t="s">
        <v>12</v>
      </c>
      <c r="H4069" s="2" t="s">
        <v>12</v>
      </c>
      <c r="I4069" s="2" t="s">
        <v>12</v>
      </c>
      <c r="J4069" s="2" t="s">
        <v>12</v>
      </c>
      <c r="K4069" s="2" t="s">
        <v>12</v>
      </c>
    </row>
    <row r="4070" spans="1:11" ht="12.5" x14ac:dyDescent="0.25">
      <c r="A4070" s="3" t="e">
        <f ca="1"/>
        <v>#NAME?</v>
      </c>
      <c r="B4070" s="2" t="s">
        <v>12</v>
      </c>
      <c r="C4070" s="2" t="s">
        <v>12</v>
      </c>
      <c r="D4070" s="2" t="s">
        <v>12</v>
      </c>
      <c r="E4070" s="2" t="s">
        <v>12</v>
      </c>
      <c r="F4070" s="2" t="s">
        <v>12</v>
      </c>
      <c r="G4070" s="2" t="s">
        <v>12</v>
      </c>
      <c r="H4070" s="2" t="s">
        <v>12</v>
      </c>
      <c r="I4070" s="2" t="s">
        <v>12</v>
      </c>
      <c r="J4070" s="2" t="s">
        <v>12</v>
      </c>
      <c r="K4070" s="2" t="s">
        <v>12</v>
      </c>
    </row>
    <row r="4071" spans="1:11" ht="12.5" x14ac:dyDescent="0.25">
      <c r="A4071" s="3" t="e">
        <f ca="1"/>
        <v>#NAME?</v>
      </c>
      <c r="B4071" s="2" t="s">
        <v>12</v>
      </c>
      <c r="C4071" s="2" t="s">
        <v>12</v>
      </c>
      <c r="D4071" s="2" t="s">
        <v>12</v>
      </c>
      <c r="E4071" s="2" t="s">
        <v>12</v>
      </c>
      <c r="F4071" s="2" t="s">
        <v>12</v>
      </c>
      <c r="G4071" s="2" t="s">
        <v>12</v>
      </c>
      <c r="H4071" s="2" t="s">
        <v>12</v>
      </c>
      <c r="I4071" s="2" t="s">
        <v>12</v>
      </c>
      <c r="J4071" s="2" t="s">
        <v>12</v>
      </c>
      <c r="K4071" s="2" t="s">
        <v>12</v>
      </c>
    </row>
    <row r="4072" spans="1:11" ht="12.5" x14ac:dyDescent="0.25">
      <c r="A4072" s="3" t="e">
        <f ca="1"/>
        <v>#NAME?</v>
      </c>
      <c r="B4072" s="2" t="s">
        <v>12</v>
      </c>
      <c r="C4072" s="2" t="s">
        <v>12</v>
      </c>
      <c r="D4072" s="2" t="s">
        <v>12</v>
      </c>
      <c r="E4072" s="2" t="s">
        <v>12</v>
      </c>
      <c r="F4072" s="2" t="s">
        <v>12</v>
      </c>
      <c r="G4072" s="2" t="s">
        <v>12</v>
      </c>
      <c r="H4072" s="2" t="s">
        <v>12</v>
      </c>
      <c r="I4072" s="2" t="s">
        <v>12</v>
      </c>
      <c r="J4072" s="2" t="s">
        <v>12</v>
      </c>
      <c r="K4072" s="2" t="s">
        <v>12</v>
      </c>
    </row>
    <row r="4073" spans="1:11" ht="12.5" x14ac:dyDescent="0.25">
      <c r="A4073" s="3" t="e">
        <f ca="1"/>
        <v>#NAME?</v>
      </c>
      <c r="B4073" s="2" t="s">
        <v>12</v>
      </c>
      <c r="C4073" s="2" t="s">
        <v>12</v>
      </c>
      <c r="D4073" s="2" t="s">
        <v>12</v>
      </c>
      <c r="E4073" s="2" t="s">
        <v>12</v>
      </c>
      <c r="F4073" s="2" t="s">
        <v>12</v>
      </c>
      <c r="G4073" s="2" t="s">
        <v>12</v>
      </c>
      <c r="H4073" s="2" t="s">
        <v>12</v>
      </c>
      <c r="I4073" s="2" t="s">
        <v>12</v>
      </c>
      <c r="J4073" s="2" t="s">
        <v>12</v>
      </c>
      <c r="K4073" s="2" t="s">
        <v>12</v>
      </c>
    </row>
    <row r="4074" spans="1:11" ht="12.5" x14ac:dyDescent="0.25">
      <c r="A4074" s="3" t="e">
        <f ca="1"/>
        <v>#NAME?</v>
      </c>
      <c r="B4074" s="2" t="s">
        <v>12</v>
      </c>
      <c r="C4074" s="2" t="s">
        <v>12</v>
      </c>
      <c r="D4074" s="2" t="s">
        <v>12</v>
      </c>
      <c r="E4074" s="2" t="s">
        <v>12</v>
      </c>
      <c r="F4074" s="2" t="s">
        <v>12</v>
      </c>
      <c r="G4074" s="2" t="s">
        <v>12</v>
      </c>
      <c r="H4074" s="2" t="s">
        <v>12</v>
      </c>
      <c r="I4074" s="2" t="s">
        <v>12</v>
      </c>
      <c r="J4074" s="2" t="s">
        <v>12</v>
      </c>
      <c r="K4074" s="2" t="s">
        <v>12</v>
      </c>
    </row>
    <row r="4075" spans="1:11" ht="12.5" x14ac:dyDescent="0.25">
      <c r="A4075" s="3" t="e">
        <f ca="1"/>
        <v>#NAME?</v>
      </c>
      <c r="B4075" s="2" t="s">
        <v>12</v>
      </c>
      <c r="C4075" s="2" t="s">
        <v>12</v>
      </c>
      <c r="D4075" s="2" t="s">
        <v>12</v>
      </c>
      <c r="E4075" s="2" t="s">
        <v>12</v>
      </c>
      <c r="F4075" s="2" t="s">
        <v>12</v>
      </c>
      <c r="G4075" s="2" t="s">
        <v>12</v>
      </c>
      <c r="H4075" s="2" t="s">
        <v>12</v>
      </c>
      <c r="I4075" s="2" t="s">
        <v>12</v>
      </c>
      <c r="J4075" s="2" t="s">
        <v>12</v>
      </c>
      <c r="K4075" s="2" t="s">
        <v>12</v>
      </c>
    </row>
    <row r="4076" spans="1:11" ht="12.5" x14ac:dyDescent="0.25">
      <c r="A4076" s="3" t="e">
        <f ca="1"/>
        <v>#NAME?</v>
      </c>
      <c r="B4076" s="2" t="s">
        <v>12</v>
      </c>
      <c r="C4076" s="2" t="s">
        <v>12</v>
      </c>
      <c r="D4076" s="2" t="s">
        <v>12</v>
      </c>
      <c r="E4076" s="2" t="s">
        <v>12</v>
      </c>
      <c r="F4076" s="2" t="s">
        <v>12</v>
      </c>
      <c r="G4076" s="2" t="s">
        <v>12</v>
      </c>
      <c r="H4076" s="2" t="s">
        <v>12</v>
      </c>
      <c r="I4076" s="2" t="s">
        <v>12</v>
      </c>
      <c r="J4076" s="2" t="s">
        <v>12</v>
      </c>
      <c r="K4076" s="2" t="s">
        <v>12</v>
      </c>
    </row>
    <row r="4077" spans="1:11" ht="12.5" x14ac:dyDescent="0.25">
      <c r="A4077" s="3" t="e">
        <f ca="1"/>
        <v>#NAME?</v>
      </c>
      <c r="B4077" s="2" t="s">
        <v>12</v>
      </c>
      <c r="C4077" s="2" t="s">
        <v>12</v>
      </c>
      <c r="D4077" s="2" t="s">
        <v>12</v>
      </c>
      <c r="E4077" s="2" t="s">
        <v>12</v>
      </c>
      <c r="F4077" s="2" t="s">
        <v>12</v>
      </c>
      <c r="G4077" s="2" t="s">
        <v>12</v>
      </c>
      <c r="H4077" s="2" t="s">
        <v>12</v>
      </c>
      <c r="I4077" s="2" t="s">
        <v>12</v>
      </c>
      <c r="J4077" s="2" t="s">
        <v>12</v>
      </c>
      <c r="K4077" s="2" t="s">
        <v>12</v>
      </c>
    </row>
    <row r="4078" spans="1:11" ht="12.5" x14ac:dyDescent="0.25">
      <c r="A4078" s="3" t="e">
        <f ca="1"/>
        <v>#NAME?</v>
      </c>
      <c r="B4078" s="2" t="s">
        <v>12</v>
      </c>
      <c r="C4078" s="2" t="s">
        <v>12</v>
      </c>
      <c r="D4078" s="2" t="s">
        <v>12</v>
      </c>
      <c r="E4078" s="2" t="s">
        <v>12</v>
      </c>
      <c r="F4078" s="2" t="s">
        <v>12</v>
      </c>
      <c r="G4078" s="2" t="s">
        <v>12</v>
      </c>
      <c r="H4078" s="2" t="s">
        <v>12</v>
      </c>
      <c r="I4078" s="2" t="s">
        <v>12</v>
      </c>
      <c r="J4078" s="2" t="s">
        <v>12</v>
      </c>
      <c r="K4078" s="2" t="s">
        <v>12</v>
      </c>
    </row>
    <row r="4079" spans="1:11" ht="12.5" x14ac:dyDescent="0.25">
      <c r="A4079" s="3" t="e">
        <f ca="1"/>
        <v>#NAME?</v>
      </c>
      <c r="B4079" s="2" t="s">
        <v>12</v>
      </c>
      <c r="C4079" s="2" t="s">
        <v>12</v>
      </c>
      <c r="D4079" s="2" t="s">
        <v>12</v>
      </c>
      <c r="E4079" s="2" t="s">
        <v>12</v>
      </c>
      <c r="F4079" s="2" t="s">
        <v>12</v>
      </c>
      <c r="G4079" s="2" t="s">
        <v>12</v>
      </c>
      <c r="H4079" s="2" t="s">
        <v>12</v>
      </c>
      <c r="I4079" s="2" t="s">
        <v>12</v>
      </c>
      <c r="J4079" s="2" t="s">
        <v>12</v>
      </c>
      <c r="K4079" s="2" t="s">
        <v>12</v>
      </c>
    </row>
    <row r="4080" spans="1:11" ht="12.5" x14ac:dyDescent="0.25">
      <c r="A4080" s="3" t="e">
        <f ca="1"/>
        <v>#NAME?</v>
      </c>
      <c r="B4080" s="2" t="s">
        <v>12</v>
      </c>
      <c r="C4080" s="2" t="s">
        <v>12</v>
      </c>
      <c r="D4080" s="2" t="s">
        <v>12</v>
      </c>
      <c r="E4080" s="2" t="s">
        <v>12</v>
      </c>
      <c r="F4080" s="2" t="s">
        <v>12</v>
      </c>
      <c r="G4080" s="2" t="s">
        <v>12</v>
      </c>
      <c r="H4080" s="2" t="s">
        <v>12</v>
      </c>
      <c r="I4080" s="2" t="s">
        <v>12</v>
      </c>
      <c r="J4080" s="2" t="s">
        <v>12</v>
      </c>
      <c r="K4080" s="2" t="s">
        <v>12</v>
      </c>
    </row>
    <row r="4081" spans="1:11" ht="12.5" x14ac:dyDescent="0.25">
      <c r="A4081" s="3" t="e">
        <f ca="1"/>
        <v>#NAME?</v>
      </c>
      <c r="B4081" s="2" t="s">
        <v>12</v>
      </c>
      <c r="C4081" s="2" t="s">
        <v>12</v>
      </c>
      <c r="D4081" s="2" t="s">
        <v>12</v>
      </c>
      <c r="E4081" s="2" t="s">
        <v>12</v>
      </c>
      <c r="F4081" s="2" t="s">
        <v>12</v>
      </c>
      <c r="G4081" s="2" t="s">
        <v>12</v>
      </c>
      <c r="H4081" s="2" t="s">
        <v>12</v>
      </c>
      <c r="I4081" s="2" t="s">
        <v>12</v>
      </c>
      <c r="J4081" s="2" t="s">
        <v>12</v>
      </c>
      <c r="K4081" s="2" t="s">
        <v>12</v>
      </c>
    </row>
    <row r="4082" spans="1:11" ht="12.5" x14ac:dyDescent="0.25">
      <c r="A4082" s="3" t="e">
        <f ca="1"/>
        <v>#NAME?</v>
      </c>
      <c r="B4082" s="2" t="s">
        <v>12</v>
      </c>
      <c r="C4082" s="2" t="s">
        <v>12</v>
      </c>
      <c r="D4082" s="2" t="s">
        <v>12</v>
      </c>
      <c r="E4082" s="2" t="s">
        <v>12</v>
      </c>
      <c r="F4082" s="2" t="s">
        <v>12</v>
      </c>
      <c r="G4082" s="2" t="s">
        <v>12</v>
      </c>
      <c r="H4082" s="2" t="s">
        <v>12</v>
      </c>
      <c r="I4082" s="2" t="s">
        <v>12</v>
      </c>
      <c r="J4082" s="2" t="s">
        <v>12</v>
      </c>
      <c r="K4082" s="2" t="s">
        <v>12</v>
      </c>
    </row>
    <row r="4083" spans="1:11" ht="12.5" x14ac:dyDescent="0.25">
      <c r="A4083" s="3" t="e">
        <f ca="1"/>
        <v>#NAME?</v>
      </c>
      <c r="B4083" s="2" t="s">
        <v>12</v>
      </c>
      <c r="C4083" s="2" t="s">
        <v>12</v>
      </c>
      <c r="D4083" s="2" t="s">
        <v>12</v>
      </c>
      <c r="E4083" s="2" t="s">
        <v>12</v>
      </c>
      <c r="F4083" s="2" t="s">
        <v>12</v>
      </c>
      <c r="G4083" s="2" t="s">
        <v>12</v>
      </c>
      <c r="H4083" s="2" t="s">
        <v>12</v>
      </c>
      <c r="I4083" s="2" t="s">
        <v>12</v>
      </c>
      <c r="J4083" s="2" t="s">
        <v>12</v>
      </c>
      <c r="K4083" s="2" t="s">
        <v>12</v>
      </c>
    </row>
    <row r="4084" spans="1:11" ht="12.5" x14ac:dyDescent="0.25">
      <c r="A4084" s="3" t="e">
        <f ca="1"/>
        <v>#NAME?</v>
      </c>
      <c r="B4084" s="2" t="s">
        <v>12</v>
      </c>
      <c r="C4084" s="2" t="s">
        <v>12</v>
      </c>
      <c r="D4084" s="2" t="s">
        <v>12</v>
      </c>
      <c r="E4084" s="2" t="s">
        <v>12</v>
      </c>
      <c r="F4084" s="2" t="s">
        <v>12</v>
      </c>
      <c r="G4084" s="2" t="s">
        <v>12</v>
      </c>
      <c r="H4084" s="2" t="s">
        <v>12</v>
      </c>
      <c r="I4084" s="2" t="s">
        <v>12</v>
      </c>
      <c r="J4084" s="2" t="s">
        <v>12</v>
      </c>
      <c r="K4084" s="2" t="s">
        <v>12</v>
      </c>
    </row>
    <row r="4085" spans="1:11" ht="12.5" x14ac:dyDescent="0.25">
      <c r="A4085" s="3" t="e">
        <f ca="1"/>
        <v>#NAME?</v>
      </c>
      <c r="B4085" s="2" t="s">
        <v>12</v>
      </c>
      <c r="C4085" s="2" t="s">
        <v>12</v>
      </c>
      <c r="D4085" s="2" t="s">
        <v>12</v>
      </c>
      <c r="E4085" s="2" t="s">
        <v>12</v>
      </c>
      <c r="F4085" s="2" t="s">
        <v>12</v>
      </c>
      <c r="G4085" s="2" t="s">
        <v>12</v>
      </c>
      <c r="H4085" s="2" t="s">
        <v>12</v>
      </c>
      <c r="I4085" s="2" t="s">
        <v>12</v>
      </c>
      <c r="J4085" s="2" t="s">
        <v>12</v>
      </c>
      <c r="K4085" s="2" t="s">
        <v>12</v>
      </c>
    </row>
    <row r="4086" spans="1:11" ht="12.5" x14ac:dyDescent="0.25">
      <c r="A4086" s="3" t="e">
        <f ca="1"/>
        <v>#NAME?</v>
      </c>
      <c r="B4086" s="2" t="s">
        <v>12</v>
      </c>
      <c r="C4086" s="2" t="s">
        <v>12</v>
      </c>
      <c r="D4086" s="2" t="s">
        <v>12</v>
      </c>
      <c r="E4086" s="2" t="s">
        <v>12</v>
      </c>
      <c r="F4086" s="2" t="s">
        <v>12</v>
      </c>
      <c r="G4086" s="2" t="s">
        <v>12</v>
      </c>
      <c r="H4086" s="2" t="s">
        <v>12</v>
      </c>
      <c r="I4086" s="2" t="s">
        <v>12</v>
      </c>
      <c r="J4086" s="2" t="s">
        <v>12</v>
      </c>
      <c r="K4086" s="2" t="s">
        <v>12</v>
      </c>
    </row>
    <row r="4087" spans="1:11" ht="12.5" x14ac:dyDescent="0.25">
      <c r="A4087" s="3" t="e">
        <f ca="1"/>
        <v>#NAME?</v>
      </c>
      <c r="B4087" s="2" t="s">
        <v>12</v>
      </c>
      <c r="C4087" s="2" t="s">
        <v>12</v>
      </c>
      <c r="D4087" s="2" t="s">
        <v>12</v>
      </c>
      <c r="E4087" s="2" t="s">
        <v>12</v>
      </c>
      <c r="F4087" s="2" t="s">
        <v>12</v>
      </c>
      <c r="G4087" s="2" t="s">
        <v>12</v>
      </c>
      <c r="H4087" s="2" t="s">
        <v>12</v>
      </c>
      <c r="I4087" s="2" t="s">
        <v>12</v>
      </c>
      <c r="J4087" s="2" t="s">
        <v>12</v>
      </c>
      <c r="K4087" s="2" t="s">
        <v>12</v>
      </c>
    </row>
    <row r="4088" spans="1:11" ht="12.5" x14ac:dyDescent="0.25">
      <c r="A4088" s="3" t="e">
        <f ca="1"/>
        <v>#NAME?</v>
      </c>
      <c r="B4088" s="2" t="s">
        <v>12</v>
      </c>
      <c r="C4088" s="2" t="s">
        <v>12</v>
      </c>
      <c r="D4088" s="2" t="s">
        <v>12</v>
      </c>
      <c r="E4088" s="2" t="s">
        <v>12</v>
      </c>
      <c r="F4088" s="2" t="s">
        <v>12</v>
      </c>
      <c r="G4088" s="2" t="s">
        <v>12</v>
      </c>
      <c r="H4088" s="2" t="s">
        <v>12</v>
      </c>
      <c r="I4088" s="2" t="s">
        <v>12</v>
      </c>
      <c r="J4088" s="2" t="s">
        <v>12</v>
      </c>
      <c r="K4088" s="2" t="s">
        <v>12</v>
      </c>
    </row>
    <row r="4089" spans="1:11" ht="12.5" x14ac:dyDescent="0.25">
      <c r="A4089" s="3" t="e">
        <f ca="1"/>
        <v>#NAME?</v>
      </c>
      <c r="B4089" s="2" t="s">
        <v>12</v>
      </c>
      <c r="C4089" s="2" t="s">
        <v>12</v>
      </c>
      <c r="D4089" s="2" t="s">
        <v>12</v>
      </c>
      <c r="E4089" s="2" t="s">
        <v>12</v>
      </c>
      <c r="F4089" s="2" t="s">
        <v>12</v>
      </c>
      <c r="G4089" s="2" t="s">
        <v>12</v>
      </c>
      <c r="H4089" s="2" t="s">
        <v>12</v>
      </c>
      <c r="I4089" s="2" t="s">
        <v>12</v>
      </c>
      <c r="J4089" s="2" t="s">
        <v>12</v>
      </c>
      <c r="K4089" s="2" t="s">
        <v>12</v>
      </c>
    </row>
    <row r="4090" spans="1:11" ht="12.5" x14ac:dyDescent="0.25">
      <c r="A4090" s="3" t="e">
        <f ca="1"/>
        <v>#NAME?</v>
      </c>
      <c r="B4090" s="2" t="s">
        <v>12</v>
      </c>
      <c r="C4090" s="2" t="s">
        <v>12</v>
      </c>
      <c r="D4090" s="2" t="s">
        <v>12</v>
      </c>
      <c r="E4090" s="2" t="s">
        <v>12</v>
      </c>
      <c r="F4090" s="2" t="s">
        <v>12</v>
      </c>
      <c r="G4090" s="2" t="s">
        <v>12</v>
      </c>
      <c r="H4090" s="2" t="s">
        <v>12</v>
      </c>
      <c r="I4090" s="2" t="s">
        <v>12</v>
      </c>
      <c r="J4090" s="2" t="s">
        <v>12</v>
      </c>
      <c r="K4090" s="2" t="s">
        <v>12</v>
      </c>
    </row>
    <row r="4091" spans="1:11" ht="12.5" x14ac:dyDescent="0.25">
      <c r="A4091" s="3" t="e">
        <f ca="1"/>
        <v>#NAME?</v>
      </c>
      <c r="B4091" s="2" t="s">
        <v>12</v>
      </c>
      <c r="C4091" s="2" t="s">
        <v>12</v>
      </c>
      <c r="D4091" s="2" t="s">
        <v>12</v>
      </c>
      <c r="E4091" s="2" t="s">
        <v>12</v>
      </c>
      <c r="F4091" s="2" t="s">
        <v>12</v>
      </c>
      <c r="G4091" s="2" t="s">
        <v>12</v>
      </c>
      <c r="H4091" s="2" t="s">
        <v>12</v>
      </c>
      <c r="I4091" s="2" t="s">
        <v>12</v>
      </c>
      <c r="J4091" s="2" t="s">
        <v>12</v>
      </c>
      <c r="K4091" s="2" t="s">
        <v>12</v>
      </c>
    </row>
    <row r="4092" spans="1:11" ht="12.5" x14ac:dyDescent="0.25">
      <c r="A4092" s="3" t="e">
        <f ca="1"/>
        <v>#NAME?</v>
      </c>
      <c r="B4092" s="2" t="s">
        <v>12</v>
      </c>
      <c r="C4092" s="2" t="s">
        <v>12</v>
      </c>
      <c r="D4092" s="2" t="s">
        <v>12</v>
      </c>
      <c r="E4092" s="2" t="s">
        <v>12</v>
      </c>
      <c r="F4092" s="2" t="s">
        <v>12</v>
      </c>
      <c r="G4092" s="2" t="s">
        <v>12</v>
      </c>
      <c r="H4092" s="2" t="s">
        <v>12</v>
      </c>
      <c r="I4092" s="2" t="s">
        <v>12</v>
      </c>
      <c r="J4092" s="2" t="s">
        <v>12</v>
      </c>
      <c r="K4092" s="2" t="s">
        <v>12</v>
      </c>
    </row>
    <row r="4093" spans="1:11" ht="12.5" x14ac:dyDescent="0.25">
      <c r="A4093" s="3" t="e">
        <f ca="1"/>
        <v>#NAME?</v>
      </c>
      <c r="B4093" s="2" t="s">
        <v>12</v>
      </c>
      <c r="C4093" s="2" t="s">
        <v>12</v>
      </c>
      <c r="D4093" s="2" t="s">
        <v>12</v>
      </c>
      <c r="E4093" s="2" t="s">
        <v>12</v>
      </c>
      <c r="F4093" s="2" t="s">
        <v>12</v>
      </c>
      <c r="G4093" s="2" t="s">
        <v>12</v>
      </c>
      <c r="H4093" s="2" t="s">
        <v>12</v>
      </c>
      <c r="I4093" s="2" t="s">
        <v>12</v>
      </c>
      <c r="J4093" s="2" t="s">
        <v>12</v>
      </c>
      <c r="K4093" s="2" t="s">
        <v>12</v>
      </c>
    </row>
    <row r="4094" spans="1:11" ht="12.5" x14ac:dyDescent="0.25">
      <c r="A4094" s="3" t="e">
        <f ca="1"/>
        <v>#NAME?</v>
      </c>
      <c r="B4094" s="2" t="s">
        <v>12</v>
      </c>
      <c r="C4094" s="2" t="s">
        <v>12</v>
      </c>
      <c r="D4094" s="2" t="s">
        <v>12</v>
      </c>
      <c r="E4094" s="2" t="s">
        <v>12</v>
      </c>
      <c r="F4094" s="2" t="s">
        <v>12</v>
      </c>
      <c r="G4094" s="2" t="s">
        <v>12</v>
      </c>
      <c r="H4094" s="2" t="s">
        <v>12</v>
      </c>
      <c r="I4094" s="2" t="s">
        <v>12</v>
      </c>
      <c r="J4094" s="2" t="s">
        <v>12</v>
      </c>
      <c r="K4094" s="2" t="s">
        <v>12</v>
      </c>
    </row>
    <row r="4095" spans="1:11" ht="12.5" x14ac:dyDescent="0.25">
      <c r="A4095" s="3" t="e">
        <f ca="1"/>
        <v>#NAME?</v>
      </c>
      <c r="B4095" s="2" t="s">
        <v>12</v>
      </c>
      <c r="C4095" s="2" t="s">
        <v>12</v>
      </c>
      <c r="D4095" s="2" t="s">
        <v>12</v>
      </c>
      <c r="E4095" s="2" t="s">
        <v>12</v>
      </c>
      <c r="F4095" s="2" t="s">
        <v>12</v>
      </c>
      <c r="G4095" s="2" t="s">
        <v>12</v>
      </c>
      <c r="H4095" s="2" t="s">
        <v>12</v>
      </c>
      <c r="I4095" s="2" t="s">
        <v>12</v>
      </c>
      <c r="J4095" s="2" t="s">
        <v>12</v>
      </c>
      <c r="K4095" s="2" t="s">
        <v>12</v>
      </c>
    </row>
    <row r="4096" spans="1:11" ht="12.5" x14ac:dyDescent="0.25">
      <c r="A4096" s="3" t="e">
        <f ca="1"/>
        <v>#NAME?</v>
      </c>
      <c r="B4096" s="2" t="s">
        <v>12</v>
      </c>
      <c r="C4096" s="2" t="s">
        <v>12</v>
      </c>
      <c r="D4096" s="2" t="s">
        <v>12</v>
      </c>
      <c r="E4096" s="2" t="s">
        <v>12</v>
      </c>
      <c r="F4096" s="2" t="s">
        <v>12</v>
      </c>
      <c r="G4096" s="2" t="s">
        <v>12</v>
      </c>
      <c r="H4096" s="2" t="s">
        <v>12</v>
      </c>
      <c r="I4096" s="2" t="s">
        <v>12</v>
      </c>
      <c r="J4096" s="2" t="s">
        <v>12</v>
      </c>
      <c r="K4096" s="2" t="s">
        <v>12</v>
      </c>
    </row>
    <row r="4097" spans="1:11" ht="12.5" x14ac:dyDescent="0.25">
      <c r="A4097" s="3" t="e">
        <f ca="1"/>
        <v>#NAME?</v>
      </c>
      <c r="B4097" s="2" t="s">
        <v>12</v>
      </c>
      <c r="C4097" s="2" t="s">
        <v>12</v>
      </c>
      <c r="D4097" s="2" t="s">
        <v>12</v>
      </c>
      <c r="E4097" s="2" t="s">
        <v>12</v>
      </c>
      <c r="F4097" s="2" t="s">
        <v>12</v>
      </c>
      <c r="G4097" s="2" t="s">
        <v>12</v>
      </c>
      <c r="H4097" s="2" t="s">
        <v>12</v>
      </c>
      <c r="I4097" s="2" t="s">
        <v>12</v>
      </c>
      <c r="J4097" s="2" t="s">
        <v>12</v>
      </c>
      <c r="K4097" s="2" t="s">
        <v>12</v>
      </c>
    </row>
    <row r="4098" spans="1:11" ht="12.5" x14ac:dyDescent="0.25">
      <c r="A4098" s="3" t="e">
        <f ca="1"/>
        <v>#NAME?</v>
      </c>
      <c r="B4098" s="2" t="s">
        <v>12</v>
      </c>
      <c r="C4098" s="2" t="s">
        <v>12</v>
      </c>
      <c r="D4098" s="2" t="s">
        <v>12</v>
      </c>
      <c r="E4098" s="2" t="s">
        <v>12</v>
      </c>
      <c r="F4098" s="2" t="s">
        <v>12</v>
      </c>
      <c r="G4098" s="2" t="s">
        <v>12</v>
      </c>
      <c r="H4098" s="2" t="s">
        <v>12</v>
      </c>
      <c r="I4098" s="2" t="s">
        <v>12</v>
      </c>
      <c r="J4098" s="2" t="s">
        <v>12</v>
      </c>
      <c r="K4098" s="2" t="s">
        <v>12</v>
      </c>
    </row>
    <row r="4099" spans="1:11" ht="12.5" x14ac:dyDescent="0.25">
      <c r="A4099" s="3" t="e">
        <f ca="1"/>
        <v>#NAME?</v>
      </c>
      <c r="B4099" s="2" t="s">
        <v>12</v>
      </c>
      <c r="C4099" s="2" t="s">
        <v>12</v>
      </c>
      <c r="D4099" s="2" t="s">
        <v>12</v>
      </c>
      <c r="E4099" s="2" t="s">
        <v>12</v>
      </c>
      <c r="F4099" s="2" t="s">
        <v>12</v>
      </c>
      <c r="G4099" s="2" t="s">
        <v>12</v>
      </c>
      <c r="H4099" s="2" t="s">
        <v>12</v>
      </c>
      <c r="I4099" s="2" t="s">
        <v>12</v>
      </c>
      <c r="J4099" s="2" t="s">
        <v>12</v>
      </c>
      <c r="K4099" s="2" t="s">
        <v>12</v>
      </c>
    </row>
    <row r="4100" spans="1:11" ht="12.5" x14ac:dyDescent="0.25">
      <c r="A4100" s="3" t="e">
        <f ca="1"/>
        <v>#NAME?</v>
      </c>
      <c r="B4100" s="2" t="s">
        <v>12</v>
      </c>
      <c r="C4100" s="2" t="s">
        <v>12</v>
      </c>
      <c r="D4100" s="2" t="s">
        <v>12</v>
      </c>
      <c r="E4100" s="2" t="s">
        <v>12</v>
      </c>
      <c r="F4100" s="2" t="s">
        <v>12</v>
      </c>
      <c r="G4100" s="2" t="s">
        <v>12</v>
      </c>
      <c r="H4100" s="2" t="s">
        <v>12</v>
      </c>
      <c r="I4100" s="2" t="s">
        <v>12</v>
      </c>
      <c r="J4100" s="2" t="s">
        <v>12</v>
      </c>
      <c r="K4100" s="2" t="s">
        <v>12</v>
      </c>
    </row>
    <row r="4101" spans="1:11" ht="12.5" x14ac:dyDescent="0.25">
      <c r="A4101" s="3" t="e">
        <f ca="1"/>
        <v>#NAME?</v>
      </c>
      <c r="B4101" s="2" t="s">
        <v>12</v>
      </c>
      <c r="C4101" s="2" t="s">
        <v>12</v>
      </c>
      <c r="D4101" s="2" t="s">
        <v>12</v>
      </c>
      <c r="E4101" s="2" t="s">
        <v>12</v>
      </c>
      <c r="F4101" s="2" t="s">
        <v>12</v>
      </c>
      <c r="G4101" s="2" t="s">
        <v>12</v>
      </c>
      <c r="H4101" s="2" t="s">
        <v>12</v>
      </c>
      <c r="I4101" s="2" t="s">
        <v>12</v>
      </c>
      <c r="J4101" s="2" t="s">
        <v>12</v>
      </c>
      <c r="K4101" s="2" t="s">
        <v>12</v>
      </c>
    </row>
    <row r="4102" spans="1:11" ht="12.5" x14ac:dyDescent="0.25">
      <c r="A4102" s="3" t="e">
        <f ca="1"/>
        <v>#NAME?</v>
      </c>
      <c r="B4102" s="2" t="s">
        <v>12</v>
      </c>
      <c r="C4102" s="2" t="s">
        <v>12</v>
      </c>
      <c r="D4102" s="2" t="s">
        <v>12</v>
      </c>
      <c r="E4102" s="2" t="s">
        <v>12</v>
      </c>
      <c r="F4102" s="2" t="s">
        <v>12</v>
      </c>
      <c r="G4102" s="2" t="s">
        <v>12</v>
      </c>
      <c r="H4102" s="2" t="s">
        <v>12</v>
      </c>
      <c r="I4102" s="2" t="s">
        <v>12</v>
      </c>
      <c r="J4102" s="2" t="s">
        <v>12</v>
      </c>
      <c r="K4102" s="2" t="s">
        <v>12</v>
      </c>
    </row>
    <row r="4103" spans="1:11" ht="12.5" x14ac:dyDescent="0.25">
      <c r="A4103" s="3" t="e">
        <f ca="1"/>
        <v>#NAME?</v>
      </c>
      <c r="B4103" s="2" t="s">
        <v>12</v>
      </c>
      <c r="C4103" s="2" t="s">
        <v>12</v>
      </c>
      <c r="D4103" s="2" t="s">
        <v>12</v>
      </c>
      <c r="E4103" s="2" t="s">
        <v>12</v>
      </c>
      <c r="F4103" s="2" t="s">
        <v>12</v>
      </c>
      <c r="G4103" s="2" t="s">
        <v>12</v>
      </c>
      <c r="H4103" s="2" t="s">
        <v>12</v>
      </c>
      <c r="I4103" s="2" t="s">
        <v>12</v>
      </c>
      <c r="J4103" s="2" t="s">
        <v>12</v>
      </c>
      <c r="K4103" s="2" t="s">
        <v>12</v>
      </c>
    </row>
    <row r="4104" spans="1:11" ht="12.5" x14ac:dyDescent="0.25">
      <c r="A4104" s="3" t="e">
        <f ca="1"/>
        <v>#NAME?</v>
      </c>
      <c r="B4104" s="2" t="s">
        <v>12</v>
      </c>
      <c r="C4104" s="2" t="s">
        <v>12</v>
      </c>
      <c r="D4104" s="2" t="s">
        <v>12</v>
      </c>
      <c r="E4104" s="2" t="s">
        <v>12</v>
      </c>
      <c r="F4104" s="2" t="s">
        <v>12</v>
      </c>
      <c r="G4104" s="2" t="s">
        <v>12</v>
      </c>
      <c r="H4104" s="2" t="s">
        <v>12</v>
      </c>
      <c r="I4104" s="2" t="s">
        <v>12</v>
      </c>
      <c r="J4104" s="2" t="s">
        <v>12</v>
      </c>
      <c r="K4104" s="2" t="s">
        <v>12</v>
      </c>
    </row>
    <row r="4105" spans="1:11" ht="12.5" x14ac:dyDescent="0.25">
      <c r="A4105" s="3" t="e">
        <f ca="1"/>
        <v>#NAME?</v>
      </c>
      <c r="B4105" s="2" t="s">
        <v>12</v>
      </c>
      <c r="C4105" s="2" t="s">
        <v>12</v>
      </c>
      <c r="D4105" s="2" t="s">
        <v>12</v>
      </c>
      <c r="E4105" s="2" t="s">
        <v>12</v>
      </c>
      <c r="F4105" s="2" t="s">
        <v>12</v>
      </c>
      <c r="G4105" s="2" t="s">
        <v>12</v>
      </c>
      <c r="H4105" s="2" t="s">
        <v>12</v>
      </c>
      <c r="I4105" s="2" t="s">
        <v>12</v>
      </c>
      <c r="J4105" s="2" t="s">
        <v>12</v>
      </c>
      <c r="K4105" s="2" t="s">
        <v>12</v>
      </c>
    </row>
    <row r="4106" spans="1:11" ht="12.5" x14ac:dyDescent="0.25">
      <c r="A4106" s="3" t="e">
        <f ca="1"/>
        <v>#NAME?</v>
      </c>
      <c r="B4106" s="2" t="s">
        <v>12</v>
      </c>
      <c r="C4106" s="2" t="s">
        <v>12</v>
      </c>
      <c r="D4106" s="2" t="s">
        <v>12</v>
      </c>
      <c r="E4106" s="2" t="s">
        <v>12</v>
      </c>
      <c r="F4106" s="2" t="s">
        <v>12</v>
      </c>
      <c r="G4106" s="2" t="s">
        <v>12</v>
      </c>
      <c r="H4106" s="2" t="s">
        <v>12</v>
      </c>
      <c r="I4106" s="2" t="s">
        <v>12</v>
      </c>
      <c r="J4106" s="2" t="s">
        <v>12</v>
      </c>
      <c r="K4106" s="2" t="s">
        <v>12</v>
      </c>
    </row>
    <row r="4107" spans="1:11" ht="12.5" x14ac:dyDescent="0.25">
      <c r="A4107" s="3" t="e">
        <f ca="1"/>
        <v>#NAME?</v>
      </c>
      <c r="B4107" s="2" t="s">
        <v>12</v>
      </c>
      <c r="C4107" s="2" t="s">
        <v>12</v>
      </c>
      <c r="D4107" s="2" t="s">
        <v>12</v>
      </c>
      <c r="E4107" s="2" t="s">
        <v>12</v>
      </c>
      <c r="F4107" s="2" t="s">
        <v>12</v>
      </c>
      <c r="G4107" s="2" t="s">
        <v>12</v>
      </c>
      <c r="H4107" s="2" t="s">
        <v>12</v>
      </c>
      <c r="I4107" s="2" t="s">
        <v>12</v>
      </c>
      <c r="J4107" s="2" t="s">
        <v>12</v>
      </c>
      <c r="K4107" s="2" t="s">
        <v>12</v>
      </c>
    </row>
    <row r="4108" spans="1:11" ht="12.5" x14ac:dyDescent="0.25">
      <c r="A4108" s="3" t="e">
        <f ca="1"/>
        <v>#NAME?</v>
      </c>
      <c r="B4108" s="2" t="s">
        <v>12</v>
      </c>
      <c r="C4108" s="2" t="s">
        <v>12</v>
      </c>
      <c r="D4108" s="2" t="s">
        <v>12</v>
      </c>
      <c r="E4108" s="2" t="s">
        <v>12</v>
      </c>
      <c r="F4108" s="2" t="s">
        <v>12</v>
      </c>
      <c r="G4108" s="2" t="s">
        <v>12</v>
      </c>
      <c r="H4108" s="2" t="s">
        <v>12</v>
      </c>
      <c r="I4108" s="2" t="s">
        <v>12</v>
      </c>
      <c r="J4108" s="2" t="s">
        <v>12</v>
      </c>
      <c r="K4108" s="2" t="s">
        <v>12</v>
      </c>
    </row>
    <row r="4109" spans="1:11" ht="12.5" x14ac:dyDescent="0.25">
      <c r="A4109" s="3" t="e">
        <f ca="1"/>
        <v>#NAME?</v>
      </c>
      <c r="B4109" s="2" t="s">
        <v>12</v>
      </c>
      <c r="C4109" s="2" t="s">
        <v>12</v>
      </c>
      <c r="D4109" s="2" t="s">
        <v>12</v>
      </c>
      <c r="E4109" s="2" t="s">
        <v>12</v>
      </c>
      <c r="F4109" s="2" t="s">
        <v>12</v>
      </c>
      <c r="G4109" s="2" t="s">
        <v>12</v>
      </c>
      <c r="H4109" s="2" t="s">
        <v>12</v>
      </c>
      <c r="I4109" s="2" t="s">
        <v>12</v>
      </c>
      <c r="J4109" s="2" t="s">
        <v>12</v>
      </c>
      <c r="K4109" s="2" t="s">
        <v>12</v>
      </c>
    </row>
    <row r="4110" spans="1:11" ht="12.5" x14ac:dyDescent="0.25">
      <c r="A4110" s="3" t="e">
        <f ca="1"/>
        <v>#NAME?</v>
      </c>
      <c r="B4110" s="2" t="s">
        <v>12</v>
      </c>
      <c r="C4110" s="2" t="s">
        <v>12</v>
      </c>
      <c r="D4110" s="2" t="s">
        <v>12</v>
      </c>
      <c r="E4110" s="2" t="s">
        <v>12</v>
      </c>
      <c r="F4110" s="2" t="s">
        <v>12</v>
      </c>
      <c r="G4110" s="2" t="s">
        <v>12</v>
      </c>
      <c r="H4110" s="2" t="s">
        <v>12</v>
      </c>
      <c r="I4110" s="2" t="s">
        <v>12</v>
      </c>
      <c r="J4110" s="2" t="s">
        <v>12</v>
      </c>
      <c r="K4110" s="2" t="s">
        <v>12</v>
      </c>
    </row>
    <row r="4111" spans="1:11" ht="12.5" x14ac:dyDescent="0.25">
      <c r="A4111" s="3" t="e">
        <f ca="1"/>
        <v>#NAME?</v>
      </c>
      <c r="B4111" s="2" t="s">
        <v>12</v>
      </c>
      <c r="C4111" s="2" t="s">
        <v>12</v>
      </c>
      <c r="D4111" s="2" t="s">
        <v>12</v>
      </c>
      <c r="E4111" s="2" t="s">
        <v>12</v>
      </c>
      <c r="F4111" s="2" t="s">
        <v>12</v>
      </c>
      <c r="G4111" s="2" t="s">
        <v>12</v>
      </c>
      <c r="H4111" s="2" t="s">
        <v>12</v>
      </c>
      <c r="I4111" s="2" t="s">
        <v>12</v>
      </c>
      <c r="J4111" s="2" t="s">
        <v>12</v>
      </c>
      <c r="K4111" s="2" t="s">
        <v>12</v>
      </c>
    </row>
    <row r="4112" spans="1:11" ht="12.5" x14ac:dyDescent="0.25">
      <c r="A4112" s="3" t="e">
        <f ca="1"/>
        <v>#NAME?</v>
      </c>
      <c r="B4112" s="2" t="s">
        <v>12</v>
      </c>
      <c r="C4112" s="2" t="s">
        <v>12</v>
      </c>
      <c r="D4112" s="2" t="s">
        <v>12</v>
      </c>
      <c r="E4112" s="2" t="s">
        <v>12</v>
      </c>
      <c r="F4112" s="2" t="s">
        <v>12</v>
      </c>
      <c r="G4112" s="2" t="s">
        <v>12</v>
      </c>
      <c r="H4112" s="2" t="s">
        <v>12</v>
      </c>
      <c r="I4112" s="2" t="s">
        <v>12</v>
      </c>
      <c r="J4112" s="2" t="s">
        <v>12</v>
      </c>
      <c r="K4112" s="2" t="s">
        <v>12</v>
      </c>
    </row>
    <row r="4113" spans="1:11" ht="12.5" x14ac:dyDescent="0.25">
      <c r="A4113" s="3" t="e">
        <f ca="1"/>
        <v>#NAME?</v>
      </c>
      <c r="B4113" s="2" t="s">
        <v>12</v>
      </c>
      <c r="C4113" s="2" t="s">
        <v>12</v>
      </c>
      <c r="D4113" s="2" t="s">
        <v>12</v>
      </c>
      <c r="E4113" s="2" t="s">
        <v>12</v>
      </c>
      <c r="F4113" s="2" t="s">
        <v>12</v>
      </c>
      <c r="G4113" s="2" t="s">
        <v>12</v>
      </c>
      <c r="H4113" s="2" t="s">
        <v>12</v>
      </c>
      <c r="I4113" s="2" t="s">
        <v>12</v>
      </c>
      <c r="J4113" s="2" t="s">
        <v>12</v>
      </c>
      <c r="K4113" s="2" t="s">
        <v>12</v>
      </c>
    </row>
    <row r="4114" spans="1:11" ht="12.5" x14ac:dyDescent="0.25">
      <c r="A4114" s="3" t="e">
        <f ca="1"/>
        <v>#NAME?</v>
      </c>
      <c r="B4114" s="2" t="s">
        <v>12</v>
      </c>
      <c r="C4114" s="2" t="s">
        <v>12</v>
      </c>
      <c r="D4114" s="2" t="s">
        <v>12</v>
      </c>
      <c r="E4114" s="2" t="s">
        <v>12</v>
      </c>
      <c r="F4114" s="2" t="s">
        <v>12</v>
      </c>
      <c r="G4114" s="2" t="s">
        <v>12</v>
      </c>
      <c r="H4114" s="2" t="s">
        <v>12</v>
      </c>
      <c r="I4114" s="2" t="s">
        <v>12</v>
      </c>
      <c r="J4114" s="2" t="s">
        <v>12</v>
      </c>
      <c r="K4114" s="2" t="s">
        <v>12</v>
      </c>
    </row>
    <row r="4115" spans="1:11" ht="12.5" x14ac:dyDescent="0.25">
      <c r="A4115" s="3" t="e">
        <f ca="1"/>
        <v>#NAME?</v>
      </c>
      <c r="B4115" s="2" t="s">
        <v>12</v>
      </c>
      <c r="C4115" s="2" t="s">
        <v>12</v>
      </c>
      <c r="D4115" s="2" t="s">
        <v>12</v>
      </c>
      <c r="E4115" s="2" t="s">
        <v>12</v>
      </c>
      <c r="F4115" s="2" t="s">
        <v>12</v>
      </c>
      <c r="G4115" s="2" t="s">
        <v>12</v>
      </c>
      <c r="H4115" s="2" t="s">
        <v>12</v>
      </c>
      <c r="I4115" s="2" t="s">
        <v>12</v>
      </c>
      <c r="J4115" s="2" t="s">
        <v>12</v>
      </c>
      <c r="K4115" s="2" t="s">
        <v>12</v>
      </c>
    </row>
    <row r="4116" spans="1:11" ht="12.5" x14ac:dyDescent="0.25">
      <c r="A4116" s="3" t="e">
        <f ca="1"/>
        <v>#NAME?</v>
      </c>
      <c r="B4116" s="2" t="s">
        <v>12</v>
      </c>
      <c r="C4116" s="2" t="s">
        <v>12</v>
      </c>
      <c r="D4116" s="2" t="s">
        <v>12</v>
      </c>
      <c r="E4116" s="2" t="s">
        <v>12</v>
      </c>
      <c r="F4116" s="2" t="s">
        <v>12</v>
      </c>
      <c r="G4116" s="2" t="s">
        <v>12</v>
      </c>
      <c r="H4116" s="2" t="s">
        <v>12</v>
      </c>
      <c r="I4116" s="2" t="s">
        <v>12</v>
      </c>
      <c r="J4116" s="2" t="s">
        <v>12</v>
      </c>
      <c r="K4116" s="2" t="s">
        <v>12</v>
      </c>
    </row>
    <row r="4117" spans="1:11" ht="12.5" x14ac:dyDescent="0.25">
      <c r="A4117" s="3" t="e">
        <f ca="1"/>
        <v>#NAME?</v>
      </c>
      <c r="B4117" s="2" t="s">
        <v>12</v>
      </c>
      <c r="C4117" s="2" t="s">
        <v>12</v>
      </c>
      <c r="D4117" s="2" t="s">
        <v>12</v>
      </c>
      <c r="E4117" s="2" t="s">
        <v>12</v>
      </c>
      <c r="F4117" s="2" t="s">
        <v>12</v>
      </c>
      <c r="G4117" s="2" t="s">
        <v>12</v>
      </c>
      <c r="H4117" s="2" t="s">
        <v>12</v>
      </c>
      <c r="I4117" s="2" t="s">
        <v>12</v>
      </c>
      <c r="J4117" s="2" t="s">
        <v>12</v>
      </c>
      <c r="K4117" s="2" t="s">
        <v>12</v>
      </c>
    </row>
    <row r="4118" spans="1:11" ht="12.5" x14ac:dyDescent="0.25">
      <c r="A4118" s="3" t="e">
        <f ca="1"/>
        <v>#NAME?</v>
      </c>
      <c r="B4118" s="2" t="s">
        <v>12</v>
      </c>
      <c r="C4118" s="2" t="s">
        <v>12</v>
      </c>
      <c r="D4118" s="2" t="s">
        <v>12</v>
      </c>
      <c r="E4118" s="2" t="s">
        <v>12</v>
      </c>
      <c r="F4118" s="2" t="s">
        <v>12</v>
      </c>
      <c r="G4118" s="2" t="s">
        <v>12</v>
      </c>
      <c r="H4118" s="2" t="s">
        <v>12</v>
      </c>
      <c r="I4118" s="2" t="s">
        <v>12</v>
      </c>
      <c r="J4118" s="2" t="s">
        <v>12</v>
      </c>
      <c r="K4118" s="2" t="s">
        <v>12</v>
      </c>
    </row>
    <row r="4119" spans="1:11" ht="12.5" x14ac:dyDescent="0.25">
      <c r="A4119" s="3" t="e">
        <f ca="1"/>
        <v>#NAME?</v>
      </c>
      <c r="B4119" s="2" t="s">
        <v>12</v>
      </c>
      <c r="C4119" s="2" t="s">
        <v>12</v>
      </c>
      <c r="D4119" s="2" t="s">
        <v>12</v>
      </c>
      <c r="E4119" s="2" t="s">
        <v>12</v>
      </c>
      <c r="F4119" s="2" t="s">
        <v>12</v>
      </c>
      <c r="G4119" s="2" t="s">
        <v>12</v>
      </c>
      <c r="H4119" s="2" t="s">
        <v>12</v>
      </c>
      <c r="I4119" s="2" t="s">
        <v>12</v>
      </c>
      <c r="J4119" s="2" t="s">
        <v>12</v>
      </c>
      <c r="K4119" s="2" t="s">
        <v>12</v>
      </c>
    </row>
    <row r="4120" spans="1:11" ht="12.5" x14ac:dyDescent="0.25">
      <c r="A4120" s="3" t="e">
        <f ca="1"/>
        <v>#NAME?</v>
      </c>
      <c r="B4120" s="2" t="s">
        <v>12</v>
      </c>
      <c r="C4120" s="2" t="s">
        <v>12</v>
      </c>
      <c r="D4120" s="2" t="s">
        <v>12</v>
      </c>
      <c r="E4120" s="2" t="s">
        <v>12</v>
      </c>
      <c r="F4120" s="2" t="s">
        <v>12</v>
      </c>
      <c r="G4120" s="2" t="s">
        <v>12</v>
      </c>
      <c r="H4120" s="2" t="s">
        <v>12</v>
      </c>
      <c r="I4120" s="2" t="s">
        <v>12</v>
      </c>
      <c r="J4120" s="2" t="s">
        <v>12</v>
      </c>
      <c r="K4120" s="2" t="s">
        <v>12</v>
      </c>
    </row>
    <row r="4121" spans="1:11" ht="12.5" x14ac:dyDescent="0.25">
      <c r="A4121" s="3" t="e">
        <f ca="1"/>
        <v>#NAME?</v>
      </c>
      <c r="B4121" s="2" t="s">
        <v>12</v>
      </c>
      <c r="C4121" s="2" t="s">
        <v>12</v>
      </c>
      <c r="D4121" s="2" t="s">
        <v>12</v>
      </c>
      <c r="E4121" s="2" t="s">
        <v>12</v>
      </c>
      <c r="F4121" s="2" t="s">
        <v>12</v>
      </c>
      <c r="G4121" s="2" t="s">
        <v>12</v>
      </c>
      <c r="H4121" s="2" t="s">
        <v>12</v>
      </c>
      <c r="I4121" s="2" t="s">
        <v>12</v>
      </c>
      <c r="J4121" s="2" t="s">
        <v>12</v>
      </c>
      <c r="K4121" s="2" t="s">
        <v>12</v>
      </c>
    </row>
    <row r="4122" spans="1:11" ht="12.5" x14ac:dyDescent="0.25">
      <c r="A4122" s="3" t="e">
        <f ca="1"/>
        <v>#NAME?</v>
      </c>
      <c r="B4122" s="2" t="s">
        <v>12</v>
      </c>
      <c r="C4122" s="2" t="s">
        <v>12</v>
      </c>
      <c r="D4122" s="2" t="s">
        <v>12</v>
      </c>
      <c r="E4122" s="2" t="s">
        <v>12</v>
      </c>
      <c r="F4122" s="2" t="s">
        <v>12</v>
      </c>
      <c r="G4122" s="2" t="s">
        <v>12</v>
      </c>
      <c r="H4122" s="2" t="s">
        <v>12</v>
      </c>
      <c r="I4122" s="2" t="s">
        <v>12</v>
      </c>
      <c r="J4122" s="2" t="s">
        <v>12</v>
      </c>
      <c r="K4122" s="2" t="s">
        <v>12</v>
      </c>
    </row>
    <row r="4123" spans="1:11" ht="12.5" x14ac:dyDescent="0.25">
      <c r="A4123" s="3" t="e">
        <f ca="1"/>
        <v>#NAME?</v>
      </c>
      <c r="B4123" s="2" t="s">
        <v>12</v>
      </c>
      <c r="C4123" s="2" t="s">
        <v>12</v>
      </c>
      <c r="D4123" s="2" t="s">
        <v>12</v>
      </c>
      <c r="E4123" s="2" t="s">
        <v>12</v>
      </c>
      <c r="F4123" s="2" t="s">
        <v>12</v>
      </c>
      <c r="G4123" s="2" t="s">
        <v>12</v>
      </c>
      <c r="H4123" s="2" t="s">
        <v>12</v>
      </c>
      <c r="I4123" s="2" t="s">
        <v>12</v>
      </c>
      <c r="J4123" s="2" t="s">
        <v>12</v>
      </c>
      <c r="K4123" s="2" t="s">
        <v>12</v>
      </c>
    </row>
    <row r="4124" spans="1:11" ht="12.5" x14ac:dyDescent="0.25">
      <c r="A4124" s="3" t="e">
        <f ca="1"/>
        <v>#NAME?</v>
      </c>
      <c r="B4124" s="2" t="s">
        <v>12</v>
      </c>
      <c r="C4124" s="2" t="s">
        <v>12</v>
      </c>
      <c r="D4124" s="2" t="s">
        <v>12</v>
      </c>
      <c r="E4124" s="2" t="s">
        <v>12</v>
      </c>
      <c r="F4124" s="2" t="s">
        <v>12</v>
      </c>
      <c r="G4124" s="2" t="s">
        <v>12</v>
      </c>
      <c r="H4124" s="2" t="s">
        <v>12</v>
      </c>
      <c r="I4124" s="2" t="s">
        <v>12</v>
      </c>
      <c r="J4124" s="2" t="s">
        <v>12</v>
      </c>
      <c r="K4124" s="2" t="s">
        <v>12</v>
      </c>
    </row>
    <row r="4125" spans="1:11" ht="12.5" x14ac:dyDescent="0.25">
      <c r="A4125" s="3" t="e">
        <f ca="1"/>
        <v>#NAME?</v>
      </c>
      <c r="B4125" s="2" t="s">
        <v>12</v>
      </c>
      <c r="C4125" s="2" t="s">
        <v>12</v>
      </c>
      <c r="D4125" s="2" t="s">
        <v>12</v>
      </c>
      <c r="E4125" s="2" t="s">
        <v>12</v>
      </c>
      <c r="F4125" s="2" t="s">
        <v>12</v>
      </c>
      <c r="G4125" s="2" t="s">
        <v>12</v>
      </c>
      <c r="H4125" s="2" t="s">
        <v>12</v>
      </c>
      <c r="I4125" s="2" t="s">
        <v>12</v>
      </c>
      <c r="J4125" s="2" t="s">
        <v>12</v>
      </c>
      <c r="K4125" s="2" t="s">
        <v>12</v>
      </c>
    </row>
    <row r="4126" spans="1:11" ht="12.5" x14ac:dyDescent="0.25">
      <c r="A4126" s="3" t="e">
        <f ca="1"/>
        <v>#NAME?</v>
      </c>
      <c r="B4126" s="2" t="s">
        <v>12</v>
      </c>
      <c r="C4126" s="2" t="s">
        <v>12</v>
      </c>
      <c r="D4126" s="2" t="s">
        <v>12</v>
      </c>
      <c r="E4126" s="2" t="s">
        <v>12</v>
      </c>
      <c r="F4126" s="2" t="s">
        <v>12</v>
      </c>
      <c r="G4126" s="2" t="s">
        <v>12</v>
      </c>
      <c r="H4126" s="2" t="s">
        <v>12</v>
      </c>
      <c r="I4126" s="2" t="s">
        <v>12</v>
      </c>
      <c r="J4126" s="2" t="s">
        <v>12</v>
      </c>
      <c r="K4126" s="2" t="s">
        <v>12</v>
      </c>
    </row>
    <row r="4127" spans="1:11" ht="12.5" x14ac:dyDescent="0.25">
      <c r="A4127" s="3" t="e">
        <f ca="1"/>
        <v>#NAME?</v>
      </c>
      <c r="B4127" s="2" t="s">
        <v>12</v>
      </c>
      <c r="C4127" s="2" t="s">
        <v>12</v>
      </c>
      <c r="D4127" s="2" t="s">
        <v>12</v>
      </c>
      <c r="E4127" s="2" t="s">
        <v>12</v>
      </c>
      <c r="F4127" s="2" t="s">
        <v>12</v>
      </c>
      <c r="G4127" s="2" t="s">
        <v>12</v>
      </c>
      <c r="H4127" s="2" t="s">
        <v>12</v>
      </c>
      <c r="I4127" s="2" t="s">
        <v>12</v>
      </c>
      <c r="J4127" s="2" t="s">
        <v>12</v>
      </c>
      <c r="K4127" s="2" t="s">
        <v>12</v>
      </c>
    </row>
    <row r="4128" spans="1:11" ht="12.5" x14ac:dyDescent="0.25">
      <c r="A4128" s="3" t="e">
        <f ca="1"/>
        <v>#NAME?</v>
      </c>
      <c r="B4128" s="2" t="s">
        <v>12</v>
      </c>
      <c r="C4128" s="2" t="s">
        <v>12</v>
      </c>
      <c r="D4128" s="2" t="s">
        <v>12</v>
      </c>
      <c r="E4128" s="2" t="s">
        <v>12</v>
      </c>
      <c r="F4128" s="2" t="s">
        <v>12</v>
      </c>
      <c r="G4128" s="2" t="s">
        <v>12</v>
      </c>
      <c r="H4128" s="2" t="s">
        <v>12</v>
      </c>
      <c r="I4128" s="2" t="s">
        <v>12</v>
      </c>
      <c r="J4128" s="2" t="s">
        <v>12</v>
      </c>
      <c r="K4128" s="2" t="s">
        <v>12</v>
      </c>
    </row>
    <row r="4129" spans="1:11" ht="12.5" x14ac:dyDescent="0.25">
      <c r="A4129" s="3" t="e">
        <f ca="1"/>
        <v>#NAME?</v>
      </c>
      <c r="B4129" s="2" t="s">
        <v>12</v>
      </c>
      <c r="C4129" s="2" t="s">
        <v>12</v>
      </c>
      <c r="D4129" s="2" t="s">
        <v>12</v>
      </c>
      <c r="E4129" s="2" t="s">
        <v>12</v>
      </c>
      <c r="F4129" s="2" t="s">
        <v>12</v>
      </c>
      <c r="G4129" s="2" t="s">
        <v>12</v>
      </c>
      <c r="H4129" s="2" t="s">
        <v>12</v>
      </c>
      <c r="I4129" s="2" t="s">
        <v>12</v>
      </c>
      <c r="J4129" s="2" t="s">
        <v>12</v>
      </c>
      <c r="K4129" s="2" t="s">
        <v>12</v>
      </c>
    </row>
    <row r="4130" spans="1:11" ht="12.5" x14ac:dyDescent="0.25">
      <c r="A4130" s="3" t="e">
        <f ca="1"/>
        <v>#NAME?</v>
      </c>
      <c r="B4130" s="2" t="s">
        <v>12</v>
      </c>
      <c r="C4130" s="2" t="s">
        <v>12</v>
      </c>
      <c r="D4130" s="2" t="s">
        <v>12</v>
      </c>
      <c r="E4130" s="2" t="s">
        <v>12</v>
      </c>
      <c r="F4130" s="2" t="s">
        <v>12</v>
      </c>
      <c r="G4130" s="2" t="s">
        <v>12</v>
      </c>
      <c r="H4130" s="2" t="s">
        <v>12</v>
      </c>
      <c r="I4130" s="2" t="s">
        <v>12</v>
      </c>
      <c r="J4130" s="2" t="s">
        <v>12</v>
      </c>
      <c r="K4130" s="2" t="s">
        <v>12</v>
      </c>
    </row>
    <row r="4131" spans="1:11" ht="12.5" x14ac:dyDescent="0.25">
      <c r="A4131" s="3" t="e">
        <f ca="1"/>
        <v>#NAME?</v>
      </c>
      <c r="B4131" s="2" t="s">
        <v>12</v>
      </c>
      <c r="C4131" s="2" t="s">
        <v>12</v>
      </c>
      <c r="D4131" s="2" t="s">
        <v>12</v>
      </c>
      <c r="E4131" s="2" t="s">
        <v>12</v>
      </c>
      <c r="F4131" s="2" t="s">
        <v>12</v>
      </c>
      <c r="G4131" s="2" t="s">
        <v>12</v>
      </c>
      <c r="H4131" s="2" t="s">
        <v>12</v>
      </c>
      <c r="I4131" s="2" t="s">
        <v>12</v>
      </c>
      <c r="J4131" s="2" t="s">
        <v>12</v>
      </c>
      <c r="K4131" s="2" t="s">
        <v>12</v>
      </c>
    </row>
    <row r="4132" spans="1:11" ht="12.5" x14ac:dyDescent="0.25">
      <c r="A4132" s="3" t="e">
        <f ca="1"/>
        <v>#NAME?</v>
      </c>
      <c r="B4132" s="2" t="s">
        <v>12</v>
      </c>
      <c r="C4132" s="2" t="s">
        <v>12</v>
      </c>
      <c r="D4132" s="2" t="s">
        <v>12</v>
      </c>
      <c r="E4132" s="2" t="s">
        <v>12</v>
      </c>
      <c r="F4132" s="2" t="s">
        <v>12</v>
      </c>
      <c r="G4132" s="2" t="s">
        <v>12</v>
      </c>
      <c r="H4132" s="2" t="s">
        <v>12</v>
      </c>
      <c r="I4132" s="2" t="s">
        <v>12</v>
      </c>
      <c r="J4132" s="2" t="s">
        <v>12</v>
      </c>
      <c r="K4132" s="2" t="s">
        <v>12</v>
      </c>
    </row>
    <row r="4133" spans="1:11" ht="12.5" x14ac:dyDescent="0.25">
      <c r="A4133" s="3" t="e">
        <f ca="1"/>
        <v>#NAME?</v>
      </c>
      <c r="B4133" s="2" t="s">
        <v>12</v>
      </c>
      <c r="C4133" s="2" t="s">
        <v>12</v>
      </c>
      <c r="D4133" s="2" t="s">
        <v>12</v>
      </c>
      <c r="E4133" s="2" t="s">
        <v>12</v>
      </c>
      <c r="F4133" s="2" t="s">
        <v>12</v>
      </c>
      <c r="G4133" s="2" t="s">
        <v>12</v>
      </c>
      <c r="H4133" s="2" t="s">
        <v>12</v>
      </c>
      <c r="I4133" s="2" t="s">
        <v>12</v>
      </c>
      <c r="J4133" s="2" t="s">
        <v>12</v>
      </c>
      <c r="K4133" s="2" t="s">
        <v>12</v>
      </c>
    </row>
    <row r="4134" spans="1:11" ht="12.5" x14ac:dyDescent="0.25">
      <c r="A4134" s="3" t="e">
        <f ca="1"/>
        <v>#NAME?</v>
      </c>
      <c r="B4134" s="2" t="s">
        <v>12</v>
      </c>
      <c r="C4134" s="2" t="s">
        <v>12</v>
      </c>
      <c r="D4134" s="2" t="s">
        <v>12</v>
      </c>
      <c r="E4134" s="2" t="s">
        <v>12</v>
      </c>
      <c r="F4134" s="2" t="s">
        <v>12</v>
      </c>
      <c r="G4134" s="2" t="s">
        <v>12</v>
      </c>
      <c r="H4134" s="2" t="s">
        <v>12</v>
      </c>
      <c r="I4134" s="2" t="s">
        <v>12</v>
      </c>
      <c r="J4134" s="2" t="s">
        <v>12</v>
      </c>
      <c r="K4134" s="2" t="s">
        <v>12</v>
      </c>
    </row>
    <row r="4135" spans="1:11" ht="12.5" x14ac:dyDescent="0.25">
      <c r="A4135" s="3" t="e">
        <f ca="1"/>
        <v>#NAME?</v>
      </c>
      <c r="B4135" s="2" t="s">
        <v>12</v>
      </c>
      <c r="C4135" s="2" t="s">
        <v>12</v>
      </c>
      <c r="D4135" s="2" t="s">
        <v>12</v>
      </c>
      <c r="E4135" s="2" t="s">
        <v>12</v>
      </c>
      <c r="F4135" s="2" t="s">
        <v>12</v>
      </c>
      <c r="G4135" s="2" t="s">
        <v>12</v>
      </c>
      <c r="H4135" s="2" t="s">
        <v>12</v>
      </c>
      <c r="I4135" s="2" t="s">
        <v>12</v>
      </c>
      <c r="J4135" s="2" t="s">
        <v>12</v>
      </c>
      <c r="K4135" s="2" t="s">
        <v>12</v>
      </c>
    </row>
    <row r="4136" spans="1:11" ht="12.5" x14ac:dyDescent="0.25">
      <c r="A4136" s="3" t="e">
        <f ca="1"/>
        <v>#NAME?</v>
      </c>
      <c r="B4136" s="2" t="s">
        <v>12</v>
      </c>
      <c r="C4136" s="2" t="s">
        <v>12</v>
      </c>
      <c r="D4136" s="2" t="s">
        <v>12</v>
      </c>
      <c r="E4136" s="2" t="s">
        <v>12</v>
      </c>
      <c r="F4136" s="2" t="s">
        <v>12</v>
      </c>
      <c r="G4136" s="2" t="s">
        <v>12</v>
      </c>
      <c r="H4136" s="2" t="s">
        <v>12</v>
      </c>
      <c r="I4136" s="2" t="s">
        <v>12</v>
      </c>
      <c r="J4136" s="2" t="s">
        <v>12</v>
      </c>
      <c r="K4136" s="2" t="s">
        <v>12</v>
      </c>
    </row>
    <row r="4137" spans="1:11" ht="12.5" x14ac:dyDescent="0.25">
      <c r="A4137" s="3" t="e">
        <f ca="1"/>
        <v>#NAME?</v>
      </c>
      <c r="B4137" s="2" t="s">
        <v>12</v>
      </c>
      <c r="C4137" s="2" t="s">
        <v>12</v>
      </c>
      <c r="D4137" s="2" t="s">
        <v>12</v>
      </c>
      <c r="E4137" s="2" t="s">
        <v>12</v>
      </c>
      <c r="F4137" s="2" t="s">
        <v>12</v>
      </c>
      <c r="G4137" s="2" t="s">
        <v>12</v>
      </c>
      <c r="H4137" s="2" t="s">
        <v>12</v>
      </c>
      <c r="I4137" s="2" t="s">
        <v>12</v>
      </c>
      <c r="J4137" s="2" t="s">
        <v>12</v>
      </c>
      <c r="K4137" s="2" t="s">
        <v>12</v>
      </c>
    </row>
    <row r="4138" spans="1:11" ht="12.5" x14ac:dyDescent="0.25">
      <c r="A4138" s="3" t="e">
        <f ca="1"/>
        <v>#NAME?</v>
      </c>
      <c r="B4138" s="2" t="s">
        <v>12</v>
      </c>
      <c r="C4138" s="2" t="s">
        <v>12</v>
      </c>
      <c r="D4138" s="2" t="s">
        <v>12</v>
      </c>
      <c r="E4138" s="2" t="s">
        <v>12</v>
      </c>
      <c r="F4138" s="2" t="s">
        <v>12</v>
      </c>
      <c r="G4138" s="2" t="s">
        <v>12</v>
      </c>
      <c r="H4138" s="2" t="s">
        <v>12</v>
      </c>
      <c r="I4138" s="2" t="s">
        <v>12</v>
      </c>
      <c r="J4138" s="2" t="s">
        <v>12</v>
      </c>
      <c r="K4138" s="2" t="s">
        <v>12</v>
      </c>
    </row>
    <row r="4139" spans="1:11" ht="12.5" x14ac:dyDescent="0.25">
      <c r="A4139" s="3" t="e">
        <f ca="1"/>
        <v>#NAME?</v>
      </c>
      <c r="B4139" s="2" t="s">
        <v>12</v>
      </c>
      <c r="C4139" s="2" t="s">
        <v>12</v>
      </c>
      <c r="D4139" s="2" t="s">
        <v>12</v>
      </c>
      <c r="E4139" s="2" t="s">
        <v>12</v>
      </c>
      <c r="F4139" s="2" t="s">
        <v>12</v>
      </c>
      <c r="G4139" s="2" t="s">
        <v>12</v>
      </c>
      <c r="H4139" s="2" t="s">
        <v>12</v>
      </c>
      <c r="I4139" s="2" t="s">
        <v>12</v>
      </c>
      <c r="J4139" s="2" t="s">
        <v>12</v>
      </c>
      <c r="K4139" s="2" t="s">
        <v>12</v>
      </c>
    </row>
    <row r="4140" spans="1:11" ht="12.5" x14ac:dyDescent="0.25">
      <c r="A4140" s="3" t="e">
        <f ca="1"/>
        <v>#NAME?</v>
      </c>
      <c r="B4140" s="2" t="s">
        <v>12</v>
      </c>
      <c r="C4140" s="2" t="s">
        <v>12</v>
      </c>
      <c r="D4140" s="2" t="s">
        <v>12</v>
      </c>
      <c r="E4140" s="2" t="s">
        <v>12</v>
      </c>
      <c r="F4140" s="2" t="s">
        <v>12</v>
      </c>
      <c r="G4140" s="2" t="s">
        <v>12</v>
      </c>
      <c r="H4140" s="2" t="s">
        <v>12</v>
      </c>
      <c r="I4140" s="2" t="s">
        <v>12</v>
      </c>
      <c r="J4140" s="2" t="s">
        <v>12</v>
      </c>
      <c r="K4140" s="2" t="s">
        <v>12</v>
      </c>
    </row>
    <row r="4141" spans="1:11" ht="12.5" x14ac:dyDescent="0.25">
      <c r="A4141" s="3" t="e">
        <f ca="1"/>
        <v>#NAME?</v>
      </c>
      <c r="B4141" s="2" t="s">
        <v>12</v>
      </c>
      <c r="C4141" s="2" t="s">
        <v>12</v>
      </c>
      <c r="D4141" s="2" t="s">
        <v>12</v>
      </c>
      <c r="E4141" s="2" t="s">
        <v>12</v>
      </c>
      <c r="F4141" s="2" t="s">
        <v>12</v>
      </c>
      <c r="G4141" s="2" t="s">
        <v>12</v>
      </c>
      <c r="H4141" s="2" t="s">
        <v>12</v>
      </c>
      <c r="I4141" s="2" t="s">
        <v>12</v>
      </c>
      <c r="J4141" s="2" t="s">
        <v>12</v>
      </c>
      <c r="K4141" s="2" t="s">
        <v>12</v>
      </c>
    </row>
    <row r="4142" spans="1:11" ht="12.5" x14ac:dyDescent="0.25">
      <c r="A4142" s="3" t="e">
        <f ca="1"/>
        <v>#NAME?</v>
      </c>
      <c r="B4142" s="2" t="s">
        <v>12</v>
      </c>
      <c r="C4142" s="2" t="s">
        <v>12</v>
      </c>
      <c r="D4142" s="2" t="s">
        <v>12</v>
      </c>
      <c r="E4142" s="2" t="s">
        <v>12</v>
      </c>
      <c r="F4142" s="2" t="s">
        <v>12</v>
      </c>
      <c r="G4142" s="2" t="s">
        <v>12</v>
      </c>
      <c r="H4142" s="2" t="s">
        <v>12</v>
      </c>
      <c r="I4142" s="2" t="s">
        <v>12</v>
      </c>
      <c r="J4142" s="2" t="s">
        <v>12</v>
      </c>
      <c r="K4142" s="2" t="s">
        <v>12</v>
      </c>
    </row>
    <row r="4143" spans="1:11" ht="12.5" x14ac:dyDescent="0.25">
      <c r="A4143" s="3" t="e">
        <f ca="1"/>
        <v>#NAME?</v>
      </c>
      <c r="B4143" s="2" t="s">
        <v>12</v>
      </c>
      <c r="C4143" s="2" t="s">
        <v>12</v>
      </c>
      <c r="D4143" s="2" t="s">
        <v>12</v>
      </c>
      <c r="E4143" s="2" t="s">
        <v>12</v>
      </c>
      <c r="F4143" s="2" t="s">
        <v>12</v>
      </c>
      <c r="G4143" s="2" t="s">
        <v>12</v>
      </c>
      <c r="H4143" s="2" t="s">
        <v>12</v>
      </c>
      <c r="I4143" s="2" t="s">
        <v>12</v>
      </c>
      <c r="J4143" s="2" t="s">
        <v>12</v>
      </c>
      <c r="K4143" s="2" t="s">
        <v>12</v>
      </c>
    </row>
    <row r="4144" spans="1:11" ht="12.5" x14ac:dyDescent="0.25">
      <c r="A4144" s="3" t="e">
        <f ca="1"/>
        <v>#NAME?</v>
      </c>
      <c r="B4144" s="2" t="s">
        <v>12</v>
      </c>
      <c r="C4144" s="2" t="s">
        <v>12</v>
      </c>
      <c r="D4144" s="2" t="s">
        <v>12</v>
      </c>
      <c r="E4144" s="2" t="s">
        <v>12</v>
      </c>
      <c r="F4144" s="2" t="s">
        <v>12</v>
      </c>
      <c r="G4144" s="2" t="s">
        <v>12</v>
      </c>
      <c r="H4144" s="2" t="s">
        <v>12</v>
      </c>
      <c r="I4144" s="2" t="s">
        <v>12</v>
      </c>
      <c r="J4144" s="2" t="s">
        <v>12</v>
      </c>
      <c r="K4144" s="2" t="s">
        <v>12</v>
      </c>
    </row>
    <row r="4145" spans="1:11" ht="12.5" x14ac:dyDescent="0.25">
      <c r="A4145" s="3" t="e">
        <f ca="1"/>
        <v>#NAME?</v>
      </c>
      <c r="B4145" s="2" t="s">
        <v>12</v>
      </c>
      <c r="C4145" s="2" t="s">
        <v>12</v>
      </c>
      <c r="D4145" s="2" t="s">
        <v>12</v>
      </c>
      <c r="E4145" s="2" t="s">
        <v>12</v>
      </c>
      <c r="F4145" s="2" t="s">
        <v>12</v>
      </c>
      <c r="G4145" s="2" t="s">
        <v>12</v>
      </c>
      <c r="H4145" s="2" t="s">
        <v>12</v>
      </c>
      <c r="I4145" s="2" t="s">
        <v>12</v>
      </c>
      <c r="J4145" s="2" t="s">
        <v>12</v>
      </c>
      <c r="K4145" s="2" t="s">
        <v>12</v>
      </c>
    </row>
    <row r="4146" spans="1:11" ht="12.5" x14ac:dyDescent="0.25">
      <c r="A4146" s="3" t="e">
        <f ca="1"/>
        <v>#NAME?</v>
      </c>
      <c r="B4146" s="2" t="s">
        <v>12</v>
      </c>
      <c r="C4146" s="2" t="s">
        <v>12</v>
      </c>
      <c r="D4146" s="2" t="s">
        <v>12</v>
      </c>
      <c r="E4146" s="2" t="s">
        <v>12</v>
      </c>
      <c r="F4146" s="2" t="s">
        <v>12</v>
      </c>
      <c r="G4146" s="2" t="s">
        <v>12</v>
      </c>
      <c r="H4146" s="2" t="s">
        <v>12</v>
      </c>
      <c r="I4146" s="2" t="s">
        <v>12</v>
      </c>
      <c r="J4146" s="2" t="s">
        <v>12</v>
      </c>
      <c r="K4146" s="2" t="s">
        <v>12</v>
      </c>
    </row>
    <row r="4147" spans="1:11" ht="12.5" x14ac:dyDescent="0.25">
      <c r="A4147" s="3" t="e">
        <f ca="1"/>
        <v>#NAME?</v>
      </c>
      <c r="B4147" s="2" t="s">
        <v>12</v>
      </c>
      <c r="C4147" s="2" t="s">
        <v>12</v>
      </c>
      <c r="D4147" s="2" t="s">
        <v>12</v>
      </c>
      <c r="E4147" s="2" t="s">
        <v>12</v>
      </c>
      <c r="F4147" s="2" t="s">
        <v>12</v>
      </c>
      <c r="G4147" s="2" t="s">
        <v>12</v>
      </c>
      <c r="H4147" s="2" t="s">
        <v>12</v>
      </c>
      <c r="I4147" s="2" t="s">
        <v>12</v>
      </c>
      <c r="J4147" s="2" t="s">
        <v>12</v>
      </c>
      <c r="K4147" s="2" t="s">
        <v>12</v>
      </c>
    </row>
    <row r="4148" spans="1:11" ht="12.5" x14ac:dyDescent="0.25">
      <c r="A4148" s="3" t="e">
        <f ca="1"/>
        <v>#NAME?</v>
      </c>
      <c r="B4148" s="2" t="s">
        <v>12</v>
      </c>
      <c r="C4148" s="2" t="s">
        <v>12</v>
      </c>
      <c r="D4148" s="2" t="s">
        <v>12</v>
      </c>
      <c r="E4148" s="2" t="s">
        <v>12</v>
      </c>
      <c r="F4148" s="2" t="s">
        <v>12</v>
      </c>
      <c r="G4148" s="2" t="s">
        <v>12</v>
      </c>
      <c r="H4148" s="2" t="s">
        <v>12</v>
      </c>
      <c r="I4148" s="2" t="s">
        <v>12</v>
      </c>
      <c r="J4148" s="2" t="s">
        <v>12</v>
      </c>
      <c r="K4148" s="2" t="s">
        <v>12</v>
      </c>
    </row>
    <row r="4149" spans="1:11" ht="12.5" x14ac:dyDescent="0.25">
      <c r="A4149" s="3" t="e">
        <f ca="1"/>
        <v>#NAME?</v>
      </c>
      <c r="B4149" s="2" t="s">
        <v>12</v>
      </c>
      <c r="C4149" s="2" t="s">
        <v>12</v>
      </c>
      <c r="D4149" s="2" t="s">
        <v>12</v>
      </c>
      <c r="E4149" s="2" t="s">
        <v>12</v>
      </c>
      <c r="F4149" s="2" t="s">
        <v>12</v>
      </c>
      <c r="G4149" s="2" t="s">
        <v>12</v>
      </c>
      <c r="H4149" s="2" t="s">
        <v>12</v>
      </c>
      <c r="I4149" s="2" t="s">
        <v>12</v>
      </c>
      <c r="J4149" s="2" t="s">
        <v>12</v>
      </c>
      <c r="K4149" s="2" t="s">
        <v>12</v>
      </c>
    </row>
    <row r="4150" spans="1:11" ht="12.5" x14ac:dyDescent="0.25">
      <c r="A4150" s="3" t="e">
        <f ca="1"/>
        <v>#NAME?</v>
      </c>
      <c r="B4150" s="2" t="s">
        <v>12</v>
      </c>
      <c r="C4150" s="2" t="s">
        <v>12</v>
      </c>
      <c r="D4150" s="2" t="s">
        <v>12</v>
      </c>
      <c r="E4150" s="2" t="s">
        <v>12</v>
      </c>
      <c r="F4150" s="2" t="s">
        <v>12</v>
      </c>
      <c r="G4150" s="2" t="s">
        <v>12</v>
      </c>
      <c r="H4150" s="2" t="s">
        <v>12</v>
      </c>
      <c r="I4150" s="2" t="s">
        <v>12</v>
      </c>
      <c r="J4150" s="2" t="s">
        <v>12</v>
      </c>
      <c r="K4150" s="2" t="s">
        <v>12</v>
      </c>
    </row>
    <row r="4151" spans="1:11" ht="12.5" x14ac:dyDescent="0.25">
      <c r="A4151" s="3" t="e">
        <f ca="1"/>
        <v>#NAME?</v>
      </c>
      <c r="B4151" s="2" t="s">
        <v>12</v>
      </c>
      <c r="C4151" s="2" t="s">
        <v>12</v>
      </c>
      <c r="D4151" s="2" t="s">
        <v>12</v>
      </c>
      <c r="E4151" s="2" t="s">
        <v>12</v>
      </c>
      <c r="F4151" s="2" t="s">
        <v>12</v>
      </c>
      <c r="G4151" s="2" t="s">
        <v>12</v>
      </c>
      <c r="H4151" s="2" t="s">
        <v>12</v>
      </c>
      <c r="I4151" s="2" t="s">
        <v>12</v>
      </c>
      <c r="J4151" s="2" t="s">
        <v>12</v>
      </c>
      <c r="K4151" s="2" t="s">
        <v>12</v>
      </c>
    </row>
    <row r="4152" spans="1:11" ht="12.5" x14ac:dyDescent="0.25">
      <c r="A4152" s="3" t="e">
        <f ca="1"/>
        <v>#NAME?</v>
      </c>
      <c r="B4152" s="2" t="s">
        <v>12</v>
      </c>
      <c r="C4152" s="2" t="s">
        <v>12</v>
      </c>
      <c r="D4152" s="2" t="s">
        <v>12</v>
      </c>
      <c r="E4152" s="2" t="s">
        <v>12</v>
      </c>
      <c r="F4152" s="2" t="s">
        <v>12</v>
      </c>
      <c r="G4152" s="2" t="s">
        <v>12</v>
      </c>
      <c r="H4152" s="2" t="s">
        <v>12</v>
      </c>
      <c r="I4152" s="2" t="s">
        <v>12</v>
      </c>
      <c r="J4152" s="2" t="s">
        <v>12</v>
      </c>
      <c r="K4152" s="2" t="s">
        <v>12</v>
      </c>
    </row>
    <row r="4153" spans="1:11" ht="12.5" x14ac:dyDescent="0.25">
      <c r="A4153" s="3" t="e">
        <f ca="1"/>
        <v>#NAME?</v>
      </c>
      <c r="B4153" s="2" t="s">
        <v>12</v>
      </c>
      <c r="C4153" s="2" t="s">
        <v>12</v>
      </c>
      <c r="D4153" s="2" t="s">
        <v>12</v>
      </c>
      <c r="E4153" s="2" t="s">
        <v>12</v>
      </c>
      <c r="F4153" s="2" t="s">
        <v>12</v>
      </c>
      <c r="G4153" s="2" t="s">
        <v>12</v>
      </c>
      <c r="H4153" s="2" t="s">
        <v>12</v>
      </c>
      <c r="I4153" s="2" t="s">
        <v>12</v>
      </c>
      <c r="J4153" s="2" t="s">
        <v>12</v>
      </c>
      <c r="K4153" s="2" t="s">
        <v>12</v>
      </c>
    </row>
    <row r="4154" spans="1:11" ht="12.5" x14ac:dyDescent="0.25">
      <c r="A4154" s="3" t="e">
        <f ca="1"/>
        <v>#NAME?</v>
      </c>
      <c r="B4154" s="2" t="s">
        <v>12</v>
      </c>
      <c r="C4154" s="2" t="s">
        <v>12</v>
      </c>
      <c r="D4154" s="2" t="s">
        <v>12</v>
      </c>
      <c r="E4154" s="2" t="s">
        <v>12</v>
      </c>
      <c r="F4154" s="2" t="s">
        <v>12</v>
      </c>
      <c r="G4154" s="2" t="s">
        <v>12</v>
      </c>
      <c r="H4154" s="2" t="s">
        <v>12</v>
      </c>
      <c r="I4154" s="2" t="s">
        <v>12</v>
      </c>
      <c r="J4154" s="2" t="s">
        <v>12</v>
      </c>
      <c r="K4154" s="2" t="s">
        <v>12</v>
      </c>
    </row>
    <row r="4155" spans="1:11" ht="12.5" x14ac:dyDescent="0.25">
      <c r="A4155" s="3" t="e">
        <f ca="1"/>
        <v>#NAME?</v>
      </c>
      <c r="B4155" s="2" t="s">
        <v>12</v>
      </c>
      <c r="C4155" s="2" t="s">
        <v>12</v>
      </c>
      <c r="D4155" s="2" t="s">
        <v>12</v>
      </c>
      <c r="E4155" s="2" t="s">
        <v>12</v>
      </c>
      <c r="F4155" s="2" t="s">
        <v>12</v>
      </c>
      <c r="G4155" s="2" t="s">
        <v>12</v>
      </c>
      <c r="H4155" s="2" t="s">
        <v>12</v>
      </c>
      <c r="I4155" s="2" t="s">
        <v>12</v>
      </c>
      <c r="J4155" s="2" t="s">
        <v>12</v>
      </c>
      <c r="K4155" s="2" t="s">
        <v>12</v>
      </c>
    </row>
    <row r="4156" spans="1:11" ht="12.5" x14ac:dyDescent="0.25">
      <c r="A4156" s="3" t="e">
        <f ca="1"/>
        <v>#NAME?</v>
      </c>
      <c r="B4156" s="2" t="s">
        <v>12</v>
      </c>
      <c r="C4156" s="2" t="s">
        <v>12</v>
      </c>
      <c r="D4156" s="2" t="s">
        <v>12</v>
      </c>
      <c r="E4156" s="2" t="s">
        <v>12</v>
      </c>
      <c r="F4156" s="2" t="s">
        <v>12</v>
      </c>
      <c r="G4156" s="2" t="s">
        <v>12</v>
      </c>
      <c r="H4156" s="2" t="s">
        <v>12</v>
      </c>
      <c r="I4156" s="2" t="s">
        <v>12</v>
      </c>
      <c r="J4156" s="2" t="s">
        <v>12</v>
      </c>
      <c r="K4156" s="2" t="s">
        <v>12</v>
      </c>
    </row>
    <row r="4157" spans="1:11" ht="12.5" x14ac:dyDescent="0.25">
      <c r="A4157" s="3" t="e">
        <f ca="1"/>
        <v>#NAME?</v>
      </c>
      <c r="B4157" s="2" t="s">
        <v>12</v>
      </c>
      <c r="C4157" s="2" t="s">
        <v>12</v>
      </c>
      <c r="D4157" s="2" t="s">
        <v>12</v>
      </c>
      <c r="E4157" s="2" t="s">
        <v>12</v>
      </c>
      <c r="F4157" s="2" t="s">
        <v>12</v>
      </c>
      <c r="G4157" s="2" t="s">
        <v>12</v>
      </c>
      <c r="H4157" s="2" t="s">
        <v>12</v>
      </c>
      <c r="I4157" s="2" t="s">
        <v>12</v>
      </c>
      <c r="J4157" s="2" t="s">
        <v>12</v>
      </c>
      <c r="K4157" s="2" t="s">
        <v>12</v>
      </c>
    </row>
    <row r="4158" spans="1:11" ht="12.5" x14ac:dyDescent="0.25">
      <c r="A4158" s="3" t="e">
        <f ca="1"/>
        <v>#NAME?</v>
      </c>
      <c r="B4158" s="2" t="s">
        <v>12</v>
      </c>
      <c r="C4158" s="2" t="s">
        <v>12</v>
      </c>
      <c r="D4158" s="2" t="s">
        <v>12</v>
      </c>
      <c r="E4158" s="2" t="s">
        <v>12</v>
      </c>
      <c r="F4158" s="2" t="s">
        <v>12</v>
      </c>
      <c r="G4158" s="2" t="s">
        <v>12</v>
      </c>
      <c r="H4158" s="2" t="s">
        <v>12</v>
      </c>
      <c r="I4158" s="2" t="s">
        <v>12</v>
      </c>
      <c r="J4158" s="2" t="s">
        <v>12</v>
      </c>
      <c r="K4158" s="2" t="s">
        <v>12</v>
      </c>
    </row>
    <row r="4159" spans="1:11" ht="12.5" x14ac:dyDescent="0.25">
      <c r="A4159" s="3" t="e">
        <f ca="1"/>
        <v>#NAME?</v>
      </c>
      <c r="B4159" s="2" t="s">
        <v>12</v>
      </c>
      <c r="C4159" s="2" t="s">
        <v>12</v>
      </c>
      <c r="D4159" s="2" t="s">
        <v>12</v>
      </c>
      <c r="E4159" s="2" t="s">
        <v>12</v>
      </c>
      <c r="F4159" s="2" t="s">
        <v>12</v>
      </c>
      <c r="G4159" s="2" t="s">
        <v>12</v>
      </c>
      <c r="H4159" s="2" t="s">
        <v>12</v>
      </c>
      <c r="I4159" s="2" t="s">
        <v>12</v>
      </c>
      <c r="J4159" s="2" t="s">
        <v>12</v>
      </c>
      <c r="K4159" s="2" t="s">
        <v>12</v>
      </c>
    </row>
    <row r="4160" spans="1:11" ht="12.5" x14ac:dyDescent="0.25">
      <c r="A4160" s="3" t="e">
        <f ca="1"/>
        <v>#NAME?</v>
      </c>
      <c r="B4160" s="2" t="s">
        <v>12</v>
      </c>
      <c r="C4160" s="2" t="s">
        <v>12</v>
      </c>
      <c r="D4160" s="2" t="s">
        <v>12</v>
      </c>
      <c r="E4160" s="2" t="s">
        <v>12</v>
      </c>
      <c r="F4160" s="2" t="s">
        <v>12</v>
      </c>
      <c r="G4160" s="2" t="s">
        <v>12</v>
      </c>
      <c r="H4160" s="2" t="s">
        <v>12</v>
      </c>
      <c r="I4160" s="2" t="s">
        <v>12</v>
      </c>
      <c r="J4160" s="2" t="s">
        <v>12</v>
      </c>
      <c r="K4160" s="2" t="s">
        <v>12</v>
      </c>
    </row>
    <row r="4161" spans="1:11" ht="12.5" x14ac:dyDescent="0.25">
      <c r="A4161" s="3" t="e">
        <f ca="1"/>
        <v>#NAME?</v>
      </c>
      <c r="B4161" s="2" t="s">
        <v>12</v>
      </c>
      <c r="C4161" s="2" t="s">
        <v>12</v>
      </c>
      <c r="D4161" s="2" t="s">
        <v>12</v>
      </c>
      <c r="E4161" s="2" t="s">
        <v>12</v>
      </c>
      <c r="F4161" s="2" t="s">
        <v>12</v>
      </c>
      <c r="G4161" s="2" t="s">
        <v>12</v>
      </c>
      <c r="H4161" s="2" t="s">
        <v>12</v>
      </c>
      <c r="I4161" s="2" t="s">
        <v>12</v>
      </c>
      <c r="J4161" s="2" t="s">
        <v>12</v>
      </c>
      <c r="K4161" s="2" t="s">
        <v>12</v>
      </c>
    </row>
    <row r="4162" spans="1:11" ht="12.5" x14ac:dyDescent="0.25">
      <c r="A4162" s="3" t="e">
        <f ca="1"/>
        <v>#NAME?</v>
      </c>
      <c r="B4162" s="2" t="s">
        <v>12</v>
      </c>
      <c r="C4162" s="2" t="s">
        <v>12</v>
      </c>
      <c r="D4162" s="2" t="s">
        <v>12</v>
      </c>
      <c r="E4162" s="2" t="s">
        <v>12</v>
      </c>
      <c r="F4162" s="2" t="s">
        <v>12</v>
      </c>
      <c r="G4162" s="2" t="s">
        <v>12</v>
      </c>
      <c r="H4162" s="2" t="s">
        <v>12</v>
      </c>
      <c r="I4162" s="2" t="s">
        <v>12</v>
      </c>
      <c r="J4162" s="2" t="s">
        <v>12</v>
      </c>
      <c r="K4162" s="2" t="s">
        <v>12</v>
      </c>
    </row>
    <row r="4163" spans="1:11" ht="12.5" x14ac:dyDescent="0.25">
      <c r="A4163" s="3" t="e">
        <f ca="1"/>
        <v>#NAME?</v>
      </c>
      <c r="B4163" s="2" t="s">
        <v>12</v>
      </c>
      <c r="C4163" s="2" t="s">
        <v>12</v>
      </c>
      <c r="D4163" s="2" t="s">
        <v>12</v>
      </c>
      <c r="E4163" s="2" t="s">
        <v>12</v>
      </c>
      <c r="F4163" s="2" t="s">
        <v>12</v>
      </c>
      <c r="G4163" s="2" t="s">
        <v>12</v>
      </c>
      <c r="H4163" s="2" t="s">
        <v>12</v>
      </c>
      <c r="I4163" s="2" t="s">
        <v>12</v>
      </c>
      <c r="J4163" s="2" t="s">
        <v>12</v>
      </c>
      <c r="K4163" s="2" t="s">
        <v>12</v>
      </c>
    </row>
    <row r="4164" spans="1:11" ht="12.5" x14ac:dyDescent="0.25">
      <c r="A4164" s="3" t="e">
        <f ca="1"/>
        <v>#NAME?</v>
      </c>
      <c r="B4164" s="2" t="s">
        <v>12</v>
      </c>
      <c r="C4164" s="2" t="s">
        <v>12</v>
      </c>
      <c r="D4164" s="2" t="s">
        <v>12</v>
      </c>
      <c r="E4164" s="2" t="s">
        <v>12</v>
      </c>
      <c r="F4164" s="2" t="s">
        <v>12</v>
      </c>
      <c r="G4164" s="2" t="s">
        <v>12</v>
      </c>
      <c r="H4164" s="2" t="s">
        <v>12</v>
      </c>
      <c r="I4164" s="2" t="s">
        <v>12</v>
      </c>
      <c r="J4164" s="2" t="s">
        <v>12</v>
      </c>
      <c r="K4164" s="2" t="s">
        <v>12</v>
      </c>
    </row>
    <row r="4165" spans="1:11" ht="12.5" x14ac:dyDescent="0.25">
      <c r="A4165" s="3" t="e">
        <f ca="1"/>
        <v>#NAME?</v>
      </c>
      <c r="B4165" s="2" t="s">
        <v>12</v>
      </c>
      <c r="C4165" s="2" t="s">
        <v>12</v>
      </c>
      <c r="D4165" s="2" t="s">
        <v>12</v>
      </c>
      <c r="E4165" s="2" t="s">
        <v>12</v>
      </c>
      <c r="F4165" s="2" t="s">
        <v>12</v>
      </c>
      <c r="G4165" s="2" t="s">
        <v>12</v>
      </c>
      <c r="H4165" s="2" t="s">
        <v>12</v>
      </c>
      <c r="I4165" s="2" t="s">
        <v>12</v>
      </c>
      <c r="J4165" s="2" t="s">
        <v>12</v>
      </c>
      <c r="K4165" s="2" t="s">
        <v>12</v>
      </c>
    </row>
    <row r="4166" spans="1:11" ht="12.5" x14ac:dyDescent="0.25">
      <c r="A4166" s="3" t="e">
        <f ca="1"/>
        <v>#NAME?</v>
      </c>
      <c r="B4166" s="2" t="s">
        <v>12</v>
      </c>
      <c r="C4166" s="2" t="s">
        <v>12</v>
      </c>
      <c r="D4166" s="2" t="s">
        <v>12</v>
      </c>
      <c r="E4166" s="2" t="s">
        <v>12</v>
      </c>
      <c r="F4166" s="2" t="s">
        <v>12</v>
      </c>
      <c r="G4166" s="2" t="s">
        <v>12</v>
      </c>
      <c r="H4166" s="2" t="s">
        <v>12</v>
      </c>
      <c r="I4166" s="2" t="s">
        <v>12</v>
      </c>
      <c r="J4166" s="2" t="s">
        <v>12</v>
      </c>
      <c r="K4166" s="2" t="s">
        <v>12</v>
      </c>
    </row>
    <row r="4167" spans="1:11" ht="12.5" x14ac:dyDescent="0.25">
      <c r="A4167" s="3" t="e">
        <f ca="1"/>
        <v>#NAME?</v>
      </c>
      <c r="B4167" s="2" t="s">
        <v>12</v>
      </c>
      <c r="C4167" s="2" t="s">
        <v>12</v>
      </c>
      <c r="D4167" s="2" t="s">
        <v>12</v>
      </c>
      <c r="E4167" s="2" t="s">
        <v>12</v>
      </c>
      <c r="F4167" s="2" t="s">
        <v>12</v>
      </c>
      <c r="G4167" s="2" t="s">
        <v>12</v>
      </c>
      <c r="H4167" s="2" t="s">
        <v>12</v>
      </c>
      <c r="I4167" s="2" t="s">
        <v>12</v>
      </c>
      <c r="J4167" s="2" t="s">
        <v>12</v>
      </c>
      <c r="K4167" s="2" t="s">
        <v>12</v>
      </c>
    </row>
    <row r="4168" spans="1:11" ht="12.5" x14ac:dyDescent="0.25">
      <c r="A4168" s="3" t="e">
        <f ca="1"/>
        <v>#NAME?</v>
      </c>
      <c r="B4168" s="2" t="s">
        <v>12</v>
      </c>
      <c r="C4168" s="2" t="s">
        <v>12</v>
      </c>
      <c r="D4168" s="2" t="s">
        <v>12</v>
      </c>
      <c r="E4168" s="2" t="s">
        <v>12</v>
      </c>
      <c r="F4168" s="2" t="s">
        <v>12</v>
      </c>
      <c r="G4168" s="2" t="s">
        <v>12</v>
      </c>
      <c r="H4168" s="2" t="s">
        <v>12</v>
      </c>
      <c r="I4168" s="2" t="s">
        <v>12</v>
      </c>
      <c r="J4168" s="2" t="s">
        <v>12</v>
      </c>
      <c r="K4168" s="2" t="s">
        <v>12</v>
      </c>
    </row>
    <row r="4169" spans="1:11" ht="12.5" x14ac:dyDescent="0.25">
      <c r="A4169" s="3" t="e">
        <f ca="1"/>
        <v>#NAME?</v>
      </c>
      <c r="B4169" s="2" t="s">
        <v>12</v>
      </c>
      <c r="C4169" s="2" t="s">
        <v>12</v>
      </c>
      <c r="D4169" s="2" t="s">
        <v>12</v>
      </c>
      <c r="E4169" s="2" t="s">
        <v>12</v>
      </c>
      <c r="F4169" s="2" t="s">
        <v>12</v>
      </c>
      <c r="G4169" s="2" t="s">
        <v>12</v>
      </c>
      <c r="H4169" s="2" t="s">
        <v>12</v>
      </c>
      <c r="I4169" s="2" t="s">
        <v>12</v>
      </c>
      <c r="J4169" s="2" t="s">
        <v>12</v>
      </c>
      <c r="K4169" s="2" t="s">
        <v>12</v>
      </c>
    </row>
    <row r="4170" spans="1:11" ht="12.5" x14ac:dyDescent="0.25">
      <c r="A4170" s="3" t="e">
        <f ca="1"/>
        <v>#NAME?</v>
      </c>
      <c r="B4170" s="2" t="s">
        <v>12</v>
      </c>
      <c r="C4170" s="2" t="s">
        <v>12</v>
      </c>
      <c r="D4170" s="2" t="s">
        <v>12</v>
      </c>
      <c r="E4170" s="2" t="s">
        <v>12</v>
      </c>
      <c r="F4170" s="2" t="s">
        <v>12</v>
      </c>
      <c r="G4170" s="2" t="s">
        <v>12</v>
      </c>
      <c r="H4170" s="2" t="s">
        <v>12</v>
      </c>
      <c r="I4170" s="2" t="s">
        <v>12</v>
      </c>
      <c r="J4170" s="2" t="s">
        <v>12</v>
      </c>
      <c r="K4170" s="2" t="s">
        <v>12</v>
      </c>
    </row>
    <row r="4171" spans="1:11" ht="12.5" x14ac:dyDescent="0.25">
      <c r="A4171" s="3" t="e">
        <f ca="1"/>
        <v>#NAME?</v>
      </c>
      <c r="B4171" s="2" t="s">
        <v>12</v>
      </c>
      <c r="C4171" s="2" t="s">
        <v>12</v>
      </c>
      <c r="D4171" s="2" t="s">
        <v>12</v>
      </c>
      <c r="E4171" s="2" t="s">
        <v>12</v>
      </c>
      <c r="F4171" s="2" t="s">
        <v>12</v>
      </c>
      <c r="G4171" s="2" t="s">
        <v>12</v>
      </c>
      <c r="H4171" s="2" t="s">
        <v>12</v>
      </c>
      <c r="I4171" s="2" t="s">
        <v>12</v>
      </c>
      <c r="J4171" s="2" t="s">
        <v>12</v>
      </c>
      <c r="K4171" s="2" t="s">
        <v>12</v>
      </c>
    </row>
    <row r="4172" spans="1:11" ht="12.5" x14ac:dyDescent="0.25">
      <c r="A4172" s="3" t="e">
        <f ca="1"/>
        <v>#NAME?</v>
      </c>
      <c r="B4172" s="2" t="s">
        <v>12</v>
      </c>
      <c r="C4172" s="2" t="s">
        <v>12</v>
      </c>
      <c r="D4172" s="2" t="s">
        <v>12</v>
      </c>
      <c r="E4172" s="2" t="s">
        <v>12</v>
      </c>
      <c r="F4172" s="2" t="s">
        <v>12</v>
      </c>
      <c r="G4172" s="2" t="s">
        <v>12</v>
      </c>
      <c r="H4172" s="2" t="s">
        <v>12</v>
      </c>
      <c r="I4172" s="2" t="s">
        <v>12</v>
      </c>
      <c r="J4172" s="2" t="s">
        <v>12</v>
      </c>
      <c r="K4172" s="2" t="s">
        <v>12</v>
      </c>
    </row>
    <row r="4173" spans="1:11" ht="12.5" x14ac:dyDescent="0.25">
      <c r="A4173" s="3" t="e">
        <f ca="1"/>
        <v>#NAME?</v>
      </c>
      <c r="B4173" s="2" t="s">
        <v>12</v>
      </c>
      <c r="C4173" s="2" t="s">
        <v>12</v>
      </c>
      <c r="D4173" s="2" t="s">
        <v>12</v>
      </c>
      <c r="E4173" s="2" t="s">
        <v>12</v>
      </c>
      <c r="F4173" s="2" t="s">
        <v>12</v>
      </c>
      <c r="G4173" s="2" t="s">
        <v>12</v>
      </c>
      <c r="H4173" s="2" t="s">
        <v>12</v>
      </c>
      <c r="I4173" s="2" t="s">
        <v>12</v>
      </c>
      <c r="J4173" s="2" t="s">
        <v>12</v>
      </c>
      <c r="K4173" s="2" t="s">
        <v>12</v>
      </c>
    </row>
    <row r="4174" spans="1:11" ht="12.5" x14ac:dyDescent="0.25">
      <c r="A4174" s="3" t="e">
        <f ca="1"/>
        <v>#NAME?</v>
      </c>
      <c r="B4174" s="2" t="s">
        <v>12</v>
      </c>
      <c r="C4174" s="2" t="s">
        <v>12</v>
      </c>
      <c r="D4174" s="2" t="s">
        <v>12</v>
      </c>
      <c r="E4174" s="2" t="s">
        <v>12</v>
      </c>
      <c r="F4174" s="2" t="s">
        <v>12</v>
      </c>
      <c r="G4174" s="2" t="s">
        <v>12</v>
      </c>
      <c r="H4174" s="2" t="s">
        <v>12</v>
      </c>
      <c r="I4174" s="2" t="s">
        <v>12</v>
      </c>
      <c r="J4174" s="2" t="s">
        <v>12</v>
      </c>
      <c r="K4174" s="2" t="s">
        <v>12</v>
      </c>
    </row>
    <row r="4175" spans="1:11" ht="12.5" x14ac:dyDescent="0.25">
      <c r="A4175" s="3" t="e">
        <f ca="1"/>
        <v>#NAME?</v>
      </c>
      <c r="B4175" s="2" t="s">
        <v>12</v>
      </c>
      <c r="C4175" s="2" t="s">
        <v>12</v>
      </c>
      <c r="D4175" s="2" t="s">
        <v>12</v>
      </c>
      <c r="E4175" s="2" t="s">
        <v>12</v>
      </c>
      <c r="F4175" s="2" t="s">
        <v>12</v>
      </c>
      <c r="G4175" s="2" t="s">
        <v>12</v>
      </c>
      <c r="H4175" s="2" t="s">
        <v>12</v>
      </c>
      <c r="I4175" s="2" t="s">
        <v>12</v>
      </c>
      <c r="J4175" s="2" t="s">
        <v>12</v>
      </c>
      <c r="K4175" s="2" t="s">
        <v>12</v>
      </c>
    </row>
    <row r="4176" spans="1:11" ht="12.5" x14ac:dyDescent="0.25">
      <c r="A4176" s="3" t="e">
        <f ca="1"/>
        <v>#NAME?</v>
      </c>
      <c r="B4176" s="2" t="s">
        <v>12</v>
      </c>
      <c r="C4176" s="2" t="s">
        <v>12</v>
      </c>
      <c r="D4176" s="2" t="s">
        <v>12</v>
      </c>
      <c r="E4176" s="2" t="s">
        <v>12</v>
      </c>
      <c r="F4176" s="2" t="s">
        <v>12</v>
      </c>
      <c r="G4176" s="2" t="s">
        <v>12</v>
      </c>
      <c r="H4176" s="2" t="s">
        <v>12</v>
      </c>
      <c r="I4176" s="2" t="s">
        <v>12</v>
      </c>
      <c r="J4176" s="2" t="s">
        <v>12</v>
      </c>
      <c r="K4176" s="2" t="s">
        <v>12</v>
      </c>
    </row>
    <row r="4177" spans="1:11" ht="12.5" x14ac:dyDescent="0.25">
      <c r="A4177" s="3" t="e">
        <f ca="1"/>
        <v>#NAME?</v>
      </c>
      <c r="B4177" s="2" t="s">
        <v>12</v>
      </c>
      <c r="C4177" s="2" t="s">
        <v>12</v>
      </c>
      <c r="D4177" s="2" t="s">
        <v>12</v>
      </c>
      <c r="E4177" s="2" t="s">
        <v>12</v>
      </c>
      <c r="F4177" s="2" t="s">
        <v>12</v>
      </c>
      <c r="G4177" s="2" t="s">
        <v>12</v>
      </c>
      <c r="H4177" s="2" t="s">
        <v>12</v>
      </c>
      <c r="I4177" s="2" t="s">
        <v>12</v>
      </c>
      <c r="J4177" s="2" t="s">
        <v>12</v>
      </c>
      <c r="K4177" s="2" t="s">
        <v>12</v>
      </c>
    </row>
    <row r="4178" spans="1:11" ht="12.5" x14ac:dyDescent="0.25">
      <c r="A4178" s="3" t="e">
        <f ca="1"/>
        <v>#NAME?</v>
      </c>
      <c r="B4178" s="2" t="s">
        <v>12</v>
      </c>
      <c r="C4178" s="2" t="s">
        <v>12</v>
      </c>
      <c r="D4178" s="2" t="s">
        <v>12</v>
      </c>
      <c r="E4178" s="2" t="s">
        <v>12</v>
      </c>
      <c r="F4178" s="2" t="s">
        <v>12</v>
      </c>
      <c r="G4178" s="2" t="s">
        <v>12</v>
      </c>
      <c r="H4178" s="2" t="s">
        <v>12</v>
      </c>
      <c r="I4178" s="2" t="s">
        <v>12</v>
      </c>
      <c r="J4178" s="2" t="s">
        <v>12</v>
      </c>
      <c r="K4178" s="2" t="s">
        <v>12</v>
      </c>
    </row>
    <row r="4179" spans="1:11" ht="12.5" x14ac:dyDescent="0.25">
      <c r="A4179" s="3" t="e">
        <f ca="1"/>
        <v>#NAME?</v>
      </c>
      <c r="B4179" s="2" t="s">
        <v>12</v>
      </c>
      <c r="C4179" s="2" t="s">
        <v>12</v>
      </c>
      <c r="D4179" s="2" t="s">
        <v>12</v>
      </c>
      <c r="E4179" s="2" t="s">
        <v>12</v>
      </c>
      <c r="F4179" s="2" t="s">
        <v>12</v>
      </c>
      <c r="G4179" s="2" t="s">
        <v>12</v>
      </c>
      <c r="H4179" s="2" t="s">
        <v>12</v>
      </c>
      <c r="I4179" s="2" t="s">
        <v>12</v>
      </c>
      <c r="J4179" s="2" t="s">
        <v>12</v>
      </c>
      <c r="K4179" s="2" t="s">
        <v>12</v>
      </c>
    </row>
    <row r="4180" spans="1:11" ht="12.5" x14ac:dyDescent="0.25">
      <c r="A4180" s="3" t="e">
        <f ca="1"/>
        <v>#NAME?</v>
      </c>
      <c r="B4180" s="2" t="s">
        <v>12</v>
      </c>
      <c r="C4180" s="2" t="s">
        <v>12</v>
      </c>
      <c r="D4180" s="2" t="s">
        <v>12</v>
      </c>
      <c r="E4180" s="2" t="s">
        <v>12</v>
      </c>
      <c r="F4180" s="2" t="s">
        <v>12</v>
      </c>
      <c r="G4180" s="2" t="s">
        <v>12</v>
      </c>
      <c r="H4180" s="2" t="s">
        <v>12</v>
      </c>
      <c r="I4180" s="2" t="s">
        <v>12</v>
      </c>
      <c r="J4180" s="2" t="s">
        <v>12</v>
      </c>
      <c r="K4180" s="2" t="s">
        <v>12</v>
      </c>
    </row>
    <row r="4181" spans="1:11" ht="12.5" x14ac:dyDescent="0.25">
      <c r="A4181" s="3" t="e">
        <f ca="1"/>
        <v>#NAME?</v>
      </c>
      <c r="B4181" s="2" t="s">
        <v>12</v>
      </c>
      <c r="C4181" s="2" t="s">
        <v>12</v>
      </c>
      <c r="D4181" s="2" t="s">
        <v>12</v>
      </c>
      <c r="E4181" s="2" t="s">
        <v>12</v>
      </c>
      <c r="F4181" s="2" t="s">
        <v>12</v>
      </c>
      <c r="G4181" s="2" t="s">
        <v>12</v>
      </c>
      <c r="H4181" s="2" t="s">
        <v>12</v>
      </c>
      <c r="I4181" s="2" t="s">
        <v>12</v>
      </c>
      <c r="J4181" s="2" t="s">
        <v>12</v>
      </c>
      <c r="K4181" s="2" t="s">
        <v>12</v>
      </c>
    </row>
    <row r="4182" spans="1:11" ht="12.5" x14ac:dyDescent="0.25">
      <c r="A4182" s="3" t="e">
        <f ca="1"/>
        <v>#NAME?</v>
      </c>
      <c r="B4182" s="2" t="s">
        <v>12</v>
      </c>
      <c r="C4182" s="2" t="s">
        <v>12</v>
      </c>
      <c r="D4182" s="2" t="s">
        <v>12</v>
      </c>
      <c r="E4182" s="2" t="s">
        <v>12</v>
      </c>
      <c r="F4182" s="2" t="s">
        <v>12</v>
      </c>
      <c r="G4182" s="2" t="s">
        <v>12</v>
      </c>
      <c r="H4182" s="2" t="s">
        <v>12</v>
      </c>
      <c r="I4182" s="2" t="s">
        <v>12</v>
      </c>
      <c r="J4182" s="2" t="s">
        <v>12</v>
      </c>
      <c r="K4182" s="2" t="s">
        <v>12</v>
      </c>
    </row>
    <row r="4183" spans="1:11" ht="12.5" x14ac:dyDescent="0.25">
      <c r="A4183" s="3" t="e">
        <f ca="1"/>
        <v>#NAME?</v>
      </c>
      <c r="B4183" s="2" t="s">
        <v>12</v>
      </c>
      <c r="C4183" s="2" t="s">
        <v>12</v>
      </c>
      <c r="D4183" s="2" t="s">
        <v>12</v>
      </c>
      <c r="E4183" s="2" t="s">
        <v>12</v>
      </c>
      <c r="F4183" s="2" t="s">
        <v>12</v>
      </c>
      <c r="G4183" s="2" t="s">
        <v>12</v>
      </c>
      <c r="H4183" s="2" t="s">
        <v>12</v>
      </c>
      <c r="I4183" s="2" t="s">
        <v>12</v>
      </c>
      <c r="J4183" s="2" t="s">
        <v>12</v>
      </c>
      <c r="K4183" s="2" t="s">
        <v>12</v>
      </c>
    </row>
    <row r="4184" spans="1:11" ht="12.5" x14ac:dyDescent="0.25">
      <c r="A4184" s="3" t="e">
        <f ca="1"/>
        <v>#NAME?</v>
      </c>
      <c r="B4184" s="2" t="s">
        <v>12</v>
      </c>
      <c r="C4184" s="2" t="s">
        <v>12</v>
      </c>
      <c r="D4184" s="2" t="s">
        <v>12</v>
      </c>
      <c r="E4184" s="2" t="s">
        <v>12</v>
      </c>
      <c r="F4184" s="2" t="s">
        <v>12</v>
      </c>
      <c r="G4184" s="2" t="s">
        <v>12</v>
      </c>
      <c r="H4184" s="2" t="s">
        <v>12</v>
      </c>
      <c r="I4184" s="2" t="s">
        <v>12</v>
      </c>
      <c r="J4184" s="2" t="s">
        <v>12</v>
      </c>
      <c r="K4184" s="2" t="s">
        <v>12</v>
      </c>
    </row>
    <row r="4185" spans="1:11" ht="12.5" x14ac:dyDescent="0.25">
      <c r="A4185" s="3" t="e">
        <f ca="1"/>
        <v>#NAME?</v>
      </c>
      <c r="B4185" s="2" t="s">
        <v>12</v>
      </c>
      <c r="C4185" s="2" t="s">
        <v>12</v>
      </c>
      <c r="D4185" s="2" t="s">
        <v>12</v>
      </c>
      <c r="E4185" s="2" t="s">
        <v>12</v>
      </c>
      <c r="F4185" s="2" t="s">
        <v>12</v>
      </c>
      <c r="G4185" s="2" t="s">
        <v>12</v>
      </c>
      <c r="H4185" s="2" t="s">
        <v>12</v>
      </c>
      <c r="I4185" s="2" t="s">
        <v>12</v>
      </c>
      <c r="J4185" s="2" t="s">
        <v>12</v>
      </c>
      <c r="K4185" s="2" t="s">
        <v>12</v>
      </c>
    </row>
    <row r="4186" spans="1:11" ht="12.5" x14ac:dyDescent="0.25">
      <c r="A4186" s="3" t="e">
        <f ca="1"/>
        <v>#NAME?</v>
      </c>
      <c r="B4186" s="2" t="s">
        <v>12</v>
      </c>
      <c r="C4186" s="2" t="s">
        <v>12</v>
      </c>
      <c r="D4186" s="2" t="s">
        <v>12</v>
      </c>
      <c r="E4186" s="2" t="s">
        <v>12</v>
      </c>
      <c r="F4186" s="2" t="s">
        <v>12</v>
      </c>
      <c r="G4186" s="2" t="s">
        <v>12</v>
      </c>
      <c r="H4186" s="2" t="s">
        <v>12</v>
      </c>
      <c r="I4186" s="2" t="s">
        <v>12</v>
      </c>
      <c r="J4186" s="2" t="s">
        <v>12</v>
      </c>
      <c r="K4186" s="2" t="s">
        <v>12</v>
      </c>
    </row>
    <row r="4187" spans="1:11" ht="12.5" x14ac:dyDescent="0.25">
      <c r="A4187" s="3" t="e">
        <f ca="1"/>
        <v>#NAME?</v>
      </c>
      <c r="B4187" s="2" t="s">
        <v>12</v>
      </c>
      <c r="C4187" s="2" t="s">
        <v>12</v>
      </c>
      <c r="D4187" s="2" t="s">
        <v>12</v>
      </c>
      <c r="E4187" s="2" t="s">
        <v>12</v>
      </c>
      <c r="F4187" s="2" t="s">
        <v>12</v>
      </c>
      <c r="G4187" s="2" t="s">
        <v>12</v>
      </c>
      <c r="H4187" s="2" t="s">
        <v>12</v>
      </c>
      <c r="I4187" s="2" t="s">
        <v>12</v>
      </c>
      <c r="J4187" s="2" t="s">
        <v>12</v>
      </c>
      <c r="K4187" s="2" t="s">
        <v>12</v>
      </c>
    </row>
    <row r="4188" spans="1:11" ht="12.5" x14ac:dyDescent="0.25">
      <c r="A4188" s="3" t="e">
        <f ca="1"/>
        <v>#NAME?</v>
      </c>
      <c r="B4188" s="2" t="s">
        <v>12</v>
      </c>
      <c r="C4188" s="2" t="s">
        <v>12</v>
      </c>
      <c r="D4188" s="2" t="s">
        <v>12</v>
      </c>
      <c r="E4188" s="2" t="s">
        <v>12</v>
      </c>
      <c r="F4188" s="2" t="s">
        <v>12</v>
      </c>
      <c r="G4188" s="2" t="s">
        <v>12</v>
      </c>
      <c r="H4188" s="2" t="s">
        <v>12</v>
      </c>
      <c r="I4188" s="2" t="s">
        <v>12</v>
      </c>
      <c r="J4188" s="2" t="s">
        <v>12</v>
      </c>
      <c r="K4188" s="2" t="s">
        <v>12</v>
      </c>
    </row>
    <row r="4189" spans="1:11" ht="12.5" x14ac:dyDescent="0.25">
      <c r="A4189" s="3" t="e">
        <f ca="1"/>
        <v>#NAME?</v>
      </c>
      <c r="B4189" s="2" t="s">
        <v>12</v>
      </c>
      <c r="C4189" s="2" t="s">
        <v>12</v>
      </c>
      <c r="D4189" s="2" t="s">
        <v>12</v>
      </c>
      <c r="E4189" s="2" t="s">
        <v>12</v>
      </c>
      <c r="F4189" s="2" t="s">
        <v>12</v>
      </c>
      <c r="G4189" s="2" t="s">
        <v>12</v>
      </c>
      <c r="H4189" s="2" t="s">
        <v>12</v>
      </c>
      <c r="I4189" s="2" t="s">
        <v>12</v>
      </c>
      <c r="J4189" s="2" t="s">
        <v>12</v>
      </c>
      <c r="K4189" s="2" t="s">
        <v>12</v>
      </c>
    </row>
    <row r="4190" spans="1:11" ht="12.5" x14ac:dyDescent="0.25">
      <c r="A4190" s="3" t="e">
        <f ca="1"/>
        <v>#NAME?</v>
      </c>
      <c r="B4190" s="2" t="s">
        <v>12</v>
      </c>
      <c r="C4190" s="2" t="s">
        <v>12</v>
      </c>
      <c r="D4190" s="2" t="s">
        <v>12</v>
      </c>
      <c r="E4190" s="2" t="s">
        <v>12</v>
      </c>
      <c r="F4190" s="2" t="s">
        <v>12</v>
      </c>
      <c r="G4190" s="2" t="s">
        <v>12</v>
      </c>
      <c r="H4190" s="2" t="s">
        <v>12</v>
      </c>
      <c r="I4190" s="2" t="s">
        <v>12</v>
      </c>
      <c r="J4190" s="2" t="s">
        <v>12</v>
      </c>
      <c r="K4190" s="2" t="s">
        <v>12</v>
      </c>
    </row>
    <row r="4191" spans="1:11" ht="12.5" x14ac:dyDescent="0.25">
      <c r="A4191" s="3" t="e">
        <f ca="1"/>
        <v>#NAME?</v>
      </c>
      <c r="B4191" s="2" t="s">
        <v>12</v>
      </c>
      <c r="C4191" s="2" t="s">
        <v>12</v>
      </c>
      <c r="D4191" s="2" t="s">
        <v>12</v>
      </c>
      <c r="E4191" s="2" t="s">
        <v>12</v>
      </c>
      <c r="F4191" s="2" t="s">
        <v>12</v>
      </c>
      <c r="G4191" s="2" t="s">
        <v>12</v>
      </c>
      <c r="H4191" s="2" t="s">
        <v>12</v>
      </c>
      <c r="I4191" s="2" t="s">
        <v>12</v>
      </c>
      <c r="J4191" s="2" t="s">
        <v>12</v>
      </c>
      <c r="K4191" s="2" t="s">
        <v>12</v>
      </c>
    </row>
    <row r="4192" spans="1:11" ht="12.5" x14ac:dyDescent="0.25">
      <c r="A4192" s="3" t="e">
        <f ca="1"/>
        <v>#NAME?</v>
      </c>
      <c r="B4192" s="2" t="s">
        <v>12</v>
      </c>
      <c r="C4192" s="2" t="s">
        <v>12</v>
      </c>
      <c r="D4192" s="2" t="s">
        <v>12</v>
      </c>
      <c r="E4192" s="2" t="s">
        <v>12</v>
      </c>
      <c r="F4192" s="2" t="s">
        <v>12</v>
      </c>
      <c r="G4192" s="2" t="s">
        <v>12</v>
      </c>
      <c r="H4192" s="2" t="s">
        <v>12</v>
      </c>
      <c r="I4192" s="2" t="s">
        <v>12</v>
      </c>
      <c r="J4192" s="2" t="s">
        <v>12</v>
      </c>
      <c r="K4192" s="2" t="s">
        <v>12</v>
      </c>
    </row>
    <row r="4193" spans="1:11" ht="12.5" x14ac:dyDescent="0.25">
      <c r="A4193" s="3" t="e">
        <f ca="1"/>
        <v>#NAME?</v>
      </c>
      <c r="B4193" s="2" t="s">
        <v>12</v>
      </c>
      <c r="C4193" s="2" t="s">
        <v>12</v>
      </c>
      <c r="D4193" s="2" t="s">
        <v>12</v>
      </c>
      <c r="E4193" s="2" t="s">
        <v>12</v>
      </c>
      <c r="F4193" s="2" t="s">
        <v>12</v>
      </c>
      <c r="G4193" s="2" t="s">
        <v>12</v>
      </c>
      <c r="H4193" s="2" t="s">
        <v>12</v>
      </c>
      <c r="I4193" s="2" t="s">
        <v>12</v>
      </c>
      <c r="J4193" s="2" t="s">
        <v>12</v>
      </c>
      <c r="K4193" s="2" t="s">
        <v>12</v>
      </c>
    </row>
    <row r="4194" spans="1:11" ht="12.5" x14ac:dyDescent="0.25">
      <c r="A4194" s="3" t="e">
        <f ca="1"/>
        <v>#NAME?</v>
      </c>
      <c r="B4194" s="2" t="s">
        <v>12</v>
      </c>
      <c r="C4194" s="2" t="s">
        <v>12</v>
      </c>
      <c r="D4194" s="2" t="s">
        <v>12</v>
      </c>
      <c r="E4194" s="2" t="s">
        <v>12</v>
      </c>
      <c r="F4194" s="2" t="s">
        <v>12</v>
      </c>
      <c r="G4194" s="2" t="s">
        <v>12</v>
      </c>
      <c r="H4194" s="2" t="s">
        <v>12</v>
      </c>
      <c r="I4194" s="2" t="s">
        <v>12</v>
      </c>
      <c r="J4194" s="2" t="s">
        <v>12</v>
      </c>
      <c r="K4194" s="2" t="s">
        <v>12</v>
      </c>
    </row>
    <row r="4195" spans="1:11" ht="12.5" x14ac:dyDescent="0.25">
      <c r="A4195" s="3" t="e">
        <f ca="1"/>
        <v>#NAME?</v>
      </c>
      <c r="B4195" s="2" t="s">
        <v>12</v>
      </c>
      <c r="C4195" s="2" t="s">
        <v>12</v>
      </c>
      <c r="D4195" s="2" t="s">
        <v>12</v>
      </c>
      <c r="E4195" s="2" t="s">
        <v>12</v>
      </c>
      <c r="F4195" s="2" t="s">
        <v>12</v>
      </c>
      <c r="G4195" s="2" t="s">
        <v>12</v>
      </c>
      <c r="H4195" s="2" t="s">
        <v>12</v>
      </c>
      <c r="I4195" s="2" t="s">
        <v>12</v>
      </c>
      <c r="J4195" s="2" t="s">
        <v>12</v>
      </c>
      <c r="K4195" s="2" t="s">
        <v>12</v>
      </c>
    </row>
    <row r="4196" spans="1:11" ht="12.5" x14ac:dyDescent="0.25">
      <c r="A4196" s="3" t="e">
        <f ca="1"/>
        <v>#NAME?</v>
      </c>
      <c r="B4196" s="2" t="s">
        <v>12</v>
      </c>
      <c r="C4196" s="2" t="s">
        <v>12</v>
      </c>
      <c r="D4196" s="2" t="s">
        <v>12</v>
      </c>
      <c r="E4196" s="2" t="s">
        <v>12</v>
      </c>
      <c r="F4196" s="2" t="s">
        <v>12</v>
      </c>
      <c r="G4196" s="2" t="s">
        <v>12</v>
      </c>
      <c r="H4196" s="2" t="s">
        <v>12</v>
      </c>
      <c r="I4196" s="2" t="s">
        <v>12</v>
      </c>
      <c r="J4196" s="2" t="s">
        <v>12</v>
      </c>
      <c r="K4196" s="2" t="s">
        <v>12</v>
      </c>
    </row>
    <row r="4197" spans="1:11" ht="12.5" x14ac:dyDescent="0.25">
      <c r="A4197" s="3" t="e">
        <f ca="1"/>
        <v>#NAME?</v>
      </c>
      <c r="B4197" s="2" t="s">
        <v>12</v>
      </c>
      <c r="C4197" s="2" t="s">
        <v>12</v>
      </c>
      <c r="D4197" s="2" t="s">
        <v>12</v>
      </c>
      <c r="E4197" s="2" t="s">
        <v>12</v>
      </c>
      <c r="F4197" s="2" t="s">
        <v>12</v>
      </c>
      <c r="G4197" s="2" t="s">
        <v>12</v>
      </c>
      <c r="H4197" s="2" t="s">
        <v>12</v>
      </c>
      <c r="I4197" s="2" t="s">
        <v>12</v>
      </c>
      <c r="J4197" s="2" t="s">
        <v>12</v>
      </c>
      <c r="K4197" s="2" t="s">
        <v>12</v>
      </c>
    </row>
    <row r="4198" spans="1:11" ht="12.5" x14ac:dyDescent="0.25">
      <c r="A4198" s="3" t="e">
        <f ca="1"/>
        <v>#NAME?</v>
      </c>
      <c r="B4198" s="2" t="s">
        <v>12</v>
      </c>
      <c r="C4198" s="2" t="s">
        <v>12</v>
      </c>
      <c r="D4198" s="2" t="s">
        <v>12</v>
      </c>
      <c r="E4198" s="2" t="s">
        <v>12</v>
      </c>
      <c r="F4198" s="2" t="s">
        <v>12</v>
      </c>
      <c r="G4198" s="2" t="s">
        <v>12</v>
      </c>
      <c r="H4198" s="2" t="s">
        <v>12</v>
      </c>
      <c r="I4198" s="2" t="s">
        <v>12</v>
      </c>
      <c r="J4198" s="2" t="s">
        <v>12</v>
      </c>
      <c r="K4198" s="2" t="s">
        <v>12</v>
      </c>
    </row>
    <row r="4199" spans="1:11" ht="12.5" x14ac:dyDescent="0.25">
      <c r="A4199" s="3" t="e">
        <f ca="1"/>
        <v>#NAME?</v>
      </c>
      <c r="B4199" s="2" t="s">
        <v>12</v>
      </c>
      <c r="C4199" s="2" t="s">
        <v>12</v>
      </c>
      <c r="D4199" s="2" t="s">
        <v>12</v>
      </c>
      <c r="E4199" s="2" t="s">
        <v>12</v>
      </c>
      <c r="F4199" s="2" t="s">
        <v>12</v>
      </c>
      <c r="G4199" s="2" t="s">
        <v>12</v>
      </c>
      <c r="H4199" s="2" t="s">
        <v>12</v>
      </c>
      <c r="I4199" s="2" t="s">
        <v>12</v>
      </c>
      <c r="J4199" s="2" t="s">
        <v>12</v>
      </c>
      <c r="K4199" s="2" t="s">
        <v>12</v>
      </c>
    </row>
    <row r="4200" spans="1:11" ht="12.5" x14ac:dyDescent="0.25">
      <c r="A4200" s="3" t="e">
        <f ca="1"/>
        <v>#NAME?</v>
      </c>
      <c r="B4200" s="2" t="s">
        <v>12</v>
      </c>
      <c r="C4200" s="2" t="s">
        <v>12</v>
      </c>
      <c r="D4200" s="2" t="s">
        <v>12</v>
      </c>
      <c r="E4200" s="2" t="s">
        <v>12</v>
      </c>
      <c r="F4200" s="2" t="s">
        <v>12</v>
      </c>
      <c r="G4200" s="2" t="s">
        <v>12</v>
      </c>
      <c r="H4200" s="2" t="s">
        <v>12</v>
      </c>
      <c r="I4200" s="2" t="s">
        <v>12</v>
      </c>
      <c r="J4200" s="2" t="s">
        <v>12</v>
      </c>
      <c r="K4200" s="2" t="s">
        <v>12</v>
      </c>
    </row>
    <row r="4201" spans="1:11" ht="12.5" x14ac:dyDescent="0.25">
      <c r="A4201" s="3" t="e">
        <f ca="1"/>
        <v>#NAME?</v>
      </c>
      <c r="B4201" s="2" t="s">
        <v>12</v>
      </c>
      <c r="C4201" s="2" t="s">
        <v>12</v>
      </c>
      <c r="D4201" s="2" t="s">
        <v>12</v>
      </c>
      <c r="E4201" s="2" t="s">
        <v>12</v>
      </c>
      <c r="F4201" s="2" t="s">
        <v>12</v>
      </c>
      <c r="G4201" s="2" t="s">
        <v>12</v>
      </c>
      <c r="H4201" s="2" t="s">
        <v>12</v>
      </c>
      <c r="I4201" s="2" t="s">
        <v>12</v>
      </c>
      <c r="J4201" s="2" t="s">
        <v>12</v>
      </c>
      <c r="K4201" s="2" t="s">
        <v>12</v>
      </c>
    </row>
    <row r="4202" spans="1:11" ht="12.5" x14ac:dyDescent="0.25">
      <c r="A4202" s="3" t="e">
        <f ca="1"/>
        <v>#NAME?</v>
      </c>
      <c r="B4202" s="2" t="s">
        <v>12</v>
      </c>
      <c r="C4202" s="2" t="s">
        <v>12</v>
      </c>
      <c r="D4202" s="2" t="s">
        <v>12</v>
      </c>
      <c r="E4202" s="2" t="s">
        <v>12</v>
      </c>
      <c r="F4202" s="2" t="s">
        <v>12</v>
      </c>
      <c r="G4202" s="2" t="s">
        <v>12</v>
      </c>
      <c r="H4202" s="2" t="s">
        <v>12</v>
      </c>
      <c r="I4202" s="2" t="s">
        <v>12</v>
      </c>
      <c r="J4202" s="2" t="s">
        <v>12</v>
      </c>
      <c r="K4202" s="2" t="s">
        <v>12</v>
      </c>
    </row>
    <row r="4203" spans="1:11" ht="12.5" x14ac:dyDescent="0.25">
      <c r="A4203" s="3" t="e">
        <f ca="1"/>
        <v>#NAME?</v>
      </c>
      <c r="B4203" s="2" t="s">
        <v>12</v>
      </c>
      <c r="C4203" s="2" t="s">
        <v>12</v>
      </c>
      <c r="D4203" s="2" t="s">
        <v>12</v>
      </c>
      <c r="E4203" s="2" t="s">
        <v>12</v>
      </c>
      <c r="F4203" s="2" t="s">
        <v>12</v>
      </c>
      <c r="G4203" s="2" t="s">
        <v>12</v>
      </c>
      <c r="H4203" s="2" t="s">
        <v>12</v>
      </c>
      <c r="I4203" s="2" t="s">
        <v>12</v>
      </c>
      <c r="J4203" s="2" t="s">
        <v>12</v>
      </c>
      <c r="K4203" s="2" t="s">
        <v>12</v>
      </c>
    </row>
    <row r="4204" spans="1:11" ht="12.5" x14ac:dyDescent="0.25">
      <c r="A4204" s="3" t="e">
        <f ca="1"/>
        <v>#NAME?</v>
      </c>
      <c r="B4204" s="2" t="s">
        <v>12</v>
      </c>
      <c r="C4204" s="2" t="s">
        <v>12</v>
      </c>
      <c r="D4204" s="2" t="s">
        <v>12</v>
      </c>
      <c r="E4204" s="2" t="s">
        <v>12</v>
      </c>
      <c r="F4204" s="2" t="s">
        <v>12</v>
      </c>
      <c r="G4204" s="2" t="s">
        <v>12</v>
      </c>
      <c r="H4204" s="2" t="s">
        <v>12</v>
      </c>
      <c r="I4204" s="2" t="s">
        <v>12</v>
      </c>
      <c r="J4204" s="2" t="s">
        <v>12</v>
      </c>
      <c r="K4204" s="2" t="s">
        <v>12</v>
      </c>
    </row>
    <row r="4205" spans="1:11" ht="12.5" x14ac:dyDescent="0.25">
      <c r="A4205" s="3" t="e">
        <f ca="1"/>
        <v>#NAME?</v>
      </c>
      <c r="B4205" s="2" t="s">
        <v>12</v>
      </c>
      <c r="C4205" s="2" t="s">
        <v>12</v>
      </c>
      <c r="D4205" s="2" t="s">
        <v>12</v>
      </c>
      <c r="E4205" s="2" t="s">
        <v>12</v>
      </c>
      <c r="F4205" s="2" t="s">
        <v>12</v>
      </c>
      <c r="G4205" s="2" t="s">
        <v>12</v>
      </c>
      <c r="H4205" s="2" t="s">
        <v>12</v>
      </c>
      <c r="I4205" s="2" t="s">
        <v>12</v>
      </c>
      <c r="J4205" s="2" t="s">
        <v>12</v>
      </c>
      <c r="K4205" s="2" t="s">
        <v>12</v>
      </c>
    </row>
    <row r="4206" spans="1:11" ht="12.5" x14ac:dyDescent="0.25">
      <c r="A4206" s="3" t="e">
        <f ca="1"/>
        <v>#NAME?</v>
      </c>
      <c r="B4206" s="2" t="s">
        <v>12</v>
      </c>
      <c r="C4206" s="2" t="s">
        <v>12</v>
      </c>
      <c r="D4206" s="2" t="s">
        <v>12</v>
      </c>
      <c r="E4206" s="2" t="s">
        <v>12</v>
      </c>
      <c r="F4206" s="2" t="s">
        <v>12</v>
      </c>
      <c r="G4206" s="2" t="s">
        <v>12</v>
      </c>
      <c r="H4206" s="2" t="s">
        <v>12</v>
      </c>
      <c r="I4206" s="2" t="s">
        <v>12</v>
      </c>
      <c r="J4206" s="2" t="s">
        <v>12</v>
      </c>
      <c r="K4206" s="2" t="s">
        <v>12</v>
      </c>
    </row>
    <row r="4207" spans="1:11" ht="12.5" x14ac:dyDescent="0.25">
      <c r="A4207" s="3" t="e">
        <f ca="1"/>
        <v>#NAME?</v>
      </c>
      <c r="B4207" s="2" t="s">
        <v>12</v>
      </c>
      <c r="C4207" s="2" t="s">
        <v>12</v>
      </c>
      <c r="D4207" s="2" t="s">
        <v>12</v>
      </c>
      <c r="E4207" s="2" t="s">
        <v>12</v>
      </c>
      <c r="F4207" s="2" t="s">
        <v>12</v>
      </c>
      <c r="G4207" s="2" t="s">
        <v>12</v>
      </c>
      <c r="H4207" s="2" t="s">
        <v>12</v>
      </c>
      <c r="I4207" s="2" t="s">
        <v>12</v>
      </c>
      <c r="J4207" s="2" t="s">
        <v>12</v>
      </c>
      <c r="K4207" s="2" t="s">
        <v>12</v>
      </c>
    </row>
    <row r="4208" spans="1:11" ht="12.5" x14ac:dyDescent="0.25">
      <c r="A4208" s="3" t="e">
        <f ca="1"/>
        <v>#NAME?</v>
      </c>
      <c r="B4208" s="2" t="s">
        <v>12</v>
      </c>
      <c r="C4208" s="2" t="s">
        <v>12</v>
      </c>
      <c r="D4208" s="2" t="s">
        <v>12</v>
      </c>
      <c r="E4208" s="2" t="s">
        <v>12</v>
      </c>
      <c r="F4208" s="2" t="s">
        <v>12</v>
      </c>
      <c r="G4208" s="2" t="s">
        <v>12</v>
      </c>
      <c r="H4208" s="2" t="s">
        <v>12</v>
      </c>
      <c r="I4208" s="2" t="s">
        <v>12</v>
      </c>
      <c r="J4208" s="2" t="s">
        <v>12</v>
      </c>
      <c r="K4208" s="2" t="s">
        <v>12</v>
      </c>
    </row>
    <row r="4209" spans="1:11" ht="12.5" x14ac:dyDescent="0.25">
      <c r="A4209" s="3" t="e">
        <f ca="1"/>
        <v>#NAME?</v>
      </c>
      <c r="B4209" s="2" t="s">
        <v>12</v>
      </c>
      <c r="C4209" s="2" t="s">
        <v>12</v>
      </c>
      <c r="D4209" s="2" t="s">
        <v>12</v>
      </c>
      <c r="E4209" s="2" t="s">
        <v>12</v>
      </c>
      <c r="F4209" s="2" t="s">
        <v>12</v>
      </c>
      <c r="G4209" s="2" t="s">
        <v>12</v>
      </c>
      <c r="H4209" s="2" t="s">
        <v>12</v>
      </c>
      <c r="I4209" s="2" t="s">
        <v>12</v>
      </c>
      <c r="J4209" s="2" t="s">
        <v>12</v>
      </c>
      <c r="K4209" s="2" t="s">
        <v>12</v>
      </c>
    </row>
    <row r="4210" spans="1:11" ht="12.5" x14ac:dyDescent="0.25">
      <c r="A4210" s="3" t="e">
        <f ca="1"/>
        <v>#NAME?</v>
      </c>
      <c r="B4210" s="2" t="s">
        <v>12</v>
      </c>
      <c r="C4210" s="2" t="s">
        <v>12</v>
      </c>
      <c r="D4210" s="2" t="s">
        <v>12</v>
      </c>
      <c r="E4210" s="2" t="s">
        <v>12</v>
      </c>
      <c r="F4210" s="2" t="s">
        <v>12</v>
      </c>
      <c r="G4210" s="2" t="s">
        <v>12</v>
      </c>
      <c r="H4210" s="2" t="s">
        <v>12</v>
      </c>
      <c r="I4210" s="2" t="s">
        <v>12</v>
      </c>
      <c r="J4210" s="2" t="s">
        <v>12</v>
      </c>
      <c r="K4210" s="2" t="s">
        <v>12</v>
      </c>
    </row>
    <row r="4211" spans="1:11" ht="12.5" x14ac:dyDescent="0.25">
      <c r="A4211" s="3" t="e">
        <f ca="1"/>
        <v>#NAME?</v>
      </c>
      <c r="B4211" s="2" t="s">
        <v>12</v>
      </c>
      <c r="C4211" s="2" t="s">
        <v>12</v>
      </c>
      <c r="D4211" s="2" t="s">
        <v>12</v>
      </c>
      <c r="E4211" s="2" t="s">
        <v>12</v>
      </c>
      <c r="F4211" s="2" t="s">
        <v>12</v>
      </c>
      <c r="G4211" s="2" t="s">
        <v>12</v>
      </c>
      <c r="H4211" s="2" t="s">
        <v>12</v>
      </c>
      <c r="I4211" s="2" t="s">
        <v>12</v>
      </c>
      <c r="J4211" s="2" t="s">
        <v>12</v>
      </c>
      <c r="K4211" s="2" t="s">
        <v>12</v>
      </c>
    </row>
    <row r="4212" spans="1:11" ht="12.5" x14ac:dyDescent="0.25">
      <c r="A4212" s="3" t="e">
        <f ca="1"/>
        <v>#NAME?</v>
      </c>
      <c r="B4212" s="2" t="s">
        <v>12</v>
      </c>
      <c r="C4212" s="2" t="s">
        <v>12</v>
      </c>
      <c r="D4212" s="2" t="s">
        <v>12</v>
      </c>
      <c r="E4212" s="2" t="s">
        <v>12</v>
      </c>
      <c r="F4212" s="2" t="s">
        <v>12</v>
      </c>
      <c r="G4212" s="2" t="s">
        <v>12</v>
      </c>
      <c r="H4212" s="2" t="s">
        <v>12</v>
      </c>
      <c r="I4212" s="2" t="s">
        <v>12</v>
      </c>
      <c r="J4212" s="2" t="s">
        <v>12</v>
      </c>
      <c r="K4212" s="2" t="s">
        <v>12</v>
      </c>
    </row>
    <row r="4213" spans="1:11" ht="12.5" x14ac:dyDescent="0.25">
      <c r="A4213" s="3" t="e">
        <f ca="1"/>
        <v>#NAME?</v>
      </c>
      <c r="B4213" s="2" t="s">
        <v>12</v>
      </c>
      <c r="C4213" s="2" t="s">
        <v>12</v>
      </c>
      <c r="D4213" s="2" t="s">
        <v>12</v>
      </c>
      <c r="E4213" s="2" t="s">
        <v>12</v>
      </c>
      <c r="F4213" s="2" t="s">
        <v>12</v>
      </c>
      <c r="G4213" s="2" t="s">
        <v>12</v>
      </c>
      <c r="H4213" s="2" t="s">
        <v>12</v>
      </c>
      <c r="I4213" s="2" t="s">
        <v>12</v>
      </c>
      <c r="J4213" s="2" t="s">
        <v>12</v>
      </c>
      <c r="K4213" s="2" t="s">
        <v>12</v>
      </c>
    </row>
    <row r="4214" spans="1:11" ht="12.5" x14ac:dyDescent="0.25">
      <c r="A4214" s="3" t="e">
        <f ca="1"/>
        <v>#NAME?</v>
      </c>
      <c r="B4214" s="2" t="s">
        <v>12</v>
      </c>
      <c r="C4214" s="2" t="s">
        <v>12</v>
      </c>
      <c r="D4214" s="2" t="s">
        <v>12</v>
      </c>
      <c r="E4214" s="2" t="s">
        <v>12</v>
      </c>
      <c r="F4214" s="2" t="s">
        <v>12</v>
      </c>
      <c r="G4214" s="2" t="s">
        <v>12</v>
      </c>
      <c r="H4214" s="2" t="s">
        <v>12</v>
      </c>
      <c r="I4214" s="2" t="s">
        <v>12</v>
      </c>
      <c r="J4214" s="2" t="s">
        <v>12</v>
      </c>
      <c r="K4214" s="2" t="s">
        <v>12</v>
      </c>
    </row>
    <row r="4215" spans="1:11" ht="12.5" x14ac:dyDescent="0.25">
      <c r="A4215" s="3" t="e">
        <f ca="1"/>
        <v>#NAME?</v>
      </c>
      <c r="B4215" s="2" t="s">
        <v>12</v>
      </c>
      <c r="C4215" s="2" t="s">
        <v>12</v>
      </c>
      <c r="D4215" s="2" t="s">
        <v>12</v>
      </c>
      <c r="E4215" s="2" t="s">
        <v>12</v>
      </c>
      <c r="F4215" s="2" t="s">
        <v>12</v>
      </c>
      <c r="G4215" s="2" t="s">
        <v>12</v>
      </c>
      <c r="H4215" s="2" t="s">
        <v>12</v>
      </c>
      <c r="I4215" s="2" t="s">
        <v>12</v>
      </c>
      <c r="J4215" s="2" t="s">
        <v>12</v>
      </c>
      <c r="K4215" s="2" t="s">
        <v>12</v>
      </c>
    </row>
    <row r="4216" spans="1:11" ht="12.5" x14ac:dyDescent="0.25">
      <c r="A4216" s="3" t="e">
        <f ca="1"/>
        <v>#NAME?</v>
      </c>
      <c r="B4216" s="2" t="s">
        <v>12</v>
      </c>
      <c r="C4216" s="2" t="s">
        <v>12</v>
      </c>
      <c r="D4216" s="2" t="s">
        <v>12</v>
      </c>
      <c r="E4216" s="2" t="s">
        <v>12</v>
      </c>
      <c r="F4216" s="2" t="s">
        <v>12</v>
      </c>
      <c r="G4216" s="2" t="s">
        <v>12</v>
      </c>
      <c r="H4216" s="2" t="s">
        <v>12</v>
      </c>
      <c r="I4216" s="2" t="s">
        <v>12</v>
      </c>
      <c r="J4216" s="2" t="s">
        <v>12</v>
      </c>
      <c r="K4216" s="2" t="s">
        <v>12</v>
      </c>
    </row>
    <row r="4217" spans="1:11" ht="12.5" x14ac:dyDescent="0.25">
      <c r="A4217" s="3" t="e">
        <f ca="1"/>
        <v>#NAME?</v>
      </c>
      <c r="B4217" s="2" t="s">
        <v>12</v>
      </c>
      <c r="C4217" s="2" t="s">
        <v>12</v>
      </c>
      <c r="D4217" s="2" t="s">
        <v>12</v>
      </c>
      <c r="E4217" s="2" t="s">
        <v>12</v>
      </c>
      <c r="F4217" s="2" t="s">
        <v>12</v>
      </c>
      <c r="G4217" s="2" t="s">
        <v>12</v>
      </c>
      <c r="H4217" s="2" t="s">
        <v>12</v>
      </c>
      <c r="I4217" s="2" t="s">
        <v>12</v>
      </c>
      <c r="J4217" s="2" t="s">
        <v>12</v>
      </c>
      <c r="K4217" s="2" t="s">
        <v>12</v>
      </c>
    </row>
    <row r="4218" spans="1:11" ht="12.5" x14ac:dyDescent="0.25">
      <c r="A4218" s="3" t="e">
        <f ca="1"/>
        <v>#NAME?</v>
      </c>
      <c r="B4218" s="2" t="s">
        <v>12</v>
      </c>
      <c r="C4218" s="2" t="s">
        <v>12</v>
      </c>
      <c r="D4218" s="2" t="s">
        <v>12</v>
      </c>
      <c r="E4218" s="2" t="s">
        <v>12</v>
      </c>
      <c r="F4218" s="2" t="s">
        <v>12</v>
      </c>
      <c r="G4218" s="2" t="s">
        <v>12</v>
      </c>
      <c r="H4218" s="2" t="s">
        <v>12</v>
      </c>
      <c r="I4218" s="2" t="s">
        <v>12</v>
      </c>
      <c r="J4218" s="2" t="s">
        <v>12</v>
      </c>
      <c r="K4218" s="2" t="s">
        <v>12</v>
      </c>
    </row>
    <row r="4219" spans="1:11" ht="12.5" x14ac:dyDescent="0.25">
      <c r="A4219" s="3" t="e">
        <f ca="1"/>
        <v>#NAME?</v>
      </c>
      <c r="B4219" s="2" t="s">
        <v>12</v>
      </c>
      <c r="C4219" s="2" t="s">
        <v>12</v>
      </c>
      <c r="D4219" s="2" t="s">
        <v>12</v>
      </c>
      <c r="E4219" s="2" t="s">
        <v>12</v>
      </c>
      <c r="F4219" s="2" t="s">
        <v>12</v>
      </c>
      <c r="G4219" s="2" t="s">
        <v>12</v>
      </c>
      <c r="H4219" s="2" t="s">
        <v>12</v>
      </c>
      <c r="I4219" s="2" t="s">
        <v>12</v>
      </c>
      <c r="J4219" s="2" t="s">
        <v>12</v>
      </c>
      <c r="K4219" s="2" t="s">
        <v>12</v>
      </c>
    </row>
    <row r="4220" spans="1:11" ht="12.5" x14ac:dyDescent="0.25">
      <c r="A4220" s="3" t="e">
        <f ca="1"/>
        <v>#NAME?</v>
      </c>
      <c r="B4220" s="2" t="s">
        <v>12</v>
      </c>
      <c r="C4220" s="2" t="s">
        <v>12</v>
      </c>
      <c r="D4220" s="2" t="s">
        <v>12</v>
      </c>
      <c r="E4220" s="2" t="s">
        <v>12</v>
      </c>
      <c r="F4220" s="2" t="s">
        <v>12</v>
      </c>
      <c r="G4220" s="2" t="s">
        <v>12</v>
      </c>
      <c r="H4220" s="2" t="s">
        <v>12</v>
      </c>
      <c r="I4220" s="2" t="s">
        <v>12</v>
      </c>
      <c r="J4220" s="2" t="s">
        <v>12</v>
      </c>
      <c r="K4220" s="2" t="s">
        <v>12</v>
      </c>
    </row>
    <row r="4221" spans="1:11" ht="12.5" x14ac:dyDescent="0.25">
      <c r="A4221" s="3" t="e">
        <f ca="1"/>
        <v>#NAME?</v>
      </c>
      <c r="B4221" s="2" t="s">
        <v>12</v>
      </c>
      <c r="C4221" s="2" t="s">
        <v>12</v>
      </c>
      <c r="D4221" s="2" t="s">
        <v>12</v>
      </c>
      <c r="E4221" s="2" t="s">
        <v>12</v>
      </c>
      <c r="F4221" s="2" t="s">
        <v>12</v>
      </c>
      <c r="G4221" s="2" t="s">
        <v>12</v>
      </c>
      <c r="H4221" s="2" t="s">
        <v>12</v>
      </c>
      <c r="I4221" s="2" t="s">
        <v>12</v>
      </c>
      <c r="J4221" s="2" t="s">
        <v>12</v>
      </c>
      <c r="K4221" s="2" t="s">
        <v>12</v>
      </c>
    </row>
    <row r="4222" spans="1:11" ht="12.5" x14ac:dyDescent="0.25">
      <c r="A4222" s="3" t="e">
        <f ca="1"/>
        <v>#NAME?</v>
      </c>
      <c r="B4222" s="2" t="s">
        <v>12</v>
      </c>
      <c r="C4222" s="2" t="s">
        <v>12</v>
      </c>
      <c r="D4222" s="2" t="s">
        <v>12</v>
      </c>
      <c r="E4222" s="2" t="s">
        <v>12</v>
      </c>
      <c r="F4222" s="2" t="s">
        <v>12</v>
      </c>
      <c r="G4222" s="2" t="s">
        <v>12</v>
      </c>
      <c r="H4222" s="2" t="s">
        <v>12</v>
      </c>
      <c r="I4222" s="2" t="s">
        <v>12</v>
      </c>
      <c r="J4222" s="2" t="s">
        <v>12</v>
      </c>
      <c r="K4222" s="2" t="s">
        <v>12</v>
      </c>
    </row>
    <row r="4223" spans="1:11" ht="12.5" x14ac:dyDescent="0.25">
      <c r="A4223" s="3" t="e">
        <f ca="1"/>
        <v>#NAME?</v>
      </c>
      <c r="B4223" s="2" t="s">
        <v>12</v>
      </c>
      <c r="C4223" s="2" t="s">
        <v>12</v>
      </c>
      <c r="D4223" s="2" t="s">
        <v>12</v>
      </c>
      <c r="E4223" s="2" t="s">
        <v>12</v>
      </c>
      <c r="F4223" s="2" t="s">
        <v>12</v>
      </c>
      <c r="G4223" s="2" t="s">
        <v>12</v>
      </c>
      <c r="H4223" s="2" t="s">
        <v>12</v>
      </c>
      <c r="I4223" s="2" t="s">
        <v>12</v>
      </c>
      <c r="J4223" s="2" t="s">
        <v>12</v>
      </c>
      <c r="K4223" s="2" t="s">
        <v>12</v>
      </c>
    </row>
    <row r="4224" spans="1:11" ht="12.5" x14ac:dyDescent="0.25">
      <c r="A4224" s="3" t="e">
        <f ca="1"/>
        <v>#NAME?</v>
      </c>
      <c r="B4224" s="2" t="s">
        <v>12</v>
      </c>
      <c r="C4224" s="2" t="s">
        <v>12</v>
      </c>
      <c r="D4224" s="2" t="s">
        <v>12</v>
      </c>
      <c r="E4224" s="2" t="s">
        <v>12</v>
      </c>
      <c r="F4224" s="2" t="s">
        <v>12</v>
      </c>
      <c r="G4224" s="2" t="s">
        <v>12</v>
      </c>
      <c r="H4224" s="2" t="s">
        <v>12</v>
      </c>
      <c r="I4224" s="2" t="s">
        <v>12</v>
      </c>
      <c r="J4224" s="2" t="s">
        <v>12</v>
      </c>
      <c r="K4224" s="2" t="s">
        <v>12</v>
      </c>
    </row>
    <row r="4225" spans="1:11" ht="12.5" x14ac:dyDescent="0.25">
      <c r="A4225" s="3" t="e">
        <f ca="1"/>
        <v>#NAME?</v>
      </c>
      <c r="B4225" s="2" t="s">
        <v>12</v>
      </c>
      <c r="C4225" s="2" t="s">
        <v>12</v>
      </c>
      <c r="D4225" s="2" t="s">
        <v>12</v>
      </c>
      <c r="E4225" s="2" t="s">
        <v>12</v>
      </c>
      <c r="F4225" s="2" t="s">
        <v>12</v>
      </c>
      <c r="G4225" s="2" t="s">
        <v>12</v>
      </c>
      <c r="H4225" s="2" t="s">
        <v>12</v>
      </c>
      <c r="I4225" s="2" t="s">
        <v>12</v>
      </c>
      <c r="J4225" s="2" t="s">
        <v>12</v>
      </c>
      <c r="K4225" s="2" t="s">
        <v>12</v>
      </c>
    </row>
    <row r="4226" spans="1:11" ht="12.5" x14ac:dyDescent="0.25">
      <c r="A4226" s="3" t="e">
        <f ca="1"/>
        <v>#NAME?</v>
      </c>
      <c r="B4226" s="2" t="s">
        <v>12</v>
      </c>
      <c r="C4226" s="2" t="s">
        <v>12</v>
      </c>
      <c r="D4226" s="2" t="s">
        <v>12</v>
      </c>
      <c r="E4226" s="2" t="s">
        <v>12</v>
      </c>
      <c r="F4226" s="2" t="s">
        <v>12</v>
      </c>
      <c r="G4226" s="2" t="s">
        <v>12</v>
      </c>
      <c r="H4226" s="2" t="s">
        <v>12</v>
      </c>
      <c r="I4226" s="2" t="s">
        <v>12</v>
      </c>
      <c r="J4226" s="2" t="s">
        <v>12</v>
      </c>
      <c r="K4226" s="2" t="s">
        <v>12</v>
      </c>
    </row>
    <row r="4227" spans="1:11" ht="12.5" x14ac:dyDescent="0.25">
      <c r="A4227" s="3" t="e">
        <f ca="1"/>
        <v>#NAME?</v>
      </c>
      <c r="B4227" s="2" t="s">
        <v>12</v>
      </c>
      <c r="C4227" s="2" t="s">
        <v>12</v>
      </c>
      <c r="D4227" s="2" t="s">
        <v>12</v>
      </c>
      <c r="E4227" s="2" t="s">
        <v>12</v>
      </c>
      <c r="F4227" s="2" t="s">
        <v>12</v>
      </c>
      <c r="G4227" s="2" t="s">
        <v>12</v>
      </c>
      <c r="H4227" s="2" t="s">
        <v>12</v>
      </c>
      <c r="I4227" s="2" t="s">
        <v>12</v>
      </c>
      <c r="J4227" s="2" t="s">
        <v>12</v>
      </c>
      <c r="K4227" s="2" t="s">
        <v>12</v>
      </c>
    </row>
    <row r="4228" spans="1:11" ht="12.5" x14ac:dyDescent="0.25">
      <c r="A4228" s="3" t="e">
        <f ca="1"/>
        <v>#NAME?</v>
      </c>
      <c r="B4228" s="2" t="s">
        <v>12</v>
      </c>
      <c r="C4228" s="2" t="s">
        <v>12</v>
      </c>
      <c r="D4228" s="2" t="s">
        <v>12</v>
      </c>
      <c r="E4228" s="2" t="s">
        <v>12</v>
      </c>
      <c r="F4228" s="2" t="s">
        <v>12</v>
      </c>
      <c r="G4228" s="2" t="s">
        <v>12</v>
      </c>
      <c r="H4228" s="2" t="s">
        <v>12</v>
      </c>
      <c r="I4228" s="2" t="s">
        <v>12</v>
      </c>
      <c r="J4228" s="2" t="s">
        <v>12</v>
      </c>
      <c r="K4228" s="2" t="s">
        <v>12</v>
      </c>
    </row>
    <row r="4229" spans="1:11" ht="12.5" x14ac:dyDescent="0.25">
      <c r="A4229" s="3" t="e">
        <f ca="1"/>
        <v>#NAME?</v>
      </c>
      <c r="B4229" s="2" t="s">
        <v>12</v>
      </c>
      <c r="C4229" s="2" t="s">
        <v>12</v>
      </c>
      <c r="D4229" s="2" t="s">
        <v>12</v>
      </c>
      <c r="E4229" s="2" t="s">
        <v>12</v>
      </c>
      <c r="F4229" s="2" t="s">
        <v>12</v>
      </c>
      <c r="G4229" s="2" t="s">
        <v>12</v>
      </c>
      <c r="H4229" s="2" t="s">
        <v>12</v>
      </c>
      <c r="I4229" s="2" t="s">
        <v>12</v>
      </c>
      <c r="J4229" s="2" t="s">
        <v>12</v>
      </c>
      <c r="K4229" s="2" t="s">
        <v>12</v>
      </c>
    </row>
    <row r="4230" spans="1:11" ht="12.5" x14ac:dyDescent="0.25">
      <c r="A4230" s="3" t="e">
        <f ca="1"/>
        <v>#NAME?</v>
      </c>
      <c r="B4230" s="2" t="s">
        <v>12</v>
      </c>
      <c r="C4230" s="2" t="s">
        <v>12</v>
      </c>
      <c r="D4230" s="2" t="s">
        <v>12</v>
      </c>
      <c r="E4230" s="2" t="s">
        <v>12</v>
      </c>
      <c r="F4230" s="2" t="s">
        <v>12</v>
      </c>
      <c r="G4230" s="2" t="s">
        <v>12</v>
      </c>
      <c r="H4230" s="2" t="s">
        <v>12</v>
      </c>
      <c r="I4230" s="2" t="s">
        <v>12</v>
      </c>
      <c r="J4230" s="2" t="s">
        <v>12</v>
      </c>
      <c r="K4230" s="2" t="s">
        <v>12</v>
      </c>
    </row>
    <row r="4231" spans="1:11" ht="12.5" x14ac:dyDescent="0.25">
      <c r="A4231" s="3" t="e">
        <f ca="1"/>
        <v>#NAME?</v>
      </c>
      <c r="B4231" s="2" t="s">
        <v>12</v>
      </c>
      <c r="C4231" s="2" t="s">
        <v>12</v>
      </c>
      <c r="D4231" s="2" t="s">
        <v>12</v>
      </c>
      <c r="E4231" s="2" t="s">
        <v>12</v>
      </c>
      <c r="F4231" s="2" t="s">
        <v>12</v>
      </c>
      <c r="G4231" s="2" t="s">
        <v>12</v>
      </c>
      <c r="H4231" s="2" t="s">
        <v>12</v>
      </c>
      <c r="I4231" s="2" t="s">
        <v>12</v>
      </c>
      <c r="J4231" s="2" t="s">
        <v>12</v>
      </c>
      <c r="K4231" s="2" t="s">
        <v>12</v>
      </c>
    </row>
    <row r="4232" spans="1:11" ht="12.5" x14ac:dyDescent="0.25">
      <c r="A4232" s="3" t="e">
        <f ca="1"/>
        <v>#NAME?</v>
      </c>
      <c r="B4232" s="2" t="s">
        <v>12</v>
      </c>
      <c r="C4232" s="2" t="s">
        <v>12</v>
      </c>
      <c r="D4232" s="2" t="s">
        <v>12</v>
      </c>
      <c r="E4232" s="2" t="s">
        <v>12</v>
      </c>
      <c r="F4232" s="2" t="s">
        <v>12</v>
      </c>
      <c r="G4232" s="2" t="s">
        <v>12</v>
      </c>
      <c r="H4232" s="2" t="s">
        <v>12</v>
      </c>
      <c r="I4232" s="2" t="s">
        <v>12</v>
      </c>
      <c r="J4232" s="2" t="s">
        <v>12</v>
      </c>
      <c r="K4232" s="2" t="s">
        <v>12</v>
      </c>
    </row>
    <row r="4233" spans="1:11" ht="12.5" x14ac:dyDescent="0.25">
      <c r="A4233" s="3" t="e">
        <f ca="1"/>
        <v>#NAME?</v>
      </c>
      <c r="B4233" s="2" t="s">
        <v>12</v>
      </c>
      <c r="C4233" s="2" t="s">
        <v>12</v>
      </c>
      <c r="D4233" s="2" t="s">
        <v>12</v>
      </c>
      <c r="E4233" s="2" t="s">
        <v>12</v>
      </c>
      <c r="F4233" s="2" t="s">
        <v>12</v>
      </c>
      <c r="G4233" s="2" t="s">
        <v>12</v>
      </c>
      <c r="H4233" s="2" t="s">
        <v>12</v>
      </c>
      <c r="I4233" s="2" t="s">
        <v>12</v>
      </c>
      <c r="J4233" s="2" t="s">
        <v>12</v>
      </c>
      <c r="K4233" s="2" t="s">
        <v>12</v>
      </c>
    </row>
    <row r="4234" spans="1:11" ht="12.5" x14ac:dyDescent="0.25">
      <c r="A4234" s="3" t="e">
        <f ca="1"/>
        <v>#NAME?</v>
      </c>
      <c r="B4234" s="2" t="s">
        <v>12</v>
      </c>
      <c r="C4234" s="2" t="s">
        <v>12</v>
      </c>
      <c r="D4234" s="2" t="s">
        <v>12</v>
      </c>
      <c r="E4234" s="2" t="s">
        <v>12</v>
      </c>
      <c r="F4234" s="2" t="s">
        <v>12</v>
      </c>
      <c r="G4234" s="2" t="s">
        <v>12</v>
      </c>
      <c r="H4234" s="2" t="s">
        <v>12</v>
      </c>
      <c r="I4234" s="2" t="s">
        <v>12</v>
      </c>
      <c r="J4234" s="2" t="s">
        <v>12</v>
      </c>
      <c r="K4234" s="2" t="s">
        <v>12</v>
      </c>
    </row>
    <row r="4235" spans="1:11" ht="12.5" x14ac:dyDescent="0.25">
      <c r="A4235" s="3" t="e">
        <f ca="1"/>
        <v>#NAME?</v>
      </c>
      <c r="B4235" s="2" t="s">
        <v>12</v>
      </c>
      <c r="C4235" s="2" t="s">
        <v>12</v>
      </c>
      <c r="D4235" s="2" t="s">
        <v>12</v>
      </c>
      <c r="E4235" s="2" t="s">
        <v>12</v>
      </c>
      <c r="F4235" s="2" t="s">
        <v>12</v>
      </c>
      <c r="G4235" s="2" t="s">
        <v>12</v>
      </c>
      <c r="H4235" s="2" t="s">
        <v>12</v>
      </c>
      <c r="I4235" s="2" t="s">
        <v>12</v>
      </c>
      <c r="J4235" s="2" t="s">
        <v>12</v>
      </c>
      <c r="K4235" s="2" t="s">
        <v>12</v>
      </c>
    </row>
    <row r="4236" spans="1:11" ht="12.5" x14ac:dyDescent="0.25">
      <c r="A4236" s="3" t="e">
        <f ca="1"/>
        <v>#NAME?</v>
      </c>
      <c r="B4236" s="2" t="s">
        <v>12</v>
      </c>
      <c r="C4236" s="2" t="s">
        <v>12</v>
      </c>
      <c r="D4236" s="2" t="s">
        <v>12</v>
      </c>
      <c r="E4236" s="2" t="s">
        <v>12</v>
      </c>
      <c r="F4236" s="2" t="s">
        <v>12</v>
      </c>
      <c r="G4236" s="2" t="s">
        <v>12</v>
      </c>
      <c r="H4236" s="2" t="s">
        <v>12</v>
      </c>
      <c r="I4236" s="2" t="s">
        <v>12</v>
      </c>
      <c r="J4236" s="2" t="s">
        <v>12</v>
      </c>
      <c r="K4236" s="2" t="s">
        <v>12</v>
      </c>
    </row>
    <row r="4237" spans="1:11" ht="12.5" x14ac:dyDescent="0.25">
      <c r="A4237" s="3" t="e">
        <f ca="1"/>
        <v>#NAME?</v>
      </c>
      <c r="B4237" s="2" t="s">
        <v>12</v>
      </c>
      <c r="C4237" s="2" t="s">
        <v>12</v>
      </c>
      <c r="D4237" s="2" t="s">
        <v>12</v>
      </c>
      <c r="E4237" s="2" t="s">
        <v>12</v>
      </c>
      <c r="F4237" s="2" t="s">
        <v>12</v>
      </c>
      <c r="G4237" s="2" t="s">
        <v>12</v>
      </c>
      <c r="H4237" s="2" t="s">
        <v>12</v>
      </c>
      <c r="I4237" s="2" t="s">
        <v>12</v>
      </c>
      <c r="J4237" s="2" t="s">
        <v>12</v>
      </c>
      <c r="K4237" s="2" t="s">
        <v>12</v>
      </c>
    </row>
    <row r="4238" spans="1:11" ht="12.5" x14ac:dyDescent="0.25">
      <c r="A4238" s="3" t="e">
        <f ca="1"/>
        <v>#NAME?</v>
      </c>
      <c r="B4238" s="2" t="s">
        <v>12</v>
      </c>
      <c r="C4238" s="2" t="s">
        <v>12</v>
      </c>
      <c r="D4238" s="2" t="s">
        <v>12</v>
      </c>
      <c r="E4238" s="2" t="s">
        <v>12</v>
      </c>
      <c r="F4238" s="2" t="s">
        <v>12</v>
      </c>
      <c r="G4238" s="2" t="s">
        <v>12</v>
      </c>
      <c r="H4238" s="2" t="s">
        <v>12</v>
      </c>
      <c r="I4238" s="2" t="s">
        <v>12</v>
      </c>
      <c r="J4238" s="2" t="s">
        <v>12</v>
      </c>
      <c r="K4238" s="2" t="s">
        <v>12</v>
      </c>
    </row>
    <row r="4239" spans="1:11" ht="12.5" x14ac:dyDescent="0.25">
      <c r="A4239" s="3" t="e">
        <f ca="1"/>
        <v>#NAME?</v>
      </c>
      <c r="B4239" s="2" t="s">
        <v>12</v>
      </c>
      <c r="C4239" s="2" t="s">
        <v>12</v>
      </c>
      <c r="D4239" s="2" t="s">
        <v>12</v>
      </c>
      <c r="E4239" s="2" t="s">
        <v>12</v>
      </c>
      <c r="F4239" s="2" t="s">
        <v>12</v>
      </c>
      <c r="G4239" s="2" t="s">
        <v>12</v>
      </c>
      <c r="H4239" s="2" t="s">
        <v>12</v>
      </c>
      <c r="I4239" s="2" t="s">
        <v>12</v>
      </c>
      <c r="J4239" s="2" t="s">
        <v>12</v>
      </c>
      <c r="K4239" s="2" t="s">
        <v>12</v>
      </c>
    </row>
    <row r="4240" spans="1:11" ht="12.5" x14ac:dyDescent="0.25">
      <c r="A4240" s="3" t="e">
        <f ca="1"/>
        <v>#NAME?</v>
      </c>
      <c r="B4240" s="2" t="s">
        <v>12</v>
      </c>
      <c r="C4240" s="2" t="s">
        <v>12</v>
      </c>
      <c r="D4240" s="2" t="s">
        <v>12</v>
      </c>
      <c r="E4240" s="2" t="s">
        <v>12</v>
      </c>
      <c r="F4240" s="2" t="s">
        <v>12</v>
      </c>
      <c r="G4240" s="2" t="s">
        <v>12</v>
      </c>
      <c r="H4240" s="2" t="s">
        <v>12</v>
      </c>
      <c r="I4240" s="2" t="s">
        <v>12</v>
      </c>
      <c r="J4240" s="2" t="s">
        <v>12</v>
      </c>
      <c r="K4240" s="2" t="s">
        <v>12</v>
      </c>
    </row>
    <row r="4241" spans="1:11" ht="12.5" x14ac:dyDescent="0.25">
      <c r="A4241" s="3" t="e">
        <f ca="1"/>
        <v>#NAME?</v>
      </c>
      <c r="B4241" s="2" t="s">
        <v>12</v>
      </c>
      <c r="C4241" s="2" t="s">
        <v>12</v>
      </c>
      <c r="D4241" s="2" t="s">
        <v>12</v>
      </c>
      <c r="E4241" s="2" t="s">
        <v>12</v>
      </c>
      <c r="F4241" s="2" t="s">
        <v>12</v>
      </c>
      <c r="G4241" s="2" t="s">
        <v>12</v>
      </c>
      <c r="H4241" s="2" t="s">
        <v>12</v>
      </c>
      <c r="I4241" s="2" t="s">
        <v>12</v>
      </c>
      <c r="J4241" s="2" t="s">
        <v>12</v>
      </c>
      <c r="K4241" s="2" t="s">
        <v>12</v>
      </c>
    </row>
    <row r="4242" spans="1:11" ht="12.5" x14ac:dyDescent="0.25">
      <c r="A4242" s="3" t="e">
        <f ca="1"/>
        <v>#NAME?</v>
      </c>
      <c r="B4242" s="2" t="s">
        <v>12</v>
      </c>
      <c r="C4242" s="2" t="s">
        <v>12</v>
      </c>
      <c r="D4242" s="2" t="s">
        <v>12</v>
      </c>
      <c r="E4242" s="2" t="s">
        <v>12</v>
      </c>
      <c r="F4242" s="2" t="s">
        <v>12</v>
      </c>
      <c r="G4242" s="2" t="s">
        <v>12</v>
      </c>
      <c r="H4242" s="2" t="s">
        <v>12</v>
      </c>
      <c r="I4242" s="2" t="s">
        <v>12</v>
      </c>
      <c r="J4242" s="2" t="s">
        <v>12</v>
      </c>
      <c r="K4242" s="2" t="s">
        <v>12</v>
      </c>
    </row>
    <row r="4243" spans="1:11" ht="12.5" x14ac:dyDescent="0.25">
      <c r="A4243" s="3" t="e">
        <f ca="1"/>
        <v>#NAME?</v>
      </c>
      <c r="B4243" s="2" t="s">
        <v>12</v>
      </c>
      <c r="C4243" s="2" t="s">
        <v>12</v>
      </c>
      <c r="D4243" s="2" t="s">
        <v>12</v>
      </c>
      <c r="E4243" s="2" t="s">
        <v>12</v>
      </c>
      <c r="F4243" s="2" t="s">
        <v>12</v>
      </c>
      <c r="G4243" s="2" t="s">
        <v>12</v>
      </c>
      <c r="H4243" s="2" t="s">
        <v>12</v>
      </c>
      <c r="I4243" s="2" t="s">
        <v>12</v>
      </c>
      <c r="J4243" s="2" t="s">
        <v>12</v>
      </c>
      <c r="K4243" s="2" t="s">
        <v>12</v>
      </c>
    </row>
    <row r="4244" spans="1:11" ht="12.5" x14ac:dyDescent="0.25">
      <c r="A4244" s="3" t="e">
        <f ca="1"/>
        <v>#NAME?</v>
      </c>
      <c r="B4244" s="2" t="s">
        <v>12</v>
      </c>
      <c r="C4244" s="2" t="s">
        <v>12</v>
      </c>
      <c r="D4244" s="2" t="s">
        <v>12</v>
      </c>
      <c r="E4244" s="2" t="s">
        <v>12</v>
      </c>
      <c r="F4244" s="2" t="s">
        <v>12</v>
      </c>
      <c r="G4244" s="2" t="s">
        <v>12</v>
      </c>
      <c r="H4244" s="2" t="s">
        <v>12</v>
      </c>
      <c r="I4244" s="2" t="s">
        <v>12</v>
      </c>
      <c r="J4244" s="2" t="s">
        <v>12</v>
      </c>
      <c r="K4244" s="2" t="s">
        <v>12</v>
      </c>
    </row>
    <row r="4245" spans="1:11" ht="12.5" x14ac:dyDescent="0.25">
      <c r="A4245" s="3" t="e">
        <f ca="1"/>
        <v>#NAME?</v>
      </c>
      <c r="B4245" s="2" t="s">
        <v>12</v>
      </c>
      <c r="C4245" s="2" t="s">
        <v>12</v>
      </c>
      <c r="D4245" s="2" t="s">
        <v>12</v>
      </c>
      <c r="E4245" s="2" t="s">
        <v>12</v>
      </c>
      <c r="F4245" s="2" t="s">
        <v>12</v>
      </c>
      <c r="G4245" s="2" t="s">
        <v>12</v>
      </c>
      <c r="H4245" s="2" t="s">
        <v>12</v>
      </c>
      <c r="I4245" s="2" t="s">
        <v>12</v>
      </c>
      <c r="J4245" s="2" t="s">
        <v>12</v>
      </c>
      <c r="K4245" s="2" t="s">
        <v>12</v>
      </c>
    </row>
    <row r="4246" spans="1:11" ht="12.5" x14ac:dyDescent="0.25">
      <c r="A4246" s="3" t="e">
        <f ca="1"/>
        <v>#NAME?</v>
      </c>
      <c r="B4246" s="2" t="s">
        <v>12</v>
      </c>
      <c r="C4246" s="2" t="s">
        <v>12</v>
      </c>
      <c r="D4246" s="2" t="s">
        <v>12</v>
      </c>
      <c r="E4246" s="2" t="s">
        <v>12</v>
      </c>
      <c r="F4246" s="2" t="s">
        <v>12</v>
      </c>
      <c r="G4246" s="2" t="s">
        <v>12</v>
      </c>
      <c r="H4246" s="2" t="s">
        <v>12</v>
      </c>
      <c r="I4246" s="2" t="s">
        <v>12</v>
      </c>
      <c r="J4246" s="2" t="s">
        <v>12</v>
      </c>
      <c r="K4246" s="2" t="s">
        <v>12</v>
      </c>
    </row>
    <row r="4247" spans="1:11" ht="12.5" x14ac:dyDescent="0.25">
      <c r="A4247" s="3" t="e">
        <f ca="1"/>
        <v>#NAME?</v>
      </c>
      <c r="B4247" s="2" t="s">
        <v>12</v>
      </c>
      <c r="C4247" s="2" t="s">
        <v>12</v>
      </c>
      <c r="D4247" s="2" t="s">
        <v>12</v>
      </c>
      <c r="E4247" s="2" t="s">
        <v>12</v>
      </c>
      <c r="F4247" s="2" t="s">
        <v>12</v>
      </c>
      <c r="G4247" s="2" t="s">
        <v>12</v>
      </c>
      <c r="H4247" s="2" t="s">
        <v>12</v>
      </c>
      <c r="I4247" s="2" t="s">
        <v>12</v>
      </c>
      <c r="J4247" s="2" t="s">
        <v>12</v>
      </c>
      <c r="K4247" s="2" t="s">
        <v>12</v>
      </c>
    </row>
    <row r="4248" spans="1:11" ht="12.5" x14ac:dyDescent="0.25">
      <c r="A4248" s="3" t="e">
        <f ca="1"/>
        <v>#NAME?</v>
      </c>
      <c r="B4248" s="2" t="s">
        <v>12</v>
      </c>
      <c r="C4248" s="2" t="s">
        <v>12</v>
      </c>
      <c r="D4248" s="2" t="s">
        <v>12</v>
      </c>
      <c r="E4248" s="2" t="s">
        <v>12</v>
      </c>
      <c r="F4248" s="2" t="s">
        <v>12</v>
      </c>
      <c r="G4248" s="2" t="s">
        <v>12</v>
      </c>
      <c r="H4248" s="2" t="s">
        <v>12</v>
      </c>
      <c r="I4248" s="2" t="s">
        <v>12</v>
      </c>
      <c r="J4248" s="2" t="s">
        <v>12</v>
      </c>
      <c r="K4248" s="2" t="s">
        <v>12</v>
      </c>
    </row>
    <row r="4249" spans="1:11" ht="12.5" x14ac:dyDescent="0.25">
      <c r="A4249" s="3" t="e">
        <f ca="1"/>
        <v>#NAME?</v>
      </c>
      <c r="B4249" s="2" t="s">
        <v>12</v>
      </c>
      <c r="C4249" s="2" t="s">
        <v>12</v>
      </c>
      <c r="D4249" s="2" t="s">
        <v>12</v>
      </c>
      <c r="E4249" s="2" t="s">
        <v>12</v>
      </c>
      <c r="F4249" s="2" t="s">
        <v>12</v>
      </c>
      <c r="G4249" s="2" t="s">
        <v>12</v>
      </c>
      <c r="H4249" s="2" t="s">
        <v>12</v>
      </c>
      <c r="I4249" s="2" t="s">
        <v>12</v>
      </c>
      <c r="J4249" s="2" t="s">
        <v>12</v>
      </c>
      <c r="K4249" s="2" t="s">
        <v>12</v>
      </c>
    </row>
    <row r="4250" spans="1:11" ht="12.5" x14ac:dyDescent="0.25">
      <c r="A4250" s="3" t="e">
        <f ca="1"/>
        <v>#NAME?</v>
      </c>
      <c r="B4250" s="2" t="s">
        <v>12</v>
      </c>
      <c r="C4250" s="2" t="s">
        <v>12</v>
      </c>
      <c r="D4250" s="2" t="s">
        <v>12</v>
      </c>
      <c r="E4250" s="2" t="s">
        <v>12</v>
      </c>
      <c r="F4250" s="2" t="s">
        <v>12</v>
      </c>
      <c r="G4250" s="2" t="s">
        <v>12</v>
      </c>
      <c r="H4250" s="2" t="s">
        <v>12</v>
      </c>
      <c r="I4250" s="2" t="s">
        <v>12</v>
      </c>
      <c r="J4250" s="2" t="s">
        <v>12</v>
      </c>
      <c r="K4250" s="2" t="s">
        <v>12</v>
      </c>
    </row>
    <row r="4251" spans="1:11" ht="12.5" x14ac:dyDescent="0.25">
      <c r="A4251" s="3" t="e">
        <f ca="1"/>
        <v>#NAME?</v>
      </c>
      <c r="B4251" s="2" t="s">
        <v>12</v>
      </c>
      <c r="C4251" s="2" t="s">
        <v>12</v>
      </c>
      <c r="D4251" s="2" t="s">
        <v>12</v>
      </c>
      <c r="E4251" s="2" t="s">
        <v>12</v>
      </c>
      <c r="F4251" s="2" t="s">
        <v>12</v>
      </c>
      <c r="G4251" s="2" t="s">
        <v>12</v>
      </c>
      <c r="H4251" s="2" t="s">
        <v>12</v>
      </c>
      <c r="I4251" s="2" t="s">
        <v>12</v>
      </c>
      <c r="J4251" s="2" t="s">
        <v>12</v>
      </c>
      <c r="K4251" s="2" t="s">
        <v>12</v>
      </c>
    </row>
    <row r="4252" spans="1:11" ht="12.5" x14ac:dyDescent="0.25">
      <c r="A4252" s="3" t="e">
        <f ca="1"/>
        <v>#NAME?</v>
      </c>
      <c r="B4252" s="2" t="s">
        <v>12</v>
      </c>
      <c r="C4252" s="2" t="s">
        <v>12</v>
      </c>
      <c r="D4252" s="2" t="s">
        <v>12</v>
      </c>
      <c r="E4252" s="2" t="s">
        <v>12</v>
      </c>
      <c r="F4252" s="2" t="s">
        <v>12</v>
      </c>
      <c r="G4252" s="2" t="s">
        <v>12</v>
      </c>
      <c r="H4252" s="2" t="s">
        <v>12</v>
      </c>
      <c r="I4252" s="2" t="s">
        <v>12</v>
      </c>
      <c r="J4252" s="2" t="s">
        <v>12</v>
      </c>
      <c r="K4252" s="2" t="s">
        <v>12</v>
      </c>
    </row>
    <row r="4253" spans="1:11" ht="12.5" x14ac:dyDescent="0.25">
      <c r="A4253" s="3" t="e">
        <f ca="1"/>
        <v>#NAME?</v>
      </c>
      <c r="B4253" s="2" t="s">
        <v>12</v>
      </c>
      <c r="C4253" s="2" t="s">
        <v>12</v>
      </c>
      <c r="D4253" s="2" t="s">
        <v>12</v>
      </c>
      <c r="E4253" s="2" t="s">
        <v>12</v>
      </c>
      <c r="F4253" s="2" t="s">
        <v>12</v>
      </c>
      <c r="G4253" s="2" t="s">
        <v>12</v>
      </c>
      <c r="H4253" s="2" t="s">
        <v>12</v>
      </c>
      <c r="I4253" s="2" t="s">
        <v>12</v>
      </c>
      <c r="J4253" s="2" t="s">
        <v>12</v>
      </c>
      <c r="K4253" s="2" t="s">
        <v>12</v>
      </c>
    </row>
    <row r="4254" spans="1:11" ht="12.5" x14ac:dyDescent="0.25">
      <c r="A4254" s="3" t="e">
        <f ca="1"/>
        <v>#NAME?</v>
      </c>
      <c r="B4254" s="2" t="s">
        <v>12</v>
      </c>
      <c r="C4254" s="2" t="s">
        <v>12</v>
      </c>
      <c r="D4254" s="2" t="s">
        <v>12</v>
      </c>
      <c r="E4254" s="2" t="s">
        <v>12</v>
      </c>
      <c r="F4254" s="2" t="s">
        <v>12</v>
      </c>
      <c r="G4254" s="2" t="s">
        <v>12</v>
      </c>
      <c r="H4254" s="2" t="s">
        <v>12</v>
      </c>
      <c r="I4254" s="2" t="s">
        <v>12</v>
      </c>
      <c r="J4254" s="2" t="s">
        <v>12</v>
      </c>
      <c r="K4254" s="2" t="s">
        <v>12</v>
      </c>
    </row>
    <row r="4255" spans="1:11" ht="12.5" x14ac:dyDescent="0.25">
      <c r="A4255" s="3" t="e">
        <f ca="1"/>
        <v>#NAME?</v>
      </c>
      <c r="B4255" s="2" t="s">
        <v>12</v>
      </c>
      <c r="C4255" s="2" t="s">
        <v>12</v>
      </c>
      <c r="D4255" s="2" t="s">
        <v>12</v>
      </c>
      <c r="E4255" s="2" t="s">
        <v>12</v>
      </c>
      <c r="F4255" s="2" t="s">
        <v>12</v>
      </c>
      <c r="G4255" s="2" t="s">
        <v>12</v>
      </c>
      <c r="H4255" s="2" t="s">
        <v>12</v>
      </c>
      <c r="I4255" s="2" t="s">
        <v>12</v>
      </c>
      <c r="J4255" s="2" t="s">
        <v>12</v>
      </c>
      <c r="K4255" s="2" t="s">
        <v>12</v>
      </c>
    </row>
    <row r="4256" spans="1:11" ht="12.5" x14ac:dyDescent="0.25">
      <c r="A4256" s="3" t="e">
        <f ca="1"/>
        <v>#NAME?</v>
      </c>
      <c r="B4256" s="2" t="s">
        <v>12</v>
      </c>
      <c r="C4256" s="2" t="s">
        <v>12</v>
      </c>
      <c r="D4256" s="2" t="s">
        <v>12</v>
      </c>
      <c r="E4256" s="2" t="s">
        <v>12</v>
      </c>
      <c r="F4256" s="2" t="s">
        <v>12</v>
      </c>
      <c r="G4256" s="2" t="s">
        <v>12</v>
      </c>
      <c r="H4256" s="2" t="s">
        <v>12</v>
      </c>
      <c r="I4256" s="2" t="s">
        <v>12</v>
      </c>
      <c r="J4256" s="2" t="s">
        <v>12</v>
      </c>
      <c r="K4256" s="2" t="s">
        <v>12</v>
      </c>
    </row>
    <row r="4257" spans="1:11" ht="12.5" x14ac:dyDescent="0.25">
      <c r="A4257" s="3" t="e">
        <f ca="1"/>
        <v>#NAME?</v>
      </c>
      <c r="B4257" s="2" t="s">
        <v>12</v>
      </c>
      <c r="C4257" s="2" t="s">
        <v>12</v>
      </c>
      <c r="D4257" s="2" t="s">
        <v>12</v>
      </c>
      <c r="E4257" s="2" t="s">
        <v>12</v>
      </c>
      <c r="F4257" s="2" t="s">
        <v>12</v>
      </c>
      <c r="G4257" s="2" t="s">
        <v>12</v>
      </c>
      <c r="H4257" s="2" t="s">
        <v>12</v>
      </c>
      <c r="I4257" s="2" t="s">
        <v>12</v>
      </c>
      <c r="J4257" s="2" t="s">
        <v>12</v>
      </c>
      <c r="K4257" s="2" t="s">
        <v>12</v>
      </c>
    </row>
    <row r="4258" spans="1:11" ht="12.5" x14ac:dyDescent="0.25">
      <c r="A4258" s="3" t="e">
        <f ca="1"/>
        <v>#NAME?</v>
      </c>
      <c r="B4258" s="2" t="s">
        <v>12</v>
      </c>
      <c r="C4258" s="2" t="s">
        <v>12</v>
      </c>
      <c r="D4258" s="2" t="s">
        <v>12</v>
      </c>
      <c r="E4258" s="2" t="s">
        <v>12</v>
      </c>
      <c r="F4258" s="2" t="s">
        <v>12</v>
      </c>
      <c r="G4258" s="2" t="s">
        <v>12</v>
      </c>
      <c r="H4258" s="2" t="s">
        <v>12</v>
      </c>
      <c r="I4258" s="2" t="s">
        <v>12</v>
      </c>
      <c r="J4258" s="2" t="s">
        <v>12</v>
      </c>
      <c r="K4258" s="2" t="s">
        <v>12</v>
      </c>
    </row>
    <row r="4259" spans="1:11" ht="12.5" x14ac:dyDescent="0.25">
      <c r="A4259" s="3" t="e">
        <f ca="1"/>
        <v>#NAME?</v>
      </c>
      <c r="B4259" s="2" t="s">
        <v>12</v>
      </c>
      <c r="C4259" s="2" t="s">
        <v>12</v>
      </c>
      <c r="D4259" s="2" t="s">
        <v>12</v>
      </c>
      <c r="E4259" s="2" t="s">
        <v>12</v>
      </c>
      <c r="F4259" s="2" t="s">
        <v>12</v>
      </c>
      <c r="G4259" s="2" t="s">
        <v>12</v>
      </c>
      <c r="H4259" s="2" t="s">
        <v>12</v>
      </c>
      <c r="I4259" s="2" t="s">
        <v>12</v>
      </c>
      <c r="J4259" s="2" t="s">
        <v>12</v>
      </c>
      <c r="K4259" s="2" t="s">
        <v>12</v>
      </c>
    </row>
    <row r="4260" spans="1:11" ht="12.5" x14ac:dyDescent="0.25">
      <c r="A4260" s="3" t="e">
        <f ca="1"/>
        <v>#NAME?</v>
      </c>
      <c r="B4260" s="2" t="s">
        <v>12</v>
      </c>
      <c r="C4260" s="2" t="s">
        <v>12</v>
      </c>
      <c r="D4260" s="2" t="s">
        <v>12</v>
      </c>
      <c r="E4260" s="2" t="s">
        <v>12</v>
      </c>
      <c r="F4260" s="2" t="s">
        <v>12</v>
      </c>
      <c r="G4260" s="2" t="s">
        <v>12</v>
      </c>
      <c r="H4260" s="2" t="s">
        <v>12</v>
      </c>
      <c r="I4260" s="2" t="s">
        <v>12</v>
      </c>
      <c r="J4260" s="2" t="s">
        <v>12</v>
      </c>
      <c r="K4260" s="2" t="s">
        <v>12</v>
      </c>
    </row>
    <row r="4261" spans="1:11" ht="12.5" x14ac:dyDescent="0.25">
      <c r="A4261" s="3" t="e">
        <f ca="1"/>
        <v>#NAME?</v>
      </c>
      <c r="B4261" s="2" t="s">
        <v>12</v>
      </c>
      <c r="C4261" s="2" t="s">
        <v>12</v>
      </c>
      <c r="D4261" s="2" t="s">
        <v>12</v>
      </c>
      <c r="E4261" s="2" t="s">
        <v>12</v>
      </c>
      <c r="F4261" s="2" t="s">
        <v>12</v>
      </c>
      <c r="G4261" s="2" t="s">
        <v>12</v>
      </c>
      <c r="H4261" s="2" t="s">
        <v>12</v>
      </c>
      <c r="I4261" s="2" t="s">
        <v>12</v>
      </c>
      <c r="J4261" s="2" t="s">
        <v>12</v>
      </c>
      <c r="K4261" s="2" t="s">
        <v>12</v>
      </c>
    </row>
    <row r="4262" spans="1:11" ht="12.5" x14ac:dyDescent="0.25">
      <c r="A4262" s="3" t="e">
        <f ca="1"/>
        <v>#NAME?</v>
      </c>
      <c r="B4262" s="2" t="s">
        <v>12</v>
      </c>
      <c r="C4262" s="2" t="s">
        <v>12</v>
      </c>
      <c r="D4262" s="2" t="s">
        <v>12</v>
      </c>
      <c r="E4262" s="2" t="s">
        <v>12</v>
      </c>
      <c r="F4262" s="2" t="s">
        <v>12</v>
      </c>
      <c r="G4262" s="2" t="s">
        <v>12</v>
      </c>
      <c r="H4262" s="2" t="s">
        <v>12</v>
      </c>
      <c r="I4262" s="2" t="s">
        <v>12</v>
      </c>
      <c r="J4262" s="2" t="s">
        <v>12</v>
      </c>
      <c r="K4262" s="2" t="s">
        <v>12</v>
      </c>
    </row>
    <row r="4263" spans="1:11" ht="12.5" x14ac:dyDescent="0.25">
      <c r="A4263" s="3" t="e">
        <f ca="1"/>
        <v>#NAME?</v>
      </c>
      <c r="B4263" s="2" t="s">
        <v>12</v>
      </c>
      <c r="C4263" s="2" t="s">
        <v>12</v>
      </c>
      <c r="D4263" s="2" t="s">
        <v>12</v>
      </c>
      <c r="E4263" s="2" t="s">
        <v>12</v>
      </c>
      <c r="F4263" s="2" t="s">
        <v>12</v>
      </c>
      <c r="G4263" s="2" t="s">
        <v>12</v>
      </c>
      <c r="H4263" s="2" t="s">
        <v>12</v>
      </c>
      <c r="I4263" s="2" t="s">
        <v>12</v>
      </c>
      <c r="J4263" s="2" t="s">
        <v>12</v>
      </c>
      <c r="K4263" s="2" t="s">
        <v>12</v>
      </c>
    </row>
    <row r="4264" spans="1:11" ht="12.5" x14ac:dyDescent="0.25">
      <c r="A4264" s="3" t="e">
        <f ca="1"/>
        <v>#NAME?</v>
      </c>
      <c r="B4264" s="2" t="s">
        <v>12</v>
      </c>
      <c r="C4264" s="2" t="s">
        <v>12</v>
      </c>
      <c r="D4264" s="2" t="s">
        <v>12</v>
      </c>
      <c r="E4264" s="2" t="s">
        <v>12</v>
      </c>
      <c r="F4264" s="2" t="s">
        <v>12</v>
      </c>
      <c r="G4264" s="2" t="s">
        <v>12</v>
      </c>
      <c r="H4264" s="2" t="s">
        <v>12</v>
      </c>
      <c r="I4264" s="2" t="s">
        <v>12</v>
      </c>
      <c r="J4264" s="2" t="s">
        <v>12</v>
      </c>
      <c r="K4264" s="2" t="s">
        <v>12</v>
      </c>
    </row>
    <row r="4265" spans="1:11" ht="12.5" x14ac:dyDescent="0.25">
      <c r="A4265" s="3" t="e">
        <f ca="1"/>
        <v>#NAME?</v>
      </c>
      <c r="B4265" s="2" t="s">
        <v>12</v>
      </c>
      <c r="C4265" s="2" t="s">
        <v>12</v>
      </c>
      <c r="D4265" s="2" t="s">
        <v>12</v>
      </c>
      <c r="E4265" s="2" t="s">
        <v>12</v>
      </c>
      <c r="F4265" s="2" t="s">
        <v>12</v>
      </c>
      <c r="G4265" s="2" t="s">
        <v>12</v>
      </c>
      <c r="H4265" s="2" t="s">
        <v>12</v>
      </c>
      <c r="I4265" s="2" t="s">
        <v>12</v>
      </c>
      <c r="J4265" s="2" t="s">
        <v>12</v>
      </c>
      <c r="K4265" s="2" t="s">
        <v>12</v>
      </c>
    </row>
    <row r="4266" spans="1:11" ht="12.5" x14ac:dyDescent="0.25">
      <c r="A4266" s="3" t="e">
        <f ca="1"/>
        <v>#NAME?</v>
      </c>
      <c r="B4266" s="2" t="s">
        <v>12</v>
      </c>
      <c r="C4266" s="2" t="s">
        <v>12</v>
      </c>
      <c r="D4266" s="2" t="s">
        <v>12</v>
      </c>
      <c r="E4266" s="2" t="s">
        <v>12</v>
      </c>
      <c r="F4266" s="2" t="s">
        <v>12</v>
      </c>
      <c r="G4266" s="2" t="s">
        <v>12</v>
      </c>
      <c r="H4266" s="2" t="s">
        <v>12</v>
      </c>
      <c r="I4266" s="2" t="s">
        <v>12</v>
      </c>
      <c r="J4266" s="2" t="s">
        <v>12</v>
      </c>
      <c r="K4266" s="2" t="s">
        <v>12</v>
      </c>
    </row>
    <row r="4267" spans="1:11" ht="12.5" x14ac:dyDescent="0.25">
      <c r="A4267" s="3" t="e">
        <f ca="1"/>
        <v>#NAME?</v>
      </c>
      <c r="B4267" s="2" t="s">
        <v>12</v>
      </c>
      <c r="C4267" s="2" t="s">
        <v>12</v>
      </c>
      <c r="D4267" s="2" t="s">
        <v>12</v>
      </c>
      <c r="E4267" s="2" t="s">
        <v>12</v>
      </c>
      <c r="F4267" s="2" t="s">
        <v>12</v>
      </c>
      <c r="G4267" s="2" t="s">
        <v>12</v>
      </c>
      <c r="H4267" s="2" t="s">
        <v>12</v>
      </c>
      <c r="I4267" s="2" t="s">
        <v>12</v>
      </c>
      <c r="J4267" s="2" t="s">
        <v>12</v>
      </c>
      <c r="K4267" s="2" t="s">
        <v>12</v>
      </c>
    </row>
    <row r="4268" spans="1:11" ht="12.5" x14ac:dyDescent="0.25">
      <c r="A4268" s="3" t="e">
        <f ca="1"/>
        <v>#NAME?</v>
      </c>
      <c r="B4268" s="2" t="s">
        <v>12</v>
      </c>
      <c r="C4268" s="2" t="s">
        <v>12</v>
      </c>
      <c r="D4268" s="2" t="s">
        <v>12</v>
      </c>
      <c r="E4268" s="2" t="s">
        <v>12</v>
      </c>
      <c r="F4268" s="2" t="s">
        <v>12</v>
      </c>
      <c r="G4268" s="2" t="s">
        <v>12</v>
      </c>
      <c r="H4268" s="2" t="s">
        <v>12</v>
      </c>
      <c r="I4268" s="2" t="s">
        <v>12</v>
      </c>
      <c r="J4268" s="2" t="s">
        <v>12</v>
      </c>
      <c r="K4268" s="2" t="s">
        <v>12</v>
      </c>
    </row>
    <row r="4269" spans="1:11" ht="12.5" x14ac:dyDescent="0.25">
      <c r="A4269" s="3" t="e">
        <f ca="1"/>
        <v>#NAME?</v>
      </c>
      <c r="B4269" s="2" t="s">
        <v>12</v>
      </c>
      <c r="C4269" s="2" t="s">
        <v>12</v>
      </c>
      <c r="D4269" s="2" t="s">
        <v>12</v>
      </c>
      <c r="E4269" s="2" t="s">
        <v>12</v>
      </c>
      <c r="F4269" s="2" t="s">
        <v>12</v>
      </c>
      <c r="G4269" s="2" t="s">
        <v>12</v>
      </c>
      <c r="H4269" s="2" t="s">
        <v>12</v>
      </c>
      <c r="I4269" s="2" t="s">
        <v>12</v>
      </c>
      <c r="J4269" s="2" t="s">
        <v>12</v>
      </c>
      <c r="K4269" s="2" t="s">
        <v>12</v>
      </c>
    </row>
    <row r="4270" spans="1:11" ht="12.5" x14ac:dyDescent="0.25">
      <c r="A4270" s="3" t="e">
        <f ca="1"/>
        <v>#NAME?</v>
      </c>
      <c r="B4270" s="2" t="s">
        <v>12</v>
      </c>
      <c r="C4270" s="2" t="s">
        <v>12</v>
      </c>
      <c r="D4270" s="2" t="s">
        <v>12</v>
      </c>
      <c r="E4270" s="2" t="s">
        <v>12</v>
      </c>
      <c r="F4270" s="2" t="s">
        <v>12</v>
      </c>
      <c r="G4270" s="2" t="s">
        <v>12</v>
      </c>
      <c r="H4270" s="2" t="s">
        <v>12</v>
      </c>
      <c r="I4270" s="2" t="s">
        <v>12</v>
      </c>
      <c r="J4270" s="2" t="s">
        <v>12</v>
      </c>
      <c r="K4270" s="2" t="s">
        <v>12</v>
      </c>
    </row>
    <row r="4271" spans="1:11" ht="12.5" x14ac:dyDescent="0.25">
      <c r="A4271" s="3" t="e">
        <f ca="1"/>
        <v>#NAME?</v>
      </c>
      <c r="B4271" s="2" t="s">
        <v>12</v>
      </c>
      <c r="C4271" s="2" t="s">
        <v>12</v>
      </c>
      <c r="D4271" s="2" t="s">
        <v>12</v>
      </c>
      <c r="E4271" s="2" t="s">
        <v>12</v>
      </c>
      <c r="F4271" s="2" t="s">
        <v>12</v>
      </c>
      <c r="G4271" s="2" t="s">
        <v>12</v>
      </c>
      <c r="H4271" s="2" t="s">
        <v>12</v>
      </c>
      <c r="I4271" s="2" t="s">
        <v>12</v>
      </c>
      <c r="J4271" s="2" t="s">
        <v>12</v>
      </c>
      <c r="K4271" s="2" t="s">
        <v>12</v>
      </c>
    </row>
    <row r="4272" spans="1:11" ht="12.5" x14ac:dyDescent="0.25">
      <c r="A4272" s="3" t="e">
        <f ca="1"/>
        <v>#NAME?</v>
      </c>
      <c r="B4272" s="2" t="s">
        <v>12</v>
      </c>
      <c r="C4272" s="2" t="s">
        <v>12</v>
      </c>
      <c r="D4272" s="2" t="s">
        <v>12</v>
      </c>
      <c r="E4272" s="2" t="s">
        <v>12</v>
      </c>
      <c r="F4272" s="2" t="s">
        <v>12</v>
      </c>
      <c r="G4272" s="2" t="s">
        <v>12</v>
      </c>
      <c r="H4272" s="2" t="s">
        <v>12</v>
      </c>
      <c r="I4272" s="2" t="s">
        <v>12</v>
      </c>
      <c r="J4272" s="2" t="s">
        <v>12</v>
      </c>
      <c r="K4272" s="2" t="s">
        <v>12</v>
      </c>
    </row>
    <row r="4273" spans="1:11" ht="12.5" x14ac:dyDescent="0.25">
      <c r="A4273" s="3" t="e">
        <f ca="1"/>
        <v>#NAME?</v>
      </c>
      <c r="B4273" s="2" t="s">
        <v>12</v>
      </c>
      <c r="C4273" s="2" t="s">
        <v>12</v>
      </c>
      <c r="D4273" s="2" t="s">
        <v>12</v>
      </c>
      <c r="E4273" s="2" t="s">
        <v>12</v>
      </c>
      <c r="F4273" s="2" t="s">
        <v>12</v>
      </c>
      <c r="G4273" s="2" t="s">
        <v>12</v>
      </c>
      <c r="H4273" s="2" t="s">
        <v>12</v>
      </c>
      <c r="I4273" s="2" t="s">
        <v>12</v>
      </c>
      <c r="J4273" s="2" t="s">
        <v>12</v>
      </c>
      <c r="K4273" s="2" t="s">
        <v>12</v>
      </c>
    </row>
    <row r="4274" spans="1:11" ht="12.5" x14ac:dyDescent="0.25">
      <c r="A4274" s="3" t="e">
        <f ca="1"/>
        <v>#NAME?</v>
      </c>
      <c r="B4274" s="2" t="s">
        <v>12</v>
      </c>
      <c r="C4274" s="2" t="s">
        <v>12</v>
      </c>
      <c r="D4274" s="2" t="s">
        <v>12</v>
      </c>
      <c r="E4274" s="2" t="s">
        <v>12</v>
      </c>
      <c r="F4274" s="2" t="s">
        <v>12</v>
      </c>
      <c r="G4274" s="2" t="s">
        <v>12</v>
      </c>
      <c r="H4274" s="2" t="s">
        <v>12</v>
      </c>
      <c r="I4274" s="2" t="s">
        <v>12</v>
      </c>
      <c r="J4274" s="2" t="s">
        <v>12</v>
      </c>
      <c r="K4274" s="2" t="s">
        <v>12</v>
      </c>
    </row>
    <row r="4275" spans="1:11" ht="12.5" x14ac:dyDescent="0.25">
      <c r="A4275" s="3" t="e">
        <f ca="1"/>
        <v>#NAME?</v>
      </c>
      <c r="B4275" s="2" t="s">
        <v>12</v>
      </c>
      <c r="C4275" s="2" t="s">
        <v>12</v>
      </c>
      <c r="D4275" s="2" t="s">
        <v>12</v>
      </c>
      <c r="E4275" s="2" t="s">
        <v>12</v>
      </c>
      <c r="F4275" s="2" t="s">
        <v>12</v>
      </c>
      <c r="G4275" s="2" t="s">
        <v>12</v>
      </c>
      <c r="H4275" s="2" t="s">
        <v>12</v>
      </c>
      <c r="I4275" s="2" t="s">
        <v>12</v>
      </c>
      <c r="J4275" s="2" t="s">
        <v>12</v>
      </c>
      <c r="K4275" s="2" t="s">
        <v>12</v>
      </c>
    </row>
    <row r="4276" spans="1:11" ht="12.5" x14ac:dyDescent="0.25">
      <c r="A4276" s="3" t="e">
        <f ca="1"/>
        <v>#NAME?</v>
      </c>
      <c r="B4276" s="2" t="s">
        <v>12</v>
      </c>
      <c r="C4276" s="2" t="s">
        <v>12</v>
      </c>
      <c r="D4276" s="2" t="s">
        <v>12</v>
      </c>
      <c r="E4276" s="2" t="s">
        <v>12</v>
      </c>
      <c r="F4276" s="2" t="s">
        <v>12</v>
      </c>
      <c r="G4276" s="2" t="s">
        <v>12</v>
      </c>
      <c r="H4276" s="2" t="s">
        <v>12</v>
      </c>
      <c r="I4276" s="2" t="s">
        <v>12</v>
      </c>
      <c r="J4276" s="2" t="s">
        <v>12</v>
      </c>
      <c r="K4276" s="2" t="s">
        <v>12</v>
      </c>
    </row>
    <row r="4277" spans="1:11" ht="12.5" x14ac:dyDescent="0.25">
      <c r="A4277" s="3" t="e">
        <f ca="1"/>
        <v>#NAME?</v>
      </c>
      <c r="B4277" s="2" t="s">
        <v>12</v>
      </c>
      <c r="C4277" s="2" t="s">
        <v>12</v>
      </c>
      <c r="D4277" s="2" t="s">
        <v>12</v>
      </c>
      <c r="E4277" s="2" t="s">
        <v>12</v>
      </c>
      <c r="F4277" s="2" t="s">
        <v>12</v>
      </c>
      <c r="G4277" s="2" t="s">
        <v>12</v>
      </c>
      <c r="H4277" s="2" t="s">
        <v>12</v>
      </c>
      <c r="I4277" s="2" t="s">
        <v>12</v>
      </c>
      <c r="J4277" s="2" t="s">
        <v>12</v>
      </c>
      <c r="K4277" s="2" t="s">
        <v>12</v>
      </c>
    </row>
    <row r="4278" spans="1:11" ht="12.5" x14ac:dyDescent="0.25">
      <c r="A4278" s="3" t="e">
        <f ca="1"/>
        <v>#NAME?</v>
      </c>
      <c r="B4278" s="2" t="s">
        <v>12</v>
      </c>
      <c r="C4278" s="2" t="s">
        <v>12</v>
      </c>
      <c r="D4278" s="2" t="s">
        <v>12</v>
      </c>
      <c r="E4278" s="2" t="s">
        <v>12</v>
      </c>
      <c r="F4278" s="2" t="s">
        <v>12</v>
      </c>
      <c r="G4278" s="2" t="s">
        <v>12</v>
      </c>
      <c r="H4278" s="2" t="s">
        <v>12</v>
      </c>
      <c r="I4278" s="2" t="s">
        <v>12</v>
      </c>
      <c r="J4278" s="2" t="s">
        <v>12</v>
      </c>
      <c r="K4278" s="2" t="s">
        <v>12</v>
      </c>
    </row>
    <row r="4279" spans="1:11" ht="12.5" x14ac:dyDescent="0.25">
      <c r="A4279" s="3" t="e">
        <f ca="1"/>
        <v>#NAME?</v>
      </c>
      <c r="B4279" s="2" t="s">
        <v>12</v>
      </c>
      <c r="C4279" s="2" t="s">
        <v>12</v>
      </c>
      <c r="D4279" s="2" t="s">
        <v>12</v>
      </c>
      <c r="E4279" s="2" t="s">
        <v>12</v>
      </c>
      <c r="F4279" s="2" t="s">
        <v>12</v>
      </c>
      <c r="G4279" s="2" t="s">
        <v>12</v>
      </c>
      <c r="H4279" s="2" t="s">
        <v>12</v>
      </c>
      <c r="I4279" s="2" t="s">
        <v>12</v>
      </c>
      <c r="J4279" s="2" t="s">
        <v>12</v>
      </c>
      <c r="K4279" s="2" t="s">
        <v>12</v>
      </c>
    </row>
    <row r="4280" spans="1:11" ht="12.5" x14ac:dyDescent="0.25">
      <c r="A4280" s="3" t="e">
        <f ca="1"/>
        <v>#NAME?</v>
      </c>
      <c r="B4280" s="2" t="s">
        <v>12</v>
      </c>
      <c r="C4280" s="2" t="s">
        <v>12</v>
      </c>
      <c r="D4280" s="2" t="s">
        <v>12</v>
      </c>
      <c r="E4280" s="2" t="s">
        <v>12</v>
      </c>
      <c r="F4280" s="2" t="s">
        <v>12</v>
      </c>
      <c r="G4280" s="2" t="s">
        <v>12</v>
      </c>
      <c r="H4280" s="2" t="s">
        <v>12</v>
      </c>
      <c r="I4280" s="2" t="s">
        <v>12</v>
      </c>
      <c r="J4280" s="2" t="s">
        <v>12</v>
      </c>
      <c r="K4280" s="2" t="s">
        <v>12</v>
      </c>
    </row>
    <row r="4281" spans="1:11" ht="12.5" x14ac:dyDescent="0.25">
      <c r="A4281" s="3" t="e">
        <f ca="1"/>
        <v>#NAME?</v>
      </c>
      <c r="B4281" s="2" t="s">
        <v>12</v>
      </c>
      <c r="C4281" s="2" t="s">
        <v>12</v>
      </c>
      <c r="D4281" s="2" t="s">
        <v>12</v>
      </c>
      <c r="E4281" s="2" t="s">
        <v>12</v>
      </c>
      <c r="F4281" s="2" t="s">
        <v>12</v>
      </c>
      <c r="G4281" s="2" t="s">
        <v>12</v>
      </c>
      <c r="H4281" s="2" t="s">
        <v>12</v>
      </c>
      <c r="I4281" s="2" t="s">
        <v>12</v>
      </c>
      <c r="J4281" s="2" t="s">
        <v>12</v>
      </c>
      <c r="K4281" s="2" t="s">
        <v>12</v>
      </c>
    </row>
    <row r="4282" spans="1:11" ht="12.5" x14ac:dyDescent="0.25">
      <c r="A4282" s="3" t="e">
        <f ca="1"/>
        <v>#NAME?</v>
      </c>
      <c r="B4282" s="2" t="s">
        <v>12</v>
      </c>
      <c r="C4282" s="2" t="s">
        <v>12</v>
      </c>
      <c r="D4282" s="2" t="s">
        <v>12</v>
      </c>
      <c r="E4282" s="2" t="s">
        <v>12</v>
      </c>
      <c r="F4282" s="2" t="s">
        <v>12</v>
      </c>
      <c r="G4282" s="2" t="s">
        <v>12</v>
      </c>
      <c r="H4282" s="2" t="s">
        <v>12</v>
      </c>
      <c r="I4282" s="2" t="s">
        <v>12</v>
      </c>
      <c r="J4282" s="2" t="s">
        <v>12</v>
      </c>
      <c r="K4282" s="2" t="s">
        <v>12</v>
      </c>
    </row>
    <row r="4283" spans="1:11" ht="12.5" x14ac:dyDescent="0.25">
      <c r="A4283" s="3" t="e">
        <f ca="1"/>
        <v>#NAME?</v>
      </c>
      <c r="B4283" s="2" t="s">
        <v>12</v>
      </c>
      <c r="C4283" s="2" t="s">
        <v>12</v>
      </c>
      <c r="D4283" s="2" t="s">
        <v>12</v>
      </c>
      <c r="E4283" s="2" t="s">
        <v>12</v>
      </c>
      <c r="F4283" s="2" t="s">
        <v>12</v>
      </c>
      <c r="G4283" s="2" t="s">
        <v>12</v>
      </c>
      <c r="H4283" s="2" t="s">
        <v>12</v>
      </c>
      <c r="I4283" s="2" t="s">
        <v>12</v>
      </c>
      <c r="J4283" s="2" t="s">
        <v>12</v>
      </c>
      <c r="K4283" s="2" t="s">
        <v>12</v>
      </c>
    </row>
    <row r="4284" spans="1:11" ht="12.5" x14ac:dyDescent="0.25">
      <c r="A4284" s="3" t="e">
        <f ca="1"/>
        <v>#NAME?</v>
      </c>
      <c r="B4284" s="2" t="s">
        <v>12</v>
      </c>
      <c r="C4284" s="2" t="s">
        <v>12</v>
      </c>
      <c r="D4284" s="2" t="s">
        <v>12</v>
      </c>
      <c r="E4284" s="2" t="s">
        <v>12</v>
      </c>
      <c r="F4284" s="2" t="s">
        <v>12</v>
      </c>
      <c r="G4284" s="2" t="s">
        <v>12</v>
      </c>
      <c r="H4284" s="2" t="s">
        <v>12</v>
      </c>
      <c r="I4284" s="2" t="s">
        <v>12</v>
      </c>
      <c r="J4284" s="2" t="s">
        <v>12</v>
      </c>
      <c r="K4284" s="2" t="s">
        <v>12</v>
      </c>
    </row>
    <row r="4285" spans="1:11" ht="12.5" x14ac:dyDescent="0.25">
      <c r="A4285" s="3" t="e">
        <f ca="1"/>
        <v>#NAME?</v>
      </c>
      <c r="B4285" s="2" t="s">
        <v>12</v>
      </c>
      <c r="C4285" s="2" t="s">
        <v>12</v>
      </c>
      <c r="D4285" s="2" t="s">
        <v>12</v>
      </c>
      <c r="E4285" s="2" t="s">
        <v>12</v>
      </c>
      <c r="F4285" s="2" t="s">
        <v>12</v>
      </c>
      <c r="G4285" s="2" t="s">
        <v>12</v>
      </c>
      <c r="H4285" s="2" t="s">
        <v>12</v>
      </c>
      <c r="I4285" s="2" t="s">
        <v>12</v>
      </c>
      <c r="J4285" s="2" t="s">
        <v>12</v>
      </c>
      <c r="K4285" s="2" t="s">
        <v>12</v>
      </c>
    </row>
    <row r="4286" spans="1:11" ht="12.5" x14ac:dyDescent="0.25">
      <c r="A4286" s="3" t="e">
        <f ca="1"/>
        <v>#NAME?</v>
      </c>
      <c r="B4286" s="2" t="s">
        <v>12</v>
      </c>
      <c r="C4286" s="2" t="s">
        <v>12</v>
      </c>
      <c r="D4286" s="2" t="s">
        <v>12</v>
      </c>
      <c r="E4286" s="2" t="s">
        <v>12</v>
      </c>
      <c r="F4286" s="2" t="s">
        <v>12</v>
      </c>
      <c r="G4286" s="2" t="s">
        <v>12</v>
      </c>
      <c r="H4286" s="2" t="s">
        <v>12</v>
      </c>
      <c r="I4286" s="2" t="s">
        <v>12</v>
      </c>
      <c r="J4286" s="2" t="s">
        <v>12</v>
      </c>
      <c r="K4286" s="2" t="s">
        <v>12</v>
      </c>
    </row>
    <row r="4287" spans="1:11" ht="12.5" x14ac:dyDescent="0.25">
      <c r="A4287" s="3" t="e">
        <f ca="1"/>
        <v>#NAME?</v>
      </c>
      <c r="B4287" s="2" t="s">
        <v>12</v>
      </c>
      <c r="C4287" s="2" t="s">
        <v>12</v>
      </c>
      <c r="D4287" s="2" t="s">
        <v>12</v>
      </c>
      <c r="E4287" s="2" t="s">
        <v>12</v>
      </c>
      <c r="F4287" s="2" t="s">
        <v>12</v>
      </c>
      <c r="G4287" s="2" t="s">
        <v>12</v>
      </c>
      <c r="H4287" s="2" t="s">
        <v>12</v>
      </c>
      <c r="I4287" s="2" t="s">
        <v>12</v>
      </c>
      <c r="J4287" s="2" t="s">
        <v>12</v>
      </c>
      <c r="K4287" s="2" t="s">
        <v>12</v>
      </c>
    </row>
    <row r="4288" spans="1:11" ht="12.5" x14ac:dyDescent="0.25">
      <c r="A4288" s="3" t="e">
        <f ca="1"/>
        <v>#NAME?</v>
      </c>
      <c r="B4288" s="2" t="s">
        <v>12</v>
      </c>
      <c r="C4288" s="2" t="s">
        <v>12</v>
      </c>
      <c r="D4288" s="2" t="s">
        <v>12</v>
      </c>
      <c r="E4288" s="2" t="s">
        <v>12</v>
      </c>
      <c r="F4288" s="2" t="s">
        <v>12</v>
      </c>
      <c r="G4288" s="2" t="s">
        <v>12</v>
      </c>
      <c r="H4288" s="2" t="s">
        <v>12</v>
      </c>
      <c r="I4288" s="2" t="s">
        <v>12</v>
      </c>
      <c r="J4288" s="2" t="s">
        <v>12</v>
      </c>
      <c r="K4288" s="2" t="s">
        <v>12</v>
      </c>
    </row>
    <row r="4289" spans="1:11" ht="12.5" x14ac:dyDescent="0.25">
      <c r="A4289" s="3" t="e">
        <f ca="1"/>
        <v>#NAME?</v>
      </c>
      <c r="B4289" s="2" t="s">
        <v>12</v>
      </c>
      <c r="C4289" s="2" t="s">
        <v>12</v>
      </c>
      <c r="D4289" s="2" t="s">
        <v>12</v>
      </c>
      <c r="E4289" s="2" t="s">
        <v>12</v>
      </c>
      <c r="F4289" s="2" t="s">
        <v>12</v>
      </c>
      <c r="G4289" s="2" t="s">
        <v>12</v>
      </c>
      <c r="H4289" s="2" t="s">
        <v>12</v>
      </c>
      <c r="I4289" s="2" t="s">
        <v>12</v>
      </c>
      <c r="J4289" s="2" t="s">
        <v>12</v>
      </c>
      <c r="K4289" s="2" t="s">
        <v>12</v>
      </c>
    </row>
    <row r="4290" spans="1:11" ht="12.5" x14ac:dyDescent="0.25">
      <c r="A4290" s="3" t="e">
        <f ca="1"/>
        <v>#NAME?</v>
      </c>
      <c r="B4290" s="2" t="s">
        <v>12</v>
      </c>
      <c r="C4290" s="2" t="s">
        <v>12</v>
      </c>
      <c r="D4290" s="2" t="s">
        <v>12</v>
      </c>
      <c r="E4290" s="2" t="s">
        <v>12</v>
      </c>
      <c r="F4290" s="2" t="s">
        <v>12</v>
      </c>
      <c r="G4290" s="2" t="s">
        <v>12</v>
      </c>
      <c r="H4290" s="2" t="s">
        <v>12</v>
      </c>
      <c r="I4290" s="2" t="s">
        <v>12</v>
      </c>
      <c r="J4290" s="2" t="s">
        <v>12</v>
      </c>
      <c r="K4290" s="2" t="s">
        <v>12</v>
      </c>
    </row>
    <row r="4291" spans="1:11" ht="12.5" x14ac:dyDescent="0.25">
      <c r="A4291" s="3" t="e">
        <f ca="1"/>
        <v>#NAME?</v>
      </c>
      <c r="B4291" s="2" t="s">
        <v>12</v>
      </c>
      <c r="C4291" s="2" t="s">
        <v>12</v>
      </c>
      <c r="D4291" s="2" t="s">
        <v>12</v>
      </c>
      <c r="E4291" s="2" t="s">
        <v>12</v>
      </c>
      <c r="F4291" s="2" t="s">
        <v>12</v>
      </c>
      <c r="G4291" s="2" t="s">
        <v>12</v>
      </c>
      <c r="H4291" s="2" t="s">
        <v>12</v>
      </c>
      <c r="I4291" s="2" t="s">
        <v>12</v>
      </c>
      <c r="J4291" s="2" t="s">
        <v>12</v>
      </c>
      <c r="K4291" s="2" t="s">
        <v>12</v>
      </c>
    </row>
    <row r="4292" spans="1:11" ht="12.5" x14ac:dyDescent="0.25">
      <c r="A4292" s="3" t="e">
        <f ca="1"/>
        <v>#NAME?</v>
      </c>
      <c r="B4292" s="2" t="s">
        <v>12</v>
      </c>
      <c r="C4292" s="2" t="s">
        <v>12</v>
      </c>
      <c r="D4292" s="2" t="s">
        <v>12</v>
      </c>
      <c r="E4292" s="2" t="s">
        <v>12</v>
      </c>
      <c r="F4292" s="2" t="s">
        <v>12</v>
      </c>
      <c r="G4292" s="2" t="s">
        <v>12</v>
      </c>
      <c r="H4292" s="2" t="s">
        <v>12</v>
      </c>
      <c r="I4292" s="2" t="s">
        <v>12</v>
      </c>
      <c r="J4292" s="2" t="s">
        <v>12</v>
      </c>
      <c r="K4292" s="2" t="s">
        <v>12</v>
      </c>
    </row>
    <row r="4293" spans="1:11" ht="12.5" x14ac:dyDescent="0.25">
      <c r="A4293" s="3" t="e">
        <f ca="1"/>
        <v>#NAME?</v>
      </c>
      <c r="B4293" s="2" t="s">
        <v>12</v>
      </c>
      <c r="C4293" s="2" t="s">
        <v>12</v>
      </c>
      <c r="D4293" s="2" t="s">
        <v>12</v>
      </c>
      <c r="E4293" s="2" t="s">
        <v>12</v>
      </c>
      <c r="F4293" s="2" t="s">
        <v>12</v>
      </c>
      <c r="G4293" s="2" t="s">
        <v>12</v>
      </c>
      <c r="H4293" s="2" t="s">
        <v>12</v>
      </c>
      <c r="I4293" s="2" t="s">
        <v>12</v>
      </c>
      <c r="J4293" s="2" t="s">
        <v>12</v>
      </c>
      <c r="K4293" s="2" t="s">
        <v>12</v>
      </c>
    </row>
    <row r="4294" spans="1:11" ht="12.5" x14ac:dyDescent="0.25">
      <c r="A4294" s="3" t="e">
        <f ca="1"/>
        <v>#NAME?</v>
      </c>
      <c r="B4294" s="2" t="s">
        <v>12</v>
      </c>
      <c r="C4294" s="2" t="s">
        <v>12</v>
      </c>
      <c r="D4294" s="2" t="s">
        <v>12</v>
      </c>
      <c r="E4294" s="2" t="s">
        <v>12</v>
      </c>
      <c r="F4294" s="2" t="s">
        <v>12</v>
      </c>
      <c r="G4294" s="2" t="s">
        <v>12</v>
      </c>
      <c r="H4294" s="2" t="s">
        <v>12</v>
      </c>
      <c r="I4294" s="2" t="s">
        <v>12</v>
      </c>
      <c r="J4294" s="2" t="s">
        <v>12</v>
      </c>
      <c r="K4294" s="2" t="s">
        <v>12</v>
      </c>
    </row>
    <row r="4295" spans="1:11" ht="12.5" x14ac:dyDescent="0.25">
      <c r="A4295" s="3" t="e">
        <f ca="1"/>
        <v>#NAME?</v>
      </c>
      <c r="B4295" s="2" t="s">
        <v>12</v>
      </c>
      <c r="C4295" s="2" t="s">
        <v>12</v>
      </c>
      <c r="D4295" s="2" t="s">
        <v>12</v>
      </c>
      <c r="E4295" s="2" t="s">
        <v>12</v>
      </c>
      <c r="F4295" s="2" t="s">
        <v>12</v>
      </c>
      <c r="G4295" s="2" t="s">
        <v>12</v>
      </c>
      <c r="H4295" s="2" t="s">
        <v>12</v>
      </c>
      <c r="I4295" s="2" t="s">
        <v>12</v>
      </c>
      <c r="J4295" s="2" t="s">
        <v>12</v>
      </c>
      <c r="K4295" s="2" t="s">
        <v>12</v>
      </c>
    </row>
    <row r="4296" spans="1:11" ht="12.5" x14ac:dyDescent="0.25">
      <c r="A4296" s="3" t="e">
        <f ca="1"/>
        <v>#NAME?</v>
      </c>
      <c r="B4296" s="2" t="s">
        <v>12</v>
      </c>
      <c r="C4296" s="2" t="s">
        <v>12</v>
      </c>
      <c r="D4296" s="2" t="s">
        <v>12</v>
      </c>
      <c r="E4296" s="2" t="s">
        <v>12</v>
      </c>
      <c r="F4296" s="2" t="s">
        <v>12</v>
      </c>
      <c r="G4296" s="2" t="s">
        <v>12</v>
      </c>
      <c r="H4296" s="2" t="s">
        <v>12</v>
      </c>
      <c r="I4296" s="2" t="s">
        <v>12</v>
      </c>
      <c r="J4296" s="2" t="s">
        <v>12</v>
      </c>
      <c r="K4296" s="2" t="s">
        <v>12</v>
      </c>
    </row>
    <row r="4297" spans="1:11" ht="12.5" x14ac:dyDescent="0.25">
      <c r="A4297" s="3" t="e">
        <f ca="1"/>
        <v>#NAME?</v>
      </c>
      <c r="B4297" s="2" t="s">
        <v>12</v>
      </c>
      <c r="C4297" s="2" t="s">
        <v>12</v>
      </c>
      <c r="D4297" s="2" t="s">
        <v>12</v>
      </c>
      <c r="E4297" s="2" t="s">
        <v>12</v>
      </c>
      <c r="F4297" s="2" t="s">
        <v>12</v>
      </c>
      <c r="G4297" s="2" t="s">
        <v>12</v>
      </c>
      <c r="H4297" s="2" t="s">
        <v>12</v>
      </c>
      <c r="I4297" s="2" t="s">
        <v>12</v>
      </c>
      <c r="J4297" s="2" t="s">
        <v>12</v>
      </c>
      <c r="K4297" s="2" t="s">
        <v>12</v>
      </c>
    </row>
    <row r="4298" spans="1:11" ht="12.5" x14ac:dyDescent="0.25">
      <c r="A4298" s="3" t="e">
        <f ca="1"/>
        <v>#NAME?</v>
      </c>
      <c r="B4298" s="2" t="s">
        <v>12</v>
      </c>
      <c r="C4298" s="2" t="s">
        <v>12</v>
      </c>
      <c r="D4298" s="2" t="s">
        <v>12</v>
      </c>
      <c r="E4298" s="2" t="s">
        <v>12</v>
      </c>
      <c r="F4298" s="2" t="s">
        <v>12</v>
      </c>
      <c r="G4298" s="2" t="s">
        <v>12</v>
      </c>
      <c r="H4298" s="2" t="s">
        <v>12</v>
      </c>
      <c r="I4298" s="2" t="s">
        <v>12</v>
      </c>
      <c r="J4298" s="2" t="s">
        <v>12</v>
      </c>
      <c r="K4298" s="2" t="s">
        <v>12</v>
      </c>
    </row>
    <row r="4299" spans="1:11" ht="12.5" x14ac:dyDescent="0.25">
      <c r="A4299" s="3" t="e">
        <f ca="1"/>
        <v>#NAME?</v>
      </c>
      <c r="B4299" s="2" t="s">
        <v>12</v>
      </c>
      <c r="C4299" s="2" t="s">
        <v>12</v>
      </c>
      <c r="D4299" s="2" t="s">
        <v>12</v>
      </c>
      <c r="E4299" s="2" t="s">
        <v>12</v>
      </c>
      <c r="F4299" s="2" t="s">
        <v>12</v>
      </c>
      <c r="G4299" s="2" t="s">
        <v>12</v>
      </c>
      <c r="H4299" s="2" t="s">
        <v>12</v>
      </c>
      <c r="I4299" s="2" t="s">
        <v>12</v>
      </c>
      <c r="J4299" s="2" t="s">
        <v>12</v>
      </c>
      <c r="K4299" s="2" t="s">
        <v>12</v>
      </c>
    </row>
    <row r="4300" spans="1:11" ht="12.5" x14ac:dyDescent="0.25">
      <c r="A4300" s="3" t="e">
        <f ca="1"/>
        <v>#NAME?</v>
      </c>
      <c r="B4300" s="2" t="s">
        <v>12</v>
      </c>
      <c r="C4300" s="2" t="s">
        <v>12</v>
      </c>
      <c r="D4300" s="2" t="s">
        <v>12</v>
      </c>
      <c r="E4300" s="2" t="s">
        <v>12</v>
      </c>
      <c r="F4300" s="2" t="s">
        <v>12</v>
      </c>
      <c r="G4300" s="2" t="s">
        <v>12</v>
      </c>
      <c r="H4300" s="2" t="s">
        <v>12</v>
      </c>
      <c r="I4300" s="2" t="s">
        <v>12</v>
      </c>
      <c r="J4300" s="2" t="s">
        <v>12</v>
      </c>
      <c r="K4300" s="2" t="s">
        <v>12</v>
      </c>
    </row>
    <row r="4301" spans="1:11" ht="12.5" x14ac:dyDescent="0.25">
      <c r="A4301" s="3" t="e">
        <f ca="1"/>
        <v>#NAME?</v>
      </c>
      <c r="B4301" s="2" t="s">
        <v>12</v>
      </c>
      <c r="C4301" s="2" t="s">
        <v>12</v>
      </c>
      <c r="D4301" s="2" t="s">
        <v>12</v>
      </c>
      <c r="E4301" s="2" t="s">
        <v>12</v>
      </c>
      <c r="F4301" s="2" t="s">
        <v>12</v>
      </c>
      <c r="G4301" s="2" t="s">
        <v>12</v>
      </c>
      <c r="H4301" s="2" t="s">
        <v>12</v>
      </c>
      <c r="I4301" s="2" t="s">
        <v>12</v>
      </c>
      <c r="J4301" s="2" t="s">
        <v>12</v>
      </c>
      <c r="K4301" s="2" t="s">
        <v>12</v>
      </c>
    </row>
    <row r="4302" spans="1:11" ht="12.5" x14ac:dyDescent="0.25">
      <c r="A4302" s="3" t="e">
        <f ca="1"/>
        <v>#NAME?</v>
      </c>
      <c r="B4302" s="2" t="s">
        <v>12</v>
      </c>
      <c r="C4302" s="2" t="s">
        <v>12</v>
      </c>
      <c r="D4302" s="2" t="s">
        <v>12</v>
      </c>
      <c r="E4302" s="2" t="s">
        <v>12</v>
      </c>
      <c r="F4302" s="2" t="s">
        <v>12</v>
      </c>
      <c r="G4302" s="2" t="s">
        <v>12</v>
      </c>
      <c r="H4302" s="2" t="s">
        <v>12</v>
      </c>
      <c r="I4302" s="2" t="s">
        <v>12</v>
      </c>
      <c r="J4302" s="2" t="s">
        <v>12</v>
      </c>
      <c r="K4302" s="2" t="s">
        <v>12</v>
      </c>
    </row>
    <row r="4303" spans="1:11" ht="12.5" x14ac:dyDescent="0.25">
      <c r="A4303" s="3" t="e">
        <f ca="1"/>
        <v>#NAME?</v>
      </c>
      <c r="B4303" s="2" t="s">
        <v>12</v>
      </c>
      <c r="C4303" s="2" t="s">
        <v>12</v>
      </c>
      <c r="D4303" s="2" t="s">
        <v>12</v>
      </c>
      <c r="E4303" s="2" t="s">
        <v>12</v>
      </c>
      <c r="F4303" s="2" t="s">
        <v>12</v>
      </c>
      <c r="G4303" s="2" t="s">
        <v>12</v>
      </c>
      <c r="H4303" s="2" t="s">
        <v>12</v>
      </c>
      <c r="I4303" s="2" t="s">
        <v>12</v>
      </c>
      <c r="J4303" s="2" t="s">
        <v>12</v>
      </c>
      <c r="K4303" s="2" t="s">
        <v>12</v>
      </c>
    </row>
    <row r="4304" spans="1:11" ht="12.5" x14ac:dyDescent="0.25">
      <c r="A4304" s="3" t="e">
        <f ca="1"/>
        <v>#NAME?</v>
      </c>
      <c r="B4304" s="2" t="s">
        <v>12</v>
      </c>
      <c r="C4304" s="2" t="s">
        <v>12</v>
      </c>
      <c r="D4304" s="2" t="s">
        <v>12</v>
      </c>
      <c r="E4304" s="2" t="s">
        <v>12</v>
      </c>
      <c r="F4304" s="2" t="s">
        <v>12</v>
      </c>
      <c r="G4304" s="2" t="s">
        <v>12</v>
      </c>
      <c r="H4304" s="2" t="s">
        <v>12</v>
      </c>
      <c r="I4304" s="2" t="s">
        <v>12</v>
      </c>
      <c r="J4304" s="2" t="s">
        <v>12</v>
      </c>
      <c r="K4304" s="2" t="s">
        <v>12</v>
      </c>
    </row>
    <row r="4305" spans="1:11" ht="12.5" x14ac:dyDescent="0.25">
      <c r="A4305" s="3" t="e">
        <f ca="1"/>
        <v>#NAME?</v>
      </c>
      <c r="B4305" s="2" t="s">
        <v>12</v>
      </c>
      <c r="C4305" s="2" t="s">
        <v>12</v>
      </c>
      <c r="D4305" s="2" t="s">
        <v>12</v>
      </c>
      <c r="E4305" s="2" t="s">
        <v>12</v>
      </c>
      <c r="F4305" s="2" t="s">
        <v>12</v>
      </c>
      <c r="G4305" s="2" t="s">
        <v>12</v>
      </c>
      <c r="H4305" s="2" t="s">
        <v>12</v>
      </c>
      <c r="I4305" s="2" t="s">
        <v>12</v>
      </c>
      <c r="J4305" s="2" t="s">
        <v>12</v>
      </c>
      <c r="K4305" s="2" t="s">
        <v>12</v>
      </c>
    </row>
    <row r="4306" spans="1:11" ht="12.5" x14ac:dyDescent="0.25">
      <c r="A4306" s="3" t="e">
        <f ca="1"/>
        <v>#NAME?</v>
      </c>
      <c r="B4306" s="2" t="s">
        <v>12</v>
      </c>
      <c r="C4306" s="2" t="s">
        <v>12</v>
      </c>
      <c r="D4306" s="2" t="s">
        <v>12</v>
      </c>
      <c r="E4306" s="2" t="s">
        <v>12</v>
      </c>
      <c r="F4306" s="2" t="s">
        <v>12</v>
      </c>
      <c r="G4306" s="2" t="s">
        <v>12</v>
      </c>
      <c r="H4306" s="2" t="s">
        <v>12</v>
      </c>
      <c r="I4306" s="2" t="s">
        <v>12</v>
      </c>
      <c r="J4306" s="2" t="s">
        <v>12</v>
      </c>
      <c r="K4306" s="2" t="s">
        <v>12</v>
      </c>
    </row>
    <row r="4307" spans="1:11" ht="12.5" x14ac:dyDescent="0.25">
      <c r="A4307" s="3" t="e">
        <f ca="1"/>
        <v>#NAME?</v>
      </c>
      <c r="B4307" s="2" t="s">
        <v>12</v>
      </c>
      <c r="C4307" s="2" t="s">
        <v>12</v>
      </c>
      <c r="D4307" s="2" t="s">
        <v>12</v>
      </c>
      <c r="E4307" s="2" t="s">
        <v>12</v>
      </c>
      <c r="F4307" s="2" t="s">
        <v>12</v>
      </c>
      <c r="G4307" s="2" t="s">
        <v>12</v>
      </c>
      <c r="H4307" s="2" t="s">
        <v>12</v>
      </c>
      <c r="I4307" s="2" t="s">
        <v>12</v>
      </c>
      <c r="J4307" s="2" t="s">
        <v>12</v>
      </c>
      <c r="K4307" s="2" t="s">
        <v>12</v>
      </c>
    </row>
    <row r="4308" spans="1:11" ht="12.5" x14ac:dyDescent="0.25">
      <c r="A4308" s="3" t="e">
        <f ca="1"/>
        <v>#NAME?</v>
      </c>
      <c r="B4308" s="2" t="s">
        <v>12</v>
      </c>
      <c r="C4308" s="2" t="s">
        <v>12</v>
      </c>
      <c r="D4308" s="2" t="s">
        <v>12</v>
      </c>
      <c r="E4308" s="2" t="s">
        <v>12</v>
      </c>
      <c r="F4308" s="2" t="s">
        <v>12</v>
      </c>
      <c r="G4308" s="2" t="s">
        <v>12</v>
      </c>
      <c r="H4308" s="2" t="s">
        <v>12</v>
      </c>
      <c r="I4308" s="2" t="s">
        <v>12</v>
      </c>
      <c r="J4308" s="2" t="s">
        <v>12</v>
      </c>
      <c r="K4308" s="2" t="s">
        <v>12</v>
      </c>
    </row>
    <row r="4309" spans="1:11" ht="12.5" x14ac:dyDescent="0.25">
      <c r="A4309" s="3" t="e">
        <f ca="1"/>
        <v>#NAME?</v>
      </c>
      <c r="B4309" s="2" t="s">
        <v>12</v>
      </c>
      <c r="C4309" s="2" t="s">
        <v>12</v>
      </c>
      <c r="D4309" s="2" t="s">
        <v>12</v>
      </c>
      <c r="E4309" s="2" t="s">
        <v>12</v>
      </c>
      <c r="F4309" s="2" t="s">
        <v>12</v>
      </c>
      <c r="G4309" s="2" t="s">
        <v>12</v>
      </c>
      <c r="H4309" s="2" t="s">
        <v>12</v>
      </c>
      <c r="I4309" s="2" t="s">
        <v>12</v>
      </c>
      <c r="J4309" s="2" t="s">
        <v>12</v>
      </c>
      <c r="K4309" s="2" t="s">
        <v>12</v>
      </c>
    </row>
    <row r="4310" spans="1:11" ht="12.5" x14ac:dyDescent="0.25">
      <c r="A4310" s="3" t="e">
        <f ca="1"/>
        <v>#NAME?</v>
      </c>
      <c r="B4310" s="2" t="s">
        <v>12</v>
      </c>
      <c r="C4310" s="2" t="s">
        <v>12</v>
      </c>
      <c r="D4310" s="2" t="s">
        <v>12</v>
      </c>
      <c r="E4310" s="2" t="s">
        <v>12</v>
      </c>
      <c r="F4310" s="2" t="s">
        <v>12</v>
      </c>
      <c r="G4310" s="2" t="s">
        <v>12</v>
      </c>
      <c r="H4310" s="2" t="s">
        <v>12</v>
      </c>
      <c r="I4310" s="2" t="s">
        <v>12</v>
      </c>
      <c r="J4310" s="2" t="s">
        <v>12</v>
      </c>
      <c r="K4310" s="2" t="s">
        <v>12</v>
      </c>
    </row>
    <row r="4311" spans="1:11" ht="12.5" x14ac:dyDescent="0.25">
      <c r="A4311" s="3" t="e">
        <f ca="1"/>
        <v>#NAME?</v>
      </c>
      <c r="B4311" s="2" t="s">
        <v>12</v>
      </c>
      <c r="C4311" s="2" t="s">
        <v>12</v>
      </c>
      <c r="D4311" s="2" t="s">
        <v>12</v>
      </c>
      <c r="E4311" s="2" t="s">
        <v>12</v>
      </c>
      <c r="F4311" s="2" t="s">
        <v>12</v>
      </c>
      <c r="G4311" s="2" t="s">
        <v>12</v>
      </c>
      <c r="H4311" s="2" t="s">
        <v>12</v>
      </c>
      <c r="I4311" s="2" t="s">
        <v>12</v>
      </c>
      <c r="J4311" s="2" t="s">
        <v>12</v>
      </c>
      <c r="K4311" s="2" t="s">
        <v>12</v>
      </c>
    </row>
    <row r="4312" spans="1:11" ht="12.5" x14ac:dyDescent="0.25">
      <c r="A4312" s="3" t="e">
        <f ca="1"/>
        <v>#NAME?</v>
      </c>
      <c r="B4312" s="2" t="s">
        <v>12</v>
      </c>
      <c r="C4312" s="2" t="s">
        <v>12</v>
      </c>
      <c r="D4312" s="2" t="s">
        <v>12</v>
      </c>
      <c r="E4312" s="2" t="s">
        <v>12</v>
      </c>
      <c r="F4312" s="2" t="s">
        <v>12</v>
      </c>
      <c r="G4312" s="2" t="s">
        <v>12</v>
      </c>
      <c r="H4312" s="2" t="s">
        <v>12</v>
      </c>
      <c r="I4312" s="2" t="s">
        <v>12</v>
      </c>
      <c r="J4312" s="2" t="s">
        <v>12</v>
      </c>
      <c r="K4312" s="2" t="s">
        <v>12</v>
      </c>
    </row>
    <row r="4313" spans="1:11" ht="12.5" x14ac:dyDescent="0.25">
      <c r="A4313" s="3" t="e">
        <f ca="1"/>
        <v>#NAME?</v>
      </c>
      <c r="B4313" s="2" t="s">
        <v>12</v>
      </c>
      <c r="C4313" s="2" t="s">
        <v>12</v>
      </c>
      <c r="D4313" s="2" t="s">
        <v>12</v>
      </c>
      <c r="E4313" s="2" t="s">
        <v>12</v>
      </c>
      <c r="F4313" s="2" t="s">
        <v>12</v>
      </c>
      <c r="G4313" s="2" t="s">
        <v>12</v>
      </c>
      <c r="H4313" s="2" t="s">
        <v>12</v>
      </c>
      <c r="I4313" s="2" t="s">
        <v>12</v>
      </c>
      <c r="J4313" s="2" t="s">
        <v>12</v>
      </c>
      <c r="K4313" s="2" t="s">
        <v>12</v>
      </c>
    </row>
    <row r="4314" spans="1:11" ht="12.5" x14ac:dyDescent="0.25">
      <c r="A4314" s="3" t="e">
        <f ca="1"/>
        <v>#NAME?</v>
      </c>
      <c r="B4314" s="2" t="s">
        <v>12</v>
      </c>
      <c r="C4314" s="2" t="s">
        <v>12</v>
      </c>
      <c r="D4314" s="2" t="s">
        <v>12</v>
      </c>
      <c r="E4314" s="2" t="s">
        <v>12</v>
      </c>
      <c r="F4314" s="2" t="s">
        <v>12</v>
      </c>
      <c r="G4314" s="2" t="s">
        <v>12</v>
      </c>
      <c r="H4314" s="2" t="s">
        <v>12</v>
      </c>
      <c r="I4314" s="2" t="s">
        <v>12</v>
      </c>
      <c r="J4314" s="2" t="s">
        <v>12</v>
      </c>
      <c r="K4314" s="2" t="s">
        <v>12</v>
      </c>
    </row>
    <row r="4315" spans="1:11" ht="12.5" x14ac:dyDescent="0.25">
      <c r="A4315" s="3" t="e">
        <f ca="1"/>
        <v>#NAME?</v>
      </c>
      <c r="B4315" s="2" t="s">
        <v>12</v>
      </c>
      <c r="C4315" s="2" t="s">
        <v>12</v>
      </c>
      <c r="D4315" s="2" t="s">
        <v>12</v>
      </c>
      <c r="E4315" s="2" t="s">
        <v>12</v>
      </c>
      <c r="F4315" s="2" t="s">
        <v>12</v>
      </c>
      <c r="G4315" s="2" t="s">
        <v>12</v>
      </c>
      <c r="H4315" s="2" t="s">
        <v>12</v>
      </c>
      <c r="I4315" s="2" t="s">
        <v>12</v>
      </c>
      <c r="J4315" s="2" t="s">
        <v>12</v>
      </c>
      <c r="K4315" s="2" t="s">
        <v>12</v>
      </c>
    </row>
    <row r="4316" spans="1:11" ht="12.5" x14ac:dyDescent="0.25">
      <c r="A4316" s="3" t="e">
        <f ca="1"/>
        <v>#NAME?</v>
      </c>
      <c r="B4316" s="2" t="s">
        <v>12</v>
      </c>
      <c r="C4316" s="2" t="s">
        <v>12</v>
      </c>
      <c r="D4316" s="2" t="s">
        <v>12</v>
      </c>
      <c r="E4316" s="2" t="s">
        <v>12</v>
      </c>
      <c r="F4316" s="2" t="s">
        <v>12</v>
      </c>
      <c r="G4316" s="2" t="s">
        <v>12</v>
      </c>
      <c r="H4316" s="2" t="s">
        <v>12</v>
      </c>
      <c r="I4316" s="2" t="s">
        <v>12</v>
      </c>
      <c r="J4316" s="2" t="s">
        <v>12</v>
      </c>
      <c r="K4316" s="2" t="s">
        <v>12</v>
      </c>
    </row>
    <row r="4317" spans="1:11" ht="12.5" x14ac:dyDescent="0.25">
      <c r="A4317" s="3" t="e">
        <f ca="1"/>
        <v>#NAME?</v>
      </c>
      <c r="B4317" s="2" t="s">
        <v>12</v>
      </c>
      <c r="C4317" s="2" t="s">
        <v>12</v>
      </c>
      <c r="D4317" s="2" t="s">
        <v>12</v>
      </c>
      <c r="E4317" s="2" t="s">
        <v>12</v>
      </c>
      <c r="F4317" s="2" t="s">
        <v>12</v>
      </c>
      <c r="G4317" s="2" t="s">
        <v>12</v>
      </c>
      <c r="H4317" s="2" t="s">
        <v>12</v>
      </c>
      <c r="I4317" s="2" t="s">
        <v>12</v>
      </c>
      <c r="J4317" s="2" t="s">
        <v>12</v>
      </c>
      <c r="K4317" s="2" t="s">
        <v>12</v>
      </c>
    </row>
    <row r="4318" spans="1:11" ht="12.5" x14ac:dyDescent="0.25">
      <c r="A4318" s="3" t="e">
        <f ca="1"/>
        <v>#NAME?</v>
      </c>
      <c r="B4318" s="2" t="s">
        <v>12</v>
      </c>
      <c r="C4318" s="2" t="s">
        <v>12</v>
      </c>
      <c r="D4318" s="2" t="s">
        <v>12</v>
      </c>
      <c r="E4318" s="2" t="s">
        <v>12</v>
      </c>
      <c r="F4318" s="2" t="s">
        <v>12</v>
      </c>
      <c r="G4318" s="2" t="s">
        <v>12</v>
      </c>
      <c r="H4318" s="2" t="s">
        <v>12</v>
      </c>
      <c r="I4318" s="2" t="s">
        <v>12</v>
      </c>
      <c r="J4318" s="2" t="s">
        <v>12</v>
      </c>
      <c r="K4318" s="2" t="s">
        <v>12</v>
      </c>
    </row>
    <row r="4319" spans="1:11" ht="12.5" x14ac:dyDescent="0.25">
      <c r="A4319" s="3" t="e">
        <f ca="1"/>
        <v>#NAME?</v>
      </c>
      <c r="B4319" s="2" t="s">
        <v>12</v>
      </c>
      <c r="C4319" s="2" t="s">
        <v>12</v>
      </c>
      <c r="D4319" s="2" t="s">
        <v>12</v>
      </c>
      <c r="E4319" s="2" t="s">
        <v>12</v>
      </c>
      <c r="F4319" s="2" t="s">
        <v>12</v>
      </c>
      <c r="G4319" s="2" t="s">
        <v>12</v>
      </c>
      <c r="H4319" s="2" t="s">
        <v>12</v>
      </c>
      <c r="I4319" s="2" t="s">
        <v>12</v>
      </c>
      <c r="J4319" s="2" t="s">
        <v>12</v>
      </c>
      <c r="K4319" s="2" t="s">
        <v>12</v>
      </c>
    </row>
    <row r="4320" spans="1:11" ht="12.5" x14ac:dyDescent="0.25">
      <c r="A4320" s="3" t="e">
        <f ca="1"/>
        <v>#NAME?</v>
      </c>
      <c r="B4320" s="2" t="s">
        <v>12</v>
      </c>
      <c r="C4320" s="2" t="s">
        <v>12</v>
      </c>
      <c r="D4320" s="2" t="s">
        <v>12</v>
      </c>
      <c r="E4320" s="2" t="s">
        <v>12</v>
      </c>
      <c r="F4320" s="2" t="s">
        <v>12</v>
      </c>
      <c r="G4320" s="2" t="s">
        <v>12</v>
      </c>
      <c r="H4320" s="2" t="s">
        <v>12</v>
      </c>
      <c r="I4320" s="2" t="s">
        <v>12</v>
      </c>
      <c r="J4320" s="2" t="s">
        <v>12</v>
      </c>
      <c r="K4320" s="2" t="s">
        <v>12</v>
      </c>
    </row>
    <row r="4321" spans="1:11" ht="12.5" x14ac:dyDescent="0.25">
      <c r="A4321" s="3" t="e">
        <f ca="1"/>
        <v>#NAME?</v>
      </c>
      <c r="B4321" s="2" t="s">
        <v>12</v>
      </c>
      <c r="C4321" s="2" t="s">
        <v>12</v>
      </c>
      <c r="D4321" s="2" t="s">
        <v>12</v>
      </c>
      <c r="E4321" s="2" t="s">
        <v>12</v>
      </c>
      <c r="F4321" s="2" t="s">
        <v>12</v>
      </c>
      <c r="G4321" s="2" t="s">
        <v>12</v>
      </c>
      <c r="H4321" s="2" t="s">
        <v>12</v>
      </c>
      <c r="I4321" s="2" t="s">
        <v>12</v>
      </c>
      <c r="J4321" s="2" t="s">
        <v>12</v>
      </c>
      <c r="K4321" s="2" t="s">
        <v>12</v>
      </c>
    </row>
    <row r="4322" spans="1:11" ht="12.5" x14ac:dyDescent="0.25">
      <c r="A4322" s="3" t="e">
        <f ca="1"/>
        <v>#NAME?</v>
      </c>
      <c r="B4322" s="2" t="s">
        <v>12</v>
      </c>
      <c r="C4322" s="2" t="s">
        <v>12</v>
      </c>
      <c r="D4322" s="2" t="s">
        <v>12</v>
      </c>
      <c r="E4322" s="2" t="s">
        <v>12</v>
      </c>
      <c r="F4322" s="2" t="s">
        <v>12</v>
      </c>
      <c r="G4322" s="2" t="s">
        <v>12</v>
      </c>
      <c r="H4322" s="2" t="s">
        <v>12</v>
      </c>
      <c r="I4322" s="2" t="s">
        <v>12</v>
      </c>
      <c r="J4322" s="2" t="s">
        <v>12</v>
      </c>
      <c r="K4322" s="2" t="s">
        <v>12</v>
      </c>
    </row>
    <row r="4323" spans="1:11" ht="12.5" x14ac:dyDescent="0.25">
      <c r="A4323" s="3" t="e">
        <f ca="1"/>
        <v>#NAME?</v>
      </c>
      <c r="B4323" s="2" t="s">
        <v>12</v>
      </c>
      <c r="C4323" s="2" t="s">
        <v>12</v>
      </c>
      <c r="D4323" s="2" t="s">
        <v>12</v>
      </c>
      <c r="E4323" s="2" t="s">
        <v>12</v>
      </c>
      <c r="F4323" s="2" t="s">
        <v>12</v>
      </c>
      <c r="G4323" s="2" t="s">
        <v>12</v>
      </c>
      <c r="H4323" s="2" t="s">
        <v>12</v>
      </c>
      <c r="I4323" s="2" t="s">
        <v>12</v>
      </c>
      <c r="J4323" s="2" t="s">
        <v>12</v>
      </c>
      <c r="K4323" s="2" t="s">
        <v>12</v>
      </c>
    </row>
    <row r="4324" spans="1:11" ht="12.5" x14ac:dyDescent="0.25">
      <c r="A4324" s="3" t="e">
        <f ca="1"/>
        <v>#NAME?</v>
      </c>
      <c r="B4324" s="2" t="s">
        <v>12</v>
      </c>
      <c r="C4324" s="2" t="s">
        <v>12</v>
      </c>
      <c r="D4324" s="2" t="s">
        <v>12</v>
      </c>
      <c r="E4324" s="2" t="s">
        <v>12</v>
      </c>
      <c r="F4324" s="2" t="s">
        <v>12</v>
      </c>
      <c r="G4324" s="2" t="s">
        <v>12</v>
      </c>
      <c r="H4324" s="2" t="s">
        <v>12</v>
      </c>
      <c r="I4324" s="2" t="s">
        <v>12</v>
      </c>
      <c r="J4324" s="2" t="s">
        <v>12</v>
      </c>
      <c r="K4324" s="2" t="s">
        <v>12</v>
      </c>
    </row>
    <row r="4325" spans="1:11" ht="12.5" x14ac:dyDescent="0.25">
      <c r="A4325" s="3" t="e">
        <f ca="1"/>
        <v>#NAME?</v>
      </c>
      <c r="B4325" s="2" t="s">
        <v>12</v>
      </c>
      <c r="C4325" s="2" t="s">
        <v>12</v>
      </c>
      <c r="D4325" s="2" t="s">
        <v>12</v>
      </c>
      <c r="E4325" s="2" t="s">
        <v>12</v>
      </c>
      <c r="F4325" s="2" t="s">
        <v>12</v>
      </c>
      <c r="G4325" s="2" t="s">
        <v>12</v>
      </c>
      <c r="H4325" s="2" t="s">
        <v>12</v>
      </c>
      <c r="I4325" s="2" t="s">
        <v>12</v>
      </c>
      <c r="J4325" s="2" t="s">
        <v>12</v>
      </c>
      <c r="K4325" s="2" t="s">
        <v>12</v>
      </c>
    </row>
    <row r="4326" spans="1:11" ht="12.5" x14ac:dyDescent="0.25">
      <c r="A4326" s="3" t="e">
        <f ca="1"/>
        <v>#NAME?</v>
      </c>
      <c r="B4326" s="2" t="s">
        <v>12</v>
      </c>
      <c r="C4326" s="2" t="s">
        <v>12</v>
      </c>
      <c r="D4326" s="2" t="s">
        <v>12</v>
      </c>
      <c r="E4326" s="2" t="s">
        <v>12</v>
      </c>
      <c r="F4326" s="2" t="s">
        <v>12</v>
      </c>
      <c r="G4326" s="2" t="s">
        <v>12</v>
      </c>
      <c r="H4326" s="2" t="s">
        <v>12</v>
      </c>
      <c r="I4326" s="2" t="s">
        <v>12</v>
      </c>
      <c r="J4326" s="2" t="s">
        <v>12</v>
      </c>
      <c r="K4326" s="2" t="s">
        <v>12</v>
      </c>
    </row>
    <row r="4327" spans="1:11" ht="12.5" x14ac:dyDescent="0.25">
      <c r="A4327" s="3" t="e">
        <f ca="1"/>
        <v>#NAME?</v>
      </c>
      <c r="B4327" s="2" t="s">
        <v>12</v>
      </c>
      <c r="C4327" s="2" t="s">
        <v>12</v>
      </c>
      <c r="D4327" s="2" t="s">
        <v>12</v>
      </c>
      <c r="E4327" s="2" t="s">
        <v>12</v>
      </c>
      <c r="F4327" s="2" t="s">
        <v>12</v>
      </c>
      <c r="G4327" s="2" t="s">
        <v>12</v>
      </c>
      <c r="H4327" s="2" t="s">
        <v>12</v>
      </c>
      <c r="I4327" s="2" t="s">
        <v>12</v>
      </c>
      <c r="J4327" s="2" t="s">
        <v>12</v>
      </c>
      <c r="K4327" s="2" t="s">
        <v>12</v>
      </c>
    </row>
    <row r="4328" spans="1:11" ht="12.5" x14ac:dyDescent="0.25">
      <c r="A4328" s="3" t="e">
        <f ca="1"/>
        <v>#NAME?</v>
      </c>
      <c r="B4328" s="2" t="s">
        <v>12</v>
      </c>
      <c r="C4328" s="2" t="s">
        <v>12</v>
      </c>
      <c r="D4328" s="2" t="s">
        <v>12</v>
      </c>
      <c r="E4328" s="2" t="s">
        <v>12</v>
      </c>
      <c r="F4328" s="2" t="s">
        <v>12</v>
      </c>
      <c r="G4328" s="2" t="s">
        <v>12</v>
      </c>
      <c r="H4328" s="2" t="s">
        <v>12</v>
      </c>
      <c r="I4328" s="2" t="s">
        <v>12</v>
      </c>
      <c r="J4328" s="2" t="s">
        <v>12</v>
      </c>
      <c r="K4328" s="2" t="s">
        <v>12</v>
      </c>
    </row>
    <row r="4329" spans="1:11" ht="12.5" x14ac:dyDescent="0.25">
      <c r="A4329" s="3" t="e">
        <f ca="1"/>
        <v>#NAME?</v>
      </c>
      <c r="B4329" s="2" t="s">
        <v>12</v>
      </c>
      <c r="C4329" s="2" t="s">
        <v>12</v>
      </c>
      <c r="D4329" s="2" t="s">
        <v>12</v>
      </c>
      <c r="E4329" s="2" t="s">
        <v>12</v>
      </c>
      <c r="F4329" s="2" t="s">
        <v>12</v>
      </c>
      <c r="G4329" s="2" t="s">
        <v>12</v>
      </c>
      <c r="H4329" s="2" t="s">
        <v>12</v>
      </c>
      <c r="I4329" s="2" t="s">
        <v>12</v>
      </c>
      <c r="J4329" s="2" t="s">
        <v>12</v>
      </c>
      <c r="K4329" s="2" t="s">
        <v>12</v>
      </c>
    </row>
    <row r="4330" spans="1:11" ht="12.5" x14ac:dyDescent="0.25">
      <c r="A4330" s="3" t="e">
        <f ca="1"/>
        <v>#NAME?</v>
      </c>
      <c r="B4330" s="2" t="s">
        <v>12</v>
      </c>
      <c r="C4330" s="2" t="s">
        <v>12</v>
      </c>
      <c r="D4330" s="2" t="s">
        <v>12</v>
      </c>
      <c r="E4330" s="2" t="s">
        <v>12</v>
      </c>
      <c r="F4330" s="2" t="s">
        <v>12</v>
      </c>
      <c r="G4330" s="2" t="s">
        <v>12</v>
      </c>
      <c r="H4330" s="2" t="s">
        <v>12</v>
      </c>
      <c r="I4330" s="2" t="s">
        <v>12</v>
      </c>
      <c r="J4330" s="2" t="s">
        <v>12</v>
      </c>
      <c r="K4330" s="2" t="s">
        <v>12</v>
      </c>
    </row>
    <row r="4331" spans="1:11" ht="12.5" x14ac:dyDescent="0.25">
      <c r="A4331" s="3" t="e">
        <f ca="1"/>
        <v>#NAME?</v>
      </c>
      <c r="B4331" s="2" t="s">
        <v>12</v>
      </c>
      <c r="C4331" s="2" t="s">
        <v>12</v>
      </c>
      <c r="D4331" s="2" t="s">
        <v>12</v>
      </c>
      <c r="E4331" s="2" t="s">
        <v>12</v>
      </c>
      <c r="F4331" s="2" t="s">
        <v>12</v>
      </c>
      <c r="G4331" s="2" t="s">
        <v>12</v>
      </c>
      <c r="H4331" s="2" t="s">
        <v>12</v>
      </c>
      <c r="I4331" s="2" t="s">
        <v>12</v>
      </c>
      <c r="J4331" s="2" t="s">
        <v>12</v>
      </c>
      <c r="K4331" s="2" t="s">
        <v>12</v>
      </c>
    </row>
    <row r="4332" spans="1:11" ht="12.5" x14ac:dyDescent="0.25">
      <c r="A4332" s="3" t="e">
        <f ca="1"/>
        <v>#NAME?</v>
      </c>
      <c r="B4332" s="2" t="s">
        <v>12</v>
      </c>
      <c r="C4332" s="2" t="s">
        <v>12</v>
      </c>
      <c r="D4332" s="2" t="s">
        <v>12</v>
      </c>
      <c r="E4332" s="2" t="s">
        <v>12</v>
      </c>
      <c r="F4332" s="2" t="s">
        <v>12</v>
      </c>
      <c r="G4332" s="2" t="s">
        <v>12</v>
      </c>
      <c r="H4332" s="2" t="s">
        <v>12</v>
      </c>
      <c r="I4332" s="2" t="s">
        <v>12</v>
      </c>
      <c r="J4332" s="2" t="s">
        <v>12</v>
      </c>
      <c r="K4332" s="2" t="s">
        <v>12</v>
      </c>
    </row>
    <row r="4333" spans="1:11" ht="12.5" x14ac:dyDescent="0.25">
      <c r="A4333" s="3" t="e">
        <f ca="1"/>
        <v>#NAME?</v>
      </c>
      <c r="B4333" s="2" t="s">
        <v>12</v>
      </c>
      <c r="C4333" s="2" t="s">
        <v>12</v>
      </c>
      <c r="D4333" s="2" t="s">
        <v>12</v>
      </c>
      <c r="E4333" s="2" t="s">
        <v>12</v>
      </c>
      <c r="F4333" s="2" t="s">
        <v>12</v>
      </c>
      <c r="G4333" s="2" t="s">
        <v>12</v>
      </c>
      <c r="H4333" s="2" t="s">
        <v>12</v>
      </c>
      <c r="I4333" s="2" t="s">
        <v>12</v>
      </c>
      <c r="J4333" s="2" t="s">
        <v>12</v>
      </c>
      <c r="K4333" s="2" t="s">
        <v>12</v>
      </c>
    </row>
    <row r="4334" spans="1:11" ht="12.5" x14ac:dyDescent="0.25">
      <c r="A4334" s="3" t="e">
        <f ca="1"/>
        <v>#NAME?</v>
      </c>
      <c r="B4334" s="2" t="s">
        <v>12</v>
      </c>
      <c r="C4334" s="2" t="s">
        <v>12</v>
      </c>
      <c r="D4334" s="2" t="s">
        <v>12</v>
      </c>
      <c r="E4334" s="2" t="s">
        <v>12</v>
      </c>
      <c r="F4334" s="2" t="s">
        <v>12</v>
      </c>
      <c r="G4334" s="2" t="s">
        <v>12</v>
      </c>
      <c r="H4334" s="2" t="s">
        <v>12</v>
      </c>
      <c r="I4334" s="2" t="s">
        <v>12</v>
      </c>
      <c r="J4334" s="2" t="s">
        <v>12</v>
      </c>
      <c r="K4334" s="2" t="s">
        <v>12</v>
      </c>
    </row>
    <row r="4335" spans="1:11" ht="12.5" x14ac:dyDescent="0.25">
      <c r="A4335" s="3" t="e">
        <f ca="1"/>
        <v>#NAME?</v>
      </c>
      <c r="B4335" s="2" t="s">
        <v>12</v>
      </c>
      <c r="C4335" s="2" t="s">
        <v>12</v>
      </c>
      <c r="D4335" s="2" t="s">
        <v>12</v>
      </c>
      <c r="E4335" s="2" t="s">
        <v>12</v>
      </c>
      <c r="F4335" s="2" t="s">
        <v>12</v>
      </c>
      <c r="G4335" s="2" t="s">
        <v>12</v>
      </c>
      <c r="H4335" s="2" t="s">
        <v>12</v>
      </c>
      <c r="I4335" s="2" t="s">
        <v>12</v>
      </c>
      <c r="J4335" s="2" t="s">
        <v>12</v>
      </c>
      <c r="K4335" s="2" t="s">
        <v>12</v>
      </c>
    </row>
    <row r="4336" spans="1:11" ht="12.5" x14ac:dyDescent="0.25">
      <c r="A4336" s="3" t="e">
        <f ca="1"/>
        <v>#NAME?</v>
      </c>
      <c r="B4336" s="2" t="s">
        <v>12</v>
      </c>
      <c r="C4336" s="2" t="s">
        <v>12</v>
      </c>
      <c r="D4336" s="2" t="s">
        <v>12</v>
      </c>
      <c r="E4336" s="2" t="s">
        <v>12</v>
      </c>
      <c r="F4336" s="2" t="s">
        <v>12</v>
      </c>
      <c r="G4336" s="2" t="s">
        <v>12</v>
      </c>
      <c r="H4336" s="2" t="s">
        <v>12</v>
      </c>
      <c r="I4336" s="2" t="s">
        <v>12</v>
      </c>
      <c r="J4336" s="2" t="s">
        <v>12</v>
      </c>
      <c r="K4336" s="2" t="s">
        <v>12</v>
      </c>
    </row>
    <row r="4337" spans="1:11" ht="12.5" x14ac:dyDescent="0.25">
      <c r="A4337" s="3" t="e">
        <f ca="1"/>
        <v>#NAME?</v>
      </c>
      <c r="B4337" s="2" t="s">
        <v>12</v>
      </c>
      <c r="C4337" s="2" t="s">
        <v>12</v>
      </c>
      <c r="D4337" s="2" t="s">
        <v>12</v>
      </c>
      <c r="E4337" s="2" t="s">
        <v>12</v>
      </c>
      <c r="F4337" s="2" t="s">
        <v>12</v>
      </c>
      <c r="G4337" s="2" t="s">
        <v>12</v>
      </c>
      <c r="H4337" s="2" t="s">
        <v>12</v>
      </c>
      <c r="I4337" s="2" t="s">
        <v>12</v>
      </c>
      <c r="J4337" s="2" t="s">
        <v>12</v>
      </c>
      <c r="K4337" s="2" t="s">
        <v>12</v>
      </c>
    </row>
    <row r="4338" spans="1:11" ht="12.5" x14ac:dyDescent="0.25">
      <c r="A4338" s="3" t="e">
        <f ca="1"/>
        <v>#NAME?</v>
      </c>
      <c r="B4338" s="2" t="s">
        <v>12</v>
      </c>
      <c r="C4338" s="2" t="s">
        <v>12</v>
      </c>
      <c r="D4338" s="2" t="s">
        <v>12</v>
      </c>
      <c r="E4338" s="2" t="s">
        <v>12</v>
      </c>
      <c r="F4338" s="2" t="s">
        <v>12</v>
      </c>
      <c r="G4338" s="2" t="s">
        <v>12</v>
      </c>
      <c r="H4338" s="2" t="s">
        <v>12</v>
      </c>
      <c r="I4338" s="2" t="s">
        <v>12</v>
      </c>
      <c r="J4338" s="2" t="s">
        <v>12</v>
      </c>
      <c r="K4338" s="2" t="s">
        <v>12</v>
      </c>
    </row>
    <row r="4339" spans="1:11" ht="12.5" x14ac:dyDescent="0.25">
      <c r="A4339" s="3" t="e">
        <f ca="1"/>
        <v>#NAME?</v>
      </c>
      <c r="B4339" s="2" t="s">
        <v>12</v>
      </c>
      <c r="C4339" s="2" t="s">
        <v>12</v>
      </c>
      <c r="D4339" s="2" t="s">
        <v>12</v>
      </c>
      <c r="E4339" s="2" t="s">
        <v>12</v>
      </c>
      <c r="F4339" s="2" t="s">
        <v>12</v>
      </c>
      <c r="G4339" s="2" t="s">
        <v>12</v>
      </c>
      <c r="H4339" s="2" t="s">
        <v>12</v>
      </c>
      <c r="I4339" s="2" t="s">
        <v>12</v>
      </c>
      <c r="J4339" s="2" t="s">
        <v>12</v>
      </c>
      <c r="K4339" s="2" t="s">
        <v>12</v>
      </c>
    </row>
    <row r="4340" spans="1:11" ht="12.5" x14ac:dyDescent="0.25">
      <c r="A4340" s="3" t="e">
        <f ca="1"/>
        <v>#NAME?</v>
      </c>
      <c r="B4340" s="2" t="s">
        <v>12</v>
      </c>
      <c r="C4340" s="2" t="s">
        <v>12</v>
      </c>
      <c r="D4340" s="2" t="s">
        <v>12</v>
      </c>
      <c r="E4340" s="2" t="s">
        <v>12</v>
      </c>
      <c r="F4340" s="2" t="s">
        <v>12</v>
      </c>
      <c r="G4340" s="2" t="s">
        <v>12</v>
      </c>
      <c r="H4340" s="2" t="s">
        <v>12</v>
      </c>
      <c r="I4340" s="2" t="s">
        <v>12</v>
      </c>
      <c r="J4340" s="2" t="s">
        <v>12</v>
      </c>
      <c r="K4340" s="2" t="s">
        <v>12</v>
      </c>
    </row>
    <row r="4341" spans="1:11" ht="12.5" x14ac:dyDescent="0.25">
      <c r="A4341" s="3" t="e">
        <f ca="1"/>
        <v>#NAME?</v>
      </c>
      <c r="B4341" s="2" t="s">
        <v>12</v>
      </c>
      <c r="C4341" s="2" t="s">
        <v>12</v>
      </c>
      <c r="D4341" s="2" t="s">
        <v>12</v>
      </c>
      <c r="E4341" s="2" t="s">
        <v>12</v>
      </c>
      <c r="F4341" s="2" t="s">
        <v>12</v>
      </c>
      <c r="G4341" s="2" t="s">
        <v>12</v>
      </c>
      <c r="H4341" s="2" t="s">
        <v>12</v>
      </c>
      <c r="I4341" s="2" t="s">
        <v>12</v>
      </c>
      <c r="J4341" s="2" t="s">
        <v>12</v>
      </c>
      <c r="K4341" s="2" t="s">
        <v>12</v>
      </c>
    </row>
    <row r="4342" spans="1:11" ht="12.5" x14ac:dyDescent="0.25">
      <c r="A4342" s="3" t="e">
        <f ca="1"/>
        <v>#NAME?</v>
      </c>
      <c r="B4342" s="2" t="s">
        <v>12</v>
      </c>
      <c r="C4342" s="2" t="s">
        <v>12</v>
      </c>
      <c r="D4342" s="2" t="s">
        <v>12</v>
      </c>
      <c r="E4342" s="2" t="s">
        <v>12</v>
      </c>
      <c r="F4342" s="2" t="s">
        <v>12</v>
      </c>
      <c r="G4342" s="2" t="s">
        <v>12</v>
      </c>
      <c r="H4342" s="2" t="s">
        <v>12</v>
      </c>
      <c r="I4342" s="2" t="s">
        <v>12</v>
      </c>
      <c r="J4342" s="2" t="s">
        <v>12</v>
      </c>
      <c r="K4342" s="2" t="s">
        <v>12</v>
      </c>
    </row>
    <row r="4343" spans="1:11" ht="12.5" x14ac:dyDescent="0.25">
      <c r="A4343" s="3" t="e">
        <f ca="1"/>
        <v>#NAME?</v>
      </c>
      <c r="B4343" s="2" t="s">
        <v>12</v>
      </c>
      <c r="C4343" s="2" t="s">
        <v>12</v>
      </c>
      <c r="D4343" s="2" t="s">
        <v>12</v>
      </c>
      <c r="E4343" s="2" t="s">
        <v>12</v>
      </c>
      <c r="F4343" s="2" t="s">
        <v>12</v>
      </c>
      <c r="G4343" s="2" t="s">
        <v>12</v>
      </c>
      <c r="H4343" s="2" t="s">
        <v>12</v>
      </c>
      <c r="I4343" s="2" t="s">
        <v>12</v>
      </c>
      <c r="J4343" s="2" t="s">
        <v>12</v>
      </c>
      <c r="K4343" s="2" t="s">
        <v>12</v>
      </c>
    </row>
    <row r="4344" spans="1:11" ht="12.5" x14ac:dyDescent="0.25">
      <c r="A4344" s="3" t="e">
        <f ca="1"/>
        <v>#NAME?</v>
      </c>
      <c r="B4344" s="2" t="s">
        <v>12</v>
      </c>
      <c r="C4344" s="2" t="s">
        <v>12</v>
      </c>
      <c r="D4344" s="2" t="s">
        <v>12</v>
      </c>
      <c r="E4344" s="2" t="s">
        <v>12</v>
      </c>
      <c r="F4344" s="2" t="s">
        <v>12</v>
      </c>
      <c r="G4344" s="2" t="s">
        <v>12</v>
      </c>
      <c r="H4344" s="2" t="s">
        <v>12</v>
      </c>
      <c r="I4344" s="2" t="s">
        <v>12</v>
      </c>
      <c r="J4344" s="2" t="s">
        <v>12</v>
      </c>
      <c r="K4344" s="2" t="s">
        <v>12</v>
      </c>
    </row>
    <row r="4345" spans="1:11" ht="12.5" x14ac:dyDescent="0.25">
      <c r="A4345" s="3" t="e">
        <f ca="1"/>
        <v>#NAME?</v>
      </c>
      <c r="B4345" s="2" t="s">
        <v>12</v>
      </c>
      <c r="C4345" s="2" t="s">
        <v>12</v>
      </c>
      <c r="D4345" s="2" t="s">
        <v>12</v>
      </c>
      <c r="E4345" s="2" t="s">
        <v>12</v>
      </c>
      <c r="F4345" s="2" t="s">
        <v>12</v>
      </c>
      <c r="G4345" s="2" t="s">
        <v>12</v>
      </c>
      <c r="H4345" s="2" t="s">
        <v>12</v>
      </c>
      <c r="I4345" s="2" t="s">
        <v>12</v>
      </c>
      <c r="J4345" s="2" t="s">
        <v>12</v>
      </c>
      <c r="K4345" s="2" t="s">
        <v>12</v>
      </c>
    </row>
    <row r="4346" spans="1:11" ht="12.5" x14ac:dyDescent="0.25">
      <c r="A4346" s="3" t="e">
        <f ca="1"/>
        <v>#NAME?</v>
      </c>
      <c r="B4346" s="2" t="s">
        <v>12</v>
      </c>
      <c r="C4346" s="2" t="s">
        <v>12</v>
      </c>
      <c r="D4346" s="2" t="s">
        <v>12</v>
      </c>
      <c r="E4346" s="2" t="s">
        <v>12</v>
      </c>
      <c r="F4346" s="2" t="s">
        <v>12</v>
      </c>
      <c r="G4346" s="2" t="s">
        <v>12</v>
      </c>
      <c r="H4346" s="2" t="s">
        <v>12</v>
      </c>
      <c r="I4346" s="2" t="s">
        <v>12</v>
      </c>
      <c r="J4346" s="2" t="s">
        <v>12</v>
      </c>
      <c r="K4346" s="2" t="s">
        <v>12</v>
      </c>
    </row>
    <row r="4347" spans="1:11" ht="12.5" x14ac:dyDescent="0.25">
      <c r="A4347" s="3" t="e">
        <f ca="1"/>
        <v>#NAME?</v>
      </c>
      <c r="B4347" s="2" t="s">
        <v>12</v>
      </c>
      <c r="C4347" s="2" t="s">
        <v>12</v>
      </c>
      <c r="D4347" s="2" t="s">
        <v>12</v>
      </c>
      <c r="E4347" s="2" t="s">
        <v>12</v>
      </c>
      <c r="F4347" s="2" t="s">
        <v>12</v>
      </c>
      <c r="G4347" s="2" t="s">
        <v>12</v>
      </c>
      <c r="H4347" s="2" t="s">
        <v>12</v>
      </c>
      <c r="I4347" s="2" t="s">
        <v>12</v>
      </c>
      <c r="J4347" s="2" t="s">
        <v>12</v>
      </c>
      <c r="K4347" s="2" t="s">
        <v>12</v>
      </c>
    </row>
    <row r="4348" spans="1:11" ht="12.5" x14ac:dyDescent="0.25">
      <c r="A4348" s="3" t="e">
        <f ca="1"/>
        <v>#NAME?</v>
      </c>
      <c r="B4348" s="2" t="s">
        <v>12</v>
      </c>
      <c r="C4348" s="2" t="s">
        <v>12</v>
      </c>
      <c r="D4348" s="2" t="s">
        <v>12</v>
      </c>
      <c r="E4348" s="2" t="s">
        <v>12</v>
      </c>
      <c r="F4348" s="2" t="s">
        <v>12</v>
      </c>
      <c r="G4348" s="2" t="s">
        <v>12</v>
      </c>
      <c r="H4348" s="2" t="s">
        <v>12</v>
      </c>
      <c r="I4348" s="2" t="s">
        <v>12</v>
      </c>
      <c r="J4348" s="2" t="s">
        <v>12</v>
      </c>
      <c r="K4348" s="2" t="s">
        <v>12</v>
      </c>
    </row>
    <row r="4349" spans="1:11" ht="12.5" x14ac:dyDescent="0.25">
      <c r="A4349" s="3" t="e">
        <f ca="1"/>
        <v>#NAME?</v>
      </c>
      <c r="B4349" s="2" t="s">
        <v>12</v>
      </c>
      <c r="C4349" s="2" t="s">
        <v>12</v>
      </c>
      <c r="D4349" s="2" t="s">
        <v>12</v>
      </c>
      <c r="E4349" s="2" t="s">
        <v>12</v>
      </c>
      <c r="F4349" s="2" t="s">
        <v>12</v>
      </c>
      <c r="G4349" s="2" t="s">
        <v>12</v>
      </c>
      <c r="H4349" s="2" t="s">
        <v>12</v>
      </c>
      <c r="I4349" s="2" t="s">
        <v>12</v>
      </c>
      <c r="J4349" s="2" t="s">
        <v>12</v>
      </c>
      <c r="K4349" s="2" t="s">
        <v>12</v>
      </c>
    </row>
    <row r="4350" spans="1:11" ht="12.5" x14ac:dyDescent="0.25">
      <c r="A4350" s="3" t="e">
        <f ca="1"/>
        <v>#NAME?</v>
      </c>
      <c r="B4350" s="2" t="s">
        <v>12</v>
      </c>
      <c r="C4350" s="2" t="s">
        <v>12</v>
      </c>
      <c r="D4350" s="2" t="s">
        <v>12</v>
      </c>
      <c r="E4350" s="2" t="s">
        <v>12</v>
      </c>
      <c r="F4350" s="2" t="s">
        <v>12</v>
      </c>
      <c r="G4350" s="2" t="s">
        <v>12</v>
      </c>
      <c r="H4350" s="2" t="s">
        <v>12</v>
      </c>
      <c r="I4350" s="2" t="s">
        <v>12</v>
      </c>
      <c r="J4350" s="2" t="s">
        <v>12</v>
      </c>
      <c r="K4350" s="2" t="s">
        <v>12</v>
      </c>
    </row>
    <row r="4351" spans="1:11" ht="12.5" x14ac:dyDescent="0.25">
      <c r="A4351" s="3" t="e">
        <f ca="1"/>
        <v>#NAME?</v>
      </c>
      <c r="B4351" s="2" t="s">
        <v>12</v>
      </c>
      <c r="C4351" s="2" t="s">
        <v>12</v>
      </c>
      <c r="D4351" s="2" t="s">
        <v>12</v>
      </c>
      <c r="E4351" s="2" t="s">
        <v>12</v>
      </c>
      <c r="F4351" s="2" t="s">
        <v>12</v>
      </c>
      <c r="G4351" s="2" t="s">
        <v>12</v>
      </c>
      <c r="H4351" s="2" t="s">
        <v>12</v>
      </c>
      <c r="I4351" s="2" t="s">
        <v>12</v>
      </c>
      <c r="J4351" s="2" t="s">
        <v>12</v>
      </c>
      <c r="K4351" s="2" t="s">
        <v>12</v>
      </c>
    </row>
    <row r="4352" spans="1:11" ht="12.5" x14ac:dyDescent="0.25">
      <c r="A4352" s="3" t="e">
        <f ca="1"/>
        <v>#NAME?</v>
      </c>
      <c r="B4352" s="2" t="s">
        <v>12</v>
      </c>
      <c r="C4352" s="2" t="s">
        <v>12</v>
      </c>
      <c r="D4352" s="2" t="s">
        <v>12</v>
      </c>
      <c r="E4352" s="2" t="s">
        <v>12</v>
      </c>
      <c r="F4352" s="2" t="s">
        <v>12</v>
      </c>
      <c r="G4352" s="2" t="s">
        <v>12</v>
      </c>
      <c r="H4352" s="2" t="s">
        <v>12</v>
      </c>
      <c r="I4352" s="2" t="s">
        <v>12</v>
      </c>
      <c r="J4352" s="2" t="s">
        <v>12</v>
      </c>
      <c r="K4352" s="2" t="s">
        <v>12</v>
      </c>
    </row>
    <row r="4353" spans="1:11" ht="12.5" x14ac:dyDescent="0.25">
      <c r="A4353" s="3" t="e">
        <f ca="1"/>
        <v>#NAME?</v>
      </c>
      <c r="B4353" s="2" t="s">
        <v>12</v>
      </c>
      <c r="C4353" s="2" t="s">
        <v>12</v>
      </c>
      <c r="D4353" s="2" t="s">
        <v>12</v>
      </c>
      <c r="E4353" s="2" t="s">
        <v>12</v>
      </c>
      <c r="F4353" s="2" t="s">
        <v>12</v>
      </c>
      <c r="G4353" s="2" t="s">
        <v>12</v>
      </c>
      <c r="H4353" s="2" t="s">
        <v>12</v>
      </c>
      <c r="I4353" s="2" t="s">
        <v>12</v>
      </c>
      <c r="J4353" s="2" t="s">
        <v>12</v>
      </c>
      <c r="K4353" s="2" t="s">
        <v>12</v>
      </c>
    </row>
    <row r="4354" spans="1:11" ht="12.5" x14ac:dyDescent="0.25">
      <c r="A4354" s="3" t="e">
        <f ca="1"/>
        <v>#NAME?</v>
      </c>
      <c r="B4354" s="2" t="s">
        <v>12</v>
      </c>
      <c r="C4354" s="2" t="s">
        <v>12</v>
      </c>
      <c r="D4354" s="2" t="s">
        <v>12</v>
      </c>
      <c r="E4354" s="2" t="s">
        <v>12</v>
      </c>
      <c r="F4354" s="2" t="s">
        <v>12</v>
      </c>
      <c r="G4354" s="2" t="s">
        <v>12</v>
      </c>
      <c r="H4354" s="2" t="s">
        <v>12</v>
      </c>
      <c r="I4354" s="2" t="s">
        <v>12</v>
      </c>
      <c r="J4354" s="2" t="s">
        <v>12</v>
      </c>
      <c r="K4354" s="2" t="s">
        <v>12</v>
      </c>
    </row>
    <row r="4355" spans="1:11" ht="12.5" x14ac:dyDescent="0.25">
      <c r="A4355" s="3" t="e">
        <f ca="1"/>
        <v>#NAME?</v>
      </c>
      <c r="B4355" s="2" t="s">
        <v>12</v>
      </c>
      <c r="C4355" s="2" t="s">
        <v>12</v>
      </c>
      <c r="D4355" s="2" t="s">
        <v>12</v>
      </c>
      <c r="E4355" s="2" t="s">
        <v>12</v>
      </c>
      <c r="F4355" s="2" t="s">
        <v>12</v>
      </c>
      <c r="G4355" s="2" t="s">
        <v>12</v>
      </c>
      <c r="H4355" s="2" t="s">
        <v>12</v>
      </c>
      <c r="I4355" s="2" t="s">
        <v>12</v>
      </c>
      <c r="J4355" s="2" t="s">
        <v>12</v>
      </c>
      <c r="K4355" s="2" t="s">
        <v>12</v>
      </c>
    </row>
    <row r="4356" spans="1:11" ht="12.5" x14ac:dyDescent="0.25">
      <c r="A4356" s="3" t="e">
        <f ca="1"/>
        <v>#NAME?</v>
      </c>
      <c r="B4356" s="2" t="s">
        <v>12</v>
      </c>
      <c r="C4356" s="2" t="s">
        <v>12</v>
      </c>
      <c r="D4356" s="2" t="s">
        <v>12</v>
      </c>
      <c r="E4356" s="2" t="s">
        <v>12</v>
      </c>
      <c r="F4356" s="2" t="s">
        <v>12</v>
      </c>
      <c r="G4356" s="2" t="s">
        <v>12</v>
      </c>
      <c r="H4356" s="2" t="s">
        <v>12</v>
      </c>
      <c r="I4356" s="2" t="s">
        <v>12</v>
      </c>
      <c r="J4356" s="2" t="s">
        <v>12</v>
      </c>
      <c r="K4356" s="2" t="s">
        <v>12</v>
      </c>
    </row>
    <row r="4357" spans="1:11" ht="12.5" x14ac:dyDescent="0.25">
      <c r="A4357" s="3" t="e">
        <f ca="1"/>
        <v>#NAME?</v>
      </c>
      <c r="B4357" s="2" t="s">
        <v>12</v>
      </c>
      <c r="C4357" s="2" t="s">
        <v>12</v>
      </c>
      <c r="D4357" s="2" t="s">
        <v>12</v>
      </c>
      <c r="E4357" s="2" t="s">
        <v>12</v>
      </c>
      <c r="F4357" s="2" t="s">
        <v>12</v>
      </c>
      <c r="G4357" s="2" t="s">
        <v>12</v>
      </c>
      <c r="H4357" s="2" t="s">
        <v>12</v>
      </c>
      <c r="I4357" s="2" t="s">
        <v>12</v>
      </c>
      <c r="J4357" s="2" t="s">
        <v>12</v>
      </c>
      <c r="K4357" s="2" t="s">
        <v>12</v>
      </c>
    </row>
    <row r="4358" spans="1:11" ht="12.5" x14ac:dyDescent="0.25">
      <c r="A4358" s="3" t="e">
        <f ca="1"/>
        <v>#NAME?</v>
      </c>
      <c r="B4358" s="2" t="s">
        <v>12</v>
      </c>
      <c r="C4358" s="2" t="s">
        <v>12</v>
      </c>
      <c r="D4358" s="2" t="s">
        <v>12</v>
      </c>
      <c r="E4358" s="2" t="s">
        <v>12</v>
      </c>
      <c r="F4358" s="2" t="s">
        <v>12</v>
      </c>
      <c r="G4358" s="2" t="s">
        <v>12</v>
      </c>
      <c r="H4358" s="2" t="s">
        <v>12</v>
      </c>
      <c r="I4358" s="2" t="s">
        <v>12</v>
      </c>
      <c r="J4358" s="2" t="s">
        <v>12</v>
      </c>
      <c r="K4358" s="2" t="s">
        <v>12</v>
      </c>
    </row>
    <row r="4359" spans="1:11" ht="12.5" x14ac:dyDescent="0.25">
      <c r="A4359" s="3" t="e">
        <f ca="1"/>
        <v>#NAME?</v>
      </c>
      <c r="B4359" s="2" t="s">
        <v>12</v>
      </c>
      <c r="C4359" s="2" t="s">
        <v>12</v>
      </c>
      <c r="D4359" s="2" t="s">
        <v>12</v>
      </c>
      <c r="E4359" s="2" t="s">
        <v>12</v>
      </c>
      <c r="F4359" s="2" t="s">
        <v>12</v>
      </c>
      <c r="G4359" s="2" t="s">
        <v>12</v>
      </c>
      <c r="H4359" s="2" t="s">
        <v>12</v>
      </c>
      <c r="I4359" s="2" t="s">
        <v>12</v>
      </c>
      <c r="J4359" s="2" t="s">
        <v>12</v>
      </c>
      <c r="K4359" s="2" t="s">
        <v>12</v>
      </c>
    </row>
    <row r="4360" spans="1:11" ht="12.5" x14ac:dyDescent="0.25">
      <c r="A4360" s="3" t="e">
        <f ca="1"/>
        <v>#NAME?</v>
      </c>
      <c r="B4360" s="2" t="s">
        <v>12</v>
      </c>
      <c r="C4360" s="2" t="s">
        <v>12</v>
      </c>
      <c r="D4360" s="2" t="s">
        <v>12</v>
      </c>
      <c r="E4360" s="2" t="s">
        <v>12</v>
      </c>
      <c r="F4360" s="2" t="s">
        <v>12</v>
      </c>
      <c r="G4360" s="2" t="s">
        <v>12</v>
      </c>
      <c r="H4360" s="2" t="s">
        <v>12</v>
      </c>
      <c r="I4360" s="2" t="s">
        <v>12</v>
      </c>
      <c r="J4360" s="2" t="s">
        <v>12</v>
      </c>
      <c r="K4360" s="2" t="s">
        <v>12</v>
      </c>
    </row>
    <row r="4361" spans="1:11" ht="12.5" x14ac:dyDescent="0.25">
      <c r="A4361" s="3" t="e">
        <f ca="1"/>
        <v>#NAME?</v>
      </c>
      <c r="B4361" s="2" t="s">
        <v>12</v>
      </c>
      <c r="C4361" s="2" t="s">
        <v>12</v>
      </c>
      <c r="D4361" s="2" t="s">
        <v>12</v>
      </c>
      <c r="E4361" s="2" t="s">
        <v>12</v>
      </c>
      <c r="F4361" s="2" t="s">
        <v>12</v>
      </c>
      <c r="G4361" s="2" t="s">
        <v>12</v>
      </c>
      <c r="H4361" s="2" t="s">
        <v>12</v>
      </c>
      <c r="I4361" s="2" t="s">
        <v>12</v>
      </c>
      <c r="J4361" s="2" t="s">
        <v>12</v>
      </c>
      <c r="K4361" s="2" t="s">
        <v>12</v>
      </c>
    </row>
    <row r="4362" spans="1:11" ht="12.5" x14ac:dyDescent="0.25">
      <c r="A4362" s="3" t="e">
        <f ca="1"/>
        <v>#NAME?</v>
      </c>
      <c r="B4362" s="2" t="s">
        <v>12</v>
      </c>
      <c r="C4362" s="2" t="s">
        <v>12</v>
      </c>
      <c r="D4362" s="2" t="s">
        <v>12</v>
      </c>
      <c r="E4362" s="2" t="s">
        <v>12</v>
      </c>
      <c r="F4362" s="2" t="s">
        <v>12</v>
      </c>
      <c r="G4362" s="2" t="s">
        <v>12</v>
      </c>
      <c r="H4362" s="2" t="s">
        <v>12</v>
      </c>
      <c r="I4362" s="2" t="s">
        <v>12</v>
      </c>
      <c r="J4362" s="2" t="s">
        <v>12</v>
      </c>
      <c r="K4362" s="2" t="s">
        <v>12</v>
      </c>
    </row>
    <row r="4363" spans="1:11" ht="12.5" x14ac:dyDescent="0.25">
      <c r="A4363" s="3" t="e">
        <f ca="1"/>
        <v>#NAME?</v>
      </c>
      <c r="B4363" s="2" t="s">
        <v>12</v>
      </c>
      <c r="C4363" s="2" t="s">
        <v>12</v>
      </c>
      <c r="D4363" s="2" t="s">
        <v>12</v>
      </c>
      <c r="E4363" s="2" t="s">
        <v>12</v>
      </c>
      <c r="F4363" s="2" t="s">
        <v>12</v>
      </c>
      <c r="G4363" s="2" t="s">
        <v>12</v>
      </c>
      <c r="H4363" s="2" t="s">
        <v>12</v>
      </c>
      <c r="I4363" s="2" t="s">
        <v>12</v>
      </c>
      <c r="J4363" s="2" t="s">
        <v>12</v>
      </c>
      <c r="K4363" s="2" t="s">
        <v>12</v>
      </c>
    </row>
    <row r="4364" spans="1:11" ht="12.5" x14ac:dyDescent="0.25">
      <c r="A4364" s="3" t="e">
        <f ca="1"/>
        <v>#NAME?</v>
      </c>
      <c r="B4364" s="2" t="s">
        <v>12</v>
      </c>
      <c r="C4364" s="2" t="s">
        <v>12</v>
      </c>
      <c r="D4364" s="2" t="s">
        <v>12</v>
      </c>
      <c r="E4364" s="2" t="s">
        <v>12</v>
      </c>
      <c r="F4364" s="2" t="s">
        <v>12</v>
      </c>
      <c r="G4364" s="2" t="s">
        <v>12</v>
      </c>
      <c r="H4364" s="2" t="s">
        <v>12</v>
      </c>
      <c r="I4364" s="2" t="s">
        <v>12</v>
      </c>
      <c r="J4364" s="2" t="s">
        <v>12</v>
      </c>
      <c r="K4364" s="2" t="s">
        <v>12</v>
      </c>
    </row>
    <row r="4365" spans="1:11" ht="12.5" x14ac:dyDescent="0.25">
      <c r="A4365" s="3" t="e">
        <f ca="1"/>
        <v>#NAME?</v>
      </c>
      <c r="B4365" s="2" t="s">
        <v>12</v>
      </c>
      <c r="C4365" s="2" t="s">
        <v>12</v>
      </c>
      <c r="D4365" s="2" t="s">
        <v>12</v>
      </c>
      <c r="E4365" s="2" t="s">
        <v>12</v>
      </c>
      <c r="F4365" s="2" t="s">
        <v>12</v>
      </c>
      <c r="G4365" s="2" t="s">
        <v>12</v>
      </c>
      <c r="H4365" s="2" t="s">
        <v>12</v>
      </c>
      <c r="I4365" s="2" t="s">
        <v>12</v>
      </c>
      <c r="J4365" s="2" t="s">
        <v>12</v>
      </c>
      <c r="K4365" s="2" t="s">
        <v>12</v>
      </c>
    </row>
    <row r="4366" spans="1:11" ht="12.5" x14ac:dyDescent="0.25">
      <c r="A4366" s="3" t="e">
        <f ca="1"/>
        <v>#NAME?</v>
      </c>
      <c r="B4366" s="2" t="s">
        <v>12</v>
      </c>
      <c r="C4366" s="2" t="s">
        <v>12</v>
      </c>
      <c r="D4366" s="2" t="s">
        <v>12</v>
      </c>
      <c r="E4366" s="2" t="s">
        <v>12</v>
      </c>
      <c r="F4366" s="2" t="s">
        <v>12</v>
      </c>
      <c r="G4366" s="2" t="s">
        <v>12</v>
      </c>
      <c r="H4366" s="2" t="s">
        <v>12</v>
      </c>
      <c r="I4366" s="2" t="s">
        <v>12</v>
      </c>
      <c r="J4366" s="2" t="s">
        <v>12</v>
      </c>
      <c r="K4366" s="2" t="s">
        <v>12</v>
      </c>
    </row>
    <row r="4367" spans="1:11" ht="12.5" x14ac:dyDescent="0.25">
      <c r="A4367" s="3" t="e">
        <f ca="1"/>
        <v>#NAME?</v>
      </c>
      <c r="B4367" s="2" t="s">
        <v>12</v>
      </c>
      <c r="C4367" s="2" t="s">
        <v>12</v>
      </c>
      <c r="D4367" s="2" t="s">
        <v>12</v>
      </c>
      <c r="E4367" s="2" t="s">
        <v>12</v>
      </c>
      <c r="F4367" s="2" t="s">
        <v>12</v>
      </c>
      <c r="G4367" s="2" t="s">
        <v>12</v>
      </c>
      <c r="H4367" s="2" t="s">
        <v>12</v>
      </c>
      <c r="I4367" s="2" t="s">
        <v>12</v>
      </c>
      <c r="J4367" s="2" t="s">
        <v>12</v>
      </c>
      <c r="K4367" s="2" t="s">
        <v>12</v>
      </c>
    </row>
    <row r="4368" spans="1:11" ht="12.5" x14ac:dyDescent="0.25">
      <c r="A4368" s="3" t="e">
        <f ca="1"/>
        <v>#NAME?</v>
      </c>
      <c r="B4368" s="2" t="s">
        <v>12</v>
      </c>
      <c r="C4368" s="2" t="s">
        <v>12</v>
      </c>
      <c r="D4368" s="2" t="s">
        <v>12</v>
      </c>
      <c r="E4368" s="2" t="s">
        <v>12</v>
      </c>
      <c r="F4368" s="2" t="s">
        <v>12</v>
      </c>
      <c r="G4368" s="2" t="s">
        <v>12</v>
      </c>
      <c r="H4368" s="2" t="s">
        <v>12</v>
      </c>
      <c r="I4368" s="2" t="s">
        <v>12</v>
      </c>
      <c r="J4368" s="2" t="s">
        <v>12</v>
      </c>
      <c r="K4368" s="2" t="s">
        <v>12</v>
      </c>
    </row>
    <row r="4369" spans="1:11" ht="12.5" x14ac:dyDescent="0.25">
      <c r="A4369" s="3" t="e">
        <f ca="1"/>
        <v>#NAME?</v>
      </c>
      <c r="B4369" s="2" t="s">
        <v>12</v>
      </c>
      <c r="C4369" s="2" t="s">
        <v>12</v>
      </c>
      <c r="D4369" s="2" t="s">
        <v>12</v>
      </c>
      <c r="E4369" s="2" t="s">
        <v>12</v>
      </c>
      <c r="F4369" s="2" t="s">
        <v>12</v>
      </c>
      <c r="G4369" s="2" t="s">
        <v>12</v>
      </c>
      <c r="H4369" s="2" t="s">
        <v>12</v>
      </c>
      <c r="I4369" s="2" t="s">
        <v>12</v>
      </c>
      <c r="J4369" s="2" t="s">
        <v>12</v>
      </c>
      <c r="K4369" s="2" t="s">
        <v>12</v>
      </c>
    </row>
    <row r="4370" spans="1:11" ht="12.5" x14ac:dyDescent="0.25">
      <c r="A4370" s="3" t="e">
        <f ca="1"/>
        <v>#NAME?</v>
      </c>
      <c r="B4370" s="2" t="s">
        <v>12</v>
      </c>
      <c r="C4370" s="2" t="s">
        <v>12</v>
      </c>
      <c r="D4370" s="2" t="s">
        <v>12</v>
      </c>
      <c r="E4370" s="2" t="s">
        <v>12</v>
      </c>
      <c r="F4370" s="2" t="s">
        <v>12</v>
      </c>
      <c r="G4370" s="2" t="s">
        <v>12</v>
      </c>
      <c r="H4370" s="2" t="s">
        <v>12</v>
      </c>
      <c r="I4370" s="2" t="s">
        <v>12</v>
      </c>
      <c r="J4370" s="2" t="s">
        <v>12</v>
      </c>
      <c r="K4370" s="2" t="s">
        <v>12</v>
      </c>
    </row>
    <row r="4371" spans="1:11" ht="12.5" x14ac:dyDescent="0.25">
      <c r="A4371" s="3" t="e">
        <f ca="1"/>
        <v>#NAME?</v>
      </c>
      <c r="B4371" s="2" t="s">
        <v>12</v>
      </c>
      <c r="C4371" s="2" t="s">
        <v>12</v>
      </c>
      <c r="D4371" s="2" t="s">
        <v>12</v>
      </c>
      <c r="E4371" s="2" t="s">
        <v>12</v>
      </c>
      <c r="F4371" s="2" t="s">
        <v>12</v>
      </c>
      <c r="G4371" s="2" t="s">
        <v>12</v>
      </c>
      <c r="H4371" s="2" t="s">
        <v>12</v>
      </c>
      <c r="I4371" s="2" t="s">
        <v>12</v>
      </c>
      <c r="J4371" s="2" t="s">
        <v>12</v>
      </c>
      <c r="K4371" s="2" t="s">
        <v>12</v>
      </c>
    </row>
    <row r="4372" spans="1:11" ht="12.5" x14ac:dyDescent="0.25">
      <c r="A4372" s="3" t="e">
        <f ca="1"/>
        <v>#NAME?</v>
      </c>
      <c r="B4372" s="2" t="s">
        <v>12</v>
      </c>
      <c r="C4372" s="2" t="s">
        <v>12</v>
      </c>
      <c r="D4372" s="2" t="s">
        <v>12</v>
      </c>
      <c r="E4372" s="2" t="s">
        <v>12</v>
      </c>
      <c r="F4372" s="2" t="s">
        <v>12</v>
      </c>
      <c r="G4372" s="2" t="s">
        <v>12</v>
      </c>
      <c r="H4372" s="2" t="s">
        <v>12</v>
      </c>
      <c r="I4372" s="2" t="s">
        <v>12</v>
      </c>
      <c r="J4372" s="2" t="s">
        <v>12</v>
      </c>
      <c r="K4372" s="2" t="s">
        <v>12</v>
      </c>
    </row>
    <row r="4373" spans="1:11" ht="12.5" x14ac:dyDescent="0.25">
      <c r="A4373" s="3" t="e">
        <f ca="1"/>
        <v>#NAME?</v>
      </c>
      <c r="B4373" s="2" t="s">
        <v>12</v>
      </c>
      <c r="C4373" s="2" t="s">
        <v>12</v>
      </c>
      <c r="D4373" s="2" t="s">
        <v>12</v>
      </c>
      <c r="E4373" s="2" t="s">
        <v>12</v>
      </c>
      <c r="F4373" s="2" t="s">
        <v>12</v>
      </c>
      <c r="G4373" s="2" t="s">
        <v>12</v>
      </c>
      <c r="H4373" s="2" t="s">
        <v>12</v>
      </c>
      <c r="I4373" s="2" t="s">
        <v>12</v>
      </c>
      <c r="J4373" s="2" t="s">
        <v>12</v>
      </c>
      <c r="K4373" s="2" t="s">
        <v>12</v>
      </c>
    </row>
    <row r="4374" spans="1:11" ht="12.5" x14ac:dyDescent="0.25">
      <c r="A4374" s="3" t="e">
        <f ca="1"/>
        <v>#NAME?</v>
      </c>
      <c r="B4374" s="2" t="s">
        <v>12</v>
      </c>
      <c r="C4374" s="2" t="s">
        <v>12</v>
      </c>
      <c r="D4374" s="2" t="s">
        <v>12</v>
      </c>
      <c r="E4374" s="2" t="s">
        <v>12</v>
      </c>
      <c r="F4374" s="2" t="s">
        <v>12</v>
      </c>
      <c r="G4374" s="2" t="s">
        <v>12</v>
      </c>
      <c r="H4374" s="2" t="s">
        <v>12</v>
      </c>
      <c r="I4374" s="2" t="s">
        <v>12</v>
      </c>
      <c r="J4374" s="2" t="s">
        <v>12</v>
      </c>
      <c r="K4374" s="2" t="s">
        <v>12</v>
      </c>
    </row>
    <row r="4375" spans="1:11" ht="12.5" x14ac:dyDescent="0.25">
      <c r="A4375" s="3" t="e">
        <f ca="1"/>
        <v>#NAME?</v>
      </c>
      <c r="B4375" s="2" t="s">
        <v>12</v>
      </c>
      <c r="C4375" s="2" t="s">
        <v>12</v>
      </c>
      <c r="D4375" s="2" t="s">
        <v>12</v>
      </c>
      <c r="E4375" s="2" t="s">
        <v>12</v>
      </c>
      <c r="F4375" s="2" t="s">
        <v>12</v>
      </c>
      <c r="G4375" s="2" t="s">
        <v>12</v>
      </c>
      <c r="H4375" s="2" t="s">
        <v>12</v>
      </c>
      <c r="I4375" s="2" t="s">
        <v>12</v>
      </c>
      <c r="J4375" s="2" t="s">
        <v>12</v>
      </c>
      <c r="K4375" s="2" t="s">
        <v>12</v>
      </c>
    </row>
    <row r="4376" spans="1:11" ht="12.5" x14ac:dyDescent="0.25">
      <c r="A4376" s="3" t="e">
        <f ca="1"/>
        <v>#NAME?</v>
      </c>
      <c r="B4376" s="2" t="s">
        <v>12</v>
      </c>
      <c r="C4376" s="2" t="s">
        <v>12</v>
      </c>
      <c r="D4376" s="2" t="s">
        <v>12</v>
      </c>
      <c r="E4376" s="2" t="s">
        <v>12</v>
      </c>
      <c r="F4376" s="2" t="s">
        <v>12</v>
      </c>
      <c r="G4376" s="2" t="s">
        <v>12</v>
      </c>
      <c r="H4376" s="2" t="s">
        <v>12</v>
      </c>
      <c r="I4376" s="2" t="s">
        <v>12</v>
      </c>
      <c r="J4376" s="2" t="s">
        <v>12</v>
      </c>
      <c r="K4376" s="2" t="s">
        <v>12</v>
      </c>
    </row>
    <row r="4377" spans="1:11" ht="12.5" x14ac:dyDescent="0.25">
      <c r="A4377" s="3" t="e">
        <f ca="1"/>
        <v>#NAME?</v>
      </c>
      <c r="B4377" s="2" t="s">
        <v>12</v>
      </c>
      <c r="C4377" s="2" t="s">
        <v>12</v>
      </c>
      <c r="D4377" s="2" t="s">
        <v>12</v>
      </c>
      <c r="E4377" s="2" t="s">
        <v>12</v>
      </c>
      <c r="F4377" s="2" t="s">
        <v>12</v>
      </c>
      <c r="G4377" s="2" t="s">
        <v>12</v>
      </c>
      <c r="H4377" s="2" t="s">
        <v>12</v>
      </c>
      <c r="I4377" s="2" t="s">
        <v>12</v>
      </c>
      <c r="J4377" s="2" t="s">
        <v>12</v>
      </c>
      <c r="K4377" s="2" t="s">
        <v>12</v>
      </c>
    </row>
    <row r="4378" spans="1:11" ht="12.5" x14ac:dyDescent="0.25">
      <c r="A4378" s="3" t="e">
        <f ca="1"/>
        <v>#NAME?</v>
      </c>
      <c r="B4378" s="2" t="s">
        <v>12</v>
      </c>
      <c r="C4378" s="2" t="s">
        <v>12</v>
      </c>
      <c r="D4378" s="2" t="s">
        <v>12</v>
      </c>
      <c r="E4378" s="2" t="s">
        <v>12</v>
      </c>
      <c r="F4378" s="2" t="s">
        <v>12</v>
      </c>
      <c r="G4378" s="2" t="s">
        <v>12</v>
      </c>
      <c r="H4378" s="2" t="s">
        <v>12</v>
      </c>
      <c r="I4378" s="2" t="s">
        <v>12</v>
      </c>
      <c r="J4378" s="2" t="s">
        <v>12</v>
      </c>
      <c r="K4378" s="2" t="s">
        <v>12</v>
      </c>
    </row>
    <row r="4379" spans="1:11" ht="12.5" x14ac:dyDescent="0.25">
      <c r="A4379" s="3" t="e">
        <f ca="1"/>
        <v>#NAME?</v>
      </c>
      <c r="B4379" s="2" t="s">
        <v>12</v>
      </c>
      <c r="C4379" s="2" t="s">
        <v>12</v>
      </c>
      <c r="D4379" s="2" t="s">
        <v>12</v>
      </c>
      <c r="E4379" s="2" t="s">
        <v>12</v>
      </c>
      <c r="F4379" s="2" t="s">
        <v>12</v>
      </c>
      <c r="G4379" s="2" t="s">
        <v>12</v>
      </c>
      <c r="H4379" s="2" t="s">
        <v>12</v>
      </c>
      <c r="I4379" s="2" t="s">
        <v>12</v>
      </c>
      <c r="J4379" s="2" t="s">
        <v>12</v>
      </c>
      <c r="K4379" s="2" t="s">
        <v>12</v>
      </c>
    </row>
    <row r="4380" spans="1:11" ht="12.5" x14ac:dyDescent="0.25">
      <c r="A4380" s="3" t="e">
        <f ca="1"/>
        <v>#NAME?</v>
      </c>
      <c r="B4380" s="2" t="s">
        <v>12</v>
      </c>
      <c r="C4380" s="2" t="s">
        <v>12</v>
      </c>
      <c r="D4380" s="2" t="s">
        <v>12</v>
      </c>
      <c r="E4380" s="2" t="s">
        <v>12</v>
      </c>
      <c r="F4380" s="2" t="s">
        <v>12</v>
      </c>
      <c r="G4380" s="2" t="s">
        <v>12</v>
      </c>
      <c r="H4380" s="2" t="s">
        <v>12</v>
      </c>
      <c r="I4380" s="2" t="s">
        <v>12</v>
      </c>
      <c r="J4380" s="2" t="s">
        <v>12</v>
      </c>
      <c r="K4380" s="2" t="s">
        <v>12</v>
      </c>
    </row>
    <row r="4381" spans="1:11" ht="12.5" x14ac:dyDescent="0.25">
      <c r="A4381" s="3" t="e">
        <f ca="1"/>
        <v>#NAME?</v>
      </c>
      <c r="B4381" s="2" t="s">
        <v>12</v>
      </c>
      <c r="C4381" s="2" t="s">
        <v>12</v>
      </c>
      <c r="D4381" s="2" t="s">
        <v>12</v>
      </c>
      <c r="E4381" s="2" t="s">
        <v>12</v>
      </c>
      <c r="F4381" s="2" t="s">
        <v>12</v>
      </c>
      <c r="G4381" s="2" t="s">
        <v>12</v>
      </c>
      <c r="H4381" s="2" t="s">
        <v>12</v>
      </c>
      <c r="I4381" s="2" t="s">
        <v>12</v>
      </c>
      <c r="J4381" s="2" t="s">
        <v>12</v>
      </c>
      <c r="K4381" s="2" t="s">
        <v>12</v>
      </c>
    </row>
    <row r="4382" spans="1:11" ht="12.5" x14ac:dyDescent="0.25">
      <c r="A4382" s="3" t="e">
        <f ca="1"/>
        <v>#NAME?</v>
      </c>
      <c r="B4382" s="2" t="s">
        <v>12</v>
      </c>
      <c r="C4382" s="2" t="s">
        <v>12</v>
      </c>
      <c r="D4382" s="2" t="s">
        <v>12</v>
      </c>
      <c r="E4382" s="2" t="s">
        <v>12</v>
      </c>
      <c r="F4382" s="2" t="s">
        <v>12</v>
      </c>
      <c r="G4382" s="2" t="s">
        <v>12</v>
      </c>
      <c r="H4382" s="2" t="s">
        <v>12</v>
      </c>
      <c r="I4382" s="2" t="s">
        <v>12</v>
      </c>
      <c r="J4382" s="2" t="s">
        <v>12</v>
      </c>
      <c r="K4382" s="2" t="s">
        <v>12</v>
      </c>
    </row>
    <row r="4383" spans="1:11" ht="12.5" x14ac:dyDescent="0.25">
      <c r="A4383" s="3" t="e">
        <f ca="1"/>
        <v>#NAME?</v>
      </c>
      <c r="B4383" s="2" t="s">
        <v>12</v>
      </c>
      <c r="C4383" s="2" t="s">
        <v>12</v>
      </c>
      <c r="D4383" s="2" t="s">
        <v>12</v>
      </c>
      <c r="E4383" s="2" t="s">
        <v>12</v>
      </c>
      <c r="F4383" s="2" t="s">
        <v>12</v>
      </c>
      <c r="G4383" s="2" t="s">
        <v>12</v>
      </c>
      <c r="H4383" s="2" t="s">
        <v>12</v>
      </c>
      <c r="I4383" s="2" t="s">
        <v>12</v>
      </c>
      <c r="J4383" s="2" t="s">
        <v>12</v>
      </c>
      <c r="K4383" s="2" t="s">
        <v>12</v>
      </c>
    </row>
    <row r="4384" spans="1:11" ht="12.5" x14ac:dyDescent="0.25">
      <c r="A4384" s="3" t="e">
        <f ca="1"/>
        <v>#NAME?</v>
      </c>
      <c r="B4384" s="2" t="s">
        <v>12</v>
      </c>
      <c r="C4384" s="2" t="s">
        <v>12</v>
      </c>
      <c r="D4384" s="2" t="s">
        <v>12</v>
      </c>
      <c r="E4384" s="2" t="s">
        <v>12</v>
      </c>
      <c r="F4384" s="2" t="s">
        <v>12</v>
      </c>
      <c r="G4384" s="2" t="s">
        <v>12</v>
      </c>
      <c r="H4384" s="2" t="s">
        <v>12</v>
      </c>
      <c r="I4384" s="2" t="s">
        <v>12</v>
      </c>
      <c r="J4384" s="2" t="s">
        <v>12</v>
      </c>
      <c r="K4384" s="2" t="s">
        <v>12</v>
      </c>
    </row>
    <row r="4385" spans="1:11" ht="12.5" x14ac:dyDescent="0.25">
      <c r="A4385" s="3" t="e">
        <f ca="1"/>
        <v>#NAME?</v>
      </c>
      <c r="B4385" s="2" t="s">
        <v>12</v>
      </c>
      <c r="C4385" s="2" t="s">
        <v>12</v>
      </c>
      <c r="D4385" s="2" t="s">
        <v>12</v>
      </c>
      <c r="E4385" s="2" t="s">
        <v>12</v>
      </c>
      <c r="F4385" s="2" t="s">
        <v>12</v>
      </c>
      <c r="G4385" s="2" t="s">
        <v>12</v>
      </c>
      <c r="H4385" s="2" t="s">
        <v>12</v>
      </c>
      <c r="I4385" s="2" t="s">
        <v>12</v>
      </c>
      <c r="J4385" s="2" t="s">
        <v>12</v>
      </c>
      <c r="K4385" s="2" t="s">
        <v>12</v>
      </c>
    </row>
    <row r="4386" spans="1:11" ht="12.5" x14ac:dyDescent="0.25">
      <c r="A4386" s="3" t="e">
        <f ca="1"/>
        <v>#NAME?</v>
      </c>
      <c r="B4386" s="2" t="s">
        <v>12</v>
      </c>
      <c r="C4386" s="2" t="s">
        <v>12</v>
      </c>
      <c r="D4386" s="2" t="s">
        <v>12</v>
      </c>
      <c r="E4386" s="2" t="s">
        <v>12</v>
      </c>
      <c r="F4386" s="2" t="s">
        <v>12</v>
      </c>
      <c r="G4386" s="2" t="s">
        <v>12</v>
      </c>
      <c r="H4386" s="2" t="s">
        <v>12</v>
      </c>
      <c r="I4386" s="2" t="s">
        <v>12</v>
      </c>
      <c r="J4386" s="2" t="s">
        <v>12</v>
      </c>
      <c r="K4386" s="2" t="s">
        <v>12</v>
      </c>
    </row>
    <row r="4387" spans="1:11" ht="12.5" x14ac:dyDescent="0.25">
      <c r="A4387" s="3" t="e">
        <f ca="1"/>
        <v>#NAME?</v>
      </c>
      <c r="B4387" s="2" t="s">
        <v>12</v>
      </c>
      <c r="C4387" s="2" t="s">
        <v>12</v>
      </c>
      <c r="D4387" s="2" t="s">
        <v>12</v>
      </c>
      <c r="E4387" s="2" t="s">
        <v>12</v>
      </c>
      <c r="F4387" s="2" t="s">
        <v>12</v>
      </c>
      <c r="G4387" s="2" t="s">
        <v>12</v>
      </c>
      <c r="H4387" s="2" t="s">
        <v>12</v>
      </c>
      <c r="I4387" s="2" t="s">
        <v>12</v>
      </c>
      <c r="J4387" s="2" t="s">
        <v>12</v>
      </c>
      <c r="K4387" s="2" t="s">
        <v>12</v>
      </c>
    </row>
    <row r="4388" spans="1:11" ht="12.5" x14ac:dyDescent="0.25">
      <c r="A4388" s="3" t="e">
        <f ca="1"/>
        <v>#NAME?</v>
      </c>
      <c r="B4388" s="2" t="s">
        <v>12</v>
      </c>
      <c r="C4388" s="2" t="s">
        <v>12</v>
      </c>
      <c r="D4388" s="2" t="s">
        <v>12</v>
      </c>
      <c r="E4388" s="2" t="s">
        <v>12</v>
      </c>
      <c r="F4388" s="2" t="s">
        <v>12</v>
      </c>
      <c r="G4388" s="2" t="s">
        <v>12</v>
      </c>
      <c r="H4388" s="2" t="s">
        <v>12</v>
      </c>
      <c r="I4388" s="2" t="s">
        <v>12</v>
      </c>
      <c r="J4388" s="2" t="s">
        <v>12</v>
      </c>
      <c r="K4388" s="2" t="s">
        <v>12</v>
      </c>
    </row>
    <row r="4389" spans="1:11" ht="12.5" x14ac:dyDescent="0.25">
      <c r="A4389" s="3" t="e">
        <f ca="1"/>
        <v>#NAME?</v>
      </c>
      <c r="B4389" s="2" t="s">
        <v>12</v>
      </c>
      <c r="C4389" s="2" t="s">
        <v>12</v>
      </c>
      <c r="D4389" s="2" t="s">
        <v>12</v>
      </c>
      <c r="E4389" s="2" t="s">
        <v>12</v>
      </c>
      <c r="F4389" s="2" t="s">
        <v>12</v>
      </c>
      <c r="G4389" s="2" t="s">
        <v>12</v>
      </c>
      <c r="H4389" s="2" t="s">
        <v>12</v>
      </c>
      <c r="I4389" s="2" t="s">
        <v>12</v>
      </c>
      <c r="J4389" s="2" t="s">
        <v>12</v>
      </c>
      <c r="K4389" s="2" t="s">
        <v>12</v>
      </c>
    </row>
    <row r="4390" spans="1:11" ht="12.5" x14ac:dyDescent="0.25">
      <c r="A4390" s="3" t="e">
        <f ca="1"/>
        <v>#NAME?</v>
      </c>
      <c r="B4390" s="2" t="s">
        <v>12</v>
      </c>
      <c r="C4390" s="2" t="s">
        <v>12</v>
      </c>
      <c r="D4390" s="2" t="s">
        <v>12</v>
      </c>
      <c r="E4390" s="2" t="s">
        <v>12</v>
      </c>
      <c r="F4390" s="2" t="s">
        <v>12</v>
      </c>
      <c r="G4390" s="2" t="s">
        <v>12</v>
      </c>
      <c r="H4390" s="2" t="s">
        <v>12</v>
      </c>
      <c r="I4390" s="2" t="s">
        <v>12</v>
      </c>
      <c r="J4390" s="2" t="s">
        <v>12</v>
      </c>
      <c r="K4390" s="2" t="s">
        <v>12</v>
      </c>
    </row>
    <row r="4391" spans="1:11" ht="12.5" x14ac:dyDescent="0.25">
      <c r="A4391" s="3" t="e">
        <f ca="1"/>
        <v>#NAME?</v>
      </c>
      <c r="B4391" s="2" t="s">
        <v>12</v>
      </c>
      <c r="C4391" s="2" t="s">
        <v>12</v>
      </c>
      <c r="D4391" s="2" t="s">
        <v>12</v>
      </c>
      <c r="E4391" s="2" t="s">
        <v>12</v>
      </c>
      <c r="F4391" s="2" t="s">
        <v>12</v>
      </c>
      <c r="G4391" s="2" t="s">
        <v>12</v>
      </c>
      <c r="H4391" s="2" t="s">
        <v>12</v>
      </c>
      <c r="I4391" s="2" t="s">
        <v>12</v>
      </c>
      <c r="J4391" s="2" t="s">
        <v>12</v>
      </c>
      <c r="K4391" s="2" t="s">
        <v>12</v>
      </c>
    </row>
    <row r="4392" spans="1:11" ht="12.5" x14ac:dyDescent="0.25">
      <c r="A4392" s="3" t="e">
        <f ca="1"/>
        <v>#NAME?</v>
      </c>
      <c r="B4392" s="2" t="s">
        <v>12</v>
      </c>
      <c r="C4392" s="2" t="s">
        <v>12</v>
      </c>
      <c r="D4392" s="2" t="s">
        <v>12</v>
      </c>
      <c r="E4392" s="2" t="s">
        <v>12</v>
      </c>
      <c r="F4392" s="2" t="s">
        <v>12</v>
      </c>
      <c r="G4392" s="2" t="s">
        <v>12</v>
      </c>
      <c r="H4392" s="2" t="s">
        <v>12</v>
      </c>
      <c r="I4392" s="2" t="s">
        <v>12</v>
      </c>
      <c r="J4392" s="2" t="s">
        <v>12</v>
      </c>
      <c r="K4392" s="2" t="s">
        <v>12</v>
      </c>
    </row>
    <row r="4393" spans="1:11" ht="12.5" x14ac:dyDescent="0.25">
      <c r="A4393" s="3" t="e">
        <f ca="1"/>
        <v>#NAME?</v>
      </c>
      <c r="B4393" s="2" t="s">
        <v>12</v>
      </c>
      <c r="C4393" s="2" t="s">
        <v>12</v>
      </c>
      <c r="D4393" s="2" t="s">
        <v>12</v>
      </c>
      <c r="E4393" s="2" t="s">
        <v>12</v>
      </c>
      <c r="F4393" s="2" t="s">
        <v>12</v>
      </c>
      <c r="G4393" s="2" t="s">
        <v>12</v>
      </c>
      <c r="H4393" s="2" t="s">
        <v>12</v>
      </c>
      <c r="I4393" s="2" t="s">
        <v>12</v>
      </c>
      <c r="J4393" s="2" t="s">
        <v>12</v>
      </c>
      <c r="K4393" s="2" t="s">
        <v>12</v>
      </c>
    </row>
    <row r="4394" spans="1:11" ht="12.5" x14ac:dyDescent="0.25">
      <c r="A4394" s="3" t="e">
        <f ca="1"/>
        <v>#NAME?</v>
      </c>
      <c r="B4394" s="2" t="s">
        <v>12</v>
      </c>
      <c r="C4394" s="2" t="s">
        <v>12</v>
      </c>
      <c r="D4394" s="2" t="s">
        <v>12</v>
      </c>
      <c r="E4394" s="2" t="s">
        <v>12</v>
      </c>
      <c r="F4394" s="2" t="s">
        <v>12</v>
      </c>
      <c r="G4394" s="2" t="s">
        <v>12</v>
      </c>
      <c r="H4394" s="2" t="s">
        <v>12</v>
      </c>
      <c r="I4394" s="2" t="s">
        <v>12</v>
      </c>
      <c r="J4394" s="2" t="s">
        <v>12</v>
      </c>
      <c r="K4394" s="2" t="s">
        <v>12</v>
      </c>
    </row>
    <row r="4395" spans="1:11" ht="12.5" x14ac:dyDescent="0.25">
      <c r="A4395" s="3" t="e">
        <f ca="1"/>
        <v>#NAME?</v>
      </c>
      <c r="B4395" s="2" t="s">
        <v>12</v>
      </c>
      <c r="C4395" s="2" t="s">
        <v>12</v>
      </c>
      <c r="D4395" s="2" t="s">
        <v>12</v>
      </c>
      <c r="E4395" s="2" t="s">
        <v>12</v>
      </c>
      <c r="F4395" s="2" t="s">
        <v>12</v>
      </c>
      <c r="G4395" s="2" t="s">
        <v>12</v>
      </c>
      <c r="H4395" s="2" t="s">
        <v>12</v>
      </c>
      <c r="I4395" s="2" t="s">
        <v>12</v>
      </c>
      <c r="J4395" s="2" t="s">
        <v>12</v>
      </c>
      <c r="K4395" s="2" t="s">
        <v>12</v>
      </c>
    </row>
    <row r="4396" spans="1:11" ht="12.5" x14ac:dyDescent="0.25">
      <c r="A4396" s="3" t="e">
        <f ca="1"/>
        <v>#NAME?</v>
      </c>
      <c r="B4396" s="2" t="s">
        <v>12</v>
      </c>
      <c r="C4396" s="2" t="s">
        <v>12</v>
      </c>
      <c r="D4396" s="2" t="s">
        <v>12</v>
      </c>
      <c r="E4396" s="2" t="s">
        <v>12</v>
      </c>
      <c r="F4396" s="2" t="s">
        <v>12</v>
      </c>
      <c r="G4396" s="2" t="s">
        <v>12</v>
      </c>
      <c r="H4396" s="2" t="s">
        <v>12</v>
      </c>
      <c r="I4396" s="2" t="s">
        <v>12</v>
      </c>
      <c r="J4396" s="2" t="s">
        <v>12</v>
      </c>
      <c r="K4396" s="2" t="s">
        <v>12</v>
      </c>
    </row>
    <row r="4397" spans="1:11" ht="12.5" x14ac:dyDescent="0.25">
      <c r="A4397" s="3" t="e">
        <f ca="1"/>
        <v>#NAME?</v>
      </c>
      <c r="B4397" s="2" t="s">
        <v>12</v>
      </c>
      <c r="C4397" s="2" t="s">
        <v>12</v>
      </c>
      <c r="D4397" s="2" t="s">
        <v>12</v>
      </c>
      <c r="E4397" s="2" t="s">
        <v>12</v>
      </c>
      <c r="F4397" s="2" t="s">
        <v>12</v>
      </c>
      <c r="G4397" s="2" t="s">
        <v>12</v>
      </c>
      <c r="H4397" s="2" t="s">
        <v>12</v>
      </c>
      <c r="I4397" s="2" t="s">
        <v>12</v>
      </c>
      <c r="J4397" s="2" t="s">
        <v>12</v>
      </c>
      <c r="K4397" s="2" t="s">
        <v>12</v>
      </c>
    </row>
    <row r="4398" spans="1:11" ht="12.5" x14ac:dyDescent="0.25">
      <c r="A4398" s="3" t="e">
        <f ca="1"/>
        <v>#NAME?</v>
      </c>
      <c r="B4398" s="2" t="s">
        <v>12</v>
      </c>
      <c r="C4398" s="2" t="s">
        <v>12</v>
      </c>
      <c r="D4398" s="2" t="s">
        <v>12</v>
      </c>
      <c r="E4398" s="2" t="s">
        <v>12</v>
      </c>
      <c r="F4398" s="2" t="s">
        <v>12</v>
      </c>
      <c r="G4398" s="2" t="s">
        <v>12</v>
      </c>
      <c r="H4398" s="2" t="s">
        <v>12</v>
      </c>
      <c r="I4398" s="2" t="s">
        <v>12</v>
      </c>
      <c r="J4398" s="2" t="s">
        <v>12</v>
      </c>
      <c r="K4398" s="2" t="s">
        <v>12</v>
      </c>
    </row>
    <row r="4399" spans="1:11" ht="12.5" x14ac:dyDescent="0.25">
      <c r="A4399" s="3" t="e">
        <f ca="1"/>
        <v>#NAME?</v>
      </c>
      <c r="B4399" s="2" t="s">
        <v>12</v>
      </c>
      <c r="C4399" s="2" t="s">
        <v>12</v>
      </c>
      <c r="D4399" s="2" t="s">
        <v>12</v>
      </c>
      <c r="E4399" s="2" t="s">
        <v>12</v>
      </c>
      <c r="F4399" s="2" t="s">
        <v>12</v>
      </c>
      <c r="G4399" s="2" t="s">
        <v>12</v>
      </c>
      <c r="H4399" s="2" t="s">
        <v>12</v>
      </c>
      <c r="I4399" s="2" t="s">
        <v>12</v>
      </c>
      <c r="J4399" s="2" t="s">
        <v>12</v>
      </c>
      <c r="K4399" s="2" t="s">
        <v>12</v>
      </c>
    </row>
    <row r="4400" spans="1:11" ht="12.5" x14ac:dyDescent="0.25">
      <c r="A4400" s="3" t="e">
        <f ca="1"/>
        <v>#NAME?</v>
      </c>
      <c r="B4400" s="2" t="s">
        <v>12</v>
      </c>
      <c r="C4400" s="2" t="s">
        <v>12</v>
      </c>
      <c r="D4400" s="2" t="s">
        <v>12</v>
      </c>
      <c r="E4400" s="2" t="s">
        <v>12</v>
      </c>
      <c r="F4400" s="2" t="s">
        <v>12</v>
      </c>
      <c r="G4400" s="2" t="s">
        <v>12</v>
      </c>
      <c r="H4400" s="2" t="s">
        <v>12</v>
      </c>
      <c r="I4400" s="2" t="s">
        <v>12</v>
      </c>
      <c r="J4400" s="2" t="s">
        <v>12</v>
      </c>
      <c r="K4400" s="2" t="s">
        <v>12</v>
      </c>
    </row>
    <row r="4401" spans="1:11" ht="12.5" x14ac:dyDescent="0.25">
      <c r="A4401" s="3" t="e">
        <f ca="1"/>
        <v>#NAME?</v>
      </c>
      <c r="B4401" s="2" t="s">
        <v>12</v>
      </c>
      <c r="C4401" s="2" t="s">
        <v>12</v>
      </c>
      <c r="D4401" s="2" t="s">
        <v>12</v>
      </c>
      <c r="E4401" s="2" t="s">
        <v>12</v>
      </c>
      <c r="F4401" s="2" t="s">
        <v>12</v>
      </c>
      <c r="G4401" s="2" t="s">
        <v>12</v>
      </c>
      <c r="H4401" s="2" t="s">
        <v>12</v>
      </c>
      <c r="I4401" s="2" t="s">
        <v>12</v>
      </c>
      <c r="J4401" s="2" t="s">
        <v>12</v>
      </c>
      <c r="K4401" s="2" t="s">
        <v>12</v>
      </c>
    </row>
    <row r="4402" spans="1:11" ht="12.5" x14ac:dyDescent="0.25">
      <c r="A4402" s="3" t="e">
        <f ca="1"/>
        <v>#NAME?</v>
      </c>
      <c r="B4402" s="2" t="s">
        <v>12</v>
      </c>
      <c r="C4402" s="2" t="s">
        <v>12</v>
      </c>
      <c r="D4402" s="2" t="s">
        <v>12</v>
      </c>
      <c r="E4402" s="2" t="s">
        <v>12</v>
      </c>
      <c r="F4402" s="2" t="s">
        <v>12</v>
      </c>
      <c r="G4402" s="2" t="s">
        <v>12</v>
      </c>
      <c r="H4402" s="2" t="s">
        <v>12</v>
      </c>
      <c r="I4402" s="2" t="s">
        <v>12</v>
      </c>
      <c r="J4402" s="2" t="s">
        <v>12</v>
      </c>
      <c r="K4402" s="2" t="s">
        <v>12</v>
      </c>
    </row>
    <row r="4403" spans="1:11" ht="12.5" x14ac:dyDescent="0.25">
      <c r="A4403" s="3" t="e">
        <f ca="1"/>
        <v>#NAME?</v>
      </c>
      <c r="B4403" s="2" t="s">
        <v>12</v>
      </c>
      <c r="C4403" s="2" t="s">
        <v>12</v>
      </c>
      <c r="D4403" s="2" t="s">
        <v>12</v>
      </c>
      <c r="E4403" s="2" t="s">
        <v>12</v>
      </c>
      <c r="F4403" s="2" t="s">
        <v>12</v>
      </c>
      <c r="G4403" s="2" t="s">
        <v>12</v>
      </c>
      <c r="H4403" s="2" t="s">
        <v>12</v>
      </c>
      <c r="I4403" s="2" t="s">
        <v>12</v>
      </c>
      <c r="J4403" s="2" t="s">
        <v>12</v>
      </c>
      <c r="K4403" s="2" t="s">
        <v>12</v>
      </c>
    </row>
    <row r="4404" spans="1:11" ht="12.5" x14ac:dyDescent="0.25">
      <c r="A4404" s="3" t="e">
        <f ca="1"/>
        <v>#NAME?</v>
      </c>
      <c r="B4404" s="2" t="s">
        <v>12</v>
      </c>
      <c r="C4404" s="2" t="s">
        <v>12</v>
      </c>
      <c r="D4404" s="2" t="s">
        <v>12</v>
      </c>
      <c r="E4404" s="2" t="s">
        <v>12</v>
      </c>
      <c r="F4404" s="2" t="s">
        <v>12</v>
      </c>
      <c r="G4404" s="2" t="s">
        <v>12</v>
      </c>
      <c r="H4404" s="2" t="s">
        <v>12</v>
      </c>
      <c r="I4404" s="2" t="s">
        <v>12</v>
      </c>
      <c r="J4404" s="2" t="s">
        <v>12</v>
      </c>
      <c r="K4404" s="2" t="s">
        <v>12</v>
      </c>
    </row>
    <row r="4405" spans="1:11" ht="12.5" x14ac:dyDescent="0.25">
      <c r="A4405" s="3" t="e">
        <f ca="1"/>
        <v>#NAME?</v>
      </c>
      <c r="B4405" s="2" t="s">
        <v>12</v>
      </c>
      <c r="C4405" s="2" t="s">
        <v>12</v>
      </c>
      <c r="D4405" s="2" t="s">
        <v>12</v>
      </c>
      <c r="E4405" s="2" t="s">
        <v>12</v>
      </c>
      <c r="F4405" s="2" t="s">
        <v>12</v>
      </c>
      <c r="G4405" s="2" t="s">
        <v>12</v>
      </c>
      <c r="H4405" s="2" t="s">
        <v>12</v>
      </c>
      <c r="I4405" s="2" t="s">
        <v>12</v>
      </c>
      <c r="J4405" s="2" t="s">
        <v>12</v>
      </c>
      <c r="K4405" s="2" t="s">
        <v>12</v>
      </c>
    </row>
    <row r="4406" spans="1:11" ht="12.5" x14ac:dyDescent="0.25">
      <c r="A4406" s="3" t="e">
        <f ca="1"/>
        <v>#NAME?</v>
      </c>
      <c r="B4406" s="2" t="s">
        <v>12</v>
      </c>
      <c r="C4406" s="2" t="s">
        <v>12</v>
      </c>
      <c r="D4406" s="2" t="s">
        <v>12</v>
      </c>
      <c r="E4406" s="2" t="s">
        <v>12</v>
      </c>
      <c r="F4406" s="2" t="s">
        <v>12</v>
      </c>
      <c r="G4406" s="2" t="s">
        <v>12</v>
      </c>
      <c r="H4406" s="2" t="s">
        <v>12</v>
      </c>
      <c r="I4406" s="2" t="s">
        <v>12</v>
      </c>
      <c r="J4406" s="2" t="s">
        <v>12</v>
      </c>
      <c r="K4406" s="2" t="s">
        <v>12</v>
      </c>
    </row>
    <row r="4407" spans="1:11" ht="12.5" x14ac:dyDescent="0.25">
      <c r="A4407" s="3" t="e">
        <f ca="1"/>
        <v>#NAME?</v>
      </c>
      <c r="B4407" s="2" t="s">
        <v>12</v>
      </c>
      <c r="C4407" s="2" t="s">
        <v>12</v>
      </c>
      <c r="D4407" s="2" t="s">
        <v>12</v>
      </c>
      <c r="E4407" s="2" t="s">
        <v>12</v>
      </c>
      <c r="F4407" s="2" t="s">
        <v>12</v>
      </c>
      <c r="G4407" s="2" t="s">
        <v>12</v>
      </c>
      <c r="H4407" s="2" t="s">
        <v>12</v>
      </c>
      <c r="I4407" s="2" t="s">
        <v>12</v>
      </c>
      <c r="J4407" s="2" t="s">
        <v>12</v>
      </c>
      <c r="K4407" s="2" t="s">
        <v>12</v>
      </c>
    </row>
    <row r="4408" spans="1:11" ht="12.5" x14ac:dyDescent="0.25">
      <c r="A4408" s="3" t="e">
        <f ca="1"/>
        <v>#NAME?</v>
      </c>
      <c r="B4408" s="2" t="s">
        <v>12</v>
      </c>
      <c r="C4408" s="2" t="s">
        <v>12</v>
      </c>
      <c r="D4408" s="2" t="s">
        <v>12</v>
      </c>
      <c r="E4408" s="2" t="s">
        <v>12</v>
      </c>
      <c r="F4408" s="2" t="s">
        <v>12</v>
      </c>
      <c r="G4408" s="2" t="s">
        <v>12</v>
      </c>
      <c r="H4408" s="2" t="s">
        <v>12</v>
      </c>
      <c r="I4408" s="2" t="s">
        <v>12</v>
      </c>
      <c r="J4408" s="2" t="s">
        <v>12</v>
      </c>
      <c r="K4408" s="2" t="s">
        <v>12</v>
      </c>
    </row>
    <row r="4409" spans="1:11" ht="12.5" x14ac:dyDescent="0.25">
      <c r="A4409" s="3" t="e">
        <f ca="1"/>
        <v>#NAME?</v>
      </c>
      <c r="B4409" s="2" t="s">
        <v>12</v>
      </c>
      <c r="C4409" s="2" t="s">
        <v>12</v>
      </c>
      <c r="D4409" s="2" t="s">
        <v>12</v>
      </c>
      <c r="E4409" s="2" t="s">
        <v>12</v>
      </c>
      <c r="F4409" s="2" t="s">
        <v>12</v>
      </c>
      <c r="G4409" s="2" t="s">
        <v>12</v>
      </c>
      <c r="H4409" s="2" t="s">
        <v>12</v>
      </c>
      <c r="I4409" s="2" t="s">
        <v>12</v>
      </c>
      <c r="J4409" s="2" t="s">
        <v>12</v>
      </c>
      <c r="K4409" s="2" t="s">
        <v>12</v>
      </c>
    </row>
    <row r="4410" spans="1:11" ht="12.5" x14ac:dyDescent="0.25">
      <c r="A4410" s="3" t="e">
        <f ca="1"/>
        <v>#NAME?</v>
      </c>
      <c r="B4410" s="2" t="s">
        <v>12</v>
      </c>
      <c r="C4410" s="2" t="s">
        <v>12</v>
      </c>
      <c r="D4410" s="2" t="s">
        <v>12</v>
      </c>
      <c r="E4410" s="2" t="s">
        <v>12</v>
      </c>
      <c r="F4410" s="2" t="s">
        <v>12</v>
      </c>
      <c r="G4410" s="2" t="s">
        <v>12</v>
      </c>
      <c r="H4410" s="2" t="s">
        <v>12</v>
      </c>
      <c r="I4410" s="2" t="s">
        <v>12</v>
      </c>
      <c r="J4410" s="2" t="s">
        <v>12</v>
      </c>
      <c r="K4410" s="2" t="s">
        <v>12</v>
      </c>
    </row>
    <row r="4411" spans="1:11" ht="12.5" x14ac:dyDescent="0.25">
      <c r="A4411" s="3" t="e">
        <f ca="1"/>
        <v>#NAME?</v>
      </c>
      <c r="B4411" s="2" t="s">
        <v>12</v>
      </c>
      <c r="C4411" s="2" t="s">
        <v>12</v>
      </c>
      <c r="D4411" s="2" t="s">
        <v>12</v>
      </c>
      <c r="E4411" s="2" t="s">
        <v>12</v>
      </c>
      <c r="F4411" s="2" t="s">
        <v>12</v>
      </c>
      <c r="G4411" s="2" t="s">
        <v>12</v>
      </c>
      <c r="H4411" s="2" t="s">
        <v>12</v>
      </c>
      <c r="I4411" s="2" t="s">
        <v>12</v>
      </c>
      <c r="J4411" s="2" t="s">
        <v>12</v>
      </c>
      <c r="K4411" s="2" t="s">
        <v>12</v>
      </c>
    </row>
    <row r="4412" spans="1:11" ht="12.5" x14ac:dyDescent="0.25">
      <c r="A4412" s="3" t="e">
        <f ca="1"/>
        <v>#NAME?</v>
      </c>
      <c r="B4412" s="2" t="s">
        <v>12</v>
      </c>
      <c r="C4412" s="2" t="s">
        <v>12</v>
      </c>
      <c r="D4412" s="2" t="s">
        <v>12</v>
      </c>
      <c r="E4412" s="2" t="s">
        <v>12</v>
      </c>
      <c r="F4412" s="2" t="s">
        <v>12</v>
      </c>
      <c r="G4412" s="2" t="s">
        <v>12</v>
      </c>
      <c r="H4412" s="2" t="s">
        <v>12</v>
      </c>
      <c r="I4412" s="2" t="s">
        <v>12</v>
      </c>
      <c r="J4412" s="2" t="s">
        <v>12</v>
      </c>
      <c r="K4412" s="2" t="s">
        <v>12</v>
      </c>
    </row>
    <row r="4413" spans="1:11" ht="12.5" x14ac:dyDescent="0.25">
      <c r="A4413" s="3" t="e">
        <f ca="1"/>
        <v>#NAME?</v>
      </c>
      <c r="B4413" s="2" t="s">
        <v>12</v>
      </c>
      <c r="C4413" s="2" t="s">
        <v>12</v>
      </c>
      <c r="D4413" s="2" t="s">
        <v>12</v>
      </c>
      <c r="E4413" s="2" t="s">
        <v>12</v>
      </c>
      <c r="F4413" s="2" t="s">
        <v>12</v>
      </c>
      <c r="G4413" s="2" t="s">
        <v>12</v>
      </c>
      <c r="H4413" s="2" t="s">
        <v>12</v>
      </c>
      <c r="I4413" s="2" t="s">
        <v>12</v>
      </c>
      <c r="J4413" s="2" t="s">
        <v>12</v>
      </c>
      <c r="K4413" s="2" t="s">
        <v>12</v>
      </c>
    </row>
    <row r="4414" spans="1:11" ht="12.5" x14ac:dyDescent="0.25">
      <c r="A4414" s="3" t="e">
        <f ca="1"/>
        <v>#NAME?</v>
      </c>
      <c r="B4414" s="2" t="s">
        <v>12</v>
      </c>
      <c r="C4414" s="2" t="s">
        <v>12</v>
      </c>
      <c r="D4414" s="2" t="s">
        <v>12</v>
      </c>
      <c r="E4414" s="2" t="s">
        <v>12</v>
      </c>
      <c r="F4414" s="2" t="s">
        <v>12</v>
      </c>
      <c r="G4414" s="2" t="s">
        <v>12</v>
      </c>
      <c r="H4414" s="2" t="s">
        <v>12</v>
      </c>
      <c r="I4414" s="2" t="s">
        <v>12</v>
      </c>
      <c r="J4414" s="2" t="s">
        <v>12</v>
      </c>
      <c r="K4414" s="2" t="s">
        <v>12</v>
      </c>
    </row>
    <row r="4415" spans="1:11" ht="12.5" x14ac:dyDescent="0.25">
      <c r="A4415" s="3" t="e">
        <f ca="1"/>
        <v>#NAME?</v>
      </c>
      <c r="B4415" s="2" t="s">
        <v>12</v>
      </c>
      <c r="C4415" s="2" t="s">
        <v>12</v>
      </c>
      <c r="D4415" s="2" t="s">
        <v>12</v>
      </c>
      <c r="E4415" s="2" t="s">
        <v>12</v>
      </c>
      <c r="F4415" s="2" t="s">
        <v>12</v>
      </c>
      <c r="G4415" s="2" t="s">
        <v>12</v>
      </c>
      <c r="H4415" s="2" t="s">
        <v>12</v>
      </c>
      <c r="I4415" s="2" t="s">
        <v>12</v>
      </c>
      <c r="J4415" s="2" t="s">
        <v>12</v>
      </c>
      <c r="K4415" s="2" t="s">
        <v>12</v>
      </c>
    </row>
    <row r="4416" spans="1:11" ht="12.5" x14ac:dyDescent="0.25">
      <c r="A4416" s="3" t="e">
        <f ca="1"/>
        <v>#NAME?</v>
      </c>
      <c r="B4416" s="2" t="s">
        <v>12</v>
      </c>
      <c r="C4416" s="2" t="s">
        <v>12</v>
      </c>
      <c r="D4416" s="2" t="s">
        <v>12</v>
      </c>
      <c r="E4416" s="2" t="s">
        <v>12</v>
      </c>
      <c r="F4416" s="2" t="s">
        <v>12</v>
      </c>
      <c r="G4416" s="2" t="s">
        <v>12</v>
      </c>
      <c r="H4416" s="2" t="s">
        <v>12</v>
      </c>
      <c r="I4416" s="2" t="s">
        <v>12</v>
      </c>
      <c r="J4416" s="2" t="s">
        <v>12</v>
      </c>
      <c r="K4416" s="2" t="s">
        <v>12</v>
      </c>
    </row>
    <row r="4417" spans="1:11" ht="12.5" x14ac:dyDescent="0.25">
      <c r="A4417" s="3" t="e">
        <f ca="1"/>
        <v>#NAME?</v>
      </c>
      <c r="B4417" s="2" t="s">
        <v>12</v>
      </c>
      <c r="C4417" s="2" t="s">
        <v>12</v>
      </c>
      <c r="D4417" s="2" t="s">
        <v>12</v>
      </c>
      <c r="E4417" s="2" t="s">
        <v>12</v>
      </c>
      <c r="F4417" s="2" t="s">
        <v>12</v>
      </c>
      <c r="G4417" s="2" t="s">
        <v>12</v>
      </c>
      <c r="H4417" s="2" t="s">
        <v>12</v>
      </c>
      <c r="I4417" s="2" t="s">
        <v>12</v>
      </c>
      <c r="J4417" s="2" t="s">
        <v>12</v>
      </c>
      <c r="K4417" s="2" t="s">
        <v>12</v>
      </c>
    </row>
    <row r="4418" spans="1:11" ht="12.5" x14ac:dyDescent="0.25">
      <c r="A4418" s="3" t="e">
        <f ca="1"/>
        <v>#NAME?</v>
      </c>
      <c r="B4418" s="2" t="s">
        <v>12</v>
      </c>
      <c r="C4418" s="2" t="s">
        <v>12</v>
      </c>
      <c r="D4418" s="2" t="s">
        <v>12</v>
      </c>
      <c r="E4418" s="2" t="s">
        <v>12</v>
      </c>
      <c r="F4418" s="2" t="s">
        <v>12</v>
      </c>
      <c r="G4418" s="2" t="s">
        <v>12</v>
      </c>
      <c r="H4418" s="2" t="s">
        <v>12</v>
      </c>
      <c r="I4418" s="2" t="s">
        <v>12</v>
      </c>
      <c r="J4418" s="2" t="s">
        <v>12</v>
      </c>
      <c r="K4418" s="2" t="s">
        <v>12</v>
      </c>
    </row>
    <row r="4419" spans="1:11" ht="12.5" x14ac:dyDescent="0.25">
      <c r="A4419" s="3" t="e">
        <f ca="1"/>
        <v>#NAME?</v>
      </c>
      <c r="B4419" s="2" t="s">
        <v>12</v>
      </c>
      <c r="C4419" s="2" t="s">
        <v>12</v>
      </c>
      <c r="D4419" s="2" t="s">
        <v>12</v>
      </c>
      <c r="E4419" s="2" t="s">
        <v>12</v>
      </c>
      <c r="F4419" s="2" t="s">
        <v>12</v>
      </c>
      <c r="G4419" s="2" t="s">
        <v>12</v>
      </c>
      <c r="H4419" s="2" t="s">
        <v>12</v>
      </c>
      <c r="I4419" s="2" t="s">
        <v>12</v>
      </c>
      <c r="J4419" s="2" t="s">
        <v>12</v>
      </c>
      <c r="K4419" s="2" t="s">
        <v>12</v>
      </c>
    </row>
    <row r="4420" spans="1:11" ht="12.5" x14ac:dyDescent="0.25">
      <c r="A4420" s="3" t="e">
        <f ca="1"/>
        <v>#NAME?</v>
      </c>
      <c r="B4420" s="2" t="s">
        <v>12</v>
      </c>
      <c r="C4420" s="2" t="s">
        <v>12</v>
      </c>
      <c r="D4420" s="2" t="s">
        <v>12</v>
      </c>
      <c r="E4420" s="2" t="s">
        <v>12</v>
      </c>
      <c r="F4420" s="2" t="s">
        <v>12</v>
      </c>
      <c r="G4420" s="2" t="s">
        <v>12</v>
      </c>
      <c r="H4420" s="2" t="s">
        <v>12</v>
      </c>
      <c r="I4420" s="2" t="s">
        <v>12</v>
      </c>
      <c r="J4420" s="2" t="s">
        <v>12</v>
      </c>
      <c r="K4420" s="2" t="s">
        <v>12</v>
      </c>
    </row>
    <row r="4421" spans="1:11" ht="12.5" x14ac:dyDescent="0.25">
      <c r="A4421" s="3" t="e">
        <f ca="1"/>
        <v>#NAME?</v>
      </c>
      <c r="B4421" s="2" t="s">
        <v>12</v>
      </c>
      <c r="C4421" s="2" t="s">
        <v>12</v>
      </c>
      <c r="D4421" s="2" t="s">
        <v>12</v>
      </c>
      <c r="E4421" s="2" t="s">
        <v>12</v>
      </c>
      <c r="F4421" s="2" t="s">
        <v>12</v>
      </c>
      <c r="G4421" s="2" t="s">
        <v>12</v>
      </c>
      <c r="H4421" s="2" t="s">
        <v>12</v>
      </c>
      <c r="I4421" s="2" t="s">
        <v>12</v>
      </c>
      <c r="J4421" s="2" t="s">
        <v>12</v>
      </c>
      <c r="K4421" s="2" t="s">
        <v>12</v>
      </c>
    </row>
    <row r="4422" spans="1:11" ht="12.5" x14ac:dyDescent="0.25">
      <c r="A4422" s="3" t="e">
        <f ca="1"/>
        <v>#NAME?</v>
      </c>
      <c r="B4422" s="2" t="s">
        <v>12</v>
      </c>
      <c r="C4422" s="2" t="s">
        <v>12</v>
      </c>
      <c r="D4422" s="2" t="s">
        <v>12</v>
      </c>
      <c r="E4422" s="2" t="s">
        <v>12</v>
      </c>
      <c r="F4422" s="2" t="s">
        <v>12</v>
      </c>
      <c r="G4422" s="2" t="s">
        <v>12</v>
      </c>
      <c r="H4422" s="2" t="s">
        <v>12</v>
      </c>
      <c r="I4422" s="2" t="s">
        <v>12</v>
      </c>
      <c r="J4422" s="2" t="s">
        <v>12</v>
      </c>
      <c r="K4422" s="2" t="s">
        <v>12</v>
      </c>
    </row>
    <row r="4423" spans="1:11" ht="12.5" x14ac:dyDescent="0.25">
      <c r="A4423" s="3" t="e">
        <f ca="1"/>
        <v>#NAME?</v>
      </c>
      <c r="B4423" s="2" t="s">
        <v>12</v>
      </c>
      <c r="C4423" s="2" t="s">
        <v>12</v>
      </c>
      <c r="D4423" s="2" t="s">
        <v>12</v>
      </c>
      <c r="E4423" s="2" t="s">
        <v>12</v>
      </c>
      <c r="F4423" s="2" t="s">
        <v>12</v>
      </c>
      <c r="G4423" s="2" t="s">
        <v>12</v>
      </c>
      <c r="H4423" s="2" t="s">
        <v>12</v>
      </c>
      <c r="I4423" s="2" t="s">
        <v>12</v>
      </c>
      <c r="J4423" s="2" t="s">
        <v>12</v>
      </c>
      <c r="K4423" s="2" t="s">
        <v>12</v>
      </c>
    </row>
    <row r="4424" spans="1:11" ht="12.5" x14ac:dyDescent="0.25">
      <c r="A4424" s="3" t="e">
        <f ca="1"/>
        <v>#NAME?</v>
      </c>
      <c r="B4424" s="2" t="s">
        <v>12</v>
      </c>
      <c r="C4424" s="2" t="s">
        <v>12</v>
      </c>
      <c r="D4424" s="2" t="s">
        <v>12</v>
      </c>
      <c r="E4424" s="2" t="s">
        <v>12</v>
      </c>
      <c r="F4424" s="2" t="s">
        <v>12</v>
      </c>
      <c r="G4424" s="2" t="s">
        <v>12</v>
      </c>
      <c r="H4424" s="2" t="s">
        <v>12</v>
      </c>
      <c r="I4424" s="2" t="s">
        <v>12</v>
      </c>
      <c r="J4424" s="2" t="s">
        <v>12</v>
      </c>
      <c r="K4424" s="2" t="s">
        <v>12</v>
      </c>
    </row>
    <row r="4425" spans="1:11" ht="12.5" x14ac:dyDescent="0.25">
      <c r="A4425" s="3" t="e">
        <f ca="1"/>
        <v>#NAME?</v>
      </c>
      <c r="B4425" s="2" t="s">
        <v>12</v>
      </c>
      <c r="C4425" s="2" t="s">
        <v>12</v>
      </c>
      <c r="D4425" s="2" t="s">
        <v>12</v>
      </c>
      <c r="E4425" s="2" t="s">
        <v>12</v>
      </c>
      <c r="F4425" s="2" t="s">
        <v>12</v>
      </c>
      <c r="G4425" s="2" t="s">
        <v>12</v>
      </c>
      <c r="H4425" s="2" t="s">
        <v>12</v>
      </c>
      <c r="I4425" s="2" t="s">
        <v>12</v>
      </c>
      <c r="J4425" s="2" t="s">
        <v>12</v>
      </c>
      <c r="K4425" s="2" t="s">
        <v>12</v>
      </c>
    </row>
    <row r="4426" spans="1:11" ht="12.5" x14ac:dyDescent="0.25">
      <c r="A4426" s="3" t="e">
        <f ca="1"/>
        <v>#NAME?</v>
      </c>
      <c r="B4426" s="2" t="s">
        <v>12</v>
      </c>
      <c r="C4426" s="2" t="s">
        <v>12</v>
      </c>
      <c r="D4426" s="2" t="s">
        <v>12</v>
      </c>
      <c r="E4426" s="2" t="s">
        <v>12</v>
      </c>
      <c r="F4426" s="2" t="s">
        <v>12</v>
      </c>
      <c r="G4426" s="2" t="s">
        <v>12</v>
      </c>
      <c r="H4426" s="2" t="s">
        <v>12</v>
      </c>
      <c r="I4426" s="2" t="s">
        <v>12</v>
      </c>
      <c r="J4426" s="2" t="s">
        <v>12</v>
      </c>
      <c r="K4426" s="2" t="s">
        <v>12</v>
      </c>
    </row>
    <row r="4427" spans="1:11" ht="12.5" x14ac:dyDescent="0.25">
      <c r="A4427" s="3" t="e">
        <f ca="1"/>
        <v>#NAME?</v>
      </c>
      <c r="B4427" s="2" t="s">
        <v>12</v>
      </c>
      <c r="C4427" s="2" t="s">
        <v>12</v>
      </c>
      <c r="D4427" s="2" t="s">
        <v>12</v>
      </c>
      <c r="E4427" s="2" t="s">
        <v>12</v>
      </c>
      <c r="F4427" s="2" t="s">
        <v>12</v>
      </c>
      <c r="G4427" s="2" t="s">
        <v>12</v>
      </c>
      <c r="H4427" s="2" t="s">
        <v>12</v>
      </c>
      <c r="I4427" s="2" t="s">
        <v>12</v>
      </c>
      <c r="J4427" s="2" t="s">
        <v>12</v>
      </c>
      <c r="K4427" s="2" t="s">
        <v>12</v>
      </c>
    </row>
    <row r="4428" spans="1:11" ht="12.5" x14ac:dyDescent="0.25">
      <c r="A4428" s="3" t="e">
        <f ca="1"/>
        <v>#NAME?</v>
      </c>
      <c r="B4428" s="2" t="s">
        <v>12</v>
      </c>
      <c r="C4428" s="2" t="s">
        <v>12</v>
      </c>
      <c r="D4428" s="2" t="s">
        <v>12</v>
      </c>
      <c r="E4428" s="2" t="s">
        <v>12</v>
      </c>
      <c r="F4428" s="2" t="s">
        <v>12</v>
      </c>
      <c r="G4428" s="2" t="s">
        <v>12</v>
      </c>
      <c r="H4428" s="2" t="s">
        <v>12</v>
      </c>
      <c r="I4428" s="2" t="s">
        <v>12</v>
      </c>
      <c r="J4428" s="2" t="s">
        <v>12</v>
      </c>
      <c r="K4428" s="2" t="s">
        <v>12</v>
      </c>
    </row>
    <row r="4429" spans="1:11" ht="12.5" x14ac:dyDescent="0.25">
      <c r="A4429" s="3" t="e">
        <f ca="1"/>
        <v>#NAME?</v>
      </c>
      <c r="B4429" s="2" t="s">
        <v>12</v>
      </c>
      <c r="C4429" s="2" t="s">
        <v>12</v>
      </c>
      <c r="D4429" s="2" t="s">
        <v>12</v>
      </c>
      <c r="E4429" s="2" t="s">
        <v>12</v>
      </c>
      <c r="F4429" s="2" t="s">
        <v>12</v>
      </c>
      <c r="G4429" s="2" t="s">
        <v>12</v>
      </c>
      <c r="H4429" s="2" t="s">
        <v>12</v>
      </c>
      <c r="I4429" s="2" t="s">
        <v>12</v>
      </c>
      <c r="J4429" s="2" t="s">
        <v>12</v>
      </c>
      <c r="K4429" s="2" t="s">
        <v>12</v>
      </c>
    </row>
    <row r="4430" spans="1:11" ht="12.5" x14ac:dyDescent="0.25">
      <c r="A4430" s="3" t="e">
        <f ca="1"/>
        <v>#NAME?</v>
      </c>
      <c r="B4430" s="2" t="s">
        <v>12</v>
      </c>
      <c r="C4430" s="2" t="s">
        <v>12</v>
      </c>
      <c r="D4430" s="2" t="s">
        <v>12</v>
      </c>
      <c r="E4430" s="2" t="s">
        <v>12</v>
      </c>
      <c r="F4430" s="2" t="s">
        <v>12</v>
      </c>
      <c r="G4430" s="2" t="s">
        <v>12</v>
      </c>
      <c r="H4430" s="2" t="s">
        <v>12</v>
      </c>
      <c r="I4430" s="2" t="s">
        <v>12</v>
      </c>
      <c r="J4430" s="2" t="s">
        <v>12</v>
      </c>
      <c r="K4430" s="2" t="s">
        <v>12</v>
      </c>
    </row>
    <row r="4431" spans="1:11" ht="12.5" x14ac:dyDescent="0.25">
      <c r="A4431" s="3" t="e">
        <f ca="1"/>
        <v>#NAME?</v>
      </c>
      <c r="B4431" s="2" t="s">
        <v>12</v>
      </c>
      <c r="C4431" s="2" t="s">
        <v>12</v>
      </c>
      <c r="D4431" s="2" t="s">
        <v>12</v>
      </c>
      <c r="E4431" s="2" t="s">
        <v>12</v>
      </c>
      <c r="F4431" s="2" t="s">
        <v>12</v>
      </c>
      <c r="G4431" s="2" t="s">
        <v>12</v>
      </c>
      <c r="H4431" s="2" t="s">
        <v>12</v>
      </c>
      <c r="I4431" s="2" t="s">
        <v>12</v>
      </c>
      <c r="J4431" s="2" t="s">
        <v>12</v>
      </c>
      <c r="K4431" s="2" t="s">
        <v>12</v>
      </c>
    </row>
    <row r="4432" spans="1:11" ht="12.5" x14ac:dyDescent="0.25">
      <c r="A4432" s="3" t="e">
        <f ca="1"/>
        <v>#NAME?</v>
      </c>
      <c r="B4432" s="2" t="s">
        <v>12</v>
      </c>
      <c r="C4432" s="2" t="s">
        <v>12</v>
      </c>
      <c r="D4432" s="2" t="s">
        <v>12</v>
      </c>
      <c r="E4432" s="2" t="s">
        <v>12</v>
      </c>
      <c r="F4432" s="2" t="s">
        <v>12</v>
      </c>
      <c r="G4432" s="2" t="s">
        <v>12</v>
      </c>
      <c r="H4432" s="2" t="s">
        <v>12</v>
      </c>
      <c r="I4432" s="2" t="s">
        <v>12</v>
      </c>
      <c r="J4432" s="2" t="s">
        <v>12</v>
      </c>
      <c r="K4432" s="2" t="s">
        <v>12</v>
      </c>
    </row>
    <row r="4433" spans="1:11" ht="12.5" x14ac:dyDescent="0.25">
      <c r="A4433" s="3" t="e">
        <f ca="1"/>
        <v>#NAME?</v>
      </c>
      <c r="B4433" s="2" t="s">
        <v>12</v>
      </c>
      <c r="C4433" s="2" t="s">
        <v>12</v>
      </c>
      <c r="D4433" s="2" t="s">
        <v>12</v>
      </c>
      <c r="E4433" s="2" t="s">
        <v>12</v>
      </c>
      <c r="F4433" s="2" t="s">
        <v>12</v>
      </c>
      <c r="G4433" s="2" t="s">
        <v>12</v>
      </c>
      <c r="H4433" s="2" t="s">
        <v>12</v>
      </c>
      <c r="I4433" s="2" t="s">
        <v>12</v>
      </c>
      <c r="J4433" s="2" t="s">
        <v>12</v>
      </c>
      <c r="K4433" s="2" t="s">
        <v>12</v>
      </c>
    </row>
    <row r="4434" spans="1:11" ht="12.5" x14ac:dyDescent="0.25">
      <c r="A4434" s="3" t="e">
        <f ca="1"/>
        <v>#NAME?</v>
      </c>
      <c r="B4434" s="2" t="s">
        <v>12</v>
      </c>
      <c r="C4434" s="2" t="s">
        <v>12</v>
      </c>
      <c r="D4434" s="2" t="s">
        <v>12</v>
      </c>
      <c r="E4434" s="2" t="s">
        <v>12</v>
      </c>
      <c r="F4434" s="2" t="s">
        <v>12</v>
      </c>
      <c r="G4434" s="2" t="s">
        <v>12</v>
      </c>
      <c r="H4434" s="2" t="s">
        <v>12</v>
      </c>
      <c r="I4434" s="2" t="s">
        <v>12</v>
      </c>
      <c r="J4434" s="2" t="s">
        <v>12</v>
      </c>
      <c r="K4434" s="2" t="s">
        <v>12</v>
      </c>
    </row>
    <row r="4435" spans="1:11" ht="12.5" x14ac:dyDescent="0.25">
      <c r="A4435" s="3" t="e">
        <f ca="1"/>
        <v>#NAME?</v>
      </c>
      <c r="B4435" s="2" t="s">
        <v>12</v>
      </c>
      <c r="C4435" s="2" t="s">
        <v>12</v>
      </c>
      <c r="D4435" s="2" t="s">
        <v>12</v>
      </c>
      <c r="E4435" s="2" t="s">
        <v>12</v>
      </c>
      <c r="F4435" s="2" t="s">
        <v>12</v>
      </c>
      <c r="G4435" s="2" t="s">
        <v>12</v>
      </c>
      <c r="H4435" s="2" t="s">
        <v>12</v>
      </c>
      <c r="I4435" s="2" t="s">
        <v>12</v>
      </c>
      <c r="J4435" s="2" t="s">
        <v>12</v>
      </c>
      <c r="K4435" s="2" t="s">
        <v>12</v>
      </c>
    </row>
    <row r="4436" spans="1:11" ht="12.5" x14ac:dyDescent="0.25">
      <c r="A4436" s="3" t="e">
        <f ca="1"/>
        <v>#NAME?</v>
      </c>
      <c r="B4436" s="2" t="s">
        <v>12</v>
      </c>
      <c r="C4436" s="2" t="s">
        <v>12</v>
      </c>
      <c r="D4436" s="2" t="s">
        <v>12</v>
      </c>
      <c r="E4436" s="2" t="s">
        <v>12</v>
      </c>
      <c r="F4436" s="2" t="s">
        <v>12</v>
      </c>
      <c r="G4436" s="2" t="s">
        <v>12</v>
      </c>
      <c r="H4436" s="2" t="s">
        <v>12</v>
      </c>
      <c r="I4436" s="2" t="s">
        <v>12</v>
      </c>
      <c r="J4436" s="2" t="s">
        <v>12</v>
      </c>
      <c r="K4436" s="2" t="s">
        <v>12</v>
      </c>
    </row>
    <row r="4437" spans="1:11" ht="12.5" x14ac:dyDescent="0.25">
      <c r="A4437" s="3" t="e">
        <f ca="1"/>
        <v>#NAME?</v>
      </c>
      <c r="B4437" s="2" t="s">
        <v>12</v>
      </c>
      <c r="C4437" s="2" t="s">
        <v>12</v>
      </c>
      <c r="D4437" s="2" t="s">
        <v>12</v>
      </c>
      <c r="E4437" s="2" t="s">
        <v>12</v>
      </c>
      <c r="F4437" s="2" t="s">
        <v>12</v>
      </c>
      <c r="G4437" s="2" t="s">
        <v>12</v>
      </c>
      <c r="H4437" s="2" t="s">
        <v>12</v>
      </c>
      <c r="I4437" s="2" t="s">
        <v>12</v>
      </c>
      <c r="J4437" s="2" t="s">
        <v>12</v>
      </c>
      <c r="K4437" s="2" t="s">
        <v>12</v>
      </c>
    </row>
    <row r="4438" spans="1:11" ht="12.5" x14ac:dyDescent="0.25">
      <c r="A4438" s="3" t="e">
        <f ca="1"/>
        <v>#NAME?</v>
      </c>
      <c r="B4438" s="2" t="s">
        <v>12</v>
      </c>
      <c r="C4438" s="2" t="s">
        <v>12</v>
      </c>
      <c r="D4438" s="2" t="s">
        <v>12</v>
      </c>
      <c r="E4438" s="2" t="s">
        <v>12</v>
      </c>
      <c r="F4438" s="2" t="s">
        <v>12</v>
      </c>
      <c r="G4438" s="2" t="s">
        <v>12</v>
      </c>
      <c r="H4438" s="2" t="s">
        <v>12</v>
      </c>
      <c r="I4438" s="2" t="s">
        <v>12</v>
      </c>
      <c r="J4438" s="2" t="s">
        <v>12</v>
      </c>
      <c r="K4438" s="2" t="s">
        <v>12</v>
      </c>
    </row>
    <row r="4439" spans="1:11" ht="12.5" x14ac:dyDescent="0.25">
      <c r="A4439" s="3" t="e">
        <f ca="1"/>
        <v>#NAME?</v>
      </c>
      <c r="B4439" s="2" t="s">
        <v>12</v>
      </c>
      <c r="C4439" s="2" t="s">
        <v>12</v>
      </c>
      <c r="D4439" s="2" t="s">
        <v>12</v>
      </c>
      <c r="E4439" s="2" t="s">
        <v>12</v>
      </c>
      <c r="F4439" s="2" t="s">
        <v>12</v>
      </c>
      <c r="G4439" s="2" t="s">
        <v>12</v>
      </c>
      <c r="H4439" s="2" t="s">
        <v>12</v>
      </c>
      <c r="I4439" s="2" t="s">
        <v>12</v>
      </c>
      <c r="J4439" s="2" t="s">
        <v>12</v>
      </c>
      <c r="K4439" s="2" t="s">
        <v>12</v>
      </c>
    </row>
    <row r="4440" spans="1:11" ht="12.5" x14ac:dyDescent="0.25">
      <c r="A4440" s="3" t="e">
        <f ca="1"/>
        <v>#NAME?</v>
      </c>
      <c r="B4440" s="2" t="s">
        <v>12</v>
      </c>
      <c r="C4440" s="2" t="s">
        <v>12</v>
      </c>
      <c r="D4440" s="2" t="s">
        <v>12</v>
      </c>
      <c r="E4440" s="2" t="s">
        <v>12</v>
      </c>
      <c r="F4440" s="2" t="s">
        <v>12</v>
      </c>
      <c r="G4440" s="2" t="s">
        <v>12</v>
      </c>
      <c r="H4440" s="2" t="s">
        <v>12</v>
      </c>
      <c r="I4440" s="2" t="s">
        <v>12</v>
      </c>
      <c r="J4440" s="2" t="s">
        <v>12</v>
      </c>
      <c r="K4440" s="2" t="s">
        <v>12</v>
      </c>
    </row>
    <row r="4441" spans="1:11" ht="12.5" x14ac:dyDescent="0.25">
      <c r="A4441" s="3" t="e">
        <f ca="1"/>
        <v>#NAME?</v>
      </c>
      <c r="B4441" s="2" t="s">
        <v>12</v>
      </c>
      <c r="C4441" s="2" t="s">
        <v>12</v>
      </c>
      <c r="D4441" s="2" t="s">
        <v>12</v>
      </c>
      <c r="E4441" s="2" t="s">
        <v>12</v>
      </c>
      <c r="F4441" s="2" t="s">
        <v>12</v>
      </c>
      <c r="G4441" s="2" t="s">
        <v>12</v>
      </c>
      <c r="H4441" s="2" t="s">
        <v>12</v>
      </c>
      <c r="I4441" s="2" t="s">
        <v>12</v>
      </c>
      <c r="J4441" s="2" t="s">
        <v>12</v>
      </c>
      <c r="K4441" s="2" t="s">
        <v>12</v>
      </c>
    </row>
    <row r="4442" spans="1:11" ht="12.5" x14ac:dyDescent="0.25">
      <c r="A4442" s="3" t="e">
        <f ca="1"/>
        <v>#NAME?</v>
      </c>
      <c r="B4442" s="2" t="s">
        <v>12</v>
      </c>
      <c r="C4442" s="2" t="s">
        <v>12</v>
      </c>
      <c r="D4442" s="2" t="s">
        <v>12</v>
      </c>
      <c r="E4442" s="2" t="s">
        <v>12</v>
      </c>
      <c r="F4442" s="2" t="s">
        <v>12</v>
      </c>
      <c r="G4442" s="2" t="s">
        <v>12</v>
      </c>
      <c r="H4442" s="2" t="s">
        <v>12</v>
      </c>
      <c r="I4442" s="2" t="s">
        <v>12</v>
      </c>
      <c r="J4442" s="2" t="s">
        <v>12</v>
      </c>
      <c r="K4442" s="2" t="s">
        <v>12</v>
      </c>
    </row>
    <row r="4443" spans="1:11" ht="12.5" x14ac:dyDescent="0.25">
      <c r="A4443" s="3" t="e">
        <f ca="1"/>
        <v>#NAME?</v>
      </c>
      <c r="B4443" s="2" t="s">
        <v>12</v>
      </c>
      <c r="C4443" s="2" t="s">
        <v>12</v>
      </c>
      <c r="D4443" s="2" t="s">
        <v>12</v>
      </c>
      <c r="E4443" s="2" t="s">
        <v>12</v>
      </c>
      <c r="F4443" s="2" t="s">
        <v>12</v>
      </c>
      <c r="G4443" s="2" t="s">
        <v>12</v>
      </c>
      <c r="H4443" s="2" t="s">
        <v>12</v>
      </c>
      <c r="I4443" s="2" t="s">
        <v>12</v>
      </c>
      <c r="J4443" s="2" t="s">
        <v>12</v>
      </c>
      <c r="K4443" s="2" t="s">
        <v>12</v>
      </c>
    </row>
    <row r="4444" spans="1:11" ht="12.5" x14ac:dyDescent="0.25">
      <c r="A4444" s="3" t="e">
        <f ca="1"/>
        <v>#NAME?</v>
      </c>
      <c r="B4444" s="2" t="s">
        <v>12</v>
      </c>
      <c r="C4444" s="2" t="s">
        <v>12</v>
      </c>
      <c r="D4444" s="2" t="s">
        <v>12</v>
      </c>
      <c r="E4444" s="2" t="s">
        <v>12</v>
      </c>
      <c r="F4444" s="2" t="s">
        <v>12</v>
      </c>
      <c r="G4444" s="2" t="s">
        <v>12</v>
      </c>
      <c r="H4444" s="2" t="s">
        <v>12</v>
      </c>
      <c r="I4444" s="2" t="s">
        <v>12</v>
      </c>
      <c r="J4444" s="2" t="s">
        <v>12</v>
      </c>
      <c r="K4444" s="2" t="s">
        <v>12</v>
      </c>
    </row>
    <row r="4445" spans="1:11" ht="12.5" x14ac:dyDescent="0.25">
      <c r="A4445" s="3" t="e">
        <f ca="1"/>
        <v>#NAME?</v>
      </c>
      <c r="B4445" s="2" t="s">
        <v>12</v>
      </c>
      <c r="C4445" s="2" t="s">
        <v>12</v>
      </c>
      <c r="D4445" s="2" t="s">
        <v>12</v>
      </c>
      <c r="E4445" s="2" t="s">
        <v>12</v>
      </c>
      <c r="F4445" s="2" t="s">
        <v>12</v>
      </c>
      <c r="G4445" s="2" t="s">
        <v>12</v>
      </c>
      <c r="H4445" s="2" t="s">
        <v>12</v>
      </c>
      <c r="I4445" s="2" t="s">
        <v>12</v>
      </c>
      <c r="J4445" s="2" t="s">
        <v>12</v>
      </c>
      <c r="K4445" s="2" t="s">
        <v>12</v>
      </c>
    </row>
    <row r="4446" spans="1:11" ht="12.5" x14ac:dyDescent="0.25">
      <c r="A4446" s="3" t="e">
        <f ca="1"/>
        <v>#NAME?</v>
      </c>
      <c r="B4446" s="2" t="s">
        <v>12</v>
      </c>
      <c r="C4446" s="2" t="s">
        <v>12</v>
      </c>
      <c r="D4446" s="2" t="s">
        <v>12</v>
      </c>
      <c r="E4446" s="2" t="s">
        <v>12</v>
      </c>
      <c r="F4446" s="2" t="s">
        <v>12</v>
      </c>
      <c r="G4446" s="2" t="s">
        <v>12</v>
      </c>
      <c r="H4446" s="2" t="s">
        <v>12</v>
      </c>
      <c r="I4446" s="2" t="s">
        <v>12</v>
      </c>
      <c r="J4446" s="2" t="s">
        <v>12</v>
      </c>
      <c r="K4446" s="2" t="s">
        <v>12</v>
      </c>
    </row>
    <row r="4447" spans="1:11" ht="12.5" x14ac:dyDescent="0.25">
      <c r="A4447" s="3" t="e">
        <f ca="1"/>
        <v>#NAME?</v>
      </c>
      <c r="B4447" s="2" t="s">
        <v>12</v>
      </c>
      <c r="C4447" s="2" t="s">
        <v>12</v>
      </c>
      <c r="D4447" s="2" t="s">
        <v>12</v>
      </c>
      <c r="E4447" s="2" t="s">
        <v>12</v>
      </c>
      <c r="F4447" s="2" t="s">
        <v>12</v>
      </c>
      <c r="G4447" s="2" t="s">
        <v>12</v>
      </c>
      <c r="H4447" s="2" t="s">
        <v>12</v>
      </c>
      <c r="I4447" s="2" t="s">
        <v>12</v>
      </c>
      <c r="J4447" s="2" t="s">
        <v>12</v>
      </c>
      <c r="K4447" s="2" t="s">
        <v>12</v>
      </c>
    </row>
    <row r="4448" spans="1:11" ht="12.5" x14ac:dyDescent="0.25">
      <c r="A4448" s="3" t="e">
        <f ca="1"/>
        <v>#NAME?</v>
      </c>
      <c r="B4448" s="2" t="s">
        <v>12</v>
      </c>
      <c r="C4448" s="2" t="s">
        <v>12</v>
      </c>
      <c r="D4448" s="2" t="s">
        <v>12</v>
      </c>
      <c r="E4448" s="2" t="s">
        <v>12</v>
      </c>
      <c r="F4448" s="2" t="s">
        <v>12</v>
      </c>
      <c r="G4448" s="2" t="s">
        <v>12</v>
      </c>
      <c r="H4448" s="2" t="s">
        <v>12</v>
      </c>
      <c r="I4448" s="2" t="s">
        <v>12</v>
      </c>
      <c r="J4448" s="2" t="s">
        <v>12</v>
      </c>
      <c r="K4448" s="2" t="s">
        <v>12</v>
      </c>
    </row>
    <row r="4449" spans="1:11" ht="12.5" x14ac:dyDescent="0.25">
      <c r="A4449" s="3" t="e">
        <f ca="1"/>
        <v>#NAME?</v>
      </c>
      <c r="B4449" s="2" t="s">
        <v>12</v>
      </c>
      <c r="C4449" s="2" t="s">
        <v>12</v>
      </c>
      <c r="D4449" s="2" t="s">
        <v>12</v>
      </c>
      <c r="E4449" s="2" t="s">
        <v>12</v>
      </c>
      <c r="F4449" s="2" t="s">
        <v>12</v>
      </c>
      <c r="G4449" s="2" t="s">
        <v>12</v>
      </c>
      <c r="H4449" s="2" t="s">
        <v>12</v>
      </c>
      <c r="I4449" s="2" t="s">
        <v>12</v>
      </c>
      <c r="J4449" s="2" t="s">
        <v>12</v>
      </c>
      <c r="K4449" s="2" t="s">
        <v>12</v>
      </c>
    </row>
    <row r="4450" spans="1:11" ht="12.5" x14ac:dyDescent="0.25">
      <c r="A4450" s="3" t="e">
        <f ca="1"/>
        <v>#NAME?</v>
      </c>
      <c r="B4450" s="2" t="s">
        <v>12</v>
      </c>
      <c r="C4450" s="2" t="s">
        <v>12</v>
      </c>
      <c r="D4450" s="2" t="s">
        <v>12</v>
      </c>
      <c r="E4450" s="2" t="s">
        <v>12</v>
      </c>
      <c r="F4450" s="2" t="s">
        <v>12</v>
      </c>
      <c r="G4450" s="2" t="s">
        <v>12</v>
      </c>
      <c r="H4450" s="2" t="s">
        <v>12</v>
      </c>
      <c r="I4450" s="2" t="s">
        <v>12</v>
      </c>
      <c r="J4450" s="2" t="s">
        <v>12</v>
      </c>
      <c r="K4450" s="2" t="s">
        <v>12</v>
      </c>
    </row>
    <row r="4451" spans="1:11" ht="12.5" x14ac:dyDescent="0.25">
      <c r="A4451" s="3" t="e">
        <f ca="1"/>
        <v>#NAME?</v>
      </c>
      <c r="B4451" s="2" t="s">
        <v>12</v>
      </c>
      <c r="C4451" s="2" t="s">
        <v>12</v>
      </c>
      <c r="D4451" s="2" t="s">
        <v>12</v>
      </c>
      <c r="E4451" s="2" t="s">
        <v>12</v>
      </c>
      <c r="F4451" s="2" t="s">
        <v>12</v>
      </c>
      <c r="G4451" s="2" t="s">
        <v>12</v>
      </c>
      <c r="H4451" s="2" t="s">
        <v>12</v>
      </c>
      <c r="I4451" s="2" t="s">
        <v>12</v>
      </c>
      <c r="J4451" s="2" t="s">
        <v>12</v>
      </c>
      <c r="K4451" s="2" t="s">
        <v>12</v>
      </c>
    </row>
    <row r="4452" spans="1:11" ht="12.5" x14ac:dyDescent="0.25">
      <c r="A4452" s="3" t="e">
        <f ca="1"/>
        <v>#NAME?</v>
      </c>
      <c r="B4452" s="2" t="s">
        <v>12</v>
      </c>
      <c r="C4452" s="2" t="s">
        <v>12</v>
      </c>
      <c r="D4452" s="2" t="s">
        <v>12</v>
      </c>
      <c r="E4452" s="2" t="s">
        <v>12</v>
      </c>
      <c r="F4452" s="2" t="s">
        <v>12</v>
      </c>
      <c r="G4452" s="2" t="s">
        <v>12</v>
      </c>
      <c r="H4452" s="2" t="s">
        <v>12</v>
      </c>
      <c r="I4452" s="2" t="s">
        <v>12</v>
      </c>
      <c r="J4452" s="2" t="s">
        <v>12</v>
      </c>
      <c r="K4452" s="2" t="s">
        <v>12</v>
      </c>
    </row>
    <row r="4453" spans="1:11" ht="12.5" x14ac:dyDescent="0.25">
      <c r="A4453" s="3" t="e">
        <f ca="1"/>
        <v>#NAME?</v>
      </c>
      <c r="B4453" s="2" t="s">
        <v>12</v>
      </c>
      <c r="C4453" s="2" t="s">
        <v>12</v>
      </c>
      <c r="D4453" s="2" t="s">
        <v>12</v>
      </c>
      <c r="E4453" s="2" t="s">
        <v>12</v>
      </c>
      <c r="F4453" s="2" t="s">
        <v>12</v>
      </c>
      <c r="G4453" s="2" t="s">
        <v>12</v>
      </c>
      <c r="H4453" s="2" t="s">
        <v>12</v>
      </c>
      <c r="I4453" s="2" t="s">
        <v>12</v>
      </c>
      <c r="J4453" s="2" t="s">
        <v>12</v>
      </c>
      <c r="K4453" s="2" t="s">
        <v>12</v>
      </c>
    </row>
    <row r="4454" spans="1:11" ht="12.5" x14ac:dyDescent="0.25">
      <c r="A4454" s="3" t="e">
        <f ca="1"/>
        <v>#NAME?</v>
      </c>
      <c r="B4454" s="2" t="s">
        <v>12</v>
      </c>
      <c r="C4454" s="2" t="s">
        <v>12</v>
      </c>
      <c r="D4454" s="2" t="s">
        <v>12</v>
      </c>
      <c r="E4454" s="2" t="s">
        <v>12</v>
      </c>
      <c r="F4454" s="2" t="s">
        <v>12</v>
      </c>
      <c r="G4454" s="2" t="s">
        <v>12</v>
      </c>
      <c r="H4454" s="2" t="s">
        <v>12</v>
      </c>
      <c r="I4454" s="2" t="s">
        <v>12</v>
      </c>
      <c r="J4454" s="2" t="s">
        <v>12</v>
      </c>
      <c r="K4454" s="2" t="s">
        <v>12</v>
      </c>
    </row>
    <row r="4455" spans="1:11" ht="12.5" x14ac:dyDescent="0.25">
      <c r="A4455" s="3" t="e">
        <f ca="1"/>
        <v>#NAME?</v>
      </c>
      <c r="B4455" s="2" t="s">
        <v>12</v>
      </c>
      <c r="C4455" s="2" t="s">
        <v>12</v>
      </c>
      <c r="D4455" s="2" t="s">
        <v>12</v>
      </c>
      <c r="E4455" s="2" t="s">
        <v>12</v>
      </c>
      <c r="F4455" s="2" t="s">
        <v>12</v>
      </c>
      <c r="G4455" s="2" t="s">
        <v>12</v>
      </c>
      <c r="H4455" s="2" t="s">
        <v>12</v>
      </c>
      <c r="I4455" s="2" t="s">
        <v>12</v>
      </c>
      <c r="J4455" s="2" t="s">
        <v>12</v>
      </c>
      <c r="K4455" s="2" t="s">
        <v>12</v>
      </c>
    </row>
    <row r="4456" spans="1:11" ht="12.5" x14ac:dyDescent="0.25">
      <c r="A4456" s="3" t="e">
        <f ca="1"/>
        <v>#NAME?</v>
      </c>
      <c r="B4456" s="2" t="s">
        <v>12</v>
      </c>
      <c r="C4456" s="2" t="s">
        <v>12</v>
      </c>
      <c r="D4456" s="2" t="s">
        <v>12</v>
      </c>
      <c r="E4456" s="2" t="s">
        <v>12</v>
      </c>
      <c r="F4456" s="2" t="s">
        <v>12</v>
      </c>
      <c r="G4456" s="2" t="s">
        <v>12</v>
      </c>
      <c r="H4456" s="2" t="s">
        <v>12</v>
      </c>
      <c r="I4456" s="2" t="s">
        <v>12</v>
      </c>
      <c r="J4456" s="2" t="s">
        <v>12</v>
      </c>
      <c r="K4456" s="2" t="s">
        <v>12</v>
      </c>
    </row>
    <row r="4457" spans="1:11" ht="12.5" x14ac:dyDescent="0.25">
      <c r="A4457" s="3" t="e">
        <f ca="1"/>
        <v>#NAME?</v>
      </c>
      <c r="B4457" s="2" t="s">
        <v>12</v>
      </c>
      <c r="C4457" s="2" t="s">
        <v>12</v>
      </c>
      <c r="D4457" s="2" t="s">
        <v>12</v>
      </c>
      <c r="E4457" s="2" t="s">
        <v>12</v>
      </c>
      <c r="F4457" s="2" t="s">
        <v>12</v>
      </c>
      <c r="G4457" s="2" t="s">
        <v>12</v>
      </c>
      <c r="H4457" s="2" t="s">
        <v>12</v>
      </c>
      <c r="I4457" s="2" t="s">
        <v>12</v>
      </c>
      <c r="J4457" s="2" t="s">
        <v>12</v>
      </c>
      <c r="K4457" s="2" t="s">
        <v>12</v>
      </c>
    </row>
    <row r="4458" spans="1:11" ht="12.5" x14ac:dyDescent="0.25">
      <c r="A4458" s="3" t="e">
        <f ca="1"/>
        <v>#NAME?</v>
      </c>
      <c r="B4458" s="2" t="s">
        <v>12</v>
      </c>
      <c r="C4458" s="2" t="s">
        <v>12</v>
      </c>
      <c r="D4458" s="2" t="s">
        <v>12</v>
      </c>
      <c r="E4458" s="2" t="s">
        <v>12</v>
      </c>
      <c r="F4458" s="2" t="s">
        <v>12</v>
      </c>
      <c r="G4458" s="2" t="s">
        <v>12</v>
      </c>
      <c r="H4458" s="2" t="s">
        <v>12</v>
      </c>
      <c r="I4458" s="2" t="s">
        <v>12</v>
      </c>
      <c r="J4458" s="2" t="s">
        <v>12</v>
      </c>
      <c r="K4458" s="2" t="s">
        <v>12</v>
      </c>
    </row>
    <row r="4459" spans="1:11" ht="12.5" x14ac:dyDescent="0.25">
      <c r="A4459" s="3" t="e">
        <f ca="1"/>
        <v>#NAME?</v>
      </c>
      <c r="B4459" s="2" t="s">
        <v>12</v>
      </c>
      <c r="C4459" s="2" t="s">
        <v>12</v>
      </c>
      <c r="D4459" s="2" t="s">
        <v>12</v>
      </c>
      <c r="E4459" s="2" t="s">
        <v>12</v>
      </c>
      <c r="F4459" s="2" t="s">
        <v>12</v>
      </c>
      <c r="G4459" s="2" t="s">
        <v>12</v>
      </c>
      <c r="H4459" s="2" t="s">
        <v>12</v>
      </c>
      <c r="I4459" s="2" t="s">
        <v>12</v>
      </c>
      <c r="J4459" s="2" t="s">
        <v>12</v>
      </c>
      <c r="K4459" s="2" t="s">
        <v>12</v>
      </c>
    </row>
    <row r="4460" spans="1:11" ht="12.5" x14ac:dyDescent="0.25">
      <c r="A4460" s="3" t="e">
        <f ca="1"/>
        <v>#NAME?</v>
      </c>
      <c r="B4460" s="2" t="s">
        <v>12</v>
      </c>
      <c r="C4460" s="2" t="s">
        <v>12</v>
      </c>
      <c r="D4460" s="2" t="s">
        <v>12</v>
      </c>
      <c r="E4460" s="2" t="s">
        <v>12</v>
      </c>
      <c r="F4460" s="2" t="s">
        <v>12</v>
      </c>
      <c r="G4460" s="2" t="s">
        <v>12</v>
      </c>
      <c r="H4460" s="2" t="s">
        <v>12</v>
      </c>
      <c r="I4460" s="2" t="s">
        <v>12</v>
      </c>
      <c r="J4460" s="2" t="s">
        <v>12</v>
      </c>
      <c r="K4460" s="2" t="s">
        <v>12</v>
      </c>
    </row>
    <row r="4461" spans="1:11" ht="12.5" x14ac:dyDescent="0.25">
      <c r="A4461" s="3" t="e">
        <f ca="1"/>
        <v>#NAME?</v>
      </c>
      <c r="B4461" s="2" t="s">
        <v>12</v>
      </c>
      <c r="C4461" s="2" t="s">
        <v>12</v>
      </c>
      <c r="D4461" s="2" t="s">
        <v>12</v>
      </c>
      <c r="E4461" s="2" t="s">
        <v>12</v>
      </c>
      <c r="F4461" s="2" t="s">
        <v>12</v>
      </c>
      <c r="G4461" s="2" t="s">
        <v>12</v>
      </c>
      <c r="H4461" s="2" t="s">
        <v>12</v>
      </c>
      <c r="I4461" s="2" t="s">
        <v>12</v>
      </c>
      <c r="J4461" s="2" t="s">
        <v>12</v>
      </c>
      <c r="K4461" s="2" t="s">
        <v>12</v>
      </c>
    </row>
    <row r="4462" spans="1:11" ht="12.5" x14ac:dyDescent="0.25">
      <c r="A4462" s="3" t="e">
        <f ca="1"/>
        <v>#NAME?</v>
      </c>
      <c r="B4462" s="2" t="s">
        <v>12</v>
      </c>
      <c r="C4462" s="2" t="s">
        <v>12</v>
      </c>
      <c r="D4462" s="2" t="s">
        <v>12</v>
      </c>
      <c r="E4462" s="2" t="s">
        <v>12</v>
      </c>
      <c r="F4462" s="2" t="s">
        <v>12</v>
      </c>
      <c r="G4462" s="2" t="s">
        <v>12</v>
      </c>
      <c r="H4462" s="2" t="s">
        <v>12</v>
      </c>
      <c r="I4462" s="2" t="s">
        <v>12</v>
      </c>
      <c r="J4462" s="2" t="s">
        <v>12</v>
      </c>
      <c r="K4462" s="2" t="s">
        <v>12</v>
      </c>
    </row>
    <row r="4463" spans="1:11" ht="12.5" x14ac:dyDescent="0.25">
      <c r="A4463" s="3" t="e">
        <f ca="1"/>
        <v>#NAME?</v>
      </c>
      <c r="B4463" s="2" t="s">
        <v>12</v>
      </c>
      <c r="C4463" s="2" t="s">
        <v>12</v>
      </c>
      <c r="D4463" s="2" t="s">
        <v>12</v>
      </c>
      <c r="E4463" s="2" t="s">
        <v>12</v>
      </c>
      <c r="F4463" s="2" t="s">
        <v>12</v>
      </c>
      <c r="G4463" s="2" t="s">
        <v>12</v>
      </c>
      <c r="H4463" s="2" t="s">
        <v>12</v>
      </c>
      <c r="I4463" s="2" t="s">
        <v>12</v>
      </c>
      <c r="J4463" s="2" t="s">
        <v>12</v>
      </c>
      <c r="K4463" s="2" t="s">
        <v>12</v>
      </c>
    </row>
    <row r="4464" spans="1:11" ht="12.5" x14ac:dyDescent="0.25">
      <c r="A4464" s="3" t="e">
        <f ca="1"/>
        <v>#NAME?</v>
      </c>
      <c r="B4464" s="2" t="s">
        <v>12</v>
      </c>
      <c r="C4464" s="2" t="s">
        <v>12</v>
      </c>
      <c r="D4464" s="2" t="s">
        <v>12</v>
      </c>
      <c r="E4464" s="2" t="s">
        <v>12</v>
      </c>
      <c r="F4464" s="2" t="s">
        <v>12</v>
      </c>
      <c r="G4464" s="2" t="s">
        <v>12</v>
      </c>
      <c r="H4464" s="2" t="s">
        <v>12</v>
      </c>
      <c r="I4464" s="2" t="s">
        <v>12</v>
      </c>
      <c r="J4464" s="2" t="s">
        <v>12</v>
      </c>
      <c r="K4464" s="2" t="s">
        <v>12</v>
      </c>
    </row>
    <row r="4465" spans="1:11" ht="12.5" x14ac:dyDescent="0.25">
      <c r="A4465" s="3" t="e">
        <f ca="1"/>
        <v>#NAME?</v>
      </c>
      <c r="B4465" s="2" t="s">
        <v>12</v>
      </c>
      <c r="C4465" s="2" t="s">
        <v>12</v>
      </c>
      <c r="D4465" s="2" t="s">
        <v>12</v>
      </c>
      <c r="E4465" s="2" t="s">
        <v>12</v>
      </c>
      <c r="F4465" s="2" t="s">
        <v>12</v>
      </c>
      <c r="G4465" s="2" t="s">
        <v>12</v>
      </c>
      <c r="H4465" s="2" t="s">
        <v>12</v>
      </c>
      <c r="I4465" s="2" t="s">
        <v>12</v>
      </c>
      <c r="J4465" s="2" t="s">
        <v>12</v>
      </c>
      <c r="K4465" s="2" t="s">
        <v>12</v>
      </c>
    </row>
    <row r="4466" spans="1:11" ht="12.5" x14ac:dyDescent="0.25">
      <c r="A4466" s="3" t="e">
        <f ca="1"/>
        <v>#NAME?</v>
      </c>
      <c r="B4466" s="2" t="s">
        <v>12</v>
      </c>
      <c r="C4466" s="2" t="s">
        <v>12</v>
      </c>
      <c r="D4466" s="2" t="s">
        <v>12</v>
      </c>
      <c r="E4466" s="2" t="s">
        <v>12</v>
      </c>
      <c r="F4466" s="2" t="s">
        <v>12</v>
      </c>
      <c r="G4466" s="2" t="s">
        <v>12</v>
      </c>
      <c r="H4466" s="2" t="s">
        <v>12</v>
      </c>
      <c r="I4466" s="2" t="s">
        <v>12</v>
      </c>
      <c r="J4466" s="2" t="s">
        <v>12</v>
      </c>
      <c r="K4466" s="2" t="s">
        <v>12</v>
      </c>
    </row>
    <row r="4467" spans="1:11" ht="12.5" x14ac:dyDescent="0.25">
      <c r="A4467" s="3" t="e">
        <f ca="1"/>
        <v>#NAME?</v>
      </c>
      <c r="B4467" s="2" t="s">
        <v>12</v>
      </c>
      <c r="C4467" s="2" t="s">
        <v>12</v>
      </c>
      <c r="D4467" s="2" t="s">
        <v>12</v>
      </c>
      <c r="E4467" s="2" t="s">
        <v>12</v>
      </c>
      <c r="F4467" s="2" t="s">
        <v>12</v>
      </c>
      <c r="G4467" s="2" t="s">
        <v>12</v>
      </c>
      <c r="H4467" s="2" t="s">
        <v>12</v>
      </c>
      <c r="I4467" s="2" t="s">
        <v>12</v>
      </c>
      <c r="J4467" s="2" t="s">
        <v>12</v>
      </c>
      <c r="K4467" s="2" t="s">
        <v>12</v>
      </c>
    </row>
    <row r="4468" spans="1:11" ht="12.5" x14ac:dyDescent="0.25">
      <c r="A4468" s="3" t="e">
        <f ca="1"/>
        <v>#NAME?</v>
      </c>
      <c r="B4468" s="2" t="s">
        <v>12</v>
      </c>
      <c r="C4468" s="2" t="s">
        <v>12</v>
      </c>
      <c r="D4468" s="2" t="s">
        <v>12</v>
      </c>
      <c r="E4468" s="2" t="s">
        <v>12</v>
      </c>
      <c r="F4468" s="2" t="s">
        <v>12</v>
      </c>
      <c r="G4468" s="2" t="s">
        <v>12</v>
      </c>
      <c r="H4468" s="2" t="s">
        <v>12</v>
      </c>
      <c r="I4468" s="2" t="s">
        <v>12</v>
      </c>
      <c r="J4468" s="2" t="s">
        <v>12</v>
      </c>
      <c r="K4468" s="2" t="s">
        <v>12</v>
      </c>
    </row>
    <row r="4469" spans="1:11" ht="12.5" x14ac:dyDescent="0.25">
      <c r="A4469" s="3" t="e">
        <f ca="1"/>
        <v>#NAME?</v>
      </c>
      <c r="B4469" s="2" t="s">
        <v>12</v>
      </c>
      <c r="C4469" s="2" t="s">
        <v>12</v>
      </c>
      <c r="D4469" s="2" t="s">
        <v>12</v>
      </c>
      <c r="E4469" s="2" t="s">
        <v>12</v>
      </c>
      <c r="F4469" s="2" t="s">
        <v>12</v>
      </c>
      <c r="G4469" s="2" t="s">
        <v>12</v>
      </c>
      <c r="H4469" s="2" t="s">
        <v>12</v>
      </c>
      <c r="I4469" s="2" t="s">
        <v>12</v>
      </c>
      <c r="J4469" s="2" t="s">
        <v>12</v>
      </c>
      <c r="K4469" s="2" t="s">
        <v>12</v>
      </c>
    </row>
    <row r="4470" spans="1:11" ht="12.5" x14ac:dyDescent="0.25">
      <c r="A4470" s="3" t="e">
        <f ca="1"/>
        <v>#NAME?</v>
      </c>
      <c r="B4470" s="2" t="s">
        <v>12</v>
      </c>
      <c r="C4470" s="2" t="s">
        <v>12</v>
      </c>
      <c r="D4470" s="2" t="s">
        <v>12</v>
      </c>
      <c r="E4470" s="2" t="s">
        <v>12</v>
      </c>
      <c r="F4470" s="2" t="s">
        <v>12</v>
      </c>
      <c r="G4470" s="2" t="s">
        <v>12</v>
      </c>
      <c r="H4470" s="2" t="s">
        <v>12</v>
      </c>
      <c r="I4470" s="2" t="s">
        <v>12</v>
      </c>
      <c r="J4470" s="2" t="s">
        <v>12</v>
      </c>
      <c r="K4470" s="2" t="s">
        <v>12</v>
      </c>
    </row>
    <row r="4471" spans="1:11" ht="12.5" x14ac:dyDescent="0.25">
      <c r="A4471" s="3" t="e">
        <f ca="1"/>
        <v>#NAME?</v>
      </c>
      <c r="B4471" s="2" t="s">
        <v>12</v>
      </c>
      <c r="C4471" s="2" t="s">
        <v>12</v>
      </c>
      <c r="D4471" s="2" t="s">
        <v>12</v>
      </c>
      <c r="E4471" s="2" t="s">
        <v>12</v>
      </c>
      <c r="F4471" s="2" t="s">
        <v>12</v>
      </c>
      <c r="G4471" s="2" t="s">
        <v>12</v>
      </c>
      <c r="H4471" s="2" t="s">
        <v>12</v>
      </c>
      <c r="I4471" s="2" t="s">
        <v>12</v>
      </c>
      <c r="J4471" s="2" t="s">
        <v>12</v>
      </c>
      <c r="K4471" s="2" t="s">
        <v>12</v>
      </c>
    </row>
    <row r="4472" spans="1:11" ht="12.5" x14ac:dyDescent="0.25">
      <c r="A4472" s="3" t="e">
        <f ca="1"/>
        <v>#NAME?</v>
      </c>
      <c r="B4472" s="2" t="s">
        <v>12</v>
      </c>
      <c r="C4472" s="2" t="s">
        <v>12</v>
      </c>
      <c r="D4472" s="2" t="s">
        <v>12</v>
      </c>
      <c r="E4472" s="2" t="s">
        <v>12</v>
      </c>
      <c r="F4472" s="2" t="s">
        <v>12</v>
      </c>
      <c r="G4472" s="2" t="s">
        <v>12</v>
      </c>
      <c r="H4472" s="2" t="s">
        <v>12</v>
      </c>
      <c r="I4472" s="2" t="s">
        <v>12</v>
      </c>
      <c r="J4472" s="2" t="s">
        <v>12</v>
      </c>
      <c r="K4472" s="2" t="s">
        <v>12</v>
      </c>
    </row>
    <row r="4473" spans="1:11" ht="12.5" x14ac:dyDescent="0.25">
      <c r="A4473" s="3" t="e">
        <f ca="1"/>
        <v>#NAME?</v>
      </c>
      <c r="B4473" s="2" t="s">
        <v>12</v>
      </c>
      <c r="C4473" s="2" t="s">
        <v>12</v>
      </c>
      <c r="D4473" s="2" t="s">
        <v>12</v>
      </c>
      <c r="E4473" s="2" t="s">
        <v>12</v>
      </c>
      <c r="F4473" s="2" t="s">
        <v>12</v>
      </c>
      <c r="G4473" s="2" t="s">
        <v>12</v>
      </c>
      <c r="H4473" s="2" t="s">
        <v>12</v>
      </c>
      <c r="I4473" s="2" t="s">
        <v>12</v>
      </c>
      <c r="J4473" s="2" t="s">
        <v>12</v>
      </c>
      <c r="K4473" s="2" t="s">
        <v>12</v>
      </c>
    </row>
    <row r="4474" spans="1:11" ht="12.5" x14ac:dyDescent="0.25">
      <c r="A4474" s="3" t="e">
        <f ca="1"/>
        <v>#NAME?</v>
      </c>
      <c r="B4474" s="2" t="s">
        <v>12</v>
      </c>
      <c r="C4474" s="2" t="s">
        <v>12</v>
      </c>
      <c r="D4474" s="2" t="s">
        <v>12</v>
      </c>
      <c r="E4474" s="2" t="s">
        <v>12</v>
      </c>
      <c r="F4474" s="2" t="s">
        <v>12</v>
      </c>
      <c r="G4474" s="2" t="s">
        <v>12</v>
      </c>
      <c r="H4474" s="2" t="s">
        <v>12</v>
      </c>
      <c r="I4474" s="2" t="s">
        <v>12</v>
      </c>
      <c r="J4474" s="2" t="s">
        <v>12</v>
      </c>
      <c r="K4474" s="2" t="s">
        <v>12</v>
      </c>
    </row>
    <row r="4475" spans="1:11" ht="12.5" x14ac:dyDescent="0.25">
      <c r="A4475" s="3" t="e">
        <f ca="1"/>
        <v>#NAME?</v>
      </c>
      <c r="B4475" s="2" t="s">
        <v>12</v>
      </c>
      <c r="C4475" s="2" t="s">
        <v>12</v>
      </c>
      <c r="D4475" s="2" t="s">
        <v>12</v>
      </c>
      <c r="E4475" s="2" t="s">
        <v>12</v>
      </c>
      <c r="F4475" s="2" t="s">
        <v>12</v>
      </c>
      <c r="G4475" s="2" t="s">
        <v>12</v>
      </c>
      <c r="H4475" s="2" t="s">
        <v>12</v>
      </c>
      <c r="I4475" s="2" t="s">
        <v>12</v>
      </c>
      <c r="J4475" s="2" t="s">
        <v>12</v>
      </c>
      <c r="K4475" s="2" t="s">
        <v>12</v>
      </c>
    </row>
    <row r="4476" spans="1:11" ht="12.5" x14ac:dyDescent="0.25">
      <c r="A4476" s="3" t="e">
        <f ca="1"/>
        <v>#NAME?</v>
      </c>
      <c r="B4476" s="2" t="s">
        <v>12</v>
      </c>
      <c r="C4476" s="2" t="s">
        <v>12</v>
      </c>
      <c r="D4476" s="2" t="s">
        <v>12</v>
      </c>
      <c r="E4476" s="2" t="s">
        <v>12</v>
      </c>
      <c r="F4476" s="2" t="s">
        <v>12</v>
      </c>
      <c r="G4476" s="2" t="s">
        <v>12</v>
      </c>
      <c r="H4476" s="2" t="s">
        <v>12</v>
      </c>
      <c r="I4476" s="2" t="s">
        <v>12</v>
      </c>
      <c r="J4476" s="2" t="s">
        <v>12</v>
      </c>
      <c r="K4476" s="2" t="s">
        <v>12</v>
      </c>
    </row>
    <row r="4477" spans="1:11" ht="12.5" x14ac:dyDescent="0.25">
      <c r="A4477" s="3" t="e">
        <f ca="1"/>
        <v>#NAME?</v>
      </c>
      <c r="B4477" s="2" t="s">
        <v>12</v>
      </c>
      <c r="C4477" s="2" t="s">
        <v>12</v>
      </c>
      <c r="D4477" s="2" t="s">
        <v>12</v>
      </c>
      <c r="E4477" s="2" t="s">
        <v>12</v>
      </c>
      <c r="F4477" s="2" t="s">
        <v>12</v>
      </c>
      <c r="G4477" s="2" t="s">
        <v>12</v>
      </c>
      <c r="H4477" s="2" t="s">
        <v>12</v>
      </c>
      <c r="I4477" s="2" t="s">
        <v>12</v>
      </c>
      <c r="J4477" s="2" t="s">
        <v>12</v>
      </c>
      <c r="K4477" s="2" t="s">
        <v>12</v>
      </c>
    </row>
    <row r="4478" spans="1:11" ht="12.5" x14ac:dyDescent="0.25">
      <c r="A4478" s="3" t="e">
        <f ca="1"/>
        <v>#NAME?</v>
      </c>
      <c r="B4478" s="2" t="s">
        <v>12</v>
      </c>
      <c r="C4478" s="2" t="s">
        <v>12</v>
      </c>
      <c r="D4478" s="2" t="s">
        <v>12</v>
      </c>
      <c r="E4478" s="2" t="s">
        <v>12</v>
      </c>
      <c r="F4478" s="2" t="s">
        <v>12</v>
      </c>
      <c r="G4478" s="2" t="s">
        <v>12</v>
      </c>
      <c r="H4478" s="2" t="s">
        <v>12</v>
      </c>
      <c r="I4478" s="2" t="s">
        <v>12</v>
      </c>
      <c r="J4478" s="2" t="s">
        <v>12</v>
      </c>
      <c r="K4478" s="2" t="s">
        <v>12</v>
      </c>
    </row>
    <row r="4479" spans="1:11" ht="12.5" x14ac:dyDescent="0.25">
      <c r="A4479" s="3" t="e">
        <f ca="1"/>
        <v>#NAME?</v>
      </c>
      <c r="B4479" s="2" t="s">
        <v>12</v>
      </c>
      <c r="C4479" s="2" t="s">
        <v>12</v>
      </c>
      <c r="D4479" s="2" t="s">
        <v>12</v>
      </c>
      <c r="E4479" s="2" t="s">
        <v>12</v>
      </c>
      <c r="F4479" s="2" t="s">
        <v>12</v>
      </c>
      <c r="G4479" s="2" t="s">
        <v>12</v>
      </c>
      <c r="H4479" s="2" t="s">
        <v>12</v>
      </c>
      <c r="I4479" s="2" t="s">
        <v>12</v>
      </c>
      <c r="J4479" s="2" t="s">
        <v>12</v>
      </c>
      <c r="K4479" s="2" t="s">
        <v>12</v>
      </c>
    </row>
    <row r="4480" spans="1:11" ht="12.5" x14ac:dyDescent="0.25">
      <c r="A4480" s="3" t="e">
        <f ca="1"/>
        <v>#NAME?</v>
      </c>
      <c r="B4480" s="2" t="s">
        <v>12</v>
      </c>
      <c r="C4480" s="2" t="s">
        <v>12</v>
      </c>
      <c r="D4480" s="2" t="s">
        <v>12</v>
      </c>
      <c r="E4480" s="2" t="s">
        <v>12</v>
      </c>
      <c r="F4480" s="2" t="s">
        <v>12</v>
      </c>
      <c r="G4480" s="2" t="s">
        <v>12</v>
      </c>
      <c r="H4480" s="2" t="s">
        <v>12</v>
      </c>
      <c r="I4480" s="2" t="s">
        <v>12</v>
      </c>
      <c r="J4480" s="2" t="s">
        <v>12</v>
      </c>
      <c r="K4480" s="2" t="s">
        <v>12</v>
      </c>
    </row>
    <row r="4481" spans="1:11" ht="12.5" x14ac:dyDescent="0.25">
      <c r="A4481" s="3" t="e">
        <f ca="1"/>
        <v>#NAME?</v>
      </c>
      <c r="B4481" s="2" t="s">
        <v>12</v>
      </c>
      <c r="C4481" s="2" t="s">
        <v>12</v>
      </c>
      <c r="D4481" s="2" t="s">
        <v>12</v>
      </c>
      <c r="E4481" s="2" t="s">
        <v>12</v>
      </c>
      <c r="F4481" s="2" t="s">
        <v>12</v>
      </c>
      <c r="G4481" s="2" t="s">
        <v>12</v>
      </c>
      <c r="H4481" s="2" t="s">
        <v>12</v>
      </c>
      <c r="I4481" s="2" t="s">
        <v>12</v>
      </c>
      <c r="J4481" s="2" t="s">
        <v>12</v>
      </c>
      <c r="K4481" s="2" t="s">
        <v>12</v>
      </c>
    </row>
    <row r="4482" spans="1:11" ht="12.5" x14ac:dyDescent="0.25">
      <c r="A4482" s="3" t="e">
        <f ca="1"/>
        <v>#NAME?</v>
      </c>
      <c r="B4482" s="2" t="s">
        <v>12</v>
      </c>
      <c r="C4482" s="2" t="s">
        <v>12</v>
      </c>
      <c r="D4482" s="2" t="s">
        <v>12</v>
      </c>
      <c r="E4482" s="2" t="s">
        <v>12</v>
      </c>
      <c r="F4482" s="2" t="s">
        <v>12</v>
      </c>
      <c r="G4482" s="2" t="s">
        <v>12</v>
      </c>
      <c r="H4482" s="2" t="s">
        <v>12</v>
      </c>
      <c r="I4482" s="2" t="s">
        <v>12</v>
      </c>
      <c r="J4482" s="2" t="s">
        <v>12</v>
      </c>
      <c r="K4482" s="2" t="s">
        <v>12</v>
      </c>
    </row>
    <row r="4483" spans="1:11" ht="12.5" x14ac:dyDescent="0.25">
      <c r="A4483" s="3" t="e">
        <f ca="1"/>
        <v>#NAME?</v>
      </c>
      <c r="B4483" s="2" t="s">
        <v>12</v>
      </c>
      <c r="C4483" s="2" t="s">
        <v>12</v>
      </c>
      <c r="D4483" s="2" t="s">
        <v>12</v>
      </c>
      <c r="E4483" s="2" t="s">
        <v>12</v>
      </c>
      <c r="F4483" s="2" t="s">
        <v>12</v>
      </c>
      <c r="G4483" s="2" t="s">
        <v>12</v>
      </c>
      <c r="H4483" s="2" t="s">
        <v>12</v>
      </c>
      <c r="I4483" s="2" t="s">
        <v>12</v>
      </c>
      <c r="J4483" s="2" t="s">
        <v>12</v>
      </c>
      <c r="K4483" s="2" t="s">
        <v>12</v>
      </c>
    </row>
    <row r="4484" spans="1:11" ht="12.5" x14ac:dyDescent="0.25">
      <c r="A4484" s="3" t="e">
        <f ca="1"/>
        <v>#NAME?</v>
      </c>
      <c r="B4484" s="2" t="s">
        <v>12</v>
      </c>
      <c r="C4484" s="2" t="s">
        <v>12</v>
      </c>
      <c r="D4484" s="2" t="s">
        <v>12</v>
      </c>
      <c r="E4484" s="2" t="s">
        <v>12</v>
      </c>
      <c r="F4484" s="2" t="s">
        <v>12</v>
      </c>
      <c r="G4484" s="2" t="s">
        <v>12</v>
      </c>
      <c r="H4484" s="2" t="s">
        <v>12</v>
      </c>
      <c r="I4484" s="2" t="s">
        <v>12</v>
      </c>
      <c r="J4484" s="2" t="s">
        <v>12</v>
      </c>
      <c r="K4484" s="2" t="s">
        <v>12</v>
      </c>
    </row>
    <row r="4485" spans="1:11" ht="12.5" x14ac:dyDescent="0.25">
      <c r="A4485" s="3" t="e">
        <f ca="1"/>
        <v>#NAME?</v>
      </c>
      <c r="B4485" s="2" t="s">
        <v>12</v>
      </c>
      <c r="C4485" s="2" t="s">
        <v>12</v>
      </c>
      <c r="D4485" s="2" t="s">
        <v>12</v>
      </c>
      <c r="E4485" s="2" t="s">
        <v>12</v>
      </c>
      <c r="F4485" s="2" t="s">
        <v>12</v>
      </c>
      <c r="G4485" s="2" t="s">
        <v>12</v>
      </c>
      <c r="H4485" s="2" t="s">
        <v>12</v>
      </c>
      <c r="I4485" s="2" t="s">
        <v>12</v>
      </c>
      <c r="J4485" s="2" t="s">
        <v>12</v>
      </c>
      <c r="K4485" s="2" t="s">
        <v>12</v>
      </c>
    </row>
    <row r="4486" spans="1:11" ht="12.5" x14ac:dyDescent="0.25">
      <c r="A4486" s="3" t="e">
        <f ca="1"/>
        <v>#NAME?</v>
      </c>
      <c r="B4486" s="2" t="s">
        <v>12</v>
      </c>
      <c r="C4486" s="2" t="s">
        <v>12</v>
      </c>
      <c r="D4486" s="2" t="s">
        <v>12</v>
      </c>
      <c r="E4486" s="2" t="s">
        <v>12</v>
      </c>
      <c r="F4486" s="2" t="s">
        <v>12</v>
      </c>
      <c r="G4486" s="2" t="s">
        <v>12</v>
      </c>
      <c r="H4486" s="2" t="s">
        <v>12</v>
      </c>
      <c r="I4486" s="2" t="s">
        <v>12</v>
      </c>
      <c r="J4486" s="2" t="s">
        <v>12</v>
      </c>
      <c r="K4486" s="2" t="s">
        <v>12</v>
      </c>
    </row>
    <row r="4487" spans="1:11" ht="12.5" x14ac:dyDescent="0.25">
      <c r="A4487" s="3" t="e">
        <f ca="1"/>
        <v>#NAME?</v>
      </c>
      <c r="B4487" s="2" t="s">
        <v>12</v>
      </c>
      <c r="C4487" s="2" t="s">
        <v>12</v>
      </c>
      <c r="D4487" s="2" t="s">
        <v>12</v>
      </c>
      <c r="E4487" s="2" t="s">
        <v>12</v>
      </c>
      <c r="F4487" s="2" t="s">
        <v>12</v>
      </c>
      <c r="G4487" s="2" t="s">
        <v>12</v>
      </c>
      <c r="H4487" s="2" t="s">
        <v>12</v>
      </c>
      <c r="I4487" s="2" t="s">
        <v>12</v>
      </c>
      <c r="J4487" s="2" t="s">
        <v>12</v>
      </c>
      <c r="K4487" s="2" t="s">
        <v>12</v>
      </c>
    </row>
    <row r="4488" spans="1:11" ht="12.5" x14ac:dyDescent="0.25">
      <c r="A4488" s="3" t="e">
        <f ca="1"/>
        <v>#NAME?</v>
      </c>
      <c r="B4488" s="2" t="s">
        <v>12</v>
      </c>
      <c r="C4488" s="2" t="s">
        <v>12</v>
      </c>
      <c r="D4488" s="2" t="s">
        <v>12</v>
      </c>
      <c r="E4488" s="2" t="s">
        <v>12</v>
      </c>
      <c r="F4488" s="2" t="s">
        <v>12</v>
      </c>
      <c r="G4488" s="2" t="s">
        <v>12</v>
      </c>
      <c r="H4488" s="2" t="s">
        <v>12</v>
      </c>
      <c r="I4488" s="2" t="s">
        <v>12</v>
      </c>
      <c r="J4488" s="2" t="s">
        <v>12</v>
      </c>
      <c r="K4488" s="2" t="s">
        <v>12</v>
      </c>
    </row>
    <row r="4489" spans="1:11" ht="12.5" x14ac:dyDescent="0.25">
      <c r="A4489" s="3" t="e">
        <f ca="1"/>
        <v>#NAME?</v>
      </c>
      <c r="B4489" s="2" t="s">
        <v>12</v>
      </c>
      <c r="C4489" s="2" t="s">
        <v>12</v>
      </c>
      <c r="D4489" s="2" t="s">
        <v>12</v>
      </c>
      <c r="E4489" s="2" t="s">
        <v>12</v>
      </c>
      <c r="F4489" s="2" t="s">
        <v>12</v>
      </c>
      <c r="G4489" s="2" t="s">
        <v>12</v>
      </c>
      <c r="H4489" s="2" t="s">
        <v>12</v>
      </c>
      <c r="I4489" s="2" t="s">
        <v>12</v>
      </c>
      <c r="J4489" s="2" t="s">
        <v>12</v>
      </c>
      <c r="K4489" s="2" t="s">
        <v>12</v>
      </c>
    </row>
    <row r="4490" spans="1:11" ht="12.5" x14ac:dyDescent="0.25">
      <c r="A4490" s="3" t="e">
        <f ca="1"/>
        <v>#NAME?</v>
      </c>
      <c r="B4490" s="2" t="s">
        <v>12</v>
      </c>
      <c r="C4490" s="2" t="s">
        <v>12</v>
      </c>
      <c r="D4490" s="2" t="s">
        <v>12</v>
      </c>
      <c r="E4490" s="2" t="s">
        <v>12</v>
      </c>
      <c r="F4490" s="2" t="s">
        <v>12</v>
      </c>
      <c r="G4490" s="2" t="s">
        <v>12</v>
      </c>
      <c r="H4490" s="2" t="s">
        <v>12</v>
      </c>
      <c r="I4490" s="2" t="s">
        <v>12</v>
      </c>
      <c r="J4490" s="2" t="s">
        <v>12</v>
      </c>
      <c r="K4490" s="2" t="s">
        <v>12</v>
      </c>
    </row>
    <row r="4491" spans="1:11" ht="12.5" x14ac:dyDescent="0.25">
      <c r="A4491" s="3" t="e">
        <f ca="1"/>
        <v>#NAME?</v>
      </c>
      <c r="B4491" s="2" t="s">
        <v>12</v>
      </c>
      <c r="C4491" s="2" t="s">
        <v>12</v>
      </c>
      <c r="D4491" s="2" t="s">
        <v>12</v>
      </c>
      <c r="E4491" s="2" t="s">
        <v>12</v>
      </c>
      <c r="F4491" s="2" t="s">
        <v>12</v>
      </c>
      <c r="G4491" s="2" t="s">
        <v>12</v>
      </c>
      <c r="H4491" s="2" t="s">
        <v>12</v>
      </c>
      <c r="I4491" s="2" t="s">
        <v>12</v>
      </c>
      <c r="J4491" s="2" t="s">
        <v>12</v>
      </c>
      <c r="K4491" s="2" t="s">
        <v>12</v>
      </c>
    </row>
    <row r="4492" spans="1:11" ht="12.5" x14ac:dyDescent="0.25">
      <c r="A4492" s="3" t="e">
        <f ca="1"/>
        <v>#NAME?</v>
      </c>
      <c r="B4492" s="2" t="s">
        <v>12</v>
      </c>
      <c r="C4492" s="2" t="s">
        <v>12</v>
      </c>
      <c r="D4492" s="2" t="s">
        <v>12</v>
      </c>
      <c r="E4492" s="2" t="s">
        <v>12</v>
      </c>
      <c r="F4492" s="2" t="s">
        <v>12</v>
      </c>
      <c r="G4492" s="2" t="s">
        <v>12</v>
      </c>
      <c r="H4492" s="2" t="s">
        <v>12</v>
      </c>
      <c r="I4492" s="2" t="s">
        <v>12</v>
      </c>
      <c r="J4492" s="2" t="s">
        <v>12</v>
      </c>
      <c r="K4492" s="2" t="s">
        <v>12</v>
      </c>
    </row>
    <row r="4493" spans="1:11" ht="12.5" x14ac:dyDescent="0.25">
      <c r="A4493" s="3" t="e">
        <f ca="1"/>
        <v>#NAME?</v>
      </c>
      <c r="B4493" s="2" t="s">
        <v>12</v>
      </c>
      <c r="C4493" s="2" t="s">
        <v>12</v>
      </c>
      <c r="D4493" s="2" t="s">
        <v>12</v>
      </c>
      <c r="E4493" s="2" t="s">
        <v>12</v>
      </c>
      <c r="F4493" s="2" t="s">
        <v>12</v>
      </c>
      <c r="G4493" s="2" t="s">
        <v>12</v>
      </c>
      <c r="H4493" s="2" t="s">
        <v>12</v>
      </c>
      <c r="I4493" s="2" t="s">
        <v>12</v>
      </c>
      <c r="J4493" s="2" t="s">
        <v>12</v>
      </c>
      <c r="K4493" s="2" t="s">
        <v>12</v>
      </c>
    </row>
    <row r="4494" spans="1:11" ht="12.5" x14ac:dyDescent="0.25">
      <c r="A4494" s="3" t="e">
        <f ca="1"/>
        <v>#NAME?</v>
      </c>
      <c r="B4494" s="2" t="s">
        <v>12</v>
      </c>
      <c r="C4494" s="2" t="s">
        <v>12</v>
      </c>
      <c r="D4494" s="2" t="s">
        <v>12</v>
      </c>
      <c r="E4494" s="2" t="s">
        <v>12</v>
      </c>
      <c r="F4494" s="2" t="s">
        <v>12</v>
      </c>
      <c r="G4494" s="2" t="s">
        <v>12</v>
      </c>
      <c r="H4494" s="2" t="s">
        <v>12</v>
      </c>
      <c r="I4494" s="2" t="s">
        <v>12</v>
      </c>
      <c r="J4494" s="2" t="s">
        <v>12</v>
      </c>
      <c r="K4494" s="2" t="s">
        <v>12</v>
      </c>
    </row>
    <row r="4495" spans="1:11" ht="12.5" x14ac:dyDescent="0.25">
      <c r="A4495" s="3" t="e">
        <f ca="1"/>
        <v>#NAME?</v>
      </c>
      <c r="B4495" s="2" t="s">
        <v>12</v>
      </c>
      <c r="C4495" s="2" t="s">
        <v>12</v>
      </c>
      <c r="D4495" s="2" t="s">
        <v>12</v>
      </c>
      <c r="E4495" s="2" t="s">
        <v>12</v>
      </c>
      <c r="F4495" s="2" t="s">
        <v>12</v>
      </c>
      <c r="G4495" s="2" t="s">
        <v>12</v>
      </c>
      <c r="H4495" s="2" t="s">
        <v>12</v>
      </c>
      <c r="I4495" s="2" t="s">
        <v>12</v>
      </c>
      <c r="J4495" s="2" t="s">
        <v>12</v>
      </c>
      <c r="K4495" s="2" t="s">
        <v>12</v>
      </c>
    </row>
    <row r="4496" spans="1:11" ht="12.5" x14ac:dyDescent="0.25">
      <c r="A4496" s="3" t="e">
        <f ca="1"/>
        <v>#NAME?</v>
      </c>
      <c r="B4496" s="2" t="s">
        <v>12</v>
      </c>
      <c r="C4496" s="2" t="s">
        <v>12</v>
      </c>
      <c r="D4496" s="2" t="s">
        <v>12</v>
      </c>
      <c r="E4496" s="2" t="s">
        <v>12</v>
      </c>
      <c r="F4496" s="2" t="s">
        <v>12</v>
      </c>
      <c r="G4496" s="2" t="s">
        <v>12</v>
      </c>
      <c r="H4496" s="2" t="s">
        <v>12</v>
      </c>
      <c r="I4496" s="2" t="s">
        <v>12</v>
      </c>
      <c r="J4496" s="2" t="s">
        <v>12</v>
      </c>
      <c r="K4496" s="2" t="s">
        <v>12</v>
      </c>
    </row>
    <row r="4497" spans="1:11" ht="12.5" x14ac:dyDescent="0.25">
      <c r="A4497" s="3" t="e">
        <f ca="1"/>
        <v>#NAME?</v>
      </c>
      <c r="B4497" s="2" t="s">
        <v>12</v>
      </c>
      <c r="C4497" s="2" t="s">
        <v>12</v>
      </c>
      <c r="D4497" s="2" t="s">
        <v>12</v>
      </c>
      <c r="E4497" s="2" t="s">
        <v>12</v>
      </c>
      <c r="F4497" s="2" t="s">
        <v>12</v>
      </c>
      <c r="G4497" s="2" t="s">
        <v>12</v>
      </c>
      <c r="H4497" s="2" t="s">
        <v>12</v>
      </c>
      <c r="I4497" s="2" t="s">
        <v>12</v>
      </c>
      <c r="J4497" s="2" t="s">
        <v>12</v>
      </c>
      <c r="K4497" s="2" t="s">
        <v>12</v>
      </c>
    </row>
    <row r="4498" spans="1:11" ht="12.5" x14ac:dyDescent="0.25">
      <c r="A4498" s="3" t="e">
        <f ca="1"/>
        <v>#NAME?</v>
      </c>
      <c r="B4498" s="2" t="s">
        <v>12</v>
      </c>
      <c r="C4498" s="2" t="s">
        <v>12</v>
      </c>
      <c r="D4498" s="2" t="s">
        <v>12</v>
      </c>
      <c r="E4498" s="2" t="s">
        <v>12</v>
      </c>
      <c r="F4498" s="2" t="s">
        <v>12</v>
      </c>
      <c r="G4498" s="2" t="s">
        <v>12</v>
      </c>
      <c r="H4498" s="2" t="s">
        <v>12</v>
      </c>
      <c r="I4498" s="2" t="s">
        <v>12</v>
      </c>
      <c r="J4498" s="2" t="s">
        <v>12</v>
      </c>
      <c r="K4498" s="2" t="s">
        <v>12</v>
      </c>
    </row>
    <row r="4499" spans="1:11" ht="12.5" x14ac:dyDescent="0.25">
      <c r="A4499" s="3" t="e">
        <f ca="1"/>
        <v>#NAME?</v>
      </c>
      <c r="B4499" s="2" t="s">
        <v>12</v>
      </c>
      <c r="C4499" s="2" t="s">
        <v>12</v>
      </c>
      <c r="D4499" s="2" t="s">
        <v>12</v>
      </c>
      <c r="E4499" s="2" t="s">
        <v>12</v>
      </c>
      <c r="F4499" s="2" t="s">
        <v>12</v>
      </c>
      <c r="G4499" s="2" t="s">
        <v>12</v>
      </c>
      <c r="H4499" s="2" t="s">
        <v>12</v>
      </c>
      <c r="I4499" s="2" t="s">
        <v>12</v>
      </c>
      <c r="J4499" s="2" t="s">
        <v>12</v>
      </c>
      <c r="K4499" s="2" t="s">
        <v>12</v>
      </c>
    </row>
    <row r="4500" spans="1:11" ht="12.5" x14ac:dyDescent="0.25">
      <c r="A4500" s="3" t="e">
        <f ca="1"/>
        <v>#NAME?</v>
      </c>
      <c r="B4500" s="2" t="s">
        <v>12</v>
      </c>
      <c r="C4500" s="2" t="s">
        <v>12</v>
      </c>
      <c r="D4500" s="2" t="s">
        <v>12</v>
      </c>
      <c r="E4500" s="2" t="s">
        <v>12</v>
      </c>
      <c r="F4500" s="2" t="s">
        <v>12</v>
      </c>
      <c r="G4500" s="2" t="s">
        <v>12</v>
      </c>
      <c r="H4500" s="2" t="s">
        <v>12</v>
      </c>
      <c r="I4500" s="2" t="s">
        <v>12</v>
      </c>
      <c r="J4500" s="2" t="s">
        <v>12</v>
      </c>
      <c r="K4500" s="2" t="s">
        <v>12</v>
      </c>
    </row>
    <row r="4501" spans="1:11" ht="12.5" x14ac:dyDescent="0.25">
      <c r="A4501" s="3" t="e">
        <f ca="1"/>
        <v>#NAME?</v>
      </c>
      <c r="B4501" s="2" t="s">
        <v>12</v>
      </c>
      <c r="C4501" s="2" t="s">
        <v>12</v>
      </c>
      <c r="D4501" s="2" t="s">
        <v>12</v>
      </c>
      <c r="E4501" s="2" t="s">
        <v>12</v>
      </c>
      <c r="F4501" s="2" t="s">
        <v>12</v>
      </c>
      <c r="G4501" s="2" t="s">
        <v>12</v>
      </c>
      <c r="H4501" s="2" t="s">
        <v>12</v>
      </c>
      <c r="I4501" s="2" t="s">
        <v>12</v>
      </c>
      <c r="J4501" s="2" t="s">
        <v>12</v>
      </c>
      <c r="K4501" s="2" t="s">
        <v>12</v>
      </c>
    </row>
    <row r="4502" spans="1:11" ht="12.5" x14ac:dyDescent="0.25">
      <c r="A4502" s="3" t="e">
        <f ca="1"/>
        <v>#NAME?</v>
      </c>
      <c r="B4502" s="2" t="s">
        <v>12</v>
      </c>
      <c r="C4502" s="2" t="s">
        <v>12</v>
      </c>
      <c r="D4502" s="2" t="s">
        <v>12</v>
      </c>
      <c r="E4502" s="2" t="s">
        <v>12</v>
      </c>
      <c r="F4502" s="2" t="s">
        <v>12</v>
      </c>
      <c r="G4502" s="2" t="s">
        <v>12</v>
      </c>
      <c r="H4502" s="2" t="s">
        <v>12</v>
      </c>
      <c r="I4502" s="2" t="s">
        <v>12</v>
      </c>
      <c r="J4502" s="2" t="s">
        <v>12</v>
      </c>
      <c r="K4502" s="2" t="s">
        <v>12</v>
      </c>
    </row>
    <row r="4503" spans="1:11" ht="12.5" x14ac:dyDescent="0.25">
      <c r="A4503" s="3" t="e">
        <f ca="1"/>
        <v>#NAME?</v>
      </c>
      <c r="B4503" s="2" t="s">
        <v>12</v>
      </c>
      <c r="C4503" s="2" t="s">
        <v>12</v>
      </c>
      <c r="D4503" s="2" t="s">
        <v>12</v>
      </c>
      <c r="E4503" s="2" t="s">
        <v>12</v>
      </c>
      <c r="F4503" s="2" t="s">
        <v>12</v>
      </c>
      <c r="G4503" s="2" t="s">
        <v>12</v>
      </c>
      <c r="H4503" s="2" t="s">
        <v>12</v>
      </c>
      <c r="I4503" s="2" t="s">
        <v>12</v>
      </c>
      <c r="J4503" s="2" t="s">
        <v>12</v>
      </c>
      <c r="K4503" s="2" t="s">
        <v>12</v>
      </c>
    </row>
    <row r="4504" spans="1:11" ht="12.5" x14ac:dyDescent="0.25">
      <c r="A4504" s="3" t="e">
        <f ca="1"/>
        <v>#NAME?</v>
      </c>
      <c r="B4504" s="2" t="s">
        <v>12</v>
      </c>
      <c r="C4504" s="2" t="s">
        <v>12</v>
      </c>
      <c r="D4504" s="2" t="s">
        <v>12</v>
      </c>
      <c r="E4504" s="2" t="s">
        <v>12</v>
      </c>
      <c r="F4504" s="2" t="s">
        <v>12</v>
      </c>
      <c r="G4504" s="2" t="s">
        <v>12</v>
      </c>
      <c r="H4504" s="2" t="s">
        <v>12</v>
      </c>
      <c r="I4504" s="2" t="s">
        <v>12</v>
      </c>
      <c r="J4504" s="2" t="s">
        <v>12</v>
      </c>
      <c r="K4504" s="2" t="s">
        <v>12</v>
      </c>
    </row>
    <row r="4505" spans="1:11" ht="12.5" x14ac:dyDescent="0.25">
      <c r="A4505" s="3" t="e">
        <f ca="1"/>
        <v>#NAME?</v>
      </c>
      <c r="B4505" s="2" t="s">
        <v>12</v>
      </c>
      <c r="C4505" s="2" t="s">
        <v>12</v>
      </c>
      <c r="D4505" s="2" t="s">
        <v>12</v>
      </c>
      <c r="E4505" s="2" t="s">
        <v>12</v>
      </c>
      <c r="F4505" s="2" t="s">
        <v>12</v>
      </c>
      <c r="G4505" s="2" t="s">
        <v>12</v>
      </c>
      <c r="H4505" s="2" t="s">
        <v>12</v>
      </c>
      <c r="I4505" s="2" t="s">
        <v>12</v>
      </c>
      <c r="J4505" s="2" t="s">
        <v>12</v>
      </c>
      <c r="K4505" s="2" t="s">
        <v>12</v>
      </c>
    </row>
    <row r="4506" spans="1:11" ht="12.5" x14ac:dyDescent="0.25">
      <c r="A4506" s="3" t="e">
        <f ca="1"/>
        <v>#NAME?</v>
      </c>
      <c r="B4506" s="2" t="s">
        <v>12</v>
      </c>
      <c r="C4506" s="2" t="s">
        <v>12</v>
      </c>
      <c r="D4506" s="2" t="s">
        <v>12</v>
      </c>
      <c r="E4506" s="2" t="s">
        <v>12</v>
      </c>
      <c r="F4506" s="2" t="s">
        <v>12</v>
      </c>
      <c r="G4506" s="2" t="s">
        <v>12</v>
      </c>
      <c r="H4506" s="2" t="s">
        <v>12</v>
      </c>
      <c r="I4506" s="2" t="s">
        <v>12</v>
      </c>
      <c r="J4506" s="2" t="s">
        <v>12</v>
      </c>
      <c r="K4506" s="2" t="s">
        <v>12</v>
      </c>
    </row>
    <row r="4507" spans="1:11" ht="12.5" x14ac:dyDescent="0.25">
      <c r="A4507" s="3" t="e">
        <f ca="1"/>
        <v>#NAME?</v>
      </c>
      <c r="B4507" s="2" t="s">
        <v>12</v>
      </c>
      <c r="C4507" s="2" t="s">
        <v>12</v>
      </c>
      <c r="D4507" s="2" t="s">
        <v>12</v>
      </c>
      <c r="E4507" s="2" t="s">
        <v>12</v>
      </c>
      <c r="F4507" s="2" t="s">
        <v>12</v>
      </c>
      <c r="G4507" s="2" t="s">
        <v>12</v>
      </c>
      <c r="H4507" s="2" t="s">
        <v>12</v>
      </c>
      <c r="I4507" s="2" t="s">
        <v>12</v>
      </c>
      <c r="J4507" s="2" t="s">
        <v>12</v>
      </c>
      <c r="K4507" s="2" t="s">
        <v>12</v>
      </c>
    </row>
    <row r="4508" spans="1:11" ht="12.5" x14ac:dyDescent="0.25">
      <c r="A4508" s="3" t="e">
        <f ca="1"/>
        <v>#NAME?</v>
      </c>
      <c r="B4508" s="2" t="s">
        <v>12</v>
      </c>
      <c r="C4508" s="2" t="s">
        <v>12</v>
      </c>
      <c r="D4508" s="2" t="s">
        <v>12</v>
      </c>
      <c r="E4508" s="2" t="s">
        <v>12</v>
      </c>
      <c r="F4508" s="2" t="s">
        <v>12</v>
      </c>
      <c r="G4508" s="2" t="s">
        <v>12</v>
      </c>
      <c r="H4508" s="2" t="s">
        <v>12</v>
      </c>
      <c r="I4508" s="2" t="s">
        <v>12</v>
      </c>
      <c r="J4508" s="2" t="s">
        <v>12</v>
      </c>
      <c r="K4508" s="2" t="s">
        <v>12</v>
      </c>
    </row>
    <row r="4509" spans="1:11" ht="12.5" x14ac:dyDescent="0.25">
      <c r="A4509" s="3" t="e">
        <f ca="1"/>
        <v>#NAME?</v>
      </c>
      <c r="B4509" s="2" t="s">
        <v>12</v>
      </c>
      <c r="C4509" s="2" t="s">
        <v>12</v>
      </c>
      <c r="D4509" s="2" t="s">
        <v>12</v>
      </c>
      <c r="E4509" s="2" t="s">
        <v>12</v>
      </c>
      <c r="F4509" s="2" t="s">
        <v>12</v>
      </c>
      <c r="G4509" s="2" t="s">
        <v>12</v>
      </c>
      <c r="H4509" s="2" t="s">
        <v>12</v>
      </c>
      <c r="I4509" s="2" t="s">
        <v>12</v>
      </c>
      <c r="J4509" s="2" t="s">
        <v>12</v>
      </c>
      <c r="K4509" s="2" t="s">
        <v>12</v>
      </c>
    </row>
    <row r="4510" spans="1:11" ht="12.5" x14ac:dyDescent="0.25">
      <c r="A4510" s="3" t="e">
        <f ca="1"/>
        <v>#NAME?</v>
      </c>
      <c r="B4510" s="2" t="s">
        <v>12</v>
      </c>
      <c r="C4510" s="2" t="s">
        <v>12</v>
      </c>
      <c r="D4510" s="2" t="s">
        <v>12</v>
      </c>
      <c r="E4510" s="2" t="s">
        <v>12</v>
      </c>
      <c r="F4510" s="2" t="s">
        <v>12</v>
      </c>
      <c r="G4510" s="2" t="s">
        <v>12</v>
      </c>
      <c r="H4510" s="2" t="s">
        <v>12</v>
      </c>
      <c r="I4510" s="2" t="s">
        <v>12</v>
      </c>
      <c r="J4510" s="2" t="s">
        <v>12</v>
      </c>
      <c r="K4510" s="2" t="s">
        <v>12</v>
      </c>
    </row>
    <row r="4511" spans="1:11" ht="12.5" x14ac:dyDescent="0.25">
      <c r="A4511" s="3" t="e">
        <f ca="1"/>
        <v>#NAME?</v>
      </c>
      <c r="B4511" s="2" t="s">
        <v>12</v>
      </c>
      <c r="C4511" s="2" t="s">
        <v>12</v>
      </c>
      <c r="D4511" s="2" t="s">
        <v>12</v>
      </c>
      <c r="E4511" s="2" t="s">
        <v>12</v>
      </c>
      <c r="F4511" s="2" t="s">
        <v>12</v>
      </c>
      <c r="G4511" s="2" t="s">
        <v>12</v>
      </c>
      <c r="H4511" s="2" t="s">
        <v>12</v>
      </c>
      <c r="I4511" s="2" t="s">
        <v>12</v>
      </c>
      <c r="J4511" s="2" t="s">
        <v>12</v>
      </c>
      <c r="K4511" s="2" t="s">
        <v>12</v>
      </c>
    </row>
    <row r="4512" spans="1:11" ht="12.5" x14ac:dyDescent="0.25">
      <c r="A4512" s="3" t="e">
        <f ca="1"/>
        <v>#NAME?</v>
      </c>
      <c r="B4512" s="2" t="s">
        <v>12</v>
      </c>
      <c r="C4512" s="2" t="s">
        <v>12</v>
      </c>
      <c r="D4512" s="2" t="s">
        <v>12</v>
      </c>
      <c r="E4512" s="2" t="s">
        <v>12</v>
      </c>
      <c r="F4512" s="2" t="s">
        <v>12</v>
      </c>
      <c r="G4512" s="2" t="s">
        <v>12</v>
      </c>
      <c r="H4512" s="2" t="s">
        <v>12</v>
      </c>
      <c r="I4512" s="2" t="s">
        <v>12</v>
      </c>
      <c r="J4512" s="2" t="s">
        <v>12</v>
      </c>
      <c r="K4512" s="2" t="s">
        <v>12</v>
      </c>
    </row>
    <row r="4513" spans="1:11" ht="12.5" x14ac:dyDescent="0.25">
      <c r="A4513" s="3" t="e">
        <f ca="1"/>
        <v>#NAME?</v>
      </c>
      <c r="B4513" s="2" t="s">
        <v>12</v>
      </c>
      <c r="C4513" s="2" t="s">
        <v>12</v>
      </c>
      <c r="D4513" s="2" t="s">
        <v>12</v>
      </c>
      <c r="E4513" s="2" t="s">
        <v>12</v>
      </c>
      <c r="F4513" s="2" t="s">
        <v>12</v>
      </c>
      <c r="G4513" s="2" t="s">
        <v>12</v>
      </c>
      <c r="H4513" s="2" t="s">
        <v>12</v>
      </c>
      <c r="I4513" s="2" t="s">
        <v>12</v>
      </c>
      <c r="J4513" s="2" t="s">
        <v>12</v>
      </c>
      <c r="K4513" s="2" t="s">
        <v>12</v>
      </c>
    </row>
    <row r="4514" spans="1:11" ht="12.5" x14ac:dyDescent="0.25">
      <c r="A4514" s="3" t="e">
        <f ca="1"/>
        <v>#NAME?</v>
      </c>
      <c r="B4514" s="2" t="s">
        <v>12</v>
      </c>
      <c r="C4514" s="2" t="s">
        <v>12</v>
      </c>
      <c r="D4514" s="2" t="s">
        <v>12</v>
      </c>
      <c r="E4514" s="2" t="s">
        <v>12</v>
      </c>
      <c r="F4514" s="2" t="s">
        <v>12</v>
      </c>
      <c r="G4514" s="2" t="s">
        <v>12</v>
      </c>
      <c r="H4514" s="2" t="s">
        <v>12</v>
      </c>
      <c r="I4514" s="2" t="s">
        <v>12</v>
      </c>
      <c r="J4514" s="2" t="s">
        <v>12</v>
      </c>
      <c r="K4514" s="2" t="s">
        <v>12</v>
      </c>
    </row>
    <row r="4515" spans="1:11" ht="12.5" x14ac:dyDescent="0.25">
      <c r="A4515" s="3" t="e">
        <f ca="1"/>
        <v>#NAME?</v>
      </c>
      <c r="B4515" s="2" t="s">
        <v>12</v>
      </c>
      <c r="C4515" s="2" t="s">
        <v>12</v>
      </c>
      <c r="D4515" s="2" t="s">
        <v>12</v>
      </c>
      <c r="E4515" s="2" t="s">
        <v>12</v>
      </c>
      <c r="F4515" s="2" t="s">
        <v>12</v>
      </c>
      <c r="G4515" s="2" t="s">
        <v>12</v>
      </c>
      <c r="H4515" s="2" t="s">
        <v>12</v>
      </c>
      <c r="I4515" s="2" t="s">
        <v>12</v>
      </c>
      <c r="J4515" s="2" t="s">
        <v>12</v>
      </c>
      <c r="K4515" s="2" t="s">
        <v>12</v>
      </c>
    </row>
    <row r="4516" spans="1:11" ht="12.5" x14ac:dyDescent="0.25">
      <c r="A4516" s="3" t="e">
        <f ca="1"/>
        <v>#NAME?</v>
      </c>
      <c r="B4516" s="2" t="s">
        <v>12</v>
      </c>
      <c r="C4516" s="2" t="s">
        <v>12</v>
      </c>
      <c r="D4516" s="2" t="s">
        <v>12</v>
      </c>
      <c r="E4516" s="2" t="s">
        <v>12</v>
      </c>
      <c r="F4516" s="2" t="s">
        <v>12</v>
      </c>
      <c r="G4516" s="2" t="s">
        <v>12</v>
      </c>
      <c r="H4516" s="2" t="s">
        <v>12</v>
      </c>
      <c r="I4516" s="2" t="s">
        <v>12</v>
      </c>
      <c r="J4516" s="2" t="s">
        <v>12</v>
      </c>
      <c r="K4516" s="2" t="s">
        <v>12</v>
      </c>
    </row>
    <row r="4517" spans="1:11" ht="12.5" x14ac:dyDescent="0.25">
      <c r="A4517" s="3" t="e">
        <f ca="1"/>
        <v>#NAME?</v>
      </c>
      <c r="B4517" s="2" t="s">
        <v>12</v>
      </c>
      <c r="C4517" s="2" t="s">
        <v>12</v>
      </c>
      <c r="D4517" s="2" t="s">
        <v>12</v>
      </c>
      <c r="E4517" s="2" t="s">
        <v>12</v>
      </c>
      <c r="F4517" s="2" t="s">
        <v>12</v>
      </c>
      <c r="G4517" s="2" t="s">
        <v>12</v>
      </c>
      <c r="H4517" s="2" t="s">
        <v>12</v>
      </c>
      <c r="I4517" s="2" t="s">
        <v>12</v>
      </c>
      <c r="J4517" s="2" t="s">
        <v>12</v>
      </c>
      <c r="K4517" s="2" t="s">
        <v>12</v>
      </c>
    </row>
    <row r="4518" spans="1:11" ht="12.5" x14ac:dyDescent="0.25">
      <c r="A4518" s="3" t="e">
        <f ca="1"/>
        <v>#NAME?</v>
      </c>
      <c r="B4518" s="2" t="s">
        <v>12</v>
      </c>
      <c r="C4518" s="2" t="s">
        <v>12</v>
      </c>
      <c r="D4518" s="2" t="s">
        <v>12</v>
      </c>
      <c r="E4518" s="2" t="s">
        <v>12</v>
      </c>
      <c r="F4518" s="2" t="s">
        <v>12</v>
      </c>
      <c r="G4518" s="2" t="s">
        <v>12</v>
      </c>
      <c r="H4518" s="2" t="s">
        <v>12</v>
      </c>
      <c r="I4518" s="2" t="s">
        <v>12</v>
      </c>
      <c r="J4518" s="2" t="s">
        <v>12</v>
      </c>
      <c r="K4518" s="2" t="s">
        <v>12</v>
      </c>
    </row>
    <row r="4519" spans="1:11" ht="12.5" x14ac:dyDescent="0.25">
      <c r="A4519" s="3" t="e">
        <f ca="1"/>
        <v>#NAME?</v>
      </c>
      <c r="B4519" s="2" t="s">
        <v>12</v>
      </c>
      <c r="C4519" s="2" t="s">
        <v>12</v>
      </c>
      <c r="D4519" s="2" t="s">
        <v>12</v>
      </c>
      <c r="E4519" s="2" t="s">
        <v>12</v>
      </c>
      <c r="F4519" s="2" t="s">
        <v>12</v>
      </c>
      <c r="G4519" s="2" t="s">
        <v>12</v>
      </c>
      <c r="H4519" s="2" t="s">
        <v>12</v>
      </c>
      <c r="I4519" s="2" t="s">
        <v>12</v>
      </c>
      <c r="J4519" s="2" t="s">
        <v>12</v>
      </c>
      <c r="K4519" s="2" t="s">
        <v>12</v>
      </c>
    </row>
    <row r="4520" spans="1:11" ht="12.5" x14ac:dyDescent="0.25">
      <c r="A4520" s="3" t="e">
        <f ca="1"/>
        <v>#NAME?</v>
      </c>
      <c r="B4520" s="2" t="s">
        <v>12</v>
      </c>
      <c r="C4520" s="2" t="s">
        <v>12</v>
      </c>
      <c r="D4520" s="2" t="s">
        <v>12</v>
      </c>
      <c r="E4520" s="2" t="s">
        <v>12</v>
      </c>
      <c r="F4520" s="2" t="s">
        <v>12</v>
      </c>
      <c r="G4520" s="2" t="s">
        <v>12</v>
      </c>
      <c r="H4520" s="2" t="s">
        <v>12</v>
      </c>
      <c r="I4520" s="2" t="s">
        <v>12</v>
      </c>
      <c r="J4520" s="2" t="s">
        <v>12</v>
      </c>
      <c r="K4520" s="2" t="s">
        <v>12</v>
      </c>
    </row>
    <row r="4521" spans="1:11" ht="12.5" x14ac:dyDescent="0.25">
      <c r="A4521" s="3" t="e">
        <f ca="1"/>
        <v>#NAME?</v>
      </c>
      <c r="B4521" s="2" t="s">
        <v>12</v>
      </c>
      <c r="C4521" s="2" t="s">
        <v>12</v>
      </c>
      <c r="D4521" s="2" t="s">
        <v>12</v>
      </c>
      <c r="E4521" s="2" t="s">
        <v>12</v>
      </c>
      <c r="F4521" s="2" t="s">
        <v>12</v>
      </c>
      <c r="G4521" s="2" t="s">
        <v>12</v>
      </c>
      <c r="H4521" s="2" t="s">
        <v>12</v>
      </c>
      <c r="I4521" s="2" t="s">
        <v>12</v>
      </c>
      <c r="J4521" s="2" t="s">
        <v>12</v>
      </c>
      <c r="K4521" s="2" t="s">
        <v>12</v>
      </c>
    </row>
    <row r="4522" spans="1:11" ht="12.5" x14ac:dyDescent="0.25">
      <c r="A4522" s="3" t="e">
        <f ca="1"/>
        <v>#NAME?</v>
      </c>
      <c r="B4522" s="2" t="s">
        <v>12</v>
      </c>
      <c r="C4522" s="2" t="s">
        <v>12</v>
      </c>
      <c r="D4522" s="2" t="s">
        <v>12</v>
      </c>
      <c r="E4522" s="2" t="s">
        <v>12</v>
      </c>
      <c r="F4522" s="2" t="s">
        <v>12</v>
      </c>
      <c r="G4522" s="2" t="s">
        <v>12</v>
      </c>
      <c r="H4522" s="2" t="s">
        <v>12</v>
      </c>
      <c r="I4522" s="2" t="s">
        <v>12</v>
      </c>
      <c r="J4522" s="2" t="s">
        <v>12</v>
      </c>
      <c r="K4522" s="2" t="s">
        <v>12</v>
      </c>
    </row>
    <row r="4523" spans="1:11" ht="12.5" x14ac:dyDescent="0.25">
      <c r="A4523" s="3" t="e">
        <f ca="1"/>
        <v>#NAME?</v>
      </c>
      <c r="B4523" s="2" t="s">
        <v>12</v>
      </c>
      <c r="C4523" s="2" t="s">
        <v>12</v>
      </c>
      <c r="D4523" s="2" t="s">
        <v>12</v>
      </c>
      <c r="E4523" s="2" t="s">
        <v>12</v>
      </c>
      <c r="F4523" s="2" t="s">
        <v>12</v>
      </c>
      <c r="G4523" s="2" t="s">
        <v>12</v>
      </c>
      <c r="H4523" s="2" t="s">
        <v>12</v>
      </c>
      <c r="I4523" s="2" t="s">
        <v>12</v>
      </c>
      <c r="J4523" s="2" t="s">
        <v>12</v>
      </c>
      <c r="K4523" s="2" t="s">
        <v>12</v>
      </c>
    </row>
    <row r="4524" spans="1:11" ht="12.5" x14ac:dyDescent="0.25">
      <c r="A4524" s="3" t="e">
        <f ca="1"/>
        <v>#NAME?</v>
      </c>
      <c r="B4524" s="2" t="s">
        <v>12</v>
      </c>
      <c r="C4524" s="2" t="s">
        <v>12</v>
      </c>
      <c r="D4524" s="2" t="s">
        <v>12</v>
      </c>
      <c r="E4524" s="2" t="s">
        <v>12</v>
      </c>
      <c r="F4524" s="2" t="s">
        <v>12</v>
      </c>
      <c r="G4524" s="2" t="s">
        <v>12</v>
      </c>
      <c r="H4524" s="2" t="s">
        <v>12</v>
      </c>
      <c r="I4524" s="2" t="s">
        <v>12</v>
      </c>
      <c r="J4524" s="2" t="s">
        <v>12</v>
      </c>
      <c r="K4524" s="2" t="s">
        <v>12</v>
      </c>
    </row>
    <row r="4525" spans="1:11" ht="12.5" x14ac:dyDescent="0.25">
      <c r="A4525" s="3" t="e">
        <f ca="1"/>
        <v>#NAME?</v>
      </c>
      <c r="B4525" s="2" t="s">
        <v>12</v>
      </c>
      <c r="C4525" s="2" t="s">
        <v>12</v>
      </c>
      <c r="D4525" s="2" t="s">
        <v>12</v>
      </c>
      <c r="E4525" s="2" t="s">
        <v>12</v>
      </c>
      <c r="F4525" s="2" t="s">
        <v>12</v>
      </c>
      <c r="G4525" s="2" t="s">
        <v>12</v>
      </c>
      <c r="H4525" s="2" t="s">
        <v>12</v>
      </c>
      <c r="I4525" s="2" t="s">
        <v>12</v>
      </c>
      <c r="J4525" s="2" t="s">
        <v>12</v>
      </c>
      <c r="K4525" s="2" t="s">
        <v>12</v>
      </c>
    </row>
    <row r="4526" spans="1:11" ht="12.5" x14ac:dyDescent="0.25">
      <c r="A4526" s="3" t="e">
        <f ca="1"/>
        <v>#NAME?</v>
      </c>
      <c r="B4526" s="2" t="s">
        <v>12</v>
      </c>
      <c r="C4526" s="2" t="s">
        <v>12</v>
      </c>
      <c r="D4526" s="2" t="s">
        <v>12</v>
      </c>
      <c r="E4526" s="2" t="s">
        <v>12</v>
      </c>
      <c r="F4526" s="2" t="s">
        <v>12</v>
      </c>
      <c r="G4526" s="2" t="s">
        <v>12</v>
      </c>
      <c r="H4526" s="2" t="s">
        <v>12</v>
      </c>
      <c r="I4526" s="2" t="s">
        <v>12</v>
      </c>
      <c r="J4526" s="2" t="s">
        <v>12</v>
      </c>
      <c r="K4526" s="2" t="s">
        <v>12</v>
      </c>
    </row>
    <row r="4527" spans="1:11" ht="12.5" x14ac:dyDescent="0.25">
      <c r="A4527" s="3" t="e">
        <f ca="1"/>
        <v>#NAME?</v>
      </c>
      <c r="B4527" s="2" t="s">
        <v>12</v>
      </c>
      <c r="C4527" s="2" t="s">
        <v>12</v>
      </c>
      <c r="D4527" s="2" t="s">
        <v>12</v>
      </c>
      <c r="E4527" s="2" t="s">
        <v>12</v>
      </c>
      <c r="F4527" s="2" t="s">
        <v>12</v>
      </c>
      <c r="G4527" s="2" t="s">
        <v>12</v>
      </c>
      <c r="H4527" s="2" t="s">
        <v>12</v>
      </c>
      <c r="I4527" s="2" t="s">
        <v>12</v>
      </c>
      <c r="J4527" s="2" t="s">
        <v>12</v>
      </c>
      <c r="K4527" s="2" t="s">
        <v>12</v>
      </c>
    </row>
    <row r="4528" spans="1:11" ht="12.5" x14ac:dyDescent="0.25">
      <c r="A4528" s="3" t="e">
        <f ca="1"/>
        <v>#NAME?</v>
      </c>
      <c r="B4528" s="2" t="s">
        <v>12</v>
      </c>
      <c r="C4528" s="2" t="s">
        <v>12</v>
      </c>
      <c r="D4528" s="2" t="s">
        <v>12</v>
      </c>
      <c r="E4528" s="2" t="s">
        <v>12</v>
      </c>
      <c r="F4528" s="2" t="s">
        <v>12</v>
      </c>
      <c r="G4528" s="2" t="s">
        <v>12</v>
      </c>
      <c r="H4528" s="2" t="s">
        <v>12</v>
      </c>
      <c r="I4528" s="2" t="s">
        <v>12</v>
      </c>
      <c r="J4528" s="2" t="s">
        <v>12</v>
      </c>
      <c r="K4528" s="2" t="s">
        <v>12</v>
      </c>
    </row>
    <row r="4529" spans="1:11" ht="12.5" x14ac:dyDescent="0.25">
      <c r="A4529" s="3" t="e">
        <f ca="1"/>
        <v>#NAME?</v>
      </c>
      <c r="B4529" s="2" t="s">
        <v>12</v>
      </c>
      <c r="C4529" s="2" t="s">
        <v>12</v>
      </c>
      <c r="D4529" s="2" t="s">
        <v>12</v>
      </c>
      <c r="E4529" s="2" t="s">
        <v>12</v>
      </c>
      <c r="F4529" s="2" t="s">
        <v>12</v>
      </c>
      <c r="G4529" s="2" t="s">
        <v>12</v>
      </c>
      <c r="H4529" s="2" t="s">
        <v>12</v>
      </c>
      <c r="I4529" s="2" t="s">
        <v>12</v>
      </c>
      <c r="J4529" s="2" t="s">
        <v>12</v>
      </c>
      <c r="K4529" s="2" t="s">
        <v>12</v>
      </c>
    </row>
    <row r="4530" spans="1:11" ht="12.5" x14ac:dyDescent="0.25">
      <c r="A4530" s="3" t="e">
        <f ca="1"/>
        <v>#NAME?</v>
      </c>
      <c r="B4530" s="2" t="s">
        <v>12</v>
      </c>
      <c r="C4530" s="2" t="s">
        <v>12</v>
      </c>
      <c r="D4530" s="2" t="s">
        <v>12</v>
      </c>
      <c r="E4530" s="2" t="s">
        <v>12</v>
      </c>
      <c r="F4530" s="2" t="s">
        <v>12</v>
      </c>
      <c r="G4530" s="2" t="s">
        <v>12</v>
      </c>
      <c r="H4530" s="2" t="s">
        <v>12</v>
      </c>
      <c r="I4530" s="2" t="s">
        <v>12</v>
      </c>
      <c r="J4530" s="2" t="s">
        <v>12</v>
      </c>
      <c r="K4530" s="2" t="s">
        <v>12</v>
      </c>
    </row>
    <row r="4531" spans="1:11" ht="12.5" x14ac:dyDescent="0.25">
      <c r="A4531" s="3" t="e">
        <f ca="1"/>
        <v>#NAME?</v>
      </c>
      <c r="B4531" s="2" t="s">
        <v>12</v>
      </c>
      <c r="C4531" s="2" t="s">
        <v>12</v>
      </c>
      <c r="D4531" s="2" t="s">
        <v>12</v>
      </c>
      <c r="E4531" s="2" t="s">
        <v>12</v>
      </c>
      <c r="F4531" s="2" t="s">
        <v>12</v>
      </c>
      <c r="G4531" s="2" t="s">
        <v>12</v>
      </c>
      <c r="H4531" s="2" t="s">
        <v>12</v>
      </c>
      <c r="I4531" s="2" t="s">
        <v>12</v>
      </c>
      <c r="J4531" s="2" t="s">
        <v>12</v>
      </c>
      <c r="K4531" s="2" t="s">
        <v>12</v>
      </c>
    </row>
    <row r="4532" spans="1:11" ht="12.5" x14ac:dyDescent="0.25">
      <c r="A4532" s="3" t="e">
        <f ca="1"/>
        <v>#NAME?</v>
      </c>
      <c r="B4532" s="2" t="s">
        <v>12</v>
      </c>
      <c r="C4532" s="2" t="s">
        <v>12</v>
      </c>
      <c r="D4532" s="2" t="s">
        <v>12</v>
      </c>
      <c r="E4532" s="2" t="s">
        <v>12</v>
      </c>
      <c r="F4532" s="2" t="s">
        <v>12</v>
      </c>
      <c r="G4532" s="2" t="s">
        <v>12</v>
      </c>
      <c r="H4532" s="2" t="s">
        <v>12</v>
      </c>
      <c r="I4532" s="2" t="s">
        <v>12</v>
      </c>
      <c r="J4532" s="2" t="s">
        <v>12</v>
      </c>
      <c r="K4532" s="2" t="s">
        <v>12</v>
      </c>
    </row>
    <row r="4533" spans="1:11" ht="12.5" x14ac:dyDescent="0.25">
      <c r="A4533" s="3" t="e">
        <f ca="1"/>
        <v>#NAME?</v>
      </c>
      <c r="B4533" s="2" t="s">
        <v>12</v>
      </c>
      <c r="C4533" s="2" t="s">
        <v>12</v>
      </c>
      <c r="D4533" s="2" t="s">
        <v>12</v>
      </c>
      <c r="E4533" s="2" t="s">
        <v>12</v>
      </c>
      <c r="F4533" s="2" t="s">
        <v>12</v>
      </c>
      <c r="G4533" s="2" t="s">
        <v>12</v>
      </c>
      <c r="H4533" s="2" t="s">
        <v>12</v>
      </c>
      <c r="I4533" s="2" t="s">
        <v>12</v>
      </c>
      <c r="J4533" s="2" t="s">
        <v>12</v>
      </c>
      <c r="K4533" s="2" t="s">
        <v>12</v>
      </c>
    </row>
    <row r="4534" spans="1:11" ht="12.5" x14ac:dyDescent="0.25">
      <c r="A4534" s="3" t="e">
        <f ca="1"/>
        <v>#NAME?</v>
      </c>
      <c r="B4534" s="2" t="s">
        <v>12</v>
      </c>
      <c r="C4534" s="2" t="s">
        <v>12</v>
      </c>
      <c r="D4534" s="2" t="s">
        <v>12</v>
      </c>
      <c r="E4534" s="2" t="s">
        <v>12</v>
      </c>
      <c r="F4534" s="2" t="s">
        <v>12</v>
      </c>
      <c r="G4534" s="2" t="s">
        <v>12</v>
      </c>
      <c r="H4534" s="2" t="s">
        <v>12</v>
      </c>
      <c r="I4534" s="2" t="s">
        <v>12</v>
      </c>
      <c r="J4534" s="2" t="s">
        <v>12</v>
      </c>
      <c r="K4534" s="2" t="s">
        <v>12</v>
      </c>
    </row>
    <row r="4535" spans="1:11" ht="12.5" x14ac:dyDescent="0.25">
      <c r="A4535" s="3" t="e">
        <f ca="1"/>
        <v>#NAME?</v>
      </c>
      <c r="B4535" s="2" t="s">
        <v>12</v>
      </c>
      <c r="C4535" s="2" t="s">
        <v>12</v>
      </c>
      <c r="D4535" s="2" t="s">
        <v>12</v>
      </c>
      <c r="E4535" s="2" t="s">
        <v>12</v>
      </c>
      <c r="F4535" s="2" t="s">
        <v>12</v>
      </c>
      <c r="G4535" s="2" t="s">
        <v>12</v>
      </c>
      <c r="H4535" s="2" t="s">
        <v>12</v>
      </c>
      <c r="I4535" s="2" t="s">
        <v>12</v>
      </c>
      <c r="J4535" s="2" t="s">
        <v>12</v>
      </c>
      <c r="K4535" s="2" t="s">
        <v>12</v>
      </c>
    </row>
    <row r="4536" spans="1:11" ht="12.5" x14ac:dyDescent="0.25">
      <c r="A4536" s="3" t="e">
        <f ca="1"/>
        <v>#NAME?</v>
      </c>
      <c r="B4536" s="2" t="s">
        <v>12</v>
      </c>
      <c r="C4536" s="2" t="s">
        <v>12</v>
      </c>
      <c r="D4536" s="2" t="s">
        <v>12</v>
      </c>
      <c r="E4536" s="2" t="s">
        <v>12</v>
      </c>
      <c r="F4536" s="2" t="s">
        <v>12</v>
      </c>
      <c r="G4536" s="2" t="s">
        <v>12</v>
      </c>
      <c r="H4536" s="2" t="s">
        <v>12</v>
      </c>
      <c r="I4536" s="2" t="s">
        <v>12</v>
      </c>
      <c r="J4536" s="2" t="s">
        <v>12</v>
      </c>
      <c r="K4536" s="2" t="s">
        <v>12</v>
      </c>
    </row>
    <row r="4537" spans="1:11" ht="12.5" x14ac:dyDescent="0.25">
      <c r="A4537" s="3" t="e">
        <f ca="1"/>
        <v>#NAME?</v>
      </c>
      <c r="B4537" s="2" t="s">
        <v>12</v>
      </c>
      <c r="C4537" s="2" t="s">
        <v>12</v>
      </c>
      <c r="D4537" s="2" t="s">
        <v>12</v>
      </c>
      <c r="E4537" s="2" t="s">
        <v>12</v>
      </c>
      <c r="F4537" s="2" t="s">
        <v>12</v>
      </c>
      <c r="G4537" s="2" t="s">
        <v>12</v>
      </c>
      <c r="H4537" s="2" t="s">
        <v>12</v>
      </c>
      <c r="I4537" s="2" t="s">
        <v>12</v>
      </c>
      <c r="J4537" s="2" t="s">
        <v>12</v>
      </c>
      <c r="K4537" s="2" t="s">
        <v>12</v>
      </c>
    </row>
    <row r="4538" spans="1:11" ht="12.5" x14ac:dyDescent="0.25">
      <c r="A4538" s="3" t="e">
        <f ca="1"/>
        <v>#NAME?</v>
      </c>
      <c r="B4538" s="2" t="s">
        <v>12</v>
      </c>
      <c r="C4538" s="2" t="s">
        <v>12</v>
      </c>
      <c r="D4538" s="2" t="s">
        <v>12</v>
      </c>
      <c r="E4538" s="2" t="s">
        <v>12</v>
      </c>
      <c r="F4538" s="2" t="s">
        <v>12</v>
      </c>
      <c r="G4538" s="2" t="s">
        <v>12</v>
      </c>
      <c r="H4538" s="2" t="s">
        <v>12</v>
      </c>
      <c r="I4538" s="2" t="s">
        <v>12</v>
      </c>
      <c r="J4538" s="2" t="s">
        <v>12</v>
      </c>
      <c r="K4538" s="2" t="s">
        <v>12</v>
      </c>
    </row>
    <row r="4539" spans="1:11" ht="12.5" x14ac:dyDescent="0.25">
      <c r="A4539" s="3" t="e">
        <f ca="1"/>
        <v>#NAME?</v>
      </c>
      <c r="B4539" s="2" t="s">
        <v>12</v>
      </c>
      <c r="C4539" s="2" t="s">
        <v>12</v>
      </c>
      <c r="D4539" s="2" t="s">
        <v>12</v>
      </c>
      <c r="E4539" s="2" t="s">
        <v>12</v>
      </c>
      <c r="F4539" s="2" t="s">
        <v>12</v>
      </c>
      <c r="G4539" s="2" t="s">
        <v>12</v>
      </c>
      <c r="H4539" s="2" t="s">
        <v>12</v>
      </c>
      <c r="I4539" s="2" t="s">
        <v>12</v>
      </c>
      <c r="J4539" s="2" t="s">
        <v>12</v>
      </c>
      <c r="K4539" s="2" t="s">
        <v>12</v>
      </c>
    </row>
    <row r="4540" spans="1:11" ht="12.5" x14ac:dyDescent="0.25">
      <c r="A4540" s="3" t="e">
        <f ca="1"/>
        <v>#NAME?</v>
      </c>
      <c r="B4540" s="2" t="s">
        <v>12</v>
      </c>
      <c r="C4540" s="2" t="s">
        <v>12</v>
      </c>
      <c r="D4540" s="2" t="s">
        <v>12</v>
      </c>
      <c r="E4540" s="2" t="s">
        <v>12</v>
      </c>
      <c r="F4540" s="2" t="s">
        <v>12</v>
      </c>
      <c r="G4540" s="2" t="s">
        <v>12</v>
      </c>
      <c r="H4540" s="2" t="s">
        <v>12</v>
      </c>
      <c r="I4540" s="2" t="s">
        <v>12</v>
      </c>
      <c r="J4540" s="2" t="s">
        <v>12</v>
      </c>
      <c r="K4540" s="2" t="s">
        <v>12</v>
      </c>
    </row>
    <row r="4541" spans="1:11" ht="12.5" x14ac:dyDescent="0.25">
      <c r="A4541" s="3" t="e">
        <f ca="1"/>
        <v>#NAME?</v>
      </c>
      <c r="B4541" s="2" t="s">
        <v>12</v>
      </c>
      <c r="C4541" s="2" t="s">
        <v>12</v>
      </c>
      <c r="D4541" s="2" t="s">
        <v>12</v>
      </c>
      <c r="E4541" s="2" t="s">
        <v>12</v>
      </c>
      <c r="F4541" s="2" t="s">
        <v>12</v>
      </c>
      <c r="G4541" s="2" t="s">
        <v>12</v>
      </c>
      <c r="H4541" s="2" t="s">
        <v>12</v>
      </c>
      <c r="I4541" s="2" t="s">
        <v>12</v>
      </c>
      <c r="J4541" s="2" t="s">
        <v>12</v>
      </c>
      <c r="K4541" s="2" t="s">
        <v>12</v>
      </c>
    </row>
    <row r="4542" spans="1:11" ht="12.5" x14ac:dyDescent="0.25">
      <c r="A4542" s="3" t="e">
        <f ca="1"/>
        <v>#NAME?</v>
      </c>
      <c r="B4542" s="2" t="s">
        <v>12</v>
      </c>
      <c r="C4542" s="2" t="s">
        <v>12</v>
      </c>
      <c r="D4542" s="2" t="s">
        <v>12</v>
      </c>
      <c r="E4542" s="2" t="s">
        <v>12</v>
      </c>
      <c r="F4542" s="2" t="s">
        <v>12</v>
      </c>
      <c r="G4542" s="2" t="s">
        <v>12</v>
      </c>
      <c r="H4542" s="2" t="s">
        <v>12</v>
      </c>
      <c r="I4542" s="2" t="s">
        <v>12</v>
      </c>
      <c r="J4542" s="2" t="s">
        <v>12</v>
      </c>
      <c r="K4542" s="2" t="s">
        <v>12</v>
      </c>
    </row>
    <row r="4543" spans="1:11" ht="12.5" x14ac:dyDescent="0.25">
      <c r="A4543" s="3" t="e">
        <f ca="1"/>
        <v>#NAME?</v>
      </c>
      <c r="B4543" s="2" t="s">
        <v>12</v>
      </c>
      <c r="C4543" s="2" t="s">
        <v>12</v>
      </c>
      <c r="D4543" s="2" t="s">
        <v>12</v>
      </c>
      <c r="E4543" s="2" t="s">
        <v>12</v>
      </c>
      <c r="F4543" s="2" t="s">
        <v>12</v>
      </c>
      <c r="G4543" s="2" t="s">
        <v>12</v>
      </c>
      <c r="H4543" s="2" t="s">
        <v>12</v>
      </c>
      <c r="I4543" s="2" t="s">
        <v>12</v>
      </c>
      <c r="J4543" s="2" t="s">
        <v>12</v>
      </c>
      <c r="K4543" s="2" t="s">
        <v>12</v>
      </c>
    </row>
    <row r="4544" spans="1:11" ht="12.5" x14ac:dyDescent="0.25">
      <c r="A4544" s="3" t="e">
        <f ca="1"/>
        <v>#NAME?</v>
      </c>
      <c r="B4544" s="2" t="s">
        <v>12</v>
      </c>
      <c r="C4544" s="2" t="s">
        <v>12</v>
      </c>
      <c r="D4544" s="2" t="s">
        <v>12</v>
      </c>
      <c r="E4544" s="2" t="s">
        <v>12</v>
      </c>
      <c r="F4544" s="2" t="s">
        <v>12</v>
      </c>
      <c r="G4544" s="2" t="s">
        <v>12</v>
      </c>
      <c r="H4544" s="2" t="s">
        <v>12</v>
      </c>
      <c r="I4544" s="2" t="s">
        <v>12</v>
      </c>
      <c r="J4544" s="2" t="s">
        <v>12</v>
      </c>
      <c r="K4544" s="2" t="s">
        <v>12</v>
      </c>
    </row>
    <row r="4545" spans="1:11" ht="12.5" x14ac:dyDescent="0.25">
      <c r="A4545" s="3" t="e">
        <f ca="1"/>
        <v>#NAME?</v>
      </c>
      <c r="B4545" s="2" t="s">
        <v>12</v>
      </c>
      <c r="C4545" s="2" t="s">
        <v>12</v>
      </c>
      <c r="D4545" s="2" t="s">
        <v>12</v>
      </c>
      <c r="E4545" s="2" t="s">
        <v>12</v>
      </c>
      <c r="F4545" s="2" t="s">
        <v>12</v>
      </c>
      <c r="G4545" s="2" t="s">
        <v>12</v>
      </c>
      <c r="H4545" s="2" t="s">
        <v>12</v>
      </c>
      <c r="I4545" s="2" t="s">
        <v>12</v>
      </c>
      <c r="J4545" s="2" t="s">
        <v>12</v>
      </c>
      <c r="K4545" s="2" t="s">
        <v>12</v>
      </c>
    </row>
    <row r="4546" spans="1:11" ht="12.5" x14ac:dyDescent="0.25">
      <c r="A4546" s="3" t="e">
        <f ca="1"/>
        <v>#NAME?</v>
      </c>
      <c r="B4546" s="2" t="s">
        <v>12</v>
      </c>
      <c r="C4546" s="2" t="s">
        <v>12</v>
      </c>
      <c r="D4546" s="2" t="s">
        <v>12</v>
      </c>
      <c r="E4546" s="2" t="s">
        <v>12</v>
      </c>
      <c r="F4546" s="2" t="s">
        <v>12</v>
      </c>
      <c r="G4546" s="2" t="s">
        <v>12</v>
      </c>
      <c r="H4546" s="2" t="s">
        <v>12</v>
      </c>
      <c r="I4546" s="2" t="s">
        <v>12</v>
      </c>
      <c r="J4546" s="2" t="s">
        <v>12</v>
      </c>
      <c r="K4546" s="2" t="s">
        <v>12</v>
      </c>
    </row>
    <row r="4547" spans="1:11" ht="12.5" x14ac:dyDescent="0.25">
      <c r="A4547" s="3" t="e">
        <f ca="1"/>
        <v>#NAME?</v>
      </c>
      <c r="B4547" s="2" t="s">
        <v>12</v>
      </c>
      <c r="C4547" s="2" t="s">
        <v>12</v>
      </c>
      <c r="D4547" s="2" t="s">
        <v>12</v>
      </c>
      <c r="E4547" s="2" t="s">
        <v>12</v>
      </c>
      <c r="F4547" s="2" t="s">
        <v>12</v>
      </c>
      <c r="G4547" s="2" t="s">
        <v>12</v>
      </c>
      <c r="H4547" s="2" t="s">
        <v>12</v>
      </c>
      <c r="I4547" s="2" t="s">
        <v>12</v>
      </c>
      <c r="J4547" s="2" t="s">
        <v>12</v>
      </c>
      <c r="K4547" s="2" t="s">
        <v>12</v>
      </c>
    </row>
    <row r="4548" spans="1:11" ht="12.5" x14ac:dyDescent="0.25">
      <c r="A4548" s="3" t="e">
        <f ca="1"/>
        <v>#NAME?</v>
      </c>
      <c r="B4548" s="2" t="s">
        <v>12</v>
      </c>
      <c r="C4548" s="2" t="s">
        <v>12</v>
      </c>
      <c r="D4548" s="2" t="s">
        <v>12</v>
      </c>
      <c r="E4548" s="2" t="s">
        <v>12</v>
      </c>
      <c r="F4548" s="2" t="s">
        <v>12</v>
      </c>
      <c r="G4548" s="2" t="s">
        <v>12</v>
      </c>
      <c r="H4548" s="2" t="s">
        <v>12</v>
      </c>
      <c r="I4548" s="2" t="s">
        <v>12</v>
      </c>
      <c r="J4548" s="2" t="s">
        <v>12</v>
      </c>
      <c r="K4548" s="2" t="s">
        <v>12</v>
      </c>
    </row>
    <row r="4549" spans="1:11" ht="12.5" x14ac:dyDescent="0.25">
      <c r="A4549" s="3" t="e">
        <f ca="1"/>
        <v>#NAME?</v>
      </c>
      <c r="B4549" s="2" t="s">
        <v>12</v>
      </c>
      <c r="C4549" s="2" t="s">
        <v>12</v>
      </c>
      <c r="D4549" s="2" t="s">
        <v>12</v>
      </c>
      <c r="E4549" s="2" t="s">
        <v>12</v>
      </c>
      <c r="F4549" s="2" t="s">
        <v>12</v>
      </c>
      <c r="G4549" s="2" t="s">
        <v>12</v>
      </c>
      <c r="H4549" s="2" t="s">
        <v>12</v>
      </c>
      <c r="I4549" s="2" t="s">
        <v>12</v>
      </c>
      <c r="J4549" s="2" t="s">
        <v>12</v>
      </c>
      <c r="K4549" s="2" t="s">
        <v>12</v>
      </c>
    </row>
    <row r="4550" spans="1:11" ht="12.5" x14ac:dyDescent="0.25">
      <c r="A4550" s="3" t="e">
        <f ca="1"/>
        <v>#NAME?</v>
      </c>
      <c r="B4550" s="2" t="s">
        <v>12</v>
      </c>
      <c r="C4550" s="2" t="s">
        <v>12</v>
      </c>
      <c r="D4550" s="2" t="s">
        <v>12</v>
      </c>
      <c r="E4550" s="2" t="s">
        <v>12</v>
      </c>
      <c r="F4550" s="2" t="s">
        <v>12</v>
      </c>
      <c r="G4550" s="2" t="s">
        <v>12</v>
      </c>
      <c r="H4550" s="2" t="s">
        <v>12</v>
      </c>
      <c r="I4550" s="2" t="s">
        <v>12</v>
      </c>
      <c r="J4550" s="2" t="s">
        <v>12</v>
      </c>
      <c r="K4550" s="2" t="s">
        <v>12</v>
      </c>
    </row>
    <row r="4551" spans="1:11" ht="12.5" x14ac:dyDescent="0.25">
      <c r="A4551" s="3" t="e">
        <f ca="1"/>
        <v>#NAME?</v>
      </c>
      <c r="B4551" s="2" t="s">
        <v>12</v>
      </c>
      <c r="C4551" s="2" t="s">
        <v>12</v>
      </c>
      <c r="D4551" s="2" t="s">
        <v>12</v>
      </c>
      <c r="E4551" s="2" t="s">
        <v>12</v>
      </c>
      <c r="F4551" s="2" t="s">
        <v>12</v>
      </c>
      <c r="G4551" s="2" t="s">
        <v>12</v>
      </c>
      <c r="H4551" s="2" t="s">
        <v>12</v>
      </c>
      <c r="I4551" s="2" t="s">
        <v>12</v>
      </c>
      <c r="J4551" s="2" t="s">
        <v>12</v>
      </c>
      <c r="K4551" s="2" t="s">
        <v>12</v>
      </c>
    </row>
    <row r="4552" spans="1:11" ht="12.5" x14ac:dyDescent="0.25">
      <c r="A4552" s="3" t="e">
        <f ca="1"/>
        <v>#NAME?</v>
      </c>
      <c r="B4552" s="2" t="s">
        <v>12</v>
      </c>
      <c r="C4552" s="2" t="s">
        <v>12</v>
      </c>
      <c r="D4552" s="2" t="s">
        <v>12</v>
      </c>
      <c r="E4552" s="2" t="s">
        <v>12</v>
      </c>
      <c r="F4552" s="2" t="s">
        <v>12</v>
      </c>
      <c r="G4552" s="2" t="s">
        <v>12</v>
      </c>
      <c r="H4552" s="2" t="s">
        <v>12</v>
      </c>
      <c r="I4552" s="2" t="s">
        <v>12</v>
      </c>
      <c r="J4552" s="2" t="s">
        <v>12</v>
      </c>
      <c r="K4552" s="2" t="s">
        <v>12</v>
      </c>
    </row>
    <row r="4553" spans="1:11" ht="12.5" x14ac:dyDescent="0.25">
      <c r="A4553" s="3" t="e">
        <f ca="1"/>
        <v>#NAME?</v>
      </c>
      <c r="B4553" s="2" t="s">
        <v>12</v>
      </c>
      <c r="C4553" s="2" t="s">
        <v>12</v>
      </c>
      <c r="D4553" s="2" t="s">
        <v>12</v>
      </c>
      <c r="E4553" s="2" t="s">
        <v>12</v>
      </c>
      <c r="F4553" s="2" t="s">
        <v>12</v>
      </c>
      <c r="G4553" s="2" t="s">
        <v>12</v>
      </c>
      <c r="H4553" s="2" t="s">
        <v>12</v>
      </c>
      <c r="I4553" s="2" t="s">
        <v>12</v>
      </c>
      <c r="J4553" s="2" t="s">
        <v>12</v>
      </c>
      <c r="K4553" s="2" t="s">
        <v>12</v>
      </c>
    </row>
    <row r="4554" spans="1:11" ht="12.5" x14ac:dyDescent="0.25">
      <c r="A4554" s="3" t="e">
        <f ca="1"/>
        <v>#NAME?</v>
      </c>
      <c r="B4554" s="2" t="s">
        <v>12</v>
      </c>
      <c r="C4554" s="2" t="s">
        <v>12</v>
      </c>
      <c r="D4554" s="2" t="s">
        <v>12</v>
      </c>
      <c r="E4554" s="2" t="s">
        <v>12</v>
      </c>
      <c r="F4554" s="2" t="s">
        <v>12</v>
      </c>
      <c r="G4554" s="2" t="s">
        <v>12</v>
      </c>
      <c r="H4554" s="2" t="s">
        <v>12</v>
      </c>
      <c r="I4554" s="2" t="s">
        <v>12</v>
      </c>
      <c r="J4554" s="2" t="s">
        <v>12</v>
      </c>
      <c r="K4554" s="2" t="s">
        <v>12</v>
      </c>
    </row>
    <row r="4555" spans="1:11" ht="12.5" x14ac:dyDescent="0.25">
      <c r="A4555" s="3" t="e">
        <f ca="1"/>
        <v>#NAME?</v>
      </c>
      <c r="B4555" s="2" t="s">
        <v>12</v>
      </c>
      <c r="C4555" s="2" t="s">
        <v>12</v>
      </c>
      <c r="D4555" s="2" t="s">
        <v>12</v>
      </c>
      <c r="E4555" s="2" t="s">
        <v>12</v>
      </c>
      <c r="F4555" s="2" t="s">
        <v>12</v>
      </c>
      <c r="G4555" s="2" t="s">
        <v>12</v>
      </c>
      <c r="H4555" s="2" t="s">
        <v>12</v>
      </c>
      <c r="I4555" s="2" t="s">
        <v>12</v>
      </c>
      <c r="J4555" s="2" t="s">
        <v>12</v>
      </c>
      <c r="K4555" s="2" t="s">
        <v>12</v>
      </c>
    </row>
    <row r="4556" spans="1:11" ht="12.5" x14ac:dyDescent="0.25">
      <c r="A4556" s="3" t="e">
        <f ca="1"/>
        <v>#NAME?</v>
      </c>
      <c r="B4556" s="2" t="s">
        <v>12</v>
      </c>
      <c r="C4556" s="2" t="s">
        <v>12</v>
      </c>
      <c r="D4556" s="2" t="s">
        <v>12</v>
      </c>
      <c r="E4556" s="2" t="s">
        <v>12</v>
      </c>
      <c r="F4556" s="2" t="s">
        <v>12</v>
      </c>
      <c r="G4556" s="2" t="s">
        <v>12</v>
      </c>
      <c r="H4556" s="2" t="s">
        <v>12</v>
      </c>
      <c r="I4556" s="2" t="s">
        <v>12</v>
      </c>
      <c r="J4556" s="2" t="s">
        <v>12</v>
      </c>
      <c r="K4556" s="2" t="s">
        <v>12</v>
      </c>
    </row>
    <row r="4557" spans="1:11" ht="12.5" x14ac:dyDescent="0.25">
      <c r="A4557" s="3" t="e">
        <f ca="1"/>
        <v>#NAME?</v>
      </c>
      <c r="B4557" s="2" t="s">
        <v>12</v>
      </c>
      <c r="C4557" s="2" t="s">
        <v>12</v>
      </c>
      <c r="D4557" s="2" t="s">
        <v>12</v>
      </c>
      <c r="E4557" s="2" t="s">
        <v>12</v>
      </c>
      <c r="F4557" s="2" t="s">
        <v>12</v>
      </c>
      <c r="G4557" s="2" t="s">
        <v>12</v>
      </c>
      <c r="H4557" s="2" t="s">
        <v>12</v>
      </c>
      <c r="I4557" s="2" t="s">
        <v>12</v>
      </c>
      <c r="J4557" s="2" t="s">
        <v>12</v>
      </c>
      <c r="K4557" s="2" t="s">
        <v>12</v>
      </c>
    </row>
    <row r="4558" spans="1:11" ht="12.5" x14ac:dyDescent="0.25">
      <c r="A4558" s="3" t="e">
        <f ca="1"/>
        <v>#NAME?</v>
      </c>
      <c r="B4558" s="2" t="s">
        <v>12</v>
      </c>
      <c r="C4558" s="2" t="s">
        <v>12</v>
      </c>
      <c r="D4558" s="2" t="s">
        <v>12</v>
      </c>
      <c r="E4558" s="2" t="s">
        <v>12</v>
      </c>
      <c r="F4558" s="2" t="s">
        <v>12</v>
      </c>
      <c r="G4558" s="2" t="s">
        <v>12</v>
      </c>
      <c r="H4558" s="2" t="s">
        <v>12</v>
      </c>
      <c r="I4558" s="2" t="s">
        <v>12</v>
      </c>
      <c r="J4558" s="2" t="s">
        <v>12</v>
      </c>
      <c r="K4558" s="2" t="s">
        <v>12</v>
      </c>
    </row>
    <row r="4559" spans="1:11" ht="12.5" x14ac:dyDescent="0.25">
      <c r="A4559" s="3" t="e">
        <f ca="1"/>
        <v>#NAME?</v>
      </c>
      <c r="B4559" s="2" t="s">
        <v>12</v>
      </c>
      <c r="C4559" s="2" t="s">
        <v>12</v>
      </c>
      <c r="D4559" s="2" t="s">
        <v>12</v>
      </c>
      <c r="E4559" s="2" t="s">
        <v>12</v>
      </c>
      <c r="F4559" s="2" t="s">
        <v>12</v>
      </c>
      <c r="G4559" s="2" t="s">
        <v>12</v>
      </c>
      <c r="H4559" s="2" t="s">
        <v>12</v>
      </c>
      <c r="I4559" s="2" t="s">
        <v>12</v>
      </c>
      <c r="J4559" s="2" t="s">
        <v>12</v>
      </c>
      <c r="K4559" s="2" t="s">
        <v>12</v>
      </c>
    </row>
    <row r="4560" spans="1:11" ht="12.5" x14ac:dyDescent="0.25">
      <c r="A4560" s="3" t="e">
        <f ca="1"/>
        <v>#NAME?</v>
      </c>
      <c r="B4560" s="2" t="s">
        <v>12</v>
      </c>
      <c r="C4560" s="2" t="s">
        <v>12</v>
      </c>
      <c r="D4560" s="2" t="s">
        <v>12</v>
      </c>
      <c r="E4560" s="2" t="s">
        <v>12</v>
      </c>
      <c r="F4560" s="2" t="s">
        <v>12</v>
      </c>
      <c r="G4560" s="2" t="s">
        <v>12</v>
      </c>
      <c r="H4560" s="2" t="s">
        <v>12</v>
      </c>
      <c r="I4560" s="2" t="s">
        <v>12</v>
      </c>
      <c r="J4560" s="2" t="s">
        <v>12</v>
      </c>
      <c r="K4560" s="2" t="s">
        <v>12</v>
      </c>
    </row>
    <row r="4561" spans="1:11" ht="12.5" x14ac:dyDescent="0.25">
      <c r="A4561" s="3" t="e">
        <f ca="1"/>
        <v>#NAME?</v>
      </c>
      <c r="B4561" s="2" t="s">
        <v>12</v>
      </c>
      <c r="C4561" s="2" t="s">
        <v>12</v>
      </c>
      <c r="D4561" s="2" t="s">
        <v>12</v>
      </c>
      <c r="E4561" s="2" t="s">
        <v>12</v>
      </c>
      <c r="F4561" s="2" t="s">
        <v>12</v>
      </c>
      <c r="G4561" s="2" t="s">
        <v>12</v>
      </c>
      <c r="H4561" s="2" t="s">
        <v>12</v>
      </c>
      <c r="I4561" s="2" t="s">
        <v>12</v>
      </c>
      <c r="J4561" s="2" t="s">
        <v>12</v>
      </c>
      <c r="K4561" s="2" t="s">
        <v>12</v>
      </c>
    </row>
    <row r="4562" spans="1:11" ht="12.5" x14ac:dyDescent="0.25">
      <c r="A4562" s="3" t="e">
        <f ca="1"/>
        <v>#NAME?</v>
      </c>
      <c r="B4562" s="2" t="s">
        <v>12</v>
      </c>
      <c r="C4562" s="2" t="s">
        <v>12</v>
      </c>
      <c r="D4562" s="2" t="s">
        <v>12</v>
      </c>
      <c r="E4562" s="2" t="s">
        <v>12</v>
      </c>
      <c r="F4562" s="2" t="s">
        <v>12</v>
      </c>
      <c r="G4562" s="2" t="s">
        <v>12</v>
      </c>
      <c r="H4562" s="2" t="s">
        <v>12</v>
      </c>
      <c r="I4562" s="2" t="s">
        <v>12</v>
      </c>
      <c r="J4562" s="2" t="s">
        <v>12</v>
      </c>
      <c r="K4562" s="2" t="s">
        <v>12</v>
      </c>
    </row>
    <row r="4563" spans="1:11" ht="12.5" x14ac:dyDescent="0.25">
      <c r="A4563" s="3" t="e">
        <f ca="1"/>
        <v>#NAME?</v>
      </c>
      <c r="B4563" s="2" t="s">
        <v>12</v>
      </c>
      <c r="C4563" s="2" t="s">
        <v>12</v>
      </c>
      <c r="D4563" s="2" t="s">
        <v>12</v>
      </c>
      <c r="E4563" s="2" t="s">
        <v>12</v>
      </c>
      <c r="F4563" s="2" t="s">
        <v>12</v>
      </c>
      <c r="G4563" s="2" t="s">
        <v>12</v>
      </c>
      <c r="H4563" s="2" t="s">
        <v>12</v>
      </c>
      <c r="I4563" s="2" t="s">
        <v>12</v>
      </c>
      <c r="J4563" s="2" t="s">
        <v>12</v>
      </c>
      <c r="K4563" s="2" t="s">
        <v>12</v>
      </c>
    </row>
    <row r="4564" spans="1:11" ht="12.5" x14ac:dyDescent="0.25">
      <c r="A4564" s="3" t="e">
        <f ca="1"/>
        <v>#NAME?</v>
      </c>
      <c r="B4564" s="2" t="s">
        <v>12</v>
      </c>
      <c r="C4564" s="2" t="s">
        <v>12</v>
      </c>
      <c r="D4564" s="2" t="s">
        <v>12</v>
      </c>
      <c r="E4564" s="2" t="s">
        <v>12</v>
      </c>
      <c r="F4564" s="2" t="s">
        <v>12</v>
      </c>
      <c r="G4564" s="2" t="s">
        <v>12</v>
      </c>
      <c r="H4564" s="2" t="s">
        <v>12</v>
      </c>
      <c r="I4564" s="2" t="s">
        <v>12</v>
      </c>
      <c r="J4564" s="2" t="s">
        <v>12</v>
      </c>
      <c r="K4564" s="2" t="s">
        <v>12</v>
      </c>
    </row>
    <row r="4565" spans="1:11" ht="12.5" x14ac:dyDescent="0.25">
      <c r="A4565" s="3" t="e">
        <f ca="1"/>
        <v>#NAME?</v>
      </c>
      <c r="B4565" s="2" t="s">
        <v>12</v>
      </c>
      <c r="C4565" s="2" t="s">
        <v>12</v>
      </c>
      <c r="D4565" s="2" t="s">
        <v>12</v>
      </c>
      <c r="E4565" s="2" t="s">
        <v>12</v>
      </c>
      <c r="F4565" s="2" t="s">
        <v>12</v>
      </c>
      <c r="G4565" s="2" t="s">
        <v>12</v>
      </c>
      <c r="H4565" s="2" t="s">
        <v>12</v>
      </c>
      <c r="I4565" s="2" t="s">
        <v>12</v>
      </c>
      <c r="J4565" s="2" t="s">
        <v>12</v>
      </c>
      <c r="K4565" s="2" t="s">
        <v>12</v>
      </c>
    </row>
    <row r="4566" spans="1:11" ht="12.5" x14ac:dyDescent="0.25">
      <c r="A4566" s="3" t="e">
        <f ca="1"/>
        <v>#NAME?</v>
      </c>
      <c r="B4566" s="2" t="s">
        <v>12</v>
      </c>
      <c r="C4566" s="2" t="s">
        <v>12</v>
      </c>
      <c r="D4566" s="2" t="s">
        <v>12</v>
      </c>
      <c r="E4566" s="2" t="s">
        <v>12</v>
      </c>
      <c r="F4566" s="2" t="s">
        <v>12</v>
      </c>
      <c r="G4566" s="2" t="s">
        <v>12</v>
      </c>
      <c r="H4566" s="2" t="s">
        <v>12</v>
      </c>
      <c r="I4566" s="2" t="s">
        <v>12</v>
      </c>
      <c r="J4566" s="2" t="s">
        <v>12</v>
      </c>
      <c r="K4566" s="2" t="s">
        <v>12</v>
      </c>
    </row>
    <row r="4567" spans="1:11" ht="12.5" x14ac:dyDescent="0.25">
      <c r="A4567" s="3" t="e">
        <f ca="1"/>
        <v>#NAME?</v>
      </c>
      <c r="B4567" s="2" t="s">
        <v>12</v>
      </c>
      <c r="C4567" s="2" t="s">
        <v>12</v>
      </c>
      <c r="D4567" s="2" t="s">
        <v>12</v>
      </c>
      <c r="E4567" s="2" t="s">
        <v>12</v>
      </c>
      <c r="F4567" s="2" t="s">
        <v>12</v>
      </c>
      <c r="G4567" s="2" t="s">
        <v>12</v>
      </c>
      <c r="H4567" s="2" t="s">
        <v>12</v>
      </c>
      <c r="I4567" s="2" t="s">
        <v>12</v>
      </c>
      <c r="J4567" s="2" t="s">
        <v>12</v>
      </c>
      <c r="K4567" s="2" t="s">
        <v>12</v>
      </c>
    </row>
    <row r="4568" spans="1:11" ht="12.5" x14ac:dyDescent="0.25">
      <c r="A4568" s="3" t="e">
        <f ca="1"/>
        <v>#NAME?</v>
      </c>
      <c r="B4568" s="2" t="s">
        <v>12</v>
      </c>
      <c r="C4568" s="2" t="s">
        <v>12</v>
      </c>
      <c r="D4568" s="2" t="s">
        <v>12</v>
      </c>
      <c r="E4568" s="2" t="s">
        <v>12</v>
      </c>
      <c r="F4568" s="2" t="s">
        <v>12</v>
      </c>
      <c r="G4568" s="2" t="s">
        <v>12</v>
      </c>
      <c r="H4568" s="2" t="s">
        <v>12</v>
      </c>
      <c r="I4568" s="2" t="s">
        <v>12</v>
      </c>
      <c r="J4568" s="2" t="s">
        <v>12</v>
      </c>
      <c r="K4568" s="2" t="s">
        <v>12</v>
      </c>
    </row>
    <row r="4569" spans="1:11" ht="12.5" x14ac:dyDescent="0.25">
      <c r="A4569" s="3" t="e">
        <f ca="1"/>
        <v>#NAME?</v>
      </c>
      <c r="B4569" s="2" t="s">
        <v>12</v>
      </c>
      <c r="C4569" s="2" t="s">
        <v>12</v>
      </c>
      <c r="D4569" s="2" t="s">
        <v>12</v>
      </c>
      <c r="E4569" s="2" t="s">
        <v>12</v>
      </c>
      <c r="F4569" s="2" t="s">
        <v>12</v>
      </c>
      <c r="G4569" s="2" t="s">
        <v>12</v>
      </c>
      <c r="H4569" s="2" t="s">
        <v>12</v>
      </c>
      <c r="I4569" s="2" t="s">
        <v>12</v>
      </c>
      <c r="J4569" s="2" t="s">
        <v>12</v>
      </c>
      <c r="K4569" s="2" t="s">
        <v>12</v>
      </c>
    </row>
    <row r="4570" spans="1:11" ht="12.5" x14ac:dyDescent="0.25">
      <c r="A4570" s="3" t="e">
        <f ca="1"/>
        <v>#NAME?</v>
      </c>
      <c r="B4570" s="2" t="s">
        <v>12</v>
      </c>
      <c r="C4570" s="2" t="s">
        <v>12</v>
      </c>
      <c r="D4570" s="2" t="s">
        <v>12</v>
      </c>
      <c r="E4570" s="2" t="s">
        <v>12</v>
      </c>
      <c r="F4570" s="2" t="s">
        <v>12</v>
      </c>
      <c r="G4570" s="2" t="s">
        <v>12</v>
      </c>
      <c r="H4570" s="2" t="s">
        <v>12</v>
      </c>
      <c r="I4570" s="2" t="s">
        <v>12</v>
      </c>
      <c r="J4570" s="2" t="s">
        <v>12</v>
      </c>
      <c r="K4570" s="2" t="s">
        <v>12</v>
      </c>
    </row>
    <row r="4571" spans="1:11" ht="12.5" x14ac:dyDescent="0.25">
      <c r="A4571" s="3" t="e">
        <f ca="1"/>
        <v>#NAME?</v>
      </c>
      <c r="B4571" s="2" t="s">
        <v>12</v>
      </c>
      <c r="C4571" s="2" t="s">
        <v>12</v>
      </c>
      <c r="D4571" s="2" t="s">
        <v>12</v>
      </c>
      <c r="E4571" s="2" t="s">
        <v>12</v>
      </c>
      <c r="F4571" s="2" t="s">
        <v>12</v>
      </c>
      <c r="G4571" s="2" t="s">
        <v>12</v>
      </c>
      <c r="H4571" s="2" t="s">
        <v>12</v>
      </c>
      <c r="I4571" s="2" t="s">
        <v>12</v>
      </c>
      <c r="J4571" s="2" t="s">
        <v>12</v>
      </c>
      <c r="K4571" s="2" t="s">
        <v>12</v>
      </c>
    </row>
    <row r="4572" spans="1:11" ht="12.5" x14ac:dyDescent="0.25">
      <c r="A4572" s="3" t="e">
        <f ca="1"/>
        <v>#NAME?</v>
      </c>
      <c r="B4572" s="2" t="s">
        <v>12</v>
      </c>
      <c r="C4572" s="2" t="s">
        <v>12</v>
      </c>
      <c r="D4572" s="2" t="s">
        <v>12</v>
      </c>
      <c r="E4572" s="2" t="s">
        <v>12</v>
      </c>
      <c r="F4572" s="2" t="s">
        <v>12</v>
      </c>
      <c r="G4572" s="2" t="s">
        <v>12</v>
      </c>
      <c r="H4572" s="2" t="s">
        <v>12</v>
      </c>
      <c r="I4572" s="2" t="s">
        <v>12</v>
      </c>
      <c r="J4572" s="2" t="s">
        <v>12</v>
      </c>
      <c r="K4572" s="2" t="s">
        <v>12</v>
      </c>
    </row>
    <row r="4573" spans="1:11" ht="12.5" x14ac:dyDescent="0.25">
      <c r="A4573" s="3" t="e">
        <f ca="1"/>
        <v>#NAME?</v>
      </c>
      <c r="B4573" s="2" t="s">
        <v>12</v>
      </c>
      <c r="C4573" s="2" t="s">
        <v>12</v>
      </c>
      <c r="D4573" s="2" t="s">
        <v>12</v>
      </c>
      <c r="E4573" s="2" t="s">
        <v>12</v>
      </c>
      <c r="F4573" s="2" t="s">
        <v>12</v>
      </c>
      <c r="G4573" s="2" t="s">
        <v>12</v>
      </c>
      <c r="H4573" s="2" t="s">
        <v>12</v>
      </c>
      <c r="I4573" s="2" t="s">
        <v>12</v>
      </c>
      <c r="J4573" s="2" t="s">
        <v>12</v>
      </c>
      <c r="K4573" s="2" t="s">
        <v>12</v>
      </c>
    </row>
    <row r="4574" spans="1:11" ht="12.5" x14ac:dyDescent="0.25">
      <c r="A4574" s="3" t="e">
        <f ca="1"/>
        <v>#NAME?</v>
      </c>
      <c r="B4574" s="2" t="s">
        <v>12</v>
      </c>
      <c r="C4574" s="2" t="s">
        <v>12</v>
      </c>
      <c r="D4574" s="2" t="s">
        <v>12</v>
      </c>
      <c r="E4574" s="2" t="s">
        <v>12</v>
      </c>
      <c r="F4574" s="2" t="s">
        <v>12</v>
      </c>
      <c r="G4574" s="2" t="s">
        <v>12</v>
      </c>
      <c r="H4574" s="2" t="s">
        <v>12</v>
      </c>
      <c r="I4574" s="2" t="s">
        <v>12</v>
      </c>
      <c r="J4574" s="2" t="s">
        <v>12</v>
      </c>
      <c r="K4574" s="2" t="s">
        <v>12</v>
      </c>
    </row>
    <row r="4575" spans="1:11" ht="12.5" x14ac:dyDescent="0.25">
      <c r="A4575" s="3" t="e">
        <f ca="1"/>
        <v>#NAME?</v>
      </c>
      <c r="B4575" s="2" t="s">
        <v>12</v>
      </c>
      <c r="C4575" s="2" t="s">
        <v>12</v>
      </c>
      <c r="D4575" s="2" t="s">
        <v>12</v>
      </c>
      <c r="E4575" s="2" t="s">
        <v>12</v>
      </c>
      <c r="F4575" s="2" t="s">
        <v>12</v>
      </c>
      <c r="G4575" s="2" t="s">
        <v>12</v>
      </c>
      <c r="H4575" s="2" t="s">
        <v>12</v>
      </c>
      <c r="I4575" s="2" t="s">
        <v>12</v>
      </c>
      <c r="J4575" s="2" t="s">
        <v>12</v>
      </c>
      <c r="K4575" s="2" t="s">
        <v>12</v>
      </c>
    </row>
    <row r="4576" spans="1:11" ht="12.5" x14ac:dyDescent="0.25">
      <c r="A4576" s="3" t="e">
        <f ca="1"/>
        <v>#NAME?</v>
      </c>
      <c r="B4576" s="2" t="s">
        <v>12</v>
      </c>
      <c r="C4576" s="2" t="s">
        <v>12</v>
      </c>
      <c r="D4576" s="2" t="s">
        <v>12</v>
      </c>
      <c r="E4576" s="2" t="s">
        <v>12</v>
      </c>
      <c r="F4576" s="2" t="s">
        <v>12</v>
      </c>
      <c r="G4576" s="2" t="s">
        <v>12</v>
      </c>
      <c r="H4576" s="2" t="s">
        <v>12</v>
      </c>
      <c r="I4576" s="2" t="s">
        <v>12</v>
      </c>
      <c r="J4576" s="2" t="s">
        <v>12</v>
      </c>
      <c r="K4576" s="2" t="s">
        <v>12</v>
      </c>
    </row>
    <row r="4577" spans="1:11" ht="12.5" x14ac:dyDescent="0.25">
      <c r="A4577" s="3" t="e">
        <f ca="1"/>
        <v>#NAME?</v>
      </c>
      <c r="B4577" s="2" t="s">
        <v>12</v>
      </c>
      <c r="C4577" s="2" t="s">
        <v>12</v>
      </c>
      <c r="D4577" s="2" t="s">
        <v>12</v>
      </c>
      <c r="E4577" s="2" t="s">
        <v>12</v>
      </c>
      <c r="F4577" s="2" t="s">
        <v>12</v>
      </c>
      <c r="G4577" s="2" t="s">
        <v>12</v>
      </c>
      <c r="H4577" s="2" t="s">
        <v>12</v>
      </c>
      <c r="I4577" s="2" t="s">
        <v>12</v>
      </c>
      <c r="J4577" s="2" t="s">
        <v>12</v>
      </c>
      <c r="K4577" s="2" t="s">
        <v>12</v>
      </c>
    </row>
    <row r="4578" spans="1:11" ht="12.5" x14ac:dyDescent="0.25">
      <c r="A4578" s="3" t="e">
        <f ca="1"/>
        <v>#NAME?</v>
      </c>
      <c r="B4578" s="2" t="s">
        <v>12</v>
      </c>
      <c r="C4578" s="2" t="s">
        <v>12</v>
      </c>
      <c r="D4578" s="2" t="s">
        <v>12</v>
      </c>
      <c r="E4578" s="2" t="s">
        <v>12</v>
      </c>
      <c r="F4578" s="2" t="s">
        <v>12</v>
      </c>
      <c r="G4578" s="2" t="s">
        <v>12</v>
      </c>
      <c r="H4578" s="2" t="s">
        <v>12</v>
      </c>
      <c r="I4578" s="2" t="s">
        <v>12</v>
      </c>
      <c r="J4578" s="2" t="s">
        <v>12</v>
      </c>
      <c r="K4578" s="2" t="s">
        <v>12</v>
      </c>
    </row>
    <row r="4579" spans="1:11" ht="12.5" x14ac:dyDescent="0.25">
      <c r="A4579" s="3" t="e">
        <f ca="1"/>
        <v>#NAME?</v>
      </c>
      <c r="B4579" s="2" t="s">
        <v>12</v>
      </c>
      <c r="C4579" s="2" t="s">
        <v>12</v>
      </c>
      <c r="D4579" s="2" t="s">
        <v>12</v>
      </c>
      <c r="E4579" s="2" t="s">
        <v>12</v>
      </c>
      <c r="F4579" s="2" t="s">
        <v>12</v>
      </c>
      <c r="G4579" s="2" t="s">
        <v>12</v>
      </c>
      <c r="H4579" s="2" t="s">
        <v>12</v>
      </c>
      <c r="I4579" s="2" t="s">
        <v>12</v>
      </c>
      <c r="J4579" s="2" t="s">
        <v>12</v>
      </c>
      <c r="K4579" s="2" t="s">
        <v>12</v>
      </c>
    </row>
    <row r="4580" spans="1:11" ht="12.5" x14ac:dyDescent="0.25">
      <c r="A4580" s="3" t="e">
        <f ca="1"/>
        <v>#NAME?</v>
      </c>
      <c r="B4580" s="2" t="s">
        <v>12</v>
      </c>
      <c r="C4580" s="2" t="s">
        <v>12</v>
      </c>
      <c r="D4580" s="2" t="s">
        <v>12</v>
      </c>
      <c r="E4580" s="2" t="s">
        <v>12</v>
      </c>
      <c r="F4580" s="2" t="s">
        <v>12</v>
      </c>
      <c r="G4580" s="2" t="s">
        <v>12</v>
      </c>
      <c r="H4580" s="2" t="s">
        <v>12</v>
      </c>
      <c r="I4580" s="2" t="s">
        <v>12</v>
      </c>
      <c r="J4580" s="2" t="s">
        <v>12</v>
      </c>
      <c r="K4580" s="2" t="s">
        <v>12</v>
      </c>
    </row>
    <row r="4581" spans="1:11" ht="12.5" x14ac:dyDescent="0.25">
      <c r="A4581" s="3" t="e">
        <f ca="1"/>
        <v>#NAME?</v>
      </c>
      <c r="B4581" s="2" t="s">
        <v>12</v>
      </c>
      <c r="C4581" s="2" t="s">
        <v>12</v>
      </c>
      <c r="D4581" s="2" t="s">
        <v>12</v>
      </c>
      <c r="E4581" s="2" t="s">
        <v>12</v>
      </c>
      <c r="F4581" s="2" t="s">
        <v>12</v>
      </c>
      <c r="G4581" s="2" t="s">
        <v>12</v>
      </c>
      <c r="H4581" s="2" t="s">
        <v>12</v>
      </c>
      <c r="I4581" s="2" t="s">
        <v>12</v>
      </c>
      <c r="J4581" s="2" t="s">
        <v>12</v>
      </c>
      <c r="K4581" s="2" t="s">
        <v>12</v>
      </c>
    </row>
    <row r="4582" spans="1:11" ht="12.5" x14ac:dyDescent="0.25">
      <c r="A4582" s="3" t="e">
        <f ca="1"/>
        <v>#NAME?</v>
      </c>
      <c r="B4582" s="2" t="s">
        <v>12</v>
      </c>
      <c r="C4582" s="2" t="s">
        <v>12</v>
      </c>
      <c r="D4582" s="2" t="s">
        <v>12</v>
      </c>
      <c r="E4582" s="2" t="s">
        <v>12</v>
      </c>
      <c r="F4582" s="2" t="s">
        <v>12</v>
      </c>
      <c r="G4582" s="2" t="s">
        <v>12</v>
      </c>
      <c r="H4582" s="2" t="s">
        <v>12</v>
      </c>
      <c r="I4582" s="2" t="s">
        <v>12</v>
      </c>
      <c r="J4582" s="2" t="s">
        <v>12</v>
      </c>
      <c r="K4582" s="2" t="s">
        <v>12</v>
      </c>
    </row>
    <row r="4583" spans="1:11" ht="12.5" x14ac:dyDescent="0.25">
      <c r="A4583" s="3" t="e">
        <f ca="1"/>
        <v>#NAME?</v>
      </c>
      <c r="B4583" s="2" t="s">
        <v>12</v>
      </c>
      <c r="C4583" s="2" t="s">
        <v>12</v>
      </c>
      <c r="D4583" s="2" t="s">
        <v>12</v>
      </c>
      <c r="E4583" s="2" t="s">
        <v>12</v>
      </c>
      <c r="F4583" s="2" t="s">
        <v>12</v>
      </c>
      <c r="G4583" s="2" t="s">
        <v>12</v>
      </c>
      <c r="H4583" s="2" t="s">
        <v>12</v>
      </c>
      <c r="I4583" s="2" t="s">
        <v>12</v>
      </c>
      <c r="J4583" s="2" t="s">
        <v>12</v>
      </c>
      <c r="K4583" s="2" t="s">
        <v>12</v>
      </c>
    </row>
    <row r="4584" spans="1:11" ht="12.5" x14ac:dyDescent="0.25">
      <c r="A4584" s="3" t="e">
        <f ca="1"/>
        <v>#NAME?</v>
      </c>
      <c r="B4584" s="2" t="s">
        <v>12</v>
      </c>
      <c r="C4584" s="2" t="s">
        <v>12</v>
      </c>
      <c r="D4584" s="2" t="s">
        <v>12</v>
      </c>
      <c r="E4584" s="2" t="s">
        <v>12</v>
      </c>
      <c r="F4584" s="2" t="s">
        <v>12</v>
      </c>
      <c r="G4584" s="2" t="s">
        <v>12</v>
      </c>
      <c r="H4584" s="2" t="s">
        <v>12</v>
      </c>
      <c r="I4584" s="2" t="s">
        <v>12</v>
      </c>
      <c r="J4584" s="2" t="s">
        <v>12</v>
      </c>
      <c r="K4584" s="2" t="s">
        <v>12</v>
      </c>
    </row>
    <row r="4585" spans="1:11" ht="12.5" x14ac:dyDescent="0.25">
      <c r="A4585" s="3" t="e">
        <f ca="1"/>
        <v>#NAME?</v>
      </c>
      <c r="B4585" s="2" t="s">
        <v>12</v>
      </c>
      <c r="C4585" s="2" t="s">
        <v>12</v>
      </c>
      <c r="D4585" s="2" t="s">
        <v>12</v>
      </c>
      <c r="E4585" s="2" t="s">
        <v>12</v>
      </c>
      <c r="F4585" s="2" t="s">
        <v>12</v>
      </c>
      <c r="G4585" s="2" t="s">
        <v>12</v>
      </c>
      <c r="H4585" s="2" t="s">
        <v>12</v>
      </c>
      <c r="I4585" s="2" t="s">
        <v>12</v>
      </c>
      <c r="J4585" s="2" t="s">
        <v>12</v>
      </c>
      <c r="K4585" s="2" t="s">
        <v>12</v>
      </c>
    </row>
    <row r="4586" spans="1:11" ht="12.5" x14ac:dyDescent="0.25">
      <c r="A4586" s="3" t="e">
        <f ca="1"/>
        <v>#NAME?</v>
      </c>
      <c r="B4586" s="2" t="s">
        <v>12</v>
      </c>
      <c r="C4586" s="2" t="s">
        <v>12</v>
      </c>
      <c r="D4586" s="2" t="s">
        <v>12</v>
      </c>
      <c r="E4586" s="2" t="s">
        <v>12</v>
      </c>
      <c r="F4586" s="2" t="s">
        <v>12</v>
      </c>
      <c r="G4586" s="2" t="s">
        <v>12</v>
      </c>
      <c r="H4586" s="2" t="s">
        <v>12</v>
      </c>
      <c r="I4586" s="2" t="s">
        <v>12</v>
      </c>
      <c r="J4586" s="2" t="s">
        <v>12</v>
      </c>
      <c r="K4586" s="2" t="s">
        <v>12</v>
      </c>
    </row>
    <row r="4587" spans="1:11" ht="12.5" x14ac:dyDescent="0.25">
      <c r="A4587" s="3" t="e">
        <f ca="1"/>
        <v>#NAME?</v>
      </c>
      <c r="B4587" s="2" t="s">
        <v>12</v>
      </c>
      <c r="C4587" s="2" t="s">
        <v>12</v>
      </c>
      <c r="D4587" s="2" t="s">
        <v>12</v>
      </c>
      <c r="E4587" s="2" t="s">
        <v>12</v>
      </c>
      <c r="F4587" s="2" t="s">
        <v>12</v>
      </c>
      <c r="G4587" s="2" t="s">
        <v>12</v>
      </c>
      <c r="H4587" s="2" t="s">
        <v>12</v>
      </c>
      <c r="I4587" s="2" t="s">
        <v>12</v>
      </c>
      <c r="J4587" s="2" t="s">
        <v>12</v>
      </c>
      <c r="K4587" s="2" t="s">
        <v>12</v>
      </c>
    </row>
    <row r="4588" spans="1:11" ht="12.5" x14ac:dyDescent="0.25">
      <c r="A4588" s="3" t="e">
        <f ca="1"/>
        <v>#NAME?</v>
      </c>
      <c r="B4588" s="2" t="s">
        <v>12</v>
      </c>
      <c r="C4588" s="2" t="s">
        <v>12</v>
      </c>
      <c r="D4588" s="2" t="s">
        <v>12</v>
      </c>
      <c r="E4588" s="2" t="s">
        <v>12</v>
      </c>
      <c r="F4588" s="2" t="s">
        <v>12</v>
      </c>
      <c r="G4588" s="2" t="s">
        <v>12</v>
      </c>
      <c r="H4588" s="2" t="s">
        <v>12</v>
      </c>
      <c r="I4588" s="2" t="s">
        <v>12</v>
      </c>
      <c r="J4588" s="2" t="s">
        <v>12</v>
      </c>
      <c r="K4588" s="2" t="s">
        <v>12</v>
      </c>
    </row>
    <row r="4589" spans="1:11" ht="12.5" x14ac:dyDescent="0.25">
      <c r="A4589" s="3" t="e">
        <f ca="1"/>
        <v>#NAME?</v>
      </c>
      <c r="B4589" s="2" t="s">
        <v>12</v>
      </c>
      <c r="C4589" s="2" t="s">
        <v>12</v>
      </c>
      <c r="D4589" s="2" t="s">
        <v>12</v>
      </c>
      <c r="E4589" s="2" t="s">
        <v>12</v>
      </c>
      <c r="F4589" s="2" t="s">
        <v>12</v>
      </c>
      <c r="G4589" s="2" t="s">
        <v>12</v>
      </c>
      <c r="H4589" s="2" t="s">
        <v>12</v>
      </c>
      <c r="I4589" s="2" t="s">
        <v>12</v>
      </c>
      <c r="J4589" s="2" t="s">
        <v>12</v>
      </c>
      <c r="K4589" s="2" t="s">
        <v>12</v>
      </c>
    </row>
    <row r="4590" spans="1:11" ht="12.5" x14ac:dyDescent="0.25">
      <c r="A4590" s="3" t="e">
        <f ca="1"/>
        <v>#NAME?</v>
      </c>
      <c r="B4590" s="2" t="s">
        <v>12</v>
      </c>
      <c r="C4590" s="2" t="s">
        <v>12</v>
      </c>
      <c r="D4590" s="2" t="s">
        <v>12</v>
      </c>
      <c r="E4590" s="2" t="s">
        <v>12</v>
      </c>
      <c r="F4590" s="2" t="s">
        <v>12</v>
      </c>
      <c r="G4590" s="2" t="s">
        <v>12</v>
      </c>
      <c r="H4590" s="2" t="s">
        <v>12</v>
      </c>
      <c r="I4590" s="2" t="s">
        <v>12</v>
      </c>
      <c r="J4590" s="2" t="s">
        <v>12</v>
      </c>
      <c r="K4590" s="2" t="s">
        <v>12</v>
      </c>
    </row>
    <row r="4591" spans="1:11" ht="12.5" x14ac:dyDescent="0.25">
      <c r="A4591" s="3" t="e">
        <f ca="1"/>
        <v>#NAME?</v>
      </c>
      <c r="B4591" s="2" t="s">
        <v>12</v>
      </c>
      <c r="C4591" s="2" t="s">
        <v>12</v>
      </c>
      <c r="D4591" s="2" t="s">
        <v>12</v>
      </c>
      <c r="E4591" s="2" t="s">
        <v>12</v>
      </c>
      <c r="F4591" s="2" t="s">
        <v>12</v>
      </c>
      <c r="G4591" s="2" t="s">
        <v>12</v>
      </c>
      <c r="H4591" s="2" t="s">
        <v>12</v>
      </c>
      <c r="I4591" s="2" t="s">
        <v>12</v>
      </c>
      <c r="J4591" s="2" t="s">
        <v>12</v>
      </c>
      <c r="K4591" s="2" t="s">
        <v>12</v>
      </c>
    </row>
    <row r="4592" spans="1:11" ht="12.5" x14ac:dyDescent="0.25">
      <c r="A4592" s="3" t="e">
        <f ca="1"/>
        <v>#NAME?</v>
      </c>
      <c r="B4592" s="2" t="s">
        <v>12</v>
      </c>
      <c r="C4592" s="2" t="s">
        <v>12</v>
      </c>
      <c r="D4592" s="2" t="s">
        <v>12</v>
      </c>
      <c r="E4592" s="2" t="s">
        <v>12</v>
      </c>
      <c r="F4592" s="2" t="s">
        <v>12</v>
      </c>
      <c r="G4592" s="2" t="s">
        <v>12</v>
      </c>
      <c r="H4592" s="2" t="s">
        <v>12</v>
      </c>
      <c r="I4592" s="2" t="s">
        <v>12</v>
      </c>
      <c r="J4592" s="2" t="s">
        <v>12</v>
      </c>
      <c r="K4592" s="2" t="s">
        <v>12</v>
      </c>
    </row>
    <row r="4593" spans="1:11" ht="12.5" x14ac:dyDescent="0.25">
      <c r="A4593" s="3" t="e">
        <f ca="1"/>
        <v>#NAME?</v>
      </c>
      <c r="B4593" s="2" t="s">
        <v>12</v>
      </c>
      <c r="C4593" s="2" t="s">
        <v>12</v>
      </c>
      <c r="D4593" s="2" t="s">
        <v>12</v>
      </c>
      <c r="E4593" s="2" t="s">
        <v>12</v>
      </c>
      <c r="F4593" s="2" t="s">
        <v>12</v>
      </c>
      <c r="G4593" s="2" t="s">
        <v>12</v>
      </c>
      <c r="H4593" s="2" t="s">
        <v>12</v>
      </c>
      <c r="I4593" s="2" t="s">
        <v>12</v>
      </c>
      <c r="J4593" s="2" t="s">
        <v>12</v>
      </c>
      <c r="K4593" s="2" t="s">
        <v>12</v>
      </c>
    </row>
    <row r="4594" spans="1:11" ht="12.5" x14ac:dyDescent="0.25">
      <c r="A4594" s="3" t="e">
        <f ca="1"/>
        <v>#NAME?</v>
      </c>
      <c r="B4594" s="2" t="s">
        <v>12</v>
      </c>
      <c r="C4594" s="2" t="s">
        <v>12</v>
      </c>
      <c r="D4594" s="2" t="s">
        <v>12</v>
      </c>
      <c r="E4594" s="2" t="s">
        <v>12</v>
      </c>
      <c r="F4594" s="2" t="s">
        <v>12</v>
      </c>
      <c r="G4594" s="2" t="s">
        <v>12</v>
      </c>
      <c r="H4594" s="2" t="s">
        <v>12</v>
      </c>
      <c r="I4594" s="2" t="s">
        <v>12</v>
      </c>
      <c r="J4594" s="2" t="s">
        <v>12</v>
      </c>
      <c r="K4594" s="2" t="s">
        <v>12</v>
      </c>
    </row>
    <row r="4595" spans="1:11" ht="12.5" x14ac:dyDescent="0.25">
      <c r="A4595" s="3" t="e">
        <f ca="1"/>
        <v>#NAME?</v>
      </c>
      <c r="B4595" s="2" t="s">
        <v>12</v>
      </c>
      <c r="C4595" s="2" t="s">
        <v>12</v>
      </c>
      <c r="D4595" s="2" t="s">
        <v>12</v>
      </c>
      <c r="E4595" s="2" t="s">
        <v>12</v>
      </c>
      <c r="F4595" s="2" t="s">
        <v>12</v>
      </c>
      <c r="G4595" s="2" t="s">
        <v>12</v>
      </c>
      <c r="H4595" s="2" t="s">
        <v>12</v>
      </c>
      <c r="I4595" s="2" t="s">
        <v>12</v>
      </c>
      <c r="J4595" s="2" t="s">
        <v>12</v>
      </c>
      <c r="K4595" s="2" t="s">
        <v>12</v>
      </c>
    </row>
    <row r="4596" spans="1:11" ht="12.5" x14ac:dyDescent="0.25">
      <c r="A4596" s="3" t="e">
        <f ca="1"/>
        <v>#NAME?</v>
      </c>
      <c r="B4596" s="2" t="s">
        <v>12</v>
      </c>
      <c r="C4596" s="2" t="s">
        <v>12</v>
      </c>
      <c r="D4596" s="2" t="s">
        <v>12</v>
      </c>
      <c r="E4596" s="2" t="s">
        <v>12</v>
      </c>
      <c r="F4596" s="2" t="s">
        <v>12</v>
      </c>
      <c r="G4596" s="2" t="s">
        <v>12</v>
      </c>
      <c r="H4596" s="2" t="s">
        <v>12</v>
      </c>
      <c r="I4596" s="2" t="s">
        <v>12</v>
      </c>
      <c r="J4596" s="2" t="s">
        <v>12</v>
      </c>
      <c r="K4596" s="2" t="s">
        <v>12</v>
      </c>
    </row>
    <row r="4597" spans="1:11" ht="12.5" x14ac:dyDescent="0.25">
      <c r="A4597" s="3" t="e">
        <f ca="1"/>
        <v>#NAME?</v>
      </c>
      <c r="B4597" s="2" t="s">
        <v>12</v>
      </c>
      <c r="C4597" s="2" t="s">
        <v>12</v>
      </c>
      <c r="D4597" s="2" t="s">
        <v>12</v>
      </c>
      <c r="E4597" s="2" t="s">
        <v>12</v>
      </c>
      <c r="F4597" s="2" t="s">
        <v>12</v>
      </c>
      <c r="G4597" s="2" t="s">
        <v>12</v>
      </c>
      <c r="H4597" s="2" t="s">
        <v>12</v>
      </c>
      <c r="I4597" s="2" t="s">
        <v>12</v>
      </c>
      <c r="J4597" s="2" t="s">
        <v>12</v>
      </c>
      <c r="K4597" s="2" t="s">
        <v>12</v>
      </c>
    </row>
    <row r="4598" spans="1:11" ht="12.5" x14ac:dyDescent="0.25">
      <c r="A4598" s="3" t="e">
        <f ca="1"/>
        <v>#NAME?</v>
      </c>
      <c r="B4598" s="2" t="s">
        <v>12</v>
      </c>
      <c r="C4598" s="2" t="s">
        <v>12</v>
      </c>
      <c r="D4598" s="2" t="s">
        <v>12</v>
      </c>
      <c r="E4598" s="2" t="s">
        <v>12</v>
      </c>
      <c r="F4598" s="2" t="s">
        <v>12</v>
      </c>
      <c r="G4598" s="2" t="s">
        <v>12</v>
      </c>
      <c r="H4598" s="2" t="s">
        <v>12</v>
      </c>
      <c r="I4598" s="2" t="s">
        <v>12</v>
      </c>
      <c r="J4598" s="2" t="s">
        <v>12</v>
      </c>
      <c r="K4598" s="2" t="s">
        <v>12</v>
      </c>
    </row>
    <row r="4599" spans="1:11" ht="12.5" x14ac:dyDescent="0.25">
      <c r="A4599" s="3" t="e">
        <f ca="1"/>
        <v>#NAME?</v>
      </c>
      <c r="B4599" s="2" t="s">
        <v>12</v>
      </c>
      <c r="C4599" s="2" t="s">
        <v>12</v>
      </c>
      <c r="D4599" s="2" t="s">
        <v>12</v>
      </c>
      <c r="E4599" s="2" t="s">
        <v>12</v>
      </c>
      <c r="F4599" s="2" t="s">
        <v>12</v>
      </c>
      <c r="G4599" s="2" t="s">
        <v>12</v>
      </c>
      <c r="H4599" s="2" t="s">
        <v>12</v>
      </c>
      <c r="I4599" s="2" t="s">
        <v>12</v>
      </c>
      <c r="J4599" s="2" t="s">
        <v>12</v>
      </c>
      <c r="K4599" s="2" t="s">
        <v>12</v>
      </c>
    </row>
    <row r="4600" spans="1:11" ht="12.5" x14ac:dyDescent="0.25">
      <c r="A4600" s="3" t="e">
        <f ca="1"/>
        <v>#NAME?</v>
      </c>
      <c r="B4600" s="2" t="s">
        <v>12</v>
      </c>
      <c r="C4600" s="2" t="s">
        <v>12</v>
      </c>
      <c r="D4600" s="2" t="s">
        <v>12</v>
      </c>
      <c r="E4600" s="2" t="s">
        <v>12</v>
      </c>
      <c r="F4600" s="2" t="s">
        <v>12</v>
      </c>
      <c r="G4600" s="2" t="s">
        <v>12</v>
      </c>
      <c r="H4600" s="2" t="s">
        <v>12</v>
      </c>
      <c r="I4600" s="2" t="s">
        <v>12</v>
      </c>
      <c r="J4600" s="2" t="s">
        <v>12</v>
      </c>
      <c r="K4600" s="2" t="s">
        <v>12</v>
      </c>
    </row>
    <row r="4601" spans="1:11" ht="12.5" x14ac:dyDescent="0.25">
      <c r="A4601" s="3" t="e">
        <f ca="1"/>
        <v>#NAME?</v>
      </c>
      <c r="B4601" s="2" t="s">
        <v>12</v>
      </c>
      <c r="C4601" s="2" t="s">
        <v>12</v>
      </c>
      <c r="D4601" s="2" t="s">
        <v>12</v>
      </c>
      <c r="E4601" s="2" t="s">
        <v>12</v>
      </c>
      <c r="F4601" s="2" t="s">
        <v>12</v>
      </c>
      <c r="G4601" s="2" t="s">
        <v>12</v>
      </c>
      <c r="H4601" s="2" t="s">
        <v>12</v>
      </c>
      <c r="I4601" s="2" t="s">
        <v>12</v>
      </c>
      <c r="J4601" s="2" t="s">
        <v>12</v>
      </c>
      <c r="K4601" s="2" t="s">
        <v>12</v>
      </c>
    </row>
    <row r="4602" spans="1:11" ht="12.5" x14ac:dyDescent="0.25">
      <c r="A4602" s="3" t="e">
        <f ca="1"/>
        <v>#NAME?</v>
      </c>
      <c r="B4602" s="2" t="s">
        <v>12</v>
      </c>
      <c r="C4602" s="2" t="s">
        <v>12</v>
      </c>
      <c r="D4602" s="2" t="s">
        <v>12</v>
      </c>
      <c r="E4602" s="2" t="s">
        <v>12</v>
      </c>
      <c r="F4602" s="2" t="s">
        <v>12</v>
      </c>
      <c r="G4602" s="2" t="s">
        <v>12</v>
      </c>
      <c r="H4602" s="2" t="s">
        <v>12</v>
      </c>
      <c r="I4602" s="2" t="s">
        <v>12</v>
      </c>
      <c r="J4602" s="2" t="s">
        <v>12</v>
      </c>
      <c r="K4602" s="2" t="s">
        <v>12</v>
      </c>
    </row>
    <row r="4603" spans="1:11" ht="12.5" x14ac:dyDescent="0.25">
      <c r="A4603" s="3" t="e">
        <f ca="1"/>
        <v>#NAME?</v>
      </c>
      <c r="B4603" s="2" t="s">
        <v>12</v>
      </c>
      <c r="C4603" s="2" t="s">
        <v>12</v>
      </c>
      <c r="D4603" s="2" t="s">
        <v>12</v>
      </c>
      <c r="E4603" s="2" t="s">
        <v>12</v>
      </c>
      <c r="F4603" s="2" t="s">
        <v>12</v>
      </c>
      <c r="G4603" s="2" t="s">
        <v>12</v>
      </c>
      <c r="H4603" s="2" t="s">
        <v>12</v>
      </c>
      <c r="I4603" s="2" t="s">
        <v>12</v>
      </c>
      <c r="J4603" s="2" t="s">
        <v>12</v>
      </c>
      <c r="K4603" s="2" t="s">
        <v>12</v>
      </c>
    </row>
    <row r="4604" spans="1:11" ht="12.5" x14ac:dyDescent="0.25">
      <c r="A4604" s="3" t="e">
        <f ca="1"/>
        <v>#NAME?</v>
      </c>
      <c r="B4604" s="2" t="s">
        <v>12</v>
      </c>
      <c r="C4604" s="2" t="s">
        <v>12</v>
      </c>
      <c r="D4604" s="2" t="s">
        <v>12</v>
      </c>
      <c r="E4604" s="2" t="s">
        <v>12</v>
      </c>
      <c r="F4604" s="2" t="s">
        <v>12</v>
      </c>
      <c r="G4604" s="2" t="s">
        <v>12</v>
      </c>
      <c r="H4604" s="2" t="s">
        <v>12</v>
      </c>
      <c r="I4604" s="2" t="s">
        <v>12</v>
      </c>
      <c r="J4604" s="2" t="s">
        <v>12</v>
      </c>
      <c r="K4604" s="2" t="s">
        <v>12</v>
      </c>
    </row>
    <row r="4605" spans="1:11" ht="12.5" x14ac:dyDescent="0.25">
      <c r="A4605" s="3" t="e">
        <f ca="1"/>
        <v>#NAME?</v>
      </c>
      <c r="B4605" s="2" t="s">
        <v>12</v>
      </c>
      <c r="C4605" s="2" t="s">
        <v>12</v>
      </c>
      <c r="D4605" s="2" t="s">
        <v>12</v>
      </c>
      <c r="E4605" s="2" t="s">
        <v>12</v>
      </c>
      <c r="F4605" s="2" t="s">
        <v>12</v>
      </c>
      <c r="G4605" s="2" t="s">
        <v>12</v>
      </c>
      <c r="H4605" s="2" t="s">
        <v>12</v>
      </c>
      <c r="I4605" s="2" t="s">
        <v>12</v>
      </c>
      <c r="J4605" s="2" t="s">
        <v>12</v>
      </c>
      <c r="K4605" s="2" t="s">
        <v>12</v>
      </c>
    </row>
    <row r="4606" spans="1:11" ht="12.5" x14ac:dyDescent="0.25">
      <c r="A4606" s="3" t="e">
        <f ca="1"/>
        <v>#NAME?</v>
      </c>
      <c r="B4606" s="2" t="s">
        <v>12</v>
      </c>
      <c r="C4606" s="2" t="s">
        <v>12</v>
      </c>
      <c r="D4606" s="2" t="s">
        <v>12</v>
      </c>
      <c r="E4606" s="2" t="s">
        <v>12</v>
      </c>
      <c r="F4606" s="2" t="s">
        <v>12</v>
      </c>
      <c r="G4606" s="2" t="s">
        <v>12</v>
      </c>
      <c r="H4606" s="2" t="s">
        <v>12</v>
      </c>
      <c r="I4606" s="2" t="s">
        <v>12</v>
      </c>
      <c r="J4606" s="2" t="s">
        <v>12</v>
      </c>
      <c r="K4606" s="2" t="s">
        <v>12</v>
      </c>
    </row>
    <row r="4607" spans="1:11" ht="12.5" x14ac:dyDescent="0.25">
      <c r="A4607" s="3" t="e">
        <f ca="1"/>
        <v>#NAME?</v>
      </c>
      <c r="B4607" s="2" t="s">
        <v>12</v>
      </c>
      <c r="C4607" s="2" t="s">
        <v>12</v>
      </c>
      <c r="D4607" s="2" t="s">
        <v>12</v>
      </c>
      <c r="E4607" s="2" t="s">
        <v>12</v>
      </c>
      <c r="F4607" s="2" t="s">
        <v>12</v>
      </c>
      <c r="G4607" s="2" t="s">
        <v>12</v>
      </c>
      <c r="H4607" s="2" t="s">
        <v>12</v>
      </c>
      <c r="I4607" s="2" t="s">
        <v>12</v>
      </c>
      <c r="J4607" s="2" t="s">
        <v>12</v>
      </c>
      <c r="K4607" s="2" t="s">
        <v>12</v>
      </c>
    </row>
    <row r="4608" spans="1:11" ht="12.5" x14ac:dyDescent="0.25">
      <c r="A4608" s="3" t="e">
        <f ca="1"/>
        <v>#NAME?</v>
      </c>
      <c r="B4608" s="2" t="s">
        <v>12</v>
      </c>
      <c r="C4608" s="2" t="s">
        <v>12</v>
      </c>
      <c r="D4608" s="2" t="s">
        <v>12</v>
      </c>
      <c r="E4608" s="2" t="s">
        <v>12</v>
      </c>
      <c r="F4608" s="2" t="s">
        <v>12</v>
      </c>
      <c r="G4608" s="2" t="s">
        <v>12</v>
      </c>
      <c r="H4608" s="2" t="s">
        <v>12</v>
      </c>
      <c r="I4608" s="2" t="s">
        <v>12</v>
      </c>
      <c r="J4608" s="2" t="s">
        <v>12</v>
      </c>
      <c r="K4608" s="2" t="s">
        <v>12</v>
      </c>
    </row>
    <row r="4609" spans="1:11" ht="12.5" x14ac:dyDescent="0.25">
      <c r="A4609" s="3" t="e">
        <f ca="1"/>
        <v>#NAME?</v>
      </c>
      <c r="B4609" s="2" t="s">
        <v>12</v>
      </c>
      <c r="C4609" s="2" t="s">
        <v>12</v>
      </c>
      <c r="D4609" s="2" t="s">
        <v>12</v>
      </c>
      <c r="E4609" s="2" t="s">
        <v>12</v>
      </c>
      <c r="F4609" s="2" t="s">
        <v>12</v>
      </c>
      <c r="G4609" s="2" t="s">
        <v>12</v>
      </c>
      <c r="H4609" s="2" t="s">
        <v>12</v>
      </c>
      <c r="I4609" s="2" t="s">
        <v>12</v>
      </c>
      <c r="J4609" s="2" t="s">
        <v>12</v>
      </c>
      <c r="K4609" s="2" t="s">
        <v>12</v>
      </c>
    </row>
    <row r="4610" spans="1:11" ht="12.5" x14ac:dyDescent="0.25">
      <c r="A4610" s="3" t="e">
        <f ca="1"/>
        <v>#NAME?</v>
      </c>
      <c r="B4610" s="2" t="s">
        <v>12</v>
      </c>
      <c r="C4610" s="2" t="s">
        <v>12</v>
      </c>
      <c r="D4610" s="2" t="s">
        <v>12</v>
      </c>
      <c r="E4610" s="2" t="s">
        <v>12</v>
      </c>
      <c r="F4610" s="2" t="s">
        <v>12</v>
      </c>
      <c r="G4610" s="2" t="s">
        <v>12</v>
      </c>
      <c r="H4610" s="2" t="s">
        <v>12</v>
      </c>
      <c r="I4610" s="2" t="s">
        <v>12</v>
      </c>
      <c r="J4610" s="2" t="s">
        <v>12</v>
      </c>
      <c r="K4610" s="2" t="s">
        <v>12</v>
      </c>
    </row>
    <row r="4611" spans="1:11" ht="12.5" x14ac:dyDescent="0.25">
      <c r="A4611" s="3" t="e">
        <f ca="1"/>
        <v>#NAME?</v>
      </c>
      <c r="B4611" s="2" t="s">
        <v>12</v>
      </c>
      <c r="C4611" s="2" t="s">
        <v>12</v>
      </c>
      <c r="D4611" s="2" t="s">
        <v>12</v>
      </c>
      <c r="E4611" s="2" t="s">
        <v>12</v>
      </c>
      <c r="F4611" s="2" t="s">
        <v>12</v>
      </c>
      <c r="G4611" s="2" t="s">
        <v>12</v>
      </c>
      <c r="H4611" s="2" t="s">
        <v>12</v>
      </c>
      <c r="I4611" s="2" t="s">
        <v>12</v>
      </c>
      <c r="J4611" s="2" t="s">
        <v>12</v>
      </c>
      <c r="K4611" s="2" t="s">
        <v>12</v>
      </c>
    </row>
    <row r="4612" spans="1:11" ht="12.5" x14ac:dyDescent="0.25">
      <c r="A4612" s="3" t="e">
        <f ca="1"/>
        <v>#NAME?</v>
      </c>
      <c r="B4612" s="2" t="s">
        <v>12</v>
      </c>
      <c r="C4612" s="2" t="s">
        <v>12</v>
      </c>
      <c r="D4612" s="2" t="s">
        <v>12</v>
      </c>
      <c r="E4612" s="2" t="s">
        <v>12</v>
      </c>
      <c r="F4612" s="2" t="s">
        <v>12</v>
      </c>
      <c r="G4612" s="2" t="s">
        <v>12</v>
      </c>
      <c r="H4612" s="2" t="s">
        <v>12</v>
      </c>
      <c r="I4612" s="2" t="s">
        <v>12</v>
      </c>
      <c r="J4612" s="2" t="s">
        <v>12</v>
      </c>
      <c r="K4612" s="2" t="s">
        <v>12</v>
      </c>
    </row>
    <row r="4613" spans="1:11" ht="12.5" x14ac:dyDescent="0.25">
      <c r="A4613" s="3" t="e">
        <f ca="1"/>
        <v>#NAME?</v>
      </c>
      <c r="B4613" s="2" t="s">
        <v>12</v>
      </c>
      <c r="C4613" s="2" t="s">
        <v>12</v>
      </c>
      <c r="D4613" s="2" t="s">
        <v>12</v>
      </c>
      <c r="E4613" s="2" t="s">
        <v>12</v>
      </c>
      <c r="F4613" s="2" t="s">
        <v>12</v>
      </c>
      <c r="G4613" s="2" t="s">
        <v>12</v>
      </c>
      <c r="H4613" s="2" t="s">
        <v>12</v>
      </c>
      <c r="I4613" s="2" t="s">
        <v>12</v>
      </c>
      <c r="J4613" s="2" t="s">
        <v>12</v>
      </c>
      <c r="K4613" s="2" t="s">
        <v>12</v>
      </c>
    </row>
    <row r="4614" spans="1:11" ht="12.5" x14ac:dyDescent="0.25">
      <c r="A4614" s="3" t="e">
        <f ca="1"/>
        <v>#NAME?</v>
      </c>
      <c r="B4614" s="2" t="s">
        <v>12</v>
      </c>
      <c r="C4614" s="2" t="s">
        <v>12</v>
      </c>
      <c r="D4614" s="2" t="s">
        <v>12</v>
      </c>
      <c r="E4614" s="2" t="s">
        <v>12</v>
      </c>
      <c r="F4614" s="2" t="s">
        <v>12</v>
      </c>
      <c r="G4614" s="2" t="s">
        <v>12</v>
      </c>
      <c r="H4614" s="2" t="s">
        <v>12</v>
      </c>
      <c r="I4614" s="2" t="s">
        <v>12</v>
      </c>
      <c r="J4614" s="2" t="s">
        <v>12</v>
      </c>
      <c r="K4614" s="2" t="s">
        <v>12</v>
      </c>
    </row>
    <row r="4615" spans="1:11" ht="12.5" x14ac:dyDescent="0.25">
      <c r="A4615" s="3" t="e">
        <f ca="1"/>
        <v>#NAME?</v>
      </c>
      <c r="B4615" s="2" t="s">
        <v>12</v>
      </c>
      <c r="C4615" s="2" t="s">
        <v>12</v>
      </c>
      <c r="D4615" s="2" t="s">
        <v>12</v>
      </c>
      <c r="E4615" s="2" t="s">
        <v>12</v>
      </c>
      <c r="F4615" s="2" t="s">
        <v>12</v>
      </c>
      <c r="G4615" s="2" t="s">
        <v>12</v>
      </c>
      <c r="H4615" s="2" t="s">
        <v>12</v>
      </c>
      <c r="I4615" s="2" t="s">
        <v>12</v>
      </c>
      <c r="J4615" s="2" t="s">
        <v>12</v>
      </c>
      <c r="K4615" s="2" t="s">
        <v>12</v>
      </c>
    </row>
    <row r="4616" spans="1:11" ht="12.5" x14ac:dyDescent="0.25">
      <c r="A4616" s="3" t="e">
        <f ca="1"/>
        <v>#NAME?</v>
      </c>
      <c r="B4616" s="2" t="s">
        <v>12</v>
      </c>
      <c r="C4616" s="2" t="s">
        <v>12</v>
      </c>
      <c r="D4616" s="2" t="s">
        <v>12</v>
      </c>
      <c r="E4616" s="2" t="s">
        <v>12</v>
      </c>
      <c r="F4616" s="2" t="s">
        <v>12</v>
      </c>
      <c r="G4616" s="2" t="s">
        <v>12</v>
      </c>
      <c r="H4616" s="2" t="s">
        <v>12</v>
      </c>
      <c r="I4616" s="2" t="s">
        <v>12</v>
      </c>
      <c r="J4616" s="2" t="s">
        <v>12</v>
      </c>
      <c r="K4616" s="2" t="s">
        <v>12</v>
      </c>
    </row>
    <row r="4617" spans="1:11" ht="12.5" x14ac:dyDescent="0.25">
      <c r="A4617" s="3" t="e">
        <f ca="1"/>
        <v>#NAME?</v>
      </c>
      <c r="B4617" s="2" t="s">
        <v>12</v>
      </c>
      <c r="C4617" s="2" t="s">
        <v>12</v>
      </c>
      <c r="D4617" s="2" t="s">
        <v>12</v>
      </c>
      <c r="E4617" s="2" t="s">
        <v>12</v>
      </c>
      <c r="F4617" s="2" t="s">
        <v>12</v>
      </c>
      <c r="G4617" s="2" t="s">
        <v>12</v>
      </c>
      <c r="H4617" s="2" t="s">
        <v>12</v>
      </c>
      <c r="I4617" s="2" t="s">
        <v>12</v>
      </c>
      <c r="J4617" s="2" t="s">
        <v>12</v>
      </c>
      <c r="K4617" s="2" t="s">
        <v>12</v>
      </c>
    </row>
    <row r="4618" spans="1:11" ht="12.5" x14ac:dyDescent="0.25">
      <c r="A4618" s="3" t="e">
        <f ca="1"/>
        <v>#NAME?</v>
      </c>
      <c r="B4618" s="2" t="s">
        <v>12</v>
      </c>
      <c r="C4618" s="2" t="s">
        <v>12</v>
      </c>
      <c r="D4618" s="2" t="s">
        <v>12</v>
      </c>
      <c r="E4618" s="2" t="s">
        <v>12</v>
      </c>
      <c r="F4618" s="2" t="s">
        <v>12</v>
      </c>
      <c r="G4618" s="2" t="s">
        <v>12</v>
      </c>
      <c r="H4618" s="2" t="s">
        <v>12</v>
      </c>
      <c r="I4618" s="2" t="s">
        <v>12</v>
      </c>
      <c r="J4618" s="2" t="s">
        <v>12</v>
      </c>
      <c r="K4618" s="2" t="s">
        <v>12</v>
      </c>
    </row>
    <row r="4619" spans="1:11" ht="12.5" x14ac:dyDescent="0.25">
      <c r="A4619" s="3" t="e">
        <f ca="1"/>
        <v>#NAME?</v>
      </c>
      <c r="B4619" s="2" t="s">
        <v>12</v>
      </c>
      <c r="C4619" s="2" t="s">
        <v>12</v>
      </c>
      <c r="D4619" s="2" t="s">
        <v>12</v>
      </c>
      <c r="E4619" s="2" t="s">
        <v>12</v>
      </c>
      <c r="F4619" s="2" t="s">
        <v>12</v>
      </c>
      <c r="G4619" s="2" t="s">
        <v>12</v>
      </c>
      <c r="H4619" s="2" t="s">
        <v>12</v>
      </c>
      <c r="I4619" s="2" t="s">
        <v>12</v>
      </c>
      <c r="J4619" s="2" t="s">
        <v>12</v>
      </c>
      <c r="K4619" s="2" t="s">
        <v>12</v>
      </c>
    </row>
    <row r="4620" spans="1:11" ht="12.5" x14ac:dyDescent="0.25">
      <c r="A4620" s="3" t="e">
        <f ca="1"/>
        <v>#NAME?</v>
      </c>
      <c r="B4620" s="2" t="s">
        <v>12</v>
      </c>
      <c r="C4620" s="2" t="s">
        <v>12</v>
      </c>
      <c r="D4620" s="2" t="s">
        <v>12</v>
      </c>
      <c r="E4620" s="2" t="s">
        <v>12</v>
      </c>
      <c r="F4620" s="2" t="s">
        <v>12</v>
      </c>
      <c r="G4620" s="2" t="s">
        <v>12</v>
      </c>
      <c r="H4620" s="2" t="s">
        <v>12</v>
      </c>
      <c r="I4620" s="2" t="s">
        <v>12</v>
      </c>
      <c r="J4620" s="2" t="s">
        <v>12</v>
      </c>
      <c r="K4620" s="2" t="s">
        <v>12</v>
      </c>
    </row>
    <row r="4621" spans="1:11" ht="12.5" x14ac:dyDescent="0.25">
      <c r="A4621" s="3" t="e">
        <f ca="1"/>
        <v>#NAME?</v>
      </c>
      <c r="B4621" s="2" t="s">
        <v>12</v>
      </c>
      <c r="C4621" s="2" t="s">
        <v>12</v>
      </c>
      <c r="D4621" s="2" t="s">
        <v>12</v>
      </c>
      <c r="E4621" s="2" t="s">
        <v>12</v>
      </c>
      <c r="F4621" s="2" t="s">
        <v>12</v>
      </c>
      <c r="G4621" s="2" t="s">
        <v>12</v>
      </c>
      <c r="H4621" s="2" t="s">
        <v>12</v>
      </c>
      <c r="I4621" s="2" t="s">
        <v>12</v>
      </c>
      <c r="J4621" s="2" t="s">
        <v>12</v>
      </c>
      <c r="K4621" s="2" t="s">
        <v>12</v>
      </c>
    </row>
    <row r="4622" spans="1:11" ht="12.5" x14ac:dyDescent="0.25">
      <c r="A4622" s="3" t="e">
        <f ca="1"/>
        <v>#NAME?</v>
      </c>
      <c r="B4622" s="2" t="s">
        <v>12</v>
      </c>
      <c r="C4622" s="2" t="s">
        <v>12</v>
      </c>
      <c r="D4622" s="2" t="s">
        <v>12</v>
      </c>
      <c r="E4622" s="2" t="s">
        <v>12</v>
      </c>
      <c r="F4622" s="2" t="s">
        <v>12</v>
      </c>
      <c r="G4622" s="2" t="s">
        <v>12</v>
      </c>
      <c r="H4622" s="2" t="s">
        <v>12</v>
      </c>
      <c r="I4622" s="2" t="s">
        <v>12</v>
      </c>
      <c r="J4622" s="2" t="s">
        <v>12</v>
      </c>
      <c r="K4622" s="2" t="s">
        <v>12</v>
      </c>
    </row>
    <row r="4623" spans="1:11" ht="12.5" x14ac:dyDescent="0.25">
      <c r="A4623" s="3" t="e">
        <f ca="1"/>
        <v>#NAME?</v>
      </c>
      <c r="B4623" s="2" t="s">
        <v>12</v>
      </c>
      <c r="C4623" s="2" t="s">
        <v>12</v>
      </c>
      <c r="D4623" s="2" t="s">
        <v>12</v>
      </c>
      <c r="E4623" s="2" t="s">
        <v>12</v>
      </c>
      <c r="F4623" s="2" t="s">
        <v>12</v>
      </c>
      <c r="G4623" s="2" t="s">
        <v>12</v>
      </c>
      <c r="H4623" s="2" t="s">
        <v>12</v>
      </c>
      <c r="I4623" s="2" t="s">
        <v>12</v>
      </c>
      <c r="J4623" s="2" t="s">
        <v>12</v>
      </c>
      <c r="K4623" s="2" t="s">
        <v>12</v>
      </c>
    </row>
    <row r="4624" spans="1:11" ht="12.5" x14ac:dyDescent="0.25">
      <c r="A4624" s="3" t="e">
        <f ca="1"/>
        <v>#NAME?</v>
      </c>
      <c r="B4624" s="2" t="s">
        <v>12</v>
      </c>
      <c r="C4624" s="2" t="s">
        <v>12</v>
      </c>
      <c r="D4624" s="2" t="s">
        <v>12</v>
      </c>
      <c r="E4624" s="2" t="s">
        <v>12</v>
      </c>
      <c r="F4624" s="2" t="s">
        <v>12</v>
      </c>
      <c r="G4624" s="2" t="s">
        <v>12</v>
      </c>
      <c r="H4624" s="2" t="s">
        <v>12</v>
      </c>
      <c r="I4624" s="2" t="s">
        <v>12</v>
      </c>
      <c r="J4624" s="2" t="s">
        <v>12</v>
      </c>
      <c r="K4624" s="2" t="s">
        <v>12</v>
      </c>
    </row>
    <row r="4625" spans="1:11" ht="12.5" x14ac:dyDescent="0.25">
      <c r="A4625" s="3" t="e">
        <f ca="1"/>
        <v>#NAME?</v>
      </c>
      <c r="B4625" s="2" t="s">
        <v>12</v>
      </c>
      <c r="C4625" s="2" t="s">
        <v>12</v>
      </c>
      <c r="D4625" s="2" t="s">
        <v>12</v>
      </c>
      <c r="E4625" s="2" t="s">
        <v>12</v>
      </c>
      <c r="F4625" s="2" t="s">
        <v>12</v>
      </c>
      <c r="G4625" s="2" t="s">
        <v>12</v>
      </c>
      <c r="H4625" s="2" t="s">
        <v>12</v>
      </c>
      <c r="I4625" s="2" t="s">
        <v>12</v>
      </c>
      <c r="J4625" s="2" t="s">
        <v>12</v>
      </c>
      <c r="K4625" s="2" t="s">
        <v>12</v>
      </c>
    </row>
    <row r="4626" spans="1:11" ht="12.5" x14ac:dyDescent="0.25">
      <c r="A4626" s="3" t="e">
        <f ca="1"/>
        <v>#NAME?</v>
      </c>
      <c r="B4626" s="2" t="s">
        <v>12</v>
      </c>
      <c r="C4626" s="2" t="s">
        <v>12</v>
      </c>
      <c r="D4626" s="2" t="s">
        <v>12</v>
      </c>
      <c r="E4626" s="2" t="s">
        <v>12</v>
      </c>
      <c r="F4626" s="2" t="s">
        <v>12</v>
      </c>
      <c r="G4626" s="2" t="s">
        <v>12</v>
      </c>
      <c r="H4626" s="2" t="s">
        <v>12</v>
      </c>
      <c r="I4626" s="2" t="s">
        <v>12</v>
      </c>
      <c r="J4626" s="2" t="s">
        <v>12</v>
      </c>
      <c r="K4626" s="2" t="s">
        <v>12</v>
      </c>
    </row>
    <row r="4627" spans="1:11" ht="12.5" x14ac:dyDescent="0.25">
      <c r="A4627" s="3" t="e">
        <f ca="1"/>
        <v>#NAME?</v>
      </c>
      <c r="B4627" s="2" t="s">
        <v>12</v>
      </c>
      <c r="C4627" s="2" t="s">
        <v>12</v>
      </c>
      <c r="D4627" s="2" t="s">
        <v>12</v>
      </c>
      <c r="E4627" s="2" t="s">
        <v>12</v>
      </c>
      <c r="F4627" s="2" t="s">
        <v>12</v>
      </c>
      <c r="G4627" s="2" t="s">
        <v>12</v>
      </c>
      <c r="H4627" s="2" t="s">
        <v>12</v>
      </c>
      <c r="I4627" s="2" t="s">
        <v>12</v>
      </c>
      <c r="J4627" s="2" t="s">
        <v>12</v>
      </c>
      <c r="K4627" s="2" t="s">
        <v>12</v>
      </c>
    </row>
    <row r="4628" spans="1:11" ht="12.5" x14ac:dyDescent="0.25">
      <c r="A4628" s="3" t="e">
        <f ca="1"/>
        <v>#NAME?</v>
      </c>
      <c r="B4628" s="2" t="s">
        <v>12</v>
      </c>
      <c r="C4628" s="2" t="s">
        <v>12</v>
      </c>
      <c r="D4628" s="2" t="s">
        <v>12</v>
      </c>
      <c r="E4628" s="2" t="s">
        <v>12</v>
      </c>
      <c r="F4628" s="2" t="s">
        <v>12</v>
      </c>
      <c r="G4628" s="2" t="s">
        <v>12</v>
      </c>
      <c r="H4628" s="2" t="s">
        <v>12</v>
      </c>
      <c r="I4628" s="2" t="s">
        <v>12</v>
      </c>
      <c r="J4628" s="2" t="s">
        <v>12</v>
      </c>
      <c r="K4628" s="2" t="s">
        <v>12</v>
      </c>
    </row>
    <row r="4629" spans="1:11" ht="12.5" x14ac:dyDescent="0.25">
      <c r="A4629" s="3" t="e">
        <f ca="1"/>
        <v>#NAME?</v>
      </c>
      <c r="B4629" s="2" t="s">
        <v>12</v>
      </c>
      <c r="C4629" s="2" t="s">
        <v>12</v>
      </c>
      <c r="D4629" s="2" t="s">
        <v>12</v>
      </c>
      <c r="E4629" s="2" t="s">
        <v>12</v>
      </c>
      <c r="F4629" s="2" t="s">
        <v>12</v>
      </c>
      <c r="G4629" s="2" t="s">
        <v>12</v>
      </c>
      <c r="H4629" s="2" t="s">
        <v>12</v>
      </c>
      <c r="I4629" s="2" t="s">
        <v>12</v>
      </c>
      <c r="J4629" s="2" t="s">
        <v>12</v>
      </c>
      <c r="K4629" s="2" t="s">
        <v>12</v>
      </c>
    </row>
    <row r="4630" spans="1:11" ht="12.5" x14ac:dyDescent="0.25">
      <c r="A4630" s="3" t="e">
        <f ca="1"/>
        <v>#NAME?</v>
      </c>
      <c r="B4630" s="2" t="s">
        <v>12</v>
      </c>
      <c r="C4630" s="2" t="s">
        <v>12</v>
      </c>
      <c r="D4630" s="2" t="s">
        <v>12</v>
      </c>
      <c r="E4630" s="2" t="s">
        <v>12</v>
      </c>
      <c r="F4630" s="2" t="s">
        <v>12</v>
      </c>
      <c r="G4630" s="2" t="s">
        <v>12</v>
      </c>
      <c r="H4630" s="2" t="s">
        <v>12</v>
      </c>
      <c r="I4630" s="2" t="s">
        <v>12</v>
      </c>
      <c r="J4630" s="2" t="s">
        <v>12</v>
      </c>
      <c r="K4630" s="2" t="s">
        <v>12</v>
      </c>
    </row>
    <row r="4631" spans="1:11" ht="12.5" x14ac:dyDescent="0.25">
      <c r="A4631" s="3" t="e">
        <f ca="1"/>
        <v>#NAME?</v>
      </c>
      <c r="B4631" s="2" t="s">
        <v>12</v>
      </c>
      <c r="C4631" s="2" t="s">
        <v>12</v>
      </c>
      <c r="D4631" s="2" t="s">
        <v>12</v>
      </c>
      <c r="E4631" s="2" t="s">
        <v>12</v>
      </c>
      <c r="F4631" s="2" t="s">
        <v>12</v>
      </c>
      <c r="G4631" s="2" t="s">
        <v>12</v>
      </c>
      <c r="H4631" s="2" t="s">
        <v>12</v>
      </c>
      <c r="I4631" s="2" t="s">
        <v>12</v>
      </c>
      <c r="J4631" s="2" t="s">
        <v>12</v>
      </c>
      <c r="K4631" s="2" t="s">
        <v>12</v>
      </c>
    </row>
    <row r="4632" spans="1:11" ht="12.5" x14ac:dyDescent="0.25">
      <c r="A4632" s="3" t="e">
        <f ca="1"/>
        <v>#NAME?</v>
      </c>
      <c r="B4632" s="2" t="s">
        <v>12</v>
      </c>
      <c r="C4632" s="2" t="s">
        <v>12</v>
      </c>
      <c r="D4632" s="2" t="s">
        <v>12</v>
      </c>
      <c r="E4632" s="2" t="s">
        <v>12</v>
      </c>
      <c r="F4632" s="2" t="s">
        <v>12</v>
      </c>
      <c r="G4632" s="2" t="s">
        <v>12</v>
      </c>
      <c r="H4632" s="2" t="s">
        <v>12</v>
      </c>
      <c r="I4632" s="2" t="s">
        <v>12</v>
      </c>
      <c r="J4632" s="2" t="s">
        <v>12</v>
      </c>
      <c r="K4632" s="2" t="s">
        <v>12</v>
      </c>
    </row>
    <row r="4633" spans="1:11" ht="12.5" x14ac:dyDescent="0.25">
      <c r="A4633" s="3" t="e">
        <f ca="1"/>
        <v>#NAME?</v>
      </c>
      <c r="B4633" s="2" t="s">
        <v>12</v>
      </c>
      <c r="C4633" s="2" t="s">
        <v>12</v>
      </c>
      <c r="D4633" s="2" t="s">
        <v>12</v>
      </c>
      <c r="E4633" s="2" t="s">
        <v>12</v>
      </c>
      <c r="F4633" s="2" t="s">
        <v>12</v>
      </c>
      <c r="G4633" s="2" t="s">
        <v>12</v>
      </c>
      <c r="H4633" s="2" t="s">
        <v>12</v>
      </c>
      <c r="I4633" s="2" t="s">
        <v>12</v>
      </c>
      <c r="J4633" s="2" t="s">
        <v>12</v>
      </c>
      <c r="K4633" s="2" t="s">
        <v>12</v>
      </c>
    </row>
    <row r="4634" spans="1:11" ht="12.5" x14ac:dyDescent="0.25">
      <c r="A4634" s="3" t="e">
        <f ca="1"/>
        <v>#NAME?</v>
      </c>
      <c r="B4634" s="2" t="s">
        <v>12</v>
      </c>
      <c r="C4634" s="2" t="s">
        <v>12</v>
      </c>
      <c r="D4634" s="2" t="s">
        <v>12</v>
      </c>
      <c r="E4634" s="2" t="s">
        <v>12</v>
      </c>
      <c r="F4634" s="2" t="s">
        <v>12</v>
      </c>
      <c r="G4634" s="2" t="s">
        <v>12</v>
      </c>
      <c r="H4634" s="2" t="s">
        <v>12</v>
      </c>
      <c r="I4634" s="2" t="s">
        <v>12</v>
      </c>
      <c r="J4634" s="2" t="s">
        <v>12</v>
      </c>
      <c r="K4634" s="2" t="s">
        <v>12</v>
      </c>
    </row>
    <row r="4635" spans="1:11" ht="12.5" x14ac:dyDescent="0.25">
      <c r="A4635" s="3" t="e">
        <f ca="1"/>
        <v>#NAME?</v>
      </c>
      <c r="B4635" s="2" t="s">
        <v>12</v>
      </c>
      <c r="C4635" s="2" t="s">
        <v>12</v>
      </c>
      <c r="D4635" s="2" t="s">
        <v>12</v>
      </c>
      <c r="E4635" s="2" t="s">
        <v>12</v>
      </c>
      <c r="F4635" s="2" t="s">
        <v>12</v>
      </c>
      <c r="G4635" s="2" t="s">
        <v>12</v>
      </c>
      <c r="H4635" s="2" t="s">
        <v>12</v>
      </c>
      <c r="I4635" s="2" t="s">
        <v>12</v>
      </c>
      <c r="J4635" s="2" t="s">
        <v>12</v>
      </c>
      <c r="K4635" s="2" t="s">
        <v>12</v>
      </c>
    </row>
    <row r="4636" spans="1:11" ht="12.5" x14ac:dyDescent="0.25">
      <c r="A4636" s="3" t="e">
        <f ca="1"/>
        <v>#NAME?</v>
      </c>
      <c r="B4636" s="2" t="s">
        <v>12</v>
      </c>
      <c r="C4636" s="2" t="s">
        <v>12</v>
      </c>
      <c r="D4636" s="2" t="s">
        <v>12</v>
      </c>
      <c r="E4636" s="2" t="s">
        <v>12</v>
      </c>
      <c r="F4636" s="2" t="s">
        <v>12</v>
      </c>
      <c r="G4636" s="2" t="s">
        <v>12</v>
      </c>
      <c r="H4636" s="2" t="s">
        <v>12</v>
      </c>
      <c r="I4636" s="2" t="s">
        <v>12</v>
      </c>
      <c r="J4636" s="2" t="s">
        <v>12</v>
      </c>
      <c r="K4636" s="2" t="s">
        <v>12</v>
      </c>
    </row>
    <row r="4637" spans="1:11" ht="12.5" x14ac:dyDescent="0.25">
      <c r="A4637" s="3" t="e">
        <f ca="1"/>
        <v>#NAME?</v>
      </c>
      <c r="B4637" s="2" t="s">
        <v>12</v>
      </c>
      <c r="C4637" s="2" t="s">
        <v>12</v>
      </c>
      <c r="D4637" s="2" t="s">
        <v>12</v>
      </c>
      <c r="E4637" s="2" t="s">
        <v>12</v>
      </c>
      <c r="F4637" s="2" t="s">
        <v>12</v>
      </c>
      <c r="G4637" s="2" t="s">
        <v>12</v>
      </c>
      <c r="H4637" s="2" t="s">
        <v>12</v>
      </c>
      <c r="I4637" s="2" t="s">
        <v>12</v>
      </c>
      <c r="J4637" s="2" t="s">
        <v>12</v>
      </c>
      <c r="K4637" s="2" t="s">
        <v>12</v>
      </c>
    </row>
    <row r="4638" spans="1:11" ht="12.5" x14ac:dyDescent="0.25">
      <c r="A4638" s="3" t="e">
        <f ca="1"/>
        <v>#NAME?</v>
      </c>
      <c r="B4638" s="2" t="s">
        <v>12</v>
      </c>
      <c r="C4638" s="2" t="s">
        <v>12</v>
      </c>
      <c r="D4638" s="2" t="s">
        <v>12</v>
      </c>
      <c r="E4638" s="2" t="s">
        <v>12</v>
      </c>
      <c r="F4638" s="2" t="s">
        <v>12</v>
      </c>
      <c r="G4638" s="2" t="s">
        <v>12</v>
      </c>
      <c r="H4638" s="2" t="s">
        <v>12</v>
      </c>
      <c r="I4638" s="2" t="s">
        <v>12</v>
      </c>
      <c r="J4638" s="2" t="s">
        <v>12</v>
      </c>
      <c r="K4638" s="2" t="s">
        <v>12</v>
      </c>
    </row>
    <row r="4639" spans="1:11" ht="12.5" x14ac:dyDescent="0.25">
      <c r="A4639" s="3" t="e">
        <f ca="1"/>
        <v>#NAME?</v>
      </c>
      <c r="B4639" s="2" t="s">
        <v>12</v>
      </c>
      <c r="C4639" s="2" t="s">
        <v>12</v>
      </c>
      <c r="D4639" s="2" t="s">
        <v>12</v>
      </c>
      <c r="E4639" s="2" t="s">
        <v>12</v>
      </c>
      <c r="F4639" s="2" t="s">
        <v>12</v>
      </c>
      <c r="G4639" s="2" t="s">
        <v>12</v>
      </c>
      <c r="H4639" s="2" t="s">
        <v>12</v>
      </c>
      <c r="I4639" s="2" t="s">
        <v>12</v>
      </c>
      <c r="J4639" s="2" t="s">
        <v>12</v>
      </c>
      <c r="K4639" s="2" t="s">
        <v>12</v>
      </c>
    </row>
    <row r="4640" spans="1:11" ht="12.5" x14ac:dyDescent="0.25">
      <c r="A4640" s="3" t="e">
        <f ca="1"/>
        <v>#NAME?</v>
      </c>
      <c r="B4640" s="2" t="s">
        <v>12</v>
      </c>
      <c r="C4640" s="2" t="s">
        <v>12</v>
      </c>
      <c r="D4640" s="2" t="s">
        <v>12</v>
      </c>
      <c r="E4640" s="2" t="s">
        <v>12</v>
      </c>
      <c r="F4640" s="2" t="s">
        <v>12</v>
      </c>
      <c r="G4640" s="2" t="s">
        <v>12</v>
      </c>
      <c r="H4640" s="2" t="s">
        <v>12</v>
      </c>
      <c r="I4640" s="2" t="s">
        <v>12</v>
      </c>
      <c r="J4640" s="2" t="s">
        <v>12</v>
      </c>
      <c r="K4640" s="2" t="s">
        <v>12</v>
      </c>
    </row>
    <row r="4641" spans="1:11" ht="12.5" x14ac:dyDescent="0.25">
      <c r="A4641" s="3" t="e">
        <f ca="1"/>
        <v>#NAME?</v>
      </c>
      <c r="B4641" s="2" t="s">
        <v>12</v>
      </c>
      <c r="C4641" s="2" t="s">
        <v>12</v>
      </c>
      <c r="D4641" s="2" t="s">
        <v>12</v>
      </c>
      <c r="E4641" s="2" t="s">
        <v>12</v>
      </c>
      <c r="F4641" s="2" t="s">
        <v>12</v>
      </c>
      <c r="G4641" s="2" t="s">
        <v>12</v>
      </c>
      <c r="H4641" s="2" t="s">
        <v>12</v>
      </c>
      <c r="I4641" s="2" t="s">
        <v>12</v>
      </c>
      <c r="J4641" s="2" t="s">
        <v>12</v>
      </c>
      <c r="K4641" s="2" t="s">
        <v>12</v>
      </c>
    </row>
    <row r="4642" spans="1:11" ht="12.5" x14ac:dyDescent="0.25">
      <c r="A4642" s="3" t="e">
        <f ca="1"/>
        <v>#NAME?</v>
      </c>
      <c r="B4642" s="2" t="s">
        <v>12</v>
      </c>
      <c r="C4642" s="2" t="s">
        <v>12</v>
      </c>
      <c r="D4642" s="2" t="s">
        <v>12</v>
      </c>
      <c r="E4642" s="2" t="s">
        <v>12</v>
      </c>
      <c r="F4642" s="2" t="s">
        <v>12</v>
      </c>
      <c r="G4642" s="2" t="s">
        <v>12</v>
      </c>
      <c r="H4642" s="2" t="s">
        <v>12</v>
      </c>
      <c r="I4642" s="2" t="s">
        <v>12</v>
      </c>
      <c r="J4642" s="2" t="s">
        <v>12</v>
      </c>
      <c r="K4642" s="2" t="s">
        <v>12</v>
      </c>
    </row>
    <row r="4643" spans="1:11" ht="12.5" x14ac:dyDescent="0.25">
      <c r="A4643" s="3" t="e">
        <f ca="1"/>
        <v>#NAME?</v>
      </c>
      <c r="B4643" s="2" t="s">
        <v>12</v>
      </c>
      <c r="C4643" s="2" t="s">
        <v>12</v>
      </c>
      <c r="D4643" s="2" t="s">
        <v>12</v>
      </c>
      <c r="E4643" s="2" t="s">
        <v>12</v>
      </c>
      <c r="F4643" s="2" t="s">
        <v>12</v>
      </c>
      <c r="G4643" s="2" t="s">
        <v>12</v>
      </c>
      <c r="H4643" s="2" t="s">
        <v>12</v>
      </c>
      <c r="I4643" s="2" t="s">
        <v>12</v>
      </c>
      <c r="J4643" s="2" t="s">
        <v>12</v>
      </c>
      <c r="K4643" s="2" t="s">
        <v>12</v>
      </c>
    </row>
    <row r="4644" spans="1:11" ht="12.5" x14ac:dyDescent="0.25">
      <c r="A4644" s="3" t="e">
        <f ca="1"/>
        <v>#NAME?</v>
      </c>
      <c r="B4644" s="2" t="s">
        <v>12</v>
      </c>
      <c r="C4644" s="2" t="s">
        <v>12</v>
      </c>
      <c r="D4644" s="2" t="s">
        <v>12</v>
      </c>
      <c r="E4644" s="2" t="s">
        <v>12</v>
      </c>
      <c r="F4644" s="2" t="s">
        <v>12</v>
      </c>
      <c r="G4644" s="2" t="s">
        <v>12</v>
      </c>
      <c r="H4644" s="2" t="s">
        <v>12</v>
      </c>
      <c r="I4644" s="2" t="s">
        <v>12</v>
      </c>
      <c r="J4644" s="2" t="s">
        <v>12</v>
      </c>
      <c r="K4644" s="2" t="s">
        <v>12</v>
      </c>
    </row>
    <row r="4645" spans="1:11" ht="12.5" x14ac:dyDescent="0.25">
      <c r="A4645" s="3" t="e">
        <f ca="1"/>
        <v>#NAME?</v>
      </c>
      <c r="B4645" s="2" t="s">
        <v>12</v>
      </c>
      <c r="C4645" s="2" t="s">
        <v>12</v>
      </c>
      <c r="D4645" s="2" t="s">
        <v>12</v>
      </c>
      <c r="E4645" s="2" t="s">
        <v>12</v>
      </c>
      <c r="F4645" s="2" t="s">
        <v>12</v>
      </c>
      <c r="G4645" s="2" t="s">
        <v>12</v>
      </c>
      <c r="H4645" s="2" t="s">
        <v>12</v>
      </c>
      <c r="I4645" s="2" t="s">
        <v>12</v>
      </c>
      <c r="J4645" s="2" t="s">
        <v>12</v>
      </c>
      <c r="K4645" s="2" t="s">
        <v>12</v>
      </c>
    </row>
    <row r="4646" spans="1:11" ht="12.5" x14ac:dyDescent="0.25">
      <c r="A4646" s="3" t="e">
        <f ca="1"/>
        <v>#NAME?</v>
      </c>
      <c r="B4646" s="2" t="s">
        <v>12</v>
      </c>
      <c r="C4646" s="2" t="s">
        <v>12</v>
      </c>
      <c r="D4646" s="2" t="s">
        <v>12</v>
      </c>
      <c r="E4646" s="2" t="s">
        <v>12</v>
      </c>
      <c r="F4646" s="2" t="s">
        <v>12</v>
      </c>
      <c r="G4646" s="2" t="s">
        <v>12</v>
      </c>
      <c r="H4646" s="2" t="s">
        <v>12</v>
      </c>
      <c r="I4646" s="2" t="s">
        <v>12</v>
      </c>
      <c r="J4646" s="2" t="s">
        <v>12</v>
      </c>
      <c r="K4646" s="2" t="s">
        <v>12</v>
      </c>
    </row>
    <row r="4647" spans="1:11" ht="12.5" x14ac:dyDescent="0.25">
      <c r="A4647" s="3" t="e">
        <f ca="1"/>
        <v>#NAME?</v>
      </c>
      <c r="B4647" s="2" t="s">
        <v>12</v>
      </c>
      <c r="C4647" s="2" t="s">
        <v>12</v>
      </c>
      <c r="D4647" s="2" t="s">
        <v>12</v>
      </c>
      <c r="E4647" s="2" t="s">
        <v>12</v>
      </c>
      <c r="F4647" s="2" t="s">
        <v>12</v>
      </c>
      <c r="G4647" s="2" t="s">
        <v>12</v>
      </c>
      <c r="H4647" s="2" t="s">
        <v>12</v>
      </c>
      <c r="I4647" s="2" t="s">
        <v>12</v>
      </c>
      <c r="J4647" s="2" t="s">
        <v>12</v>
      </c>
      <c r="K4647" s="2" t="s">
        <v>12</v>
      </c>
    </row>
    <row r="4648" spans="1:11" ht="12.5" x14ac:dyDescent="0.25">
      <c r="A4648" s="3" t="e">
        <f ca="1"/>
        <v>#NAME?</v>
      </c>
      <c r="B4648" s="2" t="s">
        <v>12</v>
      </c>
      <c r="C4648" s="2" t="s">
        <v>12</v>
      </c>
      <c r="D4648" s="2" t="s">
        <v>12</v>
      </c>
      <c r="E4648" s="2" t="s">
        <v>12</v>
      </c>
      <c r="F4648" s="2" t="s">
        <v>12</v>
      </c>
      <c r="G4648" s="2" t="s">
        <v>12</v>
      </c>
      <c r="H4648" s="2" t="s">
        <v>12</v>
      </c>
      <c r="I4648" s="2" t="s">
        <v>12</v>
      </c>
      <c r="J4648" s="2" t="s">
        <v>12</v>
      </c>
      <c r="K4648" s="2" t="s">
        <v>12</v>
      </c>
    </row>
    <row r="4649" spans="1:11" ht="12.5" x14ac:dyDescent="0.25">
      <c r="A4649" s="3" t="e">
        <f ca="1"/>
        <v>#NAME?</v>
      </c>
      <c r="B4649" s="2" t="s">
        <v>12</v>
      </c>
      <c r="C4649" s="2" t="s">
        <v>12</v>
      </c>
      <c r="D4649" s="2" t="s">
        <v>12</v>
      </c>
      <c r="E4649" s="2" t="s">
        <v>12</v>
      </c>
      <c r="F4649" s="2" t="s">
        <v>12</v>
      </c>
      <c r="G4649" s="2" t="s">
        <v>12</v>
      </c>
      <c r="H4649" s="2" t="s">
        <v>12</v>
      </c>
      <c r="I4649" s="2" t="s">
        <v>12</v>
      </c>
      <c r="J4649" s="2" t="s">
        <v>12</v>
      </c>
      <c r="K4649" s="2" t="s">
        <v>12</v>
      </c>
    </row>
    <row r="4650" spans="1:11" ht="12.5" x14ac:dyDescent="0.25">
      <c r="A4650" s="3" t="e">
        <f ca="1"/>
        <v>#NAME?</v>
      </c>
      <c r="B4650" s="2" t="s">
        <v>12</v>
      </c>
      <c r="C4650" s="2" t="s">
        <v>12</v>
      </c>
      <c r="D4650" s="2" t="s">
        <v>12</v>
      </c>
      <c r="E4650" s="2" t="s">
        <v>12</v>
      </c>
      <c r="F4650" s="2" t="s">
        <v>12</v>
      </c>
      <c r="G4650" s="2" t="s">
        <v>12</v>
      </c>
      <c r="H4650" s="2" t="s">
        <v>12</v>
      </c>
      <c r="I4650" s="2" t="s">
        <v>12</v>
      </c>
      <c r="J4650" s="2" t="s">
        <v>12</v>
      </c>
      <c r="K4650" s="2" t="s">
        <v>12</v>
      </c>
    </row>
    <row r="4651" spans="1:11" ht="12.5" x14ac:dyDescent="0.25">
      <c r="A4651" s="3" t="e">
        <f ca="1"/>
        <v>#NAME?</v>
      </c>
      <c r="B4651" s="2" t="s">
        <v>12</v>
      </c>
      <c r="C4651" s="2" t="s">
        <v>12</v>
      </c>
      <c r="D4651" s="2" t="s">
        <v>12</v>
      </c>
      <c r="E4651" s="2" t="s">
        <v>12</v>
      </c>
      <c r="F4651" s="2" t="s">
        <v>12</v>
      </c>
      <c r="G4651" s="2" t="s">
        <v>12</v>
      </c>
      <c r="H4651" s="2" t="s">
        <v>12</v>
      </c>
      <c r="I4651" s="2" t="s">
        <v>12</v>
      </c>
      <c r="J4651" s="2" t="s">
        <v>12</v>
      </c>
      <c r="K4651" s="2" t="s">
        <v>12</v>
      </c>
    </row>
    <row r="4652" spans="1:11" ht="12.5" x14ac:dyDescent="0.25">
      <c r="A4652" s="3" t="e">
        <f ca="1"/>
        <v>#NAME?</v>
      </c>
      <c r="B4652" s="2" t="s">
        <v>12</v>
      </c>
      <c r="C4652" s="2" t="s">
        <v>12</v>
      </c>
      <c r="D4652" s="2" t="s">
        <v>12</v>
      </c>
      <c r="E4652" s="2" t="s">
        <v>12</v>
      </c>
      <c r="F4652" s="2" t="s">
        <v>12</v>
      </c>
      <c r="G4652" s="2" t="s">
        <v>12</v>
      </c>
      <c r="H4652" s="2" t="s">
        <v>12</v>
      </c>
      <c r="I4652" s="2" t="s">
        <v>12</v>
      </c>
      <c r="J4652" s="2" t="s">
        <v>12</v>
      </c>
      <c r="K4652" s="2" t="s">
        <v>12</v>
      </c>
    </row>
    <row r="4653" spans="1:11" ht="12.5" x14ac:dyDescent="0.25">
      <c r="A4653" s="3" t="e">
        <f ca="1"/>
        <v>#NAME?</v>
      </c>
      <c r="B4653" s="2" t="s">
        <v>12</v>
      </c>
      <c r="C4653" s="2" t="s">
        <v>12</v>
      </c>
      <c r="D4653" s="2" t="s">
        <v>12</v>
      </c>
      <c r="E4653" s="2" t="s">
        <v>12</v>
      </c>
      <c r="F4653" s="2" t="s">
        <v>12</v>
      </c>
      <c r="G4653" s="2" t="s">
        <v>12</v>
      </c>
      <c r="H4653" s="2" t="s">
        <v>12</v>
      </c>
      <c r="I4653" s="2" t="s">
        <v>12</v>
      </c>
      <c r="J4653" s="2" t="s">
        <v>12</v>
      </c>
      <c r="K4653" s="2" t="s">
        <v>12</v>
      </c>
    </row>
    <row r="4654" spans="1:11" ht="12.5" x14ac:dyDescent="0.25">
      <c r="A4654" s="3" t="e">
        <f ca="1"/>
        <v>#NAME?</v>
      </c>
      <c r="B4654" s="2" t="s">
        <v>12</v>
      </c>
      <c r="C4654" s="2" t="s">
        <v>12</v>
      </c>
      <c r="D4654" s="2" t="s">
        <v>12</v>
      </c>
      <c r="E4654" s="2" t="s">
        <v>12</v>
      </c>
      <c r="F4654" s="2" t="s">
        <v>12</v>
      </c>
      <c r="G4654" s="2" t="s">
        <v>12</v>
      </c>
      <c r="H4654" s="2" t="s">
        <v>12</v>
      </c>
      <c r="I4654" s="2" t="s">
        <v>12</v>
      </c>
      <c r="J4654" s="2" t="s">
        <v>12</v>
      </c>
      <c r="K4654" s="2" t="s">
        <v>12</v>
      </c>
    </row>
    <row r="4655" spans="1:11" ht="12.5" x14ac:dyDescent="0.25">
      <c r="A4655" s="3" t="e">
        <f ca="1"/>
        <v>#NAME?</v>
      </c>
      <c r="B4655" s="2" t="s">
        <v>12</v>
      </c>
      <c r="C4655" s="2" t="s">
        <v>12</v>
      </c>
      <c r="D4655" s="2" t="s">
        <v>12</v>
      </c>
      <c r="E4655" s="2" t="s">
        <v>12</v>
      </c>
      <c r="F4655" s="2" t="s">
        <v>12</v>
      </c>
      <c r="G4655" s="2" t="s">
        <v>12</v>
      </c>
      <c r="H4655" s="2" t="s">
        <v>12</v>
      </c>
      <c r="I4655" s="2" t="s">
        <v>12</v>
      </c>
      <c r="J4655" s="2" t="s">
        <v>12</v>
      </c>
      <c r="K4655" s="2" t="s">
        <v>12</v>
      </c>
    </row>
    <row r="4656" spans="1:11" ht="12.5" x14ac:dyDescent="0.25">
      <c r="A4656" s="3" t="e">
        <f ca="1"/>
        <v>#NAME?</v>
      </c>
      <c r="B4656" s="2" t="s">
        <v>12</v>
      </c>
      <c r="C4656" s="2" t="s">
        <v>12</v>
      </c>
      <c r="D4656" s="2" t="s">
        <v>12</v>
      </c>
      <c r="E4656" s="2" t="s">
        <v>12</v>
      </c>
      <c r="F4656" s="2" t="s">
        <v>12</v>
      </c>
      <c r="G4656" s="2" t="s">
        <v>12</v>
      </c>
      <c r="H4656" s="2" t="s">
        <v>12</v>
      </c>
      <c r="I4656" s="2" t="s">
        <v>12</v>
      </c>
      <c r="J4656" s="2" t="s">
        <v>12</v>
      </c>
      <c r="K4656" s="2" t="s">
        <v>12</v>
      </c>
    </row>
    <row r="4657" spans="1:11" ht="12.5" x14ac:dyDescent="0.25">
      <c r="A4657" s="3" t="e">
        <f ca="1"/>
        <v>#NAME?</v>
      </c>
      <c r="B4657" s="2" t="s">
        <v>12</v>
      </c>
      <c r="C4657" s="2" t="s">
        <v>12</v>
      </c>
      <c r="D4657" s="2" t="s">
        <v>12</v>
      </c>
      <c r="E4657" s="2" t="s">
        <v>12</v>
      </c>
      <c r="F4657" s="2" t="s">
        <v>12</v>
      </c>
      <c r="G4657" s="2" t="s">
        <v>12</v>
      </c>
      <c r="H4657" s="2" t="s">
        <v>12</v>
      </c>
      <c r="I4657" s="2" t="s">
        <v>12</v>
      </c>
      <c r="J4657" s="2" t="s">
        <v>12</v>
      </c>
      <c r="K4657" s="2" t="s">
        <v>12</v>
      </c>
    </row>
    <row r="4658" spans="1:11" ht="12.5" x14ac:dyDescent="0.25">
      <c r="A4658" s="3" t="e">
        <f ca="1"/>
        <v>#NAME?</v>
      </c>
      <c r="B4658" s="2" t="s">
        <v>12</v>
      </c>
      <c r="C4658" s="2" t="s">
        <v>12</v>
      </c>
      <c r="D4658" s="2" t="s">
        <v>12</v>
      </c>
      <c r="E4658" s="2" t="s">
        <v>12</v>
      </c>
      <c r="F4658" s="2" t="s">
        <v>12</v>
      </c>
      <c r="G4658" s="2" t="s">
        <v>12</v>
      </c>
      <c r="H4658" s="2" t="s">
        <v>12</v>
      </c>
      <c r="I4658" s="2" t="s">
        <v>12</v>
      </c>
      <c r="J4658" s="2" t="s">
        <v>12</v>
      </c>
      <c r="K4658" s="2" t="s">
        <v>12</v>
      </c>
    </row>
    <row r="4659" spans="1:11" ht="12.5" x14ac:dyDescent="0.25">
      <c r="A4659" s="3" t="e">
        <f ca="1"/>
        <v>#NAME?</v>
      </c>
      <c r="B4659" s="2" t="s">
        <v>12</v>
      </c>
      <c r="C4659" s="2" t="s">
        <v>12</v>
      </c>
      <c r="D4659" s="2" t="s">
        <v>12</v>
      </c>
      <c r="E4659" s="2" t="s">
        <v>12</v>
      </c>
      <c r="F4659" s="2" t="s">
        <v>12</v>
      </c>
      <c r="G4659" s="2" t="s">
        <v>12</v>
      </c>
      <c r="H4659" s="2" t="s">
        <v>12</v>
      </c>
      <c r="I4659" s="2" t="s">
        <v>12</v>
      </c>
      <c r="J4659" s="2" t="s">
        <v>12</v>
      </c>
      <c r="K4659" s="2" t="s">
        <v>12</v>
      </c>
    </row>
    <row r="4660" spans="1:11" ht="12.5" x14ac:dyDescent="0.25">
      <c r="A4660" s="3" t="e">
        <f ca="1"/>
        <v>#NAME?</v>
      </c>
      <c r="B4660" s="2" t="s">
        <v>12</v>
      </c>
      <c r="C4660" s="2" t="s">
        <v>12</v>
      </c>
      <c r="D4660" s="2" t="s">
        <v>12</v>
      </c>
      <c r="E4660" s="2" t="s">
        <v>12</v>
      </c>
      <c r="F4660" s="2" t="s">
        <v>12</v>
      </c>
      <c r="G4660" s="2" t="s">
        <v>12</v>
      </c>
      <c r="H4660" s="2" t="s">
        <v>12</v>
      </c>
      <c r="I4660" s="2" t="s">
        <v>12</v>
      </c>
      <c r="J4660" s="2" t="s">
        <v>12</v>
      </c>
      <c r="K4660" s="2" t="s">
        <v>12</v>
      </c>
    </row>
    <row r="4661" spans="1:11" ht="12.5" x14ac:dyDescent="0.25">
      <c r="A4661" s="3" t="e">
        <f ca="1"/>
        <v>#NAME?</v>
      </c>
      <c r="B4661" s="2" t="s">
        <v>12</v>
      </c>
      <c r="C4661" s="2" t="s">
        <v>12</v>
      </c>
      <c r="D4661" s="2" t="s">
        <v>12</v>
      </c>
      <c r="E4661" s="2" t="s">
        <v>12</v>
      </c>
      <c r="F4661" s="2" t="s">
        <v>12</v>
      </c>
      <c r="G4661" s="2" t="s">
        <v>12</v>
      </c>
      <c r="H4661" s="2" t="s">
        <v>12</v>
      </c>
      <c r="I4661" s="2" t="s">
        <v>12</v>
      </c>
      <c r="J4661" s="2" t="s">
        <v>12</v>
      </c>
      <c r="K4661" s="2" t="s">
        <v>12</v>
      </c>
    </row>
    <row r="4662" spans="1:11" ht="12.5" x14ac:dyDescent="0.25">
      <c r="A4662" s="3" t="e">
        <f ca="1"/>
        <v>#NAME?</v>
      </c>
      <c r="B4662" s="2" t="s">
        <v>12</v>
      </c>
      <c r="C4662" s="2" t="s">
        <v>12</v>
      </c>
      <c r="D4662" s="2" t="s">
        <v>12</v>
      </c>
      <c r="E4662" s="2" t="s">
        <v>12</v>
      </c>
      <c r="F4662" s="2" t="s">
        <v>12</v>
      </c>
      <c r="G4662" s="2" t="s">
        <v>12</v>
      </c>
      <c r="H4662" s="2" t="s">
        <v>12</v>
      </c>
      <c r="I4662" s="2" t="s">
        <v>12</v>
      </c>
      <c r="J4662" s="2" t="s">
        <v>12</v>
      </c>
      <c r="K4662" s="2" t="s">
        <v>12</v>
      </c>
    </row>
    <row r="4663" spans="1:11" ht="12.5" x14ac:dyDescent="0.25">
      <c r="A4663" s="3" t="e">
        <f ca="1"/>
        <v>#NAME?</v>
      </c>
      <c r="B4663" s="2" t="s">
        <v>12</v>
      </c>
      <c r="C4663" s="2" t="s">
        <v>12</v>
      </c>
      <c r="D4663" s="2" t="s">
        <v>12</v>
      </c>
      <c r="E4663" s="2" t="s">
        <v>12</v>
      </c>
      <c r="F4663" s="2" t="s">
        <v>12</v>
      </c>
      <c r="G4663" s="2" t="s">
        <v>12</v>
      </c>
      <c r="H4663" s="2" t="s">
        <v>12</v>
      </c>
      <c r="I4663" s="2" t="s">
        <v>12</v>
      </c>
      <c r="J4663" s="2" t="s">
        <v>12</v>
      </c>
      <c r="K4663" s="2" t="s">
        <v>12</v>
      </c>
    </row>
    <row r="4664" spans="1:11" ht="12.5" x14ac:dyDescent="0.25">
      <c r="A4664" s="3" t="e">
        <f ca="1"/>
        <v>#NAME?</v>
      </c>
      <c r="B4664" s="2" t="s">
        <v>12</v>
      </c>
      <c r="C4664" s="2" t="s">
        <v>12</v>
      </c>
      <c r="D4664" s="2" t="s">
        <v>12</v>
      </c>
      <c r="E4664" s="2" t="s">
        <v>12</v>
      </c>
      <c r="F4664" s="2" t="s">
        <v>12</v>
      </c>
      <c r="G4664" s="2" t="s">
        <v>12</v>
      </c>
      <c r="H4664" s="2" t="s">
        <v>12</v>
      </c>
      <c r="I4664" s="2" t="s">
        <v>12</v>
      </c>
      <c r="J4664" s="2" t="s">
        <v>12</v>
      </c>
      <c r="K4664" s="2" t="s">
        <v>12</v>
      </c>
    </row>
    <row r="4665" spans="1:11" ht="12.5" x14ac:dyDescent="0.25">
      <c r="A4665" s="3" t="e">
        <f ca="1"/>
        <v>#NAME?</v>
      </c>
      <c r="B4665" s="2" t="s">
        <v>12</v>
      </c>
      <c r="C4665" s="2" t="s">
        <v>12</v>
      </c>
      <c r="D4665" s="2" t="s">
        <v>12</v>
      </c>
      <c r="E4665" s="2" t="s">
        <v>12</v>
      </c>
      <c r="F4665" s="2" t="s">
        <v>12</v>
      </c>
      <c r="G4665" s="2" t="s">
        <v>12</v>
      </c>
      <c r="H4665" s="2" t="s">
        <v>12</v>
      </c>
      <c r="I4665" s="2" t="s">
        <v>12</v>
      </c>
      <c r="J4665" s="2" t="s">
        <v>12</v>
      </c>
      <c r="K4665" s="2" t="s">
        <v>12</v>
      </c>
    </row>
    <row r="4666" spans="1:11" ht="12.5" x14ac:dyDescent="0.25">
      <c r="A4666" s="3" t="e">
        <f ca="1"/>
        <v>#NAME?</v>
      </c>
      <c r="B4666" s="2" t="s">
        <v>12</v>
      </c>
      <c r="C4666" s="2" t="s">
        <v>12</v>
      </c>
      <c r="D4666" s="2" t="s">
        <v>12</v>
      </c>
      <c r="E4666" s="2" t="s">
        <v>12</v>
      </c>
      <c r="F4666" s="2" t="s">
        <v>12</v>
      </c>
      <c r="G4666" s="2" t="s">
        <v>12</v>
      </c>
      <c r="H4666" s="2" t="s">
        <v>12</v>
      </c>
      <c r="I4666" s="2" t="s">
        <v>12</v>
      </c>
      <c r="J4666" s="2" t="s">
        <v>12</v>
      </c>
      <c r="K4666" s="2" t="s">
        <v>12</v>
      </c>
    </row>
    <row r="4667" spans="1:11" ht="12.5" x14ac:dyDescent="0.25">
      <c r="A4667" s="3" t="e">
        <f ca="1"/>
        <v>#NAME?</v>
      </c>
      <c r="B4667" s="2" t="s">
        <v>12</v>
      </c>
      <c r="C4667" s="2" t="s">
        <v>12</v>
      </c>
      <c r="D4667" s="2" t="s">
        <v>12</v>
      </c>
      <c r="E4667" s="2" t="s">
        <v>12</v>
      </c>
      <c r="F4667" s="2" t="s">
        <v>12</v>
      </c>
      <c r="G4667" s="2" t="s">
        <v>12</v>
      </c>
      <c r="H4667" s="2" t="s">
        <v>12</v>
      </c>
      <c r="I4667" s="2" t="s">
        <v>12</v>
      </c>
      <c r="J4667" s="2" t="s">
        <v>12</v>
      </c>
      <c r="K4667" s="2" t="s">
        <v>12</v>
      </c>
    </row>
    <row r="4668" spans="1:11" ht="12.5" x14ac:dyDescent="0.25">
      <c r="A4668" s="3" t="e">
        <f ca="1"/>
        <v>#NAME?</v>
      </c>
      <c r="B4668" s="2" t="s">
        <v>12</v>
      </c>
      <c r="C4668" s="2" t="s">
        <v>12</v>
      </c>
      <c r="D4668" s="2" t="s">
        <v>12</v>
      </c>
      <c r="E4668" s="2" t="s">
        <v>12</v>
      </c>
      <c r="F4668" s="2" t="s">
        <v>12</v>
      </c>
      <c r="G4668" s="2" t="s">
        <v>12</v>
      </c>
      <c r="H4668" s="2" t="s">
        <v>12</v>
      </c>
      <c r="I4668" s="2" t="s">
        <v>12</v>
      </c>
      <c r="J4668" s="2" t="s">
        <v>12</v>
      </c>
      <c r="K4668" s="2" t="s">
        <v>12</v>
      </c>
    </row>
    <row r="4669" spans="1:11" ht="12.5" x14ac:dyDescent="0.25">
      <c r="A4669" s="3" t="e">
        <f ca="1"/>
        <v>#NAME?</v>
      </c>
      <c r="B4669" s="2" t="s">
        <v>12</v>
      </c>
      <c r="C4669" s="2" t="s">
        <v>12</v>
      </c>
      <c r="D4669" s="2" t="s">
        <v>12</v>
      </c>
      <c r="E4669" s="2" t="s">
        <v>12</v>
      </c>
      <c r="F4669" s="2" t="s">
        <v>12</v>
      </c>
      <c r="G4669" s="2" t="s">
        <v>12</v>
      </c>
      <c r="H4669" s="2" t="s">
        <v>12</v>
      </c>
      <c r="I4669" s="2" t="s">
        <v>12</v>
      </c>
      <c r="J4669" s="2" t="s">
        <v>12</v>
      </c>
      <c r="K4669" s="2" t="s">
        <v>12</v>
      </c>
    </row>
    <row r="4670" spans="1:11" ht="12.5" x14ac:dyDescent="0.25">
      <c r="A4670" s="3" t="e">
        <f ca="1"/>
        <v>#NAME?</v>
      </c>
      <c r="B4670" s="2" t="s">
        <v>12</v>
      </c>
      <c r="C4670" s="2" t="s">
        <v>12</v>
      </c>
      <c r="D4670" s="2" t="s">
        <v>12</v>
      </c>
      <c r="E4670" s="2" t="s">
        <v>12</v>
      </c>
      <c r="F4670" s="2" t="s">
        <v>12</v>
      </c>
      <c r="G4670" s="2" t="s">
        <v>12</v>
      </c>
      <c r="H4670" s="2" t="s">
        <v>12</v>
      </c>
      <c r="I4670" s="2" t="s">
        <v>12</v>
      </c>
      <c r="J4670" s="2" t="s">
        <v>12</v>
      </c>
      <c r="K4670" s="2" t="s">
        <v>12</v>
      </c>
    </row>
    <row r="4671" spans="1:11" ht="12.5" x14ac:dyDescent="0.25">
      <c r="A4671" s="3" t="e">
        <f ca="1"/>
        <v>#NAME?</v>
      </c>
      <c r="B4671" s="2" t="s">
        <v>12</v>
      </c>
      <c r="C4671" s="2" t="s">
        <v>12</v>
      </c>
      <c r="D4671" s="2" t="s">
        <v>12</v>
      </c>
      <c r="E4671" s="2" t="s">
        <v>12</v>
      </c>
      <c r="F4671" s="2" t="s">
        <v>12</v>
      </c>
      <c r="G4671" s="2" t="s">
        <v>12</v>
      </c>
      <c r="H4671" s="2" t="s">
        <v>12</v>
      </c>
      <c r="I4671" s="2" t="s">
        <v>12</v>
      </c>
      <c r="J4671" s="2" t="s">
        <v>12</v>
      </c>
      <c r="K4671" s="2" t="s">
        <v>12</v>
      </c>
    </row>
    <row r="4672" spans="1:11" ht="12.5" x14ac:dyDescent="0.25">
      <c r="A4672" s="3" t="e">
        <f ca="1"/>
        <v>#NAME?</v>
      </c>
      <c r="B4672" s="2" t="s">
        <v>12</v>
      </c>
      <c r="C4672" s="2" t="s">
        <v>12</v>
      </c>
      <c r="D4672" s="2" t="s">
        <v>12</v>
      </c>
      <c r="E4672" s="2" t="s">
        <v>12</v>
      </c>
      <c r="F4672" s="2" t="s">
        <v>12</v>
      </c>
      <c r="G4672" s="2" t="s">
        <v>12</v>
      </c>
      <c r="H4672" s="2" t="s">
        <v>12</v>
      </c>
      <c r="I4672" s="2" t="s">
        <v>12</v>
      </c>
      <c r="J4672" s="2" t="s">
        <v>12</v>
      </c>
      <c r="K4672" s="2" t="s">
        <v>12</v>
      </c>
    </row>
    <row r="4673" spans="1:11" ht="12.5" x14ac:dyDescent="0.25">
      <c r="A4673" s="3" t="e">
        <f ca="1"/>
        <v>#NAME?</v>
      </c>
      <c r="B4673" s="2" t="s">
        <v>12</v>
      </c>
      <c r="C4673" s="2" t="s">
        <v>12</v>
      </c>
      <c r="D4673" s="2" t="s">
        <v>12</v>
      </c>
      <c r="E4673" s="2" t="s">
        <v>12</v>
      </c>
      <c r="F4673" s="2" t="s">
        <v>12</v>
      </c>
      <c r="G4673" s="2" t="s">
        <v>12</v>
      </c>
      <c r="H4673" s="2" t="s">
        <v>12</v>
      </c>
      <c r="I4673" s="2" t="s">
        <v>12</v>
      </c>
      <c r="J4673" s="2" t="s">
        <v>12</v>
      </c>
      <c r="K4673" s="2" t="s">
        <v>12</v>
      </c>
    </row>
    <row r="4674" spans="1:11" ht="12.5" x14ac:dyDescent="0.25">
      <c r="A4674" s="3" t="e">
        <f ca="1"/>
        <v>#NAME?</v>
      </c>
      <c r="B4674" s="2" t="s">
        <v>12</v>
      </c>
      <c r="C4674" s="2" t="s">
        <v>12</v>
      </c>
      <c r="D4674" s="2" t="s">
        <v>12</v>
      </c>
      <c r="E4674" s="2" t="s">
        <v>12</v>
      </c>
      <c r="F4674" s="2" t="s">
        <v>12</v>
      </c>
      <c r="G4674" s="2" t="s">
        <v>12</v>
      </c>
      <c r="H4674" s="2" t="s">
        <v>12</v>
      </c>
      <c r="I4674" s="2" t="s">
        <v>12</v>
      </c>
      <c r="J4674" s="2" t="s">
        <v>12</v>
      </c>
      <c r="K4674" s="2" t="s">
        <v>12</v>
      </c>
    </row>
    <row r="4675" spans="1:11" ht="12.5" x14ac:dyDescent="0.25">
      <c r="A4675" s="3" t="e">
        <f ca="1"/>
        <v>#NAME?</v>
      </c>
      <c r="B4675" s="2" t="s">
        <v>12</v>
      </c>
      <c r="C4675" s="2" t="s">
        <v>12</v>
      </c>
      <c r="D4675" s="2" t="s">
        <v>12</v>
      </c>
      <c r="E4675" s="2" t="s">
        <v>12</v>
      </c>
      <c r="F4675" s="2" t="s">
        <v>12</v>
      </c>
      <c r="G4675" s="2" t="s">
        <v>12</v>
      </c>
      <c r="H4675" s="2" t="s">
        <v>12</v>
      </c>
      <c r="I4675" s="2" t="s">
        <v>12</v>
      </c>
      <c r="J4675" s="2" t="s">
        <v>12</v>
      </c>
      <c r="K4675" s="2" t="s">
        <v>12</v>
      </c>
    </row>
    <row r="4676" spans="1:11" ht="12.5" x14ac:dyDescent="0.25">
      <c r="A4676" s="3" t="e">
        <f ca="1"/>
        <v>#NAME?</v>
      </c>
      <c r="B4676" s="2" t="s">
        <v>12</v>
      </c>
      <c r="C4676" s="2" t="s">
        <v>12</v>
      </c>
      <c r="D4676" s="2" t="s">
        <v>12</v>
      </c>
      <c r="E4676" s="2" t="s">
        <v>12</v>
      </c>
      <c r="F4676" s="2" t="s">
        <v>12</v>
      </c>
      <c r="G4676" s="2" t="s">
        <v>12</v>
      </c>
      <c r="H4676" s="2" t="s">
        <v>12</v>
      </c>
      <c r="I4676" s="2" t="s">
        <v>12</v>
      </c>
      <c r="J4676" s="2" t="s">
        <v>12</v>
      </c>
      <c r="K4676" s="2" t="s">
        <v>12</v>
      </c>
    </row>
    <row r="4677" spans="1:11" ht="12.5" x14ac:dyDescent="0.25">
      <c r="A4677" s="3" t="e">
        <f ca="1"/>
        <v>#NAME?</v>
      </c>
      <c r="B4677" s="2" t="s">
        <v>12</v>
      </c>
      <c r="C4677" s="2" t="s">
        <v>12</v>
      </c>
      <c r="D4677" s="2" t="s">
        <v>12</v>
      </c>
      <c r="E4677" s="2" t="s">
        <v>12</v>
      </c>
      <c r="F4677" s="2" t="s">
        <v>12</v>
      </c>
      <c r="G4677" s="2" t="s">
        <v>12</v>
      </c>
      <c r="H4677" s="2" t="s">
        <v>12</v>
      </c>
      <c r="I4677" s="2" t="s">
        <v>12</v>
      </c>
      <c r="J4677" s="2" t="s">
        <v>12</v>
      </c>
      <c r="K4677" s="2" t="s">
        <v>12</v>
      </c>
    </row>
    <row r="4678" spans="1:11" ht="12.5" x14ac:dyDescent="0.25">
      <c r="A4678" s="3" t="e">
        <f ca="1"/>
        <v>#NAME?</v>
      </c>
      <c r="B4678" s="2" t="s">
        <v>12</v>
      </c>
      <c r="C4678" s="2" t="s">
        <v>12</v>
      </c>
      <c r="D4678" s="2" t="s">
        <v>12</v>
      </c>
      <c r="E4678" s="2" t="s">
        <v>12</v>
      </c>
      <c r="F4678" s="2" t="s">
        <v>12</v>
      </c>
      <c r="G4678" s="2" t="s">
        <v>12</v>
      </c>
      <c r="H4678" s="2" t="s">
        <v>12</v>
      </c>
      <c r="I4678" s="2" t="s">
        <v>12</v>
      </c>
      <c r="J4678" s="2" t="s">
        <v>12</v>
      </c>
      <c r="K4678" s="2" t="s">
        <v>12</v>
      </c>
    </row>
    <row r="4679" spans="1:11" ht="12.5" x14ac:dyDescent="0.25">
      <c r="A4679" s="3" t="e">
        <f ca="1"/>
        <v>#NAME?</v>
      </c>
      <c r="B4679" s="2" t="s">
        <v>12</v>
      </c>
      <c r="C4679" s="2" t="s">
        <v>12</v>
      </c>
      <c r="D4679" s="2" t="s">
        <v>12</v>
      </c>
      <c r="E4679" s="2" t="s">
        <v>12</v>
      </c>
      <c r="F4679" s="2" t="s">
        <v>12</v>
      </c>
      <c r="G4679" s="2" t="s">
        <v>12</v>
      </c>
      <c r="H4679" s="2" t="s">
        <v>12</v>
      </c>
      <c r="I4679" s="2" t="s">
        <v>12</v>
      </c>
      <c r="J4679" s="2" t="s">
        <v>12</v>
      </c>
      <c r="K4679" s="2" t="s">
        <v>12</v>
      </c>
    </row>
    <row r="4680" spans="1:11" ht="12.5" x14ac:dyDescent="0.25">
      <c r="A4680" s="3" t="e">
        <f ca="1"/>
        <v>#NAME?</v>
      </c>
      <c r="B4680" s="2" t="s">
        <v>12</v>
      </c>
      <c r="C4680" s="2" t="s">
        <v>12</v>
      </c>
      <c r="D4680" s="2" t="s">
        <v>12</v>
      </c>
      <c r="E4680" s="2" t="s">
        <v>12</v>
      </c>
      <c r="F4680" s="2" t="s">
        <v>12</v>
      </c>
      <c r="G4680" s="2" t="s">
        <v>12</v>
      </c>
      <c r="H4680" s="2" t="s">
        <v>12</v>
      </c>
      <c r="I4680" s="2" t="s">
        <v>12</v>
      </c>
      <c r="J4680" s="2" t="s">
        <v>12</v>
      </c>
      <c r="K4680" s="2" t="s">
        <v>12</v>
      </c>
    </row>
    <row r="4681" spans="1:11" ht="12.5" x14ac:dyDescent="0.25">
      <c r="A4681" s="3" t="e">
        <f ca="1"/>
        <v>#NAME?</v>
      </c>
      <c r="B4681" s="2" t="s">
        <v>12</v>
      </c>
      <c r="C4681" s="2" t="s">
        <v>12</v>
      </c>
      <c r="D4681" s="2" t="s">
        <v>12</v>
      </c>
      <c r="E4681" s="2" t="s">
        <v>12</v>
      </c>
      <c r="F4681" s="2" t="s">
        <v>12</v>
      </c>
      <c r="G4681" s="2" t="s">
        <v>12</v>
      </c>
      <c r="H4681" s="2" t="s">
        <v>12</v>
      </c>
      <c r="I4681" s="2" t="s">
        <v>12</v>
      </c>
      <c r="J4681" s="2" t="s">
        <v>12</v>
      </c>
      <c r="K4681" s="2" t="s">
        <v>12</v>
      </c>
    </row>
    <row r="4682" spans="1:11" ht="12.5" x14ac:dyDescent="0.25">
      <c r="A4682" s="3" t="e">
        <f ca="1"/>
        <v>#NAME?</v>
      </c>
      <c r="B4682" s="2" t="s">
        <v>12</v>
      </c>
      <c r="C4682" s="2" t="s">
        <v>12</v>
      </c>
      <c r="D4682" s="2" t="s">
        <v>12</v>
      </c>
      <c r="E4682" s="2" t="s">
        <v>12</v>
      </c>
      <c r="F4682" s="2" t="s">
        <v>12</v>
      </c>
      <c r="G4682" s="2" t="s">
        <v>12</v>
      </c>
      <c r="H4682" s="2" t="s">
        <v>12</v>
      </c>
      <c r="I4682" s="2" t="s">
        <v>12</v>
      </c>
      <c r="J4682" s="2" t="s">
        <v>12</v>
      </c>
      <c r="K4682" s="2" t="s">
        <v>12</v>
      </c>
    </row>
    <row r="4683" spans="1:11" ht="12.5" x14ac:dyDescent="0.25">
      <c r="A4683" s="3" t="e">
        <f ca="1"/>
        <v>#NAME?</v>
      </c>
      <c r="B4683" s="2" t="s">
        <v>12</v>
      </c>
      <c r="C4683" s="2" t="s">
        <v>12</v>
      </c>
      <c r="D4683" s="2" t="s">
        <v>12</v>
      </c>
      <c r="E4683" s="2" t="s">
        <v>12</v>
      </c>
      <c r="F4683" s="2" t="s">
        <v>12</v>
      </c>
      <c r="G4683" s="2" t="s">
        <v>12</v>
      </c>
      <c r="H4683" s="2" t="s">
        <v>12</v>
      </c>
      <c r="I4683" s="2" t="s">
        <v>12</v>
      </c>
      <c r="J4683" s="2" t="s">
        <v>12</v>
      </c>
      <c r="K4683" s="2" t="s">
        <v>12</v>
      </c>
    </row>
    <row r="4684" spans="1:11" ht="12.5" x14ac:dyDescent="0.25">
      <c r="A4684" s="3" t="e">
        <f ca="1"/>
        <v>#NAME?</v>
      </c>
      <c r="B4684" s="2" t="s">
        <v>12</v>
      </c>
      <c r="C4684" s="2" t="s">
        <v>12</v>
      </c>
      <c r="D4684" s="2" t="s">
        <v>12</v>
      </c>
      <c r="E4684" s="2" t="s">
        <v>12</v>
      </c>
      <c r="F4684" s="2" t="s">
        <v>12</v>
      </c>
      <c r="G4684" s="2" t="s">
        <v>12</v>
      </c>
      <c r="H4684" s="2" t="s">
        <v>12</v>
      </c>
      <c r="I4684" s="2" t="s">
        <v>12</v>
      </c>
      <c r="J4684" s="2" t="s">
        <v>12</v>
      </c>
      <c r="K4684" s="2" t="s">
        <v>12</v>
      </c>
    </row>
    <row r="4685" spans="1:11" ht="12.5" x14ac:dyDescent="0.25">
      <c r="A4685" s="3" t="e">
        <f ca="1"/>
        <v>#NAME?</v>
      </c>
      <c r="B4685" s="2" t="s">
        <v>12</v>
      </c>
      <c r="C4685" s="2" t="s">
        <v>12</v>
      </c>
      <c r="D4685" s="2" t="s">
        <v>12</v>
      </c>
      <c r="E4685" s="2" t="s">
        <v>12</v>
      </c>
      <c r="F4685" s="2" t="s">
        <v>12</v>
      </c>
      <c r="G4685" s="2" t="s">
        <v>12</v>
      </c>
      <c r="H4685" s="2" t="s">
        <v>12</v>
      </c>
      <c r="I4685" s="2" t="s">
        <v>12</v>
      </c>
      <c r="J4685" s="2" t="s">
        <v>12</v>
      </c>
      <c r="K4685" s="2" t="s">
        <v>12</v>
      </c>
    </row>
    <row r="4686" spans="1:11" ht="12.5" x14ac:dyDescent="0.25">
      <c r="A4686" s="3" t="e">
        <f ca="1"/>
        <v>#NAME?</v>
      </c>
      <c r="B4686" s="2" t="s">
        <v>12</v>
      </c>
      <c r="C4686" s="2" t="s">
        <v>12</v>
      </c>
      <c r="D4686" s="2" t="s">
        <v>12</v>
      </c>
      <c r="E4686" s="2" t="s">
        <v>12</v>
      </c>
      <c r="F4686" s="2" t="s">
        <v>12</v>
      </c>
      <c r="G4686" s="2" t="s">
        <v>12</v>
      </c>
      <c r="H4686" s="2" t="s">
        <v>12</v>
      </c>
      <c r="I4686" s="2" t="s">
        <v>12</v>
      </c>
      <c r="J4686" s="2" t="s">
        <v>12</v>
      </c>
      <c r="K4686" s="2" t="s">
        <v>12</v>
      </c>
    </row>
    <row r="4687" spans="1:11" ht="12.5" x14ac:dyDescent="0.25">
      <c r="A4687" s="3" t="e">
        <f ca="1"/>
        <v>#NAME?</v>
      </c>
      <c r="B4687" s="2" t="s">
        <v>12</v>
      </c>
      <c r="C4687" s="2" t="s">
        <v>12</v>
      </c>
      <c r="D4687" s="2" t="s">
        <v>12</v>
      </c>
      <c r="E4687" s="2" t="s">
        <v>12</v>
      </c>
      <c r="F4687" s="2" t="s">
        <v>12</v>
      </c>
      <c r="G4687" s="2" t="s">
        <v>12</v>
      </c>
      <c r="H4687" s="2" t="s">
        <v>12</v>
      </c>
      <c r="I4687" s="2" t="s">
        <v>12</v>
      </c>
      <c r="J4687" s="2" t="s">
        <v>12</v>
      </c>
      <c r="K4687" s="2" t="s">
        <v>12</v>
      </c>
    </row>
    <row r="4688" spans="1:11" ht="12.5" x14ac:dyDescent="0.25">
      <c r="A4688" s="3" t="e">
        <f ca="1"/>
        <v>#NAME?</v>
      </c>
      <c r="B4688" s="2" t="s">
        <v>12</v>
      </c>
      <c r="C4688" s="2" t="s">
        <v>12</v>
      </c>
      <c r="D4688" s="2" t="s">
        <v>12</v>
      </c>
      <c r="E4688" s="2" t="s">
        <v>12</v>
      </c>
      <c r="F4688" s="2" t="s">
        <v>12</v>
      </c>
      <c r="G4688" s="2" t="s">
        <v>12</v>
      </c>
      <c r="H4688" s="2" t="s">
        <v>12</v>
      </c>
      <c r="I4688" s="2" t="s">
        <v>12</v>
      </c>
      <c r="J4688" s="2" t="s">
        <v>12</v>
      </c>
      <c r="K4688" s="2" t="s">
        <v>12</v>
      </c>
    </row>
    <row r="4689" spans="1:11" ht="12.5" x14ac:dyDescent="0.25">
      <c r="A4689" s="3" t="e">
        <f ca="1"/>
        <v>#NAME?</v>
      </c>
      <c r="B4689" s="2" t="s">
        <v>12</v>
      </c>
      <c r="C4689" s="2" t="s">
        <v>12</v>
      </c>
      <c r="D4689" s="2" t="s">
        <v>12</v>
      </c>
      <c r="E4689" s="2" t="s">
        <v>12</v>
      </c>
      <c r="F4689" s="2" t="s">
        <v>12</v>
      </c>
      <c r="G4689" s="2" t="s">
        <v>12</v>
      </c>
      <c r="H4689" s="2" t="s">
        <v>12</v>
      </c>
      <c r="I4689" s="2" t="s">
        <v>12</v>
      </c>
      <c r="J4689" s="2" t="s">
        <v>12</v>
      </c>
      <c r="K4689" s="2" t="s">
        <v>12</v>
      </c>
    </row>
    <row r="4690" spans="1:11" ht="12.5" x14ac:dyDescent="0.25">
      <c r="A4690" s="3" t="e">
        <f ca="1"/>
        <v>#NAME?</v>
      </c>
      <c r="B4690" s="2" t="s">
        <v>12</v>
      </c>
      <c r="C4690" s="2" t="s">
        <v>12</v>
      </c>
      <c r="D4690" s="2" t="s">
        <v>12</v>
      </c>
      <c r="E4690" s="2" t="s">
        <v>12</v>
      </c>
      <c r="F4690" s="2" t="s">
        <v>12</v>
      </c>
      <c r="G4690" s="2" t="s">
        <v>12</v>
      </c>
      <c r="H4690" s="2" t="s">
        <v>12</v>
      </c>
      <c r="I4690" s="2" t="s">
        <v>12</v>
      </c>
      <c r="J4690" s="2" t="s">
        <v>12</v>
      </c>
      <c r="K4690" s="2" t="s">
        <v>12</v>
      </c>
    </row>
    <row r="4691" spans="1:11" ht="12.5" x14ac:dyDescent="0.25">
      <c r="A4691" s="3" t="e">
        <f ca="1"/>
        <v>#NAME?</v>
      </c>
      <c r="B4691" s="2" t="s">
        <v>12</v>
      </c>
      <c r="C4691" s="2" t="s">
        <v>12</v>
      </c>
      <c r="D4691" s="2" t="s">
        <v>12</v>
      </c>
      <c r="E4691" s="2" t="s">
        <v>12</v>
      </c>
      <c r="F4691" s="2" t="s">
        <v>12</v>
      </c>
      <c r="G4691" s="2" t="s">
        <v>12</v>
      </c>
      <c r="H4691" s="2" t="s">
        <v>12</v>
      </c>
      <c r="I4691" s="2" t="s">
        <v>12</v>
      </c>
      <c r="J4691" s="2" t="s">
        <v>12</v>
      </c>
      <c r="K4691" s="2" t="s">
        <v>12</v>
      </c>
    </row>
    <row r="4692" spans="1:11" ht="12.5" x14ac:dyDescent="0.25">
      <c r="A4692" s="3" t="e">
        <f ca="1"/>
        <v>#NAME?</v>
      </c>
      <c r="B4692" s="2" t="s">
        <v>12</v>
      </c>
      <c r="C4692" s="2" t="s">
        <v>12</v>
      </c>
      <c r="D4692" s="2" t="s">
        <v>12</v>
      </c>
      <c r="E4692" s="2" t="s">
        <v>12</v>
      </c>
      <c r="F4692" s="2" t="s">
        <v>12</v>
      </c>
      <c r="G4692" s="2" t="s">
        <v>12</v>
      </c>
      <c r="H4692" s="2" t="s">
        <v>12</v>
      </c>
      <c r="I4692" s="2" t="s">
        <v>12</v>
      </c>
      <c r="J4692" s="2" t="s">
        <v>12</v>
      </c>
      <c r="K4692" s="2" t="s">
        <v>12</v>
      </c>
    </row>
    <row r="4693" spans="1:11" ht="12.5" x14ac:dyDescent="0.25">
      <c r="A4693" s="3" t="e">
        <f ca="1"/>
        <v>#NAME?</v>
      </c>
      <c r="B4693" s="2" t="s">
        <v>12</v>
      </c>
      <c r="C4693" s="2" t="s">
        <v>12</v>
      </c>
      <c r="D4693" s="2" t="s">
        <v>12</v>
      </c>
      <c r="E4693" s="2" t="s">
        <v>12</v>
      </c>
      <c r="F4693" s="2" t="s">
        <v>12</v>
      </c>
      <c r="G4693" s="2" t="s">
        <v>12</v>
      </c>
      <c r="H4693" s="2" t="s">
        <v>12</v>
      </c>
      <c r="I4693" s="2" t="s">
        <v>12</v>
      </c>
      <c r="J4693" s="2" t="s">
        <v>12</v>
      </c>
      <c r="K4693" s="2" t="s">
        <v>12</v>
      </c>
    </row>
    <row r="4694" spans="1:11" ht="12.5" x14ac:dyDescent="0.25">
      <c r="A4694" s="3" t="e">
        <f ca="1"/>
        <v>#NAME?</v>
      </c>
      <c r="B4694" s="2" t="s">
        <v>12</v>
      </c>
      <c r="C4694" s="2" t="s">
        <v>12</v>
      </c>
      <c r="D4694" s="2" t="s">
        <v>12</v>
      </c>
      <c r="E4694" s="2" t="s">
        <v>12</v>
      </c>
      <c r="F4694" s="2" t="s">
        <v>12</v>
      </c>
      <c r="G4694" s="2" t="s">
        <v>12</v>
      </c>
      <c r="H4694" s="2" t="s">
        <v>12</v>
      </c>
      <c r="I4694" s="2" t="s">
        <v>12</v>
      </c>
      <c r="J4694" s="2" t="s">
        <v>12</v>
      </c>
      <c r="K4694" s="2" t="s">
        <v>12</v>
      </c>
    </row>
    <row r="4695" spans="1:11" ht="12.5" x14ac:dyDescent="0.25">
      <c r="A4695" s="3" t="e">
        <f ca="1"/>
        <v>#NAME?</v>
      </c>
      <c r="B4695" s="2" t="s">
        <v>12</v>
      </c>
      <c r="C4695" s="2" t="s">
        <v>12</v>
      </c>
      <c r="D4695" s="2" t="s">
        <v>12</v>
      </c>
      <c r="E4695" s="2" t="s">
        <v>12</v>
      </c>
      <c r="F4695" s="2" t="s">
        <v>12</v>
      </c>
      <c r="G4695" s="2" t="s">
        <v>12</v>
      </c>
      <c r="H4695" s="2" t="s">
        <v>12</v>
      </c>
      <c r="I4695" s="2" t="s">
        <v>12</v>
      </c>
      <c r="J4695" s="2" t="s">
        <v>12</v>
      </c>
      <c r="K4695" s="2" t="s">
        <v>12</v>
      </c>
    </row>
    <row r="4696" spans="1:11" ht="12.5" x14ac:dyDescent="0.25">
      <c r="A4696" s="3" t="e">
        <f ca="1"/>
        <v>#NAME?</v>
      </c>
      <c r="B4696" s="2" t="s">
        <v>12</v>
      </c>
      <c r="C4696" s="2" t="s">
        <v>12</v>
      </c>
      <c r="D4696" s="2" t="s">
        <v>12</v>
      </c>
      <c r="E4696" s="2" t="s">
        <v>12</v>
      </c>
      <c r="F4696" s="2" t="s">
        <v>12</v>
      </c>
      <c r="G4696" s="2" t="s">
        <v>12</v>
      </c>
      <c r="H4696" s="2" t="s">
        <v>12</v>
      </c>
      <c r="I4696" s="2" t="s">
        <v>12</v>
      </c>
      <c r="J4696" s="2" t="s">
        <v>12</v>
      </c>
      <c r="K4696" s="2" t="s">
        <v>12</v>
      </c>
    </row>
    <row r="4697" spans="1:11" ht="12.5" x14ac:dyDescent="0.25">
      <c r="A4697" s="3" t="e">
        <f ca="1"/>
        <v>#NAME?</v>
      </c>
      <c r="B4697" s="2" t="s">
        <v>12</v>
      </c>
      <c r="C4697" s="2" t="s">
        <v>12</v>
      </c>
      <c r="D4697" s="2" t="s">
        <v>12</v>
      </c>
      <c r="E4697" s="2" t="s">
        <v>12</v>
      </c>
      <c r="F4697" s="2" t="s">
        <v>12</v>
      </c>
      <c r="G4697" s="2" t="s">
        <v>12</v>
      </c>
      <c r="H4697" s="2" t="s">
        <v>12</v>
      </c>
      <c r="I4697" s="2" t="s">
        <v>12</v>
      </c>
      <c r="J4697" s="2" t="s">
        <v>12</v>
      </c>
      <c r="K4697" s="2" t="s">
        <v>12</v>
      </c>
    </row>
    <row r="4698" spans="1:11" ht="12.5" x14ac:dyDescent="0.25">
      <c r="A4698" s="3" t="e">
        <f ca="1"/>
        <v>#NAME?</v>
      </c>
      <c r="B4698" s="2" t="s">
        <v>12</v>
      </c>
      <c r="C4698" s="2" t="s">
        <v>12</v>
      </c>
      <c r="D4698" s="2" t="s">
        <v>12</v>
      </c>
      <c r="E4698" s="2" t="s">
        <v>12</v>
      </c>
      <c r="F4698" s="2" t="s">
        <v>12</v>
      </c>
      <c r="G4698" s="2" t="s">
        <v>12</v>
      </c>
      <c r="H4698" s="2" t="s">
        <v>12</v>
      </c>
      <c r="I4698" s="2" t="s">
        <v>12</v>
      </c>
      <c r="J4698" s="2" t="s">
        <v>12</v>
      </c>
      <c r="K4698" s="2" t="s">
        <v>12</v>
      </c>
    </row>
    <row r="4699" spans="1:11" ht="12.5" x14ac:dyDescent="0.25">
      <c r="A4699" s="3" t="e">
        <f ca="1"/>
        <v>#NAME?</v>
      </c>
      <c r="B4699" s="2" t="s">
        <v>12</v>
      </c>
      <c r="C4699" s="2" t="s">
        <v>12</v>
      </c>
      <c r="D4699" s="2" t="s">
        <v>12</v>
      </c>
      <c r="E4699" s="2" t="s">
        <v>12</v>
      </c>
      <c r="F4699" s="2" t="s">
        <v>12</v>
      </c>
      <c r="G4699" s="2" t="s">
        <v>12</v>
      </c>
      <c r="H4699" s="2" t="s">
        <v>12</v>
      </c>
      <c r="I4699" s="2" t="s">
        <v>12</v>
      </c>
      <c r="J4699" s="2" t="s">
        <v>12</v>
      </c>
      <c r="K4699" s="2" t="s">
        <v>12</v>
      </c>
    </row>
    <row r="4700" spans="1:11" ht="12.5" x14ac:dyDescent="0.25">
      <c r="A4700" s="3" t="e">
        <f ca="1"/>
        <v>#NAME?</v>
      </c>
      <c r="B4700" s="2" t="s">
        <v>12</v>
      </c>
      <c r="C4700" s="2" t="s">
        <v>12</v>
      </c>
      <c r="D4700" s="2" t="s">
        <v>12</v>
      </c>
      <c r="E4700" s="2" t="s">
        <v>12</v>
      </c>
      <c r="F4700" s="2" t="s">
        <v>12</v>
      </c>
      <c r="G4700" s="2" t="s">
        <v>12</v>
      </c>
      <c r="H4700" s="2" t="s">
        <v>12</v>
      </c>
      <c r="I4700" s="2" t="s">
        <v>12</v>
      </c>
      <c r="J4700" s="2" t="s">
        <v>12</v>
      </c>
      <c r="K4700" s="2" t="s">
        <v>12</v>
      </c>
    </row>
    <row r="4701" spans="1:11" ht="12.5" x14ac:dyDescent="0.25">
      <c r="A4701" s="3" t="e">
        <f ca="1"/>
        <v>#NAME?</v>
      </c>
      <c r="B4701" s="2" t="s">
        <v>12</v>
      </c>
      <c r="C4701" s="2" t="s">
        <v>12</v>
      </c>
      <c r="D4701" s="2" t="s">
        <v>12</v>
      </c>
      <c r="E4701" s="2" t="s">
        <v>12</v>
      </c>
      <c r="F4701" s="2" t="s">
        <v>12</v>
      </c>
      <c r="G4701" s="2" t="s">
        <v>12</v>
      </c>
      <c r="H4701" s="2" t="s">
        <v>12</v>
      </c>
      <c r="I4701" s="2" t="s">
        <v>12</v>
      </c>
      <c r="J4701" s="2" t="s">
        <v>12</v>
      </c>
      <c r="K4701" s="2" t="s">
        <v>12</v>
      </c>
    </row>
    <row r="4702" spans="1:11" ht="12.5" x14ac:dyDescent="0.25">
      <c r="A4702" s="3" t="e">
        <f ca="1"/>
        <v>#NAME?</v>
      </c>
      <c r="B4702" s="2" t="s">
        <v>12</v>
      </c>
      <c r="C4702" s="2" t="s">
        <v>12</v>
      </c>
      <c r="D4702" s="2" t="s">
        <v>12</v>
      </c>
      <c r="E4702" s="2" t="s">
        <v>12</v>
      </c>
      <c r="F4702" s="2" t="s">
        <v>12</v>
      </c>
      <c r="G4702" s="2" t="s">
        <v>12</v>
      </c>
      <c r="H4702" s="2" t="s">
        <v>12</v>
      </c>
      <c r="I4702" s="2" t="s">
        <v>12</v>
      </c>
      <c r="J4702" s="2" t="s">
        <v>12</v>
      </c>
      <c r="K4702" s="2" t="s">
        <v>12</v>
      </c>
    </row>
    <row r="4703" spans="1:11" ht="12.5" x14ac:dyDescent="0.25">
      <c r="A4703" s="3" t="e">
        <f ca="1"/>
        <v>#NAME?</v>
      </c>
      <c r="B4703" s="2" t="s">
        <v>12</v>
      </c>
      <c r="C4703" s="2" t="s">
        <v>12</v>
      </c>
      <c r="D4703" s="2" t="s">
        <v>12</v>
      </c>
      <c r="E4703" s="2" t="s">
        <v>12</v>
      </c>
      <c r="F4703" s="2" t="s">
        <v>12</v>
      </c>
      <c r="G4703" s="2" t="s">
        <v>12</v>
      </c>
      <c r="H4703" s="2" t="s">
        <v>12</v>
      </c>
      <c r="I4703" s="2" t="s">
        <v>12</v>
      </c>
      <c r="J4703" s="2" t="s">
        <v>12</v>
      </c>
      <c r="K4703" s="2" t="s">
        <v>12</v>
      </c>
    </row>
    <row r="4704" spans="1:11" ht="12.5" x14ac:dyDescent="0.25">
      <c r="A4704" s="3" t="e">
        <f ca="1"/>
        <v>#NAME?</v>
      </c>
      <c r="B4704" s="2" t="s">
        <v>12</v>
      </c>
      <c r="C4704" s="2" t="s">
        <v>12</v>
      </c>
      <c r="D4704" s="2" t="s">
        <v>12</v>
      </c>
      <c r="E4704" s="2" t="s">
        <v>12</v>
      </c>
      <c r="F4704" s="2" t="s">
        <v>12</v>
      </c>
      <c r="G4704" s="2" t="s">
        <v>12</v>
      </c>
      <c r="H4704" s="2" t="s">
        <v>12</v>
      </c>
      <c r="I4704" s="2" t="s">
        <v>12</v>
      </c>
      <c r="J4704" s="2" t="s">
        <v>12</v>
      </c>
      <c r="K4704" s="2" t="s">
        <v>12</v>
      </c>
    </row>
    <row r="4705" spans="1:11" ht="12.5" x14ac:dyDescent="0.25">
      <c r="A4705" s="3" t="e">
        <f ca="1"/>
        <v>#NAME?</v>
      </c>
      <c r="B4705" s="2" t="s">
        <v>12</v>
      </c>
      <c r="C4705" s="2" t="s">
        <v>12</v>
      </c>
      <c r="D4705" s="2" t="s">
        <v>12</v>
      </c>
      <c r="E4705" s="2" t="s">
        <v>12</v>
      </c>
      <c r="F4705" s="2" t="s">
        <v>12</v>
      </c>
      <c r="G4705" s="2" t="s">
        <v>12</v>
      </c>
      <c r="H4705" s="2" t="s">
        <v>12</v>
      </c>
      <c r="I4705" s="2" t="s">
        <v>12</v>
      </c>
      <c r="J4705" s="2" t="s">
        <v>12</v>
      </c>
      <c r="K4705" s="2" t="s">
        <v>12</v>
      </c>
    </row>
    <row r="4706" spans="1:11" ht="12.5" x14ac:dyDescent="0.25">
      <c r="A4706" s="3" t="e">
        <f ca="1"/>
        <v>#NAME?</v>
      </c>
      <c r="B4706" s="2" t="s">
        <v>12</v>
      </c>
      <c r="C4706" s="2" t="s">
        <v>12</v>
      </c>
      <c r="D4706" s="2" t="s">
        <v>12</v>
      </c>
      <c r="E4706" s="2" t="s">
        <v>12</v>
      </c>
      <c r="F4706" s="2" t="s">
        <v>12</v>
      </c>
      <c r="G4706" s="2" t="s">
        <v>12</v>
      </c>
      <c r="H4706" s="2" t="s">
        <v>12</v>
      </c>
      <c r="I4706" s="2" t="s">
        <v>12</v>
      </c>
      <c r="J4706" s="2" t="s">
        <v>12</v>
      </c>
      <c r="K4706" s="2" t="s">
        <v>12</v>
      </c>
    </row>
    <row r="4707" spans="1:11" ht="12.5" x14ac:dyDescent="0.25">
      <c r="A4707" s="3" t="e">
        <f ca="1"/>
        <v>#NAME?</v>
      </c>
      <c r="B4707" s="2" t="s">
        <v>12</v>
      </c>
      <c r="C4707" s="2" t="s">
        <v>12</v>
      </c>
      <c r="D4707" s="2" t="s">
        <v>12</v>
      </c>
      <c r="E4707" s="2" t="s">
        <v>12</v>
      </c>
      <c r="F4707" s="2" t="s">
        <v>12</v>
      </c>
      <c r="G4707" s="2" t="s">
        <v>12</v>
      </c>
      <c r="H4707" s="2" t="s">
        <v>12</v>
      </c>
      <c r="I4707" s="2" t="s">
        <v>12</v>
      </c>
      <c r="J4707" s="2" t="s">
        <v>12</v>
      </c>
      <c r="K4707" s="2" t="s">
        <v>12</v>
      </c>
    </row>
    <row r="4708" spans="1:11" ht="12.5" x14ac:dyDescent="0.25">
      <c r="A4708" s="3" t="e">
        <f ca="1"/>
        <v>#NAME?</v>
      </c>
      <c r="B4708" s="2" t="s">
        <v>12</v>
      </c>
      <c r="C4708" s="2" t="s">
        <v>12</v>
      </c>
      <c r="D4708" s="2" t="s">
        <v>12</v>
      </c>
      <c r="E4708" s="2" t="s">
        <v>12</v>
      </c>
      <c r="F4708" s="2" t="s">
        <v>12</v>
      </c>
      <c r="G4708" s="2" t="s">
        <v>12</v>
      </c>
      <c r="H4708" s="2" t="s">
        <v>12</v>
      </c>
      <c r="I4708" s="2" t="s">
        <v>12</v>
      </c>
      <c r="J4708" s="2" t="s">
        <v>12</v>
      </c>
      <c r="K4708" s="2" t="s">
        <v>12</v>
      </c>
    </row>
    <row r="4709" spans="1:11" ht="12.5" x14ac:dyDescent="0.25">
      <c r="A4709" s="3" t="e">
        <f ca="1"/>
        <v>#NAME?</v>
      </c>
      <c r="B4709" s="2" t="s">
        <v>12</v>
      </c>
      <c r="C4709" s="2" t="s">
        <v>12</v>
      </c>
      <c r="D4709" s="2" t="s">
        <v>12</v>
      </c>
      <c r="E4709" s="2" t="s">
        <v>12</v>
      </c>
      <c r="F4709" s="2" t="s">
        <v>12</v>
      </c>
      <c r="G4709" s="2" t="s">
        <v>12</v>
      </c>
      <c r="H4709" s="2" t="s">
        <v>12</v>
      </c>
      <c r="I4709" s="2" t="s">
        <v>12</v>
      </c>
      <c r="J4709" s="2" t="s">
        <v>12</v>
      </c>
      <c r="K4709" s="2" t="s">
        <v>12</v>
      </c>
    </row>
    <row r="4710" spans="1:11" ht="12.5" x14ac:dyDescent="0.25">
      <c r="A4710" s="3" t="e">
        <f ca="1"/>
        <v>#NAME?</v>
      </c>
      <c r="B4710" s="2" t="s">
        <v>12</v>
      </c>
      <c r="C4710" s="2" t="s">
        <v>12</v>
      </c>
      <c r="D4710" s="2" t="s">
        <v>12</v>
      </c>
      <c r="E4710" s="2" t="s">
        <v>12</v>
      </c>
      <c r="F4710" s="2" t="s">
        <v>12</v>
      </c>
      <c r="G4710" s="2" t="s">
        <v>12</v>
      </c>
      <c r="H4710" s="2" t="s">
        <v>12</v>
      </c>
      <c r="I4710" s="2" t="s">
        <v>12</v>
      </c>
      <c r="J4710" s="2" t="s">
        <v>12</v>
      </c>
      <c r="K4710" s="2" t="s">
        <v>12</v>
      </c>
    </row>
    <row r="4711" spans="1:11" ht="12.5" x14ac:dyDescent="0.25">
      <c r="A4711" s="3" t="e">
        <f ca="1"/>
        <v>#NAME?</v>
      </c>
      <c r="B4711" s="2" t="s">
        <v>12</v>
      </c>
      <c r="C4711" s="2" t="s">
        <v>12</v>
      </c>
      <c r="D4711" s="2" t="s">
        <v>12</v>
      </c>
      <c r="E4711" s="2" t="s">
        <v>12</v>
      </c>
      <c r="F4711" s="2" t="s">
        <v>12</v>
      </c>
      <c r="G4711" s="2" t="s">
        <v>12</v>
      </c>
      <c r="H4711" s="2" t="s">
        <v>12</v>
      </c>
      <c r="I4711" s="2" t="s">
        <v>12</v>
      </c>
      <c r="J4711" s="2" t="s">
        <v>12</v>
      </c>
      <c r="K4711" s="2" t="s">
        <v>12</v>
      </c>
    </row>
    <row r="4712" spans="1:11" ht="12.5" x14ac:dyDescent="0.25">
      <c r="A4712" s="3" t="e">
        <f ca="1"/>
        <v>#NAME?</v>
      </c>
      <c r="B4712" s="2" t="s">
        <v>12</v>
      </c>
      <c r="C4712" s="2" t="s">
        <v>12</v>
      </c>
      <c r="D4712" s="2" t="s">
        <v>12</v>
      </c>
      <c r="E4712" s="2" t="s">
        <v>12</v>
      </c>
      <c r="F4712" s="2" t="s">
        <v>12</v>
      </c>
      <c r="G4712" s="2" t="s">
        <v>12</v>
      </c>
      <c r="H4712" s="2" t="s">
        <v>12</v>
      </c>
      <c r="I4712" s="2" t="s">
        <v>12</v>
      </c>
      <c r="J4712" s="2" t="s">
        <v>12</v>
      </c>
      <c r="K4712" s="2" t="s">
        <v>12</v>
      </c>
    </row>
    <row r="4713" spans="1:11" ht="12.5" x14ac:dyDescent="0.25">
      <c r="A4713" s="3" t="e">
        <f ca="1"/>
        <v>#NAME?</v>
      </c>
      <c r="B4713" s="2" t="s">
        <v>12</v>
      </c>
      <c r="C4713" s="2" t="s">
        <v>12</v>
      </c>
      <c r="D4713" s="2" t="s">
        <v>12</v>
      </c>
      <c r="E4713" s="2" t="s">
        <v>12</v>
      </c>
      <c r="F4713" s="2" t="s">
        <v>12</v>
      </c>
      <c r="G4713" s="2" t="s">
        <v>12</v>
      </c>
      <c r="H4713" s="2" t="s">
        <v>12</v>
      </c>
      <c r="I4713" s="2" t="s">
        <v>12</v>
      </c>
      <c r="J4713" s="2" t="s">
        <v>12</v>
      </c>
      <c r="K4713" s="2" t="s">
        <v>12</v>
      </c>
    </row>
    <row r="4714" spans="1:11" ht="12.5" x14ac:dyDescent="0.25">
      <c r="A4714" s="3" t="e">
        <f ca="1"/>
        <v>#NAME?</v>
      </c>
      <c r="B4714" s="2" t="s">
        <v>12</v>
      </c>
      <c r="C4714" s="2" t="s">
        <v>12</v>
      </c>
      <c r="D4714" s="2" t="s">
        <v>12</v>
      </c>
      <c r="E4714" s="2" t="s">
        <v>12</v>
      </c>
      <c r="F4714" s="2" t="s">
        <v>12</v>
      </c>
      <c r="G4714" s="2" t="s">
        <v>12</v>
      </c>
      <c r="H4714" s="2" t="s">
        <v>12</v>
      </c>
      <c r="I4714" s="2" t="s">
        <v>12</v>
      </c>
      <c r="J4714" s="2" t="s">
        <v>12</v>
      </c>
      <c r="K4714" s="2" t="s">
        <v>12</v>
      </c>
    </row>
    <row r="4715" spans="1:11" ht="12.5" x14ac:dyDescent="0.25">
      <c r="A4715" s="3" t="e">
        <f ca="1"/>
        <v>#NAME?</v>
      </c>
      <c r="B4715" s="2" t="s">
        <v>12</v>
      </c>
      <c r="C4715" s="2" t="s">
        <v>12</v>
      </c>
      <c r="D4715" s="2" t="s">
        <v>12</v>
      </c>
      <c r="E4715" s="2" t="s">
        <v>12</v>
      </c>
      <c r="F4715" s="2" t="s">
        <v>12</v>
      </c>
      <c r="G4715" s="2" t="s">
        <v>12</v>
      </c>
      <c r="H4715" s="2" t="s">
        <v>12</v>
      </c>
      <c r="I4715" s="2" t="s">
        <v>12</v>
      </c>
      <c r="J4715" s="2" t="s">
        <v>12</v>
      </c>
      <c r="K4715" s="2" t="s">
        <v>12</v>
      </c>
    </row>
    <row r="4716" spans="1:11" ht="12.5" x14ac:dyDescent="0.25">
      <c r="A4716" s="3" t="e">
        <f ca="1"/>
        <v>#NAME?</v>
      </c>
      <c r="B4716" s="2" t="s">
        <v>12</v>
      </c>
      <c r="C4716" s="2" t="s">
        <v>12</v>
      </c>
      <c r="D4716" s="2" t="s">
        <v>12</v>
      </c>
      <c r="E4716" s="2" t="s">
        <v>12</v>
      </c>
      <c r="F4716" s="2" t="s">
        <v>12</v>
      </c>
      <c r="G4716" s="2" t="s">
        <v>12</v>
      </c>
      <c r="H4716" s="2" t="s">
        <v>12</v>
      </c>
      <c r="I4716" s="2" t="s">
        <v>12</v>
      </c>
      <c r="J4716" s="2" t="s">
        <v>12</v>
      </c>
      <c r="K4716" s="2" t="s">
        <v>12</v>
      </c>
    </row>
    <row r="4717" spans="1:11" ht="12.5" x14ac:dyDescent="0.25">
      <c r="A4717" s="3" t="e">
        <f ca="1"/>
        <v>#NAME?</v>
      </c>
      <c r="B4717" s="2" t="s">
        <v>12</v>
      </c>
      <c r="C4717" s="2" t="s">
        <v>12</v>
      </c>
      <c r="D4717" s="2" t="s">
        <v>12</v>
      </c>
      <c r="E4717" s="2" t="s">
        <v>12</v>
      </c>
      <c r="F4717" s="2" t="s">
        <v>12</v>
      </c>
      <c r="G4717" s="2" t="s">
        <v>12</v>
      </c>
      <c r="H4717" s="2" t="s">
        <v>12</v>
      </c>
      <c r="I4717" s="2" t="s">
        <v>12</v>
      </c>
      <c r="J4717" s="2" t="s">
        <v>12</v>
      </c>
      <c r="K4717" s="2" t="s">
        <v>12</v>
      </c>
    </row>
    <row r="4718" spans="1:11" ht="12.5" x14ac:dyDescent="0.25">
      <c r="A4718" s="3" t="e">
        <f ca="1"/>
        <v>#NAME?</v>
      </c>
      <c r="B4718" s="2" t="s">
        <v>12</v>
      </c>
      <c r="C4718" s="2" t="s">
        <v>12</v>
      </c>
      <c r="D4718" s="2" t="s">
        <v>12</v>
      </c>
      <c r="E4718" s="2" t="s">
        <v>12</v>
      </c>
      <c r="F4718" s="2" t="s">
        <v>12</v>
      </c>
      <c r="G4718" s="2" t="s">
        <v>12</v>
      </c>
      <c r="H4718" s="2" t="s">
        <v>12</v>
      </c>
      <c r="I4718" s="2" t="s">
        <v>12</v>
      </c>
      <c r="J4718" s="2" t="s">
        <v>12</v>
      </c>
      <c r="K4718" s="2" t="s">
        <v>12</v>
      </c>
    </row>
    <row r="4719" spans="1:11" ht="12.5" x14ac:dyDescent="0.25">
      <c r="A4719" s="3" t="e">
        <f ca="1"/>
        <v>#NAME?</v>
      </c>
      <c r="B4719" s="2" t="s">
        <v>12</v>
      </c>
      <c r="C4719" s="2" t="s">
        <v>12</v>
      </c>
      <c r="D4719" s="2" t="s">
        <v>12</v>
      </c>
      <c r="E4719" s="2" t="s">
        <v>12</v>
      </c>
      <c r="F4719" s="2" t="s">
        <v>12</v>
      </c>
      <c r="G4719" s="2" t="s">
        <v>12</v>
      </c>
      <c r="H4719" s="2" t="s">
        <v>12</v>
      </c>
      <c r="I4719" s="2" t="s">
        <v>12</v>
      </c>
      <c r="J4719" s="2" t="s">
        <v>12</v>
      </c>
      <c r="K4719" s="2" t="s">
        <v>12</v>
      </c>
    </row>
    <row r="4720" spans="1:11" ht="12.5" x14ac:dyDescent="0.25">
      <c r="A4720" s="3" t="e">
        <f ca="1"/>
        <v>#NAME?</v>
      </c>
      <c r="B4720" s="2" t="s">
        <v>12</v>
      </c>
      <c r="C4720" s="2" t="s">
        <v>12</v>
      </c>
      <c r="D4720" s="2" t="s">
        <v>12</v>
      </c>
      <c r="E4720" s="2" t="s">
        <v>12</v>
      </c>
      <c r="F4720" s="2" t="s">
        <v>12</v>
      </c>
      <c r="G4720" s="2" t="s">
        <v>12</v>
      </c>
      <c r="H4720" s="2" t="s">
        <v>12</v>
      </c>
      <c r="I4720" s="2" t="s">
        <v>12</v>
      </c>
      <c r="J4720" s="2" t="s">
        <v>12</v>
      </c>
      <c r="K4720" s="2" t="s">
        <v>12</v>
      </c>
    </row>
    <row r="4721" spans="1:11" ht="12.5" x14ac:dyDescent="0.25">
      <c r="A4721" s="3" t="e">
        <f ca="1"/>
        <v>#NAME?</v>
      </c>
      <c r="B4721" s="2" t="s">
        <v>12</v>
      </c>
      <c r="C4721" s="2" t="s">
        <v>12</v>
      </c>
      <c r="D4721" s="2" t="s">
        <v>12</v>
      </c>
      <c r="E4721" s="2" t="s">
        <v>12</v>
      </c>
      <c r="F4721" s="2" t="s">
        <v>12</v>
      </c>
      <c r="G4721" s="2" t="s">
        <v>12</v>
      </c>
      <c r="H4721" s="2" t="s">
        <v>12</v>
      </c>
      <c r="I4721" s="2" t="s">
        <v>12</v>
      </c>
      <c r="J4721" s="2" t="s">
        <v>12</v>
      </c>
      <c r="K4721" s="2" t="s">
        <v>12</v>
      </c>
    </row>
    <row r="4722" spans="1:11" ht="12.5" x14ac:dyDescent="0.25">
      <c r="A4722" s="3" t="e">
        <f ca="1"/>
        <v>#NAME?</v>
      </c>
      <c r="B4722" s="2" t="s">
        <v>12</v>
      </c>
      <c r="C4722" s="2" t="s">
        <v>12</v>
      </c>
      <c r="D4722" s="2" t="s">
        <v>12</v>
      </c>
      <c r="E4722" s="2" t="s">
        <v>12</v>
      </c>
      <c r="F4722" s="2" t="s">
        <v>12</v>
      </c>
      <c r="G4722" s="2" t="s">
        <v>12</v>
      </c>
      <c r="H4722" s="2" t="s">
        <v>12</v>
      </c>
      <c r="I4722" s="2" t="s">
        <v>12</v>
      </c>
      <c r="J4722" s="2" t="s">
        <v>12</v>
      </c>
      <c r="K4722" s="2" t="s">
        <v>12</v>
      </c>
    </row>
    <row r="4723" spans="1:11" ht="12.5" x14ac:dyDescent="0.25">
      <c r="A4723" s="3" t="e">
        <f ca="1"/>
        <v>#NAME?</v>
      </c>
      <c r="B4723" s="2" t="s">
        <v>12</v>
      </c>
      <c r="C4723" s="2" t="s">
        <v>12</v>
      </c>
      <c r="D4723" s="2" t="s">
        <v>12</v>
      </c>
      <c r="E4723" s="2" t="s">
        <v>12</v>
      </c>
      <c r="F4723" s="2" t="s">
        <v>12</v>
      </c>
      <c r="G4723" s="2" t="s">
        <v>12</v>
      </c>
      <c r="H4723" s="2" t="s">
        <v>12</v>
      </c>
      <c r="I4723" s="2" t="s">
        <v>12</v>
      </c>
      <c r="J4723" s="2" t="s">
        <v>12</v>
      </c>
      <c r="K4723" s="2" t="s">
        <v>12</v>
      </c>
    </row>
    <row r="4724" spans="1:11" ht="12.5" x14ac:dyDescent="0.25">
      <c r="A4724" s="3" t="e">
        <f ca="1"/>
        <v>#NAME?</v>
      </c>
      <c r="B4724" s="2" t="s">
        <v>12</v>
      </c>
      <c r="C4724" s="2" t="s">
        <v>12</v>
      </c>
      <c r="D4724" s="2" t="s">
        <v>12</v>
      </c>
      <c r="E4724" s="2" t="s">
        <v>12</v>
      </c>
      <c r="F4724" s="2" t="s">
        <v>12</v>
      </c>
      <c r="G4724" s="2" t="s">
        <v>12</v>
      </c>
      <c r="H4724" s="2" t="s">
        <v>12</v>
      </c>
      <c r="I4724" s="2" t="s">
        <v>12</v>
      </c>
      <c r="J4724" s="2" t="s">
        <v>12</v>
      </c>
      <c r="K4724" s="2" t="s">
        <v>12</v>
      </c>
    </row>
    <row r="4725" spans="1:11" ht="12.5" x14ac:dyDescent="0.25">
      <c r="A4725" s="3" t="e">
        <f ca="1"/>
        <v>#NAME?</v>
      </c>
      <c r="B4725" s="2" t="s">
        <v>12</v>
      </c>
      <c r="C4725" s="2" t="s">
        <v>12</v>
      </c>
      <c r="D4725" s="2" t="s">
        <v>12</v>
      </c>
      <c r="E4725" s="2" t="s">
        <v>12</v>
      </c>
      <c r="F4725" s="2" t="s">
        <v>12</v>
      </c>
      <c r="G4725" s="2" t="s">
        <v>12</v>
      </c>
      <c r="H4725" s="2" t="s">
        <v>12</v>
      </c>
      <c r="I4725" s="2" t="s">
        <v>12</v>
      </c>
      <c r="J4725" s="2" t="s">
        <v>12</v>
      </c>
      <c r="K4725" s="2" t="s">
        <v>12</v>
      </c>
    </row>
    <row r="4726" spans="1:11" ht="12.5" x14ac:dyDescent="0.25">
      <c r="A4726" s="3" t="e">
        <f ca="1"/>
        <v>#NAME?</v>
      </c>
      <c r="B4726" s="2" t="s">
        <v>12</v>
      </c>
      <c r="C4726" s="2" t="s">
        <v>12</v>
      </c>
      <c r="D4726" s="2" t="s">
        <v>12</v>
      </c>
      <c r="E4726" s="2" t="s">
        <v>12</v>
      </c>
      <c r="F4726" s="2" t="s">
        <v>12</v>
      </c>
      <c r="G4726" s="2" t="s">
        <v>12</v>
      </c>
      <c r="H4726" s="2" t="s">
        <v>12</v>
      </c>
      <c r="I4726" s="2" t="s">
        <v>12</v>
      </c>
      <c r="J4726" s="2" t="s">
        <v>12</v>
      </c>
      <c r="K4726" s="2" t="s">
        <v>12</v>
      </c>
    </row>
    <row r="4727" spans="1:11" ht="12.5" x14ac:dyDescent="0.25">
      <c r="A4727" s="3" t="e">
        <f ca="1"/>
        <v>#NAME?</v>
      </c>
      <c r="B4727" s="2" t="s">
        <v>12</v>
      </c>
      <c r="C4727" s="2" t="s">
        <v>12</v>
      </c>
      <c r="D4727" s="2" t="s">
        <v>12</v>
      </c>
      <c r="E4727" s="2" t="s">
        <v>12</v>
      </c>
      <c r="F4727" s="2" t="s">
        <v>12</v>
      </c>
      <c r="G4727" s="2" t="s">
        <v>12</v>
      </c>
      <c r="H4727" s="2" t="s">
        <v>12</v>
      </c>
      <c r="I4727" s="2" t="s">
        <v>12</v>
      </c>
      <c r="J4727" s="2" t="s">
        <v>12</v>
      </c>
      <c r="K4727" s="2" t="s">
        <v>12</v>
      </c>
    </row>
    <row r="4728" spans="1:11" ht="12.5" x14ac:dyDescent="0.25">
      <c r="A4728" s="3" t="e">
        <f ca="1"/>
        <v>#NAME?</v>
      </c>
      <c r="B4728" s="2" t="s">
        <v>12</v>
      </c>
      <c r="C4728" s="2" t="s">
        <v>12</v>
      </c>
      <c r="D4728" s="2" t="s">
        <v>12</v>
      </c>
      <c r="E4728" s="2" t="s">
        <v>12</v>
      </c>
      <c r="F4728" s="2" t="s">
        <v>12</v>
      </c>
      <c r="G4728" s="2" t="s">
        <v>12</v>
      </c>
      <c r="H4728" s="2" t="s">
        <v>12</v>
      </c>
      <c r="I4728" s="2" t="s">
        <v>12</v>
      </c>
      <c r="J4728" s="2" t="s">
        <v>12</v>
      </c>
      <c r="K4728" s="2" t="s">
        <v>12</v>
      </c>
    </row>
    <row r="4729" spans="1:11" ht="12.5" x14ac:dyDescent="0.25">
      <c r="A4729" s="3" t="e">
        <f ca="1"/>
        <v>#NAME?</v>
      </c>
      <c r="B4729" s="2" t="s">
        <v>12</v>
      </c>
      <c r="C4729" s="2" t="s">
        <v>12</v>
      </c>
      <c r="D4729" s="2" t="s">
        <v>12</v>
      </c>
      <c r="E4729" s="2" t="s">
        <v>12</v>
      </c>
      <c r="F4729" s="2" t="s">
        <v>12</v>
      </c>
      <c r="G4729" s="2" t="s">
        <v>12</v>
      </c>
      <c r="H4729" s="2" t="s">
        <v>12</v>
      </c>
      <c r="I4729" s="2" t="s">
        <v>12</v>
      </c>
      <c r="J4729" s="2" t="s">
        <v>12</v>
      </c>
      <c r="K4729" s="2" t="s">
        <v>12</v>
      </c>
    </row>
    <row r="4730" spans="1:11" ht="12.5" x14ac:dyDescent="0.25">
      <c r="A4730" s="3" t="e">
        <f ca="1"/>
        <v>#NAME?</v>
      </c>
      <c r="B4730" s="2" t="s">
        <v>12</v>
      </c>
      <c r="C4730" s="2" t="s">
        <v>12</v>
      </c>
      <c r="D4730" s="2" t="s">
        <v>12</v>
      </c>
      <c r="E4730" s="2" t="s">
        <v>12</v>
      </c>
      <c r="F4730" s="2" t="s">
        <v>12</v>
      </c>
      <c r="G4730" s="2" t="s">
        <v>12</v>
      </c>
      <c r="H4730" s="2" t="s">
        <v>12</v>
      </c>
      <c r="I4730" s="2" t="s">
        <v>12</v>
      </c>
      <c r="J4730" s="2" t="s">
        <v>12</v>
      </c>
      <c r="K4730" s="2" t="s">
        <v>12</v>
      </c>
    </row>
    <row r="4731" spans="1:11" ht="12.5" x14ac:dyDescent="0.25">
      <c r="A4731" s="3" t="e">
        <f ca="1"/>
        <v>#NAME?</v>
      </c>
      <c r="B4731" s="2" t="s">
        <v>12</v>
      </c>
      <c r="C4731" s="2" t="s">
        <v>12</v>
      </c>
      <c r="D4731" s="2" t="s">
        <v>12</v>
      </c>
      <c r="E4731" s="2" t="s">
        <v>12</v>
      </c>
      <c r="F4731" s="2" t="s">
        <v>12</v>
      </c>
      <c r="G4731" s="2" t="s">
        <v>12</v>
      </c>
      <c r="H4731" s="2" t="s">
        <v>12</v>
      </c>
      <c r="I4731" s="2" t="s">
        <v>12</v>
      </c>
      <c r="J4731" s="2" t="s">
        <v>12</v>
      </c>
      <c r="K4731" s="2" t="s">
        <v>12</v>
      </c>
    </row>
    <row r="4732" spans="1:11" ht="12.5" x14ac:dyDescent="0.25">
      <c r="A4732" s="3" t="e">
        <f ca="1"/>
        <v>#NAME?</v>
      </c>
      <c r="B4732" s="2" t="s">
        <v>12</v>
      </c>
      <c r="C4732" s="2" t="s">
        <v>12</v>
      </c>
      <c r="D4732" s="2" t="s">
        <v>12</v>
      </c>
      <c r="E4732" s="2" t="s">
        <v>12</v>
      </c>
      <c r="F4732" s="2" t="s">
        <v>12</v>
      </c>
      <c r="G4732" s="2" t="s">
        <v>12</v>
      </c>
      <c r="H4732" s="2" t="s">
        <v>12</v>
      </c>
      <c r="I4732" s="2" t="s">
        <v>12</v>
      </c>
      <c r="J4732" s="2" t="s">
        <v>12</v>
      </c>
      <c r="K4732" s="2" t="s">
        <v>12</v>
      </c>
    </row>
    <row r="4733" spans="1:11" ht="12.5" x14ac:dyDescent="0.25">
      <c r="A4733" s="3" t="e">
        <f ca="1"/>
        <v>#NAME?</v>
      </c>
      <c r="B4733" s="2" t="s">
        <v>12</v>
      </c>
      <c r="C4733" s="2" t="s">
        <v>12</v>
      </c>
      <c r="D4733" s="2" t="s">
        <v>12</v>
      </c>
      <c r="E4733" s="2" t="s">
        <v>12</v>
      </c>
      <c r="F4733" s="2" t="s">
        <v>12</v>
      </c>
      <c r="G4733" s="2" t="s">
        <v>12</v>
      </c>
      <c r="H4733" s="2" t="s">
        <v>12</v>
      </c>
      <c r="I4733" s="2" t="s">
        <v>12</v>
      </c>
      <c r="J4733" s="2" t="s">
        <v>12</v>
      </c>
      <c r="K4733" s="2" t="s">
        <v>12</v>
      </c>
    </row>
    <row r="4734" spans="1:11" ht="12.5" x14ac:dyDescent="0.25">
      <c r="A4734" s="3" t="e">
        <f ca="1"/>
        <v>#NAME?</v>
      </c>
      <c r="B4734" s="2" t="s">
        <v>12</v>
      </c>
      <c r="C4734" s="2" t="s">
        <v>12</v>
      </c>
      <c r="D4734" s="2" t="s">
        <v>12</v>
      </c>
      <c r="E4734" s="2" t="s">
        <v>12</v>
      </c>
      <c r="F4734" s="2" t="s">
        <v>12</v>
      </c>
      <c r="G4734" s="2" t="s">
        <v>12</v>
      </c>
      <c r="H4734" s="2" t="s">
        <v>12</v>
      </c>
      <c r="I4734" s="2" t="s">
        <v>12</v>
      </c>
      <c r="J4734" s="2" t="s">
        <v>12</v>
      </c>
      <c r="K4734" s="2" t="s">
        <v>12</v>
      </c>
    </row>
    <row r="4735" spans="1:11" ht="12.5" x14ac:dyDescent="0.25">
      <c r="A4735" s="3" t="e">
        <f ca="1"/>
        <v>#NAME?</v>
      </c>
      <c r="B4735" s="2" t="s">
        <v>12</v>
      </c>
      <c r="C4735" s="2" t="s">
        <v>12</v>
      </c>
      <c r="D4735" s="2" t="s">
        <v>12</v>
      </c>
      <c r="E4735" s="2" t="s">
        <v>12</v>
      </c>
      <c r="F4735" s="2" t="s">
        <v>12</v>
      </c>
      <c r="G4735" s="2" t="s">
        <v>12</v>
      </c>
      <c r="H4735" s="2" t="s">
        <v>12</v>
      </c>
      <c r="I4735" s="2" t="s">
        <v>12</v>
      </c>
      <c r="J4735" s="2" t="s">
        <v>12</v>
      </c>
      <c r="K4735" s="2" t="s">
        <v>12</v>
      </c>
    </row>
    <row r="4736" spans="1:11" ht="12.5" x14ac:dyDescent="0.25">
      <c r="A4736" s="3" t="e">
        <f ca="1"/>
        <v>#NAME?</v>
      </c>
      <c r="B4736" s="2" t="s">
        <v>12</v>
      </c>
      <c r="C4736" s="2" t="s">
        <v>12</v>
      </c>
      <c r="D4736" s="2" t="s">
        <v>12</v>
      </c>
      <c r="E4736" s="2" t="s">
        <v>12</v>
      </c>
      <c r="F4736" s="2" t="s">
        <v>12</v>
      </c>
      <c r="G4736" s="2" t="s">
        <v>12</v>
      </c>
      <c r="H4736" s="2" t="s">
        <v>12</v>
      </c>
      <c r="I4736" s="2" t="s">
        <v>12</v>
      </c>
      <c r="J4736" s="2" t="s">
        <v>12</v>
      </c>
      <c r="K4736" s="2" t="s">
        <v>12</v>
      </c>
    </row>
    <row r="4737" spans="1:11" ht="12.5" x14ac:dyDescent="0.25">
      <c r="A4737" s="3" t="e">
        <f ca="1"/>
        <v>#NAME?</v>
      </c>
      <c r="B4737" s="2" t="s">
        <v>12</v>
      </c>
      <c r="C4737" s="2" t="s">
        <v>12</v>
      </c>
      <c r="D4737" s="2" t="s">
        <v>12</v>
      </c>
      <c r="E4737" s="2" t="s">
        <v>12</v>
      </c>
      <c r="F4737" s="2" t="s">
        <v>12</v>
      </c>
      <c r="G4737" s="2" t="s">
        <v>12</v>
      </c>
      <c r="H4737" s="2" t="s">
        <v>12</v>
      </c>
      <c r="I4737" s="2" t="s">
        <v>12</v>
      </c>
      <c r="J4737" s="2" t="s">
        <v>12</v>
      </c>
      <c r="K4737" s="2" t="s">
        <v>12</v>
      </c>
    </row>
    <row r="4738" spans="1:11" ht="12.5" x14ac:dyDescent="0.25">
      <c r="A4738" s="3" t="e">
        <f ca="1"/>
        <v>#NAME?</v>
      </c>
      <c r="B4738" s="2" t="s">
        <v>12</v>
      </c>
      <c r="C4738" s="2" t="s">
        <v>12</v>
      </c>
      <c r="D4738" s="2" t="s">
        <v>12</v>
      </c>
      <c r="E4738" s="2" t="s">
        <v>12</v>
      </c>
      <c r="F4738" s="2" t="s">
        <v>12</v>
      </c>
      <c r="G4738" s="2" t="s">
        <v>12</v>
      </c>
      <c r="H4738" s="2" t="s">
        <v>12</v>
      </c>
      <c r="I4738" s="2" t="s">
        <v>12</v>
      </c>
      <c r="J4738" s="2" t="s">
        <v>12</v>
      </c>
      <c r="K4738" s="2" t="s">
        <v>12</v>
      </c>
    </row>
    <row r="4739" spans="1:11" ht="12.5" x14ac:dyDescent="0.25">
      <c r="A4739" s="3" t="e">
        <f ca="1"/>
        <v>#NAME?</v>
      </c>
      <c r="B4739" s="2" t="s">
        <v>12</v>
      </c>
      <c r="C4739" s="2" t="s">
        <v>12</v>
      </c>
      <c r="D4739" s="2" t="s">
        <v>12</v>
      </c>
      <c r="E4739" s="2" t="s">
        <v>12</v>
      </c>
      <c r="F4739" s="2" t="s">
        <v>12</v>
      </c>
      <c r="G4739" s="2" t="s">
        <v>12</v>
      </c>
      <c r="H4739" s="2" t="s">
        <v>12</v>
      </c>
      <c r="I4739" s="2" t="s">
        <v>12</v>
      </c>
      <c r="J4739" s="2" t="s">
        <v>12</v>
      </c>
      <c r="K4739" s="2" t="s">
        <v>12</v>
      </c>
    </row>
    <row r="4740" spans="1:11" ht="12.5" x14ac:dyDescent="0.25">
      <c r="A4740" s="3" t="e">
        <f ca="1"/>
        <v>#NAME?</v>
      </c>
      <c r="B4740" s="2" t="s">
        <v>12</v>
      </c>
      <c r="C4740" s="2" t="s">
        <v>12</v>
      </c>
      <c r="D4740" s="2" t="s">
        <v>12</v>
      </c>
      <c r="E4740" s="2" t="s">
        <v>12</v>
      </c>
      <c r="F4740" s="2" t="s">
        <v>12</v>
      </c>
      <c r="G4740" s="2" t="s">
        <v>12</v>
      </c>
      <c r="H4740" s="2" t="s">
        <v>12</v>
      </c>
      <c r="I4740" s="2" t="s">
        <v>12</v>
      </c>
      <c r="J4740" s="2" t="s">
        <v>12</v>
      </c>
      <c r="K4740" s="2" t="s">
        <v>12</v>
      </c>
    </row>
    <row r="4741" spans="1:11" ht="12.5" x14ac:dyDescent="0.25">
      <c r="A4741" s="3" t="e">
        <f ca="1"/>
        <v>#NAME?</v>
      </c>
      <c r="B4741" s="2" t="s">
        <v>12</v>
      </c>
      <c r="C4741" s="2" t="s">
        <v>12</v>
      </c>
      <c r="D4741" s="2" t="s">
        <v>12</v>
      </c>
      <c r="E4741" s="2" t="s">
        <v>12</v>
      </c>
      <c r="F4741" s="2" t="s">
        <v>12</v>
      </c>
      <c r="G4741" s="2" t="s">
        <v>12</v>
      </c>
      <c r="H4741" s="2" t="s">
        <v>12</v>
      </c>
      <c r="I4741" s="2" t="s">
        <v>12</v>
      </c>
      <c r="J4741" s="2" t="s">
        <v>12</v>
      </c>
      <c r="K4741" s="2" t="s">
        <v>12</v>
      </c>
    </row>
    <row r="4742" spans="1:11" ht="12.5" x14ac:dyDescent="0.25">
      <c r="A4742" s="3" t="e">
        <f ca="1"/>
        <v>#NAME?</v>
      </c>
      <c r="B4742" s="2" t="s">
        <v>12</v>
      </c>
      <c r="C4742" s="2" t="s">
        <v>12</v>
      </c>
      <c r="D4742" s="2" t="s">
        <v>12</v>
      </c>
      <c r="E4742" s="2" t="s">
        <v>12</v>
      </c>
      <c r="F4742" s="2" t="s">
        <v>12</v>
      </c>
      <c r="G4742" s="2" t="s">
        <v>12</v>
      </c>
      <c r="H4742" s="2" t="s">
        <v>12</v>
      </c>
      <c r="I4742" s="2" t="s">
        <v>12</v>
      </c>
      <c r="J4742" s="2" t="s">
        <v>12</v>
      </c>
      <c r="K4742" s="2" t="s">
        <v>12</v>
      </c>
    </row>
    <row r="4743" spans="1:11" ht="12.5" x14ac:dyDescent="0.25">
      <c r="A4743" s="3" t="e">
        <f ca="1"/>
        <v>#NAME?</v>
      </c>
      <c r="B4743" s="2" t="s">
        <v>12</v>
      </c>
      <c r="C4743" s="2" t="s">
        <v>12</v>
      </c>
      <c r="D4743" s="2" t="s">
        <v>12</v>
      </c>
      <c r="E4743" s="2" t="s">
        <v>12</v>
      </c>
      <c r="F4743" s="2" t="s">
        <v>12</v>
      </c>
      <c r="G4743" s="2" t="s">
        <v>12</v>
      </c>
      <c r="H4743" s="2" t="s">
        <v>12</v>
      </c>
      <c r="I4743" s="2" t="s">
        <v>12</v>
      </c>
      <c r="J4743" s="2" t="s">
        <v>12</v>
      </c>
      <c r="K4743" s="2" t="s">
        <v>12</v>
      </c>
    </row>
    <row r="4744" spans="1:11" ht="12.5" x14ac:dyDescent="0.25">
      <c r="A4744" s="3" t="e">
        <f ca="1"/>
        <v>#NAME?</v>
      </c>
      <c r="B4744" s="2" t="s">
        <v>12</v>
      </c>
      <c r="C4744" s="2" t="s">
        <v>12</v>
      </c>
      <c r="D4744" s="2" t="s">
        <v>12</v>
      </c>
      <c r="E4744" s="2" t="s">
        <v>12</v>
      </c>
      <c r="F4744" s="2" t="s">
        <v>12</v>
      </c>
      <c r="G4744" s="2" t="s">
        <v>12</v>
      </c>
      <c r="H4744" s="2" t="s">
        <v>12</v>
      </c>
      <c r="I4744" s="2" t="s">
        <v>12</v>
      </c>
      <c r="J4744" s="2" t="s">
        <v>12</v>
      </c>
      <c r="K4744" s="2" t="s">
        <v>12</v>
      </c>
    </row>
    <row r="4745" spans="1:11" ht="12.5" x14ac:dyDescent="0.25">
      <c r="A4745" s="3" t="e">
        <f ca="1"/>
        <v>#NAME?</v>
      </c>
      <c r="B4745" s="2" t="s">
        <v>12</v>
      </c>
      <c r="C4745" s="2" t="s">
        <v>12</v>
      </c>
      <c r="D4745" s="2" t="s">
        <v>12</v>
      </c>
      <c r="E4745" s="2" t="s">
        <v>12</v>
      </c>
      <c r="F4745" s="2" t="s">
        <v>12</v>
      </c>
      <c r="G4745" s="2" t="s">
        <v>12</v>
      </c>
      <c r="H4745" s="2" t="s">
        <v>12</v>
      </c>
      <c r="I4745" s="2" t="s">
        <v>12</v>
      </c>
      <c r="J4745" s="2" t="s">
        <v>12</v>
      </c>
      <c r="K4745" s="2" t="s">
        <v>12</v>
      </c>
    </row>
    <row r="4746" spans="1:11" ht="12.5" x14ac:dyDescent="0.25">
      <c r="A4746" s="3" t="e">
        <f ca="1"/>
        <v>#NAME?</v>
      </c>
      <c r="B4746" s="2" t="s">
        <v>12</v>
      </c>
      <c r="C4746" s="2" t="s">
        <v>12</v>
      </c>
      <c r="D4746" s="2" t="s">
        <v>12</v>
      </c>
      <c r="E4746" s="2" t="s">
        <v>12</v>
      </c>
      <c r="F4746" s="2" t="s">
        <v>12</v>
      </c>
      <c r="G4746" s="2" t="s">
        <v>12</v>
      </c>
      <c r="H4746" s="2" t="s">
        <v>12</v>
      </c>
      <c r="I4746" s="2" t="s">
        <v>12</v>
      </c>
      <c r="J4746" s="2" t="s">
        <v>12</v>
      </c>
      <c r="K4746" s="2" t="s">
        <v>12</v>
      </c>
    </row>
    <row r="4747" spans="1:11" ht="12.5" x14ac:dyDescent="0.25">
      <c r="A4747" s="3" t="e">
        <f ca="1"/>
        <v>#NAME?</v>
      </c>
      <c r="B4747" s="2" t="s">
        <v>12</v>
      </c>
      <c r="C4747" s="2" t="s">
        <v>12</v>
      </c>
      <c r="D4747" s="2" t="s">
        <v>12</v>
      </c>
      <c r="E4747" s="2" t="s">
        <v>12</v>
      </c>
      <c r="F4747" s="2" t="s">
        <v>12</v>
      </c>
      <c r="G4747" s="2" t="s">
        <v>12</v>
      </c>
      <c r="H4747" s="2" t="s">
        <v>12</v>
      </c>
      <c r="I4747" s="2" t="s">
        <v>12</v>
      </c>
      <c r="J4747" s="2" t="s">
        <v>12</v>
      </c>
      <c r="K4747" s="2" t="s">
        <v>12</v>
      </c>
    </row>
    <row r="4748" spans="1:11" ht="12.5" x14ac:dyDescent="0.25">
      <c r="A4748" s="3" t="e">
        <f ca="1"/>
        <v>#NAME?</v>
      </c>
      <c r="B4748" s="2" t="s">
        <v>12</v>
      </c>
      <c r="C4748" s="2" t="s">
        <v>12</v>
      </c>
      <c r="D4748" s="2" t="s">
        <v>12</v>
      </c>
      <c r="E4748" s="2" t="s">
        <v>12</v>
      </c>
      <c r="F4748" s="2" t="s">
        <v>12</v>
      </c>
      <c r="G4748" s="2" t="s">
        <v>12</v>
      </c>
      <c r="H4748" s="2" t="s">
        <v>12</v>
      </c>
      <c r="I4748" s="2" t="s">
        <v>12</v>
      </c>
      <c r="J4748" s="2" t="s">
        <v>12</v>
      </c>
      <c r="K4748" s="2" t="s">
        <v>12</v>
      </c>
    </row>
    <row r="4749" spans="1:11" ht="12.5" x14ac:dyDescent="0.25">
      <c r="A4749" s="3" t="e">
        <f ca="1"/>
        <v>#NAME?</v>
      </c>
      <c r="B4749" s="2" t="s">
        <v>12</v>
      </c>
      <c r="C4749" s="2" t="s">
        <v>12</v>
      </c>
      <c r="D4749" s="2" t="s">
        <v>12</v>
      </c>
      <c r="E4749" s="2" t="s">
        <v>12</v>
      </c>
      <c r="F4749" s="2" t="s">
        <v>12</v>
      </c>
      <c r="G4749" s="2" t="s">
        <v>12</v>
      </c>
      <c r="H4749" s="2" t="s">
        <v>12</v>
      </c>
      <c r="I4749" s="2" t="s">
        <v>12</v>
      </c>
      <c r="J4749" s="2" t="s">
        <v>12</v>
      </c>
      <c r="K4749" s="2" t="s">
        <v>12</v>
      </c>
    </row>
    <row r="4750" spans="1:11" ht="12.5" x14ac:dyDescent="0.25">
      <c r="A4750" s="3" t="e">
        <f ca="1"/>
        <v>#NAME?</v>
      </c>
      <c r="B4750" s="2" t="s">
        <v>12</v>
      </c>
      <c r="C4750" s="2" t="s">
        <v>12</v>
      </c>
      <c r="D4750" s="2" t="s">
        <v>12</v>
      </c>
      <c r="E4750" s="2" t="s">
        <v>12</v>
      </c>
      <c r="F4750" s="2" t="s">
        <v>12</v>
      </c>
      <c r="G4750" s="2" t="s">
        <v>12</v>
      </c>
      <c r="H4750" s="2" t="s">
        <v>12</v>
      </c>
      <c r="I4750" s="2" t="s">
        <v>12</v>
      </c>
      <c r="J4750" s="2" t="s">
        <v>12</v>
      </c>
      <c r="K4750" s="2" t="s">
        <v>12</v>
      </c>
    </row>
    <row r="4751" spans="1:11" ht="12.5" x14ac:dyDescent="0.25">
      <c r="A4751" s="3" t="e">
        <f ca="1"/>
        <v>#NAME?</v>
      </c>
      <c r="B4751" s="2" t="s">
        <v>12</v>
      </c>
      <c r="C4751" s="2" t="s">
        <v>12</v>
      </c>
      <c r="D4751" s="2" t="s">
        <v>12</v>
      </c>
      <c r="E4751" s="2" t="s">
        <v>12</v>
      </c>
      <c r="F4751" s="2" t="s">
        <v>12</v>
      </c>
      <c r="G4751" s="2" t="s">
        <v>12</v>
      </c>
      <c r="H4751" s="2" t="s">
        <v>12</v>
      </c>
      <c r="I4751" s="2" t="s">
        <v>12</v>
      </c>
      <c r="J4751" s="2" t="s">
        <v>12</v>
      </c>
      <c r="K4751" s="2" t="s">
        <v>12</v>
      </c>
    </row>
    <row r="4752" spans="1:11" ht="12.5" x14ac:dyDescent="0.25">
      <c r="A4752" s="3" t="e">
        <f ca="1"/>
        <v>#NAME?</v>
      </c>
      <c r="B4752" s="2" t="s">
        <v>12</v>
      </c>
      <c r="C4752" s="2" t="s">
        <v>12</v>
      </c>
      <c r="D4752" s="2" t="s">
        <v>12</v>
      </c>
      <c r="E4752" s="2" t="s">
        <v>12</v>
      </c>
      <c r="F4752" s="2" t="s">
        <v>12</v>
      </c>
      <c r="G4752" s="2" t="s">
        <v>12</v>
      </c>
      <c r="H4752" s="2" t="s">
        <v>12</v>
      </c>
      <c r="I4752" s="2" t="s">
        <v>12</v>
      </c>
      <c r="J4752" s="2" t="s">
        <v>12</v>
      </c>
      <c r="K4752" s="2" t="s">
        <v>12</v>
      </c>
    </row>
    <row r="4753" spans="1:11" ht="12.5" x14ac:dyDescent="0.25">
      <c r="A4753" s="3" t="e">
        <f ca="1"/>
        <v>#NAME?</v>
      </c>
      <c r="B4753" s="2" t="s">
        <v>12</v>
      </c>
      <c r="C4753" s="2" t="s">
        <v>12</v>
      </c>
      <c r="D4753" s="2" t="s">
        <v>12</v>
      </c>
      <c r="E4753" s="2" t="s">
        <v>12</v>
      </c>
      <c r="F4753" s="2" t="s">
        <v>12</v>
      </c>
      <c r="G4753" s="2" t="s">
        <v>12</v>
      </c>
      <c r="H4753" s="2" t="s">
        <v>12</v>
      </c>
      <c r="I4753" s="2" t="s">
        <v>12</v>
      </c>
      <c r="J4753" s="2" t="s">
        <v>12</v>
      </c>
      <c r="K4753" s="2" t="s">
        <v>12</v>
      </c>
    </row>
    <row r="4754" spans="1:11" ht="12.5" x14ac:dyDescent="0.25">
      <c r="A4754" s="3" t="e">
        <f ca="1"/>
        <v>#NAME?</v>
      </c>
      <c r="B4754" s="2" t="s">
        <v>12</v>
      </c>
      <c r="C4754" s="2" t="s">
        <v>12</v>
      </c>
      <c r="D4754" s="2" t="s">
        <v>12</v>
      </c>
      <c r="E4754" s="2" t="s">
        <v>12</v>
      </c>
      <c r="F4754" s="2" t="s">
        <v>12</v>
      </c>
      <c r="G4754" s="2" t="s">
        <v>12</v>
      </c>
      <c r="H4754" s="2" t="s">
        <v>12</v>
      </c>
      <c r="I4754" s="2" t="s">
        <v>12</v>
      </c>
      <c r="J4754" s="2" t="s">
        <v>12</v>
      </c>
      <c r="K4754" s="2" t="s">
        <v>12</v>
      </c>
    </row>
    <row r="4755" spans="1:11" ht="12.5" x14ac:dyDescent="0.25">
      <c r="A4755" s="3" t="e">
        <f ca="1"/>
        <v>#NAME?</v>
      </c>
      <c r="B4755" s="2" t="s">
        <v>12</v>
      </c>
      <c r="C4755" s="2" t="s">
        <v>12</v>
      </c>
      <c r="D4755" s="2" t="s">
        <v>12</v>
      </c>
      <c r="E4755" s="2" t="s">
        <v>12</v>
      </c>
      <c r="F4755" s="2" t="s">
        <v>12</v>
      </c>
      <c r="G4755" s="2" t="s">
        <v>12</v>
      </c>
      <c r="H4755" s="2" t="s">
        <v>12</v>
      </c>
      <c r="I4755" s="2" t="s">
        <v>12</v>
      </c>
      <c r="J4755" s="2" t="s">
        <v>12</v>
      </c>
      <c r="K4755" s="2" t="s">
        <v>12</v>
      </c>
    </row>
    <row r="4756" spans="1:11" ht="12.5" x14ac:dyDescent="0.25">
      <c r="A4756" s="3" t="e">
        <f ca="1"/>
        <v>#NAME?</v>
      </c>
      <c r="B4756" s="2" t="s">
        <v>12</v>
      </c>
      <c r="C4756" s="2" t="s">
        <v>12</v>
      </c>
      <c r="D4756" s="2" t="s">
        <v>12</v>
      </c>
      <c r="E4756" s="2" t="s">
        <v>12</v>
      </c>
      <c r="F4756" s="2" t="s">
        <v>12</v>
      </c>
      <c r="G4756" s="2" t="s">
        <v>12</v>
      </c>
      <c r="H4756" s="2" t="s">
        <v>12</v>
      </c>
      <c r="I4756" s="2" t="s">
        <v>12</v>
      </c>
      <c r="J4756" s="2" t="s">
        <v>12</v>
      </c>
      <c r="K4756" s="2" t="s">
        <v>12</v>
      </c>
    </row>
    <row r="4757" spans="1:11" ht="12.5" x14ac:dyDescent="0.25">
      <c r="A4757" s="3" t="e">
        <f ca="1"/>
        <v>#NAME?</v>
      </c>
      <c r="B4757" s="2" t="s">
        <v>12</v>
      </c>
      <c r="C4757" s="2" t="s">
        <v>12</v>
      </c>
      <c r="D4757" s="2" t="s">
        <v>12</v>
      </c>
      <c r="E4757" s="2" t="s">
        <v>12</v>
      </c>
      <c r="F4757" s="2" t="s">
        <v>12</v>
      </c>
      <c r="G4757" s="2" t="s">
        <v>12</v>
      </c>
      <c r="H4757" s="2" t="s">
        <v>12</v>
      </c>
      <c r="I4757" s="2" t="s">
        <v>12</v>
      </c>
      <c r="J4757" s="2" t="s">
        <v>12</v>
      </c>
      <c r="K4757" s="2" t="s">
        <v>12</v>
      </c>
    </row>
    <row r="4758" spans="1:11" ht="12.5" x14ac:dyDescent="0.25">
      <c r="A4758" s="3" t="e">
        <f ca="1"/>
        <v>#NAME?</v>
      </c>
      <c r="B4758" s="2" t="s">
        <v>12</v>
      </c>
      <c r="C4758" s="2" t="s">
        <v>12</v>
      </c>
      <c r="D4758" s="2" t="s">
        <v>12</v>
      </c>
      <c r="E4758" s="2" t="s">
        <v>12</v>
      </c>
      <c r="F4758" s="2" t="s">
        <v>12</v>
      </c>
      <c r="G4758" s="2" t="s">
        <v>12</v>
      </c>
      <c r="H4758" s="2" t="s">
        <v>12</v>
      </c>
      <c r="I4758" s="2" t="s">
        <v>12</v>
      </c>
      <c r="J4758" s="2" t="s">
        <v>12</v>
      </c>
      <c r="K4758" s="2" t="s">
        <v>12</v>
      </c>
    </row>
    <row r="4759" spans="1:11" ht="12.5" x14ac:dyDescent="0.25">
      <c r="A4759" s="3" t="e">
        <f ca="1"/>
        <v>#NAME?</v>
      </c>
      <c r="B4759" s="2" t="s">
        <v>12</v>
      </c>
      <c r="C4759" s="2" t="s">
        <v>12</v>
      </c>
      <c r="D4759" s="2" t="s">
        <v>12</v>
      </c>
      <c r="E4759" s="2" t="s">
        <v>12</v>
      </c>
      <c r="F4759" s="2" t="s">
        <v>12</v>
      </c>
      <c r="G4759" s="2" t="s">
        <v>12</v>
      </c>
      <c r="H4759" s="2" t="s">
        <v>12</v>
      </c>
      <c r="I4759" s="2" t="s">
        <v>12</v>
      </c>
      <c r="J4759" s="2" t="s">
        <v>12</v>
      </c>
      <c r="K4759" s="2" t="s">
        <v>12</v>
      </c>
    </row>
    <row r="4760" spans="1:11" ht="12.5" x14ac:dyDescent="0.25">
      <c r="A4760" s="3" t="e">
        <f ca="1"/>
        <v>#NAME?</v>
      </c>
      <c r="B4760" s="2" t="s">
        <v>12</v>
      </c>
      <c r="C4760" s="2" t="s">
        <v>12</v>
      </c>
      <c r="D4760" s="2" t="s">
        <v>12</v>
      </c>
      <c r="E4760" s="2" t="s">
        <v>12</v>
      </c>
      <c r="F4760" s="2" t="s">
        <v>12</v>
      </c>
      <c r="G4760" s="2" t="s">
        <v>12</v>
      </c>
      <c r="H4760" s="2" t="s">
        <v>12</v>
      </c>
      <c r="I4760" s="2" t="s">
        <v>12</v>
      </c>
      <c r="J4760" s="2" t="s">
        <v>12</v>
      </c>
      <c r="K4760" s="2" t="s">
        <v>12</v>
      </c>
    </row>
    <row r="4761" spans="1:11" ht="12.5" x14ac:dyDescent="0.25">
      <c r="A4761" s="3" t="e">
        <f ca="1"/>
        <v>#NAME?</v>
      </c>
      <c r="B4761" s="2" t="s">
        <v>12</v>
      </c>
      <c r="C4761" s="2" t="s">
        <v>12</v>
      </c>
      <c r="D4761" s="2" t="s">
        <v>12</v>
      </c>
      <c r="E4761" s="2" t="s">
        <v>12</v>
      </c>
      <c r="F4761" s="2" t="s">
        <v>12</v>
      </c>
      <c r="G4761" s="2" t="s">
        <v>12</v>
      </c>
      <c r="H4761" s="2" t="s">
        <v>12</v>
      </c>
      <c r="I4761" s="2" t="s">
        <v>12</v>
      </c>
      <c r="J4761" s="2" t="s">
        <v>12</v>
      </c>
      <c r="K4761" s="2" t="s">
        <v>12</v>
      </c>
    </row>
    <row r="4762" spans="1:11" ht="12.5" x14ac:dyDescent="0.25">
      <c r="A4762" s="3" t="e">
        <f ca="1"/>
        <v>#NAME?</v>
      </c>
      <c r="B4762" s="2" t="s">
        <v>12</v>
      </c>
      <c r="C4762" s="2" t="s">
        <v>12</v>
      </c>
      <c r="D4762" s="2" t="s">
        <v>12</v>
      </c>
      <c r="E4762" s="2" t="s">
        <v>12</v>
      </c>
      <c r="F4762" s="2" t="s">
        <v>12</v>
      </c>
      <c r="G4762" s="2" t="s">
        <v>12</v>
      </c>
      <c r="H4762" s="2" t="s">
        <v>12</v>
      </c>
      <c r="I4762" s="2" t="s">
        <v>12</v>
      </c>
      <c r="J4762" s="2" t="s">
        <v>12</v>
      </c>
      <c r="K4762" s="2" t="s">
        <v>12</v>
      </c>
    </row>
    <row r="4763" spans="1:11" ht="12.5" x14ac:dyDescent="0.25">
      <c r="A4763" s="3" t="e">
        <f ca="1"/>
        <v>#NAME?</v>
      </c>
      <c r="B4763" s="2" t="s">
        <v>12</v>
      </c>
      <c r="C4763" s="2" t="s">
        <v>12</v>
      </c>
      <c r="D4763" s="2" t="s">
        <v>12</v>
      </c>
      <c r="E4763" s="2" t="s">
        <v>12</v>
      </c>
      <c r="F4763" s="2" t="s">
        <v>12</v>
      </c>
      <c r="G4763" s="2" t="s">
        <v>12</v>
      </c>
      <c r="H4763" s="2" t="s">
        <v>12</v>
      </c>
      <c r="I4763" s="2" t="s">
        <v>12</v>
      </c>
      <c r="J4763" s="2" t="s">
        <v>12</v>
      </c>
      <c r="K4763" s="2" t="s">
        <v>12</v>
      </c>
    </row>
    <row r="4764" spans="1:11" ht="12.5" x14ac:dyDescent="0.25">
      <c r="A4764" s="3" t="e">
        <f ca="1"/>
        <v>#NAME?</v>
      </c>
      <c r="B4764" s="2" t="s">
        <v>12</v>
      </c>
      <c r="C4764" s="2" t="s">
        <v>12</v>
      </c>
      <c r="D4764" s="2" t="s">
        <v>12</v>
      </c>
      <c r="E4764" s="2" t="s">
        <v>12</v>
      </c>
      <c r="F4764" s="2" t="s">
        <v>12</v>
      </c>
      <c r="G4764" s="2" t="s">
        <v>12</v>
      </c>
      <c r="H4764" s="2" t="s">
        <v>12</v>
      </c>
      <c r="I4764" s="2" t="s">
        <v>12</v>
      </c>
      <c r="J4764" s="2" t="s">
        <v>12</v>
      </c>
      <c r="K4764" s="2" t="s">
        <v>12</v>
      </c>
    </row>
    <row r="4765" spans="1:11" ht="12.5" x14ac:dyDescent="0.25">
      <c r="A4765" s="3" t="e">
        <f ca="1"/>
        <v>#NAME?</v>
      </c>
      <c r="B4765" s="2" t="s">
        <v>12</v>
      </c>
      <c r="C4765" s="2" t="s">
        <v>12</v>
      </c>
      <c r="D4765" s="2" t="s">
        <v>12</v>
      </c>
      <c r="E4765" s="2" t="s">
        <v>12</v>
      </c>
      <c r="F4765" s="2" t="s">
        <v>12</v>
      </c>
      <c r="G4765" s="2" t="s">
        <v>12</v>
      </c>
      <c r="H4765" s="2" t="s">
        <v>12</v>
      </c>
      <c r="I4765" s="2" t="s">
        <v>12</v>
      </c>
      <c r="J4765" s="2" t="s">
        <v>12</v>
      </c>
      <c r="K4765" s="2" t="s">
        <v>12</v>
      </c>
    </row>
    <row r="4766" spans="1:11" ht="12.5" x14ac:dyDescent="0.25">
      <c r="A4766" s="3" t="e">
        <f ca="1"/>
        <v>#NAME?</v>
      </c>
      <c r="B4766" s="2" t="s">
        <v>12</v>
      </c>
      <c r="C4766" s="2" t="s">
        <v>12</v>
      </c>
      <c r="D4766" s="2" t="s">
        <v>12</v>
      </c>
      <c r="E4766" s="2" t="s">
        <v>12</v>
      </c>
      <c r="F4766" s="2" t="s">
        <v>12</v>
      </c>
      <c r="G4766" s="2" t="s">
        <v>12</v>
      </c>
      <c r="H4766" s="2" t="s">
        <v>12</v>
      </c>
      <c r="I4766" s="2" t="s">
        <v>12</v>
      </c>
      <c r="J4766" s="2" t="s">
        <v>12</v>
      </c>
      <c r="K4766" s="2" t="s">
        <v>12</v>
      </c>
    </row>
    <row r="4767" spans="1:11" ht="12.5" x14ac:dyDescent="0.25">
      <c r="A4767" s="3" t="e">
        <f ca="1"/>
        <v>#NAME?</v>
      </c>
      <c r="B4767" s="2" t="s">
        <v>12</v>
      </c>
      <c r="C4767" s="2" t="s">
        <v>12</v>
      </c>
      <c r="D4767" s="2" t="s">
        <v>12</v>
      </c>
      <c r="E4767" s="2" t="s">
        <v>12</v>
      </c>
      <c r="F4767" s="2" t="s">
        <v>12</v>
      </c>
      <c r="G4767" s="2" t="s">
        <v>12</v>
      </c>
      <c r="H4767" s="2" t="s">
        <v>12</v>
      </c>
      <c r="I4767" s="2" t="s">
        <v>12</v>
      </c>
      <c r="J4767" s="2" t="s">
        <v>12</v>
      </c>
      <c r="K4767" s="2" t="s">
        <v>12</v>
      </c>
    </row>
    <row r="4768" spans="1:11" ht="12.5" x14ac:dyDescent="0.25">
      <c r="A4768" s="3" t="e">
        <f ca="1"/>
        <v>#NAME?</v>
      </c>
      <c r="B4768" s="2" t="s">
        <v>12</v>
      </c>
      <c r="C4768" s="2" t="s">
        <v>12</v>
      </c>
      <c r="D4768" s="2" t="s">
        <v>12</v>
      </c>
      <c r="E4768" s="2" t="s">
        <v>12</v>
      </c>
      <c r="F4768" s="2" t="s">
        <v>12</v>
      </c>
      <c r="G4768" s="2" t="s">
        <v>12</v>
      </c>
      <c r="H4768" s="2" t="s">
        <v>12</v>
      </c>
      <c r="I4768" s="2" t="s">
        <v>12</v>
      </c>
      <c r="J4768" s="2" t="s">
        <v>12</v>
      </c>
      <c r="K4768" s="2" t="s">
        <v>12</v>
      </c>
    </row>
    <row r="4769" spans="1:11" ht="12.5" x14ac:dyDescent="0.25">
      <c r="A4769" s="3" t="e">
        <f ca="1"/>
        <v>#NAME?</v>
      </c>
      <c r="B4769" s="2" t="s">
        <v>12</v>
      </c>
      <c r="C4769" s="2" t="s">
        <v>12</v>
      </c>
      <c r="D4769" s="2" t="s">
        <v>12</v>
      </c>
      <c r="E4769" s="2" t="s">
        <v>12</v>
      </c>
      <c r="F4769" s="2" t="s">
        <v>12</v>
      </c>
      <c r="G4769" s="2" t="s">
        <v>12</v>
      </c>
      <c r="H4769" s="2" t="s">
        <v>12</v>
      </c>
      <c r="I4769" s="2" t="s">
        <v>12</v>
      </c>
      <c r="J4769" s="2" t="s">
        <v>12</v>
      </c>
      <c r="K4769" s="2" t="s">
        <v>12</v>
      </c>
    </row>
    <row r="4770" spans="1:11" ht="12.5" x14ac:dyDescent="0.25">
      <c r="A4770" s="3" t="e">
        <f ca="1"/>
        <v>#NAME?</v>
      </c>
      <c r="B4770" s="2" t="s">
        <v>12</v>
      </c>
      <c r="C4770" s="2" t="s">
        <v>12</v>
      </c>
      <c r="D4770" s="2" t="s">
        <v>12</v>
      </c>
      <c r="E4770" s="2" t="s">
        <v>12</v>
      </c>
      <c r="F4770" s="2" t="s">
        <v>12</v>
      </c>
      <c r="G4770" s="2" t="s">
        <v>12</v>
      </c>
      <c r="H4770" s="2" t="s">
        <v>12</v>
      </c>
      <c r="I4770" s="2" t="s">
        <v>12</v>
      </c>
      <c r="J4770" s="2" t="s">
        <v>12</v>
      </c>
      <c r="K4770" s="2" t="s">
        <v>12</v>
      </c>
    </row>
    <row r="4771" spans="1:11" ht="12.5" x14ac:dyDescent="0.25">
      <c r="A4771" s="3" t="e">
        <f ca="1"/>
        <v>#NAME?</v>
      </c>
      <c r="B4771" s="2" t="s">
        <v>12</v>
      </c>
      <c r="C4771" s="2" t="s">
        <v>12</v>
      </c>
      <c r="D4771" s="2" t="s">
        <v>12</v>
      </c>
      <c r="E4771" s="2" t="s">
        <v>12</v>
      </c>
      <c r="F4771" s="2" t="s">
        <v>12</v>
      </c>
      <c r="G4771" s="2" t="s">
        <v>12</v>
      </c>
      <c r="H4771" s="2" t="s">
        <v>12</v>
      </c>
      <c r="I4771" s="2" t="s">
        <v>12</v>
      </c>
      <c r="J4771" s="2" t="s">
        <v>12</v>
      </c>
      <c r="K4771" s="2" t="s">
        <v>12</v>
      </c>
    </row>
    <row r="4772" spans="1:11" ht="12.5" x14ac:dyDescent="0.25">
      <c r="A4772" s="3" t="e">
        <f ca="1"/>
        <v>#NAME?</v>
      </c>
      <c r="B4772" s="2" t="s">
        <v>12</v>
      </c>
      <c r="C4772" s="2" t="s">
        <v>12</v>
      </c>
      <c r="D4772" s="2" t="s">
        <v>12</v>
      </c>
      <c r="E4772" s="2" t="s">
        <v>12</v>
      </c>
      <c r="F4772" s="2" t="s">
        <v>12</v>
      </c>
      <c r="G4772" s="2" t="s">
        <v>12</v>
      </c>
      <c r="H4772" s="2" t="s">
        <v>12</v>
      </c>
      <c r="I4772" s="2" t="s">
        <v>12</v>
      </c>
      <c r="J4772" s="2" t="s">
        <v>12</v>
      </c>
      <c r="K4772" s="2" t="s">
        <v>12</v>
      </c>
    </row>
    <row r="4773" spans="1:11" ht="12.5" x14ac:dyDescent="0.25">
      <c r="A4773" s="3" t="e">
        <f ca="1"/>
        <v>#NAME?</v>
      </c>
      <c r="B4773" s="2" t="s">
        <v>12</v>
      </c>
      <c r="C4773" s="2" t="s">
        <v>12</v>
      </c>
      <c r="D4773" s="2" t="s">
        <v>12</v>
      </c>
      <c r="E4773" s="2" t="s">
        <v>12</v>
      </c>
      <c r="F4773" s="2" t="s">
        <v>12</v>
      </c>
      <c r="G4773" s="2" t="s">
        <v>12</v>
      </c>
      <c r="H4773" s="2" t="s">
        <v>12</v>
      </c>
      <c r="I4773" s="2" t="s">
        <v>12</v>
      </c>
      <c r="J4773" s="2" t="s">
        <v>12</v>
      </c>
      <c r="K4773" s="2" t="s">
        <v>12</v>
      </c>
    </row>
    <row r="4774" spans="1:11" ht="12.5" x14ac:dyDescent="0.25">
      <c r="A4774" s="3" t="e">
        <f ca="1"/>
        <v>#NAME?</v>
      </c>
      <c r="B4774" s="2" t="s">
        <v>12</v>
      </c>
      <c r="C4774" s="2" t="s">
        <v>12</v>
      </c>
      <c r="D4774" s="2" t="s">
        <v>12</v>
      </c>
      <c r="E4774" s="2" t="s">
        <v>12</v>
      </c>
      <c r="F4774" s="2" t="s">
        <v>12</v>
      </c>
      <c r="G4774" s="2" t="s">
        <v>12</v>
      </c>
      <c r="H4774" s="2" t="s">
        <v>12</v>
      </c>
      <c r="I4774" s="2" t="s">
        <v>12</v>
      </c>
      <c r="J4774" s="2" t="s">
        <v>12</v>
      </c>
      <c r="K4774" s="2" t="s">
        <v>12</v>
      </c>
    </row>
    <row r="4775" spans="1:11" ht="12.5" x14ac:dyDescent="0.25">
      <c r="A4775" s="3" t="e">
        <f ca="1"/>
        <v>#NAME?</v>
      </c>
      <c r="B4775" s="2" t="s">
        <v>12</v>
      </c>
      <c r="C4775" s="2" t="s">
        <v>12</v>
      </c>
      <c r="D4775" s="2" t="s">
        <v>12</v>
      </c>
      <c r="E4775" s="2" t="s">
        <v>12</v>
      </c>
      <c r="F4775" s="2" t="s">
        <v>12</v>
      </c>
      <c r="G4775" s="2" t="s">
        <v>12</v>
      </c>
      <c r="H4775" s="2" t="s">
        <v>12</v>
      </c>
      <c r="I4775" s="2" t="s">
        <v>12</v>
      </c>
      <c r="J4775" s="2" t="s">
        <v>12</v>
      </c>
      <c r="K4775" s="2" t="s">
        <v>12</v>
      </c>
    </row>
    <row r="4776" spans="1:11" ht="12.5" x14ac:dyDescent="0.25">
      <c r="A4776" s="3" t="e">
        <f ca="1"/>
        <v>#NAME?</v>
      </c>
      <c r="B4776" s="2" t="s">
        <v>12</v>
      </c>
      <c r="C4776" s="2" t="s">
        <v>12</v>
      </c>
      <c r="D4776" s="2" t="s">
        <v>12</v>
      </c>
      <c r="E4776" s="2" t="s">
        <v>12</v>
      </c>
      <c r="F4776" s="2" t="s">
        <v>12</v>
      </c>
      <c r="G4776" s="2" t="s">
        <v>12</v>
      </c>
      <c r="H4776" s="2" t="s">
        <v>12</v>
      </c>
      <c r="I4776" s="2" t="s">
        <v>12</v>
      </c>
      <c r="J4776" s="2" t="s">
        <v>12</v>
      </c>
      <c r="K4776" s="2" t="s">
        <v>12</v>
      </c>
    </row>
    <row r="4777" spans="1:11" ht="12.5" x14ac:dyDescent="0.25">
      <c r="A4777" s="3" t="e">
        <f ca="1"/>
        <v>#NAME?</v>
      </c>
      <c r="B4777" s="2" t="s">
        <v>12</v>
      </c>
      <c r="C4777" s="2" t="s">
        <v>12</v>
      </c>
      <c r="D4777" s="2" t="s">
        <v>12</v>
      </c>
      <c r="E4777" s="2" t="s">
        <v>12</v>
      </c>
      <c r="F4777" s="2" t="s">
        <v>12</v>
      </c>
      <c r="G4777" s="2" t="s">
        <v>12</v>
      </c>
      <c r="H4777" s="2" t="s">
        <v>12</v>
      </c>
      <c r="I4777" s="2" t="s">
        <v>12</v>
      </c>
      <c r="J4777" s="2" t="s">
        <v>12</v>
      </c>
      <c r="K4777" s="2" t="s">
        <v>12</v>
      </c>
    </row>
    <row r="4778" spans="1:11" ht="12.5" x14ac:dyDescent="0.25">
      <c r="A4778" s="3" t="e">
        <f ca="1"/>
        <v>#NAME?</v>
      </c>
      <c r="B4778" s="2" t="s">
        <v>12</v>
      </c>
      <c r="C4778" s="2" t="s">
        <v>12</v>
      </c>
      <c r="D4778" s="2" t="s">
        <v>12</v>
      </c>
      <c r="E4778" s="2" t="s">
        <v>12</v>
      </c>
      <c r="F4778" s="2" t="s">
        <v>12</v>
      </c>
      <c r="G4778" s="2" t="s">
        <v>12</v>
      </c>
      <c r="H4778" s="2" t="s">
        <v>12</v>
      </c>
      <c r="I4778" s="2" t="s">
        <v>12</v>
      </c>
      <c r="J4778" s="2" t="s">
        <v>12</v>
      </c>
      <c r="K4778" s="2" t="s">
        <v>12</v>
      </c>
    </row>
    <row r="4779" spans="1:11" ht="12.5" x14ac:dyDescent="0.25">
      <c r="A4779" s="3" t="e">
        <f ca="1"/>
        <v>#NAME?</v>
      </c>
      <c r="B4779" s="2" t="s">
        <v>12</v>
      </c>
      <c r="C4779" s="2" t="s">
        <v>12</v>
      </c>
      <c r="D4779" s="2" t="s">
        <v>12</v>
      </c>
      <c r="E4779" s="2" t="s">
        <v>12</v>
      </c>
      <c r="F4779" s="2" t="s">
        <v>12</v>
      </c>
      <c r="G4779" s="2" t="s">
        <v>12</v>
      </c>
      <c r="H4779" s="2" t="s">
        <v>12</v>
      </c>
      <c r="I4779" s="2" t="s">
        <v>12</v>
      </c>
      <c r="J4779" s="2" t="s">
        <v>12</v>
      </c>
      <c r="K4779" s="2" t="s">
        <v>12</v>
      </c>
    </row>
    <row r="4780" spans="1:11" ht="12.5" x14ac:dyDescent="0.25">
      <c r="A4780" s="3" t="e">
        <f ca="1"/>
        <v>#NAME?</v>
      </c>
      <c r="B4780" s="2" t="s">
        <v>12</v>
      </c>
      <c r="C4780" s="2" t="s">
        <v>12</v>
      </c>
      <c r="D4780" s="2" t="s">
        <v>12</v>
      </c>
      <c r="E4780" s="2" t="s">
        <v>12</v>
      </c>
      <c r="F4780" s="2" t="s">
        <v>12</v>
      </c>
      <c r="G4780" s="2" t="s">
        <v>12</v>
      </c>
      <c r="H4780" s="2" t="s">
        <v>12</v>
      </c>
      <c r="I4780" s="2" t="s">
        <v>12</v>
      </c>
      <c r="J4780" s="2" t="s">
        <v>12</v>
      </c>
      <c r="K4780" s="2" t="s">
        <v>12</v>
      </c>
    </row>
    <row r="4781" spans="1:11" ht="12.5" x14ac:dyDescent="0.25">
      <c r="A4781" s="3" t="e">
        <f ca="1"/>
        <v>#NAME?</v>
      </c>
      <c r="B4781" s="2" t="s">
        <v>12</v>
      </c>
      <c r="C4781" s="2" t="s">
        <v>12</v>
      </c>
      <c r="D4781" s="2" t="s">
        <v>12</v>
      </c>
      <c r="E4781" s="2" t="s">
        <v>12</v>
      </c>
      <c r="F4781" s="2" t="s">
        <v>12</v>
      </c>
      <c r="G4781" s="2" t="s">
        <v>12</v>
      </c>
      <c r="H4781" s="2" t="s">
        <v>12</v>
      </c>
      <c r="I4781" s="2" t="s">
        <v>12</v>
      </c>
      <c r="J4781" s="2" t="s">
        <v>12</v>
      </c>
      <c r="K4781" s="2" t="s">
        <v>12</v>
      </c>
    </row>
    <row r="4782" spans="1:11" ht="12.5" x14ac:dyDescent="0.25">
      <c r="A4782" s="3" t="e">
        <f ca="1"/>
        <v>#NAME?</v>
      </c>
      <c r="B4782" s="2" t="s">
        <v>12</v>
      </c>
      <c r="C4782" s="2" t="s">
        <v>12</v>
      </c>
      <c r="D4782" s="2" t="s">
        <v>12</v>
      </c>
      <c r="E4782" s="2" t="s">
        <v>12</v>
      </c>
      <c r="F4782" s="2" t="s">
        <v>12</v>
      </c>
      <c r="G4782" s="2" t="s">
        <v>12</v>
      </c>
      <c r="H4782" s="2" t="s">
        <v>12</v>
      </c>
      <c r="I4782" s="2" t="s">
        <v>12</v>
      </c>
      <c r="J4782" s="2" t="s">
        <v>12</v>
      </c>
      <c r="K4782" s="2" t="s">
        <v>12</v>
      </c>
    </row>
    <row r="4783" spans="1:11" ht="12.5" x14ac:dyDescent="0.25">
      <c r="A4783" s="3" t="e">
        <f ca="1"/>
        <v>#NAME?</v>
      </c>
      <c r="B4783" s="2" t="s">
        <v>12</v>
      </c>
      <c r="C4783" s="2" t="s">
        <v>12</v>
      </c>
      <c r="D4783" s="2" t="s">
        <v>12</v>
      </c>
      <c r="E4783" s="2" t="s">
        <v>12</v>
      </c>
      <c r="F4783" s="2" t="s">
        <v>12</v>
      </c>
      <c r="G4783" s="2" t="s">
        <v>12</v>
      </c>
      <c r="H4783" s="2" t="s">
        <v>12</v>
      </c>
      <c r="I4783" s="2" t="s">
        <v>12</v>
      </c>
      <c r="J4783" s="2" t="s">
        <v>12</v>
      </c>
      <c r="K4783" s="2" t="s">
        <v>12</v>
      </c>
    </row>
    <row r="4784" spans="1:11" ht="12.5" x14ac:dyDescent="0.25">
      <c r="A4784" s="3" t="e">
        <f ca="1"/>
        <v>#NAME?</v>
      </c>
      <c r="B4784" s="2" t="s">
        <v>12</v>
      </c>
      <c r="C4784" s="2" t="s">
        <v>12</v>
      </c>
      <c r="D4784" s="2" t="s">
        <v>12</v>
      </c>
      <c r="E4784" s="2" t="s">
        <v>12</v>
      </c>
      <c r="F4784" s="2" t="s">
        <v>12</v>
      </c>
      <c r="G4784" s="2" t="s">
        <v>12</v>
      </c>
      <c r="H4784" s="2" t="s">
        <v>12</v>
      </c>
      <c r="I4784" s="2" t="s">
        <v>12</v>
      </c>
      <c r="J4784" s="2" t="s">
        <v>12</v>
      </c>
      <c r="K4784" s="2" t="s">
        <v>12</v>
      </c>
    </row>
    <row r="4785" spans="1:11" ht="12.5" x14ac:dyDescent="0.25">
      <c r="A4785" s="3" t="e">
        <f ca="1"/>
        <v>#NAME?</v>
      </c>
      <c r="B4785" s="2" t="s">
        <v>12</v>
      </c>
      <c r="C4785" s="2" t="s">
        <v>12</v>
      </c>
      <c r="D4785" s="2" t="s">
        <v>12</v>
      </c>
      <c r="E4785" s="2" t="s">
        <v>12</v>
      </c>
      <c r="F4785" s="2" t="s">
        <v>12</v>
      </c>
      <c r="G4785" s="2" t="s">
        <v>12</v>
      </c>
      <c r="H4785" s="2" t="s">
        <v>12</v>
      </c>
      <c r="I4785" s="2" t="s">
        <v>12</v>
      </c>
      <c r="J4785" s="2" t="s">
        <v>12</v>
      </c>
      <c r="K4785" s="2" t="s">
        <v>12</v>
      </c>
    </row>
    <row r="4786" spans="1:11" ht="12.5" x14ac:dyDescent="0.25">
      <c r="A4786" s="3" t="e">
        <f ca="1"/>
        <v>#NAME?</v>
      </c>
      <c r="B4786" s="2" t="s">
        <v>12</v>
      </c>
      <c r="C4786" s="2" t="s">
        <v>12</v>
      </c>
      <c r="D4786" s="2" t="s">
        <v>12</v>
      </c>
      <c r="E4786" s="2" t="s">
        <v>12</v>
      </c>
      <c r="F4786" s="2" t="s">
        <v>12</v>
      </c>
      <c r="G4786" s="2" t="s">
        <v>12</v>
      </c>
      <c r="H4786" s="2" t="s">
        <v>12</v>
      </c>
      <c r="I4786" s="2" t="s">
        <v>12</v>
      </c>
      <c r="J4786" s="2" t="s">
        <v>12</v>
      </c>
      <c r="K4786" s="2" t="s">
        <v>12</v>
      </c>
    </row>
    <row r="4787" spans="1:11" ht="12.5" x14ac:dyDescent="0.25">
      <c r="A4787" s="3" t="e">
        <f ca="1"/>
        <v>#NAME?</v>
      </c>
      <c r="B4787" s="2" t="s">
        <v>12</v>
      </c>
      <c r="C4787" s="2" t="s">
        <v>12</v>
      </c>
      <c r="D4787" s="2" t="s">
        <v>12</v>
      </c>
      <c r="E4787" s="2" t="s">
        <v>12</v>
      </c>
      <c r="F4787" s="2" t="s">
        <v>12</v>
      </c>
      <c r="G4787" s="2" t="s">
        <v>12</v>
      </c>
      <c r="H4787" s="2" t="s">
        <v>12</v>
      </c>
      <c r="I4787" s="2" t="s">
        <v>12</v>
      </c>
      <c r="J4787" s="2" t="s">
        <v>12</v>
      </c>
      <c r="K4787" s="2" t="s">
        <v>12</v>
      </c>
    </row>
    <row r="4788" spans="1:11" ht="12.5" x14ac:dyDescent="0.25">
      <c r="A4788" s="3" t="e">
        <f ca="1"/>
        <v>#NAME?</v>
      </c>
      <c r="B4788" s="2" t="s">
        <v>12</v>
      </c>
      <c r="C4788" s="2" t="s">
        <v>12</v>
      </c>
      <c r="D4788" s="2" t="s">
        <v>12</v>
      </c>
      <c r="E4788" s="2" t="s">
        <v>12</v>
      </c>
      <c r="F4788" s="2" t="s">
        <v>12</v>
      </c>
      <c r="G4788" s="2" t="s">
        <v>12</v>
      </c>
      <c r="H4788" s="2" t="s">
        <v>12</v>
      </c>
      <c r="I4788" s="2" t="s">
        <v>12</v>
      </c>
      <c r="J4788" s="2" t="s">
        <v>12</v>
      </c>
      <c r="K4788" s="2" t="s">
        <v>12</v>
      </c>
    </row>
    <row r="4789" spans="1:11" ht="12.5" x14ac:dyDescent="0.25">
      <c r="A4789" s="3" t="e">
        <f ca="1"/>
        <v>#NAME?</v>
      </c>
      <c r="B4789" s="2" t="s">
        <v>12</v>
      </c>
      <c r="C4789" s="2" t="s">
        <v>12</v>
      </c>
      <c r="D4789" s="2" t="s">
        <v>12</v>
      </c>
      <c r="E4789" s="2" t="s">
        <v>12</v>
      </c>
      <c r="F4789" s="2" t="s">
        <v>12</v>
      </c>
      <c r="G4789" s="2" t="s">
        <v>12</v>
      </c>
      <c r="H4789" s="2" t="s">
        <v>12</v>
      </c>
      <c r="I4789" s="2" t="s">
        <v>12</v>
      </c>
      <c r="J4789" s="2" t="s">
        <v>12</v>
      </c>
      <c r="K4789" s="2" t="s">
        <v>12</v>
      </c>
    </row>
    <row r="4790" spans="1:11" ht="12.5" x14ac:dyDescent="0.25">
      <c r="A4790" s="3" t="e">
        <f ca="1"/>
        <v>#NAME?</v>
      </c>
      <c r="B4790" s="2" t="s">
        <v>12</v>
      </c>
      <c r="C4790" s="2" t="s">
        <v>12</v>
      </c>
      <c r="D4790" s="2" t="s">
        <v>12</v>
      </c>
      <c r="E4790" s="2" t="s">
        <v>12</v>
      </c>
      <c r="F4790" s="2" t="s">
        <v>12</v>
      </c>
      <c r="G4790" s="2" t="s">
        <v>12</v>
      </c>
      <c r="H4790" s="2" t="s">
        <v>12</v>
      </c>
      <c r="I4790" s="2" t="s">
        <v>12</v>
      </c>
      <c r="J4790" s="2" t="s">
        <v>12</v>
      </c>
      <c r="K4790" s="2" t="s">
        <v>12</v>
      </c>
    </row>
    <row r="4791" spans="1:11" ht="12.5" x14ac:dyDescent="0.25">
      <c r="A4791" s="3" t="e">
        <f ca="1"/>
        <v>#NAME?</v>
      </c>
      <c r="B4791" s="2" t="s">
        <v>12</v>
      </c>
      <c r="C4791" s="2" t="s">
        <v>12</v>
      </c>
      <c r="D4791" s="2" t="s">
        <v>12</v>
      </c>
      <c r="E4791" s="2" t="s">
        <v>12</v>
      </c>
      <c r="F4791" s="2" t="s">
        <v>12</v>
      </c>
      <c r="G4791" s="2" t="s">
        <v>12</v>
      </c>
      <c r="H4791" s="2" t="s">
        <v>12</v>
      </c>
      <c r="I4791" s="2" t="s">
        <v>12</v>
      </c>
      <c r="J4791" s="2" t="s">
        <v>12</v>
      </c>
      <c r="K4791" s="2" t="s">
        <v>12</v>
      </c>
    </row>
    <row r="4792" spans="1:11" ht="12.5" x14ac:dyDescent="0.25">
      <c r="A4792" s="3" t="e">
        <f ca="1"/>
        <v>#NAME?</v>
      </c>
      <c r="B4792" s="2" t="s">
        <v>12</v>
      </c>
      <c r="C4792" s="2" t="s">
        <v>12</v>
      </c>
      <c r="D4792" s="2" t="s">
        <v>12</v>
      </c>
      <c r="E4792" s="2" t="s">
        <v>12</v>
      </c>
      <c r="F4792" s="2" t="s">
        <v>12</v>
      </c>
      <c r="G4792" s="2" t="s">
        <v>12</v>
      </c>
      <c r="H4792" s="2" t="s">
        <v>12</v>
      </c>
      <c r="I4792" s="2" t="s">
        <v>12</v>
      </c>
      <c r="J4792" s="2" t="s">
        <v>12</v>
      </c>
      <c r="K4792" s="2" t="s">
        <v>12</v>
      </c>
    </row>
    <row r="4793" spans="1:11" ht="12.5" x14ac:dyDescent="0.25">
      <c r="A4793" s="3" t="e">
        <f ca="1"/>
        <v>#NAME?</v>
      </c>
      <c r="B4793" s="2" t="s">
        <v>12</v>
      </c>
      <c r="C4793" s="2" t="s">
        <v>12</v>
      </c>
      <c r="D4793" s="2" t="s">
        <v>12</v>
      </c>
      <c r="E4793" s="2" t="s">
        <v>12</v>
      </c>
      <c r="F4793" s="2" t="s">
        <v>12</v>
      </c>
      <c r="G4793" s="2" t="s">
        <v>12</v>
      </c>
      <c r="H4793" s="2" t="s">
        <v>12</v>
      </c>
      <c r="I4793" s="2" t="s">
        <v>12</v>
      </c>
      <c r="J4793" s="2" t="s">
        <v>12</v>
      </c>
      <c r="K4793" s="2" t="s">
        <v>12</v>
      </c>
    </row>
    <row r="4794" spans="1:11" ht="12.5" x14ac:dyDescent="0.25">
      <c r="A4794" s="3" t="e">
        <f ca="1"/>
        <v>#NAME?</v>
      </c>
      <c r="B4794" s="2" t="s">
        <v>12</v>
      </c>
      <c r="C4794" s="2" t="s">
        <v>12</v>
      </c>
      <c r="D4794" s="2" t="s">
        <v>12</v>
      </c>
      <c r="E4794" s="2" t="s">
        <v>12</v>
      </c>
      <c r="F4794" s="2" t="s">
        <v>12</v>
      </c>
      <c r="G4794" s="2" t="s">
        <v>12</v>
      </c>
      <c r="H4794" s="2" t="s">
        <v>12</v>
      </c>
      <c r="I4794" s="2" t="s">
        <v>12</v>
      </c>
      <c r="J4794" s="2" t="s">
        <v>12</v>
      </c>
      <c r="K4794" s="2" t="s">
        <v>12</v>
      </c>
    </row>
    <row r="4795" spans="1:11" ht="12.5" x14ac:dyDescent="0.25">
      <c r="A4795" s="3" t="e">
        <f ca="1"/>
        <v>#NAME?</v>
      </c>
      <c r="B4795" s="2" t="s">
        <v>12</v>
      </c>
      <c r="C4795" s="2" t="s">
        <v>12</v>
      </c>
      <c r="D4795" s="2" t="s">
        <v>12</v>
      </c>
      <c r="E4795" s="2" t="s">
        <v>12</v>
      </c>
      <c r="F4795" s="2" t="s">
        <v>12</v>
      </c>
      <c r="G4795" s="2" t="s">
        <v>12</v>
      </c>
      <c r="H4795" s="2" t="s">
        <v>12</v>
      </c>
      <c r="I4795" s="2" t="s">
        <v>12</v>
      </c>
      <c r="J4795" s="2" t="s">
        <v>12</v>
      </c>
      <c r="K4795" s="2" t="s">
        <v>12</v>
      </c>
    </row>
    <row r="4796" spans="1:11" ht="12.5" x14ac:dyDescent="0.25">
      <c r="A4796" s="3" t="e">
        <f ca="1"/>
        <v>#NAME?</v>
      </c>
      <c r="B4796" s="2" t="s">
        <v>12</v>
      </c>
      <c r="C4796" s="2" t="s">
        <v>12</v>
      </c>
      <c r="D4796" s="2" t="s">
        <v>12</v>
      </c>
      <c r="E4796" s="2" t="s">
        <v>12</v>
      </c>
      <c r="F4796" s="2" t="s">
        <v>12</v>
      </c>
      <c r="G4796" s="2" t="s">
        <v>12</v>
      </c>
      <c r="H4796" s="2" t="s">
        <v>12</v>
      </c>
      <c r="I4796" s="2" t="s">
        <v>12</v>
      </c>
      <c r="J4796" s="2" t="s">
        <v>12</v>
      </c>
      <c r="K4796" s="2" t="s">
        <v>12</v>
      </c>
    </row>
    <row r="4797" spans="1:11" ht="12.5" x14ac:dyDescent="0.25">
      <c r="A4797" s="3" t="e">
        <f ca="1"/>
        <v>#NAME?</v>
      </c>
      <c r="B4797" s="2" t="s">
        <v>12</v>
      </c>
      <c r="C4797" s="2" t="s">
        <v>12</v>
      </c>
      <c r="D4797" s="2" t="s">
        <v>12</v>
      </c>
      <c r="E4797" s="2" t="s">
        <v>12</v>
      </c>
      <c r="F4797" s="2" t="s">
        <v>12</v>
      </c>
      <c r="G4797" s="2" t="s">
        <v>12</v>
      </c>
      <c r="H4797" s="2" t="s">
        <v>12</v>
      </c>
      <c r="I4797" s="2" t="s">
        <v>12</v>
      </c>
      <c r="J4797" s="2" t="s">
        <v>12</v>
      </c>
      <c r="K4797" s="2" t="s">
        <v>12</v>
      </c>
    </row>
    <row r="4798" spans="1:11" ht="12.5" x14ac:dyDescent="0.25">
      <c r="A4798" s="3" t="e">
        <f ca="1"/>
        <v>#NAME?</v>
      </c>
      <c r="B4798" s="2" t="s">
        <v>12</v>
      </c>
      <c r="C4798" s="2" t="s">
        <v>12</v>
      </c>
      <c r="D4798" s="2" t="s">
        <v>12</v>
      </c>
      <c r="E4798" s="2" t="s">
        <v>12</v>
      </c>
      <c r="F4798" s="2" t="s">
        <v>12</v>
      </c>
      <c r="G4798" s="2" t="s">
        <v>12</v>
      </c>
      <c r="H4798" s="2" t="s">
        <v>12</v>
      </c>
      <c r="I4798" s="2" t="s">
        <v>12</v>
      </c>
      <c r="J4798" s="2" t="s">
        <v>12</v>
      </c>
      <c r="K4798" s="2" t="s">
        <v>12</v>
      </c>
    </row>
    <row r="4799" spans="1:11" ht="12.5" x14ac:dyDescent="0.25">
      <c r="A4799" s="3" t="e">
        <f ca="1"/>
        <v>#NAME?</v>
      </c>
      <c r="B4799" s="2" t="s">
        <v>12</v>
      </c>
      <c r="C4799" s="2" t="s">
        <v>12</v>
      </c>
      <c r="D4799" s="2" t="s">
        <v>12</v>
      </c>
      <c r="E4799" s="2" t="s">
        <v>12</v>
      </c>
      <c r="F4799" s="2" t="s">
        <v>12</v>
      </c>
      <c r="G4799" s="2" t="s">
        <v>12</v>
      </c>
      <c r="H4799" s="2" t="s">
        <v>12</v>
      </c>
      <c r="I4799" s="2" t="s">
        <v>12</v>
      </c>
      <c r="J4799" s="2" t="s">
        <v>12</v>
      </c>
      <c r="K4799" s="2" t="s">
        <v>12</v>
      </c>
    </row>
    <row r="4800" spans="1:11" ht="12.5" x14ac:dyDescent="0.25">
      <c r="A4800" s="3" t="e">
        <f ca="1"/>
        <v>#NAME?</v>
      </c>
      <c r="B4800" s="2" t="s">
        <v>12</v>
      </c>
      <c r="C4800" s="2" t="s">
        <v>12</v>
      </c>
      <c r="D4800" s="2" t="s">
        <v>12</v>
      </c>
      <c r="E4800" s="2" t="s">
        <v>12</v>
      </c>
      <c r="F4800" s="2" t="s">
        <v>12</v>
      </c>
      <c r="G4800" s="2" t="s">
        <v>12</v>
      </c>
      <c r="H4800" s="2" t="s">
        <v>12</v>
      </c>
      <c r="I4800" s="2" t="s">
        <v>12</v>
      </c>
      <c r="J4800" s="2" t="s">
        <v>12</v>
      </c>
      <c r="K4800" s="2" t="s">
        <v>12</v>
      </c>
    </row>
    <row r="4801" spans="1:11" ht="12.5" x14ac:dyDescent="0.25">
      <c r="A4801" s="3" t="e">
        <f ca="1"/>
        <v>#NAME?</v>
      </c>
      <c r="B4801" s="2" t="s">
        <v>12</v>
      </c>
      <c r="C4801" s="2" t="s">
        <v>12</v>
      </c>
      <c r="D4801" s="2" t="s">
        <v>12</v>
      </c>
      <c r="E4801" s="2" t="s">
        <v>12</v>
      </c>
      <c r="F4801" s="2" t="s">
        <v>12</v>
      </c>
      <c r="G4801" s="2" t="s">
        <v>12</v>
      </c>
      <c r="H4801" s="2" t="s">
        <v>12</v>
      </c>
      <c r="I4801" s="2" t="s">
        <v>12</v>
      </c>
      <c r="J4801" s="2" t="s">
        <v>12</v>
      </c>
      <c r="K4801" s="2" t="s">
        <v>12</v>
      </c>
    </row>
    <row r="4802" spans="1:11" ht="12.5" x14ac:dyDescent="0.25">
      <c r="A4802" s="3" t="e">
        <f ca="1"/>
        <v>#NAME?</v>
      </c>
      <c r="B4802" s="2" t="s">
        <v>12</v>
      </c>
      <c r="C4802" s="2" t="s">
        <v>12</v>
      </c>
      <c r="D4802" s="2" t="s">
        <v>12</v>
      </c>
      <c r="E4802" s="2" t="s">
        <v>12</v>
      </c>
      <c r="F4802" s="2" t="s">
        <v>12</v>
      </c>
      <c r="G4802" s="2" t="s">
        <v>12</v>
      </c>
      <c r="H4802" s="2" t="s">
        <v>12</v>
      </c>
      <c r="I4802" s="2" t="s">
        <v>12</v>
      </c>
      <c r="J4802" s="2" t="s">
        <v>12</v>
      </c>
      <c r="K4802" s="2" t="s">
        <v>12</v>
      </c>
    </row>
    <row r="4803" spans="1:11" ht="12.5" x14ac:dyDescent="0.25">
      <c r="A4803" s="3" t="e">
        <f ca="1"/>
        <v>#NAME?</v>
      </c>
      <c r="B4803" s="2" t="s">
        <v>12</v>
      </c>
      <c r="C4803" s="2" t="s">
        <v>12</v>
      </c>
      <c r="D4803" s="2" t="s">
        <v>12</v>
      </c>
      <c r="E4803" s="2" t="s">
        <v>12</v>
      </c>
      <c r="F4803" s="2" t="s">
        <v>12</v>
      </c>
      <c r="G4803" s="2" t="s">
        <v>12</v>
      </c>
      <c r="H4803" s="2" t="s">
        <v>12</v>
      </c>
      <c r="I4803" s="2" t="s">
        <v>12</v>
      </c>
      <c r="J4803" s="2" t="s">
        <v>12</v>
      </c>
      <c r="K4803" s="2" t="s">
        <v>12</v>
      </c>
    </row>
    <row r="4804" spans="1:11" ht="12.5" x14ac:dyDescent="0.25">
      <c r="A4804" s="3" t="e">
        <f ca="1"/>
        <v>#NAME?</v>
      </c>
      <c r="B4804" s="2" t="s">
        <v>12</v>
      </c>
      <c r="C4804" s="2" t="s">
        <v>12</v>
      </c>
      <c r="D4804" s="2" t="s">
        <v>12</v>
      </c>
      <c r="E4804" s="2" t="s">
        <v>12</v>
      </c>
      <c r="F4804" s="2" t="s">
        <v>12</v>
      </c>
      <c r="G4804" s="2" t="s">
        <v>12</v>
      </c>
      <c r="H4804" s="2" t="s">
        <v>12</v>
      </c>
      <c r="I4804" s="2" t="s">
        <v>12</v>
      </c>
      <c r="J4804" s="2" t="s">
        <v>12</v>
      </c>
      <c r="K4804" s="2" t="s">
        <v>12</v>
      </c>
    </row>
    <row r="4805" spans="1:11" ht="12.5" x14ac:dyDescent="0.25">
      <c r="A4805" s="3" t="e">
        <f ca="1"/>
        <v>#NAME?</v>
      </c>
      <c r="B4805" s="2" t="s">
        <v>12</v>
      </c>
      <c r="C4805" s="2" t="s">
        <v>12</v>
      </c>
      <c r="D4805" s="2" t="s">
        <v>12</v>
      </c>
      <c r="E4805" s="2" t="s">
        <v>12</v>
      </c>
      <c r="F4805" s="2" t="s">
        <v>12</v>
      </c>
      <c r="G4805" s="2" t="s">
        <v>12</v>
      </c>
      <c r="H4805" s="2" t="s">
        <v>12</v>
      </c>
      <c r="I4805" s="2" t="s">
        <v>12</v>
      </c>
      <c r="J4805" s="2" t="s">
        <v>12</v>
      </c>
      <c r="K4805" s="2" t="s">
        <v>12</v>
      </c>
    </row>
    <row r="4806" spans="1:11" ht="12.5" x14ac:dyDescent="0.25">
      <c r="A4806" s="3" t="e">
        <f ca="1"/>
        <v>#NAME?</v>
      </c>
      <c r="B4806" s="2" t="s">
        <v>12</v>
      </c>
      <c r="C4806" s="2" t="s">
        <v>12</v>
      </c>
      <c r="D4806" s="2" t="s">
        <v>12</v>
      </c>
      <c r="E4806" s="2" t="s">
        <v>12</v>
      </c>
      <c r="F4806" s="2" t="s">
        <v>12</v>
      </c>
      <c r="G4806" s="2" t="s">
        <v>12</v>
      </c>
      <c r="H4806" s="2" t="s">
        <v>12</v>
      </c>
      <c r="I4806" s="2" t="s">
        <v>12</v>
      </c>
      <c r="J4806" s="2" t="s">
        <v>12</v>
      </c>
      <c r="K4806" s="2" t="s">
        <v>12</v>
      </c>
    </row>
    <row r="4807" spans="1:11" ht="12.5" x14ac:dyDescent="0.25">
      <c r="A4807" s="3" t="e">
        <f ca="1"/>
        <v>#NAME?</v>
      </c>
      <c r="B4807" s="2" t="s">
        <v>12</v>
      </c>
      <c r="C4807" s="2" t="s">
        <v>12</v>
      </c>
      <c r="D4807" s="2" t="s">
        <v>12</v>
      </c>
      <c r="E4807" s="2" t="s">
        <v>12</v>
      </c>
      <c r="F4807" s="2" t="s">
        <v>12</v>
      </c>
      <c r="G4807" s="2" t="s">
        <v>12</v>
      </c>
      <c r="H4807" s="2" t="s">
        <v>12</v>
      </c>
      <c r="I4807" s="2" t="s">
        <v>12</v>
      </c>
      <c r="J4807" s="2" t="s">
        <v>12</v>
      </c>
      <c r="K4807" s="2" t="s">
        <v>12</v>
      </c>
    </row>
    <row r="4808" spans="1:11" ht="12.5" x14ac:dyDescent="0.25">
      <c r="A4808" s="3" t="e">
        <f ca="1"/>
        <v>#NAME?</v>
      </c>
      <c r="B4808" s="2" t="s">
        <v>12</v>
      </c>
      <c r="C4808" s="2" t="s">
        <v>12</v>
      </c>
      <c r="D4808" s="2" t="s">
        <v>12</v>
      </c>
      <c r="E4808" s="2" t="s">
        <v>12</v>
      </c>
      <c r="F4808" s="2" t="s">
        <v>12</v>
      </c>
      <c r="G4808" s="2" t="s">
        <v>12</v>
      </c>
      <c r="H4808" s="2" t="s">
        <v>12</v>
      </c>
      <c r="I4808" s="2" t="s">
        <v>12</v>
      </c>
      <c r="J4808" s="2" t="s">
        <v>12</v>
      </c>
      <c r="K4808" s="2" t="s">
        <v>12</v>
      </c>
    </row>
    <row r="4809" spans="1:11" ht="12.5" x14ac:dyDescent="0.25">
      <c r="A4809" s="3" t="e">
        <f ca="1"/>
        <v>#NAME?</v>
      </c>
      <c r="B4809" s="2" t="s">
        <v>12</v>
      </c>
      <c r="C4809" s="2" t="s">
        <v>12</v>
      </c>
      <c r="D4809" s="2" t="s">
        <v>12</v>
      </c>
      <c r="E4809" s="2" t="s">
        <v>12</v>
      </c>
      <c r="F4809" s="2" t="s">
        <v>12</v>
      </c>
      <c r="G4809" s="2" t="s">
        <v>12</v>
      </c>
      <c r="H4809" s="2" t="s">
        <v>12</v>
      </c>
      <c r="I4809" s="2" t="s">
        <v>12</v>
      </c>
      <c r="J4809" s="2" t="s">
        <v>12</v>
      </c>
      <c r="K4809" s="2" t="s">
        <v>12</v>
      </c>
    </row>
    <row r="4810" spans="1:11" ht="12.5" x14ac:dyDescent="0.25">
      <c r="A4810" s="3" t="e">
        <f ca="1"/>
        <v>#NAME?</v>
      </c>
      <c r="B4810" s="2" t="s">
        <v>12</v>
      </c>
      <c r="C4810" s="2" t="s">
        <v>12</v>
      </c>
      <c r="D4810" s="2" t="s">
        <v>12</v>
      </c>
      <c r="E4810" s="2" t="s">
        <v>12</v>
      </c>
      <c r="F4810" s="2" t="s">
        <v>12</v>
      </c>
      <c r="G4810" s="2" t="s">
        <v>12</v>
      </c>
      <c r="H4810" s="2" t="s">
        <v>12</v>
      </c>
      <c r="I4810" s="2" t="s">
        <v>12</v>
      </c>
      <c r="J4810" s="2" t="s">
        <v>12</v>
      </c>
      <c r="K4810" s="2" t="s">
        <v>12</v>
      </c>
    </row>
    <row r="4811" spans="1:11" ht="12.5" x14ac:dyDescent="0.25">
      <c r="A4811" s="3" t="e">
        <f ca="1"/>
        <v>#NAME?</v>
      </c>
      <c r="B4811" s="2" t="s">
        <v>12</v>
      </c>
      <c r="C4811" s="2" t="s">
        <v>12</v>
      </c>
      <c r="D4811" s="2" t="s">
        <v>12</v>
      </c>
      <c r="E4811" s="2" t="s">
        <v>12</v>
      </c>
      <c r="F4811" s="2" t="s">
        <v>12</v>
      </c>
      <c r="G4811" s="2" t="s">
        <v>12</v>
      </c>
      <c r="H4811" s="2" t="s">
        <v>12</v>
      </c>
      <c r="I4811" s="2" t="s">
        <v>12</v>
      </c>
      <c r="J4811" s="2" t="s">
        <v>12</v>
      </c>
      <c r="K4811" s="2" t="s">
        <v>12</v>
      </c>
    </row>
    <row r="4812" spans="1:11" ht="12.5" x14ac:dyDescent="0.25">
      <c r="A4812" s="3" t="e">
        <f ca="1"/>
        <v>#NAME?</v>
      </c>
      <c r="B4812" s="2" t="s">
        <v>12</v>
      </c>
      <c r="C4812" s="2" t="s">
        <v>12</v>
      </c>
      <c r="D4812" s="2" t="s">
        <v>12</v>
      </c>
      <c r="E4812" s="2" t="s">
        <v>12</v>
      </c>
      <c r="F4812" s="2" t="s">
        <v>12</v>
      </c>
      <c r="G4812" s="2" t="s">
        <v>12</v>
      </c>
      <c r="H4812" s="2" t="s">
        <v>12</v>
      </c>
      <c r="I4812" s="2" t="s">
        <v>12</v>
      </c>
      <c r="J4812" s="2" t="s">
        <v>12</v>
      </c>
      <c r="K4812" s="2" t="s">
        <v>12</v>
      </c>
    </row>
    <row r="4813" spans="1:11" ht="12.5" x14ac:dyDescent="0.25">
      <c r="A4813" s="3" t="e">
        <f ca="1"/>
        <v>#NAME?</v>
      </c>
      <c r="B4813" s="2" t="s">
        <v>12</v>
      </c>
      <c r="C4813" s="2" t="s">
        <v>12</v>
      </c>
      <c r="D4813" s="2" t="s">
        <v>12</v>
      </c>
      <c r="E4813" s="2" t="s">
        <v>12</v>
      </c>
      <c r="F4813" s="2" t="s">
        <v>12</v>
      </c>
      <c r="G4813" s="2" t="s">
        <v>12</v>
      </c>
      <c r="H4813" s="2" t="s">
        <v>12</v>
      </c>
      <c r="I4813" s="2" t="s">
        <v>12</v>
      </c>
      <c r="J4813" s="2" t="s">
        <v>12</v>
      </c>
      <c r="K4813" s="2" t="s">
        <v>12</v>
      </c>
    </row>
    <row r="4814" spans="1:11" ht="12.5" x14ac:dyDescent="0.25">
      <c r="A4814" s="3" t="e">
        <f ca="1"/>
        <v>#NAME?</v>
      </c>
      <c r="B4814" s="2" t="s">
        <v>12</v>
      </c>
      <c r="C4814" s="2" t="s">
        <v>12</v>
      </c>
      <c r="D4814" s="2" t="s">
        <v>12</v>
      </c>
      <c r="E4814" s="2" t="s">
        <v>12</v>
      </c>
      <c r="F4814" s="2" t="s">
        <v>12</v>
      </c>
      <c r="G4814" s="2" t="s">
        <v>12</v>
      </c>
      <c r="H4814" s="2" t="s">
        <v>12</v>
      </c>
      <c r="I4814" s="2" t="s">
        <v>12</v>
      </c>
      <c r="J4814" s="2" t="s">
        <v>12</v>
      </c>
      <c r="K4814" s="2" t="s">
        <v>12</v>
      </c>
    </row>
    <row r="4815" spans="1:11" ht="12.5" x14ac:dyDescent="0.25">
      <c r="A4815" s="3" t="e">
        <f ca="1"/>
        <v>#NAME?</v>
      </c>
      <c r="B4815" s="2" t="s">
        <v>12</v>
      </c>
      <c r="C4815" s="2" t="s">
        <v>12</v>
      </c>
      <c r="D4815" s="2" t="s">
        <v>12</v>
      </c>
      <c r="E4815" s="2" t="s">
        <v>12</v>
      </c>
      <c r="F4815" s="2" t="s">
        <v>12</v>
      </c>
      <c r="G4815" s="2" t="s">
        <v>12</v>
      </c>
      <c r="H4815" s="2" t="s">
        <v>12</v>
      </c>
      <c r="I4815" s="2" t="s">
        <v>12</v>
      </c>
      <c r="J4815" s="2" t="s">
        <v>12</v>
      </c>
      <c r="K4815" s="2" t="s">
        <v>12</v>
      </c>
    </row>
    <row r="4816" spans="1:11" ht="12.5" x14ac:dyDescent="0.25">
      <c r="A4816" s="3" t="e">
        <f ca="1"/>
        <v>#NAME?</v>
      </c>
      <c r="B4816" s="2" t="s">
        <v>12</v>
      </c>
      <c r="C4816" s="2" t="s">
        <v>12</v>
      </c>
      <c r="D4816" s="2" t="s">
        <v>12</v>
      </c>
      <c r="E4816" s="2" t="s">
        <v>12</v>
      </c>
      <c r="F4816" s="2" t="s">
        <v>12</v>
      </c>
      <c r="G4816" s="2" t="s">
        <v>12</v>
      </c>
      <c r="H4816" s="2" t="s">
        <v>12</v>
      </c>
      <c r="I4816" s="2" t="s">
        <v>12</v>
      </c>
      <c r="J4816" s="2" t="s">
        <v>12</v>
      </c>
      <c r="K4816" s="2" t="s">
        <v>12</v>
      </c>
    </row>
    <row r="4817" spans="1:11" ht="12.5" x14ac:dyDescent="0.25">
      <c r="A4817" s="3" t="e">
        <f ca="1"/>
        <v>#NAME?</v>
      </c>
      <c r="B4817" s="2" t="s">
        <v>12</v>
      </c>
      <c r="C4817" s="2" t="s">
        <v>12</v>
      </c>
      <c r="D4817" s="2" t="s">
        <v>12</v>
      </c>
      <c r="E4817" s="2" t="s">
        <v>12</v>
      </c>
      <c r="F4817" s="2" t="s">
        <v>12</v>
      </c>
      <c r="G4817" s="2" t="s">
        <v>12</v>
      </c>
      <c r="H4817" s="2" t="s">
        <v>12</v>
      </c>
      <c r="I4817" s="2" t="s">
        <v>12</v>
      </c>
      <c r="J4817" s="2" t="s">
        <v>12</v>
      </c>
      <c r="K4817" s="2" t="s">
        <v>12</v>
      </c>
    </row>
    <row r="4818" spans="1:11" ht="12.5" x14ac:dyDescent="0.25">
      <c r="A4818" s="3" t="e">
        <f ca="1"/>
        <v>#NAME?</v>
      </c>
      <c r="B4818" s="2" t="s">
        <v>12</v>
      </c>
      <c r="C4818" s="2" t="s">
        <v>12</v>
      </c>
      <c r="D4818" s="2" t="s">
        <v>12</v>
      </c>
      <c r="E4818" s="2" t="s">
        <v>12</v>
      </c>
      <c r="F4818" s="2" t="s">
        <v>12</v>
      </c>
      <c r="G4818" s="2" t="s">
        <v>12</v>
      </c>
      <c r="H4818" s="2" t="s">
        <v>12</v>
      </c>
      <c r="I4818" s="2" t="s">
        <v>12</v>
      </c>
      <c r="J4818" s="2" t="s">
        <v>12</v>
      </c>
      <c r="K4818" s="2" t="s">
        <v>12</v>
      </c>
    </row>
    <row r="4819" spans="1:11" ht="12.5" x14ac:dyDescent="0.25">
      <c r="A4819" s="3" t="e">
        <f ca="1"/>
        <v>#NAME?</v>
      </c>
      <c r="B4819" s="2" t="s">
        <v>12</v>
      </c>
      <c r="C4819" s="2" t="s">
        <v>12</v>
      </c>
      <c r="D4819" s="2" t="s">
        <v>12</v>
      </c>
      <c r="E4819" s="2" t="s">
        <v>12</v>
      </c>
      <c r="F4819" s="2" t="s">
        <v>12</v>
      </c>
      <c r="G4819" s="2" t="s">
        <v>12</v>
      </c>
      <c r="H4819" s="2" t="s">
        <v>12</v>
      </c>
      <c r="I4819" s="2" t="s">
        <v>12</v>
      </c>
      <c r="J4819" s="2" t="s">
        <v>12</v>
      </c>
      <c r="K4819" s="2" t="s">
        <v>12</v>
      </c>
    </row>
    <row r="4820" spans="1:11" ht="12.5" x14ac:dyDescent="0.25">
      <c r="A4820" s="3" t="e">
        <f ca="1"/>
        <v>#NAME?</v>
      </c>
      <c r="B4820" s="2" t="s">
        <v>12</v>
      </c>
      <c r="C4820" s="2" t="s">
        <v>12</v>
      </c>
      <c r="D4820" s="2" t="s">
        <v>12</v>
      </c>
      <c r="E4820" s="2" t="s">
        <v>12</v>
      </c>
      <c r="F4820" s="2" t="s">
        <v>12</v>
      </c>
      <c r="G4820" s="2" t="s">
        <v>12</v>
      </c>
      <c r="H4820" s="2" t="s">
        <v>12</v>
      </c>
      <c r="I4820" s="2" t="s">
        <v>12</v>
      </c>
      <c r="J4820" s="2" t="s">
        <v>12</v>
      </c>
      <c r="K4820" s="2" t="s">
        <v>12</v>
      </c>
    </row>
    <row r="4821" spans="1:11" ht="12.5" x14ac:dyDescent="0.25">
      <c r="A4821" s="3" t="e">
        <f ca="1"/>
        <v>#NAME?</v>
      </c>
      <c r="B4821" s="2" t="s">
        <v>12</v>
      </c>
      <c r="C4821" s="2" t="s">
        <v>12</v>
      </c>
      <c r="D4821" s="2" t="s">
        <v>12</v>
      </c>
      <c r="E4821" s="2" t="s">
        <v>12</v>
      </c>
      <c r="F4821" s="2" t="s">
        <v>12</v>
      </c>
      <c r="G4821" s="2" t="s">
        <v>12</v>
      </c>
      <c r="H4821" s="2" t="s">
        <v>12</v>
      </c>
      <c r="I4821" s="2" t="s">
        <v>12</v>
      </c>
      <c r="J4821" s="2" t="s">
        <v>12</v>
      </c>
      <c r="K4821" s="2" t="s">
        <v>12</v>
      </c>
    </row>
    <row r="4822" spans="1:11" ht="12.5" x14ac:dyDescent="0.25">
      <c r="A4822" s="3" t="e">
        <f ca="1"/>
        <v>#NAME?</v>
      </c>
      <c r="B4822" s="2" t="s">
        <v>12</v>
      </c>
      <c r="C4822" s="2" t="s">
        <v>12</v>
      </c>
      <c r="D4822" s="2" t="s">
        <v>12</v>
      </c>
      <c r="E4822" s="2" t="s">
        <v>12</v>
      </c>
      <c r="F4822" s="2" t="s">
        <v>12</v>
      </c>
      <c r="G4822" s="2" t="s">
        <v>12</v>
      </c>
      <c r="H4822" s="2" t="s">
        <v>12</v>
      </c>
      <c r="I4822" s="2" t="s">
        <v>12</v>
      </c>
      <c r="J4822" s="2" t="s">
        <v>12</v>
      </c>
      <c r="K4822" s="2" t="s">
        <v>12</v>
      </c>
    </row>
    <row r="4823" spans="1:11" ht="12.5" x14ac:dyDescent="0.25">
      <c r="A4823" s="3" t="e">
        <f ca="1"/>
        <v>#NAME?</v>
      </c>
      <c r="B4823" s="2" t="s">
        <v>12</v>
      </c>
      <c r="C4823" s="2" t="s">
        <v>12</v>
      </c>
      <c r="D4823" s="2" t="s">
        <v>12</v>
      </c>
      <c r="E4823" s="2" t="s">
        <v>12</v>
      </c>
      <c r="F4823" s="2" t="s">
        <v>12</v>
      </c>
      <c r="G4823" s="2" t="s">
        <v>12</v>
      </c>
      <c r="H4823" s="2" t="s">
        <v>12</v>
      </c>
      <c r="I4823" s="2" t="s">
        <v>12</v>
      </c>
      <c r="J4823" s="2" t="s">
        <v>12</v>
      </c>
      <c r="K4823" s="2" t="s">
        <v>12</v>
      </c>
    </row>
    <row r="4824" spans="1:11" ht="12.5" x14ac:dyDescent="0.25">
      <c r="A4824" s="3" t="e">
        <f ca="1"/>
        <v>#NAME?</v>
      </c>
      <c r="B4824" s="2" t="s">
        <v>12</v>
      </c>
      <c r="C4824" s="2" t="s">
        <v>12</v>
      </c>
      <c r="D4824" s="2" t="s">
        <v>12</v>
      </c>
      <c r="E4824" s="2" t="s">
        <v>12</v>
      </c>
      <c r="F4824" s="2" t="s">
        <v>12</v>
      </c>
      <c r="G4824" s="2" t="s">
        <v>12</v>
      </c>
      <c r="H4824" s="2" t="s">
        <v>12</v>
      </c>
      <c r="I4824" s="2" t="s">
        <v>12</v>
      </c>
      <c r="J4824" s="2" t="s">
        <v>12</v>
      </c>
      <c r="K4824" s="2" t="s">
        <v>12</v>
      </c>
    </row>
    <row r="4825" spans="1:11" ht="12.5" x14ac:dyDescent="0.25">
      <c r="A4825" s="3" t="e">
        <f ca="1"/>
        <v>#NAME?</v>
      </c>
      <c r="B4825" s="2" t="s">
        <v>12</v>
      </c>
      <c r="C4825" s="2" t="s">
        <v>12</v>
      </c>
      <c r="D4825" s="2" t="s">
        <v>12</v>
      </c>
      <c r="E4825" s="2" t="s">
        <v>12</v>
      </c>
      <c r="F4825" s="2" t="s">
        <v>12</v>
      </c>
      <c r="G4825" s="2" t="s">
        <v>12</v>
      </c>
      <c r="H4825" s="2" t="s">
        <v>12</v>
      </c>
      <c r="I4825" s="2" t="s">
        <v>12</v>
      </c>
      <c r="J4825" s="2" t="s">
        <v>12</v>
      </c>
      <c r="K4825" s="2" t="s">
        <v>12</v>
      </c>
    </row>
    <row r="4826" spans="1:11" ht="12.5" x14ac:dyDescent="0.25">
      <c r="A4826" s="3" t="e">
        <f ca="1"/>
        <v>#NAME?</v>
      </c>
      <c r="B4826" s="2" t="s">
        <v>12</v>
      </c>
      <c r="C4826" s="2" t="s">
        <v>12</v>
      </c>
      <c r="D4826" s="2" t="s">
        <v>12</v>
      </c>
      <c r="E4826" s="2" t="s">
        <v>12</v>
      </c>
      <c r="F4826" s="2" t="s">
        <v>12</v>
      </c>
      <c r="G4826" s="2" t="s">
        <v>12</v>
      </c>
      <c r="H4826" s="2" t="s">
        <v>12</v>
      </c>
      <c r="I4826" s="2" t="s">
        <v>12</v>
      </c>
      <c r="J4826" s="2" t="s">
        <v>12</v>
      </c>
      <c r="K4826" s="2" t="s">
        <v>12</v>
      </c>
    </row>
    <row r="4827" spans="1:11" ht="12.5" x14ac:dyDescent="0.25">
      <c r="A4827" s="3" t="e">
        <f ca="1"/>
        <v>#NAME?</v>
      </c>
      <c r="B4827" s="2" t="s">
        <v>12</v>
      </c>
      <c r="C4827" s="2" t="s">
        <v>12</v>
      </c>
      <c r="D4827" s="2" t="s">
        <v>12</v>
      </c>
      <c r="E4827" s="2" t="s">
        <v>12</v>
      </c>
      <c r="F4827" s="2" t="s">
        <v>12</v>
      </c>
      <c r="G4827" s="2" t="s">
        <v>12</v>
      </c>
      <c r="H4827" s="2" t="s">
        <v>12</v>
      </c>
      <c r="I4827" s="2" t="s">
        <v>12</v>
      </c>
      <c r="J4827" s="2" t="s">
        <v>12</v>
      </c>
      <c r="K4827" s="2" t="s">
        <v>12</v>
      </c>
    </row>
    <row r="4828" spans="1:11" ht="12.5" x14ac:dyDescent="0.25">
      <c r="A4828" s="3" t="e">
        <f ca="1"/>
        <v>#NAME?</v>
      </c>
      <c r="B4828" s="2" t="s">
        <v>12</v>
      </c>
      <c r="C4828" s="2" t="s">
        <v>12</v>
      </c>
      <c r="D4828" s="2" t="s">
        <v>12</v>
      </c>
      <c r="E4828" s="2" t="s">
        <v>12</v>
      </c>
      <c r="F4828" s="2" t="s">
        <v>12</v>
      </c>
      <c r="G4828" s="2" t="s">
        <v>12</v>
      </c>
      <c r="H4828" s="2" t="s">
        <v>12</v>
      </c>
      <c r="I4828" s="2" t="s">
        <v>12</v>
      </c>
      <c r="J4828" s="2" t="s">
        <v>12</v>
      </c>
      <c r="K4828" s="2" t="s">
        <v>12</v>
      </c>
    </row>
    <row r="4829" spans="1:11" ht="12.5" x14ac:dyDescent="0.25">
      <c r="A4829" s="3" t="e">
        <f ca="1"/>
        <v>#NAME?</v>
      </c>
      <c r="B4829" s="2" t="s">
        <v>12</v>
      </c>
      <c r="C4829" s="2" t="s">
        <v>12</v>
      </c>
      <c r="D4829" s="2" t="s">
        <v>12</v>
      </c>
      <c r="E4829" s="2" t="s">
        <v>12</v>
      </c>
      <c r="F4829" s="2" t="s">
        <v>12</v>
      </c>
      <c r="G4829" s="2" t="s">
        <v>12</v>
      </c>
      <c r="H4829" s="2" t="s">
        <v>12</v>
      </c>
      <c r="I4829" s="2" t="s">
        <v>12</v>
      </c>
      <c r="J4829" s="2" t="s">
        <v>12</v>
      </c>
      <c r="K4829" s="2" t="s">
        <v>12</v>
      </c>
    </row>
    <row r="4830" spans="1:11" ht="12.5" x14ac:dyDescent="0.25">
      <c r="A4830" s="3" t="e">
        <f ca="1"/>
        <v>#NAME?</v>
      </c>
      <c r="B4830" s="2" t="s">
        <v>12</v>
      </c>
      <c r="C4830" s="2" t="s">
        <v>12</v>
      </c>
      <c r="D4830" s="2" t="s">
        <v>12</v>
      </c>
      <c r="E4830" s="2" t="s">
        <v>12</v>
      </c>
      <c r="F4830" s="2" t="s">
        <v>12</v>
      </c>
      <c r="G4830" s="2" t="s">
        <v>12</v>
      </c>
      <c r="H4830" s="2" t="s">
        <v>12</v>
      </c>
      <c r="I4830" s="2" t="s">
        <v>12</v>
      </c>
      <c r="J4830" s="2" t="s">
        <v>12</v>
      </c>
      <c r="K4830" s="2" t="s">
        <v>12</v>
      </c>
    </row>
    <row r="4831" spans="1:11" ht="12.5" x14ac:dyDescent="0.25">
      <c r="A4831" s="3" t="e">
        <f ca="1"/>
        <v>#NAME?</v>
      </c>
      <c r="B4831" s="2" t="s">
        <v>12</v>
      </c>
      <c r="C4831" s="2" t="s">
        <v>12</v>
      </c>
      <c r="D4831" s="2" t="s">
        <v>12</v>
      </c>
      <c r="E4831" s="2" t="s">
        <v>12</v>
      </c>
      <c r="F4831" s="2" t="s">
        <v>12</v>
      </c>
      <c r="G4831" s="2" t="s">
        <v>12</v>
      </c>
      <c r="H4831" s="2" t="s">
        <v>12</v>
      </c>
      <c r="I4831" s="2" t="s">
        <v>12</v>
      </c>
      <c r="J4831" s="2" t="s">
        <v>12</v>
      </c>
      <c r="K4831" s="2" t="s">
        <v>12</v>
      </c>
    </row>
    <row r="4832" spans="1:11" ht="12.5" x14ac:dyDescent="0.25">
      <c r="A4832" s="3" t="e">
        <f ca="1"/>
        <v>#NAME?</v>
      </c>
      <c r="B4832" s="2" t="s">
        <v>12</v>
      </c>
      <c r="C4832" s="2" t="s">
        <v>12</v>
      </c>
      <c r="D4832" s="2" t="s">
        <v>12</v>
      </c>
      <c r="E4832" s="2" t="s">
        <v>12</v>
      </c>
      <c r="F4832" s="2" t="s">
        <v>12</v>
      </c>
      <c r="G4832" s="2" t="s">
        <v>12</v>
      </c>
      <c r="H4832" s="2" t="s">
        <v>12</v>
      </c>
      <c r="I4832" s="2" t="s">
        <v>12</v>
      </c>
      <c r="J4832" s="2" t="s">
        <v>12</v>
      </c>
      <c r="K4832" s="2" t="s">
        <v>12</v>
      </c>
    </row>
    <row r="4833" spans="1:11" ht="12.5" x14ac:dyDescent="0.25">
      <c r="A4833" s="3" t="e">
        <f ca="1"/>
        <v>#NAME?</v>
      </c>
      <c r="B4833" s="2" t="s">
        <v>12</v>
      </c>
      <c r="C4833" s="2" t="s">
        <v>12</v>
      </c>
      <c r="D4833" s="2" t="s">
        <v>12</v>
      </c>
      <c r="E4833" s="2" t="s">
        <v>12</v>
      </c>
      <c r="F4833" s="2" t="s">
        <v>12</v>
      </c>
      <c r="G4833" s="2" t="s">
        <v>12</v>
      </c>
      <c r="H4833" s="2" t="s">
        <v>12</v>
      </c>
      <c r="I4833" s="2" t="s">
        <v>12</v>
      </c>
      <c r="J4833" s="2" t="s">
        <v>12</v>
      </c>
      <c r="K4833" s="2" t="s">
        <v>12</v>
      </c>
    </row>
    <row r="4834" spans="1:11" ht="12.5" x14ac:dyDescent="0.25">
      <c r="A4834" s="3" t="e">
        <f ca="1"/>
        <v>#NAME?</v>
      </c>
      <c r="B4834" s="2" t="s">
        <v>12</v>
      </c>
      <c r="C4834" s="2" t="s">
        <v>12</v>
      </c>
      <c r="D4834" s="2" t="s">
        <v>12</v>
      </c>
      <c r="E4834" s="2" t="s">
        <v>12</v>
      </c>
      <c r="F4834" s="2" t="s">
        <v>12</v>
      </c>
      <c r="G4834" s="2" t="s">
        <v>12</v>
      </c>
      <c r="H4834" s="2" t="s">
        <v>12</v>
      </c>
      <c r="I4834" s="2" t="s">
        <v>12</v>
      </c>
      <c r="J4834" s="2" t="s">
        <v>12</v>
      </c>
      <c r="K4834" s="2" t="s">
        <v>12</v>
      </c>
    </row>
    <row r="4835" spans="1:11" ht="12.5" x14ac:dyDescent="0.25">
      <c r="A4835" s="3" t="e">
        <f ca="1"/>
        <v>#NAME?</v>
      </c>
      <c r="B4835" s="2" t="s">
        <v>12</v>
      </c>
      <c r="C4835" s="2" t="s">
        <v>12</v>
      </c>
      <c r="D4835" s="2" t="s">
        <v>12</v>
      </c>
      <c r="E4835" s="2" t="s">
        <v>12</v>
      </c>
      <c r="F4835" s="2" t="s">
        <v>12</v>
      </c>
      <c r="G4835" s="2" t="s">
        <v>12</v>
      </c>
      <c r="H4835" s="2" t="s">
        <v>12</v>
      </c>
      <c r="I4835" s="2" t="s">
        <v>12</v>
      </c>
      <c r="J4835" s="2" t="s">
        <v>12</v>
      </c>
      <c r="K4835" s="2" t="s">
        <v>12</v>
      </c>
    </row>
    <row r="4836" spans="1:11" ht="12.5" x14ac:dyDescent="0.25">
      <c r="A4836" s="3" t="e">
        <f ca="1"/>
        <v>#NAME?</v>
      </c>
      <c r="B4836" s="2" t="s">
        <v>12</v>
      </c>
      <c r="C4836" s="2" t="s">
        <v>12</v>
      </c>
      <c r="D4836" s="2" t="s">
        <v>12</v>
      </c>
      <c r="E4836" s="2" t="s">
        <v>12</v>
      </c>
      <c r="F4836" s="2" t="s">
        <v>12</v>
      </c>
      <c r="G4836" s="2" t="s">
        <v>12</v>
      </c>
      <c r="H4836" s="2" t="s">
        <v>12</v>
      </c>
      <c r="I4836" s="2" t="s">
        <v>12</v>
      </c>
      <c r="J4836" s="2" t="s">
        <v>12</v>
      </c>
      <c r="K4836" s="2" t="s">
        <v>12</v>
      </c>
    </row>
    <row r="4837" spans="1:11" ht="12.5" x14ac:dyDescent="0.25">
      <c r="A4837" s="3" t="e">
        <f ca="1"/>
        <v>#NAME?</v>
      </c>
      <c r="B4837" s="2" t="s">
        <v>12</v>
      </c>
      <c r="C4837" s="2" t="s">
        <v>12</v>
      </c>
      <c r="D4837" s="2" t="s">
        <v>12</v>
      </c>
      <c r="E4837" s="2" t="s">
        <v>12</v>
      </c>
      <c r="F4837" s="2" t="s">
        <v>12</v>
      </c>
      <c r="G4837" s="2" t="s">
        <v>12</v>
      </c>
      <c r="H4837" s="2" t="s">
        <v>12</v>
      </c>
      <c r="I4837" s="2" t="s">
        <v>12</v>
      </c>
      <c r="J4837" s="2" t="s">
        <v>12</v>
      </c>
      <c r="K4837" s="2" t="s">
        <v>12</v>
      </c>
    </row>
    <row r="4838" spans="1:11" ht="12.5" x14ac:dyDescent="0.25">
      <c r="A4838" s="3" t="e">
        <f ca="1"/>
        <v>#NAME?</v>
      </c>
      <c r="B4838" s="2" t="s">
        <v>12</v>
      </c>
      <c r="C4838" s="2" t="s">
        <v>12</v>
      </c>
      <c r="D4838" s="2" t="s">
        <v>12</v>
      </c>
      <c r="E4838" s="2" t="s">
        <v>12</v>
      </c>
      <c r="F4838" s="2" t="s">
        <v>12</v>
      </c>
      <c r="G4838" s="2" t="s">
        <v>12</v>
      </c>
      <c r="H4838" s="2" t="s">
        <v>12</v>
      </c>
      <c r="I4838" s="2" t="s">
        <v>12</v>
      </c>
      <c r="J4838" s="2" t="s">
        <v>12</v>
      </c>
      <c r="K4838" s="2" t="s">
        <v>12</v>
      </c>
    </row>
    <row r="4839" spans="1:11" ht="12.5" x14ac:dyDescent="0.25">
      <c r="A4839" s="3" t="e">
        <f ca="1"/>
        <v>#NAME?</v>
      </c>
      <c r="B4839" s="2" t="s">
        <v>12</v>
      </c>
      <c r="C4839" s="2" t="s">
        <v>12</v>
      </c>
      <c r="D4839" s="2" t="s">
        <v>12</v>
      </c>
      <c r="E4839" s="2" t="s">
        <v>12</v>
      </c>
      <c r="F4839" s="2" t="s">
        <v>12</v>
      </c>
      <c r="G4839" s="2" t="s">
        <v>12</v>
      </c>
      <c r="H4839" s="2" t="s">
        <v>12</v>
      </c>
      <c r="I4839" s="2" t="s">
        <v>12</v>
      </c>
      <c r="J4839" s="2" t="s">
        <v>12</v>
      </c>
      <c r="K4839" s="2" t="s">
        <v>12</v>
      </c>
    </row>
    <row r="4840" spans="1:11" ht="12.5" x14ac:dyDescent="0.25">
      <c r="A4840" s="3" t="e">
        <f ca="1"/>
        <v>#NAME?</v>
      </c>
      <c r="B4840" s="2" t="s">
        <v>12</v>
      </c>
      <c r="C4840" s="2" t="s">
        <v>12</v>
      </c>
      <c r="D4840" s="2" t="s">
        <v>12</v>
      </c>
      <c r="E4840" s="2" t="s">
        <v>12</v>
      </c>
      <c r="F4840" s="2" t="s">
        <v>12</v>
      </c>
      <c r="G4840" s="2" t="s">
        <v>12</v>
      </c>
      <c r="H4840" s="2" t="s">
        <v>12</v>
      </c>
      <c r="I4840" s="2" t="s">
        <v>12</v>
      </c>
      <c r="J4840" s="2" t="s">
        <v>12</v>
      </c>
      <c r="K4840" s="2" t="s">
        <v>12</v>
      </c>
    </row>
    <row r="4841" spans="1:11" ht="12.5" x14ac:dyDescent="0.25">
      <c r="A4841" s="3" t="e">
        <f ca="1"/>
        <v>#NAME?</v>
      </c>
      <c r="B4841" s="2" t="s">
        <v>12</v>
      </c>
      <c r="C4841" s="2" t="s">
        <v>12</v>
      </c>
      <c r="D4841" s="2" t="s">
        <v>12</v>
      </c>
      <c r="E4841" s="2" t="s">
        <v>12</v>
      </c>
      <c r="F4841" s="2" t="s">
        <v>12</v>
      </c>
      <c r="G4841" s="2" t="s">
        <v>12</v>
      </c>
      <c r="H4841" s="2" t="s">
        <v>12</v>
      </c>
      <c r="I4841" s="2" t="s">
        <v>12</v>
      </c>
      <c r="J4841" s="2" t="s">
        <v>12</v>
      </c>
      <c r="K4841" s="2" t="s">
        <v>12</v>
      </c>
    </row>
    <row r="4842" spans="1:11" ht="12.5" x14ac:dyDescent="0.25">
      <c r="A4842" s="3" t="e">
        <f ca="1"/>
        <v>#NAME?</v>
      </c>
      <c r="B4842" s="2" t="s">
        <v>12</v>
      </c>
      <c r="C4842" s="2" t="s">
        <v>12</v>
      </c>
      <c r="D4842" s="2" t="s">
        <v>12</v>
      </c>
      <c r="E4842" s="2" t="s">
        <v>12</v>
      </c>
      <c r="F4842" s="2" t="s">
        <v>12</v>
      </c>
      <c r="G4842" s="2" t="s">
        <v>12</v>
      </c>
      <c r="H4842" s="2" t="s">
        <v>12</v>
      </c>
      <c r="I4842" s="2" t="s">
        <v>12</v>
      </c>
      <c r="J4842" s="2" t="s">
        <v>12</v>
      </c>
      <c r="K4842" s="2" t="s">
        <v>12</v>
      </c>
    </row>
    <row r="4843" spans="1:11" ht="12.5" x14ac:dyDescent="0.25">
      <c r="A4843" s="3" t="e">
        <f ca="1"/>
        <v>#NAME?</v>
      </c>
      <c r="B4843" s="2" t="s">
        <v>12</v>
      </c>
      <c r="C4843" s="2" t="s">
        <v>12</v>
      </c>
      <c r="D4843" s="2" t="s">
        <v>12</v>
      </c>
      <c r="E4843" s="2" t="s">
        <v>12</v>
      </c>
      <c r="F4843" s="2" t="s">
        <v>12</v>
      </c>
      <c r="G4843" s="2" t="s">
        <v>12</v>
      </c>
      <c r="H4843" s="2" t="s">
        <v>12</v>
      </c>
      <c r="I4843" s="2" t="s">
        <v>12</v>
      </c>
      <c r="J4843" s="2" t="s">
        <v>12</v>
      </c>
      <c r="K4843" s="2" t="s">
        <v>12</v>
      </c>
    </row>
    <row r="4844" spans="1:11" ht="12.5" x14ac:dyDescent="0.25">
      <c r="A4844" s="3" t="e">
        <f ca="1"/>
        <v>#NAME?</v>
      </c>
      <c r="B4844" s="2" t="s">
        <v>12</v>
      </c>
      <c r="C4844" s="2" t="s">
        <v>12</v>
      </c>
      <c r="D4844" s="2" t="s">
        <v>12</v>
      </c>
      <c r="E4844" s="2" t="s">
        <v>12</v>
      </c>
      <c r="F4844" s="2" t="s">
        <v>12</v>
      </c>
      <c r="G4844" s="2" t="s">
        <v>12</v>
      </c>
      <c r="H4844" s="2" t="s">
        <v>12</v>
      </c>
      <c r="I4844" s="2" t="s">
        <v>12</v>
      </c>
      <c r="J4844" s="2" t="s">
        <v>12</v>
      </c>
      <c r="K4844" s="2" t="s">
        <v>12</v>
      </c>
    </row>
    <row r="4845" spans="1:11" ht="12.5" x14ac:dyDescent="0.25">
      <c r="A4845" s="3" t="e">
        <f ca="1"/>
        <v>#NAME?</v>
      </c>
      <c r="B4845" s="2" t="s">
        <v>12</v>
      </c>
      <c r="C4845" s="2" t="s">
        <v>12</v>
      </c>
      <c r="D4845" s="2" t="s">
        <v>12</v>
      </c>
      <c r="E4845" s="2" t="s">
        <v>12</v>
      </c>
      <c r="F4845" s="2" t="s">
        <v>12</v>
      </c>
      <c r="G4845" s="2" t="s">
        <v>12</v>
      </c>
      <c r="H4845" s="2" t="s">
        <v>12</v>
      </c>
      <c r="I4845" s="2" t="s">
        <v>12</v>
      </c>
      <c r="J4845" s="2" t="s">
        <v>12</v>
      </c>
      <c r="K4845" s="2" t="s">
        <v>12</v>
      </c>
    </row>
    <row r="4846" spans="1:11" ht="12.5" x14ac:dyDescent="0.25">
      <c r="A4846" s="3" t="e">
        <f ca="1"/>
        <v>#NAME?</v>
      </c>
      <c r="B4846" s="2" t="s">
        <v>12</v>
      </c>
      <c r="C4846" s="2" t="s">
        <v>12</v>
      </c>
      <c r="D4846" s="2" t="s">
        <v>12</v>
      </c>
      <c r="E4846" s="2" t="s">
        <v>12</v>
      </c>
      <c r="F4846" s="2" t="s">
        <v>12</v>
      </c>
      <c r="G4846" s="2" t="s">
        <v>12</v>
      </c>
      <c r="H4846" s="2" t="s">
        <v>12</v>
      </c>
      <c r="I4846" s="2" t="s">
        <v>12</v>
      </c>
      <c r="J4846" s="2" t="s">
        <v>12</v>
      </c>
      <c r="K4846" s="2" t="s">
        <v>12</v>
      </c>
    </row>
    <row r="4847" spans="1:11" ht="12.5" x14ac:dyDescent="0.25">
      <c r="A4847" s="3" t="e">
        <f ca="1"/>
        <v>#NAME?</v>
      </c>
      <c r="B4847" s="2" t="s">
        <v>12</v>
      </c>
      <c r="C4847" s="2" t="s">
        <v>12</v>
      </c>
      <c r="D4847" s="2" t="s">
        <v>12</v>
      </c>
      <c r="E4847" s="2" t="s">
        <v>12</v>
      </c>
      <c r="F4847" s="2" t="s">
        <v>12</v>
      </c>
      <c r="G4847" s="2" t="s">
        <v>12</v>
      </c>
      <c r="H4847" s="2" t="s">
        <v>12</v>
      </c>
      <c r="I4847" s="2" t="s">
        <v>12</v>
      </c>
      <c r="J4847" s="2" t="s">
        <v>12</v>
      </c>
      <c r="K4847" s="2" t="s">
        <v>12</v>
      </c>
    </row>
    <row r="4848" spans="1:11" ht="12.5" x14ac:dyDescent="0.25">
      <c r="A4848" s="3" t="e">
        <f ca="1"/>
        <v>#NAME?</v>
      </c>
      <c r="B4848" s="2" t="s">
        <v>12</v>
      </c>
      <c r="C4848" s="2" t="s">
        <v>12</v>
      </c>
      <c r="D4848" s="2" t="s">
        <v>12</v>
      </c>
      <c r="E4848" s="2" t="s">
        <v>12</v>
      </c>
      <c r="F4848" s="2" t="s">
        <v>12</v>
      </c>
      <c r="G4848" s="2" t="s">
        <v>12</v>
      </c>
      <c r="H4848" s="2" t="s">
        <v>12</v>
      </c>
      <c r="I4848" s="2" t="s">
        <v>12</v>
      </c>
      <c r="J4848" s="2" t="s">
        <v>12</v>
      </c>
      <c r="K4848" s="2" t="s">
        <v>12</v>
      </c>
    </row>
    <row r="4849" spans="1:11" ht="12.5" x14ac:dyDescent="0.25">
      <c r="A4849" s="3" t="e">
        <f ca="1"/>
        <v>#NAME?</v>
      </c>
      <c r="B4849" s="2" t="s">
        <v>12</v>
      </c>
      <c r="C4849" s="2" t="s">
        <v>12</v>
      </c>
      <c r="D4849" s="2" t="s">
        <v>12</v>
      </c>
      <c r="E4849" s="2" t="s">
        <v>12</v>
      </c>
      <c r="F4849" s="2" t="s">
        <v>12</v>
      </c>
      <c r="G4849" s="2" t="s">
        <v>12</v>
      </c>
      <c r="H4849" s="2" t="s">
        <v>12</v>
      </c>
      <c r="I4849" s="2" t="s">
        <v>12</v>
      </c>
      <c r="J4849" s="2" t="s">
        <v>12</v>
      </c>
      <c r="K4849" s="2" t="s">
        <v>12</v>
      </c>
    </row>
    <row r="4850" spans="1:11" ht="12.5" x14ac:dyDescent="0.25">
      <c r="A4850" s="3" t="e">
        <f ca="1"/>
        <v>#NAME?</v>
      </c>
      <c r="B4850" s="2" t="s">
        <v>12</v>
      </c>
      <c r="C4850" s="2" t="s">
        <v>12</v>
      </c>
      <c r="D4850" s="2" t="s">
        <v>12</v>
      </c>
      <c r="E4850" s="2" t="s">
        <v>12</v>
      </c>
      <c r="F4850" s="2" t="s">
        <v>12</v>
      </c>
      <c r="G4850" s="2" t="s">
        <v>12</v>
      </c>
      <c r="H4850" s="2" t="s">
        <v>12</v>
      </c>
      <c r="I4850" s="2" t="s">
        <v>12</v>
      </c>
      <c r="J4850" s="2" t="s">
        <v>12</v>
      </c>
      <c r="K4850" s="2" t="s">
        <v>12</v>
      </c>
    </row>
    <row r="4851" spans="1:11" ht="12.5" x14ac:dyDescent="0.25">
      <c r="A4851" s="3" t="e">
        <f ca="1"/>
        <v>#NAME?</v>
      </c>
      <c r="B4851" s="2" t="s">
        <v>12</v>
      </c>
      <c r="C4851" s="2" t="s">
        <v>12</v>
      </c>
      <c r="D4851" s="2" t="s">
        <v>12</v>
      </c>
      <c r="E4851" s="2" t="s">
        <v>12</v>
      </c>
      <c r="F4851" s="2" t="s">
        <v>12</v>
      </c>
      <c r="G4851" s="2" t="s">
        <v>12</v>
      </c>
      <c r="H4851" s="2" t="s">
        <v>12</v>
      </c>
      <c r="I4851" s="2" t="s">
        <v>12</v>
      </c>
      <c r="J4851" s="2" t="s">
        <v>12</v>
      </c>
      <c r="K4851" s="2" t="s">
        <v>12</v>
      </c>
    </row>
    <row r="4852" spans="1:11" ht="12.5" x14ac:dyDescent="0.25">
      <c r="A4852" s="3" t="e">
        <f ca="1"/>
        <v>#NAME?</v>
      </c>
      <c r="B4852" s="2" t="s">
        <v>12</v>
      </c>
      <c r="C4852" s="2" t="s">
        <v>12</v>
      </c>
      <c r="D4852" s="2" t="s">
        <v>12</v>
      </c>
      <c r="E4852" s="2" t="s">
        <v>12</v>
      </c>
      <c r="F4852" s="2" t="s">
        <v>12</v>
      </c>
      <c r="G4852" s="2" t="s">
        <v>12</v>
      </c>
      <c r="H4852" s="2" t="s">
        <v>12</v>
      </c>
      <c r="I4852" s="2" t="s">
        <v>12</v>
      </c>
      <c r="J4852" s="2" t="s">
        <v>12</v>
      </c>
      <c r="K4852" s="2" t="s">
        <v>12</v>
      </c>
    </row>
    <row r="4853" spans="1:11" ht="12.5" x14ac:dyDescent="0.25">
      <c r="A4853" s="3" t="e">
        <f ca="1"/>
        <v>#NAME?</v>
      </c>
      <c r="B4853" s="2" t="s">
        <v>12</v>
      </c>
      <c r="C4853" s="2" t="s">
        <v>12</v>
      </c>
      <c r="D4853" s="2" t="s">
        <v>12</v>
      </c>
      <c r="E4853" s="2" t="s">
        <v>12</v>
      </c>
      <c r="F4853" s="2" t="s">
        <v>12</v>
      </c>
      <c r="G4853" s="2" t="s">
        <v>12</v>
      </c>
      <c r="H4853" s="2" t="s">
        <v>12</v>
      </c>
      <c r="I4853" s="2" t="s">
        <v>12</v>
      </c>
      <c r="J4853" s="2" t="s">
        <v>12</v>
      </c>
      <c r="K4853" s="2" t="s">
        <v>12</v>
      </c>
    </row>
    <row r="4854" spans="1:11" ht="12.5" x14ac:dyDescent="0.25">
      <c r="A4854" s="3" t="e">
        <f ca="1"/>
        <v>#NAME?</v>
      </c>
      <c r="B4854" s="2" t="s">
        <v>12</v>
      </c>
      <c r="C4854" s="2" t="s">
        <v>12</v>
      </c>
      <c r="D4854" s="2" t="s">
        <v>12</v>
      </c>
      <c r="E4854" s="2" t="s">
        <v>12</v>
      </c>
      <c r="F4854" s="2" t="s">
        <v>12</v>
      </c>
      <c r="G4854" s="2" t="s">
        <v>12</v>
      </c>
      <c r="H4854" s="2" t="s">
        <v>12</v>
      </c>
      <c r="I4854" s="2" t="s">
        <v>12</v>
      </c>
      <c r="J4854" s="2" t="s">
        <v>12</v>
      </c>
      <c r="K4854" s="2" t="s">
        <v>12</v>
      </c>
    </row>
    <row r="4855" spans="1:11" ht="12.5" x14ac:dyDescent="0.25">
      <c r="A4855" s="3" t="e">
        <f ca="1"/>
        <v>#NAME?</v>
      </c>
      <c r="B4855" s="2" t="s">
        <v>12</v>
      </c>
      <c r="C4855" s="2" t="s">
        <v>12</v>
      </c>
      <c r="D4855" s="2" t="s">
        <v>12</v>
      </c>
      <c r="E4855" s="2" t="s">
        <v>12</v>
      </c>
      <c r="F4855" s="2" t="s">
        <v>12</v>
      </c>
      <c r="G4855" s="2" t="s">
        <v>12</v>
      </c>
      <c r="H4855" s="2" t="s">
        <v>12</v>
      </c>
      <c r="I4855" s="2" t="s">
        <v>12</v>
      </c>
      <c r="J4855" s="2" t="s">
        <v>12</v>
      </c>
      <c r="K4855" s="2" t="s">
        <v>12</v>
      </c>
    </row>
    <row r="4856" spans="1:11" ht="12.5" x14ac:dyDescent="0.25">
      <c r="A4856" s="3" t="e">
        <f ca="1"/>
        <v>#NAME?</v>
      </c>
      <c r="B4856" s="2" t="s">
        <v>12</v>
      </c>
      <c r="C4856" s="2" t="s">
        <v>12</v>
      </c>
      <c r="D4856" s="2" t="s">
        <v>12</v>
      </c>
      <c r="E4856" s="2" t="s">
        <v>12</v>
      </c>
      <c r="F4856" s="2" t="s">
        <v>12</v>
      </c>
      <c r="G4856" s="2" t="s">
        <v>12</v>
      </c>
      <c r="H4856" s="2" t="s">
        <v>12</v>
      </c>
      <c r="I4856" s="2" t="s">
        <v>12</v>
      </c>
      <c r="J4856" s="2" t="s">
        <v>12</v>
      </c>
      <c r="K4856" s="2" t="s">
        <v>12</v>
      </c>
    </row>
    <row r="4857" spans="1:11" ht="12.5" x14ac:dyDescent="0.25">
      <c r="A4857" s="3" t="e">
        <f ca="1"/>
        <v>#NAME?</v>
      </c>
      <c r="B4857" s="2" t="s">
        <v>12</v>
      </c>
      <c r="C4857" s="2" t="s">
        <v>12</v>
      </c>
      <c r="D4857" s="2" t="s">
        <v>12</v>
      </c>
      <c r="E4857" s="2" t="s">
        <v>12</v>
      </c>
      <c r="F4857" s="2" t="s">
        <v>12</v>
      </c>
      <c r="G4857" s="2" t="s">
        <v>12</v>
      </c>
      <c r="H4857" s="2" t="s">
        <v>12</v>
      </c>
      <c r="I4857" s="2" t="s">
        <v>12</v>
      </c>
      <c r="J4857" s="2" t="s">
        <v>12</v>
      </c>
      <c r="K4857" s="2" t="s">
        <v>12</v>
      </c>
    </row>
    <row r="4858" spans="1:11" ht="12.5" x14ac:dyDescent="0.25">
      <c r="A4858" s="3" t="e">
        <f ca="1"/>
        <v>#NAME?</v>
      </c>
      <c r="B4858" s="2" t="s">
        <v>12</v>
      </c>
      <c r="C4858" s="2" t="s">
        <v>12</v>
      </c>
      <c r="D4858" s="2" t="s">
        <v>12</v>
      </c>
      <c r="E4858" s="2" t="s">
        <v>12</v>
      </c>
      <c r="F4858" s="2" t="s">
        <v>12</v>
      </c>
      <c r="G4858" s="2" t="s">
        <v>12</v>
      </c>
      <c r="H4858" s="2" t="s">
        <v>12</v>
      </c>
      <c r="I4858" s="2" t="s">
        <v>12</v>
      </c>
      <c r="J4858" s="2" t="s">
        <v>12</v>
      </c>
      <c r="K4858" s="2" t="s">
        <v>12</v>
      </c>
    </row>
    <row r="4859" spans="1:11" ht="12.5" x14ac:dyDescent="0.25">
      <c r="A4859" s="3" t="e">
        <f ca="1"/>
        <v>#NAME?</v>
      </c>
      <c r="B4859" s="2" t="s">
        <v>12</v>
      </c>
      <c r="C4859" s="2" t="s">
        <v>12</v>
      </c>
      <c r="D4859" s="2" t="s">
        <v>12</v>
      </c>
      <c r="E4859" s="2" t="s">
        <v>12</v>
      </c>
      <c r="F4859" s="2" t="s">
        <v>12</v>
      </c>
      <c r="G4859" s="2" t="s">
        <v>12</v>
      </c>
      <c r="H4859" s="2" t="s">
        <v>12</v>
      </c>
      <c r="I4859" s="2" t="s">
        <v>12</v>
      </c>
      <c r="J4859" s="2" t="s">
        <v>12</v>
      </c>
      <c r="K4859" s="2" t="s">
        <v>12</v>
      </c>
    </row>
    <row r="4860" spans="1:11" ht="12.5" x14ac:dyDescent="0.25">
      <c r="A4860" s="3" t="e">
        <f ca="1"/>
        <v>#NAME?</v>
      </c>
      <c r="B4860" s="2" t="s">
        <v>12</v>
      </c>
      <c r="C4860" s="2" t="s">
        <v>12</v>
      </c>
      <c r="D4860" s="2" t="s">
        <v>12</v>
      </c>
      <c r="E4860" s="2" t="s">
        <v>12</v>
      </c>
      <c r="F4860" s="2" t="s">
        <v>12</v>
      </c>
      <c r="G4860" s="2" t="s">
        <v>12</v>
      </c>
      <c r="H4860" s="2" t="s">
        <v>12</v>
      </c>
      <c r="I4860" s="2" t="s">
        <v>12</v>
      </c>
      <c r="J4860" s="2" t="s">
        <v>12</v>
      </c>
      <c r="K4860" s="2" t="s">
        <v>12</v>
      </c>
    </row>
    <row r="4861" spans="1:11" ht="12.5" x14ac:dyDescent="0.25">
      <c r="A4861" s="3" t="e">
        <f ca="1"/>
        <v>#NAME?</v>
      </c>
      <c r="B4861" s="2" t="s">
        <v>12</v>
      </c>
      <c r="C4861" s="2" t="s">
        <v>12</v>
      </c>
      <c r="D4861" s="2" t="s">
        <v>12</v>
      </c>
      <c r="E4861" s="2" t="s">
        <v>12</v>
      </c>
      <c r="F4861" s="2" t="s">
        <v>12</v>
      </c>
      <c r="G4861" s="2" t="s">
        <v>12</v>
      </c>
      <c r="H4861" s="2" t="s">
        <v>12</v>
      </c>
      <c r="I4861" s="2" t="s">
        <v>12</v>
      </c>
      <c r="J4861" s="2" t="s">
        <v>12</v>
      </c>
      <c r="K4861" s="2" t="s">
        <v>12</v>
      </c>
    </row>
    <row r="4862" spans="1:11" ht="12.5" x14ac:dyDescent="0.25">
      <c r="A4862" s="3" t="e">
        <f ca="1"/>
        <v>#NAME?</v>
      </c>
      <c r="B4862" s="2" t="s">
        <v>12</v>
      </c>
      <c r="C4862" s="2" t="s">
        <v>12</v>
      </c>
      <c r="D4862" s="2" t="s">
        <v>12</v>
      </c>
      <c r="E4862" s="2" t="s">
        <v>12</v>
      </c>
      <c r="F4862" s="2" t="s">
        <v>12</v>
      </c>
      <c r="G4862" s="2" t="s">
        <v>12</v>
      </c>
      <c r="H4862" s="2" t="s">
        <v>12</v>
      </c>
      <c r="I4862" s="2" t="s">
        <v>12</v>
      </c>
      <c r="J4862" s="2" t="s">
        <v>12</v>
      </c>
      <c r="K4862" s="2" t="s">
        <v>12</v>
      </c>
    </row>
    <row r="4863" spans="1:11" ht="12.5" x14ac:dyDescent="0.25">
      <c r="A4863" s="3" t="e">
        <f ca="1"/>
        <v>#NAME?</v>
      </c>
      <c r="B4863" s="2" t="s">
        <v>12</v>
      </c>
      <c r="C4863" s="2" t="s">
        <v>12</v>
      </c>
      <c r="D4863" s="2" t="s">
        <v>12</v>
      </c>
      <c r="E4863" s="2" t="s">
        <v>12</v>
      </c>
      <c r="F4863" s="2" t="s">
        <v>12</v>
      </c>
      <c r="G4863" s="2" t="s">
        <v>12</v>
      </c>
      <c r="H4863" s="2" t="s">
        <v>12</v>
      </c>
      <c r="I4863" s="2" t="s">
        <v>12</v>
      </c>
      <c r="J4863" s="2" t="s">
        <v>12</v>
      </c>
      <c r="K4863" s="2" t="s">
        <v>12</v>
      </c>
    </row>
    <row r="4864" spans="1:11" ht="12.5" x14ac:dyDescent="0.25">
      <c r="A4864" s="3" t="e">
        <f ca="1"/>
        <v>#NAME?</v>
      </c>
      <c r="B4864" s="2" t="s">
        <v>12</v>
      </c>
      <c r="C4864" s="2" t="s">
        <v>12</v>
      </c>
      <c r="D4864" s="2" t="s">
        <v>12</v>
      </c>
      <c r="E4864" s="2" t="s">
        <v>12</v>
      </c>
      <c r="F4864" s="2" t="s">
        <v>12</v>
      </c>
      <c r="G4864" s="2" t="s">
        <v>12</v>
      </c>
      <c r="H4864" s="2" t="s">
        <v>12</v>
      </c>
      <c r="I4864" s="2" t="s">
        <v>12</v>
      </c>
      <c r="J4864" s="2" t="s">
        <v>12</v>
      </c>
      <c r="K4864" s="2" t="s">
        <v>12</v>
      </c>
    </row>
    <row r="4865" spans="1:11" ht="12.5" x14ac:dyDescent="0.25">
      <c r="A4865" s="3" t="e">
        <f ca="1"/>
        <v>#NAME?</v>
      </c>
      <c r="B4865" s="2" t="s">
        <v>12</v>
      </c>
      <c r="C4865" s="2" t="s">
        <v>12</v>
      </c>
      <c r="D4865" s="2" t="s">
        <v>12</v>
      </c>
      <c r="E4865" s="2" t="s">
        <v>12</v>
      </c>
      <c r="F4865" s="2" t="s">
        <v>12</v>
      </c>
      <c r="G4865" s="2" t="s">
        <v>12</v>
      </c>
      <c r="H4865" s="2" t="s">
        <v>12</v>
      </c>
      <c r="I4865" s="2" t="s">
        <v>12</v>
      </c>
      <c r="J4865" s="2" t="s">
        <v>12</v>
      </c>
      <c r="K4865" s="2" t="s">
        <v>12</v>
      </c>
    </row>
    <row r="4866" spans="1:11" ht="12.5" x14ac:dyDescent="0.25">
      <c r="A4866" s="3" t="e">
        <f ca="1"/>
        <v>#NAME?</v>
      </c>
      <c r="B4866" s="2" t="s">
        <v>12</v>
      </c>
      <c r="C4866" s="2" t="s">
        <v>12</v>
      </c>
      <c r="D4866" s="2" t="s">
        <v>12</v>
      </c>
      <c r="E4866" s="2" t="s">
        <v>12</v>
      </c>
      <c r="F4866" s="2" t="s">
        <v>12</v>
      </c>
      <c r="G4866" s="2" t="s">
        <v>12</v>
      </c>
      <c r="H4866" s="2" t="s">
        <v>12</v>
      </c>
      <c r="I4866" s="2" t="s">
        <v>12</v>
      </c>
      <c r="J4866" s="2" t="s">
        <v>12</v>
      </c>
      <c r="K4866" s="2" t="s">
        <v>12</v>
      </c>
    </row>
    <row r="4867" spans="1:11" ht="12.5" x14ac:dyDescent="0.25">
      <c r="A4867" s="3" t="e">
        <f ca="1"/>
        <v>#NAME?</v>
      </c>
      <c r="B4867" s="2" t="s">
        <v>12</v>
      </c>
      <c r="C4867" s="2" t="s">
        <v>12</v>
      </c>
      <c r="D4867" s="2" t="s">
        <v>12</v>
      </c>
      <c r="E4867" s="2" t="s">
        <v>12</v>
      </c>
      <c r="F4867" s="2" t="s">
        <v>12</v>
      </c>
      <c r="G4867" s="2" t="s">
        <v>12</v>
      </c>
      <c r="H4867" s="2" t="s">
        <v>12</v>
      </c>
      <c r="I4867" s="2" t="s">
        <v>12</v>
      </c>
      <c r="J4867" s="2" t="s">
        <v>12</v>
      </c>
      <c r="K4867" s="2" t="s">
        <v>12</v>
      </c>
    </row>
    <row r="4868" spans="1:11" ht="12.5" x14ac:dyDescent="0.25">
      <c r="A4868" s="3" t="e">
        <f ca="1"/>
        <v>#NAME?</v>
      </c>
      <c r="B4868" s="2" t="s">
        <v>12</v>
      </c>
      <c r="C4868" s="2" t="s">
        <v>12</v>
      </c>
      <c r="D4868" s="2" t="s">
        <v>12</v>
      </c>
      <c r="E4868" s="2" t="s">
        <v>12</v>
      </c>
      <c r="F4868" s="2" t="s">
        <v>12</v>
      </c>
      <c r="G4868" s="2" t="s">
        <v>12</v>
      </c>
      <c r="H4868" s="2" t="s">
        <v>12</v>
      </c>
      <c r="I4868" s="2" t="s">
        <v>12</v>
      </c>
      <c r="J4868" s="2" t="s">
        <v>12</v>
      </c>
      <c r="K4868" s="2" t="s">
        <v>12</v>
      </c>
    </row>
    <row r="4869" spans="1:11" ht="12.5" x14ac:dyDescent="0.25">
      <c r="A4869" s="3" t="e">
        <f ca="1"/>
        <v>#NAME?</v>
      </c>
      <c r="B4869" s="2" t="s">
        <v>12</v>
      </c>
      <c r="C4869" s="2" t="s">
        <v>12</v>
      </c>
      <c r="D4869" s="2" t="s">
        <v>12</v>
      </c>
      <c r="E4869" s="2" t="s">
        <v>12</v>
      </c>
      <c r="F4869" s="2" t="s">
        <v>12</v>
      </c>
      <c r="G4869" s="2" t="s">
        <v>12</v>
      </c>
      <c r="H4869" s="2" t="s">
        <v>12</v>
      </c>
      <c r="I4869" s="2" t="s">
        <v>12</v>
      </c>
      <c r="J4869" s="2" t="s">
        <v>12</v>
      </c>
      <c r="K4869" s="2" t="s">
        <v>12</v>
      </c>
    </row>
    <row r="4870" spans="1:11" ht="12.5" x14ac:dyDescent="0.25">
      <c r="A4870" s="3" t="e">
        <f ca="1"/>
        <v>#NAME?</v>
      </c>
      <c r="B4870" s="2" t="s">
        <v>12</v>
      </c>
      <c r="C4870" s="2" t="s">
        <v>12</v>
      </c>
      <c r="D4870" s="2" t="s">
        <v>12</v>
      </c>
      <c r="E4870" s="2" t="s">
        <v>12</v>
      </c>
      <c r="F4870" s="2" t="s">
        <v>12</v>
      </c>
      <c r="G4870" s="2" t="s">
        <v>12</v>
      </c>
      <c r="H4870" s="2" t="s">
        <v>12</v>
      </c>
      <c r="I4870" s="2" t="s">
        <v>12</v>
      </c>
      <c r="J4870" s="2" t="s">
        <v>12</v>
      </c>
      <c r="K4870" s="2" t="s">
        <v>12</v>
      </c>
    </row>
    <row r="4871" spans="1:11" ht="12.5" x14ac:dyDescent="0.25">
      <c r="A4871" s="3" t="e">
        <f ca="1"/>
        <v>#NAME?</v>
      </c>
      <c r="B4871" s="2" t="s">
        <v>12</v>
      </c>
      <c r="C4871" s="2" t="s">
        <v>12</v>
      </c>
      <c r="D4871" s="2" t="s">
        <v>12</v>
      </c>
      <c r="E4871" s="2" t="s">
        <v>12</v>
      </c>
      <c r="F4871" s="2" t="s">
        <v>12</v>
      </c>
      <c r="G4871" s="2" t="s">
        <v>12</v>
      </c>
      <c r="H4871" s="2" t="s">
        <v>12</v>
      </c>
      <c r="I4871" s="2" t="s">
        <v>12</v>
      </c>
      <c r="J4871" s="2" t="s">
        <v>12</v>
      </c>
      <c r="K4871" s="2" t="s">
        <v>12</v>
      </c>
    </row>
    <row r="4872" spans="1:11" ht="12.5" x14ac:dyDescent="0.25">
      <c r="A4872" s="3" t="e">
        <f ca="1"/>
        <v>#NAME?</v>
      </c>
      <c r="B4872" s="2" t="s">
        <v>12</v>
      </c>
      <c r="C4872" s="2" t="s">
        <v>12</v>
      </c>
      <c r="D4872" s="2" t="s">
        <v>12</v>
      </c>
      <c r="E4872" s="2" t="s">
        <v>12</v>
      </c>
      <c r="F4872" s="2" t="s">
        <v>12</v>
      </c>
      <c r="G4872" s="2" t="s">
        <v>12</v>
      </c>
      <c r="H4872" s="2" t="s">
        <v>12</v>
      </c>
      <c r="I4872" s="2" t="s">
        <v>12</v>
      </c>
      <c r="J4872" s="2" t="s">
        <v>12</v>
      </c>
      <c r="K4872" s="2" t="s">
        <v>12</v>
      </c>
    </row>
    <row r="4873" spans="1:11" ht="12.5" x14ac:dyDescent="0.25">
      <c r="A4873" s="3" t="e">
        <f ca="1"/>
        <v>#NAME?</v>
      </c>
      <c r="B4873" s="2" t="s">
        <v>12</v>
      </c>
      <c r="C4873" s="2" t="s">
        <v>12</v>
      </c>
      <c r="D4873" s="2" t="s">
        <v>12</v>
      </c>
      <c r="E4873" s="2" t="s">
        <v>12</v>
      </c>
      <c r="F4873" s="2" t="s">
        <v>12</v>
      </c>
      <c r="G4873" s="2" t="s">
        <v>12</v>
      </c>
      <c r="H4873" s="2" t="s">
        <v>12</v>
      </c>
      <c r="I4873" s="2" t="s">
        <v>12</v>
      </c>
      <c r="J4873" s="2" t="s">
        <v>12</v>
      </c>
      <c r="K4873" s="2" t="s">
        <v>12</v>
      </c>
    </row>
    <row r="4874" spans="1:11" ht="12.5" x14ac:dyDescent="0.25">
      <c r="A4874" s="3" t="e">
        <f ca="1"/>
        <v>#NAME?</v>
      </c>
      <c r="B4874" s="2" t="s">
        <v>12</v>
      </c>
      <c r="C4874" s="2" t="s">
        <v>12</v>
      </c>
      <c r="D4874" s="2" t="s">
        <v>12</v>
      </c>
      <c r="E4874" s="2" t="s">
        <v>12</v>
      </c>
      <c r="F4874" s="2" t="s">
        <v>12</v>
      </c>
      <c r="G4874" s="2" t="s">
        <v>12</v>
      </c>
      <c r="H4874" s="2" t="s">
        <v>12</v>
      </c>
      <c r="I4874" s="2" t="s">
        <v>12</v>
      </c>
      <c r="J4874" s="2" t="s">
        <v>12</v>
      </c>
      <c r="K4874" s="2" t="s">
        <v>12</v>
      </c>
    </row>
    <row r="4875" spans="1:11" ht="12.5" x14ac:dyDescent="0.25">
      <c r="A4875" s="3" t="e">
        <f ca="1"/>
        <v>#NAME?</v>
      </c>
      <c r="B4875" s="2" t="s">
        <v>12</v>
      </c>
      <c r="C4875" s="2" t="s">
        <v>12</v>
      </c>
      <c r="D4875" s="2" t="s">
        <v>12</v>
      </c>
      <c r="E4875" s="2" t="s">
        <v>12</v>
      </c>
      <c r="F4875" s="2" t="s">
        <v>12</v>
      </c>
      <c r="G4875" s="2" t="s">
        <v>12</v>
      </c>
      <c r="H4875" s="2" t="s">
        <v>12</v>
      </c>
      <c r="I4875" s="2" t="s">
        <v>12</v>
      </c>
      <c r="J4875" s="2" t="s">
        <v>12</v>
      </c>
      <c r="K4875" s="2" t="s">
        <v>12</v>
      </c>
    </row>
    <row r="4876" spans="1:11" ht="12.5" x14ac:dyDescent="0.25">
      <c r="A4876" s="3" t="e">
        <f ca="1"/>
        <v>#NAME?</v>
      </c>
      <c r="B4876" s="2" t="s">
        <v>12</v>
      </c>
      <c r="C4876" s="2" t="s">
        <v>12</v>
      </c>
      <c r="D4876" s="2" t="s">
        <v>12</v>
      </c>
      <c r="E4876" s="2" t="s">
        <v>12</v>
      </c>
      <c r="F4876" s="2" t="s">
        <v>12</v>
      </c>
      <c r="G4876" s="2" t="s">
        <v>12</v>
      </c>
      <c r="H4876" s="2" t="s">
        <v>12</v>
      </c>
      <c r="I4876" s="2" t="s">
        <v>12</v>
      </c>
      <c r="J4876" s="2" t="s">
        <v>12</v>
      </c>
      <c r="K4876" s="2" t="s">
        <v>12</v>
      </c>
    </row>
    <row r="4877" spans="1:11" ht="12.5" x14ac:dyDescent="0.25">
      <c r="A4877" s="3" t="e">
        <f ca="1"/>
        <v>#NAME?</v>
      </c>
      <c r="B4877" s="2" t="s">
        <v>12</v>
      </c>
      <c r="C4877" s="2" t="s">
        <v>12</v>
      </c>
      <c r="D4877" s="2" t="s">
        <v>12</v>
      </c>
      <c r="E4877" s="2" t="s">
        <v>12</v>
      </c>
      <c r="F4877" s="2" t="s">
        <v>12</v>
      </c>
      <c r="G4877" s="2" t="s">
        <v>12</v>
      </c>
      <c r="H4877" s="2" t="s">
        <v>12</v>
      </c>
      <c r="I4877" s="2" t="s">
        <v>12</v>
      </c>
      <c r="J4877" s="2" t="s">
        <v>12</v>
      </c>
      <c r="K4877" s="2" t="s">
        <v>12</v>
      </c>
    </row>
    <row r="4878" spans="1:11" ht="12.5" x14ac:dyDescent="0.25">
      <c r="A4878" s="3" t="e">
        <f ca="1"/>
        <v>#NAME?</v>
      </c>
      <c r="B4878" s="2" t="s">
        <v>12</v>
      </c>
      <c r="C4878" s="2" t="s">
        <v>12</v>
      </c>
      <c r="D4878" s="2" t="s">
        <v>12</v>
      </c>
      <c r="E4878" s="2" t="s">
        <v>12</v>
      </c>
      <c r="F4878" s="2" t="s">
        <v>12</v>
      </c>
      <c r="G4878" s="2" t="s">
        <v>12</v>
      </c>
      <c r="H4878" s="2" t="s">
        <v>12</v>
      </c>
      <c r="I4878" s="2" t="s">
        <v>12</v>
      </c>
      <c r="J4878" s="2" t="s">
        <v>12</v>
      </c>
      <c r="K4878" s="2" t="s">
        <v>12</v>
      </c>
    </row>
    <row r="4879" spans="1:11" ht="12.5" x14ac:dyDescent="0.25">
      <c r="A4879" s="3" t="e">
        <f ca="1"/>
        <v>#NAME?</v>
      </c>
      <c r="B4879" s="2" t="s">
        <v>12</v>
      </c>
      <c r="C4879" s="2" t="s">
        <v>12</v>
      </c>
      <c r="D4879" s="2" t="s">
        <v>12</v>
      </c>
      <c r="E4879" s="2" t="s">
        <v>12</v>
      </c>
      <c r="F4879" s="2" t="s">
        <v>12</v>
      </c>
      <c r="G4879" s="2" t="s">
        <v>12</v>
      </c>
      <c r="H4879" s="2" t="s">
        <v>12</v>
      </c>
      <c r="I4879" s="2" t="s">
        <v>12</v>
      </c>
      <c r="J4879" s="2" t="s">
        <v>12</v>
      </c>
      <c r="K4879" s="2" t="s">
        <v>12</v>
      </c>
    </row>
    <row r="4880" spans="1:11" ht="12.5" x14ac:dyDescent="0.25">
      <c r="A4880" s="3" t="e">
        <f ca="1"/>
        <v>#NAME?</v>
      </c>
      <c r="B4880" s="2" t="s">
        <v>12</v>
      </c>
      <c r="C4880" s="2" t="s">
        <v>12</v>
      </c>
      <c r="D4880" s="2" t="s">
        <v>12</v>
      </c>
      <c r="E4880" s="2" t="s">
        <v>12</v>
      </c>
      <c r="F4880" s="2" t="s">
        <v>12</v>
      </c>
      <c r="G4880" s="2" t="s">
        <v>12</v>
      </c>
      <c r="H4880" s="2" t="s">
        <v>12</v>
      </c>
      <c r="I4880" s="2" t="s">
        <v>12</v>
      </c>
      <c r="J4880" s="2" t="s">
        <v>12</v>
      </c>
      <c r="K4880" s="2" t="s">
        <v>12</v>
      </c>
    </row>
    <row r="4881" spans="1:11" ht="12.5" x14ac:dyDescent="0.25">
      <c r="A4881" s="3" t="e">
        <f ca="1"/>
        <v>#NAME?</v>
      </c>
      <c r="B4881" s="2" t="s">
        <v>12</v>
      </c>
      <c r="C4881" s="2" t="s">
        <v>12</v>
      </c>
      <c r="D4881" s="2" t="s">
        <v>12</v>
      </c>
      <c r="E4881" s="2" t="s">
        <v>12</v>
      </c>
      <c r="F4881" s="2" t="s">
        <v>12</v>
      </c>
      <c r="G4881" s="2" t="s">
        <v>12</v>
      </c>
      <c r="H4881" s="2" t="s">
        <v>12</v>
      </c>
      <c r="I4881" s="2" t="s">
        <v>12</v>
      </c>
      <c r="J4881" s="2" t="s">
        <v>12</v>
      </c>
      <c r="K4881" s="2" t="s">
        <v>12</v>
      </c>
    </row>
    <row r="4882" spans="1:11" ht="12.5" x14ac:dyDescent="0.25">
      <c r="A4882" s="3" t="e">
        <f ca="1"/>
        <v>#NAME?</v>
      </c>
      <c r="B4882" s="2" t="s">
        <v>12</v>
      </c>
      <c r="C4882" s="2" t="s">
        <v>12</v>
      </c>
      <c r="D4882" s="2" t="s">
        <v>12</v>
      </c>
      <c r="E4882" s="2" t="s">
        <v>12</v>
      </c>
      <c r="F4882" s="2" t="s">
        <v>12</v>
      </c>
      <c r="G4882" s="2" t="s">
        <v>12</v>
      </c>
      <c r="H4882" s="2" t="s">
        <v>12</v>
      </c>
      <c r="I4882" s="2" t="s">
        <v>12</v>
      </c>
      <c r="J4882" s="2" t="s">
        <v>12</v>
      </c>
      <c r="K4882" s="2" t="s">
        <v>12</v>
      </c>
    </row>
    <row r="4883" spans="1:11" ht="12.5" x14ac:dyDescent="0.25">
      <c r="A4883" s="3" t="e">
        <f ca="1"/>
        <v>#NAME?</v>
      </c>
      <c r="B4883" s="2" t="s">
        <v>12</v>
      </c>
      <c r="C4883" s="2" t="s">
        <v>12</v>
      </c>
      <c r="D4883" s="2" t="s">
        <v>12</v>
      </c>
      <c r="E4883" s="2" t="s">
        <v>12</v>
      </c>
      <c r="F4883" s="2" t="s">
        <v>12</v>
      </c>
      <c r="G4883" s="2" t="s">
        <v>12</v>
      </c>
      <c r="H4883" s="2" t="s">
        <v>12</v>
      </c>
      <c r="I4883" s="2" t="s">
        <v>12</v>
      </c>
      <c r="J4883" s="2" t="s">
        <v>12</v>
      </c>
      <c r="K4883" s="2" t="s">
        <v>12</v>
      </c>
    </row>
    <row r="4884" spans="1:11" ht="12.5" x14ac:dyDescent="0.25">
      <c r="A4884" s="3" t="e">
        <f ca="1"/>
        <v>#NAME?</v>
      </c>
      <c r="B4884" s="2" t="s">
        <v>12</v>
      </c>
      <c r="C4884" s="2" t="s">
        <v>12</v>
      </c>
      <c r="D4884" s="2" t="s">
        <v>12</v>
      </c>
      <c r="E4884" s="2" t="s">
        <v>12</v>
      </c>
      <c r="F4884" s="2" t="s">
        <v>12</v>
      </c>
      <c r="G4884" s="2" t="s">
        <v>12</v>
      </c>
      <c r="H4884" s="2" t="s">
        <v>12</v>
      </c>
      <c r="I4884" s="2" t="s">
        <v>12</v>
      </c>
      <c r="J4884" s="2" t="s">
        <v>12</v>
      </c>
      <c r="K4884" s="2" t="s">
        <v>12</v>
      </c>
    </row>
    <row r="4885" spans="1:11" ht="12.5" x14ac:dyDescent="0.25">
      <c r="A4885" s="3" t="e">
        <f ca="1"/>
        <v>#NAME?</v>
      </c>
      <c r="B4885" s="2" t="s">
        <v>12</v>
      </c>
      <c r="C4885" s="2" t="s">
        <v>12</v>
      </c>
      <c r="D4885" s="2" t="s">
        <v>12</v>
      </c>
      <c r="E4885" s="2" t="s">
        <v>12</v>
      </c>
      <c r="F4885" s="2" t="s">
        <v>12</v>
      </c>
      <c r="G4885" s="2" t="s">
        <v>12</v>
      </c>
      <c r="H4885" s="2" t="s">
        <v>12</v>
      </c>
      <c r="I4885" s="2" t="s">
        <v>12</v>
      </c>
      <c r="J4885" s="2" t="s">
        <v>12</v>
      </c>
      <c r="K4885" s="2" t="s">
        <v>12</v>
      </c>
    </row>
    <row r="4886" spans="1:11" ht="12.5" x14ac:dyDescent="0.25">
      <c r="A4886" s="3" t="e">
        <f ca="1"/>
        <v>#NAME?</v>
      </c>
      <c r="B4886" s="2" t="s">
        <v>12</v>
      </c>
      <c r="C4886" s="2" t="s">
        <v>12</v>
      </c>
      <c r="D4886" s="2" t="s">
        <v>12</v>
      </c>
      <c r="E4886" s="2" t="s">
        <v>12</v>
      </c>
      <c r="F4886" s="2" t="s">
        <v>12</v>
      </c>
      <c r="G4886" s="2" t="s">
        <v>12</v>
      </c>
      <c r="H4886" s="2" t="s">
        <v>12</v>
      </c>
      <c r="I4886" s="2" t="s">
        <v>12</v>
      </c>
      <c r="J4886" s="2" t="s">
        <v>12</v>
      </c>
      <c r="K4886" s="2" t="s">
        <v>12</v>
      </c>
    </row>
    <row r="4887" spans="1:11" ht="12.5" x14ac:dyDescent="0.25">
      <c r="A4887" s="3" t="e">
        <f ca="1"/>
        <v>#NAME?</v>
      </c>
      <c r="B4887" s="2" t="s">
        <v>12</v>
      </c>
      <c r="C4887" s="2" t="s">
        <v>12</v>
      </c>
      <c r="D4887" s="2" t="s">
        <v>12</v>
      </c>
      <c r="E4887" s="2" t="s">
        <v>12</v>
      </c>
      <c r="F4887" s="2" t="s">
        <v>12</v>
      </c>
      <c r="G4887" s="2" t="s">
        <v>12</v>
      </c>
      <c r="H4887" s="2" t="s">
        <v>12</v>
      </c>
      <c r="I4887" s="2" t="s">
        <v>12</v>
      </c>
      <c r="J4887" s="2" t="s">
        <v>12</v>
      </c>
      <c r="K4887" s="2" t="s">
        <v>12</v>
      </c>
    </row>
    <row r="4888" spans="1:11" ht="12.5" x14ac:dyDescent="0.25">
      <c r="A4888" s="3" t="e">
        <f ca="1"/>
        <v>#NAME?</v>
      </c>
      <c r="B4888" s="2" t="s">
        <v>12</v>
      </c>
      <c r="C4888" s="2" t="s">
        <v>12</v>
      </c>
      <c r="D4888" s="2" t="s">
        <v>12</v>
      </c>
      <c r="E4888" s="2" t="s">
        <v>12</v>
      </c>
      <c r="F4888" s="2" t="s">
        <v>12</v>
      </c>
      <c r="G4888" s="2" t="s">
        <v>12</v>
      </c>
      <c r="H4888" s="2" t="s">
        <v>12</v>
      </c>
      <c r="I4888" s="2" t="s">
        <v>12</v>
      </c>
      <c r="J4888" s="2" t="s">
        <v>12</v>
      </c>
      <c r="K4888" s="2" t="s">
        <v>12</v>
      </c>
    </row>
    <row r="4889" spans="1:11" ht="12.5" x14ac:dyDescent="0.25">
      <c r="A4889" s="3" t="e">
        <f ca="1"/>
        <v>#NAME?</v>
      </c>
      <c r="B4889" s="2" t="s">
        <v>12</v>
      </c>
      <c r="C4889" s="2" t="s">
        <v>12</v>
      </c>
      <c r="D4889" s="2" t="s">
        <v>12</v>
      </c>
      <c r="E4889" s="2" t="s">
        <v>12</v>
      </c>
      <c r="F4889" s="2" t="s">
        <v>12</v>
      </c>
      <c r="G4889" s="2" t="s">
        <v>12</v>
      </c>
      <c r="H4889" s="2" t="s">
        <v>12</v>
      </c>
      <c r="I4889" s="2" t="s">
        <v>12</v>
      </c>
      <c r="J4889" s="2" t="s">
        <v>12</v>
      </c>
      <c r="K4889" s="2" t="s">
        <v>12</v>
      </c>
    </row>
    <row r="4890" spans="1:11" ht="12.5" x14ac:dyDescent="0.25">
      <c r="A4890" s="3" t="e">
        <f ca="1"/>
        <v>#NAME?</v>
      </c>
      <c r="B4890" s="2" t="s">
        <v>12</v>
      </c>
      <c r="C4890" s="2" t="s">
        <v>12</v>
      </c>
      <c r="D4890" s="2" t="s">
        <v>12</v>
      </c>
      <c r="E4890" s="2" t="s">
        <v>12</v>
      </c>
      <c r="F4890" s="2" t="s">
        <v>12</v>
      </c>
      <c r="G4890" s="2" t="s">
        <v>12</v>
      </c>
      <c r="H4890" s="2" t="s">
        <v>12</v>
      </c>
      <c r="I4890" s="2" t="s">
        <v>12</v>
      </c>
      <c r="J4890" s="2" t="s">
        <v>12</v>
      </c>
      <c r="K4890" s="2" t="s">
        <v>12</v>
      </c>
    </row>
    <row r="4891" spans="1:11" ht="12.5" x14ac:dyDescent="0.25">
      <c r="A4891" s="3" t="e">
        <f ca="1"/>
        <v>#NAME?</v>
      </c>
      <c r="B4891" s="2" t="s">
        <v>12</v>
      </c>
      <c r="C4891" s="2" t="s">
        <v>12</v>
      </c>
      <c r="D4891" s="2" t="s">
        <v>12</v>
      </c>
      <c r="E4891" s="2" t="s">
        <v>12</v>
      </c>
      <c r="F4891" s="2" t="s">
        <v>12</v>
      </c>
      <c r="G4891" s="2" t="s">
        <v>12</v>
      </c>
      <c r="H4891" s="2" t="s">
        <v>12</v>
      </c>
      <c r="I4891" s="2" t="s">
        <v>12</v>
      </c>
      <c r="J4891" s="2" t="s">
        <v>12</v>
      </c>
      <c r="K4891" s="2" t="s">
        <v>12</v>
      </c>
    </row>
    <row r="4892" spans="1:11" ht="12.5" x14ac:dyDescent="0.25">
      <c r="A4892" s="3" t="e">
        <f ca="1"/>
        <v>#NAME?</v>
      </c>
      <c r="B4892" s="2" t="s">
        <v>12</v>
      </c>
      <c r="C4892" s="2" t="s">
        <v>12</v>
      </c>
      <c r="D4892" s="2" t="s">
        <v>12</v>
      </c>
      <c r="E4892" s="2" t="s">
        <v>12</v>
      </c>
      <c r="F4892" s="2" t="s">
        <v>12</v>
      </c>
      <c r="G4892" s="2" t="s">
        <v>12</v>
      </c>
      <c r="H4892" s="2" t="s">
        <v>12</v>
      </c>
      <c r="I4892" s="2" t="s">
        <v>12</v>
      </c>
      <c r="J4892" s="2" t="s">
        <v>12</v>
      </c>
      <c r="K4892" s="2" t="s">
        <v>12</v>
      </c>
    </row>
    <row r="4893" spans="1:11" ht="12.5" x14ac:dyDescent="0.25">
      <c r="A4893" s="3" t="e">
        <f ca="1"/>
        <v>#NAME?</v>
      </c>
      <c r="B4893" s="2" t="s">
        <v>12</v>
      </c>
      <c r="C4893" s="2" t="s">
        <v>12</v>
      </c>
      <c r="D4893" s="2" t="s">
        <v>12</v>
      </c>
      <c r="E4893" s="2" t="s">
        <v>12</v>
      </c>
      <c r="F4893" s="2" t="s">
        <v>12</v>
      </c>
      <c r="G4893" s="2" t="s">
        <v>12</v>
      </c>
      <c r="H4893" s="2" t="s">
        <v>12</v>
      </c>
      <c r="I4893" s="2" t="s">
        <v>12</v>
      </c>
      <c r="J4893" s="2" t="s">
        <v>12</v>
      </c>
      <c r="K4893" s="2" t="s">
        <v>12</v>
      </c>
    </row>
    <row r="4894" spans="1:11" ht="12.5" x14ac:dyDescent="0.25">
      <c r="A4894" s="3" t="e">
        <f ca="1"/>
        <v>#NAME?</v>
      </c>
      <c r="B4894" s="2" t="s">
        <v>12</v>
      </c>
      <c r="C4894" s="2" t="s">
        <v>12</v>
      </c>
      <c r="D4894" s="2" t="s">
        <v>12</v>
      </c>
      <c r="E4894" s="2" t="s">
        <v>12</v>
      </c>
      <c r="F4894" s="2" t="s">
        <v>12</v>
      </c>
      <c r="G4894" s="2" t="s">
        <v>12</v>
      </c>
      <c r="H4894" s="2" t="s">
        <v>12</v>
      </c>
      <c r="I4894" s="2" t="s">
        <v>12</v>
      </c>
      <c r="J4894" s="2" t="s">
        <v>12</v>
      </c>
      <c r="K4894" s="2" t="s">
        <v>12</v>
      </c>
    </row>
    <row r="4895" spans="1:11" ht="12.5" x14ac:dyDescent="0.25">
      <c r="A4895" s="3" t="e">
        <f ca="1"/>
        <v>#NAME?</v>
      </c>
      <c r="B4895" s="2" t="s">
        <v>12</v>
      </c>
      <c r="C4895" s="2" t="s">
        <v>12</v>
      </c>
      <c r="D4895" s="2" t="s">
        <v>12</v>
      </c>
      <c r="E4895" s="2" t="s">
        <v>12</v>
      </c>
      <c r="F4895" s="2" t="s">
        <v>12</v>
      </c>
      <c r="G4895" s="2" t="s">
        <v>12</v>
      </c>
      <c r="H4895" s="2" t="s">
        <v>12</v>
      </c>
      <c r="I4895" s="2" t="s">
        <v>12</v>
      </c>
      <c r="J4895" s="2" t="s">
        <v>12</v>
      </c>
      <c r="K4895" s="2" t="s">
        <v>12</v>
      </c>
    </row>
    <row r="4896" spans="1:11" ht="12.5" x14ac:dyDescent="0.25">
      <c r="A4896" s="3" t="e">
        <f ca="1"/>
        <v>#NAME?</v>
      </c>
      <c r="B4896" s="2" t="s">
        <v>12</v>
      </c>
      <c r="C4896" s="2" t="s">
        <v>12</v>
      </c>
      <c r="D4896" s="2" t="s">
        <v>12</v>
      </c>
      <c r="E4896" s="2" t="s">
        <v>12</v>
      </c>
      <c r="F4896" s="2" t="s">
        <v>12</v>
      </c>
      <c r="G4896" s="2" t="s">
        <v>12</v>
      </c>
      <c r="H4896" s="2" t="s">
        <v>12</v>
      </c>
      <c r="I4896" s="2" t="s">
        <v>12</v>
      </c>
      <c r="J4896" s="2" t="s">
        <v>12</v>
      </c>
      <c r="K4896" s="2" t="s">
        <v>12</v>
      </c>
    </row>
    <row r="4897" spans="1:11" ht="12.5" x14ac:dyDescent="0.25">
      <c r="A4897" s="3" t="e">
        <f ca="1"/>
        <v>#NAME?</v>
      </c>
      <c r="B4897" s="2" t="s">
        <v>12</v>
      </c>
      <c r="C4897" s="2" t="s">
        <v>12</v>
      </c>
      <c r="D4897" s="2" t="s">
        <v>12</v>
      </c>
      <c r="E4897" s="2" t="s">
        <v>12</v>
      </c>
      <c r="F4897" s="2" t="s">
        <v>12</v>
      </c>
      <c r="G4897" s="2" t="s">
        <v>12</v>
      </c>
      <c r="H4897" s="2" t="s">
        <v>12</v>
      </c>
      <c r="I4897" s="2" t="s">
        <v>12</v>
      </c>
      <c r="J4897" s="2" t="s">
        <v>12</v>
      </c>
      <c r="K4897" s="2" t="s">
        <v>12</v>
      </c>
    </row>
    <row r="4898" spans="1:11" ht="12.5" x14ac:dyDescent="0.25">
      <c r="A4898" s="3" t="e">
        <f ca="1"/>
        <v>#NAME?</v>
      </c>
      <c r="B4898" s="2" t="s">
        <v>12</v>
      </c>
      <c r="C4898" s="2" t="s">
        <v>12</v>
      </c>
      <c r="D4898" s="2" t="s">
        <v>12</v>
      </c>
      <c r="E4898" s="2" t="s">
        <v>12</v>
      </c>
      <c r="F4898" s="2" t="s">
        <v>12</v>
      </c>
      <c r="G4898" s="2" t="s">
        <v>12</v>
      </c>
      <c r="H4898" s="2" t="s">
        <v>12</v>
      </c>
      <c r="I4898" s="2" t="s">
        <v>12</v>
      </c>
      <c r="J4898" s="2" t="s">
        <v>12</v>
      </c>
      <c r="K4898" s="2" t="s">
        <v>12</v>
      </c>
    </row>
    <row r="4899" spans="1:11" ht="12.5" x14ac:dyDescent="0.25">
      <c r="A4899" s="3" t="e">
        <f ca="1"/>
        <v>#NAME?</v>
      </c>
      <c r="B4899" s="2" t="s">
        <v>12</v>
      </c>
      <c r="C4899" s="2" t="s">
        <v>12</v>
      </c>
      <c r="D4899" s="2" t="s">
        <v>12</v>
      </c>
      <c r="E4899" s="2" t="s">
        <v>12</v>
      </c>
      <c r="F4899" s="2" t="s">
        <v>12</v>
      </c>
      <c r="G4899" s="2" t="s">
        <v>12</v>
      </c>
      <c r="H4899" s="2" t="s">
        <v>12</v>
      </c>
      <c r="I4899" s="2" t="s">
        <v>12</v>
      </c>
      <c r="J4899" s="2" t="s">
        <v>12</v>
      </c>
      <c r="K4899" s="2" t="s">
        <v>12</v>
      </c>
    </row>
    <row r="4900" spans="1:11" ht="12.5" x14ac:dyDescent="0.25">
      <c r="A4900" s="3" t="e">
        <f ca="1"/>
        <v>#NAME?</v>
      </c>
      <c r="B4900" s="2" t="s">
        <v>12</v>
      </c>
      <c r="C4900" s="2" t="s">
        <v>12</v>
      </c>
      <c r="D4900" s="2" t="s">
        <v>12</v>
      </c>
      <c r="E4900" s="2" t="s">
        <v>12</v>
      </c>
      <c r="F4900" s="2" t="s">
        <v>12</v>
      </c>
      <c r="G4900" s="2" t="s">
        <v>12</v>
      </c>
      <c r="H4900" s="2" t="s">
        <v>12</v>
      </c>
      <c r="I4900" s="2" t="s">
        <v>12</v>
      </c>
      <c r="J4900" s="2" t="s">
        <v>12</v>
      </c>
      <c r="K4900" s="2" t="s">
        <v>12</v>
      </c>
    </row>
    <row r="4901" spans="1:11" ht="12.5" x14ac:dyDescent="0.25">
      <c r="A4901" s="3" t="e">
        <f ca="1"/>
        <v>#NAME?</v>
      </c>
      <c r="B4901" s="2" t="s">
        <v>12</v>
      </c>
      <c r="C4901" s="2" t="s">
        <v>12</v>
      </c>
      <c r="D4901" s="2" t="s">
        <v>12</v>
      </c>
      <c r="E4901" s="2" t="s">
        <v>12</v>
      </c>
      <c r="F4901" s="2" t="s">
        <v>12</v>
      </c>
      <c r="G4901" s="2" t="s">
        <v>12</v>
      </c>
      <c r="H4901" s="2" t="s">
        <v>12</v>
      </c>
      <c r="I4901" s="2" t="s">
        <v>12</v>
      </c>
      <c r="J4901" s="2" t="s">
        <v>12</v>
      </c>
      <c r="K4901" s="2" t="s">
        <v>12</v>
      </c>
    </row>
    <row r="4902" spans="1:11" ht="12.5" x14ac:dyDescent="0.25">
      <c r="A4902" s="3" t="e">
        <f ca="1"/>
        <v>#NAME?</v>
      </c>
      <c r="B4902" s="2" t="s">
        <v>12</v>
      </c>
      <c r="C4902" s="2" t="s">
        <v>12</v>
      </c>
      <c r="D4902" s="2" t="s">
        <v>12</v>
      </c>
      <c r="E4902" s="2" t="s">
        <v>12</v>
      </c>
      <c r="F4902" s="2" t="s">
        <v>12</v>
      </c>
      <c r="G4902" s="2" t="s">
        <v>12</v>
      </c>
      <c r="H4902" s="2" t="s">
        <v>12</v>
      </c>
      <c r="I4902" s="2" t="s">
        <v>12</v>
      </c>
      <c r="J4902" s="2" t="s">
        <v>12</v>
      </c>
      <c r="K4902" s="2" t="s">
        <v>12</v>
      </c>
    </row>
    <row r="4903" spans="1:11" ht="12.5" x14ac:dyDescent="0.25">
      <c r="A4903" s="3" t="e">
        <f ca="1"/>
        <v>#NAME?</v>
      </c>
      <c r="B4903" s="2" t="s">
        <v>12</v>
      </c>
      <c r="C4903" s="2" t="s">
        <v>12</v>
      </c>
      <c r="D4903" s="2" t="s">
        <v>12</v>
      </c>
      <c r="E4903" s="2" t="s">
        <v>12</v>
      </c>
      <c r="F4903" s="2" t="s">
        <v>12</v>
      </c>
      <c r="G4903" s="2" t="s">
        <v>12</v>
      </c>
      <c r="H4903" s="2" t="s">
        <v>12</v>
      </c>
      <c r="I4903" s="2" t="s">
        <v>12</v>
      </c>
      <c r="J4903" s="2" t="s">
        <v>12</v>
      </c>
      <c r="K4903" s="2" t="s">
        <v>12</v>
      </c>
    </row>
    <row r="4904" spans="1:11" ht="12.5" x14ac:dyDescent="0.25">
      <c r="A4904" s="3" t="e">
        <f ca="1"/>
        <v>#NAME?</v>
      </c>
      <c r="B4904" s="2" t="s">
        <v>12</v>
      </c>
      <c r="C4904" s="2" t="s">
        <v>12</v>
      </c>
      <c r="D4904" s="2" t="s">
        <v>12</v>
      </c>
      <c r="E4904" s="2" t="s">
        <v>12</v>
      </c>
      <c r="F4904" s="2" t="s">
        <v>12</v>
      </c>
      <c r="G4904" s="2" t="s">
        <v>12</v>
      </c>
      <c r="H4904" s="2" t="s">
        <v>12</v>
      </c>
      <c r="I4904" s="2" t="s">
        <v>12</v>
      </c>
      <c r="J4904" s="2" t="s">
        <v>12</v>
      </c>
      <c r="K4904" s="2" t="s">
        <v>12</v>
      </c>
    </row>
    <row r="4905" spans="1:11" ht="12.5" x14ac:dyDescent="0.25">
      <c r="A4905" s="3" t="e">
        <f ca="1"/>
        <v>#NAME?</v>
      </c>
      <c r="B4905" s="2" t="s">
        <v>12</v>
      </c>
      <c r="C4905" s="2" t="s">
        <v>12</v>
      </c>
      <c r="D4905" s="2" t="s">
        <v>12</v>
      </c>
      <c r="E4905" s="2" t="s">
        <v>12</v>
      </c>
      <c r="F4905" s="2" t="s">
        <v>12</v>
      </c>
      <c r="G4905" s="2" t="s">
        <v>12</v>
      </c>
      <c r="H4905" s="2" t="s">
        <v>12</v>
      </c>
      <c r="I4905" s="2" t="s">
        <v>12</v>
      </c>
      <c r="J4905" s="2" t="s">
        <v>12</v>
      </c>
      <c r="K4905" s="2" t="s">
        <v>12</v>
      </c>
    </row>
    <row r="4906" spans="1:11" ht="12.5" x14ac:dyDescent="0.25">
      <c r="A4906" s="3" t="e">
        <f ca="1"/>
        <v>#NAME?</v>
      </c>
      <c r="B4906" s="2" t="s">
        <v>12</v>
      </c>
      <c r="C4906" s="2" t="s">
        <v>12</v>
      </c>
      <c r="D4906" s="2" t="s">
        <v>12</v>
      </c>
      <c r="E4906" s="2" t="s">
        <v>12</v>
      </c>
      <c r="F4906" s="2" t="s">
        <v>12</v>
      </c>
      <c r="G4906" s="2" t="s">
        <v>12</v>
      </c>
      <c r="H4906" s="2" t="s">
        <v>12</v>
      </c>
      <c r="I4906" s="2" t="s">
        <v>12</v>
      </c>
      <c r="J4906" s="2" t="s">
        <v>12</v>
      </c>
      <c r="K4906" s="2" t="s">
        <v>12</v>
      </c>
    </row>
    <row r="4907" spans="1:11" ht="12.5" x14ac:dyDescent="0.25">
      <c r="A4907" s="3" t="e">
        <f ca="1"/>
        <v>#NAME?</v>
      </c>
      <c r="B4907" s="2" t="s">
        <v>12</v>
      </c>
      <c r="C4907" s="2" t="s">
        <v>12</v>
      </c>
      <c r="D4907" s="2" t="s">
        <v>12</v>
      </c>
      <c r="E4907" s="2" t="s">
        <v>12</v>
      </c>
      <c r="F4907" s="2" t="s">
        <v>12</v>
      </c>
      <c r="G4907" s="2" t="s">
        <v>12</v>
      </c>
      <c r="H4907" s="2" t="s">
        <v>12</v>
      </c>
      <c r="I4907" s="2" t="s">
        <v>12</v>
      </c>
      <c r="J4907" s="2" t="s">
        <v>12</v>
      </c>
      <c r="K4907" s="2" t="s">
        <v>12</v>
      </c>
    </row>
    <row r="4908" spans="1:11" ht="12.5" x14ac:dyDescent="0.25">
      <c r="A4908" s="3" t="e">
        <f ca="1"/>
        <v>#NAME?</v>
      </c>
      <c r="B4908" s="2" t="s">
        <v>12</v>
      </c>
      <c r="C4908" s="2" t="s">
        <v>12</v>
      </c>
      <c r="D4908" s="2" t="s">
        <v>12</v>
      </c>
      <c r="E4908" s="2" t="s">
        <v>12</v>
      </c>
      <c r="F4908" s="2" t="s">
        <v>12</v>
      </c>
      <c r="G4908" s="2" t="s">
        <v>12</v>
      </c>
      <c r="H4908" s="2" t="s">
        <v>12</v>
      </c>
      <c r="I4908" s="2" t="s">
        <v>12</v>
      </c>
      <c r="J4908" s="2" t="s">
        <v>12</v>
      </c>
      <c r="K4908" s="2" t="s">
        <v>12</v>
      </c>
    </row>
    <row r="4909" spans="1:11" ht="12.5" x14ac:dyDescent="0.25">
      <c r="A4909" s="3" t="e">
        <f ca="1"/>
        <v>#NAME?</v>
      </c>
      <c r="B4909" s="2" t="s">
        <v>12</v>
      </c>
      <c r="C4909" s="2" t="s">
        <v>12</v>
      </c>
      <c r="D4909" s="2" t="s">
        <v>12</v>
      </c>
      <c r="E4909" s="2" t="s">
        <v>12</v>
      </c>
      <c r="F4909" s="2" t="s">
        <v>12</v>
      </c>
      <c r="G4909" s="2" t="s">
        <v>12</v>
      </c>
      <c r="H4909" s="2" t="s">
        <v>12</v>
      </c>
      <c r="I4909" s="2" t="s">
        <v>12</v>
      </c>
      <c r="J4909" s="2" t="s">
        <v>12</v>
      </c>
      <c r="K4909" s="2" t="s">
        <v>12</v>
      </c>
    </row>
    <row r="4910" spans="1:11" ht="12.5" x14ac:dyDescent="0.25">
      <c r="A4910" s="3" t="e">
        <f ca="1"/>
        <v>#NAME?</v>
      </c>
      <c r="B4910" s="2" t="s">
        <v>12</v>
      </c>
      <c r="C4910" s="2" t="s">
        <v>12</v>
      </c>
      <c r="D4910" s="2" t="s">
        <v>12</v>
      </c>
      <c r="E4910" s="2" t="s">
        <v>12</v>
      </c>
      <c r="F4910" s="2" t="s">
        <v>12</v>
      </c>
      <c r="G4910" s="2" t="s">
        <v>12</v>
      </c>
      <c r="H4910" s="2" t="s">
        <v>12</v>
      </c>
      <c r="I4910" s="2" t="s">
        <v>12</v>
      </c>
      <c r="J4910" s="2" t="s">
        <v>12</v>
      </c>
      <c r="K4910" s="2" t="s">
        <v>12</v>
      </c>
    </row>
    <row r="4911" spans="1:11" ht="12.5" x14ac:dyDescent="0.25">
      <c r="A4911" s="3" t="e">
        <f ca="1"/>
        <v>#NAME?</v>
      </c>
      <c r="B4911" s="2" t="s">
        <v>12</v>
      </c>
      <c r="C4911" s="2" t="s">
        <v>12</v>
      </c>
      <c r="D4911" s="2" t="s">
        <v>12</v>
      </c>
      <c r="E4911" s="2" t="s">
        <v>12</v>
      </c>
      <c r="F4911" s="2" t="s">
        <v>12</v>
      </c>
      <c r="G4911" s="2" t="s">
        <v>12</v>
      </c>
      <c r="H4911" s="2" t="s">
        <v>12</v>
      </c>
      <c r="I4911" s="2" t="s">
        <v>12</v>
      </c>
      <c r="J4911" s="2" t="s">
        <v>12</v>
      </c>
      <c r="K4911" s="2" t="s">
        <v>12</v>
      </c>
    </row>
    <row r="4912" spans="1:11" ht="12.5" x14ac:dyDescent="0.25">
      <c r="A4912" s="3" t="e">
        <f ca="1"/>
        <v>#NAME?</v>
      </c>
      <c r="B4912" s="2" t="s">
        <v>12</v>
      </c>
      <c r="C4912" s="2" t="s">
        <v>12</v>
      </c>
      <c r="D4912" s="2" t="s">
        <v>12</v>
      </c>
      <c r="E4912" s="2" t="s">
        <v>12</v>
      </c>
      <c r="F4912" s="2" t="s">
        <v>12</v>
      </c>
      <c r="G4912" s="2" t="s">
        <v>12</v>
      </c>
      <c r="H4912" s="2" t="s">
        <v>12</v>
      </c>
      <c r="I4912" s="2" t="s">
        <v>12</v>
      </c>
      <c r="J4912" s="2" t="s">
        <v>12</v>
      </c>
      <c r="K4912" s="2" t="s">
        <v>12</v>
      </c>
    </row>
    <row r="4913" spans="1:11" ht="12.5" x14ac:dyDescent="0.25">
      <c r="A4913" s="3" t="e">
        <f ca="1"/>
        <v>#NAME?</v>
      </c>
      <c r="B4913" s="2" t="s">
        <v>12</v>
      </c>
      <c r="C4913" s="2" t="s">
        <v>12</v>
      </c>
      <c r="D4913" s="2" t="s">
        <v>12</v>
      </c>
      <c r="E4913" s="2" t="s">
        <v>12</v>
      </c>
      <c r="F4913" s="2" t="s">
        <v>12</v>
      </c>
      <c r="G4913" s="2" t="s">
        <v>12</v>
      </c>
      <c r="H4913" s="2" t="s">
        <v>12</v>
      </c>
      <c r="I4913" s="2" t="s">
        <v>12</v>
      </c>
      <c r="J4913" s="2" t="s">
        <v>12</v>
      </c>
      <c r="K4913" s="2" t="s">
        <v>12</v>
      </c>
    </row>
    <row r="4914" spans="1:11" ht="12.5" x14ac:dyDescent="0.25">
      <c r="A4914" s="3" t="e">
        <f ca="1"/>
        <v>#NAME?</v>
      </c>
      <c r="B4914" s="2" t="s">
        <v>12</v>
      </c>
      <c r="C4914" s="2" t="s">
        <v>12</v>
      </c>
      <c r="D4914" s="2" t="s">
        <v>12</v>
      </c>
      <c r="E4914" s="2" t="s">
        <v>12</v>
      </c>
      <c r="F4914" s="2" t="s">
        <v>12</v>
      </c>
      <c r="G4914" s="2" t="s">
        <v>12</v>
      </c>
      <c r="H4914" s="2" t="s">
        <v>12</v>
      </c>
      <c r="I4914" s="2" t="s">
        <v>12</v>
      </c>
      <c r="J4914" s="2" t="s">
        <v>12</v>
      </c>
      <c r="K4914" s="2" t="s">
        <v>12</v>
      </c>
    </row>
    <row r="4915" spans="1:11" ht="12.5" x14ac:dyDescent="0.25">
      <c r="A4915" s="3" t="e">
        <f ca="1"/>
        <v>#NAME?</v>
      </c>
      <c r="B4915" s="2" t="s">
        <v>12</v>
      </c>
      <c r="C4915" s="2" t="s">
        <v>12</v>
      </c>
      <c r="D4915" s="2" t="s">
        <v>12</v>
      </c>
      <c r="E4915" s="2" t="s">
        <v>12</v>
      </c>
      <c r="F4915" s="2" t="s">
        <v>12</v>
      </c>
      <c r="G4915" s="2" t="s">
        <v>12</v>
      </c>
      <c r="H4915" s="2" t="s">
        <v>12</v>
      </c>
      <c r="I4915" s="2" t="s">
        <v>12</v>
      </c>
      <c r="J4915" s="2" t="s">
        <v>12</v>
      </c>
      <c r="K4915" s="2" t="s">
        <v>12</v>
      </c>
    </row>
    <row r="4916" spans="1:11" ht="12.5" x14ac:dyDescent="0.25">
      <c r="A4916" s="3" t="e">
        <f ca="1"/>
        <v>#NAME?</v>
      </c>
      <c r="B4916" s="2" t="s">
        <v>12</v>
      </c>
      <c r="C4916" s="2" t="s">
        <v>12</v>
      </c>
      <c r="D4916" s="2" t="s">
        <v>12</v>
      </c>
      <c r="E4916" s="2" t="s">
        <v>12</v>
      </c>
      <c r="F4916" s="2" t="s">
        <v>12</v>
      </c>
      <c r="G4916" s="2" t="s">
        <v>12</v>
      </c>
      <c r="H4916" s="2" t="s">
        <v>12</v>
      </c>
      <c r="I4916" s="2" t="s">
        <v>12</v>
      </c>
      <c r="J4916" s="2" t="s">
        <v>12</v>
      </c>
      <c r="K4916" s="2" t="s">
        <v>12</v>
      </c>
    </row>
    <row r="4917" spans="1:11" ht="12.5" x14ac:dyDescent="0.25">
      <c r="A4917" s="3" t="e">
        <f ca="1"/>
        <v>#NAME?</v>
      </c>
      <c r="B4917" s="2" t="s">
        <v>12</v>
      </c>
      <c r="C4917" s="2" t="s">
        <v>12</v>
      </c>
      <c r="D4917" s="2" t="s">
        <v>12</v>
      </c>
      <c r="E4917" s="2" t="s">
        <v>12</v>
      </c>
      <c r="F4917" s="2" t="s">
        <v>12</v>
      </c>
      <c r="G4917" s="2" t="s">
        <v>12</v>
      </c>
      <c r="H4917" s="2" t="s">
        <v>12</v>
      </c>
      <c r="I4917" s="2" t="s">
        <v>12</v>
      </c>
      <c r="J4917" s="2" t="s">
        <v>12</v>
      </c>
      <c r="K4917" s="2" t="s">
        <v>12</v>
      </c>
    </row>
    <row r="4918" spans="1:11" ht="12.5" x14ac:dyDescent="0.25">
      <c r="A4918" s="3" t="e">
        <f ca="1"/>
        <v>#NAME?</v>
      </c>
      <c r="B4918" s="2" t="s">
        <v>12</v>
      </c>
      <c r="C4918" s="2" t="s">
        <v>12</v>
      </c>
      <c r="D4918" s="2" t="s">
        <v>12</v>
      </c>
      <c r="E4918" s="2" t="s">
        <v>12</v>
      </c>
      <c r="F4918" s="2" t="s">
        <v>12</v>
      </c>
      <c r="G4918" s="2" t="s">
        <v>12</v>
      </c>
      <c r="H4918" s="2" t="s">
        <v>12</v>
      </c>
      <c r="I4918" s="2" t="s">
        <v>12</v>
      </c>
      <c r="J4918" s="2" t="s">
        <v>12</v>
      </c>
      <c r="K4918" s="2" t="s">
        <v>12</v>
      </c>
    </row>
    <row r="4919" spans="1:11" ht="12.5" x14ac:dyDescent="0.25">
      <c r="A4919" s="3" t="e">
        <f ca="1"/>
        <v>#NAME?</v>
      </c>
      <c r="B4919" s="2" t="s">
        <v>12</v>
      </c>
      <c r="C4919" s="2" t="s">
        <v>12</v>
      </c>
      <c r="D4919" s="2" t="s">
        <v>12</v>
      </c>
      <c r="E4919" s="2" t="s">
        <v>12</v>
      </c>
      <c r="F4919" s="2" t="s">
        <v>12</v>
      </c>
      <c r="G4919" s="2" t="s">
        <v>12</v>
      </c>
      <c r="H4919" s="2" t="s">
        <v>12</v>
      </c>
      <c r="I4919" s="2" t="s">
        <v>12</v>
      </c>
      <c r="J4919" s="2" t="s">
        <v>12</v>
      </c>
      <c r="K4919" s="2" t="s">
        <v>12</v>
      </c>
    </row>
    <row r="4920" spans="1:11" ht="12.5" x14ac:dyDescent="0.25">
      <c r="A4920" s="3" t="e">
        <f ca="1"/>
        <v>#NAME?</v>
      </c>
      <c r="B4920" s="2" t="s">
        <v>12</v>
      </c>
      <c r="C4920" s="2" t="s">
        <v>12</v>
      </c>
      <c r="D4920" s="2" t="s">
        <v>12</v>
      </c>
      <c r="E4920" s="2" t="s">
        <v>12</v>
      </c>
      <c r="F4920" s="2" t="s">
        <v>12</v>
      </c>
      <c r="G4920" s="2" t="s">
        <v>12</v>
      </c>
      <c r="H4920" s="2" t="s">
        <v>12</v>
      </c>
      <c r="I4920" s="2" t="s">
        <v>12</v>
      </c>
      <c r="J4920" s="2" t="s">
        <v>12</v>
      </c>
      <c r="K4920" s="2" t="s">
        <v>12</v>
      </c>
    </row>
    <row r="4921" spans="1:11" ht="12.5" x14ac:dyDescent="0.25">
      <c r="A4921" s="3" t="e">
        <f ca="1"/>
        <v>#NAME?</v>
      </c>
      <c r="B4921" s="2" t="s">
        <v>12</v>
      </c>
      <c r="C4921" s="2" t="s">
        <v>12</v>
      </c>
      <c r="D4921" s="2" t="s">
        <v>12</v>
      </c>
      <c r="E4921" s="2" t="s">
        <v>12</v>
      </c>
      <c r="F4921" s="2" t="s">
        <v>12</v>
      </c>
      <c r="G4921" s="2" t="s">
        <v>12</v>
      </c>
      <c r="H4921" s="2" t="s">
        <v>12</v>
      </c>
      <c r="I4921" s="2" t="s">
        <v>12</v>
      </c>
      <c r="J4921" s="2" t="s">
        <v>12</v>
      </c>
      <c r="K4921" s="2" t="s">
        <v>12</v>
      </c>
    </row>
    <row r="4922" spans="1:11" ht="12.5" x14ac:dyDescent="0.25">
      <c r="A4922" s="3" t="e">
        <f ca="1"/>
        <v>#NAME?</v>
      </c>
      <c r="B4922" s="2" t="s">
        <v>12</v>
      </c>
      <c r="C4922" s="2" t="s">
        <v>12</v>
      </c>
      <c r="D4922" s="2" t="s">
        <v>12</v>
      </c>
      <c r="E4922" s="2" t="s">
        <v>12</v>
      </c>
      <c r="F4922" s="2" t="s">
        <v>12</v>
      </c>
      <c r="G4922" s="2" t="s">
        <v>12</v>
      </c>
      <c r="H4922" s="2" t="s">
        <v>12</v>
      </c>
      <c r="I4922" s="2" t="s">
        <v>12</v>
      </c>
      <c r="J4922" s="2" t="s">
        <v>12</v>
      </c>
      <c r="K4922" s="2" t="s">
        <v>12</v>
      </c>
    </row>
    <row r="4923" spans="1:11" ht="12.5" x14ac:dyDescent="0.25">
      <c r="A4923" s="3" t="e">
        <f ca="1"/>
        <v>#NAME?</v>
      </c>
      <c r="B4923" s="2" t="s">
        <v>12</v>
      </c>
      <c r="C4923" s="2" t="s">
        <v>12</v>
      </c>
      <c r="D4923" s="2" t="s">
        <v>12</v>
      </c>
      <c r="E4923" s="2" t="s">
        <v>12</v>
      </c>
      <c r="F4923" s="2" t="s">
        <v>12</v>
      </c>
      <c r="G4923" s="2" t="s">
        <v>12</v>
      </c>
      <c r="H4923" s="2" t="s">
        <v>12</v>
      </c>
      <c r="I4923" s="2" t="s">
        <v>12</v>
      </c>
      <c r="J4923" s="2" t="s">
        <v>12</v>
      </c>
      <c r="K4923" s="2" t="s">
        <v>12</v>
      </c>
    </row>
    <row r="4924" spans="1:11" ht="12.5" x14ac:dyDescent="0.25">
      <c r="A4924" s="3" t="e">
        <f ca="1"/>
        <v>#NAME?</v>
      </c>
      <c r="B4924" s="2" t="s">
        <v>12</v>
      </c>
      <c r="C4924" s="2" t="s">
        <v>12</v>
      </c>
      <c r="D4924" s="2" t="s">
        <v>12</v>
      </c>
      <c r="E4924" s="2" t="s">
        <v>12</v>
      </c>
      <c r="F4924" s="2" t="s">
        <v>12</v>
      </c>
      <c r="G4924" s="2" t="s">
        <v>12</v>
      </c>
      <c r="H4924" s="2" t="s">
        <v>12</v>
      </c>
      <c r="I4924" s="2" t="s">
        <v>12</v>
      </c>
      <c r="J4924" s="2" t="s">
        <v>12</v>
      </c>
      <c r="K4924" s="2" t="s">
        <v>12</v>
      </c>
    </row>
    <row r="4925" spans="1:11" ht="12.5" x14ac:dyDescent="0.25">
      <c r="A4925" s="3" t="e">
        <f ca="1"/>
        <v>#NAME?</v>
      </c>
      <c r="B4925" s="2" t="s">
        <v>12</v>
      </c>
      <c r="C4925" s="2" t="s">
        <v>12</v>
      </c>
      <c r="D4925" s="2" t="s">
        <v>12</v>
      </c>
      <c r="E4925" s="2" t="s">
        <v>12</v>
      </c>
      <c r="F4925" s="2" t="s">
        <v>12</v>
      </c>
      <c r="G4925" s="2" t="s">
        <v>12</v>
      </c>
      <c r="H4925" s="2" t="s">
        <v>12</v>
      </c>
      <c r="I4925" s="2" t="s">
        <v>12</v>
      </c>
      <c r="J4925" s="2" t="s">
        <v>12</v>
      </c>
      <c r="K4925" s="2" t="s">
        <v>12</v>
      </c>
    </row>
    <row r="4926" spans="1:11" ht="12.5" x14ac:dyDescent="0.25">
      <c r="A4926" s="3" t="e">
        <f ca="1"/>
        <v>#NAME?</v>
      </c>
      <c r="B4926" s="2" t="s">
        <v>12</v>
      </c>
      <c r="C4926" s="2" t="s">
        <v>12</v>
      </c>
      <c r="D4926" s="2" t="s">
        <v>12</v>
      </c>
      <c r="E4926" s="2" t="s">
        <v>12</v>
      </c>
      <c r="F4926" s="2" t="s">
        <v>12</v>
      </c>
      <c r="G4926" s="2" t="s">
        <v>12</v>
      </c>
      <c r="H4926" s="2" t="s">
        <v>12</v>
      </c>
      <c r="I4926" s="2" t="s">
        <v>12</v>
      </c>
      <c r="J4926" s="2" t="s">
        <v>12</v>
      </c>
      <c r="K4926" s="2" t="s">
        <v>12</v>
      </c>
    </row>
    <row r="4927" spans="1:11" ht="12.5" x14ac:dyDescent="0.25">
      <c r="A4927" s="3" t="e">
        <f ca="1"/>
        <v>#NAME?</v>
      </c>
      <c r="B4927" s="2" t="s">
        <v>12</v>
      </c>
      <c r="C4927" s="2" t="s">
        <v>12</v>
      </c>
      <c r="D4927" s="2" t="s">
        <v>12</v>
      </c>
      <c r="E4927" s="2" t="s">
        <v>12</v>
      </c>
      <c r="F4927" s="2" t="s">
        <v>12</v>
      </c>
      <c r="G4927" s="2" t="s">
        <v>12</v>
      </c>
      <c r="H4927" s="2" t="s">
        <v>12</v>
      </c>
      <c r="I4927" s="2" t="s">
        <v>12</v>
      </c>
      <c r="J4927" s="2" t="s">
        <v>12</v>
      </c>
      <c r="K4927" s="2" t="s">
        <v>12</v>
      </c>
    </row>
    <row r="4928" spans="1:11" ht="12.5" x14ac:dyDescent="0.25">
      <c r="A4928" s="3" t="e">
        <f ca="1"/>
        <v>#NAME?</v>
      </c>
      <c r="B4928" s="2" t="s">
        <v>12</v>
      </c>
      <c r="C4928" s="2" t="s">
        <v>12</v>
      </c>
      <c r="D4928" s="2" t="s">
        <v>12</v>
      </c>
      <c r="E4928" s="2" t="s">
        <v>12</v>
      </c>
      <c r="F4928" s="2" t="s">
        <v>12</v>
      </c>
      <c r="G4928" s="2" t="s">
        <v>12</v>
      </c>
      <c r="H4928" s="2" t="s">
        <v>12</v>
      </c>
      <c r="I4928" s="2" t="s">
        <v>12</v>
      </c>
      <c r="J4928" s="2" t="s">
        <v>12</v>
      </c>
      <c r="K4928" s="2" t="s">
        <v>12</v>
      </c>
    </row>
    <row r="4929" spans="1:11" ht="12.5" x14ac:dyDescent="0.25">
      <c r="A4929" s="3" t="e">
        <f ca="1"/>
        <v>#NAME?</v>
      </c>
      <c r="B4929" s="2" t="s">
        <v>12</v>
      </c>
      <c r="C4929" s="2" t="s">
        <v>12</v>
      </c>
      <c r="D4929" s="2" t="s">
        <v>12</v>
      </c>
      <c r="E4929" s="2" t="s">
        <v>12</v>
      </c>
      <c r="F4929" s="2" t="s">
        <v>12</v>
      </c>
      <c r="G4929" s="2" t="s">
        <v>12</v>
      </c>
      <c r="H4929" s="2" t="s">
        <v>12</v>
      </c>
      <c r="I4929" s="2" t="s">
        <v>12</v>
      </c>
      <c r="J4929" s="2" t="s">
        <v>12</v>
      </c>
      <c r="K4929" s="2" t="s">
        <v>12</v>
      </c>
    </row>
    <row r="4930" spans="1:11" ht="12.5" x14ac:dyDescent="0.25">
      <c r="A4930" s="3" t="e">
        <f ca="1"/>
        <v>#NAME?</v>
      </c>
      <c r="B4930" s="2" t="s">
        <v>12</v>
      </c>
      <c r="C4930" s="2" t="s">
        <v>12</v>
      </c>
      <c r="D4930" s="2" t="s">
        <v>12</v>
      </c>
      <c r="E4930" s="2" t="s">
        <v>12</v>
      </c>
      <c r="F4930" s="2" t="s">
        <v>12</v>
      </c>
      <c r="G4930" s="2" t="s">
        <v>12</v>
      </c>
      <c r="H4930" s="2" t="s">
        <v>12</v>
      </c>
      <c r="I4930" s="2" t="s">
        <v>12</v>
      </c>
      <c r="J4930" s="2" t="s">
        <v>12</v>
      </c>
      <c r="K4930" s="2" t="s">
        <v>12</v>
      </c>
    </row>
    <row r="4931" spans="1:11" ht="12.5" x14ac:dyDescent="0.25">
      <c r="A4931" s="3" t="e">
        <f ca="1"/>
        <v>#NAME?</v>
      </c>
      <c r="B4931" s="2" t="s">
        <v>12</v>
      </c>
      <c r="C4931" s="2" t="s">
        <v>12</v>
      </c>
      <c r="D4931" s="2" t="s">
        <v>12</v>
      </c>
      <c r="E4931" s="2" t="s">
        <v>12</v>
      </c>
      <c r="F4931" s="2" t="s">
        <v>12</v>
      </c>
      <c r="G4931" s="2" t="s">
        <v>12</v>
      </c>
      <c r="H4931" s="2" t="s">
        <v>12</v>
      </c>
      <c r="I4931" s="2" t="s">
        <v>12</v>
      </c>
      <c r="J4931" s="2" t="s">
        <v>12</v>
      </c>
      <c r="K4931" s="2" t="s">
        <v>12</v>
      </c>
    </row>
    <row r="4932" spans="1:11" ht="12.5" x14ac:dyDescent="0.25">
      <c r="A4932" s="3" t="e">
        <f ca="1"/>
        <v>#NAME?</v>
      </c>
      <c r="B4932" s="2" t="s">
        <v>12</v>
      </c>
      <c r="C4932" s="2" t="s">
        <v>12</v>
      </c>
      <c r="D4932" s="2" t="s">
        <v>12</v>
      </c>
      <c r="E4932" s="2" t="s">
        <v>12</v>
      </c>
      <c r="F4932" s="2" t="s">
        <v>12</v>
      </c>
      <c r="G4932" s="2" t="s">
        <v>12</v>
      </c>
      <c r="H4932" s="2" t="s">
        <v>12</v>
      </c>
      <c r="I4932" s="2" t="s">
        <v>12</v>
      </c>
      <c r="J4932" s="2" t="s">
        <v>12</v>
      </c>
      <c r="K4932" s="2" t="s">
        <v>12</v>
      </c>
    </row>
    <row r="4933" spans="1:11" ht="12.5" x14ac:dyDescent="0.25">
      <c r="A4933" s="3" t="e">
        <f ca="1"/>
        <v>#NAME?</v>
      </c>
      <c r="B4933" s="2" t="s">
        <v>12</v>
      </c>
      <c r="C4933" s="2" t="s">
        <v>12</v>
      </c>
      <c r="D4933" s="2" t="s">
        <v>12</v>
      </c>
      <c r="E4933" s="2" t="s">
        <v>12</v>
      </c>
      <c r="F4933" s="2" t="s">
        <v>12</v>
      </c>
      <c r="G4933" s="2" t="s">
        <v>12</v>
      </c>
      <c r="H4933" s="2" t="s">
        <v>12</v>
      </c>
      <c r="I4933" s="2" t="s">
        <v>12</v>
      </c>
      <c r="J4933" s="2" t="s">
        <v>12</v>
      </c>
      <c r="K4933" s="2" t="s">
        <v>12</v>
      </c>
    </row>
    <row r="4934" spans="1:11" ht="12.5" x14ac:dyDescent="0.25">
      <c r="A4934" s="3" t="e">
        <f ca="1"/>
        <v>#NAME?</v>
      </c>
      <c r="B4934" s="2" t="s">
        <v>12</v>
      </c>
      <c r="C4934" s="2" t="s">
        <v>12</v>
      </c>
      <c r="D4934" s="2" t="s">
        <v>12</v>
      </c>
      <c r="E4934" s="2" t="s">
        <v>12</v>
      </c>
      <c r="F4934" s="2" t="s">
        <v>12</v>
      </c>
      <c r="G4934" s="2" t="s">
        <v>12</v>
      </c>
      <c r="H4934" s="2" t="s">
        <v>12</v>
      </c>
      <c r="I4934" s="2" t="s">
        <v>12</v>
      </c>
      <c r="J4934" s="2" t="s">
        <v>12</v>
      </c>
      <c r="K4934" s="2" t="s">
        <v>12</v>
      </c>
    </row>
    <row r="4935" spans="1:11" ht="12.5" x14ac:dyDescent="0.25">
      <c r="A4935" s="3" t="e">
        <f ca="1"/>
        <v>#NAME?</v>
      </c>
      <c r="B4935" s="2" t="s">
        <v>12</v>
      </c>
      <c r="C4935" s="2" t="s">
        <v>12</v>
      </c>
      <c r="D4935" s="2" t="s">
        <v>12</v>
      </c>
      <c r="E4935" s="2" t="s">
        <v>12</v>
      </c>
      <c r="F4935" s="2" t="s">
        <v>12</v>
      </c>
      <c r="G4935" s="2" t="s">
        <v>12</v>
      </c>
      <c r="H4935" s="2" t="s">
        <v>12</v>
      </c>
      <c r="I4935" s="2" t="s">
        <v>12</v>
      </c>
      <c r="J4935" s="2" t="s">
        <v>12</v>
      </c>
      <c r="K4935" s="2" t="s">
        <v>12</v>
      </c>
    </row>
    <row r="4936" spans="1:11" ht="12.5" x14ac:dyDescent="0.25">
      <c r="A4936" s="3" t="e">
        <f ca="1"/>
        <v>#NAME?</v>
      </c>
      <c r="B4936" s="2" t="s">
        <v>12</v>
      </c>
      <c r="C4936" s="2" t="s">
        <v>12</v>
      </c>
      <c r="D4936" s="2" t="s">
        <v>12</v>
      </c>
      <c r="E4936" s="2" t="s">
        <v>12</v>
      </c>
      <c r="F4936" s="2" t="s">
        <v>12</v>
      </c>
      <c r="G4936" s="2" t="s">
        <v>12</v>
      </c>
      <c r="H4936" s="2" t="s">
        <v>12</v>
      </c>
      <c r="I4936" s="2" t="s">
        <v>12</v>
      </c>
      <c r="J4936" s="2" t="s">
        <v>12</v>
      </c>
      <c r="K4936" s="2" t="s">
        <v>12</v>
      </c>
    </row>
    <row r="4937" spans="1:11" ht="12.5" x14ac:dyDescent="0.25">
      <c r="A4937" s="3" t="e">
        <f ca="1"/>
        <v>#NAME?</v>
      </c>
      <c r="B4937" s="2" t="s">
        <v>12</v>
      </c>
      <c r="C4937" s="2" t="s">
        <v>12</v>
      </c>
      <c r="D4937" s="2" t="s">
        <v>12</v>
      </c>
      <c r="E4937" s="2" t="s">
        <v>12</v>
      </c>
      <c r="F4937" s="2" t="s">
        <v>12</v>
      </c>
      <c r="G4937" s="2" t="s">
        <v>12</v>
      </c>
      <c r="H4937" s="2" t="s">
        <v>12</v>
      </c>
      <c r="I4937" s="2" t="s">
        <v>12</v>
      </c>
      <c r="J4937" s="2" t="s">
        <v>12</v>
      </c>
      <c r="K4937" s="2" t="s">
        <v>12</v>
      </c>
    </row>
    <row r="4938" spans="1:11" ht="12.5" x14ac:dyDescent="0.25">
      <c r="A4938" s="3" t="e">
        <f ca="1"/>
        <v>#NAME?</v>
      </c>
      <c r="B4938" s="2" t="s">
        <v>12</v>
      </c>
      <c r="C4938" s="2" t="s">
        <v>12</v>
      </c>
      <c r="D4938" s="2" t="s">
        <v>12</v>
      </c>
      <c r="E4938" s="2" t="s">
        <v>12</v>
      </c>
      <c r="F4938" s="2" t="s">
        <v>12</v>
      </c>
      <c r="G4938" s="2" t="s">
        <v>12</v>
      </c>
      <c r="H4938" s="2" t="s">
        <v>12</v>
      </c>
      <c r="I4938" s="2" t="s">
        <v>12</v>
      </c>
      <c r="J4938" s="2" t="s">
        <v>12</v>
      </c>
      <c r="K4938" s="2" t="s">
        <v>12</v>
      </c>
    </row>
    <row r="4939" spans="1:11" ht="12.5" x14ac:dyDescent="0.25">
      <c r="A4939" s="3" t="e">
        <f ca="1"/>
        <v>#NAME?</v>
      </c>
      <c r="B4939" s="2" t="s">
        <v>12</v>
      </c>
      <c r="C4939" s="2" t="s">
        <v>12</v>
      </c>
      <c r="D4939" s="2" t="s">
        <v>12</v>
      </c>
      <c r="E4939" s="2" t="s">
        <v>12</v>
      </c>
      <c r="F4939" s="2" t="s">
        <v>12</v>
      </c>
      <c r="G4939" s="2" t="s">
        <v>12</v>
      </c>
      <c r="H4939" s="2" t="s">
        <v>12</v>
      </c>
      <c r="I4939" s="2" t="s">
        <v>12</v>
      </c>
      <c r="J4939" s="2" t="s">
        <v>12</v>
      </c>
      <c r="K4939" s="2" t="s">
        <v>12</v>
      </c>
    </row>
    <row r="4940" spans="1:11" ht="12.5" x14ac:dyDescent="0.25">
      <c r="A4940" s="3" t="e">
        <f ca="1"/>
        <v>#NAME?</v>
      </c>
      <c r="B4940" s="2" t="s">
        <v>12</v>
      </c>
      <c r="C4940" s="2" t="s">
        <v>12</v>
      </c>
      <c r="D4940" s="2" t="s">
        <v>12</v>
      </c>
      <c r="E4940" s="2" t="s">
        <v>12</v>
      </c>
      <c r="F4940" s="2" t="s">
        <v>12</v>
      </c>
      <c r="G4940" s="2" t="s">
        <v>12</v>
      </c>
      <c r="H4940" s="2" t="s">
        <v>12</v>
      </c>
      <c r="I4940" s="2" t="s">
        <v>12</v>
      </c>
      <c r="J4940" s="2" t="s">
        <v>12</v>
      </c>
      <c r="K4940" s="2" t="s">
        <v>12</v>
      </c>
    </row>
    <row r="4941" spans="1:11" ht="12.5" x14ac:dyDescent="0.25">
      <c r="A4941" s="3" t="e">
        <f ca="1"/>
        <v>#NAME?</v>
      </c>
      <c r="B4941" s="2" t="s">
        <v>12</v>
      </c>
      <c r="C4941" s="2" t="s">
        <v>12</v>
      </c>
      <c r="D4941" s="2" t="s">
        <v>12</v>
      </c>
      <c r="E4941" s="2" t="s">
        <v>12</v>
      </c>
      <c r="F4941" s="2" t="s">
        <v>12</v>
      </c>
      <c r="G4941" s="2" t="s">
        <v>12</v>
      </c>
      <c r="H4941" s="2" t="s">
        <v>12</v>
      </c>
      <c r="I4941" s="2" t="s">
        <v>12</v>
      </c>
      <c r="J4941" s="2" t="s">
        <v>12</v>
      </c>
      <c r="K4941" s="2" t="s">
        <v>12</v>
      </c>
    </row>
    <row r="4942" spans="1:11" ht="12.5" x14ac:dyDescent="0.25">
      <c r="A4942" s="3" t="e">
        <f ca="1"/>
        <v>#NAME?</v>
      </c>
      <c r="B4942" s="2" t="s">
        <v>12</v>
      </c>
      <c r="C4942" s="2" t="s">
        <v>12</v>
      </c>
      <c r="D4942" s="2" t="s">
        <v>12</v>
      </c>
      <c r="E4942" s="2" t="s">
        <v>12</v>
      </c>
      <c r="F4942" s="2" t="s">
        <v>12</v>
      </c>
      <c r="G4942" s="2" t="s">
        <v>12</v>
      </c>
      <c r="H4942" s="2" t="s">
        <v>12</v>
      </c>
      <c r="I4942" s="2" t="s">
        <v>12</v>
      </c>
      <c r="J4942" s="2" t="s">
        <v>12</v>
      </c>
      <c r="K4942" s="2" t="s">
        <v>12</v>
      </c>
    </row>
    <row r="4943" spans="1:11" ht="12.5" x14ac:dyDescent="0.25">
      <c r="A4943" s="3" t="e">
        <f ca="1"/>
        <v>#NAME?</v>
      </c>
      <c r="B4943" s="2" t="s">
        <v>12</v>
      </c>
      <c r="C4943" s="2" t="s">
        <v>12</v>
      </c>
      <c r="D4943" s="2" t="s">
        <v>12</v>
      </c>
      <c r="E4943" s="2" t="s">
        <v>12</v>
      </c>
      <c r="F4943" s="2" t="s">
        <v>12</v>
      </c>
      <c r="G4943" s="2" t="s">
        <v>12</v>
      </c>
      <c r="H4943" s="2" t="s">
        <v>12</v>
      </c>
      <c r="I4943" s="2" t="s">
        <v>12</v>
      </c>
      <c r="J4943" s="2" t="s">
        <v>12</v>
      </c>
      <c r="K4943" s="2" t="s">
        <v>12</v>
      </c>
    </row>
    <row r="4944" spans="1:11" ht="12.5" x14ac:dyDescent="0.25">
      <c r="A4944" s="3" t="e">
        <f ca="1"/>
        <v>#NAME?</v>
      </c>
      <c r="B4944" s="2" t="s">
        <v>12</v>
      </c>
      <c r="C4944" s="2" t="s">
        <v>12</v>
      </c>
      <c r="D4944" s="2" t="s">
        <v>12</v>
      </c>
      <c r="E4944" s="2" t="s">
        <v>12</v>
      </c>
      <c r="F4944" s="2" t="s">
        <v>12</v>
      </c>
      <c r="G4944" s="2" t="s">
        <v>12</v>
      </c>
      <c r="H4944" s="2" t="s">
        <v>12</v>
      </c>
      <c r="I4944" s="2" t="s">
        <v>12</v>
      </c>
      <c r="J4944" s="2" t="s">
        <v>12</v>
      </c>
      <c r="K4944" s="2" t="s">
        <v>12</v>
      </c>
    </row>
    <row r="4945" spans="1:11" ht="12.5" x14ac:dyDescent="0.25">
      <c r="A4945" s="3" t="e">
        <f ca="1"/>
        <v>#NAME?</v>
      </c>
      <c r="B4945" s="2" t="s">
        <v>12</v>
      </c>
      <c r="C4945" s="2" t="s">
        <v>12</v>
      </c>
      <c r="D4945" s="2" t="s">
        <v>12</v>
      </c>
      <c r="E4945" s="2" t="s">
        <v>12</v>
      </c>
      <c r="F4945" s="2" t="s">
        <v>12</v>
      </c>
      <c r="G4945" s="2" t="s">
        <v>12</v>
      </c>
      <c r="H4945" s="2" t="s">
        <v>12</v>
      </c>
      <c r="I4945" s="2" t="s">
        <v>12</v>
      </c>
      <c r="J4945" s="2" t="s">
        <v>12</v>
      </c>
      <c r="K4945" s="2" t="s">
        <v>12</v>
      </c>
    </row>
    <row r="4946" spans="1:11" ht="12.5" x14ac:dyDescent="0.25">
      <c r="A4946" s="3" t="e">
        <f ca="1"/>
        <v>#NAME?</v>
      </c>
      <c r="B4946" s="2" t="s">
        <v>12</v>
      </c>
      <c r="C4946" s="2" t="s">
        <v>12</v>
      </c>
      <c r="D4946" s="2" t="s">
        <v>12</v>
      </c>
      <c r="E4946" s="2" t="s">
        <v>12</v>
      </c>
      <c r="F4946" s="2" t="s">
        <v>12</v>
      </c>
      <c r="G4946" s="2" t="s">
        <v>12</v>
      </c>
      <c r="H4946" s="2" t="s">
        <v>12</v>
      </c>
      <c r="I4946" s="2" t="s">
        <v>12</v>
      </c>
      <c r="J4946" s="2" t="s">
        <v>12</v>
      </c>
      <c r="K4946" s="2" t="s">
        <v>12</v>
      </c>
    </row>
    <row r="4947" spans="1:11" ht="12.5" x14ac:dyDescent="0.25">
      <c r="A4947" s="3" t="e">
        <f ca="1"/>
        <v>#NAME?</v>
      </c>
      <c r="B4947" s="2" t="s">
        <v>12</v>
      </c>
      <c r="C4947" s="2" t="s">
        <v>12</v>
      </c>
      <c r="D4947" s="2" t="s">
        <v>12</v>
      </c>
      <c r="E4947" s="2" t="s">
        <v>12</v>
      </c>
      <c r="F4947" s="2" t="s">
        <v>12</v>
      </c>
      <c r="G4947" s="2" t="s">
        <v>12</v>
      </c>
      <c r="H4947" s="2" t="s">
        <v>12</v>
      </c>
      <c r="I4947" s="2" t="s">
        <v>12</v>
      </c>
      <c r="J4947" s="2" t="s">
        <v>12</v>
      </c>
      <c r="K4947" s="2" t="s">
        <v>12</v>
      </c>
    </row>
    <row r="4948" spans="1:11" ht="12.5" x14ac:dyDescent="0.25">
      <c r="A4948" s="3" t="e">
        <f ca="1"/>
        <v>#NAME?</v>
      </c>
      <c r="B4948" s="2" t="s">
        <v>12</v>
      </c>
      <c r="C4948" s="2" t="s">
        <v>12</v>
      </c>
      <c r="D4948" s="2" t="s">
        <v>12</v>
      </c>
      <c r="E4948" s="2" t="s">
        <v>12</v>
      </c>
      <c r="F4948" s="2" t="s">
        <v>12</v>
      </c>
      <c r="G4948" s="2" t="s">
        <v>12</v>
      </c>
      <c r="H4948" s="2" t="s">
        <v>12</v>
      </c>
      <c r="I4948" s="2" t="s">
        <v>12</v>
      </c>
      <c r="J4948" s="2" t="s">
        <v>12</v>
      </c>
      <c r="K4948" s="2" t="s">
        <v>12</v>
      </c>
    </row>
    <row r="4949" spans="1:11" ht="12.5" x14ac:dyDescent="0.25">
      <c r="A4949" s="3" t="e">
        <f ca="1"/>
        <v>#NAME?</v>
      </c>
      <c r="B4949" s="2" t="s">
        <v>12</v>
      </c>
      <c r="C4949" s="2" t="s">
        <v>12</v>
      </c>
      <c r="D4949" s="2" t="s">
        <v>12</v>
      </c>
      <c r="E4949" s="2" t="s">
        <v>12</v>
      </c>
      <c r="F4949" s="2" t="s">
        <v>12</v>
      </c>
      <c r="G4949" s="2" t="s">
        <v>12</v>
      </c>
      <c r="H4949" s="2" t="s">
        <v>12</v>
      </c>
      <c r="I4949" s="2" t="s">
        <v>12</v>
      </c>
      <c r="J4949" s="2" t="s">
        <v>12</v>
      </c>
      <c r="K4949" s="2" t="s">
        <v>12</v>
      </c>
    </row>
    <row r="4950" spans="1:11" ht="12.5" x14ac:dyDescent="0.25">
      <c r="A4950" s="3" t="e">
        <f ca="1"/>
        <v>#NAME?</v>
      </c>
      <c r="B4950" s="2" t="s">
        <v>12</v>
      </c>
      <c r="C4950" s="2" t="s">
        <v>12</v>
      </c>
      <c r="D4950" s="2" t="s">
        <v>12</v>
      </c>
      <c r="E4950" s="2" t="s">
        <v>12</v>
      </c>
      <c r="F4950" s="2" t="s">
        <v>12</v>
      </c>
      <c r="G4950" s="2" t="s">
        <v>12</v>
      </c>
      <c r="H4950" s="2" t="s">
        <v>12</v>
      </c>
      <c r="I4950" s="2" t="s">
        <v>12</v>
      </c>
      <c r="J4950" s="2" t="s">
        <v>12</v>
      </c>
      <c r="K4950" s="2" t="s">
        <v>12</v>
      </c>
    </row>
    <row r="4951" spans="1:11" ht="12.5" x14ac:dyDescent="0.25">
      <c r="A4951" s="3" t="e">
        <f ca="1"/>
        <v>#NAME?</v>
      </c>
      <c r="B4951" s="2" t="s">
        <v>12</v>
      </c>
      <c r="C4951" s="2" t="s">
        <v>12</v>
      </c>
      <c r="D4951" s="2" t="s">
        <v>12</v>
      </c>
      <c r="E4951" s="2" t="s">
        <v>12</v>
      </c>
      <c r="F4951" s="2" t="s">
        <v>12</v>
      </c>
      <c r="G4951" s="2" t="s">
        <v>12</v>
      </c>
      <c r="H4951" s="2" t="s">
        <v>12</v>
      </c>
      <c r="I4951" s="2" t="s">
        <v>12</v>
      </c>
      <c r="J4951" s="2" t="s">
        <v>12</v>
      </c>
      <c r="K4951" s="2" t="s">
        <v>12</v>
      </c>
    </row>
    <row r="4952" spans="1:11" ht="12.5" x14ac:dyDescent="0.25">
      <c r="A4952" s="3" t="e">
        <f ca="1"/>
        <v>#NAME?</v>
      </c>
      <c r="B4952" s="2" t="s">
        <v>12</v>
      </c>
      <c r="C4952" s="2" t="s">
        <v>12</v>
      </c>
      <c r="D4952" s="2" t="s">
        <v>12</v>
      </c>
      <c r="E4952" s="2" t="s">
        <v>12</v>
      </c>
      <c r="F4952" s="2" t="s">
        <v>12</v>
      </c>
      <c r="G4952" s="2" t="s">
        <v>12</v>
      </c>
      <c r="H4952" s="2" t="s">
        <v>12</v>
      </c>
      <c r="I4952" s="2" t="s">
        <v>12</v>
      </c>
      <c r="J4952" s="2" t="s">
        <v>12</v>
      </c>
      <c r="K4952" s="2" t="s">
        <v>12</v>
      </c>
    </row>
    <row r="4953" spans="1:11" ht="12.5" x14ac:dyDescent="0.25">
      <c r="A4953" s="3" t="e">
        <f ca="1"/>
        <v>#NAME?</v>
      </c>
      <c r="B4953" s="2" t="s">
        <v>12</v>
      </c>
      <c r="C4953" s="2" t="s">
        <v>12</v>
      </c>
      <c r="D4953" s="2" t="s">
        <v>12</v>
      </c>
      <c r="E4953" s="2" t="s">
        <v>12</v>
      </c>
      <c r="F4953" s="2" t="s">
        <v>12</v>
      </c>
      <c r="G4953" s="2" t="s">
        <v>12</v>
      </c>
      <c r="H4953" s="2" t="s">
        <v>12</v>
      </c>
      <c r="I4953" s="2" t="s">
        <v>12</v>
      </c>
      <c r="J4953" s="2" t="s">
        <v>12</v>
      </c>
      <c r="K4953" s="2" t="s">
        <v>12</v>
      </c>
    </row>
    <row r="4954" spans="1:11" ht="12.5" x14ac:dyDescent="0.25">
      <c r="A4954" s="3" t="e">
        <f ca="1"/>
        <v>#NAME?</v>
      </c>
      <c r="B4954" s="2" t="s">
        <v>12</v>
      </c>
      <c r="C4954" s="2" t="s">
        <v>12</v>
      </c>
      <c r="D4954" s="2" t="s">
        <v>12</v>
      </c>
      <c r="E4954" s="2" t="s">
        <v>12</v>
      </c>
      <c r="F4954" s="2" t="s">
        <v>12</v>
      </c>
      <c r="G4954" s="2" t="s">
        <v>12</v>
      </c>
      <c r="H4954" s="2" t="s">
        <v>12</v>
      </c>
      <c r="I4954" s="2" t="s">
        <v>12</v>
      </c>
      <c r="J4954" s="2" t="s">
        <v>12</v>
      </c>
      <c r="K4954" s="2" t="s">
        <v>12</v>
      </c>
    </row>
    <row r="4955" spans="1:11" ht="12.5" x14ac:dyDescent="0.25">
      <c r="A4955" s="3" t="e">
        <f ca="1"/>
        <v>#NAME?</v>
      </c>
      <c r="B4955" s="2" t="s">
        <v>12</v>
      </c>
      <c r="C4955" s="2" t="s">
        <v>12</v>
      </c>
      <c r="D4955" s="2" t="s">
        <v>12</v>
      </c>
      <c r="E4955" s="2" t="s">
        <v>12</v>
      </c>
      <c r="F4955" s="2" t="s">
        <v>12</v>
      </c>
      <c r="G4955" s="2" t="s">
        <v>12</v>
      </c>
      <c r="H4955" s="2" t="s">
        <v>12</v>
      </c>
      <c r="I4955" s="2" t="s">
        <v>12</v>
      </c>
      <c r="J4955" s="2" t="s">
        <v>12</v>
      </c>
      <c r="K4955" s="2" t="s">
        <v>12</v>
      </c>
    </row>
    <row r="4956" spans="1:11" ht="12.5" x14ac:dyDescent="0.25">
      <c r="A4956" s="3" t="e">
        <f ca="1"/>
        <v>#NAME?</v>
      </c>
      <c r="B4956" s="2" t="s">
        <v>12</v>
      </c>
      <c r="C4956" s="2" t="s">
        <v>12</v>
      </c>
      <c r="D4956" s="2" t="s">
        <v>12</v>
      </c>
      <c r="E4956" s="2" t="s">
        <v>12</v>
      </c>
      <c r="F4956" s="2" t="s">
        <v>12</v>
      </c>
      <c r="G4956" s="2" t="s">
        <v>12</v>
      </c>
      <c r="H4956" s="2" t="s">
        <v>12</v>
      </c>
      <c r="I4956" s="2" t="s">
        <v>12</v>
      </c>
      <c r="J4956" s="2" t="s">
        <v>12</v>
      </c>
      <c r="K4956" s="2" t="s">
        <v>12</v>
      </c>
    </row>
    <row r="4957" spans="1:11" ht="12.5" x14ac:dyDescent="0.25">
      <c r="A4957" s="3" t="e">
        <f ca="1"/>
        <v>#NAME?</v>
      </c>
      <c r="B4957" s="2" t="s">
        <v>12</v>
      </c>
      <c r="C4957" s="2" t="s">
        <v>12</v>
      </c>
      <c r="D4957" s="2" t="s">
        <v>12</v>
      </c>
      <c r="E4957" s="2" t="s">
        <v>12</v>
      </c>
      <c r="F4957" s="2" t="s">
        <v>12</v>
      </c>
      <c r="G4957" s="2" t="s">
        <v>12</v>
      </c>
      <c r="H4957" s="2" t="s">
        <v>12</v>
      </c>
      <c r="I4957" s="2" t="s">
        <v>12</v>
      </c>
      <c r="J4957" s="2" t="s">
        <v>12</v>
      </c>
      <c r="K4957" s="2" t="s">
        <v>12</v>
      </c>
    </row>
    <row r="4958" spans="1:11" ht="12.5" x14ac:dyDescent="0.25">
      <c r="A4958" s="3" t="e">
        <f ca="1"/>
        <v>#NAME?</v>
      </c>
      <c r="B4958" s="2" t="s">
        <v>12</v>
      </c>
      <c r="C4958" s="2" t="s">
        <v>12</v>
      </c>
      <c r="D4958" s="2" t="s">
        <v>12</v>
      </c>
      <c r="E4958" s="2" t="s">
        <v>12</v>
      </c>
      <c r="F4958" s="2" t="s">
        <v>12</v>
      </c>
      <c r="G4958" s="2" t="s">
        <v>12</v>
      </c>
      <c r="H4958" s="2" t="s">
        <v>12</v>
      </c>
      <c r="I4958" s="2" t="s">
        <v>12</v>
      </c>
      <c r="J4958" s="2" t="s">
        <v>12</v>
      </c>
      <c r="K4958" s="2" t="s">
        <v>12</v>
      </c>
    </row>
    <row r="4959" spans="1:11" ht="12.5" x14ac:dyDescent="0.25">
      <c r="A4959" s="3" t="e">
        <f ca="1"/>
        <v>#NAME?</v>
      </c>
      <c r="B4959" s="2" t="s">
        <v>12</v>
      </c>
      <c r="C4959" s="2" t="s">
        <v>12</v>
      </c>
      <c r="D4959" s="2" t="s">
        <v>12</v>
      </c>
      <c r="E4959" s="2" t="s">
        <v>12</v>
      </c>
      <c r="F4959" s="2" t="s">
        <v>12</v>
      </c>
      <c r="G4959" s="2" t="s">
        <v>12</v>
      </c>
      <c r="H4959" s="2" t="s">
        <v>12</v>
      </c>
      <c r="I4959" s="2" t="s">
        <v>12</v>
      </c>
      <c r="J4959" s="2" t="s">
        <v>12</v>
      </c>
      <c r="K4959" s="2" t="s">
        <v>12</v>
      </c>
    </row>
    <row r="4960" spans="1:11" ht="12.5" x14ac:dyDescent="0.25">
      <c r="A4960" s="3" t="e">
        <f ca="1"/>
        <v>#NAME?</v>
      </c>
      <c r="B4960" s="2" t="s">
        <v>12</v>
      </c>
      <c r="C4960" s="2" t="s">
        <v>12</v>
      </c>
      <c r="D4960" s="2" t="s">
        <v>12</v>
      </c>
      <c r="E4960" s="2" t="s">
        <v>12</v>
      </c>
      <c r="F4960" s="2" t="s">
        <v>12</v>
      </c>
      <c r="G4960" s="2" t="s">
        <v>12</v>
      </c>
      <c r="H4960" s="2" t="s">
        <v>12</v>
      </c>
      <c r="I4960" s="2" t="s">
        <v>12</v>
      </c>
      <c r="J4960" s="2" t="s">
        <v>12</v>
      </c>
      <c r="K4960" s="2" t="s">
        <v>12</v>
      </c>
    </row>
    <row r="4961" spans="1:11" ht="12.5" x14ac:dyDescent="0.25">
      <c r="A4961" s="3" t="e">
        <f ca="1"/>
        <v>#NAME?</v>
      </c>
      <c r="B4961" s="2" t="s">
        <v>12</v>
      </c>
      <c r="C4961" s="2" t="s">
        <v>12</v>
      </c>
      <c r="D4961" s="2" t="s">
        <v>12</v>
      </c>
      <c r="E4961" s="2" t="s">
        <v>12</v>
      </c>
      <c r="F4961" s="2" t="s">
        <v>12</v>
      </c>
      <c r="G4961" s="2" t="s">
        <v>12</v>
      </c>
      <c r="H4961" s="2" t="s">
        <v>12</v>
      </c>
      <c r="I4961" s="2" t="s">
        <v>12</v>
      </c>
      <c r="J4961" s="2" t="s">
        <v>12</v>
      </c>
      <c r="K4961" s="2" t="s">
        <v>12</v>
      </c>
    </row>
    <row r="4962" spans="1:11" ht="12.5" x14ac:dyDescent="0.25">
      <c r="A4962" s="3" t="e">
        <f ca="1"/>
        <v>#NAME?</v>
      </c>
      <c r="B4962" s="2" t="s">
        <v>12</v>
      </c>
      <c r="C4962" s="2" t="s">
        <v>12</v>
      </c>
      <c r="D4962" s="2" t="s">
        <v>12</v>
      </c>
      <c r="E4962" s="2" t="s">
        <v>12</v>
      </c>
      <c r="F4962" s="2" t="s">
        <v>12</v>
      </c>
      <c r="G4962" s="2" t="s">
        <v>12</v>
      </c>
      <c r="H4962" s="2" t="s">
        <v>12</v>
      </c>
      <c r="I4962" s="2" t="s">
        <v>12</v>
      </c>
      <c r="J4962" s="2" t="s">
        <v>12</v>
      </c>
      <c r="K4962" s="2" t="s">
        <v>12</v>
      </c>
    </row>
    <row r="4963" spans="1:11" ht="12.5" x14ac:dyDescent="0.25">
      <c r="A4963" s="3" t="e">
        <f ca="1"/>
        <v>#NAME?</v>
      </c>
      <c r="B4963" s="2" t="s">
        <v>12</v>
      </c>
      <c r="C4963" s="2" t="s">
        <v>12</v>
      </c>
      <c r="D4963" s="2" t="s">
        <v>12</v>
      </c>
      <c r="E4963" s="2" t="s">
        <v>12</v>
      </c>
      <c r="F4963" s="2" t="s">
        <v>12</v>
      </c>
      <c r="G4963" s="2" t="s">
        <v>12</v>
      </c>
      <c r="H4963" s="2" t="s">
        <v>12</v>
      </c>
      <c r="I4963" s="2" t="s">
        <v>12</v>
      </c>
      <c r="J4963" s="2" t="s">
        <v>12</v>
      </c>
      <c r="K4963" s="2" t="s">
        <v>12</v>
      </c>
    </row>
    <row r="4964" spans="1:11" ht="12.5" x14ac:dyDescent="0.25">
      <c r="A4964" s="3" t="e">
        <f ca="1"/>
        <v>#NAME?</v>
      </c>
      <c r="B4964" s="2" t="s">
        <v>12</v>
      </c>
      <c r="C4964" s="2" t="s">
        <v>12</v>
      </c>
      <c r="D4964" s="2" t="s">
        <v>12</v>
      </c>
      <c r="E4964" s="2" t="s">
        <v>12</v>
      </c>
      <c r="F4964" s="2" t="s">
        <v>12</v>
      </c>
      <c r="G4964" s="2" t="s">
        <v>12</v>
      </c>
      <c r="H4964" s="2" t="s">
        <v>12</v>
      </c>
      <c r="I4964" s="2" t="s">
        <v>12</v>
      </c>
      <c r="J4964" s="2" t="s">
        <v>12</v>
      </c>
      <c r="K4964" s="2" t="s">
        <v>12</v>
      </c>
    </row>
    <row r="4965" spans="1:11" ht="12.5" x14ac:dyDescent="0.25">
      <c r="A4965" s="3" t="e">
        <f ca="1"/>
        <v>#NAME?</v>
      </c>
      <c r="B4965" s="2" t="s">
        <v>12</v>
      </c>
      <c r="C4965" s="2" t="s">
        <v>12</v>
      </c>
      <c r="D4965" s="2" t="s">
        <v>12</v>
      </c>
      <c r="E4965" s="2" t="s">
        <v>12</v>
      </c>
      <c r="F4965" s="2" t="s">
        <v>12</v>
      </c>
      <c r="G4965" s="2" t="s">
        <v>12</v>
      </c>
      <c r="H4965" s="2" t="s">
        <v>12</v>
      </c>
      <c r="I4965" s="2" t="s">
        <v>12</v>
      </c>
      <c r="J4965" s="2" t="s">
        <v>12</v>
      </c>
      <c r="K4965" s="2" t="s">
        <v>12</v>
      </c>
    </row>
    <row r="4966" spans="1:11" ht="12.5" x14ac:dyDescent="0.25">
      <c r="A4966" s="3" t="e">
        <f ca="1"/>
        <v>#NAME?</v>
      </c>
      <c r="B4966" s="2" t="s">
        <v>12</v>
      </c>
      <c r="C4966" s="2" t="s">
        <v>12</v>
      </c>
      <c r="D4966" s="2" t="s">
        <v>12</v>
      </c>
      <c r="E4966" s="2" t="s">
        <v>12</v>
      </c>
      <c r="F4966" s="2" t="s">
        <v>12</v>
      </c>
      <c r="G4966" s="2" t="s">
        <v>12</v>
      </c>
      <c r="H4966" s="2" t="s">
        <v>12</v>
      </c>
      <c r="I4966" s="2" t="s">
        <v>12</v>
      </c>
      <c r="J4966" s="2" t="s">
        <v>12</v>
      </c>
      <c r="K4966" s="2" t="s">
        <v>12</v>
      </c>
    </row>
    <row r="4967" spans="1:11" ht="12.5" x14ac:dyDescent="0.25">
      <c r="A4967" s="3" t="e">
        <f ca="1"/>
        <v>#NAME?</v>
      </c>
      <c r="B4967" s="2" t="s">
        <v>12</v>
      </c>
      <c r="C4967" s="2" t="s">
        <v>12</v>
      </c>
      <c r="D4967" s="2" t="s">
        <v>12</v>
      </c>
      <c r="E4967" s="2" t="s">
        <v>12</v>
      </c>
      <c r="F4967" s="2" t="s">
        <v>12</v>
      </c>
      <c r="G4967" s="2" t="s">
        <v>12</v>
      </c>
      <c r="H4967" s="2" t="s">
        <v>12</v>
      </c>
      <c r="I4967" s="2" t="s">
        <v>12</v>
      </c>
      <c r="J4967" s="2" t="s">
        <v>12</v>
      </c>
      <c r="K4967" s="2" t="s">
        <v>12</v>
      </c>
    </row>
    <row r="4968" spans="1:11" ht="12.5" x14ac:dyDescent="0.25">
      <c r="A4968" s="3" t="e">
        <f ca="1"/>
        <v>#NAME?</v>
      </c>
      <c r="B4968" s="2" t="s">
        <v>12</v>
      </c>
      <c r="C4968" s="2" t="s">
        <v>12</v>
      </c>
      <c r="D4968" s="2" t="s">
        <v>12</v>
      </c>
      <c r="E4968" s="2" t="s">
        <v>12</v>
      </c>
      <c r="F4968" s="2" t="s">
        <v>12</v>
      </c>
      <c r="G4968" s="2" t="s">
        <v>12</v>
      </c>
      <c r="H4968" s="2" t="s">
        <v>12</v>
      </c>
      <c r="I4968" s="2" t="s">
        <v>12</v>
      </c>
      <c r="J4968" s="2" t="s">
        <v>12</v>
      </c>
      <c r="K4968" s="2" t="s">
        <v>12</v>
      </c>
    </row>
    <row r="4969" spans="1:11" ht="12.5" x14ac:dyDescent="0.25">
      <c r="A4969" s="3" t="e">
        <f ca="1"/>
        <v>#NAME?</v>
      </c>
      <c r="B4969" s="2" t="s">
        <v>12</v>
      </c>
      <c r="C4969" s="2" t="s">
        <v>12</v>
      </c>
      <c r="D4969" s="2" t="s">
        <v>12</v>
      </c>
      <c r="E4969" s="2" t="s">
        <v>12</v>
      </c>
      <c r="F4969" s="2" t="s">
        <v>12</v>
      </c>
      <c r="G4969" s="2" t="s">
        <v>12</v>
      </c>
      <c r="H4969" s="2" t="s">
        <v>12</v>
      </c>
      <c r="I4969" s="2" t="s">
        <v>12</v>
      </c>
      <c r="J4969" s="2" t="s">
        <v>12</v>
      </c>
      <c r="K4969" s="2" t="s">
        <v>12</v>
      </c>
    </row>
    <row r="4970" spans="1:11" ht="12.5" x14ac:dyDescent="0.25">
      <c r="A4970" s="3" t="e">
        <f ca="1"/>
        <v>#NAME?</v>
      </c>
      <c r="B4970" s="2" t="s">
        <v>12</v>
      </c>
      <c r="C4970" s="2" t="s">
        <v>12</v>
      </c>
      <c r="D4970" s="2" t="s">
        <v>12</v>
      </c>
      <c r="E4970" s="2" t="s">
        <v>12</v>
      </c>
      <c r="F4970" s="2" t="s">
        <v>12</v>
      </c>
      <c r="G4970" s="2" t="s">
        <v>12</v>
      </c>
      <c r="H4970" s="2" t="s">
        <v>12</v>
      </c>
      <c r="I4970" s="2" t="s">
        <v>12</v>
      </c>
      <c r="J4970" s="2" t="s">
        <v>12</v>
      </c>
      <c r="K4970" s="2" t="s">
        <v>12</v>
      </c>
    </row>
    <row r="4971" spans="1:11" ht="12.5" x14ac:dyDescent="0.25">
      <c r="A4971" s="3" t="e">
        <f ca="1"/>
        <v>#NAME?</v>
      </c>
      <c r="B4971" s="2" t="s">
        <v>12</v>
      </c>
      <c r="C4971" s="2" t="s">
        <v>12</v>
      </c>
      <c r="D4971" s="2" t="s">
        <v>12</v>
      </c>
      <c r="E4971" s="2" t="s">
        <v>12</v>
      </c>
      <c r="F4971" s="2" t="s">
        <v>12</v>
      </c>
      <c r="G4971" s="2" t="s">
        <v>12</v>
      </c>
      <c r="H4971" s="2" t="s">
        <v>12</v>
      </c>
      <c r="I4971" s="2" t="s">
        <v>12</v>
      </c>
      <c r="J4971" s="2" t="s">
        <v>12</v>
      </c>
      <c r="K4971" s="2" t="s">
        <v>12</v>
      </c>
    </row>
    <row r="4972" spans="1:11" ht="12.5" x14ac:dyDescent="0.25">
      <c r="A4972" s="3" t="e">
        <f ca="1"/>
        <v>#NAME?</v>
      </c>
      <c r="B4972" s="2" t="s">
        <v>12</v>
      </c>
      <c r="C4972" s="2" t="s">
        <v>12</v>
      </c>
      <c r="D4972" s="2" t="s">
        <v>12</v>
      </c>
      <c r="E4972" s="2" t="s">
        <v>12</v>
      </c>
      <c r="F4972" s="2" t="s">
        <v>12</v>
      </c>
      <c r="G4972" s="2" t="s">
        <v>12</v>
      </c>
      <c r="H4972" s="2" t="s">
        <v>12</v>
      </c>
      <c r="I4972" s="2" t="s">
        <v>12</v>
      </c>
      <c r="J4972" s="2" t="s">
        <v>12</v>
      </c>
      <c r="K4972" s="2" t="s">
        <v>12</v>
      </c>
    </row>
    <row r="4973" spans="1:11" ht="12.5" x14ac:dyDescent="0.25">
      <c r="A4973" s="3" t="e">
        <f ca="1"/>
        <v>#NAME?</v>
      </c>
      <c r="B4973" s="2" t="s">
        <v>12</v>
      </c>
      <c r="C4973" s="2" t="s">
        <v>12</v>
      </c>
      <c r="D4973" s="2" t="s">
        <v>12</v>
      </c>
      <c r="E4973" s="2" t="s">
        <v>12</v>
      </c>
      <c r="F4973" s="2" t="s">
        <v>12</v>
      </c>
      <c r="G4973" s="2" t="s">
        <v>12</v>
      </c>
      <c r="H4973" s="2" t="s">
        <v>12</v>
      </c>
      <c r="I4973" s="2" t="s">
        <v>12</v>
      </c>
      <c r="J4973" s="2" t="s">
        <v>12</v>
      </c>
      <c r="K4973" s="2" t="s">
        <v>12</v>
      </c>
    </row>
    <row r="4974" spans="1:11" ht="12.5" x14ac:dyDescent="0.25">
      <c r="A4974" s="3" t="e">
        <f ca="1"/>
        <v>#NAME?</v>
      </c>
      <c r="B4974" s="2" t="s">
        <v>12</v>
      </c>
      <c r="C4974" s="2" t="s">
        <v>12</v>
      </c>
      <c r="D4974" s="2" t="s">
        <v>12</v>
      </c>
      <c r="E4974" s="2" t="s">
        <v>12</v>
      </c>
      <c r="F4974" s="2" t="s">
        <v>12</v>
      </c>
      <c r="G4974" s="2" t="s">
        <v>12</v>
      </c>
      <c r="H4974" s="2" t="s">
        <v>12</v>
      </c>
      <c r="I4974" s="2" t="s">
        <v>12</v>
      </c>
      <c r="J4974" s="2" t="s">
        <v>12</v>
      </c>
      <c r="K4974" s="2" t="s">
        <v>12</v>
      </c>
    </row>
    <row r="4975" spans="1:11" ht="12.5" x14ac:dyDescent="0.25">
      <c r="A4975" s="3" t="e">
        <f ca="1"/>
        <v>#NAME?</v>
      </c>
      <c r="B4975" s="2" t="s">
        <v>12</v>
      </c>
      <c r="C4975" s="2" t="s">
        <v>12</v>
      </c>
      <c r="D4975" s="2" t="s">
        <v>12</v>
      </c>
      <c r="E4975" s="2" t="s">
        <v>12</v>
      </c>
      <c r="F4975" s="2" t="s">
        <v>12</v>
      </c>
      <c r="G4975" s="2" t="s">
        <v>12</v>
      </c>
      <c r="H4975" s="2" t="s">
        <v>12</v>
      </c>
      <c r="I4975" s="2" t="s">
        <v>12</v>
      </c>
      <c r="J4975" s="2" t="s">
        <v>12</v>
      </c>
      <c r="K4975" s="2" t="s">
        <v>12</v>
      </c>
    </row>
    <row r="4976" spans="1:11" ht="12.5" x14ac:dyDescent="0.25">
      <c r="A4976" s="3" t="e">
        <f ca="1"/>
        <v>#NAME?</v>
      </c>
      <c r="B4976" s="2" t="s">
        <v>12</v>
      </c>
      <c r="C4976" s="2" t="s">
        <v>12</v>
      </c>
      <c r="D4976" s="2" t="s">
        <v>12</v>
      </c>
      <c r="E4976" s="2" t="s">
        <v>12</v>
      </c>
      <c r="F4976" s="2" t="s">
        <v>12</v>
      </c>
      <c r="G4976" s="2" t="s">
        <v>12</v>
      </c>
      <c r="H4976" s="2" t="s">
        <v>12</v>
      </c>
      <c r="I4976" s="2" t="s">
        <v>12</v>
      </c>
      <c r="J4976" s="2" t="s">
        <v>12</v>
      </c>
      <c r="K4976" s="2" t="s">
        <v>12</v>
      </c>
    </row>
    <row r="4977" spans="1:11" ht="12.5" x14ac:dyDescent="0.25">
      <c r="A4977" s="3" t="e">
        <f ca="1"/>
        <v>#NAME?</v>
      </c>
      <c r="B4977" s="2" t="s">
        <v>12</v>
      </c>
      <c r="C4977" s="2" t="s">
        <v>12</v>
      </c>
      <c r="D4977" s="2" t="s">
        <v>12</v>
      </c>
      <c r="E4977" s="2" t="s">
        <v>12</v>
      </c>
      <c r="F4977" s="2" t="s">
        <v>12</v>
      </c>
      <c r="G4977" s="2" t="s">
        <v>12</v>
      </c>
      <c r="H4977" s="2" t="s">
        <v>12</v>
      </c>
      <c r="I4977" s="2" t="s">
        <v>12</v>
      </c>
      <c r="J4977" s="2" t="s">
        <v>12</v>
      </c>
      <c r="K4977" s="2" t="s">
        <v>12</v>
      </c>
    </row>
    <row r="4978" spans="1:11" ht="12.5" x14ac:dyDescent="0.25">
      <c r="A4978" s="3" t="e">
        <f ca="1"/>
        <v>#NAME?</v>
      </c>
      <c r="B4978" s="2" t="s">
        <v>12</v>
      </c>
      <c r="C4978" s="2" t="s">
        <v>12</v>
      </c>
      <c r="D4978" s="2" t="s">
        <v>12</v>
      </c>
      <c r="E4978" s="2" t="s">
        <v>12</v>
      </c>
      <c r="F4978" s="2" t="s">
        <v>12</v>
      </c>
      <c r="G4978" s="2" t="s">
        <v>12</v>
      </c>
      <c r="H4978" s="2" t="s">
        <v>12</v>
      </c>
      <c r="I4978" s="2" t="s">
        <v>12</v>
      </c>
      <c r="J4978" s="2" t="s">
        <v>12</v>
      </c>
      <c r="K4978" s="2" t="s">
        <v>12</v>
      </c>
    </row>
    <row r="4979" spans="1:11" ht="12.5" x14ac:dyDescent="0.25">
      <c r="A4979" s="3" t="e">
        <f ca="1"/>
        <v>#NAME?</v>
      </c>
      <c r="B4979" s="2" t="s">
        <v>12</v>
      </c>
      <c r="C4979" s="2" t="s">
        <v>12</v>
      </c>
      <c r="D4979" s="2" t="s">
        <v>12</v>
      </c>
      <c r="E4979" s="2" t="s">
        <v>12</v>
      </c>
      <c r="F4979" s="2" t="s">
        <v>12</v>
      </c>
      <c r="G4979" s="2" t="s">
        <v>12</v>
      </c>
      <c r="H4979" s="2" t="s">
        <v>12</v>
      </c>
      <c r="I4979" s="2" t="s">
        <v>12</v>
      </c>
      <c r="J4979" s="2" t="s">
        <v>12</v>
      </c>
      <c r="K4979" s="2" t="s">
        <v>12</v>
      </c>
    </row>
    <row r="4980" spans="1:11" ht="12.5" x14ac:dyDescent="0.25">
      <c r="A4980" s="3" t="e">
        <f ca="1"/>
        <v>#NAME?</v>
      </c>
      <c r="B4980" s="2" t="s">
        <v>12</v>
      </c>
      <c r="C4980" s="2" t="s">
        <v>12</v>
      </c>
      <c r="D4980" s="2" t="s">
        <v>12</v>
      </c>
      <c r="E4980" s="2" t="s">
        <v>12</v>
      </c>
      <c r="F4980" s="2" t="s">
        <v>12</v>
      </c>
      <c r="G4980" s="2" t="s">
        <v>12</v>
      </c>
      <c r="H4980" s="2" t="s">
        <v>12</v>
      </c>
      <c r="I4980" s="2" t="s">
        <v>12</v>
      </c>
      <c r="J4980" s="2" t="s">
        <v>12</v>
      </c>
      <c r="K4980" s="2" t="s">
        <v>12</v>
      </c>
    </row>
    <row r="4981" spans="1:11" ht="12.5" x14ac:dyDescent="0.25">
      <c r="A4981" s="3" t="e">
        <f ca="1"/>
        <v>#NAME?</v>
      </c>
      <c r="B4981" s="2" t="s">
        <v>12</v>
      </c>
      <c r="C4981" s="2" t="s">
        <v>12</v>
      </c>
      <c r="D4981" s="2" t="s">
        <v>12</v>
      </c>
      <c r="E4981" s="2" t="s">
        <v>12</v>
      </c>
      <c r="F4981" s="2" t="s">
        <v>12</v>
      </c>
      <c r="G4981" s="2" t="s">
        <v>12</v>
      </c>
      <c r="H4981" s="2" t="s">
        <v>12</v>
      </c>
      <c r="I4981" s="2" t="s">
        <v>12</v>
      </c>
      <c r="J4981" s="2" t="s">
        <v>12</v>
      </c>
      <c r="K4981" s="2" t="s">
        <v>12</v>
      </c>
    </row>
    <row r="4982" spans="1:11" ht="12.5" x14ac:dyDescent="0.25">
      <c r="A4982" s="3" t="e">
        <f ca="1"/>
        <v>#NAME?</v>
      </c>
      <c r="B4982" s="2" t="s">
        <v>12</v>
      </c>
      <c r="C4982" s="2" t="s">
        <v>12</v>
      </c>
      <c r="D4982" s="2" t="s">
        <v>12</v>
      </c>
      <c r="E4982" s="2" t="s">
        <v>12</v>
      </c>
      <c r="F4982" s="2" t="s">
        <v>12</v>
      </c>
      <c r="G4982" s="2" t="s">
        <v>12</v>
      </c>
      <c r="H4982" s="2" t="s">
        <v>12</v>
      </c>
      <c r="I4982" s="2" t="s">
        <v>12</v>
      </c>
      <c r="J4982" s="2" t="s">
        <v>12</v>
      </c>
      <c r="K4982" s="2" t="s">
        <v>12</v>
      </c>
    </row>
    <row r="4983" spans="1:11" ht="12.5" x14ac:dyDescent="0.25">
      <c r="A4983" s="3" t="e">
        <f ca="1"/>
        <v>#NAME?</v>
      </c>
      <c r="B4983" s="2" t="s">
        <v>12</v>
      </c>
      <c r="C4983" s="2" t="s">
        <v>12</v>
      </c>
      <c r="D4983" s="2" t="s">
        <v>12</v>
      </c>
      <c r="E4983" s="2" t="s">
        <v>12</v>
      </c>
      <c r="F4983" s="2" t="s">
        <v>12</v>
      </c>
      <c r="G4983" s="2" t="s">
        <v>12</v>
      </c>
      <c r="H4983" s="2" t="s">
        <v>12</v>
      </c>
      <c r="I4983" s="2" t="s">
        <v>12</v>
      </c>
      <c r="J4983" s="2" t="s">
        <v>12</v>
      </c>
      <c r="K4983" s="2" t="s">
        <v>12</v>
      </c>
    </row>
    <row r="4984" spans="1:11" ht="12.5" x14ac:dyDescent="0.25">
      <c r="A4984" s="3" t="e">
        <f ca="1"/>
        <v>#NAME?</v>
      </c>
      <c r="B4984" s="2" t="s">
        <v>12</v>
      </c>
      <c r="C4984" s="2" t="s">
        <v>12</v>
      </c>
      <c r="D4984" s="2" t="s">
        <v>12</v>
      </c>
      <c r="E4984" s="2" t="s">
        <v>12</v>
      </c>
      <c r="F4984" s="2" t="s">
        <v>12</v>
      </c>
      <c r="G4984" s="2" t="s">
        <v>12</v>
      </c>
      <c r="H4984" s="2" t="s">
        <v>12</v>
      </c>
      <c r="I4984" s="2" t="s">
        <v>12</v>
      </c>
      <c r="J4984" s="2" t="s">
        <v>12</v>
      </c>
      <c r="K4984" s="2" t="s">
        <v>12</v>
      </c>
    </row>
    <row r="4985" spans="1:11" ht="12.5" x14ac:dyDescent="0.25">
      <c r="A4985" s="3" t="e">
        <f ca="1"/>
        <v>#NAME?</v>
      </c>
      <c r="B4985" s="2" t="s">
        <v>12</v>
      </c>
      <c r="C4985" s="2" t="s">
        <v>12</v>
      </c>
      <c r="D4985" s="2" t="s">
        <v>12</v>
      </c>
      <c r="E4985" s="2" t="s">
        <v>12</v>
      </c>
      <c r="F4985" s="2" t="s">
        <v>12</v>
      </c>
      <c r="G4985" s="2" t="s">
        <v>12</v>
      </c>
      <c r="H4985" s="2" t="s">
        <v>12</v>
      </c>
      <c r="I4985" s="2" t="s">
        <v>12</v>
      </c>
      <c r="J4985" s="2" t="s">
        <v>12</v>
      </c>
      <c r="K4985" s="2" t="s">
        <v>12</v>
      </c>
    </row>
    <row r="4986" spans="1:11" ht="12.5" x14ac:dyDescent="0.25">
      <c r="A4986" s="3" t="e">
        <f ca="1"/>
        <v>#NAME?</v>
      </c>
      <c r="B4986" s="2" t="s">
        <v>12</v>
      </c>
      <c r="C4986" s="2" t="s">
        <v>12</v>
      </c>
      <c r="D4986" s="2" t="s">
        <v>12</v>
      </c>
      <c r="E4986" s="2" t="s">
        <v>12</v>
      </c>
      <c r="F4986" s="2" t="s">
        <v>12</v>
      </c>
      <c r="G4986" s="2" t="s">
        <v>12</v>
      </c>
      <c r="H4986" s="2" t="s">
        <v>12</v>
      </c>
      <c r="I4986" s="2" t="s">
        <v>12</v>
      </c>
      <c r="J4986" s="2" t="s">
        <v>12</v>
      </c>
      <c r="K4986" s="2" t="s">
        <v>12</v>
      </c>
    </row>
    <row r="4987" spans="1:11" ht="12.5" x14ac:dyDescent="0.25">
      <c r="A4987" s="3" t="e">
        <f ca="1"/>
        <v>#NAME?</v>
      </c>
      <c r="B4987" s="2" t="s">
        <v>12</v>
      </c>
      <c r="C4987" s="2" t="s">
        <v>12</v>
      </c>
      <c r="D4987" s="2" t="s">
        <v>12</v>
      </c>
      <c r="E4987" s="2" t="s">
        <v>12</v>
      </c>
      <c r="F4987" s="2" t="s">
        <v>12</v>
      </c>
      <c r="G4987" s="2" t="s">
        <v>12</v>
      </c>
      <c r="H4987" s="2" t="s">
        <v>12</v>
      </c>
      <c r="I4987" s="2" t="s">
        <v>12</v>
      </c>
      <c r="J4987" s="2" t="s">
        <v>12</v>
      </c>
      <c r="K4987" s="2" t="s">
        <v>12</v>
      </c>
    </row>
    <row r="4988" spans="1:11" ht="12.5" x14ac:dyDescent="0.25">
      <c r="A4988" s="3" t="e">
        <f ca="1"/>
        <v>#NAME?</v>
      </c>
      <c r="B4988" s="2" t="s">
        <v>12</v>
      </c>
      <c r="C4988" s="2" t="s">
        <v>12</v>
      </c>
      <c r="D4988" s="2" t="s">
        <v>12</v>
      </c>
      <c r="E4988" s="2" t="s">
        <v>12</v>
      </c>
      <c r="F4988" s="2" t="s">
        <v>12</v>
      </c>
      <c r="G4988" s="2" t="s">
        <v>12</v>
      </c>
      <c r="H4988" s="2" t="s">
        <v>12</v>
      </c>
      <c r="I4988" s="2" t="s">
        <v>12</v>
      </c>
      <c r="J4988" s="2" t="s">
        <v>12</v>
      </c>
      <c r="K4988" s="2" t="s">
        <v>12</v>
      </c>
    </row>
    <row r="4989" spans="1:11" ht="12.5" x14ac:dyDescent="0.25">
      <c r="A4989" s="3" t="e">
        <f ca="1"/>
        <v>#NAME?</v>
      </c>
      <c r="B4989" s="2" t="s">
        <v>12</v>
      </c>
      <c r="C4989" s="2" t="s">
        <v>12</v>
      </c>
      <c r="D4989" s="2" t="s">
        <v>12</v>
      </c>
      <c r="E4989" s="2" t="s">
        <v>12</v>
      </c>
      <c r="F4989" s="2" t="s">
        <v>12</v>
      </c>
      <c r="G4989" s="2" t="s">
        <v>12</v>
      </c>
      <c r="H4989" s="2" t="s">
        <v>12</v>
      </c>
      <c r="I4989" s="2" t="s">
        <v>12</v>
      </c>
      <c r="J4989" s="2" t="s">
        <v>12</v>
      </c>
      <c r="K4989" s="2" t="s">
        <v>12</v>
      </c>
    </row>
    <row r="4990" spans="1:11" ht="12.5" x14ac:dyDescent="0.25">
      <c r="A4990" s="3" t="e">
        <f ca="1"/>
        <v>#NAME?</v>
      </c>
      <c r="B4990" s="2" t="s">
        <v>12</v>
      </c>
      <c r="C4990" s="2" t="s">
        <v>12</v>
      </c>
      <c r="D4990" s="2" t="s">
        <v>12</v>
      </c>
      <c r="E4990" s="2" t="s">
        <v>12</v>
      </c>
      <c r="F4990" s="2" t="s">
        <v>12</v>
      </c>
      <c r="G4990" s="2" t="s">
        <v>12</v>
      </c>
      <c r="H4990" s="2" t="s">
        <v>12</v>
      </c>
      <c r="I4990" s="2" t="s">
        <v>12</v>
      </c>
      <c r="J4990" s="2" t="s">
        <v>12</v>
      </c>
      <c r="K4990" s="2" t="s">
        <v>12</v>
      </c>
    </row>
    <row r="4991" spans="1:11" ht="12.5" x14ac:dyDescent="0.25">
      <c r="A4991" s="3" t="e">
        <f ca="1"/>
        <v>#NAME?</v>
      </c>
      <c r="B4991" s="2" t="s">
        <v>12</v>
      </c>
      <c r="C4991" s="2" t="s">
        <v>12</v>
      </c>
      <c r="D4991" s="2" t="s">
        <v>12</v>
      </c>
      <c r="E4991" s="2" t="s">
        <v>12</v>
      </c>
      <c r="F4991" s="2" t="s">
        <v>12</v>
      </c>
      <c r="G4991" s="2" t="s">
        <v>12</v>
      </c>
      <c r="H4991" s="2" t="s">
        <v>12</v>
      </c>
      <c r="I4991" s="2" t="s">
        <v>12</v>
      </c>
      <c r="J4991" s="2" t="s">
        <v>12</v>
      </c>
      <c r="K4991" s="2" t="s">
        <v>12</v>
      </c>
    </row>
    <row r="4992" spans="1:11" ht="12.5" x14ac:dyDescent="0.25">
      <c r="A4992" s="3" t="e">
        <f ca="1"/>
        <v>#NAME?</v>
      </c>
      <c r="B4992" s="2" t="s">
        <v>12</v>
      </c>
      <c r="C4992" s="2" t="s">
        <v>12</v>
      </c>
      <c r="D4992" s="2" t="s">
        <v>12</v>
      </c>
      <c r="E4992" s="2" t="s">
        <v>12</v>
      </c>
      <c r="F4992" s="2" t="s">
        <v>12</v>
      </c>
      <c r="G4992" s="2" t="s">
        <v>12</v>
      </c>
      <c r="H4992" s="2" t="s">
        <v>12</v>
      </c>
      <c r="I4992" s="2" t="s">
        <v>12</v>
      </c>
      <c r="J4992" s="2" t="s">
        <v>12</v>
      </c>
      <c r="K4992" s="2" t="s">
        <v>12</v>
      </c>
    </row>
    <row r="4993" spans="1:11" ht="12.5" x14ac:dyDescent="0.25">
      <c r="A4993" s="3" t="e">
        <f ca="1"/>
        <v>#NAME?</v>
      </c>
      <c r="B4993" s="2" t="s">
        <v>12</v>
      </c>
      <c r="C4993" s="2" t="s">
        <v>12</v>
      </c>
      <c r="D4993" s="2" t="s">
        <v>12</v>
      </c>
      <c r="E4993" s="2" t="s">
        <v>12</v>
      </c>
      <c r="F4993" s="2" t="s">
        <v>12</v>
      </c>
      <c r="G4993" s="2" t="s">
        <v>12</v>
      </c>
      <c r="H4993" s="2" t="s">
        <v>12</v>
      </c>
      <c r="I4993" s="2" t="s">
        <v>12</v>
      </c>
      <c r="J4993" s="2" t="s">
        <v>12</v>
      </c>
      <c r="K4993" s="2" t="s">
        <v>12</v>
      </c>
    </row>
    <row r="4994" spans="1:11" ht="12.5" x14ac:dyDescent="0.25">
      <c r="A4994" s="3" t="e">
        <f ca="1"/>
        <v>#NAME?</v>
      </c>
      <c r="B4994" s="2" t="s">
        <v>12</v>
      </c>
      <c r="C4994" s="2" t="s">
        <v>12</v>
      </c>
      <c r="D4994" s="2" t="s">
        <v>12</v>
      </c>
      <c r="E4994" s="2" t="s">
        <v>12</v>
      </c>
      <c r="F4994" s="2" t="s">
        <v>12</v>
      </c>
      <c r="G4994" s="2" t="s">
        <v>12</v>
      </c>
      <c r="H4994" s="2" t="s">
        <v>12</v>
      </c>
      <c r="I4994" s="2" t="s">
        <v>12</v>
      </c>
      <c r="J4994" s="2" t="s">
        <v>12</v>
      </c>
      <c r="K4994" s="2" t="s">
        <v>12</v>
      </c>
    </row>
    <row r="4995" spans="1:11" ht="12.5" x14ac:dyDescent="0.25">
      <c r="A4995" s="3" t="e">
        <f ca="1"/>
        <v>#NAME?</v>
      </c>
      <c r="B4995" s="2" t="s">
        <v>12</v>
      </c>
      <c r="C4995" s="2" t="s">
        <v>12</v>
      </c>
      <c r="D4995" s="2" t="s">
        <v>12</v>
      </c>
      <c r="E4995" s="2" t="s">
        <v>12</v>
      </c>
      <c r="F4995" s="2" t="s">
        <v>12</v>
      </c>
      <c r="G4995" s="2" t="s">
        <v>12</v>
      </c>
      <c r="H4995" s="2" t="s">
        <v>12</v>
      </c>
      <c r="I4995" s="2" t="s">
        <v>12</v>
      </c>
      <c r="J4995" s="2" t="s">
        <v>12</v>
      </c>
      <c r="K4995" s="2" t="s">
        <v>12</v>
      </c>
    </row>
    <row r="4996" spans="1:11" ht="12.5" x14ac:dyDescent="0.25">
      <c r="A4996" s="3" t="e">
        <f ca="1"/>
        <v>#NAME?</v>
      </c>
      <c r="B4996" s="2" t="s">
        <v>12</v>
      </c>
      <c r="C4996" s="2" t="s">
        <v>12</v>
      </c>
      <c r="D4996" s="2" t="s">
        <v>12</v>
      </c>
      <c r="E4996" s="2" t="s">
        <v>12</v>
      </c>
      <c r="F4996" s="2" t="s">
        <v>12</v>
      </c>
      <c r="G4996" s="2" t="s">
        <v>12</v>
      </c>
      <c r="H4996" s="2" t="s">
        <v>12</v>
      </c>
      <c r="I4996" s="2" t="s">
        <v>12</v>
      </c>
      <c r="J4996" s="2" t="s">
        <v>12</v>
      </c>
      <c r="K4996" s="2" t="s">
        <v>12</v>
      </c>
    </row>
    <row r="4997" spans="1:11" ht="12.5" x14ac:dyDescent="0.25">
      <c r="A4997" s="3" t="e">
        <f ca="1"/>
        <v>#NAME?</v>
      </c>
      <c r="B4997" s="2" t="s">
        <v>12</v>
      </c>
      <c r="C4997" s="2" t="s">
        <v>12</v>
      </c>
      <c r="D4997" s="2" t="s">
        <v>12</v>
      </c>
      <c r="E4997" s="2" t="s">
        <v>12</v>
      </c>
      <c r="F4997" s="2" t="s">
        <v>12</v>
      </c>
      <c r="G4997" s="2" t="s">
        <v>12</v>
      </c>
      <c r="H4997" s="2" t="s">
        <v>12</v>
      </c>
      <c r="I4997" s="2" t="s">
        <v>12</v>
      </c>
      <c r="J4997" s="2" t="s">
        <v>12</v>
      </c>
      <c r="K4997" s="2" t="s">
        <v>12</v>
      </c>
    </row>
    <row r="4998" spans="1:11" ht="12.5" x14ac:dyDescent="0.25">
      <c r="A4998" s="3" t="e">
        <f ca="1"/>
        <v>#NAME?</v>
      </c>
      <c r="B4998" s="2" t="s">
        <v>12</v>
      </c>
      <c r="C4998" s="2" t="s">
        <v>12</v>
      </c>
      <c r="D4998" s="2" t="s">
        <v>12</v>
      </c>
      <c r="E4998" s="2" t="s">
        <v>12</v>
      </c>
      <c r="F4998" s="2" t="s">
        <v>12</v>
      </c>
      <c r="G4998" s="2" t="s">
        <v>12</v>
      </c>
      <c r="H4998" s="2" t="s">
        <v>12</v>
      </c>
      <c r="I4998" s="2" t="s">
        <v>12</v>
      </c>
      <c r="J4998" s="2" t="s">
        <v>12</v>
      </c>
      <c r="K4998" s="2" t="s">
        <v>12</v>
      </c>
    </row>
    <row r="4999" spans="1:11" ht="12.5" x14ac:dyDescent="0.25">
      <c r="A4999" s="3" t="e">
        <f ca="1"/>
        <v>#NAME?</v>
      </c>
      <c r="B4999" s="2" t="s">
        <v>12</v>
      </c>
      <c r="C4999" s="2" t="s">
        <v>12</v>
      </c>
      <c r="D4999" s="2" t="s">
        <v>12</v>
      </c>
      <c r="E4999" s="2" t="s">
        <v>12</v>
      </c>
      <c r="F4999" s="2" t="s">
        <v>12</v>
      </c>
      <c r="G4999" s="2" t="s">
        <v>12</v>
      </c>
      <c r="H4999" s="2" t="s">
        <v>12</v>
      </c>
      <c r="I4999" s="2" t="s">
        <v>12</v>
      </c>
      <c r="J4999" s="2" t="s">
        <v>12</v>
      </c>
      <c r="K4999" s="2" t="s">
        <v>12</v>
      </c>
    </row>
    <row r="5000" spans="1:11" ht="12.5" x14ac:dyDescent="0.25">
      <c r="A5000" s="3" t="e">
        <f ca="1"/>
        <v>#NAME?</v>
      </c>
      <c r="B5000" s="2" t="s">
        <v>12</v>
      </c>
      <c r="C5000" s="2" t="s">
        <v>12</v>
      </c>
      <c r="D5000" s="2" t="s">
        <v>12</v>
      </c>
      <c r="E5000" s="2" t="s">
        <v>12</v>
      </c>
      <c r="F5000" s="2" t="s">
        <v>12</v>
      </c>
      <c r="G5000" s="2" t="s">
        <v>12</v>
      </c>
      <c r="H5000" s="2" t="s">
        <v>12</v>
      </c>
      <c r="I5000" s="2" t="s">
        <v>12</v>
      </c>
      <c r="J5000" s="2" t="s">
        <v>12</v>
      </c>
      <c r="K5000" s="2" t="s">
        <v>12</v>
      </c>
    </row>
    <row r="5001" spans="1:11" ht="12.5" x14ac:dyDescent="0.25">
      <c r="A5001" s="3" t="e">
        <f ca="1"/>
        <v>#NAME?</v>
      </c>
      <c r="B5001" s="2" t="s">
        <v>12</v>
      </c>
      <c r="C5001" s="2" t="s">
        <v>12</v>
      </c>
      <c r="D5001" s="2" t="s">
        <v>12</v>
      </c>
      <c r="E5001" s="2" t="s">
        <v>12</v>
      </c>
      <c r="F5001" s="2" t="s">
        <v>12</v>
      </c>
      <c r="G5001" s="2" t="s">
        <v>12</v>
      </c>
      <c r="H5001" s="2" t="s">
        <v>12</v>
      </c>
      <c r="I5001" s="2" t="s">
        <v>12</v>
      </c>
      <c r="J5001" s="2" t="s">
        <v>12</v>
      </c>
      <c r="K5001" s="2" t="s">
        <v>12</v>
      </c>
    </row>
    <row r="5002" spans="1:11" ht="12.5" x14ac:dyDescent="0.25">
      <c r="A5002" s="3" t="e">
        <f ca="1"/>
        <v>#NAME?</v>
      </c>
      <c r="B5002" s="2" t="s">
        <v>12</v>
      </c>
      <c r="C5002" s="2" t="s">
        <v>12</v>
      </c>
      <c r="D5002" s="2" t="s">
        <v>12</v>
      </c>
      <c r="E5002" s="2" t="s">
        <v>12</v>
      </c>
      <c r="F5002" s="2" t="s">
        <v>12</v>
      </c>
      <c r="G5002" s="2" t="s">
        <v>12</v>
      </c>
      <c r="H5002" s="2" t="s">
        <v>12</v>
      </c>
      <c r="I5002" s="2" t="s">
        <v>12</v>
      </c>
      <c r="J5002" s="2" t="s">
        <v>12</v>
      </c>
      <c r="K5002" s="2" t="s">
        <v>12</v>
      </c>
    </row>
    <row r="5003" spans="1:11" ht="12.5" x14ac:dyDescent="0.25">
      <c r="A5003" s="3" t="e">
        <f ca="1"/>
        <v>#NAME?</v>
      </c>
      <c r="B5003" s="2" t="s">
        <v>12</v>
      </c>
      <c r="C5003" s="2" t="s">
        <v>12</v>
      </c>
      <c r="D5003" s="2" t="s">
        <v>12</v>
      </c>
      <c r="E5003" s="2" t="s">
        <v>12</v>
      </c>
      <c r="F5003" s="2" t="s">
        <v>12</v>
      </c>
      <c r="G5003" s="2" t="s">
        <v>12</v>
      </c>
      <c r="H5003" s="2" t="s">
        <v>12</v>
      </c>
      <c r="I5003" s="2" t="s">
        <v>12</v>
      </c>
      <c r="J5003" s="2" t="s">
        <v>12</v>
      </c>
      <c r="K5003" s="2" t="s">
        <v>12</v>
      </c>
    </row>
    <row r="5004" spans="1:11" ht="12.5" x14ac:dyDescent="0.25">
      <c r="A5004" s="3" t="e">
        <f ca="1"/>
        <v>#NAME?</v>
      </c>
      <c r="B5004" s="2" t="s">
        <v>12</v>
      </c>
      <c r="C5004" s="2" t="s">
        <v>12</v>
      </c>
      <c r="D5004" s="2" t="s">
        <v>12</v>
      </c>
      <c r="E5004" s="2" t="s">
        <v>12</v>
      </c>
      <c r="F5004" s="2" t="s">
        <v>12</v>
      </c>
      <c r="G5004" s="2" t="s">
        <v>12</v>
      </c>
      <c r="H5004" s="2" t="s">
        <v>12</v>
      </c>
      <c r="I5004" s="2" t="s">
        <v>12</v>
      </c>
      <c r="J5004" s="2" t="s">
        <v>12</v>
      </c>
      <c r="K5004" s="2" t="s">
        <v>12</v>
      </c>
    </row>
    <row r="5005" spans="1:11" ht="12.5" x14ac:dyDescent="0.25">
      <c r="A5005" s="3" t="e">
        <f ca="1"/>
        <v>#NAME?</v>
      </c>
      <c r="B5005" s="2" t="s">
        <v>12</v>
      </c>
      <c r="C5005" s="2" t="s">
        <v>12</v>
      </c>
      <c r="D5005" s="2" t="s">
        <v>12</v>
      </c>
      <c r="E5005" s="2" t="s">
        <v>12</v>
      </c>
      <c r="F5005" s="2" t="s">
        <v>12</v>
      </c>
      <c r="G5005" s="2" t="s">
        <v>12</v>
      </c>
      <c r="H5005" s="2" t="s">
        <v>12</v>
      </c>
      <c r="I5005" s="2" t="s">
        <v>12</v>
      </c>
      <c r="J5005" s="2" t="s">
        <v>12</v>
      </c>
      <c r="K5005" s="2" t="s">
        <v>12</v>
      </c>
    </row>
    <row r="5006" spans="1:11" ht="12.5" x14ac:dyDescent="0.25">
      <c r="A5006" s="3" t="e">
        <f ca="1"/>
        <v>#NAME?</v>
      </c>
      <c r="B5006" s="2" t="s">
        <v>12</v>
      </c>
      <c r="C5006" s="2" t="s">
        <v>12</v>
      </c>
      <c r="D5006" s="2" t="s">
        <v>12</v>
      </c>
      <c r="E5006" s="2" t="s">
        <v>12</v>
      </c>
      <c r="F5006" s="2" t="s">
        <v>12</v>
      </c>
      <c r="G5006" s="2" t="s">
        <v>12</v>
      </c>
      <c r="H5006" s="2" t="s">
        <v>12</v>
      </c>
      <c r="I5006" s="2" t="s">
        <v>12</v>
      </c>
      <c r="J5006" s="2" t="s">
        <v>12</v>
      </c>
      <c r="K5006" s="2" t="s">
        <v>12</v>
      </c>
    </row>
    <row r="5007" spans="1:11" ht="12.5" x14ac:dyDescent="0.25">
      <c r="A5007" s="3" t="e">
        <f ca="1"/>
        <v>#NAME?</v>
      </c>
      <c r="B5007" s="2" t="s">
        <v>12</v>
      </c>
      <c r="C5007" s="2" t="s">
        <v>12</v>
      </c>
      <c r="D5007" s="2" t="s">
        <v>12</v>
      </c>
      <c r="E5007" s="2" t="s">
        <v>12</v>
      </c>
      <c r="F5007" s="2" t="s">
        <v>12</v>
      </c>
      <c r="G5007" s="2" t="s">
        <v>12</v>
      </c>
      <c r="H5007" s="2" t="s">
        <v>12</v>
      </c>
      <c r="I5007" s="2" t="s">
        <v>12</v>
      </c>
      <c r="J5007" s="2" t="s">
        <v>12</v>
      </c>
      <c r="K5007" s="2" t="s">
        <v>12</v>
      </c>
    </row>
    <row r="5008" spans="1:11" ht="12.5" x14ac:dyDescent="0.25">
      <c r="A5008" s="3" t="e">
        <f ca="1"/>
        <v>#NAME?</v>
      </c>
      <c r="B5008" s="2" t="s">
        <v>12</v>
      </c>
      <c r="C5008" s="2" t="s">
        <v>12</v>
      </c>
      <c r="D5008" s="2" t="s">
        <v>12</v>
      </c>
      <c r="E5008" s="2" t="s">
        <v>12</v>
      </c>
      <c r="F5008" s="2" t="s">
        <v>12</v>
      </c>
      <c r="G5008" s="2" t="s">
        <v>12</v>
      </c>
      <c r="H5008" s="2" t="s">
        <v>12</v>
      </c>
      <c r="I5008" s="2" t="s">
        <v>12</v>
      </c>
      <c r="J5008" s="2" t="s">
        <v>12</v>
      </c>
      <c r="K5008" s="2" t="s">
        <v>12</v>
      </c>
    </row>
    <row r="5009" spans="1:11" ht="12.5" x14ac:dyDescent="0.25">
      <c r="A5009" s="3" t="e">
        <f ca="1"/>
        <v>#NAME?</v>
      </c>
      <c r="B5009" s="2" t="s">
        <v>12</v>
      </c>
      <c r="C5009" s="2" t="s">
        <v>12</v>
      </c>
      <c r="D5009" s="2" t="s">
        <v>12</v>
      </c>
      <c r="E5009" s="2" t="s">
        <v>12</v>
      </c>
      <c r="F5009" s="2" t="s">
        <v>12</v>
      </c>
      <c r="G5009" s="2" t="s">
        <v>12</v>
      </c>
      <c r="H5009" s="2" t="s">
        <v>12</v>
      </c>
      <c r="I5009" s="2" t="s">
        <v>12</v>
      </c>
      <c r="J5009" s="2" t="s">
        <v>12</v>
      </c>
      <c r="K5009" s="2" t="s">
        <v>12</v>
      </c>
    </row>
    <row r="5010" spans="1:11" ht="12.5" x14ac:dyDescent="0.25">
      <c r="A5010" s="3" t="e">
        <f ca="1"/>
        <v>#NAME?</v>
      </c>
      <c r="B5010" s="2" t="s">
        <v>12</v>
      </c>
      <c r="C5010" s="2" t="s">
        <v>12</v>
      </c>
      <c r="D5010" s="2" t="s">
        <v>12</v>
      </c>
      <c r="E5010" s="2" t="s">
        <v>12</v>
      </c>
      <c r="F5010" s="2" t="s">
        <v>12</v>
      </c>
      <c r="G5010" s="2" t="s">
        <v>12</v>
      </c>
      <c r="H5010" s="2" t="s">
        <v>12</v>
      </c>
      <c r="I5010" s="2" t="s">
        <v>12</v>
      </c>
      <c r="J5010" s="2" t="s">
        <v>12</v>
      </c>
      <c r="K5010" s="2" t="s">
        <v>12</v>
      </c>
    </row>
    <row r="5011" spans="1:11" ht="12.5" x14ac:dyDescent="0.25">
      <c r="A5011" s="3" t="e">
        <f ca="1"/>
        <v>#NAME?</v>
      </c>
      <c r="B5011" s="2" t="s">
        <v>12</v>
      </c>
      <c r="C5011" s="2" t="s">
        <v>12</v>
      </c>
      <c r="D5011" s="2" t="s">
        <v>12</v>
      </c>
      <c r="E5011" s="2" t="s">
        <v>12</v>
      </c>
      <c r="F5011" s="2" t="s">
        <v>12</v>
      </c>
      <c r="G5011" s="2" t="s">
        <v>12</v>
      </c>
      <c r="H5011" s="2" t="s">
        <v>12</v>
      </c>
      <c r="I5011" s="2" t="s">
        <v>12</v>
      </c>
      <c r="J5011" s="2" t="s">
        <v>12</v>
      </c>
      <c r="K5011" s="2" t="s">
        <v>12</v>
      </c>
    </row>
    <row r="5012" spans="1:11" ht="12.5" x14ac:dyDescent="0.25">
      <c r="A5012" s="3" t="e">
        <f ca="1"/>
        <v>#NAME?</v>
      </c>
      <c r="B5012" s="2" t="s">
        <v>12</v>
      </c>
      <c r="C5012" s="2" t="s">
        <v>12</v>
      </c>
      <c r="D5012" s="2" t="s">
        <v>12</v>
      </c>
      <c r="E5012" s="2" t="s">
        <v>12</v>
      </c>
      <c r="F5012" s="2" t="s">
        <v>12</v>
      </c>
      <c r="G5012" s="2" t="s">
        <v>12</v>
      </c>
      <c r="H5012" s="2" t="s">
        <v>12</v>
      </c>
      <c r="I5012" s="2" t="s">
        <v>12</v>
      </c>
      <c r="J5012" s="2" t="s">
        <v>12</v>
      </c>
      <c r="K5012" s="2" t="s">
        <v>12</v>
      </c>
    </row>
    <row r="5013" spans="1:11" ht="12.5" x14ac:dyDescent="0.25">
      <c r="A5013" s="3" t="e">
        <f ca="1"/>
        <v>#NAME?</v>
      </c>
      <c r="B5013" s="2" t="s">
        <v>12</v>
      </c>
      <c r="C5013" s="2" t="s">
        <v>12</v>
      </c>
      <c r="D5013" s="2" t="s">
        <v>12</v>
      </c>
      <c r="E5013" s="2" t="s">
        <v>12</v>
      </c>
      <c r="F5013" s="2" t="s">
        <v>12</v>
      </c>
      <c r="G5013" s="2" t="s">
        <v>12</v>
      </c>
      <c r="H5013" s="2" t="s">
        <v>12</v>
      </c>
      <c r="I5013" s="2" t="s">
        <v>12</v>
      </c>
      <c r="J5013" s="2" t="s">
        <v>12</v>
      </c>
      <c r="K5013" s="2" t="s">
        <v>12</v>
      </c>
    </row>
    <row r="5014" spans="1:11" ht="12.5" x14ac:dyDescent="0.25">
      <c r="A5014" s="3" t="e">
        <f ca="1"/>
        <v>#NAME?</v>
      </c>
      <c r="B5014" s="2" t="s">
        <v>12</v>
      </c>
      <c r="C5014" s="2" t="s">
        <v>12</v>
      </c>
      <c r="D5014" s="2" t="s">
        <v>12</v>
      </c>
      <c r="E5014" s="2" t="s">
        <v>12</v>
      </c>
      <c r="F5014" s="2" t="s">
        <v>12</v>
      </c>
      <c r="G5014" s="2" t="s">
        <v>12</v>
      </c>
      <c r="H5014" s="2" t="s">
        <v>12</v>
      </c>
      <c r="I5014" s="2" t="s">
        <v>12</v>
      </c>
      <c r="J5014" s="2" t="s">
        <v>12</v>
      </c>
      <c r="K5014" s="2" t="s">
        <v>12</v>
      </c>
    </row>
    <row r="5015" spans="1:11" ht="12.5" x14ac:dyDescent="0.25">
      <c r="A5015" s="3" t="e">
        <f ca="1"/>
        <v>#NAME?</v>
      </c>
      <c r="B5015" s="2" t="s">
        <v>12</v>
      </c>
      <c r="C5015" s="2" t="s">
        <v>12</v>
      </c>
      <c r="D5015" s="2" t="s">
        <v>12</v>
      </c>
      <c r="E5015" s="2" t="s">
        <v>12</v>
      </c>
      <c r="F5015" s="2" t="s">
        <v>12</v>
      </c>
      <c r="G5015" s="2" t="s">
        <v>12</v>
      </c>
      <c r="H5015" s="2" t="s">
        <v>12</v>
      </c>
      <c r="I5015" s="2" t="s">
        <v>12</v>
      </c>
      <c r="J5015" s="2" t="s">
        <v>12</v>
      </c>
      <c r="K5015" s="2" t="s">
        <v>12</v>
      </c>
    </row>
    <row r="5016" spans="1:11" ht="12.5" x14ac:dyDescent="0.25">
      <c r="A5016" s="3" t="e">
        <f ca="1"/>
        <v>#NAME?</v>
      </c>
      <c r="B5016" s="2" t="s">
        <v>12</v>
      </c>
      <c r="C5016" s="2" t="s">
        <v>12</v>
      </c>
      <c r="D5016" s="2" t="s">
        <v>12</v>
      </c>
      <c r="E5016" s="2" t="s">
        <v>12</v>
      </c>
      <c r="F5016" s="2" t="s">
        <v>12</v>
      </c>
      <c r="G5016" s="2" t="s">
        <v>12</v>
      </c>
      <c r="H5016" s="2" t="s">
        <v>12</v>
      </c>
      <c r="I5016" s="2" t="s">
        <v>12</v>
      </c>
      <c r="J5016" s="2" t="s">
        <v>12</v>
      </c>
      <c r="K5016" s="2" t="s">
        <v>12</v>
      </c>
    </row>
    <row r="5017" spans="1:11" ht="12.5" x14ac:dyDescent="0.25">
      <c r="A5017" s="3" t="e">
        <f ca="1"/>
        <v>#NAME?</v>
      </c>
      <c r="B5017" s="2" t="s">
        <v>12</v>
      </c>
      <c r="C5017" s="2" t="s">
        <v>12</v>
      </c>
      <c r="D5017" s="2" t="s">
        <v>12</v>
      </c>
      <c r="E5017" s="2" t="s">
        <v>12</v>
      </c>
      <c r="F5017" s="2" t="s">
        <v>12</v>
      </c>
      <c r="G5017" s="2" t="s">
        <v>12</v>
      </c>
      <c r="H5017" s="2" t="s">
        <v>12</v>
      </c>
      <c r="I5017" s="2" t="s">
        <v>12</v>
      </c>
      <c r="J5017" s="2" t="s">
        <v>12</v>
      </c>
      <c r="K5017" s="2" t="s">
        <v>12</v>
      </c>
    </row>
    <row r="5018" spans="1:11" ht="12.5" x14ac:dyDescent="0.25">
      <c r="A5018" s="3" t="e">
        <f ca="1"/>
        <v>#NAME?</v>
      </c>
      <c r="B5018" s="2" t="s">
        <v>12</v>
      </c>
      <c r="C5018" s="2" t="s">
        <v>12</v>
      </c>
      <c r="D5018" s="2" t="s">
        <v>12</v>
      </c>
      <c r="E5018" s="2" t="s">
        <v>12</v>
      </c>
      <c r="F5018" s="2" t="s">
        <v>12</v>
      </c>
      <c r="G5018" s="2" t="s">
        <v>12</v>
      </c>
      <c r="H5018" s="2" t="s">
        <v>12</v>
      </c>
      <c r="I5018" s="2" t="s">
        <v>12</v>
      </c>
      <c r="J5018" s="2" t="s">
        <v>12</v>
      </c>
      <c r="K5018" s="2" t="s">
        <v>12</v>
      </c>
    </row>
    <row r="5019" spans="1:11" ht="12.5" x14ac:dyDescent="0.25">
      <c r="A5019" s="3" t="e">
        <f ca="1"/>
        <v>#NAME?</v>
      </c>
      <c r="B5019" s="2" t="s">
        <v>12</v>
      </c>
      <c r="C5019" s="2" t="s">
        <v>12</v>
      </c>
      <c r="D5019" s="2" t="s">
        <v>12</v>
      </c>
      <c r="E5019" s="2" t="s">
        <v>12</v>
      </c>
      <c r="F5019" s="2" t="s">
        <v>12</v>
      </c>
      <c r="G5019" s="2" t="s">
        <v>12</v>
      </c>
      <c r="H5019" s="2" t="s">
        <v>12</v>
      </c>
      <c r="I5019" s="2" t="s">
        <v>12</v>
      </c>
      <c r="J5019" s="2" t="s">
        <v>12</v>
      </c>
      <c r="K5019" s="2" t="s">
        <v>12</v>
      </c>
    </row>
    <row r="5020" spans="1:11" ht="12.5" x14ac:dyDescent="0.25">
      <c r="A5020" s="3" t="e">
        <f ca="1"/>
        <v>#NAME?</v>
      </c>
      <c r="B5020" s="2" t="s">
        <v>12</v>
      </c>
      <c r="C5020" s="2" t="s">
        <v>12</v>
      </c>
      <c r="D5020" s="2" t="s">
        <v>12</v>
      </c>
      <c r="E5020" s="2" t="s">
        <v>12</v>
      </c>
      <c r="F5020" s="2" t="s">
        <v>12</v>
      </c>
      <c r="G5020" s="2" t="s">
        <v>12</v>
      </c>
      <c r="H5020" s="2" t="s">
        <v>12</v>
      </c>
      <c r="I5020" s="2" t="s">
        <v>12</v>
      </c>
      <c r="J5020" s="2" t="s">
        <v>12</v>
      </c>
      <c r="K5020" s="2" t="s">
        <v>12</v>
      </c>
    </row>
    <row r="5021" spans="1:11" ht="12.5" x14ac:dyDescent="0.25">
      <c r="A5021" s="3" t="e">
        <f ca="1"/>
        <v>#NAME?</v>
      </c>
      <c r="B5021" s="2" t="s">
        <v>12</v>
      </c>
      <c r="C5021" s="2" t="s">
        <v>12</v>
      </c>
      <c r="D5021" s="2" t="s">
        <v>12</v>
      </c>
      <c r="E5021" s="2" t="s">
        <v>12</v>
      </c>
      <c r="F5021" s="2" t="s">
        <v>12</v>
      </c>
      <c r="G5021" s="2" t="s">
        <v>12</v>
      </c>
      <c r="H5021" s="2" t="s">
        <v>12</v>
      </c>
      <c r="I5021" s="2" t="s">
        <v>12</v>
      </c>
      <c r="J5021" s="2" t="s">
        <v>12</v>
      </c>
      <c r="K5021" s="2" t="s">
        <v>12</v>
      </c>
    </row>
    <row r="5022" spans="1:11" ht="12.5" x14ac:dyDescent="0.25">
      <c r="A5022" s="3" t="e">
        <f ca="1"/>
        <v>#NAME?</v>
      </c>
      <c r="B5022" s="2" t="s">
        <v>12</v>
      </c>
      <c r="C5022" s="2" t="s">
        <v>12</v>
      </c>
      <c r="D5022" s="2" t="s">
        <v>12</v>
      </c>
      <c r="E5022" s="2" t="s">
        <v>12</v>
      </c>
      <c r="F5022" s="2" t="s">
        <v>12</v>
      </c>
      <c r="G5022" s="2" t="s">
        <v>12</v>
      </c>
      <c r="H5022" s="2" t="s">
        <v>12</v>
      </c>
      <c r="I5022" s="2" t="s">
        <v>12</v>
      </c>
      <c r="J5022" s="2" t="s">
        <v>12</v>
      </c>
      <c r="K5022" s="2" t="s">
        <v>12</v>
      </c>
    </row>
    <row r="5023" spans="1:11" ht="12.5" x14ac:dyDescent="0.25">
      <c r="A5023" s="3" t="e">
        <f ca="1"/>
        <v>#NAME?</v>
      </c>
      <c r="B5023" s="2" t="s">
        <v>12</v>
      </c>
      <c r="C5023" s="2" t="s">
        <v>12</v>
      </c>
      <c r="D5023" s="2" t="s">
        <v>12</v>
      </c>
      <c r="E5023" s="2" t="s">
        <v>12</v>
      </c>
      <c r="F5023" s="2" t="s">
        <v>12</v>
      </c>
      <c r="G5023" s="2" t="s">
        <v>12</v>
      </c>
      <c r="H5023" s="2" t="s">
        <v>12</v>
      </c>
      <c r="I5023" s="2" t="s">
        <v>12</v>
      </c>
      <c r="J5023" s="2" t="s">
        <v>12</v>
      </c>
      <c r="K5023" s="2" t="s">
        <v>12</v>
      </c>
    </row>
    <row r="5024" spans="1:11" ht="12.5" x14ac:dyDescent="0.25">
      <c r="A5024" s="3" t="e">
        <f ca="1"/>
        <v>#NAME?</v>
      </c>
      <c r="B5024" s="2" t="s">
        <v>12</v>
      </c>
      <c r="C5024" s="2" t="s">
        <v>12</v>
      </c>
      <c r="D5024" s="2" t="s">
        <v>12</v>
      </c>
      <c r="E5024" s="2" t="s">
        <v>12</v>
      </c>
      <c r="F5024" s="2" t="s">
        <v>12</v>
      </c>
      <c r="G5024" s="2" t="s">
        <v>12</v>
      </c>
      <c r="H5024" s="2" t="s">
        <v>12</v>
      </c>
      <c r="I5024" s="2" t="s">
        <v>12</v>
      </c>
      <c r="J5024" s="2" t="s">
        <v>12</v>
      </c>
      <c r="K5024" s="2" t="s">
        <v>12</v>
      </c>
    </row>
    <row r="5025" spans="1:11" ht="12.5" x14ac:dyDescent="0.25">
      <c r="A5025" s="3" t="e">
        <f ca="1"/>
        <v>#NAME?</v>
      </c>
      <c r="B5025" s="2" t="s">
        <v>12</v>
      </c>
      <c r="C5025" s="2" t="s">
        <v>12</v>
      </c>
      <c r="D5025" s="2" t="s">
        <v>12</v>
      </c>
      <c r="E5025" s="2" t="s">
        <v>12</v>
      </c>
      <c r="F5025" s="2" t="s">
        <v>12</v>
      </c>
      <c r="G5025" s="2" t="s">
        <v>12</v>
      </c>
      <c r="H5025" s="2" t="s">
        <v>12</v>
      </c>
      <c r="I5025" s="2" t="s">
        <v>12</v>
      </c>
      <c r="J5025" s="2" t="s">
        <v>12</v>
      </c>
      <c r="K5025" s="2" t="s">
        <v>12</v>
      </c>
    </row>
    <row r="5026" spans="1:11" ht="12.5" x14ac:dyDescent="0.25">
      <c r="A5026" s="3" t="e">
        <f ca="1"/>
        <v>#NAME?</v>
      </c>
      <c r="B5026" s="2" t="s">
        <v>12</v>
      </c>
      <c r="C5026" s="2" t="s">
        <v>12</v>
      </c>
      <c r="D5026" s="2" t="s">
        <v>12</v>
      </c>
      <c r="E5026" s="2" t="s">
        <v>12</v>
      </c>
      <c r="F5026" s="2" t="s">
        <v>12</v>
      </c>
      <c r="G5026" s="2" t="s">
        <v>12</v>
      </c>
      <c r="H5026" s="2" t="s">
        <v>12</v>
      </c>
      <c r="I5026" s="2" t="s">
        <v>12</v>
      </c>
      <c r="J5026" s="2" t="s">
        <v>12</v>
      </c>
      <c r="K5026" s="2" t="s">
        <v>12</v>
      </c>
    </row>
    <row r="5027" spans="1:11" ht="12.5" x14ac:dyDescent="0.25">
      <c r="A5027" s="3" t="e">
        <f ca="1"/>
        <v>#NAME?</v>
      </c>
      <c r="B5027" s="2" t="s">
        <v>12</v>
      </c>
      <c r="C5027" s="2" t="s">
        <v>12</v>
      </c>
      <c r="D5027" s="2" t="s">
        <v>12</v>
      </c>
      <c r="E5027" s="2" t="s">
        <v>12</v>
      </c>
      <c r="F5027" s="2" t="s">
        <v>12</v>
      </c>
      <c r="G5027" s="2" t="s">
        <v>12</v>
      </c>
      <c r="H5027" s="2" t="s">
        <v>12</v>
      </c>
      <c r="I5027" s="2" t="s">
        <v>12</v>
      </c>
      <c r="J5027" s="2" t="s">
        <v>12</v>
      </c>
      <c r="K5027" s="2" t="s">
        <v>12</v>
      </c>
    </row>
    <row r="5028" spans="1:11" ht="12.5" x14ac:dyDescent="0.25">
      <c r="A5028" s="3" t="e">
        <f ca="1"/>
        <v>#NAME?</v>
      </c>
      <c r="B5028" s="2" t="s">
        <v>12</v>
      </c>
      <c r="C5028" s="2" t="s">
        <v>12</v>
      </c>
      <c r="D5028" s="2" t="s">
        <v>12</v>
      </c>
      <c r="E5028" s="2" t="s">
        <v>12</v>
      </c>
      <c r="F5028" s="2" t="s">
        <v>12</v>
      </c>
      <c r="G5028" s="2" t="s">
        <v>12</v>
      </c>
      <c r="H5028" s="2" t="s">
        <v>12</v>
      </c>
      <c r="I5028" s="2" t="s">
        <v>12</v>
      </c>
      <c r="J5028" s="2" t="s">
        <v>12</v>
      </c>
      <c r="K5028" s="2" t="s">
        <v>12</v>
      </c>
    </row>
    <row r="5029" spans="1:11" ht="12.5" x14ac:dyDescent="0.25">
      <c r="A5029" s="3" t="e">
        <f ca="1"/>
        <v>#NAME?</v>
      </c>
      <c r="B5029" s="2" t="s">
        <v>12</v>
      </c>
      <c r="C5029" s="2" t="s">
        <v>12</v>
      </c>
      <c r="D5029" s="2" t="s">
        <v>12</v>
      </c>
      <c r="E5029" s="2" t="s">
        <v>12</v>
      </c>
      <c r="F5029" s="2" t="s">
        <v>12</v>
      </c>
      <c r="G5029" s="2" t="s">
        <v>12</v>
      </c>
      <c r="H5029" s="2" t="s">
        <v>12</v>
      </c>
      <c r="I5029" s="2" t="s">
        <v>12</v>
      </c>
      <c r="J5029" s="2" t="s">
        <v>12</v>
      </c>
      <c r="K5029" s="2" t="s">
        <v>12</v>
      </c>
    </row>
    <row r="5030" spans="1:11" ht="12.5" x14ac:dyDescent="0.25">
      <c r="A5030" s="3" t="e">
        <f ca="1"/>
        <v>#NAME?</v>
      </c>
      <c r="B5030" s="2" t="s">
        <v>12</v>
      </c>
      <c r="C5030" s="2" t="s">
        <v>12</v>
      </c>
      <c r="D5030" s="2" t="s">
        <v>12</v>
      </c>
      <c r="E5030" s="2" t="s">
        <v>12</v>
      </c>
      <c r="F5030" s="2" t="s">
        <v>12</v>
      </c>
      <c r="G5030" s="2" t="s">
        <v>12</v>
      </c>
      <c r="H5030" s="2" t="s">
        <v>12</v>
      </c>
      <c r="I5030" s="2" t="s">
        <v>12</v>
      </c>
      <c r="J5030" s="2" t="s">
        <v>12</v>
      </c>
      <c r="K5030" s="2" t="s">
        <v>12</v>
      </c>
    </row>
    <row r="5031" spans="1:11" ht="12.5" x14ac:dyDescent="0.25">
      <c r="A5031" s="3" t="e">
        <f ca="1"/>
        <v>#NAME?</v>
      </c>
      <c r="B5031" s="2" t="s">
        <v>12</v>
      </c>
      <c r="C5031" s="2" t="s">
        <v>12</v>
      </c>
      <c r="D5031" s="2" t="s">
        <v>12</v>
      </c>
      <c r="E5031" s="2" t="s">
        <v>12</v>
      </c>
      <c r="F5031" s="2" t="s">
        <v>12</v>
      </c>
      <c r="G5031" s="2" t="s">
        <v>12</v>
      </c>
      <c r="H5031" s="2" t="s">
        <v>12</v>
      </c>
      <c r="I5031" s="2" t="s">
        <v>12</v>
      </c>
      <c r="J5031" s="2" t="s">
        <v>12</v>
      </c>
      <c r="K5031" s="2" t="s">
        <v>12</v>
      </c>
    </row>
    <row r="5032" spans="1:11" ht="12.5" x14ac:dyDescent="0.25">
      <c r="A5032" s="3" t="e">
        <f ca="1"/>
        <v>#NAME?</v>
      </c>
      <c r="B5032" s="2" t="s">
        <v>12</v>
      </c>
      <c r="C5032" s="2" t="s">
        <v>12</v>
      </c>
      <c r="D5032" s="2" t="s">
        <v>12</v>
      </c>
      <c r="E5032" s="2" t="s">
        <v>12</v>
      </c>
      <c r="F5032" s="2" t="s">
        <v>12</v>
      </c>
      <c r="G5032" s="2" t="s">
        <v>12</v>
      </c>
      <c r="H5032" s="2" t="s">
        <v>12</v>
      </c>
      <c r="I5032" s="2" t="s">
        <v>12</v>
      </c>
      <c r="J5032" s="2" t="s">
        <v>12</v>
      </c>
      <c r="K5032" s="2" t="s">
        <v>12</v>
      </c>
    </row>
    <row r="5033" spans="1:11" ht="12.5" x14ac:dyDescent="0.25">
      <c r="A5033" s="3" t="e">
        <f ca="1"/>
        <v>#NAME?</v>
      </c>
      <c r="B5033" s="2" t="s">
        <v>12</v>
      </c>
      <c r="C5033" s="2" t="s">
        <v>12</v>
      </c>
      <c r="D5033" s="2" t="s">
        <v>12</v>
      </c>
      <c r="E5033" s="2" t="s">
        <v>12</v>
      </c>
      <c r="F5033" s="2" t="s">
        <v>12</v>
      </c>
      <c r="G5033" s="2" t="s">
        <v>12</v>
      </c>
      <c r="H5033" s="2" t="s">
        <v>12</v>
      </c>
      <c r="I5033" s="2" t="s">
        <v>12</v>
      </c>
      <c r="J5033" s="2" t="s">
        <v>12</v>
      </c>
      <c r="K5033" s="2" t="s">
        <v>12</v>
      </c>
    </row>
    <row r="5034" spans="1:11" ht="12.5" x14ac:dyDescent="0.25">
      <c r="A5034" s="3" t="e">
        <f ca="1"/>
        <v>#NAME?</v>
      </c>
      <c r="B5034" s="2" t="s">
        <v>12</v>
      </c>
      <c r="C5034" s="2" t="s">
        <v>12</v>
      </c>
      <c r="D5034" s="2" t="s">
        <v>12</v>
      </c>
      <c r="E5034" s="2" t="s">
        <v>12</v>
      </c>
      <c r="F5034" s="2" t="s">
        <v>12</v>
      </c>
      <c r="G5034" s="2" t="s">
        <v>12</v>
      </c>
      <c r="H5034" s="2" t="s">
        <v>12</v>
      </c>
      <c r="I5034" s="2" t="s">
        <v>12</v>
      </c>
      <c r="J5034" s="2" t="s">
        <v>12</v>
      </c>
      <c r="K5034" s="2" t="s">
        <v>12</v>
      </c>
    </row>
    <row r="5035" spans="1:11" ht="12.5" x14ac:dyDescent="0.25">
      <c r="A5035" s="3" t="e">
        <f ca="1"/>
        <v>#NAME?</v>
      </c>
      <c r="B5035" s="2" t="s">
        <v>12</v>
      </c>
      <c r="C5035" s="2" t="s">
        <v>12</v>
      </c>
      <c r="D5035" s="2" t="s">
        <v>12</v>
      </c>
      <c r="E5035" s="2" t="s">
        <v>12</v>
      </c>
      <c r="F5035" s="2" t="s">
        <v>12</v>
      </c>
      <c r="G5035" s="2" t="s">
        <v>12</v>
      </c>
      <c r="H5035" s="2" t="s">
        <v>12</v>
      </c>
      <c r="I5035" s="2" t="s">
        <v>12</v>
      </c>
      <c r="J5035" s="2" t="s">
        <v>12</v>
      </c>
      <c r="K5035" s="2" t="s">
        <v>12</v>
      </c>
    </row>
    <row r="5036" spans="1:11" ht="12.5" x14ac:dyDescent="0.25">
      <c r="A5036" s="3" t="e">
        <f ca="1"/>
        <v>#NAME?</v>
      </c>
      <c r="B5036" s="2" t="s">
        <v>12</v>
      </c>
      <c r="C5036" s="2" t="s">
        <v>12</v>
      </c>
      <c r="D5036" s="2" t="s">
        <v>12</v>
      </c>
      <c r="E5036" s="2" t="s">
        <v>12</v>
      </c>
      <c r="F5036" s="2" t="s">
        <v>12</v>
      </c>
      <c r="G5036" s="2" t="s">
        <v>12</v>
      </c>
      <c r="H5036" s="2" t="s">
        <v>12</v>
      </c>
      <c r="I5036" s="2" t="s">
        <v>12</v>
      </c>
      <c r="J5036" s="2" t="s">
        <v>12</v>
      </c>
      <c r="K5036" s="2" t="s">
        <v>12</v>
      </c>
    </row>
    <row r="5037" spans="1:11" ht="12.5" x14ac:dyDescent="0.25">
      <c r="A5037" s="3" t="e">
        <f ca="1"/>
        <v>#NAME?</v>
      </c>
      <c r="B5037" s="2" t="s">
        <v>12</v>
      </c>
      <c r="C5037" s="2" t="s">
        <v>12</v>
      </c>
      <c r="D5037" s="2" t="s">
        <v>12</v>
      </c>
      <c r="E5037" s="2" t="s">
        <v>12</v>
      </c>
      <c r="F5037" s="2" t="s">
        <v>12</v>
      </c>
      <c r="G5037" s="2" t="s">
        <v>12</v>
      </c>
      <c r="H5037" s="2" t="s">
        <v>12</v>
      </c>
      <c r="I5037" s="2" t="s">
        <v>12</v>
      </c>
      <c r="J5037" s="2" t="s">
        <v>12</v>
      </c>
      <c r="K5037" s="2" t="s">
        <v>12</v>
      </c>
    </row>
    <row r="5038" spans="1:11" ht="12.5" x14ac:dyDescent="0.25">
      <c r="A5038" s="3" t="e">
        <f ca="1"/>
        <v>#NAME?</v>
      </c>
      <c r="B5038" s="2" t="s">
        <v>12</v>
      </c>
      <c r="C5038" s="2" t="s">
        <v>12</v>
      </c>
      <c r="D5038" s="2" t="s">
        <v>12</v>
      </c>
      <c r="E5038" s="2" t="s">
        <v>12</v>
      </c>
      <c r="F5038" s="2" t="s">
        <v>12</v>
      </c>
      <c r="G5038" s="2" t="s">
        <v>12</v>
      </c>
      <c r="H5038" s="2" t="s">
        <v>12</v>
      </c>
      <c r="I5038" s="2" t="s">
        <v>12</v>
      </c>
      <c r="J5038" s="2" t="s">
        <v>12</v>
      </c>
      <c r="K5038" s="2" t="s">
        <v>12</v>
      </c>
    </row>
    <row r="5039" spans="1:11" ht="12.5" x14ac:dyDescent="0.25">
      <c r="A5039" s="3" t="e">
        <f ca="1"/>
        <v>#NAME?</v>
      </c>
      <c r="B5039" s="2" t="s">
        <v>12</v>
      </c>
      <c r="C5039" s="2" t="s">
        <v>12</v>
      </c>
      <c r="D5039" s="2" t="s">
        <v>12</v>
      </c>
      <c r="E5039" s="2" t="s">
        <v>12</v>
      </c>
      <c r="F5039" s="2" t="s">
        <v>12</v>
      </c>
      <c r="G5039" s="2" t="s">
        <v>12</v>
      </c>
      <c r="H5039" s="2" t="s">
        <v>12</v>
      </c>
      <c r="I5039" s="2" t="s">
        <v>12</v>
      </c>
      <c r="J5039" s="2" t="s">
        <v>12</v>
      </c>
      <c r="K5039" s="2" t="s">
        <v>12</v>
      </c>
    </row>
    <row r="5040" spans="1:11" ht="12.5" x14ac:dyDescent="0.25">
      <c r="A5040" s="3" t="e">
        <f ca="1"/>
        <v>#NAME?</v>
      </c>
      <c r="B5040" s="2" t="s">
        <v>12</v>
      </c>
      <c r="C5040" s="2" t="s">
        <v>12</v>
      </c>
      <c r="D5040" s="2" t="s">
        <v>12</v>
      </c>
      <c r="E5040" s="2" t="s">
        <v>12</v>
      </c>
      <c r="F5040" s="2" t="s">
        <v>12</v>
      </c>
      <c r="G5040" s="2" t="s">
        <v>12</v>
      </c>
      <c r="H5040" s="2" t="s">
        <v>12</v>
      </c>
      <c r="I5040" s="2" t="s">
        <v>12</v>
      </c>
      <c r="J5040" s="2" t="s">
        <v>12</v>
      </c>
      <c r="K5040" s="2" t="s">
        <v>12</v>
      </c>
    </row>
    <row r="5041" spans="1:11" ht="12.5" x14ac:dyDescent="0.25">
      <c r="A5041" s="3" t="e">
        <f ca="1"/>
        <v>#NAME?</v>
      </c>
      <c r="B5041" s="2" t="s">
        <v>12</v>
      </c>
      <c r="C5041" s="2" t="s">
        <v>12</v>
      </c>
      <c r="D5041" s="2" t="s">
        <v>12</v>
      </c>
      <c r="E5041" s="2" t="s">
        <v>12</v>
      </c>
      <c r="F5041" s="2" t="s">
        <v>12</v>
      </c>
      <c r="G5041" s="2" t="s">
        <v>12</v>
      </c>
      <c r="H5041" s="2" t="s">
        <v>12</v>
      </c>
      <c r="I5041" s="2" t="s">
        <v>12</v>
      </c>
      <c r="J5041" s="2" t="s">
        <v>12</v>
      </c>
      <c r="K5041" s="2" t="s">
        <v>12</v>
      </c>
    </row>
    <row r="5042" spans="1:11" ht="12.5" x14ac:dyDescent="0.25">
      <c r="A5042" s="3" t="e">
        <f ca="1"/>
        <v>#NAME?</v>
      </c>
      <c r="B5042" s="2" t="s">
        <v>12</v>
      </c>
      <c r="C5042" s="2" t="s">
        <v>12</v>
      </c>
      <c r="D5042" s="2" t="s">
        <v>12</v>
      </c>
      <c r="E5042" s="2" t="s">
        <v>12</v>
      </c>
      <c r="F5042" s="2" t="s">
        <v>12</v>
      </c>
      <c r="G5042" s="2" t="s">
        <v>12</v>
      </c>
      <c r="H5042" s="2" t="s">
        <v>12</v>
      </c>
      <c r="I5042" s="2" t="s">
        <v>12</v>
      </c>
      <c r="J5042" s="2" t="s">
        <v>12</v>
      </c>
      <c r="K5042" s="2" t="s">
        <v>12</v>
      </c>
    </row>
    <row r="5043" spans="1:11" ht="12.5" x14ac:dyDescent="0.25">
      <c r="A5043" s="3" t="e">
        <f ca="1"/>
        <v>#NAME?</v>
      </c>
      <c r="B5043" s="2" t="s">
        <v>12</v>
      </c>
      <c r="C5043" s="2" t="s">
        <v>12</v>
      </c>
      <c r="D5043" s="2" t="s">
        <v>12</v>
      </c>
      <c r="E5043" s="2" t="s">
        <v>12</v>
      </c>
      <c r="F5043" s="2" t="s">
        <v>12</v>
      </c>
      <c r="G5043" s="2" t="s">
        <v>12</v>
      </c>
      <c r="H5043" s="2" t="s">
        <v>12</v>
      </c>
      <c r="I5043" s="2" t="s">
        <v>12</v>
      </c>
      <c r="J5043" s="2" t="s">
        <v>12</v>
      </c>
      <c r="K5043" s="2" t="s">
        <v>12</v>
      </c>
    </row>
    <row r="5044" spans="1:11" ht="12.5" x14ac:dyDescent="0.25">
      <c r="A5044" s="3" t="e">
        <f ca="1"/>
        <v>#NAME?</v>
      </c>
      <c r="B5044" s="2" t="s">
        <v>12</v>
      </c>
      <c r="C5044" s="2" t="s">
        <v>12</v>
      </c>
      <c r="D5044" s="2" t="s">
        <v>12</v>
      </c>
      <c r="E5044" s="2" t="s">
        <v>12</v>
      </c>
      <c r="F5044" s="2" t="s">
        <v>12</v>
      </c>
      <c r="G5044" s="2" t="s">
        <v>12</v>
      </c>
      <c r="H5044" s="2" t="s">
        <v>12</v>
      </c>
      <c r="I5044" s="2" t="s">
        <v>12</v>
      </c>
      <c r="J5044" s="2" t="s">
        <v>12</v>
      </c>
      <c r="K5044" s="2" t="s">
        <v>12</v>
      </c>
    </row>
    <row r="5045" spans="1:11" ht="12.5" x14ac:dyDescent="0.25">
      <c r="A5045" s="3" t="e">
        <f ca="1"/>
        <v>#NAME?</v>
      </c>
      <c r="B5045" s="2" t="s">
        <v>12</v>
      </c>
      <c r="C5045" s="2" t="s">
        <v>12</v>
      </c>
      <c r="D5045" s="2" t="s">
        <v>12</v>
      </c>
      <c r="E5045" s="2" t="s">
        <v>12</v>
      </c>
      <c r="F5045" s="2" t="s">
        <v>12</v>
      </c>
      <c r="G5045" s="2" t="s">
        <v>12</v>
      </c>
      <c r="H5045" s="2" t="s">
        <v>12</v>
      </c>
      <c r="I5045" s="2" t="s">
        <v>12</v>
      </c>
      <c r="J5045" s="2" t="s">
        <v>12</v>
      </c>
      <c r="K5045" s="2" t="s">
        <v>12</v>
      </c>
    </row>
    <row r="5046" spans="1:11" ht="12.5" x14ac:dyDescent="0.25">
      <c r="A5046" s="3" t="e">
        <f ca="1"/>
        <v>#NAME?</v>
      </c>
      <c r="B5046" s="2" t="s">
        <v>12</v>
      </c>
      <c r="C5046" s="2" t="s">
        <v>12</v>
      </c>
      <c r="D5046" s="2" t="s">
        <v>12</v>
      </c>
      <c r="E5046" s="2" t="s">
        <v>12</v>
      </c>
      <c r="F5046" s="2" t="s">
        <v>12</v>
      </c>
      <c r="G5046" s="2" t="s">
        <v>12</v>
      </c>
      <c r="H5046" s="2" t="s">
        <v>12</v>
      </c>
      <c r="I5046" s="2" t="s">
        <v>12</v>
      </c>
      <c r="J5046" s="2" t="s">
        <v>12</v>
      </c>
      <c r="K5046" s="2" t="s">
        <v>12</v>
      </c>
    </row>
    <row r="5047" spans="1:11" ht="12.5" x14ac:dyDescent="0.25">
      <c r="A5047" s="3" t="e">
        <f ca="1"/>
        <v>#NAME?</v>
      </c>
      <c r="B5047" s="2" t="s">
        <v>12</v>
      </c>
      <c r="C5047" s="2" t="s">
        <v>12</v>
      </c>
      <c r="D5047" s="2" t="s">
        <v>12</v>
      </c>
      <c r="E5047" s="2" t="s">
        <v>12</v>
      </c>
      <c r="F5047" s="2" t="s">
        <v>12</v>
      </c>
      <c r="G5047" s="2" t="s">
        <v>12</v>
      </c>
      <c r="H5047" s="2" t="s">
        <v>12</v>
      </c>
      <c r="I5047" s="2" t="s">
        <v>12</v>
      </c>
      <c r="J5047" s="2" t="s">
        <v>12</v>
      </c>
      <c r="K5047" s="2" t="s">
        <v>12</v>
      </c>
    </row>
    <row r="5048" spans="1:11" ht="12.5" x14ac:dyDescent="0.25">
      <c r="A5048" s="3" t="e">
        <f ca="1"/>
        <v>#NAME?</v>
      </c>
      <c r="B5048" s="2" t="s">
        <v>12</v>
      </c>
      <c r="C5048" s="2" t="s">
        <v>12</v>
      </c>
      <c r="D5048" s="2" t="s">
        <v>12</v>
      </c>
      <c r="E5048" s="2" t="s">
        <v>12</v>
      </c>
      <c r="F5048" s="2" t="s">
        <v>12</v>
      </c>
      <c r="G5048" s="2" t="s">
        <v>12</v>
      </c>
      <c r="H5048" s="2" t="s">
        <v>12</v>
      </c>
      <c r="I5048" s="2" t="s">
        <v>12</v>
      </c>
      <c r="J5048" s="2" t="s">
        <v>12</v>
      </c>
      <c r="K5048" s="2" t="s">
        <v>12</v>
      </c>
    </row>
    <row r="5049" spans="1:11" ht="12.5" x14ac:dyDescent="0.25">
      <c r="A5049" s="3" t="e">
        <f ca="1"/>
        <v>#NAME?</v>
      </c>
      <c r="B5049" s="2" t="s">
        <v>12</v>
      </c>
      <c r="C5049" s="2" t="s">
        <v>12</v>
      </c>
      <c r="D5049" s="2" t="s">
        <v>12</v>
      </c>
      <c r="E5049" s="2" t="s">
        <v>12</v>
      </c>
      <c r="F5049" s="2" t="s">
        <v>12</v>
      </c>
      <c r="G5049" s="2" t="s">
        <v>12</v>
      </c>
      <c r="H5049" s="2" t="s">
        <v>12</v>
      </c>
      <c r="I5049" s="2" t="s">
        <v>12</v>
      </c>
      <c r="J5049" s="2" t="s">
        <v>12</v>
      </c>
      <c r="K5049" s="2" t="s">
        <v>12</v>
      </c>
    </row>
    <row r="5050" spans="1:11" ht="12.5" x14ac:dyDescent="0.25">
      <c r="A5050" s="3" t="e">
        <f ca="1"/>
        <v>#NAME?</v>
      </c>
      <c r="B5050" s="2" t="s">
        <v>12</v>
      </c>
      <c r="C5050" s="2" t="s">
        <v>12</v>
      </c>
      <c r="D5050" s="2" t="s">
        <v>12</v>
      </c>
      <c r="E5050" s="2" t="s">
        <v>12</v>
      </c>
      <c r="F5050" s="2" t="s">
        <v>12</v>
      </c>
      <c r="G5050" s="2" t="s">
        <v>12</v>
      </c>
      <c r="H5050" s="2" t="s">
        <v>12</v>
      </c>
      <c r="I5050" s="2" t="s">
        <v>12</v>
      </c>
      <c r="J5050" s="2" t="s">
        <v>12</v>
      </c>
      <c r="K5050" s="2" t="s">
        <v>12</v>
      </c>
    </row>
    <row r="5051" spans="1:11" ht="12.5" x14ac:dyDescent="0.25">
      <c r="A5051" s="3" t="e">
        <f ca="1"/>
        <v>#NAME?</v>
      </c>
      <c r="B5051" s="2" t="s">
        <v>12</v>
      </c>
      <c r="C5051" s="2" t="s">
        <v>12</v>
      </c>
      <c r="D5051" s="2" t="s">
        <v>12</v>
      </c>
      <c r="E5051" s="2" t="s">
        <v>12</v>
      </c>
      <c r="F5051" s="2" t="s">
        <v>12</v>
      </c>
      <c r="G5051" s="2" t="s">
        <v>12</v>
      </c>
      <c r="H5051" s="2" t="s">
        <v>12</v>
      </c>
      <c r="I5051" s="2" t="s">
        <v>12</v>
      </c>
      <c r="J5051" s="2" t="s">
        <v>12</v>
      </c>
      <c r="K5051" s="2" t="s">
        <v>12</v>
      </c>
    </row>
    <row r="5052" spans="1:11" ht="12.5" x14ac:dyDescent="0.25">
      <c r="A5052" s="3" t="e">
        <f ca="1"/>
        <v>#NAME?</v>
      </c>
      <c r="B5052" s="2" t="s">
        <v>12</v>
      </c>
      <c r="C5052" s="2" t="s">
        <v>12</v>
      </c>
      <c r="D5052" s="2" t="s">
        <v>12</v>
      </c>
      <c r="E5052" s="2" t="s">
        <v>12</v>
      </c>
      <c r="F5052" s="2" t="s">
        <v>12</v>
      </c>
      <c r="G5052" s="2" t="s">
        <v>12</v>
      </c>
      <c r="H5052" s="2" t="s">
        <v>12</v>
      </c>
      <c r="I5052" s="2" t="s">
        <v>12</v>
      </c>
      <c r="J5052" s="2" t="s">
        <v>12</v>
      </c>
      <c r="K5052" s="2" t="s">
        <v>12</v>
      </c>
    </row>
    <row r="5053" spans="1:11" ht="12.5" x14ac:dyDescent="0.25">
      <c r="A5053" s="3" t="e">
        <f ca="1"/>
        <v>#NAME?</v>
      </c>
      <c r="B5053" s="2" t="s">
        <v>12</v>
      </c>
      <c r="C5053" s="2" t="s">
        <v>12</v>
      </c>
      <c r="D5053" s="2" t="s">
        <v>12</v>
      </c>
      <c r="E5053" s="2" t="s">
        <v>12</v>
      </c>
      <c r="F5053" s="2" t="s">
        <v>12</v>
      </c>
      <c r="G5053" s="2" t="s">
        <v>12</v>
      </c>
      <c r="H5053" s="2" t="s">
        <v>12</v>
      </c>
      <c r="I5053" s="2" t="s">
        <v>12</v>
      </c>
      <c r="J5053" s="2" t="s">
        <v>12</v>
      </c>
      <c r="K5053" s="2" t="s">
        <v>12</v>
      </c>
    </row>
    <row r="5054" spans="1:11" ht="12.5" x14ac:dyDescent="0.25">
      <c r="A5054" s="3" t="e">
        <f ca="1"/>
        <v>#NAME?</v>
      </c>
      <c r="B5054" s="2" t="s">
        <v>12</v>
      </c>
      <c r="C5054" s="2" t="s">
        <v>12</v>
      </c>
      <c r="D5054" s="2" t="s">
        <v>12</v>
      </c>
      <c r="E5054" s="2" t="s">
        <v>12</v>
      </c>
      <c r="F5054" s="2" t="s">
        <v>12</v>
      </c>
      <c r="G5054" s="2" t="s">
        <v>12</v>
      </c>
      <c r="H5054" s="2" t="s">
        <v>12</v>
      </c>
      <c r="I5054" s="2" t="s">
        <v>12</v>
      </c>
      <c r="J5054" s="2" t="s">
        <v>12</v>
      </c>
      <c r="K5054" s="2" t="s">
        <v>12</v>
      </c>
    </row>
    <row r="5055" spans="1:11" ht="12.5" x14ac:dyDescent="0.25">
      <c r="A5055" s="3" t="e">
        <f ca="1"/>
        <v>#NAME?</v>
      </c>
      <c r="B5055" s="2" t="s">
        <v>12</v>
      </c>
      <c r="C5055" s="2" t="s">
        <v>12</v>
      </c>
      <c r="D5055" s="2" t="s">
        <v>12</v>
      </c>
      <c r="E5055" s="2" t="s">
        <v>12</v>
      </c>
      <c r="F5055" s="2" t="s">
        <v>12</v>
      </c>
      <c r="G5055" s="2" t="s">
        <v>12</v>
      </c>
      <c r="H5055" s="2" t="s">
        <v>12</v>
      </c>
      <c r="I5055" s="2" t="s">
        <v>12</v>
      </c>
      <c r="J5055" s="2" t="s">
        <v>12</v>
      </c>
      <c r="K5055" s="2" t="s">
        <v>12</v>
      </c>
    </row>
    <row r="5056" spans="1:11" ht="12.5" x14ac:dyDescent="0.25">
      <c r="A5056" s="3" t="e">
        <f ca="1"/>
        <v>#NAME?</v>
      </c>
      <c r="B5056" s="2" t="s">
        <v>12</v>
      </c>
      <c r="C5056" s="2" t="s">
        <v>12</v>
      </c>
      <c r="D5056" s="2" t="s">
        <v>12</v>
      </c>
      <c r="E5056" s="2" t="s">
        <v>12</v>
      </c>
      <c r="F5056" s="2" t="s">
        <v>12</v>
      </c>
      <c r="G5056" s="2" t="s">
        <v>12</v>
      </c>
      <c r="H5056" s="2" t="s">
        <v>12</v>
      </c>
      <c r="I5056" s="2" t="s">
        <v>12</v>
      </c>
      <c r="J5056" s="2" t="s">
        <v>12</v>
      </c>
      <c r="K5056" s="2" t="s">
        <v>12</v>
      </c>
    </row>
    <row r="5057" spans="1:11" ht="12.5" x14ac:dyDescent="0.25">
      <c r="A5057" s="3" t="e">
        <f ca="1"/>
        <v>#NAME?</v>
      </c>
      <c r="B5057" s="2" t="s">
        <v>12</v>
      </c>
      <c r="C5057" s="2" t="s">
        <v>12</v>
      </c>
      <c r="D5057" s="2" t="s">
        <v>12</v>
      </c>
      <c r="E5057" s="2" t="s">
        <v>12</v>
      </c>
      <c r="F5057" s="2" t="s">
        <v>12</v>
      </c>
      <c r="G5057" s="2" t="s">
        <v>12</v>
      </c>
      <c r="H5057" s="2" t="s">
        <v>12</v>
      </c>
      <c r="I5057" s="2" t="s">
        <v>12</v>
      </c>
      <c r="J5057" s="2" t="s">
        <v>12</v>
      </c>
      <c r="K5057" s="2" t="s">
        <v>12</v>
      </c>
    </row>
    <row r="5058" spans="1:11" ht="12.5" x14ac:dyDescent="0.25">
      <c r="A5058" s="3" t="e">
        <f ca="1"/>
        <v>#NAME?</v>
      </c>
      <c r="B5058" s="2" t="s">
        <v>12</v>
      </c>
      <c r="C5058" s="2" t="s">
        <v>12</v>
      </c>
      <c r="D5058" s="2" t="s">
        <v>12</v>
      </c>
      <c r="E5058" s="2" t="s">
        <v>12</v>
      </c>
      <c r="F5058" s="2" t="s">
        <v>12</v>
      </c>
      <c r="G5058" s="2" t="s">
        <v>12</v>
      </c>
      <c r="H5058" s="2" t="s">
        <v>12</v>
      </c>
      <c r="I5058" s="2" t="s">
        <v>12</v>
      </c>
      <c r="J5058" s="2" t="s">
        <v>12</v>
      </c>
      <c r="K5058" s="2" t="s">
        <v>12</v>
      </c>
    </row>
    <row r="5059" spans="1:11" ht="12.5" x14ac:dyDescent="0.25">
      <c r="A5059" s="3" t="e">
        <f ca="1"/>
        <v>#NAME?</v>
      </c>
      <c r="B5059" s="2" t="s">
        <v>12</v>
      </c>
      <c r="C5059" s="2" t="s">
        <v>12</v>
      </c>
      <c r="D5059" s="2" t="s">
        <v>12</v>
      </c>
      <c r="E5059" s="2" t="s">
        <v>12</v>
      </c>
      <c r="F5059" s="2" t="s">
        <v>12</v>
      </c>
      <c r="G5059" s="2" t="s">
        <v>12</v>
      </c>
      <c r="H5059" s="2" t="s">
        <v>12</v>
      </c>
      <c r="I5059" s="2" t="s">
        <v>12</v>
      </c>
      <c r="J5059" s="2" t="s">
        <v>12</v>
      </c>
      <c r="K5059" s="2" t="s">
        <v>12</v>
      </c>
    </row>
    <row r="5060" spans="1:11" ht="12.5" x14ac:dyDescent="0.25">
      <c r="A5060" s="3" t="e">
        <f ca="1"/>
        <v>#NAME?</v>
      </c>
      <c r="B5060" s="2" t="s">
        <v>12</v>
      </c>
      <c r="C5060" s="2" t="s">
        <v>12</v>
      </c>
      <c r="D5060" s="2" t="s">
        <v>12</v>
      </c>
      <c r="E5060" s="2" t="s">
        <v>12</v>
      </c>
      <c r="F5060" s="2" t="s">
        <v>12</v>
      </c>
      <c r="G5060" s="2" t="s">
        <v>12</v>
      </c>
      <c r="H5060" s="2" t="s">
        <v>12</v>
      </c>
      <c r="I5060" s="2" t="s">
        <v>12</v>
      </c>
      <c r="J5060" s="2" t="s">
        <v>12</v>
      </c>
      <c r="K5060" s="2" t="s">
        <v>12</v>
      </c>
    </row>
    <row r="5061" spans="1:11" ht="12.5" x14ac:dyDescent="0.25">
      <c r="A5061" s="3" t="e">
        <f ca="1"/>
        <v>#NAME?</v>
      </c>
      <c r="B5061" s="2" t="s">
        <v>12</v>
      </c>
      <c r="C5061" s="2" t="s">
        <v>12</v>
      </c>
      <c r="D5061" s="2" t="s">
        <v>12</v>
      </c>
      <c r="E5061" s="2" t="s">
        <v>12</v>
      </c>
      <c r="F5061" s="2" t="s">
        <v>12</v>
      </c>
      <c r="G5061" s="2" t="s">
        <v>12</v>
      </c>
      <c r="H5061" s="2" t="s">
        <v>12</v>
      </c>
      <c r="I5061" s="2" t="s">
        <v>12</v>
      </c>
      <c r="J5061" s="2" t="s">
        <v>12</v>
      </c>
      <c r="K5061" s="2" t="s">
        <v>12</v>
      </c>
    </row>
    <row r="5062" spans="1:11" ht="12.5" x14ac:dyDescent="0.25">
      <c r="A5062" s="3" t="e">
        <f ca="1"/>
        <v>#NAME?</v>
      </c>
      <c r="B5062" s="2" t="s">
        <v>12</v>
      </c>
      <c r="C5062" s="2" t="s">
        <v>12</v>
      </c>
      <c r="D5062" s="2" t="s">
        <v>12</v>
      </c>
      <c r="E5062" s="2" t="s">
        <v>12</v>
      </c>
      <c r="F5062" s="2" t="s">
        <v>12</v>
      </c>
      <c r="G5062" s="2" t="s">
        <v>12</v>
      </c>
      <c r="H5062" s="2" t="s">
        <v>12</v>
      </c>
      <c r="I5062" s="2" t="s">
        <v>12</v>
      </c>
      <c r="J5062" s="2" t="s">
        <v>12</v>
      </c>
      <c r="K5062" s="2" t="s">
        <v>12</v>
      </c>
    </row>
    <row r="5063" spans="1:11" ht="12.5" x14ac:dyDescent="0.25">
      <c r="A5063" s="3" t="e">
        <f ca="1"/>
        <v>#NAME?</v>
      </c>
      <c r="B5063" s="2" t="s">
        <v>12</v>
      </c>
      <c r="C5063" s="2" t="s">
        <v>12</v>
      </c>
      <c r="D5063" s="2" t="s">
        <v>12</v>
      </c>
      <c r="E5063" s="2" t="s">
        <v>12</v>
      </c>
      <c r="F5063" s="2" t="s">
        <v>12</v>
      </c>
      <c r="G5063" s="2" t="s">
        <v>12</v>
      </c>
      <c r="H5063" s="2" t="s">
        <v>12</v>
      </c>
      <c r="I5063" s="2" t="s">
        <v>12</v>
      </c>
      <c r="J5063" s="2" t="s">
        <v>12</v>
      </c>
      <c r="K5063" s="2" t="s">
        <v>12</v>
      </c>
    </row>
    <row r="5064" spans="1:11" ht="12.5" x14ac:dyDescent="0.25">
      <c r="A5064" s="3" t="e">
        <f ca="1"/>
        <v>#NAME?</v>
      </c>
      <c r="B5064" s="2" t="s">
        <v>12</v>
      </c>
      <c r="C5064" s="2" t="s">
        <v>12</v>
      </c>
      <c r="D5064" s="2" t="s">
        <v>12</v>
      </c>
      <c r="E5064" s="2" t="s">
        <v>12</v>
      </c>
      <c r="F5064" s="2" t="s">
        <v>12</v>
      </c>
      <c r="G5064" s="2" t="s">
        <v>12</v>
      </c>
      <c r="H5064" s="2" t="s">
        <v>12</v>
      </c>
      <c r="I5064" s="2" t="s">
        <v>12</v>
      </c>
      <c r="J5064" s="2" t="s">
        <v>12</v>
      </c>
      <c r="K5064" s="2" t="s">
        <v>12</v>
      </c>
    </row>
    <row r="5065" spans="1:11" ht="12.5" x14ac:dyDescent="0.25">
      <c r="A5065" s="3" t="e">
        <f ca="1"/>
        <v>#NAME?</v>
      </c>
      <c r="B5065" s="2" t="s">
        <v>12</v>
      </c>
      <c r="C5065" s="2" t="s">
        <v>12</v>
      </c>
      <c r="D5065" s="2" t="s">
        <v>12</v>
      </c>
      <c r="E5065" s="2" t="s">
        <v>12</v>
      </c>
      <c r="F5065" s="2" t="s">
        <v>12</v>
      </c>
      <c r="G5065" s="2" t="s">
        <v>12</v>
      </c>
      <c r="H5065" s="2" t="s">
        <v>12</v>
      </c>
      <c r="I5065" s="2" t="s">
        <v>12</v>
      </c>
      <c r="J5065" s="2" t="s">
        <v>12</v>
      </c>
      <c r="K5065" s="2" t="s">
        <v>12</v>
      </c>
    </row>
    <row r="5066" spans="1:11" ht="12.5" x14ac:dyDescent="0.25">
      <c r="A5066" s="3" t="e">
        <f ca="1"/>
        <v>#NAME?</v>
      </c>
      <c r="B5066" s="2" t="s">
        <v>12</v>
      </c>
      <c r="C5066" s="2" t="s">
        <v>12</v>
      </c>
      <c r="D5066" s="2" t="s">
        <v>12</v>
      </c>
      <c r="E5066" s="2" t="s">
        <v>12</v>
      </c>
      <c r="F5066" s="2" t="s">
        <v>12</v>
      </c>
      <c r="G5066" s="2" t="s">
        <v>12</v>
      </c>
      <c r="H5066" s="2" t="s">
        <v>12</v>
      </c>
      <c r="I5066" s="2" t="s">
        <v>12</v>
      </c>
      <c r="J5066" s="2" t="s">
        <v>12</v>
      </c>
      <c r="K5066" s="2" t="s">
        <v>12</v>
      </c>
    </row>
    <row r="5067" spans="1:11" ht="12.5" x14ac:dyDescent="0.25">
      <c r="A5067" s="3" t="e">
        <f ca="1"/>
        <v>#NAME?</v>
      </c>
      <c r="B5067" s="2" t="s">
        <v>12</v>
      </c>
      <c r="C5067" s="2" t="s">
        <v>12</v>
      </c>
      <c r="D5067" s="2" t="s">
        <v>12</v>
      </c>
      <c r="E5067" s="2" t="s">
        <v>12</v>
      </c>
      <c r="F5067" s="2" t="s">
        <v>12</v>
      </c>
      <c r="G5067" s="2" t="s">
        <v>12</v>
      </c>
      <c r="H5067" s="2" t="s">
        <v>12</v>
      </c>
      <c r="I5067" s="2" t="s">
        <v>12</v>
      </c>
      <c r="J5067" s="2" t="s">
        <v>12</v>
      </c>
      <c r="K5067" s="2" t="s">
        <v>12</v>
      </c>
    </row>
    <row r="5068" spans="1:11" ht="12.5" x14ac:dyDescent="0.25">
      <c r="A5068" s="3" t="e">
        <f ca="1"/>
        <v>#NAME?</v>
      </c>
      <c r="B5068" s="2" t="s">
        <v>12</v>
      </c>
      <c r="C5068" s="2" t="s">
        <v>12</v>
      </c>
      <c r="D5068" s="2" t="s">
        <v>12</v>
      </c>
      <c r="E5068" s="2" t="s">
        <v>12</v>
      </c>
      <c r="F5068" s="2" t="s">
        <v>12</v>
      </c>
      <c r="G5068" s="2" t="s">
        <v>12</v>
      </c>
      <c r="H5068" s="2" t="s">
        <v>12</v>
      </c>
      <c r="I5068" s="2" t="s">
        <v>12</v>
      </c>
      <c r="J5068" s="2" t="s">
        <v>12</v>
      </c>
      <c r="K5068" s="2" t="s">
        <v>12</v>
      </c>
    </row>
    <row r="5069" spans="1:11" ht="12.5" x14ac:dyDescent="0.25">
      <c r="A5069" s="3" t="e">
        <f ca="1"/>
        <v>#NAME?</v>
      </c>
      <c r="B5069" s="2" t="s">
        <v>12</v>
      </c>
      <c r="C5069" s="2" t="s">
        <v>12</v>
      </c>
      <c r="D5069" s="2" t="s">
        <v>12</v>
      </c>
      <c r="E5069" s="2" t="s">
        <v>12</v>
      </c>
      <c r="F5069" s="2" t="s">
        <v>12</v>
      </c>
      <c r="G5069" s="2" t="s">
        <v>12</v>
      </c>
      <c r="H5069" s="2" t="s">
        <v>12</v>
      </c>
      <c r="I5069" s="2" t="s">
        <v>12</v>
      </c>
      <c r="J5069" s="2" t="s">
        <v>12</v>
      </c>
      <c r="K5069" s="2" t="s">
        <v>12</v>
      </c>
    </row>
    <row r="5070" spans="1:11" ht="12.5" x14ac:dyDescent="0.25">
      <c r="A5070" s="3" t="e">
        <f ca="1"/>
        <v>#NAME?</v>
      </c>
      <c r="B5070" s="2" t="s">
        <v>12</v>
      </c>
      <c r="C5070" s="2" t="s">
        <v>12</v>
      </c>
      <c r="D5070" s="2" t="s">
        <v>12</v>
      </c>
      <c r="E5070" s="2" t="s">
        <v>12</v>
      </c>
      <c r="F5070" s="2" t="s">
        <v>12</v>
      </c>
      <c r="G5070" s="2" t="s">
        <v>12</v>
      </c>
      <c r="H5070" s="2" t="s">
        <v>12</v>
      </c>
      <c r="I5070" s="2" t="s">
        <v>12</v>
      </c>
      <c r="J5070" s="2" t="s">
        <v>12</v>
      </c>
      <c r="K5070" s="2" t="s">
        <v>12</v>
      </c>
    </row>
    <row r="5071" spans="1:11" ht="12.5" x14ac:dyDescent="0.25">
      <c r="A5071" s="3" t="e">
        <f ca="1"/>
        <v>#NAME?</v>
      </c>
      <c r="B5071" s="2" t="s">
        <v>12</v>
      </c>
      <c r="C5071" s="2" t="s">
        <v>12</v>
      </c>
      <c r="D5071" s="2" t="s">
        <v>12</v>
      </c>
      <c r="E5071" s="2" t="s">
        <v>12</v>
      </c>
      <c r="F5071" s="2" t="s">
        <v>12</v>
      </c>
      <c r="G5071" s="2" t="s">
        <v>12</v>
      </c>
      <c r="H5071" s="2" t="s">
        <v>12</v>
      </c>
      <c r="I5071" s="2" t="s">
        <v>12</v>
      </c>
      <c r="J5071" s="2" t="s">
        <v>12</v>
      </c>
      <c r="K5071" s="2" t="s">
        <v>12</v>
      </c>
    </row>
    <row r="5072" spans="1:11" ht="12.5" x14ac:dyDescent="0.25">
      <c r="A5072" s="3" t="e">
        <f ca="1"/>
        <v>#NAME?</v>
      </c>
      <c r="B5072" s="2" t="s">
        <v>12</v>
      </c>
      <c r="C5072" s="2" t="s">
        <v>12</v>
      </c>
      <c r="D5072" s="2" t="s">
        <v>12</v>
      </c>
      <c r="E5072" s="2" t="s">
        <v>12</v>
      </c>
      <c r="F5072" s="2" t="s">
        <v>12</v>
      </c>
      <c r="G5072" s="2" t="s">
        <v>12</v>
      </c>
      <c r="H5072" s="2" t="s">
        <v>12</v>
      </c>
      <c r="I5072" s="2" t="s">
        <v>12</v>
      </c>
      <c r="J5072" s="2" t="s">
        <v>12</v>
      </c>
      <c r="K5072" s="2" t="s">
        <v>12</v>
      </c>
    </row>
    <row r="5073" spans="1:11" ht="12.5" x14ac:dyDescent="0.25">
      <c r="A5073" s="3" t="e">
        <f ca="1"/>
        <v>#NAME?</v>
      </c>
      <c r="B5073" s="2" t="s">
        <v>12</v>
      </c>
      <c r="C5073" s="2" t="s">
        <v>12</v>
      </c>
      <c r="D5073" s="2" t="s">
        <v>12</v>
      </c>
      <c r="E5073" s="2" t="s">
        <v>12</v>
      </c>
      <c r="F5073" s="2" t="s">
        <v>12</v>
      </c>
      <c r="G5073" s="2" t="s">
        <v>12</v>
      </c>
      <c r="H5073" s="2" t="s">
        <v>12</v>
      </c>
      <c r="I5073" s="2" t="s">
        <v>12</v>
      </c>
      <c r="J5073" s="2" t="s">
        <v>12</v>
      </c>
      <c r="K5073" s="2" t="s">
        <v>12</v>
      </c>
    </row>
    <row r="5074" spans="1:11" ht="12.5" x14ac:dyDescent="0.25">
      <c r="A5074" s="3" t="e">
        <f ca="1"/>
        <v>#NAME?</v>
      </c>
      <c r="B5074" s="2" t="s">
        <v>12</v>
      </c>
      <c r="C5074" s="2" t="s">
        <v>12</v>
      </c>
      <c r="D5074" s="2" t="s">
        <v>12</v>
      </c>
      <c r="E5074" s="2" t="s">
        <v>12</v>
      </c>
      <c r="F5074" s="2" t="s">
        <v>12</v>
      </c>
      <c r="G5074" s="2" t="s">
        <v>12</v>
      </c>
      <c r="H5074" s="2" t="s">
        <v>12</v>
      </c>
      <c r="I5074" s="2" t="s">
        <v>12</v>
      </c>
      <c r="J5074" s="2" t="s">
        <v>12</v>
      </c>
      <c r="K5074" s="2" t="s">
        <v>12</v>
      </c>
    </row>
    <row r="5075" spans="1:11" ht="12.5" x14ac:dyDescent="0.25">
      <c r="A5075" s="3" t="e">
        <f ca="1"/>
        <v>#NAME?</v>
      </c>
      <c r="B5075" s="2" t="s">
        <v>12</v>
      </c>
      <c r="C5075" s="2" t="s">
        <v>12</v>
      </c>
      <c r="D5075" s="2" t="s">
        <v>12</v>
      </c>
      <c r="E5075" s="2" t="s">
        <v>12</v>
      </c>
      <c r="F5075" s="2" t="s">
        <v>12</v>
      </c>
      <c r="G5075" s="2" t="s">
        <v>12</v>
      </c>
      <c r="H5075" s="2" t="s">
        <v>12</v>
      </c>
      <c r="I5075" s="2" t="s">
        <v>12</v>
      </c>
      <c r="J5075" s="2" t="s">
        <v>12</v>
      </c>
      <c r="K5075" s="2" t="s">
        <v>12</v>
      </c>
    </row>
    <row r="5076" spans="1:11" ht="12.5" x14ac:dyDescent="0.25">
      <c r="A5076" s="3" t="e">
        <f ca="1"/>
        <v>#NAME?</v>
      </c>
      <c r="B5076" s="2" t="s">
        <v>12</v>
      </c>
      <c r="C5076" s="2" t="s">
        <v>12</v>
      </c>
      <c r="D5076" s="2" t="s">
        <v>12</v>
      </c>
      <c r="E5076" s="2" t="s">
        <v>12</v>
      </c>
      <c r="F5076" s="2" t="s">
        <v>12</v>
      </c>
      <c r="G5076" s="2" t="s">
        <v>12</v>
      </c>
      <c r="H5076" s="2" t="s">
        <v>12</v>
      </c>
      <c r="I5076" s="2" t="s">
        <v>12</v>
      </c>
      <c r="J5076" s="2" t="s">
        <v>12</v>
      </c>
      <c r="K5076" s="2" t="s">
        <v>12</v>
      </c>
    </row>
    <row r="5077" spans="1:11" ht="12.5" x14ac:dyDescent="0.25">
      <c r="A5077" s="3" t="e">
        <f ca="1"/>
        <v>#NAME?</v>
      </c>
      <c r="B5077" s="2" t="s">
        <v>12</v>
      </c>
      <c r="C5077" s="2" t="s">
        <v>12</v>
      </c>
      <c r="D5077" s="2" t="s">
        <v>12</v>
      </c>
      <c r="E5077" s="2" t="s">
        <v>12</v>
      </c>
      <c r="F5077" s="2" t="s">
        <v>12</v>
      </c>
      <c r="G5077" s="2" t="s">
        <v>12</v>
      </c>
      <c r="H5077" s="2" t="s">
        <v>12</v>
      </c>
      <c r="I5077" s="2" t="s">
        <v>12</v>
      </c>
      <c r="J5077" s="2" t="s">
        <v>12</v>
      </c>
      <c r="K5077" s="2" t="s">
        <v>12</v>
      </c>
    </row>
    <row r="5078" spans="1:11" ht="12.5" x14ac:dyDescent="0.25">
      <c r="A5078" s="3" t="e">
        <f ca="1"/>
        <v>#NAME?</v>
      </c>
      <c r="B5078" s="2" t="s">
        <v>12</v>
      </c>
      <c r="C5078" s="2" t="s">
        <v>12</v>
      </c>
      <c r="D5078" s="2" t="s">
        <v>12</v>
      </c>
      <c r="E5078" s="2" t="s">
        <v>12</v>
      </c>
      <c r="F5078" s="2" t="s">
        <v>12</v>
      </c>
      <c r="G5078" s="2" t="s">
        <v>12</v>
      </c>
      <c r="H5078" s="2" t="s">
        <v>12</v>
      </c>
      <c r="I5078" s="2" t="s">
        <v>12</v>
      </c>
      <c r="J5078" s="2" t="s">
        <v>12</v>
      </c>
      <c r="K5078" s="2" t="s">
        <v>12</v>
      </c>
    </row>
    <row r="5079" spans="1:11" ht="12.5" x14ac:dyDescent="0.25">
      <c r="A5079" s="3" t="e">
        <f ca="1"/>
        <v>#NAME?</v>
      </c>
      <c r="B5079" s="2" t="s">
        <v>12</v>
      </c>
      <c r="C5079" s="2" t="s">
        <v>12</v>
      </c>
      <c r="D5079" s="2" t="s">
        <v>12</v>
      </c>
      <c r="E5079" s="2" t="s">
        <v>12</v>
      </c>
      <c r="F5079" s="2" t="s">
        <v>12</v>
      </c>
      <c r="G5079" s="2" t="s">
        <v>12</v>
      </c>
      <c r="H5079" s="2" t="s">
        <v>12</v>
      </c>
      <c r="I5079" s="2" t="s">
        <v>12</v>
      </c>
      <c r="J5079" s="2" t="s">
        <v>12</v>
      </c>
      <c r="K5079" s="2" t="s">
        <v>12</v>
      </c>
    </row>
    <row r="5080" spans="1:11" ht="12.5" x14ac:dyDescent="0.25">
      <c r="A5080" s="3" t="e">
        <f ca="1"/>
        <v>#NAME?</v>
      </c>
      <c r="B5080" s="2" t="s">
        <v>12</v>
      </c>
      <c r="C5080" s="2" t="s">
        <v>12</v>
      </c>
      <c r="D5080" s="2" t="s">
        <v>12</v>
      </c>
      <c r="E5080" s="2" t="s">
        <v>12</v>
      </c>
      <c r="F5080" s="2" t="s">
        <v>12</v>
      </c>
      <c r="G5080" s="2" t="s">
        <v>12</v>
      </c>
      <c r="H5080" s="2" t="s">
        <v>12</v>
      </c>
      <c r="I5080" s="2" t="s">
        <v>12</v>
      </c>
      <c r="J5080" s="2" t="s">
        <v>12</v>
      </c>
      <c r="K5080" s="2" t="s">
        <v>12</v>
      </c>
    </row>
    <row r="5081" spans="1:11" ht="12.5" x14ac:dyDescent="0.25">
      <c r="A5081" s="3" t="e">
        <f ca="1"/>
        <v>#NAME?</v>
      </c>
      <c r="B5081" s="2" t="s">
        <v>12</v>
      </c>
      <c r="C5081" s="2" t="s">
        <v>12</v>
      </c>
      <c r="D5081" s="2" t="s">
        <v>12</v>
      </c>
      <c r="E5081" s="2" t="s">
        <v>12</v>
      </c>
      <c r="F5081" s="2" t="s">
        <v>12</v>
      </c>
      <c r="G5081" s="2" t="s">
        <v>12</v>
      </c>
      <c r="H5081" s="2" t="s">
        <v>12</v>
      </c>
      <c r="I5081" s="2" t="s">
        <v>12</v>
      </c>
      <c r="J5081" s="2" t="s">
        <v>12</v>
      </c>
      <c r="K5081" s="2" t="s">
        <v>12</v>
      </c>
    </row>
    <row r="5082" spans="1:11" ht="12.5" x14ac:dyDescent="0.25">
      <c r="A5082" s="3" t="e">
        <f ca="1"/>
        <v>#NAME?</v>
      </c>
      <c r="B5082" s="2" t="s">
        <v>12</v>
      </c>
      <c r="C5082" s="2" t="s">
        <v>12</v>
      </c>
      <c r="D5082" s="2" t="s">
        <v>12</v>
      </c>
      <c r="E5082" s="2" t="s">
        <v>12</v>
      </c>
      <c r="F5082" s="2" t="s">
        <v>12</v>
      </c>
      <c r="G5082" s="2" t="s">
        <v>12</v>
      </c>
      <c r="H5082" s="2" t="s">
        <v>12</v>
      </c>
      <c r="I5082" s="2" t="s">
        <v>12</v>
      </c>
      <c r="J5082" s="2" t="s">
        <v>12</v>
      </c>
      <c r="K5082" s="2" t="s">
        <v>12</v>
      </c>
    </row>
    <row r="5083" spans="1:11" ht="12.5" x14ac:dyDescent="0.25">
      <c r="A5083" s="3" t="e">
        <f ca="1"/>
        <v>#NAME?</v>
      </c>
      <c r="B5083" s="2" t="s">
        <v>12</v>
      </c>
      <c r="C5083" s="2" t="s">
        <v>12</v>
      </c>
      <c r="D5083" s="2" t="s">
        <v>12</v>
      </c>
      <c r="E5083" s="2" t="s">
        <v>12</v>
      </c>
      <c r="F5083" s="2" t="s">
        <v>12</v>
      </c>
      <c r="G5083" s="2" t="s">
        <v>12</v>
      </c>
      <c r="H5083" s="2" t="s">
        <v>12</v>
      </c>
      <c r="I5083" s="2" t="s">
        <v>12</v>
      </c>
      <c r="J5083" s="2" t="s">
        <v>12</v>
      </c>
      <c r="K5083" s="2" t="s">
        <v>12</v>
      </c>
    </row>
    <row r="5084" spans="1:11" ht="12.5" x14ac:dyDescent="0.25">
      <c r="A5084" s="3" t="e">
        <f ca="1"/>
        <v>#NAME?</v>
      </c>
      <c r="B5084" s="2" t="s">
        <v>12</v>
      </c>
      <c r="C5084" s="2" t="s">
        <v>12</v>
      </c>
      <c r="D5084" s="2" t="s">
        <v>12</v>
      </c>
      <c r="E5084" s="2" t="s">
        <v>12</v>
      </c>
      <c r="F5084" s="2" t="s">
        <v>12</v>
      </c>
      <c r="G5084" s="2" t="s">
        <v>12</v>
      </c>
      <c r="H5084" s="2" t="s">
        <v>12</v>
      </c>
      <c r="I5084" s="2" t="s">
        <v>12</v>
      </c>
      <c r="J5084" s="2" t="s">
        <v>12</v>
      </c>
      <c r="K5084" s="2" t="s">
        <v>12</v>
      </c>
    </row>
    <row r="5085" spans="1:11" ht="12.5" x14ac:dyDescent="0.25">
      <c r="A5085" s="3" t="e">
        <f ca="1"/>
        <v>#NAME?</v>
      </c>
      <c r="B5085" s="2" t="s">
        <v>12</v>
      </c>
      <c r="C5085" s="2" t="s">
        <v>12</v>
      </c>
      <c r="D5085" s="2" t="s">
        <v>12</v>
      </c>
      <c r="E5085" s="2" t="s">
        <v>12</v>
      </c>
      <c r="F5085" s="2" t="s">
        <v>12</v>
      </c>
      <c r="G5085" s="2" t="s">
        <v>12</v>
      </c>
      <c r="H5085" s="2" t="s">
        <v>12</v>
      </c>
      <c r="I5085" s="2" t="s">
        <v>12</v>
      </c>
      <c r="J5085" s="2" t="s">
        <v>12</v>
      </c>
      <c r="K5085" s="2" t="s">
        <v>12</v>
      </c>
    </row>
    <row r="5086" spans="1:11" ht="12.5" x14ac:dyDescent="0.25">
      <c r="A5086" s="3" t="e">
        <f ca="1"/>
        <v>#NAME?</v>
      </c>
      <c r="B5086" s="2" t="s">
        <v>12</v>
      </c>
      <c r="C5086" s="2" t="s">
        <v>12</v>
      </c>
      <c r="D5086" s="2" t="s">
        <v>12</v>
      </c>
      <c r="E5086" s="2" t="s">
        <v>12</v>
      </c>
      <c r="F5086" s="2" t="s">
        <v>12</v>
      </c>
      <c r="G5086" s="2" t="s">
        <v>12</v>
      </c>
      <c r="H5086" s="2" t="s">
        <v>12</v>
      </c>
      <c r="I5086" s="2" t="s">
        <v>12</v>
      </c>
      <c r="J5086" s="2" t="s">
        <v>12</v>
      </c>
      <c r="K5086" s="2" t="s">
        <v>12</v>
      </c>
    </row>
    <row r="5087" spans="1:11" ht="12.5" x14ac:dyDescent="0.25">
      <c r="A5087" s="3" t="e">
        <f ca="1"/>
        <v>#NAME?</v>
      </c>
      <c r="B5087" s="2" t="s">
        <v>12</v>
      </c>
      <c r="C5087" s="2" t="s">
        <v>12</v>
      </c>
      <c r="D5087" s="2" t="s">
        <v>12</v>
      </c>
      <c r="E5087" s="2" t="s">
        <v>12</v>
      </c>
      <c r="F5087" s="2" t="s">
        <v>12</v>
      </c>
      <c r="G5087" s="2" t="s">
        <v>12</v>
      </c>
      <c r="H5087" s="2" t="s">
        <v>12</v>
      </c>
      <c r="I5087" s="2" t="s">
        <v>12</v>
      </c>
      <c r="J5087" s="2" t="s">
        <v>12</v>
      </c>
      <c r="K5087" s="2" t="s">
        <v>12</v>
      </c>
    </row>
    <row r="5088" spans="1:11" ht="12.5" x14ac:dyDescent="0.25">
      <c r="A5088" s="3" t="e">
        <f ca="1"/>
        <v>#NAME?</v>
      </c>
      <c r="B5088" s="2" t="s">
        <v>12</v>
      </c>
      <c r="C5088" s="2" t="s">
        <v>12</v>
      </c>
      <c r="D5088" s="2" t="s">
        <v>12</v>
      </c>
      <c r="E5088" s="2" t="s">
        <v>12</v>
      </c>
      <c r="F5088" s="2" t="s">
        <v>12</v>
      </c>
      <c r="G5088" s="2" t="s">
        <v>12</v>
      </c>
      <c r="H5088" s="2" t="s">
        <v>12</v>
      </c>
      <c r="I5088" s="2" t="s">
        <v>12</v>
      </c>
      <c r="J5088" s="2" t="s">
        <v>12</v>
      </c>
      <c r="K5088" s="2" t="s">
        <v>12</v>
      </c>
    </row>
    <row r="5089" spans="1:11" ht="12.5" x14ac:dyDescent="0.25">
      <c r="A5089" s="3" t="e">
        <f ca="1"/>
        <v>#NAME?</v>
      </c>
      <c r="B5089" s="2" t="s">
        <v>12</v>
      </c>
      <c r="C5089" s="2" t="s">
        <v>12</v>
      </c>
      <c r="D5089" s="2" t="s">
        <v>12</v>
      </c>
      <c r="E5089" s="2" t="s">
        <v>12</v>
      </c>
      <c r="F5089" s="2" t="s">
        <v>12</v>
      </c>
      <c r="G5089" s="2" t="s">
        <v>12</v>
      </c>
      <c r="H5089" s="2" t="s">
        <v>12</v>
      </c>
      <c r="I5089" s="2" t="s">
        <v>12</v>
      </c>
      <c r="J5089" s="2" t="s">
        <v>12</v>
      </c>
      <c r="K5089" s="2" t="s">
        <v>12</v>
      </c>
    </row>
    <row r="5090" spans="1:11" ht="12.5" x14ac:dyDescent="0.25">
      <c r="A5090" s="3" t="e">
        <f ca="1"/>
        <v>#NAME?</v>
      </c>
      <c r="B5090" s="2" t="s">
        <v>12</v>
      </c>
      <c r="C5090" s="2" t="s">
        <v>12</v>
      </c>
      <c r="D5090" s="2" t="s">
        <v>12</v>
      </c>
      <c r="E5090" s="2" t="s">
        <v>12</v>
      </c>
      <c r="F5090" s="2" t="s">
        <v>12</v>
      </c>
      <c r="G5090" s="2" t="s">
        <v>12</v>
      </c>
      <c r="H5090" s="2" t="s">
        <v>12</v>
      </c>
      <c r="I5090" s="2" t="s">
        <v>12</v>
      </c>
      <c r="J5090" s="2" t="s">
        <v>12</v>
      </c>
      <c r="K5090" s="2" t="s">
        <v>12</v>
      </c>
    </row>
    <row r="5091" spans="1:11" ht="12.5" x14ac:dyDescent="0.25">
      <c r="A5091" s="3" t="e">
        <f ca="1"/>
        <v>#NAME?</v>
      </c>
      <c r="B5091" s="2" t="s">
        <v>12</v>
      </c>
      <c r="C5091" s="2" t="s">
        <v>12</v>
      </c>
      <c r="D5091" s="2" t="s">
        <v>12</v>
      </c>
      <c r="E5091" s="2" t="s">
        <v>12</v>
      </c>
      <c r="F5091" s="2" t="s">
        <v>12</v>
      </c>
      <c r="G5091" s="2" t="s">
        <v>12</v>
      </c>
      <c r="H5091" s="2" t="s">
        <v>12</v>
      </c>
      <c r="I5091" s="2" t="s">
        <v>12</v>
      </c>
      <c r="J5091" s="2" t="s">
        <v>12</v>
      </c>
      <c r="K5091" s="2" t="s">
        <v>12</v>
      </c>
    </row>
    <row r="5092" spans="1:11" ht="12.5" x14ac:dyDescent="0.25">
      <c r="A5092" s="3" t="e">
        <f ca="1"/>
        <v>#NAME?</v>
      </c>
      <c r="B5092" s="2" t="s">
        <v>12</v>
      </c>
      <c r="C5092" s="2" t="s">
        <v>12</v>
      </c>
      <c r="D5092" s="2" t="s">
        <v>12</v>
      </c>
      <c r="E5092" s="2" t="s">
        <v>12</v>
      </c>
      <c r="F5092" s="2" t="s">
        <v>12</v>
      </c>
      <c r="G5092" s="2" t="s">
        <v>12</v>
      </c>
      <c r="H5092" s="2" t="s">
        <v>12</v>
      </c>
      <c r="I5092" s="2" t="s">
        <v>12</v>
      </c>
      <c r="J5092" s="2" t="s">
        <v>12</v>
      </c>
      <c r="K5092" s="2" t="s">
        <v>12</v>
      </c>
    </row>
    <row r="5093" spans="1:11" ht="12.5" x14ac:dyDescent="0.25">
      <c r="A5093" s="3" t="e">
        <f ca="1"/>
        <v>#NAME?</v>
      </c>
      <c r="B5093" s="2" t="s">
        <v>12</v>
      </c>
      <c r="C5093" s="2" t="s">
        <v>12</v>
      </c>
      <c r="D5093" s="2" t="s">
        <v>12</v>
      </c>
      <c r="E5093" s="2" t="s">
        <v>12</v>
      </c>
      <c r="F5093" s="2" t="s">
        <v>12</v>
      </c>
      <c r="G5093" s="2" t="s">
        <v>12</v>
      </c>
      <c r="H5093" s="2" t="s">
        <v>12</v>
      </c>
      <c r="I5093" s="2" t="s">
        <v>12</v>
      </c>
      <c r="J5093" s="2" t="s">
        <v>12</v>
      </c>
      <c r="K5093" s="2" t="s">
        <v>12</v>
      </c>
    </row>
    <row r="5094" spans="1:11" ht="12.5" x14ac:dyDescent="0.25">
      <c r="A5094" s="3" t="e">
        <f ca="1"/>
        <v>#NAME?</v>
      </c>
      <c r="B5094" s="2" t="s">
        <v>12</v>
      </c>
      <c r="C5094" s="2" t="s">
        <v>12</v>
      </c>
      <c r="D5094" s="2" t="s">
        <v>12</v>
      </c>
      <c r="E5094" s="2" t="s">
        <v>12</v>
      </c>
      <c r="F5094" s="2" t="s">
        <v>12</v>
      </c>
      <c r="G5094" s="2" t="s">
        <v>12</v>
      </c>
      <c r="H5094" s="2" t="s">
        <v>12</v>
      </c>
      <c r="I5094" s="2" t="s">
        <v>12</v>
      </c>
      <c r="J5094" s="2" t="s">
        <v>12</v>
      </c>
      <c r="K5094" s="2" t="s">
        <v>12</v>
      </c>
    </row>
    <row r="5095" spans="1:11" ht="12.5" x14ac:dyDescent="0.25">
      <c r="A5095" s="3" t="e">
        <f ca="1"/>
        <v>#NAME?</v>
      </c>
      <c r="B5095" s="2" t="s">
        <v>12</v>
      </c>
      <c r="C5095" s="2" t="s">
        <v>12</v>
      </c>
      <c r="D5095" s="2" t="s">
        <v>12</v>
      </c>
      <c r="E5095" s="2" t="s">
        <v>12</v>
      </c>
      <c r="F5095" s="2" t="s">
        <v>12</v>
      </c>
      <c r="G5095" s="2" t="s">
        <v>12</v>
      </c>
      <c r="H5095" s="2" t="s">
        <v>12</v>
      </c>
      <c r="I5095" s="2" t="s">
        <v>12</v>
      </c>
      <c r="J5095" s="2" t="s">
        <v>12</v>
      </c>
      <c r="K5095" s="2" t="s">
        <v>12</v>
      </c>
    </row>
    <row r="5096" spans="1:11" ht="12.5" x14ac:dyDescent="0.25">
      <c r="A5096" s="3" t="e">
        <f ca="1"/>
        <v>#NAME?</v>
      </c>
      <c r="B5096" s="2" t="s">
        <v>12</v>
      </c>
      <c r="C5096" s="2" t="s">
        <v>12</v>
      </c>
      <c r="D5096" s="2" t="s">
        <v>12</v>
      </c>
      <c r="E5096" s="2" t="s">
        <v>12</v>
      </c>
      <c r="F5096" s="2" t="s">
        <v>12</v>
      </c>
      <c r="G5096" s="2" t="s">
        <v>12</v>
      </c>
      <c r="H5096" s="2" t="s">
        <v>12</v>
      </c>
      <c r="I5096" s="2" t="s">
        <v>12</v>
      </c>
      <c r="J5096" s="2" t="s">
        <v>12</v>
      </c>
      <c r="K5096" s="2" t="s">
        <v>12</v>
      </c>
    </row>
    <row r="5097" spans="1:11" ht="12.5" x14ac:dyDescent="0.25">
      <c r="A5097" s="3" t="e">
        <f ca="1"/>
        <v>#NAME?</v>
      </c>
      <c r="B5097" s="2" t="s">
        <v>12</v>
      </c>
      <c r="C5097" s="2" t="s">
        <v>12</v>
      </c>
      <c r="D5097" s="2" t="s">
        <v>12</v>
      </c>
      <c r="E5097" s="2" t="s">
        <v>12</v>
      </c>
      <c r="F5097" s="2" t="s">
        <v>12</v>
      </c>
      <c r="G5097" s="2" t="s">
        <v>12</v>
      </c>
      <c r="H5097" s="2" t="s">
        <v>12</v>
      </c>
      <c r="I5097" s="2" t="s">
        <v>12</v>
      </c>
      <c r="J5097" s="2" t="s">
        <v>12</v>
      </c>
      <c r="K5097" s="2" t="s">
        <v>12</v>
      </c>
    </row>
    <row r="5098" spans="1:11" ht="12.5" x14ac:dyDescent="0.25">
      <c r="A5098" s="3" t="e">
        <f ca="1"/>
        <v>#NAME?</v>
      </c>
      <c r="B5098" s="2" t="s">
        <v>12</v>
      </c>
      <c r="C5098" s="2" t="s">
        <v>12</v>
      </c>
      <c r="D5098" s="2" t="s">
        <v>12</v>
      </c>
      <c r="E5098" s="2" t="s">
        <v>12</v>
      </c>
      <c r="F5098" s="2" t="s">
        <v>12</v>
      </c>
      <c r="G5098" s="2" t="s">
        <v>12</v>
      </c>
      <c r="H5098" s="2" t="s">
        <v>12</v>
      </c>
      <c r="I5098" s="2" t="s">
        <v>12</v>
      </c>
      <c r="J5098" s="2" t="s">
        <v>12</v>
      </c>
      <c r="K5098" s="2" t="s">
        <v>12</v>
      </c>
    </row>
    <row r="5099" spans="1:11" ht="12.5" x14ac:dyDescent="0.25">
      <c r="A5099" s="3" t="e">
        <f ca="1"/>
        <v>#NAME?</v>
      </c>
      <c r="B5099" s="2" t="s">
        <v>12</v>
      </c>
      <c r="C5099" s="2" t="s">
        <v>12</v>
      </c>
      <c r="D5099" s="2" t="s">
        <v>12</v>
      </c>
      <c r="E5099" s="2" t="s">
        <v>12</v>
      </c>
      <c r="F5099" s="2" t="s">
        <v>12</v>
      </c>
      <c r="G5099" s="2" t="s">
        <v>12</v>
      </c>
      <c r="H5099" s="2" t="s">
        <v>12</v>
      </c>
      <c r="I5099" s="2" t="s">
        <v>12</v>
      </c>
      <c r="J5099" s="2" t="s">
        <v>12</v>
      </c>
      <c r="K5099" s="2" t="s">
        <v>12</v>
      </c>
    </row>
    <row r="5100" spans="1:11" ht="12.5" x14ac:dyDescent="0.25">
      <c r="A5100" s="3" t="e">
        <f ca="1"/>
        <v>#NAME?</v>
      </c>
      <c r="B5100" s="2" t="s">
        <v>12</v>
      </c>
      <c r="C5100" s="2" t="s">
        <v>12</v>
      </c>
      <c r="D5100" s="2" t="s">
        <v>12</v>
      </c>
      <c r="E5100" s="2" t="s">
        <v>12</v>
      </c>
      <c r="F5100" s="2" t="s">
        <v>12</v>
      </c>
      <c r="G5100" s="2" t="s">
        <v>12</v>
      </c>
      <c r="H5100" s="2" t="s">
        <v>12</v>
      </c>
      <c r="I5100" s="2" t="s">
        <v>12</v>
      </c>
      <c r="J5100" s="2" t="s">
        <v>12</v>
      </c>
      <c r="K5100" s="2" t="s">
        <v>12</v>
      </c>
    </row>
    <row r="5101" spans="1:11" ht="12.5" x14ac:dyDescent="0.25">
      <c r="A5101" s="3" t="e">
        <f ca="1"/>
        <v>#NAME?</v>
      </c>
      <c r="B5101" s="2" t="s">
        <v>12</v>
      </c>
      <c r="C5101" s="2" t="s">
        <v>12</v>
      </c>
      <c r="D5101" s="2" t="s">
        <v>12</v>
      </c>
      <c r="E5101" s="2" t="s">
        <v>12</v>
      </c>
      <c r="F5101" s="2" t="s">
        <v>12</v>
      </c>
      <c r="G5101" s="2" t="s">
        <v>12</v>
      </c>
      <c r="H5101" s="2" t="s">
        <v>12</v>
      </c>
      <c r="I5101" s="2" t="s">
        <v>12</v>
      </c>
      <c r="J5101" s="2" t="s">
        <v>12</v>
      </c>
      <c r="K5101" s="2" t="s">
        <v>12</v>
      </c>
    </row>
    <row r="5102" spans="1:11" ht="12.5" x14ac:dyDescent="0.25">
      <c r="A5102" s="3" t="e">
        <f ca="1"/>
        <v>#NAME?</v>
      </c>
      <c r="B5102" s="2" t="s">
        <v>12</v>
      </c>
      <c r="C5102" s="2" t="s">
        <v>12</v>
      </c>
      <c r="D5102" s="2" t="s">
        <v>12</v>
      </c>
      <c r="E5102" s="2" t="s">
        <v>12</v>
      </c>
      <c r="F5102" s="2" t="s">
        <v>12</v>
      </c>
      <c r="G5102" s="2" t="s">
        <v>12</v>
      </c>
      <c r="H5102" s="2" t="s">
        <v>12</v>
      </c>
      <c r="I5102" s="2" t="s">
        <v>12</v>
      </c>
      <c r="J5102" s="2" t="s">
        <v>12</v>
      </c>
      <c r="K5102" s="2" t="s">
        <v>12</v>
      </c>
    </row>
    <row r="5103" spans="1:11" ht="12.5" x14ac:dyDescent="0.25">
      <c r="A5103" s="3" t="e">
        <f ca="1"/>
        <v>#NAME?</v>
      </c>
      <c r="B5103" s="2" t="s">
        <v>12</v>
      </c>
      <c r="C5103" s="2" t="s">
        <v>12</v>
      </c>
      <c r="D5103" s="2" t="s">
        <v>12</v>
      </c>
      <c r="E5103" s="2" t="s">
        <v>12</v>
      </c>
      <c r="F5103" s="2" t="s">
        <v>12</v>
      </c>
      <c r="G5103" s="2" t="s">
        <v>12</v>
      </c>
      <c r="H5103" s="2" t="s">
        <v>12</v>
      </c>
      <c r="I5103" s="2" t="s">
        <v>12</v>
      </c>
      <c r="J5103" s="2" t="s">
        <v>12</v>
      </c>
      <c r="K5103" s="2" t="s">
        <v>12</v>
      </c>
    </row>
    <row r="5104" spans="1:11" ht="12.5" x14ac:dyDescent="0.25">
      <c r="A5104" s="3" t="e">
        <f ca="1"/>
        <v>#NAME?</v>
      </c>
      <c r="B5104" s="2" t="s">
        <v>12</v>
      </c>
      <c r="C5104" s="2" t="s">
        <v>12</v>
      </c>
      <c r="D5104" s="2" t="s">
        <v>12</v>
      </c>
      <c r="E5104" s="2" t="s">
        <v>12</v>
      </c>
      <c r="F5104" s="2" t="s">
        <v>12</v>
      </c>
      <c r="G5104" s="2" t="s">
        <v>12</v>
      </c>
      <c r="H5104" s="2" t="s">
        <v>12</v>
      </c>
      <c r="I5104" s="2" t="s">
        <v>12</v>
      </c>
      <c r="J5104" s="2" t="s">
        <v>12</v>
      </c>
      <c r="K5104" s="2" t="s">
        <v>12</v>
      </c>
    </row>
    <row r="5105" spans="1:11" ht="12.5" x14ac:dyDescent="0.25">
      <c r="A5105" s="3" t="e">
        <f ca="1"/>
        <v>#NAME?</v>
      </c>
      <c r="B5105" s="2" t="s">
        <v>12</v>
      </c>
      <c r="C5105" s="2" t="s">
        <v>12</v>
      </c>
      <c r="D5105" s="2" t="s">
        <v>12</v>
      </c>
      <c r="E5105" s="2" t="s">
        <v>12</v>
      </c>
      <c r="F5105" s="2" t="s">
        <v>12</v>
      </c>
      <c r="G5105" s="2" t="s">
        <v>12</v>
      </c>
      <c r="H5105" s="2" t="s">
        <v>12</v>
      </c>
      <c r="I5105" s="2" t="s">
        <v>12</v>
      </c>
      <c r="J5105" s="2" t="s">
        <v>12</v>
      </c>
      <c r="K5105" s="2" t="s">
        <v>12</v>
      </c>
    </row>
    <row r="5106" spans="1:11" ht="12.5" x14ac:dyDescent="0.25">
      <c r="A5106" s="3" t="e">
        <f ca="1"/>
        <v>#NAME?</v>
      </c>
      <c r="B5106" s="2" t="s">
        <v>12</v>
      </c>
      <c r="C5106" s="2" t="s">
        <v>12</v>
      </c>
      <c r="D5106" s="2" t="s">
        <v>12</v>
      </c>
      <c r="E5106" s="2" t="s">
        <v>12</v>
      </c>
      <c r="F5106" s="2" t="s">
        <v>12</v>
      </c>
      <c r="G5106" s="2" t="s">
        <v>12</v>
      </c>
      <c r="H5106" s="2" t="s">
        <v>12</v>
      </c>
      <c r="I5106" s="2" t="s">
        <v>12</v>
      </c>
      <c r="J5106" s="2" t="s">
        <v>12</v>
      </c>
      <c r="K5106" s="2" t="s">
        <v>12</v>
      </c>
    </row>
    <row r="5107" spans="1:11" ht="12.5" x14ac:dyDescent="0.25">
      <c r="A5107" s="3" t="e">
        <f ca="1"/>
        <v>#NAME?</v>
      </c>
      <c r="B5107" s="2" t="s">
        <v>12</v>
      </c>
      <c r="C5107" s="2" t="s">
        <v>12</v>
      </c>
      <c r="D5107" s="2" t="s">
        <v>12</v>
      </c>
      <c r="E5107" s="2" t="s">
        <v>12</v>
      </c>
      <c r="F5107" s="2" t="s">
        <v>12</v>
      </c>
      <c r="G5107" s="2" t="s">
        <v>12</v>
      </c>
      <c r="H5107" s="2" t="s">
        <v>12</v>
      </c>
      <c r="I5107" s="2" t="s">
        <v>12</v>
      </c>
      <c r="J5107" s="2" t="s">
        <v>12</v>
      </c>
      <c r="K5107" s="2" t="s">
        <v>12</v>
      </c>
    </row>
    <row r="5108" spans="1:11" ht="12.5" x14ac:dyDescent="0.25">
      <c r="A5108" s="3" t="e">
        <f ca="1"/>
        <v>#NAME?</v>
      </c>
      <c r="B5108" s="2" t="s">
        <v>12</v>
      </c>
      <c r="C5108" s="2" t="s">
        <v>12</v>
      </c>
      <c r="D5108" s="2" t="s">
        <v>12</v>
      </c>
      <c r="E5108" s="2" t="s">
        <v>12</v>
      </c>
      <c r="F5108" s="2" t="s">
        <v>12</v>
      </c>
      <c r="G5108" s="2" t="s">
        <v>12</v>
      </c>
      <c r="H5108" s="2" t="s">
        <v>12</v>
      </c>
      <c r="I5108" s="2" t="s">
        <v>12</v>
      </c>
      <c r="J5108" s="2" t="s">
        <v>12</v>
      </c>
      <c r="K5108" s="2" t="s">
        <v>12</v>
      </c>
    </row>
    <row r="5109" spans="1:11" ht="12.5" x14ac:dyDescent="0.25">
      <c r="A5109" s="3" t="e">
        <f ca="1"/>
        <v>#NAME?</v>
      </c>
      <c r="B5109" s="2" t="s">
        <v>12</v>
      </c>
      <c r="C5109" s="2" t="s">
        <v>12</v>
      </c>
      <c r="D5109" s="2" t="s">
        <v>12</v>
      </c>
      <c r="E5109" s="2" t="s">
        <v>12</v>
      </c>
      <c r="F5109" s="2" t="s">
        <v>12</v>
      </c>
      <c r="G5109" s="2" t="s">
        <v>12</v>
      </c>
      <c r="H5109" s="2" t="s">
        <v>12</v>
      </c>
      <c r="I5109" s="2" t="s">
        <v>12</v>
      </c>
      <c r="J5109" s="2" t="s">
        <v>12</v>
      </c>
      <c r="K5109" s="2" t="s">
        <v>12</v>
      </c>
    </row>
    <row r="5110" spans="1:11" ht="12.5" x14ac:dyDescent="0.25">
      <c r="A5110" s="3" t="e">
        <f ca="1"/>
        <v>#NAME?</v>
      </c>
      <c r="B5110" s="2" t="s">
        <v>12</v>
      </c>
      <c r="C5110" s="2" t="s">
        <v>12</v>
      </c>
      <c r="D5110" s="2" t="s">
        <v>12</v>
      </c>
      <c r="E5110" s="2" t="s">
        <v>12</v>
      </c>
      <c r="F5110" s="2" t="s">
        <v>12</v>
      </c>
      <c r="G5110" s="2" t="s">
        <v>12</v>
      </c>
      <c r="H5110" s="2" t="s">
        <v>12</v>
      </c>
      <c r="I5110" s="2" t="s">
        <v>12</v>
      </c>
      <c r="J5110" s="2" t="s">
        <v>12</v>
      </c>
      <c r="K5110" s="2" t="s">
        <v>12</v>
      </c>
    </row>
    <row r="5111" spans="1:11" ht="12.5" x14ac:dyDescent="0.25">
      <c r="A5111" s="3" t="e">
        <f ca="1"/>
        <v>#NAME?</v>
      </c>
      <c r="B5111" s="2" t="s">
        <v>12</v>
      </c>
      <c r="C5111" s="2" t="s">
        <v>12</v>
      </c>
      <c r="D5111" s="2" t="s">
        <v>12</v>
      </c>
      <c r="E5111" s="2" t="s">
        <v>12</v>
      </c>
      <c r="F5111" s="2" t="s">
        <v>12</v>
      </c>
      <c r="G5111" s="2" t="s">
        <v>12</v>
      </c>
      <c r="H5111" s="2" t="s">
        <v>12</v>
      </c>
      <c r="I5111" s="2" t="s">
        <v>12</v>
      </c>
      <c r="J5111" s="2" t="s">
        <v>12</v>
      </c>
      <c r="K5111" s="2" t="s">
        <v>12</v>
      </c>
    </row>
    <row r="5112" spans="1:11" ht="12.5" x14ac:dyDescent="0.25">
      <c r="A5112" s="3" t="e">
        <f ca="1"/>
        <v>#NAME?</v>
      </c>
      <c r="B5112" s="2" t="s">
        <v>12</v>
      </c>
      <c r="C5112" s="2" t="s">
        <v>12</v>
      </c>
      <c r="D5112" s="2" t="s">
        <v>12</v>
      </c>
      <c r="E5112" s="2" t="s">
        <v>12</v>
      </c>
      <c r="F5112" s="2" t="s">
        <v>12</v>
      </c>
      <c r="G5112" s="2" t="s">
        <v>12</v>
      </c>
      <c r="H5112" s="2" t="s">
        <v>12</v>
      </c>
      <c r="I5112" s="2" t="s">
        <v>12</v>
      </c>
      <c r="J5112" s="2" t="s">
        <v>12</v>
      </c>
      <c r="K5112" s="2" t="s">
        <v>12</v>
      </c>
    </row>
    <row r="5113" spans="1:11" ht="12.5" x14ac:dyDescent="0.25">
      <c r="A5113" s="3" t="e">
        <f ca="1"/>
        <v>#NAME?</v>
      </c>
      <c r="B5113" s="2" t="s">
        <v>12</v>
      </c>
      <c r="C5113" s="2" t="s">
        <v>12</v>
      </c>
      <c r="D5113" s="2" t="s">
        <v>12</v>
      </c>
      <c r="E5113" s="2" t="s">
        <v>12</v>
      </c>
      <c r="F5113" s="2" t="s">
        <v>12</v>
      </c>
      <c r="G5113" s="2" t="s">
        <v>12</v>
      </c>
      <c r="H5113" s="2" t="s">
        <v>12</v>
      </c>
      <c r="I5113" s="2" t="s">
        <v>12</v>
      </c>
      <c r="J5113" s="2" t="s">
        <v>12</v>
      </c>
      <c r="K5113" s="2" t="s">
        <v>12</v>
      </c>
    </row>
    <row r="5114" spans="1:11" ht="12.5" x14ac:dyDescent="0.25">
      <c r="A5114" s="3" t="e">
        <f ca="1"/>
        <v>#NAME?</v>
      </c>
      <c r="B5114" s="2" t="s">
        <v>12</v>
      </c>
      <c r="C5114" s="2" t="s">
        <v>12</v>
      </c>
      <c r="D5114" s="2" t="s">
        <v>12</v>
      </c>
      <c r="E5114" s="2" t="s">
        <v>12</v>
      </c>
      <c r="F5114" s="2" t="s">
        <v>12</v>
      </c>
      <c r="G5114" s="2" t="s">
        <v>12</v>
      </c>
      <c r="H5114" s="2" t="s">
        <v>12</v>
      </c>
      <c r="I5114" s="2" t="s">
        <v>12</v>
      </c>
      <c r="J5114" s="2" t="s">
        <v>12</v>
      </c>
      <c r="K5114" s="2" t="s">
        <v>12</v>
      </c>
    </row>
    <row r="5115" spans="1:11" ht="12.5" x14ac:dyDescent="0.25">
      <c r="A5115" s="3" t="e">
        <f ca="1"/>
        <v>#NAME?</v>
      </c>
      <c r="B5115" s="2" t="s">
        <v>12</v>
      </c>
      <c r="C5115" s="2" t="s">
        <v>12</v>
      </c>
      <c r="D5115" s="2" t="s">
        <v>12</v>
      </c>
      <c r="E5115" s="2" t="s">
        <v>12</v>
      </c>
      <c r="F5115" s="2" t="s">
        <v>12</v>
      </c>
      <c r="G5115" s="2" t="s">
        <v>12</v>
      </c>
      <c r="H5115" s="2" t="s">
        <v>12</v>
      </c>
      <c r="I5115" s="2" t="s">
        <v>12</v>
      </c>
      <c r="J5115" s="2" t="s">
        <v>12</v>
      </c>
      <c r="K5115" s="2" t="s">
        <v>12</v>
      </c>
    </row>
    <row r="5116" spans="1:11" ht="12.5" x14ac:dyDescent="0.25">
      <c r="A5116" s="3" t="e">
        <f ca="1"/>
        <v>#NAME?</v>
      </c>
      <c r="B5116" s="2" t="s">
        <v>12</v>
      </c>
      <c r="C5116" s="2" t="s">
        <v>12</v>
      </c>
      <c r="D5116" s="2" t="s">
        <v>12</v>
      </c>
      <c r="E5116" s="2" t="s">
        <v>12</v>
      </c>
      <c r="F5116" s="2" t="s">
        <v>12</v>
      </c>
      <c r="G5116" s="2" t="s">
        <v>12</v>
      </c>
      <c r="H5116" s="2" t="s">
        <v>12</v>
      </c>
      <c r="I5116" s="2" t="s">
        <v>12</v>
      </c>
      <c r="J5116" s="2" t="s">
        <v>12</v>
      </c>
      <c r="K5116" s="2" t="s">
        <v>12</v>
      </c>
    </row>
    <row r="5117" spans="1:11" ht="12.5" x14ac:dyDescent="0.25">
      <c r="A5117" s="3" t="e">
        <f ca="1"/>
        <v>#NAME?</v>
      </c>
      <c r="B5117" s="2" t="s">
        <v>12</v>
      </c>
      <c r="C5117" s="2" t="s">
        <v>12</v>
      </c>
      <c r="D5117" s="2" t="s">
        <v>12</v>
      </c>
      <c r="E5117" s="2" t="s">
        <v>12</v>
      </c>
      <c r="F5117" s="2" t="s">
        <v>12</v>
      </c>
      <c r="G5117" s="2" t="s">
        <v>12</v>
      </c>
      <c r="H5117" s="2" t="s">
        <v>12</v>
      </c>
      <c r="I5117" s="2" t="s">
        <v>12</v>
      </c>
      <c r="J5117" s="2" t="s">
        <v>12</v>
      </c>
      <c r="K5117" s="2" t="s">
        <v>12</v>
      </c>
    </row>
    <row r="5118" spans="1:11" ht="12.5" x14ac:dyDescent="0.25">
      <c r="A5118" s="3" t="e">
        <f ca="1"/>
        <v>#NAME?</v>
      </c>
      <c r="B5118" s="2" t="s">
        <v>12</v>
      </c>
      <c r="C5118" s="2" t="s">
        <v>12</v>
      </c>
      <c r="D5118" s="2" t="s">
        <v>12</v>
      </c>
      <c r="E5118" s="2" t="s">
        <v>12</v>
      </c>
      <c r="F5118" s="2" t="s">
        <v>12</v>
      </c>
      <c r="G5118" s="2" t="s">
        <v>12</v>
      </c>
      <c r="H5118" s="2" t="s">
        <v>12</v>
      </c>
      <c r="I5118" s="2" t="s">
        <v>12</v>
      </c>
      <c r="J5118" s="2" t="s">
        <v>12</v>
      </c>
      <c r="K5118" s="2" t="s">
        <v>12</v>
      </c>
    </row>
    <row r="5119" spans="1:11" ht="12.5" x14ac:dyDescent="0.25">
      <c r="A5119" s="3" t="e">
        <f ca="1"/>
        <v>#NAME?</v>
      </c>
      <c r="B5119" s="2" t="s">
        <v>12</v>
      </c>
      <c r="C5119" s="2" t="s">
        <v>12</v>
      </c>
      <c r="D5119" s="2" t="s">
        <v>12</v>
      </c>
      <c r="E5119" s="2" t="s">
        <v>12</v>
      </c>
      <c r="F5119" s="2" t="s">
        <v>12</v>
      </c>
      <c r="G5119" s="2" t="s">
        <v>12</v>
      </c>
      <c r="H5119" s="2" t="s">
        <v>12</v>
      </c>
      <c r="I5119" s="2" t="s">
        <v>12</v>
      </c>
      <c r="J5119" s="2" t="s">
        <v>12</v>
      </c>
      <c r="K5119" s="2" t="s">
        <v>12</v>
      </c>
    </row>
    <row r="5120" spans="1:11" ht="12.5" x14ac:dyDescent="0.25">
      <c r="A5120" s="3" t="e">
        <f ca="1"/>
        <v>#NAME?</v>
      </c>
      <c r="B5120" s="2" t="s">
        <v>12</v>
      </c>
      <c r="C5120" s="2" t="s">
        <v>12</v>
      </c>
      <c r="D5120" s="2" t="s">
        <v>12</v>
      </c>
      <c r="E5120" s="2" t="s">
        <v>12</v>
      </c>
      <c r="F5120" s="2" t="s">
        <v>12</v>
      </c>
      <c r="G5120" s="2" t="s">
        <v>12</v>
      </c>
      <c r="H5120" s="2" t="s">
        <v>12</v>
      </c>
      <c r="I5120" s="2" t="s">
        <v>12</v>
      </c>
      <c r="J5120" s="2" t="s">
        <v>12</v>
      </c>
      <c r="K5120" s="2" t="s">
        <v>12</v>
      </c>
    </row>
    <row r="5121" spans="1:11" ht="12.5" x14ac:dyDescent="0.25">
      <c r="A5121" s="3" t="e">
        <f ca="1"/>
        <v>#NAME?</v>
      </c>
      <c r="B5121" s="2" t="s">
        <v>12</v>
      </c>
      <c r="C5121" s="2" t="s">
        <v>12</v>
      </c>
      <c r="D5121" s="2" t="s">
        <v>12</v>
      </c>
      <c r="E5121" s="2" t="s">
        <v>12</v>
      </c>
      <c r="F5121" s="2" t="s">
        <v>12</v>
      </c>
      <c r="G5121" s="2" t="s">
        <v>12</v>
      </c>
      <c r="H5121" s="2" t="s">
        <v>12</v>
      </c>
      <c r="I5121" s="2" t="s">
        <v>12</v>
      </c>
      <c r="J5121" s="2" t="s">
        <v>12</v>
      </c>
      <c r="K5121" s="2" t="s">
        <v>12</v>
      </c>
    </row>
    <row r="5122" spans="1:11" ht="12.5" x14ac:dyDescent="0.25">
      <c r="A5122" s="3" t="e">
        <f ca="1"/>
        <v>#NAME?</v>
      </c>
      <c r="B5122" s="2" t="s">
        <v>12</v>
      </c>
      <c r="C5122" s="2" t="s">
        <v>12</v>
      </c>
      <c r="D5122" s="2" t="s">
        <v>12</v>
      </c>
      <c r="E5122" s="2" t="s">
        <v>12</v>
      </c>
      <c r="F5122" s="2" t="s">
        <v>12</v>
      </c>
      <c r="G5122" s="2" t="s">
        <v>12</v>
      </c>
      <c r="H5122" s="2" t="s">
        <v>12</v>
      </c>
      <c r="I5122" s="2" t="s">
        <v>12</v>
      </c>
      <c r="J5122" s="2" t="s">
        <v>12</v>
      </c>
      <c r="K5122" s="2" t="s">
        <v>12</v>
      </c>
    </row>
    <row r="5123" spans="1:11" ht="12.5" x14ac:dyDescent="0.25">
      <c r="A5123" s="3" t="e">
        <f ca="1"/>
        <v>#NAME?</v>
      </c>
      <c r="B5123" s="2" t="s">
        <v>12</v>
      </c>
      <c r="C5123" s="2" t="s">
        <v>12</v>
      </c>
      <c r="D5123" s="2" t="s">
        <v>12</v>
      </c>
      <c r="E5123" s="2" t="s">
        <v>12</v>
      </c>
      <c r="F5123" s="2" t="s">
        <v>12</v>
      </c>
      <c r="G5123" s="2" t="s">
        <v>12</v>
      </c>
      <c r="H5123" s="2" t="s">
        <v>12</v>
      </c>
      <c r="I5123" s="2" t="s">
        <v>12</v>
      </c>
      <c r="J5123" s="2" t="s">
        <v>12</v>
      </c>
      <c r="K5123" s="2" t="s">
        <v>12</v>
      </c>
    </row>
    <row r="5124" spans="1:11" ht="12.5" x14ac:dyDescent="0.25">
      <c r="A5124" s="3" t="e">
        <f ca="1"/>
        <v>#NAME?</v>
      </c>
      <c r="B5124" s="2" t="s">
        <v>12</v>
      </c>
      <c r="C5124" s="2" t="s">
        <v>12</v>
      </c>
      <c r="D5124" s="2" t="s">
        <v>12</v>
      </c>
      <c r="E5124" s="2" t="s">
        <v>12</v>
      </c>
      <c r="F5124" s="2" t="s">
        <v>12</v>
      </c>
      <c r="G5124" s="2" t="s">
        <v>12</v>
      </c>
      <c r="H5124" s="2" t="s">
        <v>12</v>
      </c>
      <c r="I5124" s="2" t="s">
        <v>12</v>
      </c>
      <c r="J5124" s="2" t="s">
        <v>12</v>
      </c>
      <c r="K5124" s="2" t="s">
        <v>12</v>
      </c>
    </row>
    <row r="5125" spans="1:11" ht="12.5" x14ac:dyDescent="0.25">
      <c r="A5125" s="3" t="e">
        <f ca="1"/>
        <v>#NAME?</v>
      </c>
      <c r="B5125" s="2" t="s">
        <v>12</v>
      </c>
      <c r="C5125" s="2" t="s">
        <v>12</v>
      </c>
      <c r="D5125" s="2" t="s">
        <v>12</v>
      </c>
      <c r="E5125" s="2" t="s">
        <v>12</v>
      </c>
      <c r="F5125" s="2" t="s">
        <v>12</v>
      </c>
      <c r="G5125" s="2" t="s">
        <v>12</v>
      </c>
      <c r="H5125" s="2" t="s">
        <v>12</v>
      </c>
      <c r="I5125" s="2" t="s">
        <v>12</v>
      </c>
      <c r="J5125" s="2" t="s">
        <v>12</v>
      </c>
      <c r="K5125" s="2" t="s">
        <v>12</v>
      </c>
    </row>
    <row r="5126" spans="1:11" ht="12.5" x14ac:dyDescent="0.25">
      <c r="A5126" s="3" t="e">
        <f ca="1"/>
        <v>#NAME?</v>
      </c>
      <c r="B5126" s="2" t="s">
        <v>12</v>
      </c>
      <c r="C5126" s="2" t="s">
        <v>12</v>
      </c>
      <c r="D5126" s="2" t="s">
        <v>12</v>
      </c>
      <c r="E5126" s="2" t="s">
        <v>12</v>
      </c>
      <c r="F5126" s="2" t="s">
        <v>12</v>
      </c>
      <c r="G5126" s="2" t="s">
        <v>12</v>
      </c>
      <c r="H5126" s="2" t="s">
        <v>12</v>
      </c>
      <c r="I5126" s="2" t="s">
        <v>12</v>
      </c>
      <c r="J5126" s="2" t="s">
        <v>12</v>
      </c>
      <c r="K5126" s="2" t="s">
        <v>12</v>
      </c>
    </row>
    <row r="5127" spans="1:11" ht="12.5" x14ac:dyDescent="0.25">
      <c r="A5127" s="3" t="e">
        <f ca="1"/>
        <v>#NAME?</v>
      </c>
      <c r="B5127" s="2" t="s">
        <v>12</v>
      </c>
      <c r="C5127" s="2" t="s">
        <v>12</v>
      </c>
      <c r="D5127" s="2" t="s">
        <v>12</v>
      </c>
      <c r="E5127" s="2" t="s">
        <v>12</v>
      </c>
      <c r="F5127" s="2" t="s">
        <v>12</v>
      </c>
      <c r="G5127" s="2" t="s">
        <v>12</v>
      </c>
      <c r="H5127" s="2" t="s">
        <v>12</v>
      </c>
      <c r="I5127" s="2" t="s">
        <v>12</v>
      </c>
      <c r="J5127" s="2" t="s">
        <v>12</v>
      </c>
      <c r="K5127" s="2" t="s">
        <v>12</v>
      </c>
    </row>
    <row r="5128" spans="1:11" ht="12.5" x14ac:dyDescent="0.25">
      <c r="A5128" s="3" t="e">
        <f ca="1"/>
        <v>#NAME?</v>
      </c>
      <c r="B5128" s="2" t="s">
        <v>12</v>
      </c>
      <c r="C5128" s="2" t="s">
        <v>12</v>
      </c>
      <c r="D5128" s="2" t="s">
        <v>12</v>
      </c>
      <c r="E5128" s="2" t="s">
        <v>12</v>
      </c>
      <c r="F5128" s="2" t="s">
        <v>12</v>
      </c>
      <c r="G5128" s="2" t="s">
        <v>12</v>
      </c>
      <c r="H5128" s="2" t="s">
        <v>12</v>
      </c>
      <c r="I5128" s="2" t="s">
        <v>12</v>
      </c>
      <c r="J5128" s="2" t="s">
        <v>12</v>
      </c>
      <c r="K5128" s="2" t="s">
        <v>12</v>
      </c>
    </row>
    <row r="5129" spans="1:11" ht="12.5" x14ac:dyDescent="0.25">
      <c r="A5129" s="3" t="e">
        <f ca="1"/>
        <v>#NAME?</v>
      </c>
      <c r="B5129" s="2" t="s">
        <v>12</v>
      </c>
      <c r="C5129" s="2" t="s">
        <v>12</v>
      </c>
      <c r="D5129" s="2" t="s">
        <v>12</v>
      </c>
      <c r="E5129" s="2" t="s">
        <v>12</v>
      </c>
      <c r="F5129" s="2" t="s">
        <v>12</v>
      </c>
      <c r="G5129" s="2" t="s">
        <v>12</v>
      </c>
      <c r="H5129" s="2" t="s">
        <v>12</v>
      </c>
      <c r="I5129" s="2" t="s">
        <v>12</v>
      </c>
      <c r="J5129" s="2" t="s">
        <v>12</v>
      </c>
      <c r="K5129" s="2" t="s">
        <v>12</v>
      </c>
    </row>
    <row r="5130" spans="1:11" ht="12.5" x14ac:dyDescent="0.25">
      <c r="A5130" s="3" t="e">
        <f ca="1"/>
        <v>#NAME?</v>
      </c>
      <c r="B5130" s="2" t="s">
        <v>12</v>
      </c>
      <c r="C5130" s="2" t="s">
        <v>12</v>
      </c>
      <c r="D5130" s="2" t="s">
        <v>12</v>
      </c>
      <c r="E5130" s="2" t="s">
        <v>12</v>
      </c>
      <c r="F5130" s="2" t="s">
        <v>12</v>
      </c>
      <c r="G5130" s="2" t="s">
        <v>12</v>
      </c>
      <c r="H5130" s="2" t="s">
        <v>12</v>
      </c>
      <c r="I5130" s="2" t="s">
        <v>12</v>
      </c>
      <c r="J5130" s="2" t="s">
        <v>12</v>
      </c>
      <c r="K5130" s="2" t="s">
        <v>12</v>
      </c>
    </row>
    <row r="5131" spans="1:11" ht="12.5" x14ac:dyDescent="0.25">
      <c r="A5131" s="3" t="e">
        <f ca="1"/>
        <v>#NAME?</v>
      </c>
      <c r="B5131" s="2" t="s">
        <v>12</v>
      </c>
      <c r="C5131" s="2" t="s">
        <v>12</v>
      </c>
      <c r="D5131" s="2" t="s">
        <v>12</v>
      </c>
      <c r="E5131" s="2" t="s">
        <v>12</v>
      </c>
      <c r="F5131" s="2" t="s">
        <v>12</v>
      </c>
      <c r="G5131" s="2" t="s">
        <v>12</v>
      </c>
      <c r="H5131" s="2" t="s">
        <v>12</v>
      </c>
      <c r="I5131" s="2" t="s">
        <v>12</v>
      </c>
      <c r="J5131" s="2" t="s">
        <v>12</v>
      </c>
      <c r="K5131" s="2" t="s">
        <v>12</v>
      </c>
    </row>
    <row r="5132" spans="1:11" ht="12.5" x14ac:dyDescent="0.25">
      <c r="A5132" s="3" t="e">
        <f ca="1"/>
        <v>#NAME?</v>
      </c>
      <c r="B5132" s="2" t="s">
        <v>12</v>
      </c>
      <c r="C5132" s="2" t="s">
        <v>12</v>
      </c>
      <c r="D5132" s="2" t="s">
        <v>12</v>
      </c>
      <c r="E5132" s="2" t="s">
        <v>12</v>
      </c>
      <c r="F5132" s="2" t="s">
        <v>12</v>
      </c>
      <c r="G5132" s="2" t="s">
        <v>12</v>
      </c>
      <c r="H5132" s="2" t="s">
        <v>12</v>
      </c>
      <c r="I5132" s="2" t="s">
        <v>12</v>
      </c>
      <c r="J5132" s="2" t="s">
        <v>12</v>
      </c>
      <c r="K5132" s="2" t="s">
        <v>12</v>
      </c>
    </row>
    <row r="5133" spans="1:11" ht="12.5" x14ac:dyDescent="0.25">
      <c r="A5133" s="3" t="e">
        <f ca="1"/>
        <v>#NAME?</v>
      </c>
      <c r="B5133" s="2" t="s">
        <v>12</v>
      </c>
      <c r="C5133" s="2" t="s">
        <v>12</v>
      </c>
      <c r="D5133" s="2" t="s">
        <v>12</v>
      </c>
      <c r="E5133" s="2" t="s">
        <v>12</v>
      </c>
      <c r="F5133" s="2" t="s">
        <v>12</v>
      </c>
      <c r="G5133" s="2" t="s">
        <v>12</v>
      </c>
      <c r="H5133" s="2" t="s">
        <v>12</v>
      </c>
      <c r="I5133" s="2" t="s">
        <v>12</v>
      </c>
      <c r="J5133" s="2" t="s">
        <v>12</v>
      </c>
      <c r="K5133" s="2" t="s">
        <v>12</v>
      </c>
    </row>
    <row r="5134" spans="1:11" ht="12.5" x14ac:dyDescent="0.25">
      <c r="A5134" s="3" t="e">
        <f ca="1"/>
        <v>#NAME?</v>
      </c>
      <c r="B5134" s="2" t="s">
        <v>12</v>
      </c>
      <c r="C5134" s="2" t="s">
        <v>12</v>
      </c>
      <c r="D5134" s="2" t="s">
        <v>12</v>
      </c>
      <c r="E5134" s="2" t="s">
        <v>12</v>
      </c>
      <c r="F5134" s="2" t="s">
        <v>12</v>
      </c>
      <c r="G5134" s="2" t="s">
        <v>12</v>
      </c>
      <c r="H5134" s="2" t="s">
        <v>12</v>
      </c>
      <c r="I5134" s="2" t="s">
        <v>12</v>
      </c>
      <c r="J5134" s="2" t="s">
        <v>12</v>
      </c>
      <c r="K5134" s="2" t="s">
        <v>12</v>
      </c>
    </row>
    <row r="5135" spans="1:11" ht="12.5" x14ac:dyDescent="0.25">
      <c r="A5135" s="3" t="e">
        <f ca="1"/>
        <v>#NAME?</v>
      </c>
      <c r="B5135" s="2" t="s">
        <v>12</v>
      </c>
      <c r="C5135" s="2" t="s">
        <v>12</v>
      </c>
      <c r="D5135" s="2" t="s">
        <v>12</v>
      </c>
      <c r="E5135" s="2" t="s">
        <v>12</v>
      </c>
      <c r="F5135" s="2" t="s">
        <v>12</v>
      </c>
      <c r="G5135" s="2" t="s">
        <v>12</v>
      </c>
      <c r="H5135" s="2" t="s">
        <v>12</v>
      </c>
      <c r="I5135" s="2" t="s">
        <v>12</v>
      </c>
      <c r="J5135" s="2" t="s">
        <v>12</v>
      </c>
      <c r="K5135" s="2" t="s">
        <v>12</v>
      </c>
    </row>
    <row r="5136" spans="1:11" ht="12.5" x14ac:dyDescent="0.25">
      <c r="A5136" s="3" t="e">
        <f ca="1"/>
        <v>#NAME?</v>
      </c>
      <c r="B5136" s="2" t="s">
        <v>12</v>
      </c>
      <c r="C5136" s="2" t="s">
        <v>12</v>
      </c>
      <c r="D5136" s="2" t="s">
        <v>12</v>
      </c>
      <c r="E5136" s="2" t="s">
        <v>12</v>
      </c>
      <c r="F5136" s="2" t="s">
        <v>12</v>
      </c>
      <c r="G5136" s="2" t="s">
        <v>12</v>
      </c>
      <c r="H5136" s="2" t="s">
        <v>12</v>
      </c>
      <c r="I5136" s="2" t="s">
        <v>12</v>
      </c>
      <c r="J5136" s="2" t="s">
        <v>12</v>
      </c>
      <c r="K5136" s="2" t="s">
        <v>12</v>
      </c>
    </row>
    <row r="5137" spans="1:11" ht="12.5" x14ac:dyDescent="0.25">
      <c r="A5137" s="3" t="e">
        <f ca="1"/>
        <v>#NAME?</v>
      </c>
      <c r="B5137" s="2" t="s">
        <v>12</v>
      </c>
      <c r="C5137" s="2" t="s">
        <v>12</v>
      </c>
      <c r="D5137" s="2" t="s">
        <v>12</v>
      </c>
      <c r="E5137" s="2" t="s">
        <v>12</v>
      </c>
      <c r="F5137" s="2" t="s">
        <v>12</v>
      </c>
      <c r="G5137" s="2" t="s">
        <v>12</v>
      </c>
      <c r="H5137" s="2" t="s">
        <v>12</v>
      </c>
      <c r="I5137" s="2" t="s">
        <v>12</v>
      </c>
      <c r="J5137" s="2" t="s">
        <v>12</v>
      </c>
      <c r="K5137" s="2" t="s">
        <v>12</v>
      </c>
    </row>
    <row r="5138" spans="1:11" ht="12.5" x14ac:dyDescent="0.25">
      <c r="A5138" s="3" t="e">
        <f ca="1"/>
        <v>#NAME?</v>
      </c>
      <c r="B5138" s="2" t="s">
        <v>12</v>
      </c>
      <c r="C5138" s="2" t="s">
        <v>12</v>
      </c>
      <c r="D5138" s="2" t="s">
        <v>12</v>
      </c>
      <c r="E5138" s="2" t="s">
        <v>12</v>
      </c>
      <c r="F5138" s="2" t="s">
        <v>12</v>
      </c>
      <c r="G5138" s="2" t="s">
        <v>12</v>
      </c>
      <c r="H5138" s="2" t="s">
        <v>12</v>
      </c>
      <c r="I5138" s="2" t="s">
        <v>12</v>
      </c>
      <c r="J5138" s="2" t="s">
        <v>12</v>
      </c>
      <c r="K5138" s="2" t="s">
        <v>12</v>
      </c>
    </row>
    <row r="5139" spans="1:11" ht="12.5" x14ac:dyDescent="0.25">
      <c r="A5139" s="3" t="e">
        <f ca="1"/>
        <v>#NAME?</v>
      </c>
      <c r="B5139" s="2" t="s">
        <v>12</v>
      </c>
      <c r="C5139" s="2" t="s">
        <v>12</v>
      </c>
      <c r="D5139" s="2" t="s">
        <v>12</v>
      </c>
      <c r="E5139" s="2" t="s">
        <v>12</v>
      </c>
      <c r="F5139" s="2" t="s">
        <v>12</v>
      </c>
      <c r="G5139" s="2" t="s">
        <v>12</v>
      </c>
      <c r="H5139" s="2" t="s">
        <v>12</v>
      </c>
      <c r="I5139" s="2" t="s">
        <v>12</v>
      </c>
      <c r="J5139" s="2" t="s">
        <v>12</v>
      </c>
      <c r="K5139" s="2" t="s">
        <v>12</v>
      </c>
    </row>
    <row r="5140" spans="1:11" ht="12.5" x14ac:dyDescent="0.25">
      <c r="A5140" s="3" t="e">
        <f ca="1"/>
        <v>#NAME?</v>
      </c>
      <c r="B5140" s="2" t="s">
        <v>12</v>
      </c>
      <c r="C5140" s="2" t="s">
        <v>12</v>
      </c>
      <c r="D5140" s="2" t="s">
        <v>12</v>
      </c>
      <c r="E5140" s="2" t="s">
        <v>12</v>
      </c>
      <c r="F5140" s="2" t="s">
        <v>12</v>
      </c>
      <c r="G5140" s="2" t="s">
        <v>12</v>
      </c>
      <c r="H5140" s="2" t="s">
        <v>12</v>
      </c>
      <c r="I5140" s="2" t="s">
        <v>12</v>
      </c>
      <c r="J5140" s="2" t="s">
        <v>12</v>
      </c>
      <c r="K5140" s="2" t="s">
        <v>12</v>
      </c>
    </row>
    <row r="5141" spans="1:11" ht="12.5" x14ac:dyDescent="0.25">
      <c r="A5141" s="3" t="e">
        <f ca="1"/>
        <v>#NAME?</v>
      </c>
      <c r="B5141" s="2" t="s">
        <v>12</v>
      </c>
      <c r="C5141" s="2" t="s">
        <v>12</v>
      </c>
      <c r="D5141" s="2" t="s">
        <v>12</v>
      </c>
      <c r="E5141" s="2" t="s">
        <v>12</v>
      </c>
      <c r="F5141" s="2" t="s">
        <v>12</v>
      </c>
      <c r="G5141" s="2" t="s">
        <v>12</v>
      </c>
      <c r="H5141" s="2" t="s">
        <v>12</v>
      </c>
      <c r="I5141" s="2" t="s">
        <v>12</v>
      </c>
      <c r="J5141" s="2" t="s">
        <v>12</v>
      </c>
      <c r="K5141" s="2" t="s">
        <v>12</v>
      </c>
    </row>
    <row r="5142" spans="1:11" ht="12.5" x14ac:dyDescent="0.25">
      <c r="A5142" s="3" t="e">
        <f ca="1"/>
        <v>#NAME?</v>
      </c>
      <c r="B5142" s="2" t="s">
        <v>12</v>
      </c>
      <c r="C5142" s="2" t="s">
        <v>12</v>
      </c>
      <c r="D5142" s="2" t="s">
        <v>12</v>
      </c>
      <c r="E5142" s="2" t="s">
        <v>12</v>
      </c>
      <c r="F5142" s="2" t="s">
        <v>12</v>
      </c>
      <c r="G5142" s="2" t="s">
        <v>12</v>
      </c>
      <c r="H5142" s="2" t="s">
        <v>12</v>
      </c>
      <c r="I5142" s="2" t="s">
        <v>12</v>
      </c>
      <c r="J5142" s="2" t="s">
        <v>12</v>
      </c>
      <c r="K5142" s="2" t="s">
        <v>12</v>
      </c>
    </row>
    <row r="5143" spans="1:11" ht="12.5" x14ac:dyDescent="0.25">
      <c r="A5143" s="3" t="e">
        <f ca="1"/>
        <v>#NAME?</v>
      </c>
      <c r="B5143" s="2" t="s">
        <v>12</v>
      </c>
      <c r="C5143" s="2" t="s">
        <v>12</v>
      </c>
      <c r="D5143" s="2" t="s">
        <v>12</v>
      </c>
      <c r="E5143" s="2" t="s">
        <v>12</v>
      </c>
      <c r="F5143" s="2" t="s">
        <v>12</v>
      </c>
      <c r="G5143" s="2" t="s">
        <v>12</v>
      </c>
      <c r="H5143" s="2" t="s">
        <v>12</v>
      </c>
      <c r="I5143" s="2" t="s">
        <v>12</v>
      </c>
      <c r="J5143" s="2" t="s">
        <v>12</v>
      </c>
      <c r="K5143" s="2" t="s">
        <v>12</v>
      </c>
    </row>
    <row r="5144" spans="1:11" ht="12.5" x14ac:dyDescent="0.25">
      <c r="A5144" s="3" t="e">
        <f ca="1"/>
        <v>#NAME?</v>
      </c>
      <c r="B5144" s="2" t="s">
        <v>12</v>
      </c>
      <c r="C5144" s="2" t="s">
        <v>12</v>
      </c>
      <c r="D5144" s="2" t="s">
        <v>12</v>
      </c>
      <c r="E5144" s="2" t="s">
        <v>12</v>
      </c>
      <c r="F5144" s="2" t="s">
        <v>12</v>
      </c>
      <c r="G5144" s="2" t="s">
        <v>12</v>
      </c>
      <c r="H5144" s="2" t="s">
        <v>12</v>
      </c>
      <c r="I5144" s="2" t="s">
        <v>12</v>
      </c>
      <c r="J5144" s="2" t="s">
        <v>12</v>
      </c>
      <c r="K5144" s="2" t="s">
        <v>12</v>
      </c>
    </row>
    <row r="5145" spans="1:11" ht="12.5" x14ac:dyDescent="0.25">
      <c r="A5145" s="3" t="e">
        <f ca="1"/>
        <v>#NAME?</v>
      </c>
      <c r="B5145" s="2" t="s">
        <v>12</v>
      </c>
      <c r="C5145" s="2" t="s">
        <v>12</v>
      </c>
      <c r="D5145" s="2" t="s">
        <v>12</v>
      </c>
      <c r="E5145" s="2" t="s">
        <v>12</v>
      </c>
      <c r="F5145" s="2" t="s">
        <v>12</v>
      </c>
      <c r="G5145" s="2" t="s">
        <v>12</v>
      </c>
      <c r="H5145" s="2" t="s">
        <v>12</v>
      </c>
      <c r="I5145" s="2" t="s">
        <v>12</v>
      </c>
      <c r="J5145" s="2" t="s">
        <v>12</v>
      </c>
      <c r="K5145" s="2" t="s">
        <v>12</v>
      </c>
    </row>
    <row r="5146" spans="1:11" ht="12.5" x14ac:dyDescent="0.25">
      <c r="A5146" s="3" t="e">
        <f ca="1"/>
        <v>#NAME?</v>
      </c>
      <c r="B5146" s="2" t="s">
        <v>12</v>
      </c>
      <c r="C5146" s="2" t="s">
        <v>12</v>
      </c>
      <c r="D5146" s="2" t="s">
        <v>12</v>
      </c>
      <c r="E5146" s="2" t="s">
        <v>12</v>
      </c>
      <c r="F5146" s="2" t="s">
        <v>12</v>
      </c>
      <c r="G5146" s="2" t="s">
        <v>12</v>
      </c>
      <c r="H5146" s="2" t="s">
        <v>12</v>
      </c>
      <c r="I5146" s="2" t="s">
        <v>12</v>
      </c>
      <c r="J5146" s="2" t="s">
        <v>12</v>
      </c>
      <c r="K5146" s="2" t="s">
        <v>12</v>
      </c>
    </row>
    <row r="5147" spans="1:11" ht="12.5" x14ac:dyDescent="0.25">
      <c r="A5147" s="3" t="e">
        <f ca="1"/>
        <v>#NAME?</v>
      </c>
      <c r="B5147" s="2" t="s">
        <v>12</v>
      </c>
      <c r="C5147" s="2" t="s">
        <v>12</v>
      </c>
      <c r="D5147" s="2" t="s">
        <v>12</v>
      </c>
      <c r="E5147" s="2" t="s">
        <v>12</v>
      </c>
      <c r="F5147" s="2" t="s">
        <v>12</v>
      </c>
      <c r="G5147" s="2" t="s">
        <v>12</v>
      </c>
      <c r="H5147" s="2" t="s">
        <v>12</v>
      </c>
      <c r="I5147" s="2" t="s">
        <v>12</v>
      </c>
      <c r="J5147" s="2" t="s">
        <v>12</v>
      </c>
      <c r="K5147" s="2" t="s">
        <v>12</v>
      </c>
    </row>
    <row r="5148" spans="1:11" ht="12.5" x14ac:dyDescent="0.25">
      <c r="A5148" s="3" t="e">
        <f ca="1"/>
        <v>#NAME?</v>
      </c>
      <c r="B5148" s="2" t="s">
        <v>12</v>
      </c>
      <c r="C5148" s="2" t="s">
        <v>12</v>
      </c>
      <c r="D5148" s="2" t="s">
        <v>12</v>
      </c>
      <c r="E5148" s="2" t="s">
        <v>12</v>
      </c>
      <c r="F5148" s="2" t="s">
        <v>12</v>
      </c>
      <c r="G5148" s="2" t="s">
        <v>12</v>
      </c>
      <c r="H5148" s="2" t="s">
        <v>12</v>
      </c>
      <c r="I5148" s="2" t="s">
        <v>12</v>
      </c>
      <c r="J5148" s="2" t="s">
        <v>12</v>
      </c>
      <c r="K5148" s="2" t="s">
        <v>12</v>
      </c>
    </row>
    <row r="5149" spans="1:11" ht="12.5" x14ac:dyDescent="0.25">
      <c r="A5149" s="3" t="e">
        <f ca="1"/>
        <v>#NAME?</v>
      </c>
      <c r="B5149" s="2" t="s">
        <v>12</v>
      </c>
      <c r="C5149" s="2" t="s">
        <v>12</v>
      </c>
      <c r="D5149" s="2" t="s">
        <v>12</v>
      </c>
      <c r="E5149" s="2" t="s">
        <v>12</v>
      </c>
      <c r="F5149" s="2" t="s">
        <v>12</v>
      </c>
      <c r="G5149" s="2" t="s">
        <v>12</v>
      </c>
      <c r="H5149" s="2" t="s">
        <v>12</v>
      </c>
      <c r="I5149" s="2" t="s">
        <v>12</v>
      </c>
      <c r="J5149" s="2" t="s">
        <v>12</v>
      </c>
      <c r="K5149" s="2" t="s">
        <v>12</v>
      </c>
    </row>
    <row r="5150" spans="1:11" ht="12.5" x14ac:dyDescent="0.25">
      <c r="A5150" s="3" t="e">
        <f ca="1"/>
        <v>#NAME?</v>
      </c>
      <c r="B5150" s="2" t="s">
        <v>12</v>
      </c>
      <c r="C5150" s="2" t="s">
        <v>12</v>
      </c>
      <c r="D5150" s="2" t="s">
        <v>12</v>
      </c>
      <c r="E5150" s="2" t="s">
        <v>12</v>
      </c>
      <c r="F5150" s="2" t="s">
        <v>12</v>
      </c>
      <c r="G5150" s="2" t="s">
        <v>12</v>
      </c>
      <c r="H5150" s="2" t="s">
        <v>12</v>
      </c>
      <c r="I5150" s="2" t="s">
        <v>12</v>
      </c>
      <c r="J5150" s="2" t="s">
        <v>12</v>
      </c>
      <c r="K5150" s="2" t="s">
        <v>12</v>
      </c>
    </row>
    <row r="5151" spans="1:11" ht="12.5" x14ac:dyDescent="0.25">
      <c r="A5151" s="3" t="e">
        <f ca="1"/>
        <v>#NAME?</v>
      </c>
      <c r="B5151" s="2" t="s">
        <v>12</v>
      </c>
      <c r="C5151" s="2" t="s">
        <v>12</v>
      </c>
      <c r="D5151" s="2" t="s">
        <v>12</v>
      </c>
      <c r="E5151" s="2" t="s">
        <v>12</v>
      </c>
      <c r="F5151" s="2" t="s">
        <v>12</v>
      </c>
      <c r="G5151" s="2" t="s">
        <v>12</v>
      </c>
      <c r="H5151" s="2" t="s">
        <v>12</v>
      </c>
      <c r="I5151" s="2" t="s">
        <v>12</v>
      </c>
      <c r="J5151" s="2" t="s">
        <v>12</v>
      </c>
      <c r="K5151" s="2" t="s">
        <v>12</v>
      </c>
    </row>
    <row r="5152" spans="1:11" ht="12.5" x14ac:dyDescent="0.25">
      <c r="A5152" s="3" t="e">
        <f ca="1"/>
        <v>#NAME?</v>
      </c>
      <c r="B5152" s="2" t="s">
        <v>12</v>
      </c>
      <c r="C5152" s="2" t="s">
        <v>12</v>
      </c>
      <c r="D5152" s="2" t="s">
        <v>12</v>
      </c>
      <c r="E5152" s="2" t="s">
        <v>12</v>
      </c>
      <c r="F5152" s="2" t="s">
        <v>12</v>
      </c>
      <c r="G5152" s="2" t="s">
        <v>12</v>
      </c>
      <c r="H5152" s="2" t="s">
        <v>12</v>
      </c>
      <c r="I5152" s="2" t="s">
        <v>12</v>
      </c>
      <c r="J5152" s="2" t="s">
        <v>12</v>
      </c>
      <c r="K5152" s="2" t="s">
        <v>12</v>
      </c>
    </row>
    <row r="5153" spans="1:11" ht="12.5" x14ac:dyDescent="0.25">
      <c r="A5153" s="3" t="e">
        <f ca="1"/>
        <v>#NAME?</v>
      </c>
      <c r="B5153" s="2" t="s">
        <v>12</v>
      </c>
      <c r="C5153" s="2" t="s">
        <v>12</v>
      </c>
      <c r="D5153" s="2" t="s">
        <v>12</v>
      </c>
      <c r="E5153" s="2" t="s">
        <v>12</v>
      </c>
      <c r="F5153" s="2" t="s">
        <v>12</v>
      </c>
      <c r="G5153" s="2" t="s">
        <v>12</v>
      </c>
      <c r="H5153" s="2" t="s">
        <v>12</v>
      </c>
      <c r="I5153" s="2" t="s">
        <v>12</v>
      </c>
      <c r="J5153" s="2" t="s">
        <v>12</v>
      </c>
      <c r="K5153" s="2" t="s">
        <v>12</v>
      </c>
    </row>
    <row r="5154" spans="1:11" ht="12.5" x14ac:dyDescent="0.25">
      <c r="A5154" s="3" t="e">
        <f ca="1"/>
        <v>#NAME?</v>
      </c>
      <c r="B5154" s="2" t="s">
        <v>12</v>
      </c>
      <c r="C5154" s="2" t="s">
        <v>12</v>
      </c>
      <c r="D5154" s="2" t="s">
        <v>12</v>
      </c>
      <c r="E5154" s="2" t="s">
        <v>12</v>
      </c>
      <c r="F5154" s="2" t="s">
        <v>12</v>
      </c>
      <c r="G5154" s="2" t="s">
        <v>12</v>
      </c>
      <c r="H5154" s="2" t="s">
        <v>12</v>
      </c>
      <c r="I5154" s="2" t="s">
        <v>12</v>
      </c>
      <c r="J5154" s="2" t="s">
        <v>12</v>
      </c>
      <c r="K5154" s="2" t="s">
        <v>12</v>
      </c>
    </row>
    <row r="5155" spans="1:11" ht="12.5" x14ac:dyDescent="0.25">
      <c r="A5155" s="3" t="e">
        <f ca="1"/>
        <v>#NAME?</v>
      </c>
      <c r="B5155" s="2" t="s">
        <v>12</v>
      </c>
      <c r="C5155" s="2" t="s">
        <v>12</v>
      </c>
      <c r="D5155" s="2" t="s">
        <v>12</v>
      </c>
      <c r="E5155" s="2" t="s">
        <v>12</v>
      </c>
      <c r="F5155" s="2" t="s">
        <v>12</v>
      </c>
      <c r="G5155" s="2" t="s">
        <v>12</v>
      </c>
      <c r="H5155" s="2" t="s">
        <v>12</v>
      </c>
      <c r="I5155" s="2" t="s">
        <v>12</v>
      </c>
      <c r="J5155" s="2" t="s">
        <v>12</v>
      </c>
      <c r="K5155" s="2" t="s">
        <v>12</v>
      </c>
    </row>
    <row r="5156" spans="1:11" ht="12.5" x14ac:dyDescent="0.25">
      <c r="A5156" s="3" t="e">
        <f ca="1"/>
        <v>#NAME?</v>
      </c>
      <c r="B5156" s="2" t="s">
        <v>12</v>
      </c>
      <c r="C5156" s="2" t="s">
        <v>12</v>
      </c>
      <c r="D5156" s="2" t="s">
        <v>12</v>
      </c>
      <c r="E5156" s="2" t="s">
        <v>12</v>
      </c>
      <c r="F5156" s="2" t="s">
        <v>12</v>
      </c>
      <c r="G5156" s="2" t="s">
        <v>12</v>
      </c>
      <c r="H5156" s="2" t="s">
        <v>12</v>
      </c>
      <c r="I5156" s="2" t="s">
        <v>12</v>
      </c>
      <c r="J5156" s="2" t="s">
        <v>12</v>
      </c>
      <c r="K5156" s="2" t="s">
        <v>12</v>
      </c>
    </row>
    <row r="5157" spans="1:11" ht="12.5" x14ac:dyDescent="0.25">
      <c r="A5157" s="3" t="e">
        <f ca="1"/>
        <v>#NAME?</v>
      </c>
      <c r="B5157" s="2" t="s">
        <v>12</v>
      </c>
      <c r="C5157" s="2" t="s">
        <v>12</v>
      </c>
      <c r="D5157" s="2" t="s">
        <v>12</v>
      </c>
      <c r="E5157" s="2" t="s">
        <v>12</v>
      </c>
      <c r="F5157" s="2" t="s">
        <v>12</v>
      </c>
      <c r="G5157" s="2" t="s">
        <v>12</v>
      </c>
      <c r="H5157" s="2" t="s">
        <v>12</v>
      </c>
      <c r="I5157" s="2" t="s">
        <v>12</v>
      </c>
      <c r="J5157" s="2" t="s">
        <v>12</v>
      </c>
      <c r="K5157" s="2" t="s">
        <v>12</v>
      </c>
    </row>
    <row r="5158" spans="1:11" ht="12.5" x14ac:dyDescent="0.25">
      <c r="A5158" s="3" t="e">
        <f ca="1"/>
        <v>#NAME?</v>
      </c>
      <c r="B5158" s="2" t="s">
        <v>12</v>
      </c>
      <c r="C5158" s="2" t="s">
        <v>12</v>
      </c>
      <c r="D5158" s="2" t="s">
        <v>12</v>
      </c>
      <c r="E5158" s="2" t="s">
        <v>12</v>
      </c>
      <c r="F5158" s="2" t="s">
        <v>12</v>
      </c>
      <c r="G5158" s="2" t="s">
        <v>12</v>
      </c>
      <c r="H5158" s="2" t="s">
        <v>12</v>
      </c>
      <c r="I5158" s="2" t="s">
        <v>12</v>
      </c>
      <c r="J5158" s="2" t="s">
        <v>12</v>
      </c>
      <c r="K5158" s="2" t="s">
        <v>12</v>
      </c>
    </row>
    <row r="5159" spans="1:11" ht="12.5" x14ac:dyDescent="0.25">
      <c r="A5159" s="3" t="e">
        <f ca="1"/>
        <v>#NAME?</v>
      </c>
      <c r="B5159" s="2" t="s">
        <v>12</v>
      </c>
      <c r="C5159" s="2" t="s">
        <v>12</v>
      </c>
      <c r="D5159" s="2" t="s">
        <v>12</v>
      </c>
      <c r="E5159" s="2" t="s">
        <v>12</v>
      </c>
      <c r="F5159" s="2" t="s">
        <v>12</v>
      </c>
      <c r="G5159" s="2" t="s">
        <v>12</v>
      </c>
      <c r="H5159" s="2" t="s">
        <v>12</v>
      </c>
      <c r="I5159" s="2" t="s">
        <v>12</v>
      </c>
      <c r="J5159" s="2" t="s">
        <v>12</v>
      </c>
      <c r="K5159" s="2" t="s">
        <v>12</v>
      </c>
    </row>
    <row r="5160" spans="1:11" ht="12.5" x14ac:dyDescent="0.25">
      <c r="A5160" s="3" t="e">
        <f ca="1"/>
        <v>#NAME?</v>
      </c>
      <c r="B5160" s="2" t="s">
        <v>12</v>
      </c>
      <c r="C5160" s="2" t="s">
        <v>12</v>
      </c>
      <c r="D5160" s="2" t="s">
        <v>12</v>
      </c>
      <c r="E5160" s="2" t="s">
        <v>12</v>
      </c>
      <c r="F5160" s="2" t="s">
        <v>12</v>
      </c>
      <c r="G5160" s="2" t="s">
        <v>12</v>
      </c>
      <c r="H5160" s="2" t="s">
        <v>12</v>
      </c>
      <c r="I5160" s="2" t="s">
        <v>12</v>
      </c>
      <c r="J5160" s="2" t="s">
        <v>12</v>
      </c>
      <c r="K5160" s="2" t="s">
        <v>12</v>
      </c>
    </row>
    <row r="5161" spans="1:11" ht="12.5" x14ac:dyDescent="0.25">
      <c r="A5161" s="3" t="e">
        <f ca="1"/>
        <v>#NAME?</v>
      </c>
      <c r="B5161" s="2" t="s">
        <v>12</v>
      </c>
      <c r="C5161" s="2" t="s">
        <v>12</v>
      </c>
      <c r="D5161" s="2" t="s">
        <v>12</v>
      </c>
      <c r="E5161" s="2" t="s">
        <v>12</v>
      </c>
      <c r="F5161" s="2" t="s">
        <v>12</v>
      </c>
      <c r="G5161" s="2" t="s">
        <v>12</v>
      </c>
      <c r="H5161" s="2" t="s">
        <v>12</v>
      </c>
      <c r="I5161" s="2" t="s">
        <v>12</v>
      </c>
      <c r="J5161" s="2" t="s">
        <v>12</v>
      </c>
      <c r="K5161" s="2" t="s">
        <v>12</v>
      </c>
    </row>
    <row r="5162" spans="1:11" ht="12.5" x14ac:dyDescent="0.25">
      <c r="A5162" s="3" t="e">
        <f ca="1"/>
        <v>#NAME?</v>
      </c>
      <c r="B5162" s="2" t="s">
        <v>12</v>
      </c>
      <c r="C5162" s="2" t="s">
        <v>12</v>
      </c>
      <c r="D5162" s="2" t="s">
        <v>12</v>
      </c>
      <c r="E5162" s="2" t="s">
        <v>12</v>
      </c>
      <c r="F5162" s="2" t="s">
        <v>12</v>
      </c>
      <c r="G5162" s="2" t="s">
        <v>12</v>
      </c>
      <c r="H5162" s="2" t="s">
        <v>12</v>
      </c>
      <c r="I5162" s="2" t="s">
        <v>12</v>
      </c>
      <c r="J5162" s="2" t="s">
        <v>12</v>
      </c>
      <c r="K5162" s="2" t="s">
        <v>12</v>
      </c>
    </row>
    <row r="5163" spans="1:11" ht="12.5" x14ac:dyDescent="0.25">
      <c r="A5163" s="3" t="e">
        <f ca="1"/>
        <v>#NAME?</v>
      </c>
      <c r="B5163" s="2" t="s">
        <v>12</v>
      </c>
      <c r="C5163" s="2" t="s">
        <v>12</v>
      </c>
      <c r="D5163" s="2" t="s">
        <v>12</v>
      </c>
      <c r="E5163" s="2" t="s">
        <v>12</v>
      </c>
      <c r="F5163" s="2" t="s">
        <v>12</v>
      </c>
      <c r="G5163" s="2" t="s">
        <v>12</v>
      </c>
      <c r="H5163" s="2" t="s">
        <v>12</v>
      </c>
      <c r="I5163" s="2" t="s">
        <v>12</v>
      </c>
      <c r="J5163" s="2" t="s">
        <v>12</v>
      </c>
      <c r="K5163" s="2" t="s">
        <v>12</v>
      </c>
    </row>
    <row r="5164" spans="1:11" ht="12.5" x14ac:dyDescent="0.25">
      <c r="A5164" s="3" t="e">
        <f ca="1"/>
        <v>#NAME?</v>
      </c>
      <c r="B5164" s="2" t="s">
        <v>12</v>
      </c>
      <c r="C5164" s="2" t="s">
        <v>12</v>
      </c>
      <c r="D5164" s="2" t="s">
        <v>12</v>
      </c>
      <c r="E5164" s="2" t="s">
        <v>12</v>
      </c>
      <c r="F5164" s="2" t="s">
        <v>12</v>
      </c>
      <c r="G5164" s="2" t="s">
        <v>12</v>
      </c>
      <c r="H5164" s="2" t="s">
        <v>12</v>
      </c>
      <c r="I5164" s="2" t="s">
        <v>12</v>
      </c>
      <c r="J5164" s="2" t="s">
        <v>12</v>
      </c>
      <c r="K5164" s="2" t="s">
        <v>12</v>
      </c>
    </row>
    <row r="5165" spans="1:11" ht="12.5" x14ac:dyDescent="0.25">
      <c r="A5165" s="3" t="e">
        <f ca="1"/>
        <v>#NAME?</v>
      </c>
      <c r="B5165" s="2" t="s">
        <v>12</v>
      </c>
      <c r="C5165" s="2" t="s">
        <v>12</v>
      </c>
      <c r="D5165" s="2" t="s">
        <v>12</v>
      </c>
      <c r="E5165" s="2" t="s">
        <v>12</v>
      </c>
      <c r="F5165" s="2" t="s">
        <v>12</v>
      </c>
      <c r="G5165" s="2" t="s">
        <v>12</v>
      </c>
      <c r="H5165" s="2" t="s">
        <v>12</v>
      </c>
      <c r="I5165" s="2" t="s">
        <v>12</v>
      </c>
      <c r="J5165" s="2" t="s">
        <v>12</v>
      </c>
      <c r="K5165" s="2" t="s">
        <v>12</v>
      </c>
    </row>
    <row r="5166" spans="1:11" ht="12.5" x14ac:dyDescent="0.25">
      <c r="A5166" s="3" t="e">
        <f ca="1"/>
        <v>#NAME?</v>
      </c>
      <c r="B5166" s="2" t="s">
        <v>12</v>
      </c>
      <c r="C5166" s="2" t="s">
        <v>12</v>
      </c>
      <c r="D5166" s="2" t="s">
        <v>12</v>
      </c>
      <c r="E5166" s="2" t="s">
        <v>12</v>
      </c>
      <c r="F5166" s="2" t="s">
        <v>12</v>
      </c>
      <c r="G5166" s="2" t="s">
        <v>12</v>
      </c>
      <c r="H5166" s="2" t="s">
        <v>12</v>
      </c>
      <c r="I5166" s="2" t="s">
        <v>12</v>
      </c>
      <c r="J5166" s="2" t="s">
        <v>12</v>
      </c>
      <c r="K5166" s="2" t="s">
        <v>12</v>
      </c>
    </row>
    <row r="5167" spans="1:11" ht="12.5" x14ac:dyDescent="0.25">
      <c r="A5167" s="3" t="e">
        <f ca="1"/>
        <v>#NAME?</v>
      </c>
      <c r="B5167" s="2" t="s">
        <v>12</v>
      </c>
      <c r="C5167" s="2" t="s">
        <v>12</v>
      </c>
      <c r="D5167" s="2" t="s">
        <v>12</v>
      </c>
      <c r="E5167" s="2" t="s">
        <v>12</v>
      </c>
      <c r="F5167" s="2" t="s">
        <v>12</v>
      </c>
      <c r="G5167" s="2" t="s">
        <v>12</v>
      </c>
      <c r="H5167" s="2" t="s">
        <v>12</v>
      </c>
      <c r="I5167" s="2" t="s">
        <v>12</v>
      </c>
      <c r="J5167" s="2" t="s">
        <v>12</v>
      </c>
      <c r="K5167" s="2" t="s">
        <v>12</v>
      </c>
    </row>
    <row r="5168" spans="1:11" ht="12.5" x14ac:dyDescent="0.25">
      <c r="A5168" s="3" t="e">
        <f ca="1"/>
        <v>#NAME?</v>
      </c>
      <c r="B5168" s="2" t="s">
        <v>12</v>
      </c>
      <c r="C5168" s="2" t="s">
        <v>12</v>
      </c>
      <c r="D5168" s="2" t="s">
        <v>12</v>
      </c>
      <c r="E5168" s="2" t="s">
        <v>12</v>
      </c>
      <c r="F5168" s="2" t="s">
        <v>12</v>
      </c>
      <c r="G5168" s="2" t="s">
        <v>12</v>
      </c>
      <c r="H5168" s="2" t="s">
        <v>12</v>
      </c>
      <c r="I5168" s="2" t="s">
        <v>12</v>
      </c>
      <c r="J5168" s="2" t="s">
        <v>12</v>
      </c>
      <c r="K5168" s="2" t="s">
        <v>12</v>
      </c>
    </row>
    <row r="5169" spans="1:11" ht="12.5" x14ac:dyDescent="0.25">
      <c r="A5169" s="3" t="e">
        <f ca="1"/>
        <v>#NAME?</v>
      </c>
      <c r="B5169" s="2" t="s">
        <v>12</v>
      </c>
      <c r="C5169" s="2" t="s">
        <v>12</v>
      </c>
      <c r="D5169" s="2" t="s">
        <v>12</v>
      </c>
      <c r="E5169" s="2" t="s">
        <v>12</v>
      </c>
      <c r="F5169" s="2" t="s">
        <v>12</v>
      </c>
      <c r="G5169" s="2" t="s">
        <v>12</v>
      </c>
      <c r="H5169" s="2" t="s">
        <v>12</v>
      </c>
      <c r="I5169" s="2" t="s">
        <v>12</v>
      </c>
      <c r="J5169" s="2" t="s">
        <v>12</v>
      </c>
      <c r="K5169" s="2" t="s">
        <v>12</v>
      </c>
    </row>
    <row r="5170" spans="1:11" ht="12.5" x14ac:dyDescent="0.25">
      <c r="A5170" s="3" t="e">
        <f ca="1"/>
        <v>#NAME?</v>
      </c>
      <c r="B5170" s="2" t="s">
        <v>12</v>
      </c>
      <c r="C5170" s="2" t="s">
        <v>12</v>
      </c>
      <c r="D5170" s="2" t="s">
        <v>12</v>
      </c>
      <c r="E5170" s="2" t="s">
        <v>12</v>
      </c>
      <c r="F5170" s="2" t="s">
        <v>12</v>
      </c>
      <c r="G5170" s="2" t="s">
        <v>12</v>
      </c>
      <c r="H5170" s="2" t="s">
        <v>12</v>
      </c>
      <c r="I5170" s="2" t="s">
        <v>12</v>
      </c>
      <c r="J5170" s="2" t="s">
        <v>12</v>
      </c>
      <c r="K5170" s="2" t="s">
        <v>12</v>
      </c>
    </row>
    <row r="5171" spans="1:11" ht="12.5" x14ac:dyDescent="0.25">
      <c r="A5171" s="3" t="e">
        <f ca="1"/>
        <v>#NAME?</v>
      </c>
      <c r="B5171" s="2" t="s">
        <v>12</v>
      </c>
      <c r="C5171" s="2" t="s">
        <v>12</v>
      </c>
      <c r="D5171" s="2" t="s">
        <v>12</v>
      </c>
      <c r="E5171" s="2" t="s">
        <v>12</v>
      </c>
      <c r="F5171" s="2" t="s">
        <v>12</v>
      </c>
      <c r="G5171" s="2" t="s">
        <v>12</v>
      </c>
      <c r="H5171" s="2" t="s">
        <v>12</v>
      </c>
      <c r="I5171" s="2" t="s">
        <v>12</v>
      </c>
      <c r="J5171" s="2" t="s">
        <v>12</v>
      </c>
      <c r="K5171" s="2" t="s">
        <v>12</v>
      </c>
    </row>
    <row r="5172" spans="1:11" ht="12.5" x14ac:dyDescent="0.25">
      <c r="A5172" s="3" t="e">
        <f ca="1"/>
        <v>#NAME?</v>
      </c>
      <c r="B5172" s="2" t="s">
        <v>12</v>
      </c>
      <c r="C5172" s="2" t="s">
        <v>12</v>
      </c>
      <c r="D5172" s="2" t="s">
        <v>12</v>
      </c>
      <c r="E5172" s="2" t="s">
        <v>12</v>
      </c>
      <c r="F5172" s="2" t="s">
        <v>12</v>
      </c>
      <c r="G5172" s="2" t="s">
        <v>12</v>
      </c>
      <c r="H5172" s="2" t="s">
        <v>12</v>
      </c>
      <c r="I5172" s="2" t="s">
        <v>12</v>
      </c>
      <c r="J5172" s="2" t="s">
        <v>12</v>
      </c>
      <c r="K5172" s="2" t="s">
        <v>12</v>
      </c>
    </row>
    <row r="5173" spans="1:11" ht="12.5" x14ac:dyDescent="0.25">
      <c r="A5173" s="3" t="e">
        <f ca="1"/>
        <v>#NAME?</v>
      </c>
      <c r="B5173" s="2" t="s">
        <v>12</v>
      </c>
      <c r="C5173" s="2" t="s">
        <v>12</v>
      </c>
      <c r="D5173" s="2" t="s">
        <v>12</v>
      </c>
      <c r="E5173" s="2" t="s">
        <v>12</v>
      </c>
      <c r="F5173" s="2" t="s">
        <v>12</v>
      </c>
      <c r="G5173" s="2" t="s">
        <v>12</v>
      </c>
      <c r="H5173" s="2" t="s">
        <v>12</v>
      </c>
      <c r="I5173" s="2" t="s">
        <v>12</v>
      </c>
      <c r="J5173" s="2" t="s">
        <v>12</v>
      </c>
      <c r="K5173" s="2" t="s">
        <v>12</v>
      </c>
    </row>
    <row r="5174" spans="1:11" ht="12.5" x14ac:dyDescent="0.25">
      <c r="A5174" s="3" t="e">
        <f ca="1"/>
        <v>#NAME?</v>
      </c>
      <c r="B5174" s="2" t="s">
        <v>12</v>
      </c>
      <c r="C5174" s="2" t="s">
        <v>12</v>
      </c>
      <c r="D5174" s="2" t="s">
        <v>12</v>
      </c>
      <c r="E5174" s="2" t="s">
        <v>12</v>
      </c>
      <c r="F5174" s="2" t="s">
        <v>12</v>
      </c>
      <c r="G5174" s="2" t="s">
        <v>12</v>
      </c>
      <c r="H5174" s="2" t="s">
        <v>12</v>
      </c>
      <c r="I5174" s="2" t="s">
        <v>12</v>
      </c>
      <c r="J5174" s="2" t="s">
        <v>12</v>
      </c>
      <c r="K5174" s="2" t="s">
        <v>12</v>
      </c>
    </row>
    <row r="5175" spans="1:11" ht="12.5" x14ac:dyDescent="0.25">
      <c r="A5175" s="3" t="e">
        <f ca="1"/>
        <v>#NAME?</v>
      </c>
      <c r="B5175" s="2" t="s">
        <v>12</v>
      </c>
      <c r="C5175" s="2" t="s">
        <v>12</v>
      </c>
      <c r="D5175" s="2" t="s">
        <v>12</v>
      </c>
      <c r="E5175" s="2" t="s">
        <v>12</v>
      </c>
      <c r="F5175" s="2" t="s">
        <v>12</v>
      </c>
      <c r="G5175" s="2" t="s">
        <v>12</v>
      </c>
      <c r="H5175" s="2" t="s">
        <v>12</v>
      </c>
      <c r="I5175" s="2" t="s">
        <v>12</v>
      </c>
      <c r="J5175" s="2" t="s">
        <v>12</v>
      </c>
      <c r="K5175" s="2" t="s">
        <v>12</v>
      </c>
    </row>
    <row r="5176" spans="1:11" ht="12.5" x14ac:dyDescent="0.25">
      <c r="A5176" s="3" t="e">
        <f ca="1"/>
        <v>#NAME?</v>
      </c>
      <c r="B5176" s="2" t="s">
        <v>12</v>
      </c>
      <c r="C5176" s="2" t="s">
        <v>12</v>
      </c>
      <c r="D5176" s="2" t="s">
        <v>12</v>
      </c>
      <c r="E5176" s="2" t="s">
        <v>12</v>
      </c>
      <c r="F5176" s="2" t="s">
        <v>12</v>
      </c>
      <c r="G5176" s="2" t="s">
        <v>12</v>
      </c>
      <c r="H5176" s="2" t="s">
        <v>12</v>
      </c>
      <c r="I5176" s="2" t="s">
        <v>12</v>
      </c>
      <c r="J5176" s="2" t="s">
        <v>12</v>
      </c>
      <c r="K5176" s="2" t="s">
        <v>12</v>
      </c>
    </row>
    <row r="5177" spans="1:11" ht="12.5" x14ac:dyDescent="0.25">
      <c r="A5177" s="3" t="e">
        <f ca="1"/>
        <v>#NAME?</v>
      </c>
      <c r="B5177" s="2" t="s">
        <v>12</v>
      </c>
      <c r="C5177" s="2" t="s">
        <v>12</v>
      </c>
      <c r="D5177" s="2" t="s">
        <v>12</v>
      </c>
      <c r="E5177" s="2" t="s">
        <v>12</v>
      </c>
      <c r="F5177" s="2" t="s">
        <v>12</v>
      </c>
      <c r="G5177" s="2" t="s">
        <v>12</v>
      </c>
      <c r="H5177" s="2" t="s">
        <v>12</v>
      </c>
      <c r="I5177" s="2" t="s">
        <v>12</v>
      </c>
      <c r="J5177" s="2" t="s">
        <v>12</v>
      </c>
      <c r="K5177" s="2" t="s">
        <v>12</v>
      </c>
    </row>
    <row r="5178" spans="1:11" ht="12.5" x14ac:dyDescent="0.25">
      <c r="A5178" s="3" t="e">
        <f ca="1"/>
        <v>#NAME?</v>
      </c>
      <c r="B5178" s="2" t="s">
        <v>12</v>
      </c>
      <c r="C5178" s="2" t="s">
        <v>12</v>
      </c>
      <c r="D5178" s="2" t="s">
        <v>12</v>
      </c>
      <c r="E5178" s="2" t="s">
        <v>12</v>
      </c>
      <c r="F5178" s="2" t="s">
        <v>12</v>
      </c>
      <c r="G5178" s="2" t="s">
        <v>12</v>
      </c>
      <c r="H5178" s="2" t="s">
        <v>12</v>
      </c>
      <c r="I5178" s="2" t="s">
        <v>12</v>
      </c>
      <c r="J5178" s="2" t="s">
        <v>12</v>
      </c>
      <c r="K5178" s="2" t="s">
        <v>12</v>
      </c>
    </row>
    <row r="5179" spans="1:11" ht="12.5" x14ac:dyDescent="0.25">
      <c r="A5179" s="3" t="e">
        <f ca="1"/>
        <v>#NAME?</v>
      </c>
      <c r="B5179" s="2" t="s">
        <v>12</v>
      </c>
      <c r="C5179" s="2" t="s">
        <v>12</v>
      </c>
      <c r="D5179" s="2" t="s">
        <v>12</v>
      </c>
      <c r="E5179" s="2" t="s">
        <v>12</v>
      </c>
      <c r="F5179" s="2" t="s">
        <v>12</v>
      </c>
      <c r="G5179" s="2" t="s">
        <v>12</v>
      </c>
      <c r="H5179" s="2" t="s">
        <v>12</v>
      </c>
      <c r="I5179" s="2" t="s">
        <v>12</v>
      </c>
      <c r="J5179" s="2" t="s">
        <v>12</v>
      </c>
      <c r="K5179" s="2" t="s">
        <v>12</v>
      </c>
    </row>
    <row r="5180" spans="1:11" ht="12.5" x14ac:dyDescent="0.25">
      <c r="A5180" s="3" t="e">
        <f ca="1"/>
        <v>#NAME?</v>
      </c>
      <c r="B5180" s="2" t="s">
        <v>12</v>
      </c>
      <c r="C5180" s="2" t="s">
        <v>12</v>
      </c>
      <c r="D5180" s="2" t="s">
        <v>12</v>
      </c>
      <c r="E5180" s="2" t="s">
        <v>12</v>
      </c>
      <c r="F5180" s="2" t="s">
        <v>12</v>
      </c>
      <c r="G5180" s="2" t="s">
        <v>12</v>
      </c>
      <c r="H5180" s="2" t="s">
        <v>12</v>
      </c>
      <c r="I5180" s="2" t="s">
        <v>12</v>
      </c>
      <c r="J5180" s="2" t="s">
        <v>12</v>
      </c>
      <c r="K5180" s="2" t="s">
        <v>12</v>
      </c>
    </row>
    <row r="5181" spans="1:11" ht="12.5" x14ac:dyDescent="0.25">
      <c r="A5181" s="3" t="e">
        <f ca="1"/>
        <v>#NAME?</v>
      </c>
      <c r="B5181" s="2" t="s">
        <v>12</v>
      </c>
      <c r="C5181" s="2" t="s">
        <v>12</v>
      </c>
      <c r="D5181" s="2" t="s">
        <v>12</v>
      </c>
      <c r="E5181" s="2" t="s">
        <v>12</v>
      </c>
      <c r="F5181" s="2" t="s">
        <v>12</v>
      </c>
      <c r="G5181" s="2" t="s">
        <v>12</v>
      </c>
      <c r="H5181" s="2" t="s">
        <v>12</v>
      </c>
      <c r="I5181" s="2" t="s">
        <v>12</v>
      </c>
      <c r="J5181" s="2" t="s">
        <v>12</v>
      </c>
      <c r="K5181" s="2" t="s">
        <v>12</v>
      </c>
    </row>
    <row r="5182" spans="1:11" ht="12.5" x14ac:dyDescent="0.25">
      <c r="A5182" s="3" t="e">
        <f ca="1"/>
        <v>#NAME?</v>
      </c>
      <c r="B5182" s="2" t="s">
        <v>12</v>
      </c>
      <c r="C5182" s="2" t="s">
        <v>12</v>
      </c>
      <c r="D5182" s="2" t="s">
        <v>12</v>
      </c>
      <c r="E5182" s="2" t="s">
        <v>12</v>
      </c>
      <c r="F5182" s="2" t="s">
        <v>12</v>
      </c>
      <c r="G5182" s="2" t="s">
        <v>12</v>
      </c>
      <c r="H5182" s="2" t="s">
        <v>12</v>
      </c>
      <c r="I5182" s="2" t="s">
        <v>12</v>
      </c>
      <c r="J5182" s="2" t="s">
        <v>12</v>
      </c>
      <c r="K5182" s="2" t="s">
        <v>12</v>
      </c>
    </row>
    <row r="5183" spans="1:11" ht="12.5" x14ac:dyDescent="0.25">
      <c r="A5183" s="3" t="e">
        <f ca="1"/>
        <v>#NAME?</v>
      </c>
      <c r="B5183" s="2" t="s">
        <v>12</v>
      </c>
      <c r="C5183" s="2" t="s">
        <v>12</v>
      </c>
      <c r="D5183" s="2" t="s">
        <v>12</v>
      </c>
      <c r="E5183" s="2" t="s">
        <v>12</v>
      </c>
      <c r="F5183" s="2" t="s">
        <v>12</v>
      </c>
      <c r="G5183" s="2" t="s">
        <v>12</v>
      </c>
      <c r="H5183" s="2" t="s">
        <v>12</v>
      </c>
      <c r="I5183" s="2" t="s">
        <v>12</v>
      </c>
      <c r="J5183" s="2" t="s">
        <v>12</v>
      </c>
      <c r="K5183" s="2" t="s">
        <v>12</v>
      </c>
    </row>
    <row r="5184" spans="1:11" ht="12.5" x14ac:dyDescent="0.25">
      <c r="A5184" s="3" t="e">
        <f ca="1"/>
        <v>#NAME?</v>
      </c>
      <c r="B5184" s="2" t="s">
        <v>12</v>
      </c>
      <c r="C5184" s="2" t="s">
        <v>12</v>
      </c>
      <c r="D5184" s="2" t="s">
        <v>12</v>
      </c>
      <c r="E5184" s="2" t="s">
        <v>12</v>
      </c>
      <c r="F5184" s="2" t="s">
        <v>12</v>
      </c>
      <c r="G5184" s="2" t="s">
        <v>12</v>
      </c>
      <c r="H5184" s="2" t="s">
        <v>12</v>
      </c>
      <c r="I5184" s="2" t="s">
        <v>12</v>
      </c>
      <c r="J5184" s="2" t="s">
        <v>12</v>
      </c>
      <c r="K5184" s="2" t="s">
        <v>12</v>
      </c>
    </row>
    <row r="5185" spans="1:11" ht="12.5" x14ac:dyDescent="0.25">
      <c r="A5185" s="3" t="e">
        <f ca="1"/>
        <v>#NAME?</v>
      </c>
      <c r="B5185" s="2" t="s">
        <v>12</v>
      </c>
      <c r="C5185" s="2" t="s">
        <v>12</v>
      </c>
      <c r="D5185" s="2" t="s">
        <v>12</v>
      </c>
      <c r="E5185" s="2" t="s">
        <v>12</v>
      </c>
      <c r="F5185" s="2" t="s">
        <v>12</v>
      </c>
      <c r="G5185" s="2" t="s">
        <v>12</v>
      </c>
      <c r="H5185" s="2" t="s">
        <v>12</v>
      </c>
      <c r="I5185" s="2" t="s">
        <v>12</v>
      </c>
      <c r="J5185" s="2" t="s">
        <v>12</v>
      </c>
      <c r="K5185" s="2" t="s">
        <v>12</v>
      </c>
    </row>
    <row r="5186" spans="1:11" ht="12.5" x14ac:dyDescent="0.25">
      <c r="A5186" s="3" t="e">
        <f ca="1"/>
        <v>#NAME?</v>
      </c>
      <c r="B5186" s="2" t="s">
        <v>12</v>
      </c>
      <c r="C5186" s="2" t="s">
        <v>12</v>
      </c>
      <c r="D5186" s="2" t="s">
        <v>12</v>
      </c>
      <c r="E5186" s="2" t="s">
        <v>12</v>
      </c>
      <c r="F5186" s="2" t="s">
        <v>12</v>
      </c>
      <c r="G5186" s="2" t="s">
        <v>12</v>
      </c>
      <c r="H5186" s="2" t="s">
        <v>12</v>
      </c>
      <c r="I5186" s="2" t="s">
        <v>12</v>
      </c>
      <c r="J5186" s="2" t="s">
        <v>12</v>
      </c>
      <c r="K5186" s="2" t="s">
        <v>12</v>
      </c>
    </row>
    <row r="5187" spans="1:11" ht="12.5" x14ac:dyDescent="0.25">
      <c r="A5187" s="3" t="e">
        <f ca="1"/>
        <v>#NAME?</v>
      </c>
      <c r="B5187" s="2" t="s">
        <v>12</v>
      </c>
      <c r="C5187" s="2" t="s">
        <v>12</v>
      </c>
      <c r="D5187" s="2" t="s">
        <v>12</v>
      </c>
      <c r="E5187" s="2" t="s">
        <v>12</v>
      </c>
      <c r="F5187" s="2" t="s">
        <v>12</v>
      </c>
      <c r="G5187" s="2" t="s">
        <v>12</v>
      </c>
      <c r="H5187" s="2" t="s">
        <v>12</v>
      </c>
      <c r="I5187" s="2" t="s">
        <v>12</v>
      </c>
      <c r="J5187" s="2" t="s">
        <v>12</v>
      </c>
      <c r="K5187" s="2" t="s">
        <v>12</v>
      </c>
    </row>
    <row r="5188" spans="1:11" ht="12.5" x14ac:dyDescent="0.25">
      <c r="A5188" s="3" t="e">
        <f ca="1"/>
        <v>#NAME?</v>
      </c>
      <c r="B5188" s="2" t="s">
        <v>12</v>
      </c>
      <c r="C5188" s="2" t="s">
        <v>12</v>
      </c>
      <c r="D5188" s="2" t="s">
        <v>12</v>
      </c>
      <c r="E5188" s="2" t="s">
        <v>12</v>
      </c>
      <c r="F5188" s="2" t="s">
        <v>12</v>
      </c>
      <c r="G5188" s="2" t="s">
        <v>12</v>
      </c>
      <c r="H5188" s="2" t="s">
        <v>12</v>
      </c>
      <c r="I5188" s="2" t="s">
        <v>12</v>
      </c>
      <c r="J5188" s="2" t="s">
        <v>12</v>
      </c>
      <c r="K5188" s="2" t="s">
        <v>12</v>
      </c>
    </row>
    <row r="5189" spans="1:11" ht="12.5" x14ac:dyDescent="0.25">
      <c r="A5189" s="3" t="e">
        <f ca="1"/>
        <v>#NAME?</v>
      </c>
      <c r="B5189" s="2" t="s">
        <v>12</v>
      </c>
      <c r="C5189" s="2" t="s">
        <v>12</v>
      </c>
      <c r="D5189" s="2" t="s">
        <v>12</v>
      </c>
      <c r="E5189" s="2" t="s">
        <v>12</v>
      </c>
      <c r="F5189" s="2" t="s">
        <v>12</v>
      </c>
      <c r="G5189" s="2" t="s">
        <v>12</v>
      </c>
      <c r="H5189" s="2" t="s">
        <v>12</v>
      </c>
      <c r="I5189" s="2" t="s">
        <v>12</v>
      </c>
      <c r="J5189" s="2" t="s">
        <v>12</v>
      </c>
      <c r="K5189" s="2" t="s">
        <v>12</v>
      </c>
    </row>
    <row r="5190" spans="1:11" ht="12.5" x14ac:dyDescent="0.25">
      <c r="A5190" s="3" t="e">
        <f ca="1"/>
        <v>#NAME?</v>
      </c>
      <c r="B5190" s="2" t="s">
        <v>12</v>
      </c>
      <c r="C5190" s="2" t="s">
        <v>12</v>
      </c>
      <c r="D5190" s="2" t="s">
        <v>12</v>
      </c>
      <c r="E5190" s="2" t="s">
        <v>12</v>
      </c>
      <c r="F5190" s="2" t="s">
        <v>12</v>
      </c>
      <c r="G5190" s="2" t="s">
        <v>12</v>
      </c>
      <c r="H5190" s="2" t="s">
        <v>12</v>
      </c>
      <c r="I5190" s="2" t="s">
        <v>12</v>
      </c>
      <c r="J5190" s="2" t="s">
        <v>12</v>
      </c>
      <c r="K5190" s="2" t="s">
        <v>12</v>
      </c>
    </row>
    <row r="5191" spans="1:11" ht="12.5" x14ac:dyDescent="0.25">
      <c r="A5191" s="3" t="e">
        <f ca="1"/>
        <v>#NAME?</v>
      </c>
      <c r="B5191" s="2" t="s">
        <v>12</v>
      </c>
      <c r="C5191" s="2" t="s">
        <v>12</v>
      </c>
      <c r="D5191" s="2" t="s">
        <v>12</v>
      </c>
      <c r="E5191" s="2" t="s">
        <v>12</v>
      </c>
      <c r="F5191" s="2" t="s">
        <v>12</v>
      </c>
      <c r="G5191" s="2" t="s">
        <v>12</v>
      </c>
      <c r="H5191" s="2" t="s">
        <v>12</v>
      </c>
      <c r="I5191" s="2" t="s">
        <v>12</v>
      </c>
      <c r="J5191" s="2" t="s">
        <v>12</v>
      </c>
      <c r="K5191" s="2" t="s">
        <v>12</v>
      </c>
    </row>
    <row r="5192" spans="1:11" ht="12.5" x14ac:dyDescent="0.25">
      <c r="A5192" s="3" t="e">
        <f ca="1"/>
        <v>#NAME?</v>
      </c>
      <c r="B5192" s="2" t="s">
        <v>12</v>
      </c>
      <c r="C5192" s="2" t="s">
        <v>12</v>
      </c>
      <c r="D5192" s="2" t="s">
        <v>12</v>
      </c>
      <c r="E5192" s="2" t="s">
        <v>12</v>
      </c>
      <c r="F5192" s="2" t="s">
        <v>12</v>
      </c>
      <c r="G5192" s="2" t="s">
        <v>12</v>
      </c>
      <c r="H5192" s="2" t="s">
        <v>12</v>
      </c>
      <c r="I5192" s="2" t="s">
        <v>12</v>
      </c>
      <c r="J5192" s="2" t="s">
        <v>12</v>
      </c>
      <c r="K5192" s="2" t="s">
        <v>12</v>
      </c>
    </row>
    <row r="5193" spans="1:11" ht="12.5" x14ac:dyDescent="0.25">
      <c r="A5193" s="3" t="e">
        <f ca="1"/>
        <v>#NAME?</v>
      </c>
      <c r="B5193" s="2" t="s">
        <v>12</v>
      </c>
      <c r="C5193" s="2" t="s">
        <v>12</v>
      </c>
      <c r="D5193" s="2" t="s">
        <v>12</v>
      </c>
      <c r="E5193" s="2" t="s">
        <v>12</v>
      </c>
      <c r="F5193" s="2" t="s">
        <v>12</v>
      </c>
      <c r="G5193" s="2" t="s">
        <v>12</v>
      </c>
      <c r="H5193" s="2" t="s">
        <v>12</v>
      </c>
      <c r="I5193" s="2" t="s">
        <v>12</v>
      </c>
      <c r="J5193" s="2" t="s">
        <v>12</v>
      </c>
      <c r="K5193" s="2" t="s">
        <v>12</v>
      </c>
    </row>
    <row r="5194" spans="1:11" ht="12.5" x14ac:dyDescent="0.25">
      <c r="A5194" s="3" t="e">
        <f ca="1"/>
        <v>#NAME?</v>
      </c>
      <c r="B5194" s="2" t="s">
        <v>12</v>
      </c>
      <c r="C5194" s="2" t="s">
        <v>12</v>
      </c>
      <c r="D5194" s="2" t="s">
        <v>12</v>
      </c>
      <c r="E5194" s="2" t="s">
        <v>12</v>
      </c>
      <c r="F5194" s="2" t="s">
        <v>12</v>
      </c>
      <c r="G5194" s="2" t="s">
        <v>12</v>
      </c>
      <c r="H5194" s="2" t="s">
        <v>12</v>
      </c>
      <c r="I5194" s="2" t="s">
        <v>12</v>
      </c>
      <c r="J5194" s="2" t="s">
        <v>12</v>
      </c>
      <c r="K5194" s="2" t="s">
        <v>12</v>
      </c>
    </row>
    <row r="5195" spans="1:11" ht="12.5" x14ac:dyDescent="0.25">
      <c r="A5195" s="3" t="e">
        <f ca="1"/>
        <v>#NAME?</v>
      </c>
      <c r="B5195" s="2" t="s">
        <v>12</v>
      </c>
      <c r="C5195" s="2" t="s">
        <v>12</v>
      </c>
      <c r="D5195" s="2" t="s">
        <v>12</v>
      </c>
      <c r="E5195" s="2" t="s">
        <v>12</v>
      </c>
      <c r="F5195" s="2" t="s">
        <v>12</v>
      </c>
      <c r="G5195" s="2" t="s">
        <v>12</v>
      </c>
      <c r="H5195" s="2" t="s">
        <v>12</v>
      </c>
      <c r="I5195" s="2" t="s">
        <v>12</v>
      </c>
      <c r="J5195" s="2" t="s">
        <v>12</v>
      </c>
      <c r="K5195" s="2" t="s">
        <v>12</v>
      </c>
    </row>
    <row r="5196" spans="1:11" ht="12.5" x14ac:dyDescent="0.25">
      <c r="A5196" s="3" t="e">
        <f ca="1"/>
        <v>#NAME?</v>
      </c>
      <c r="B5196" s="2" t="s">
        <v>12</v>
      </c>
      <c r="C5196" s="2" t="s">
        <v>12</v>
      </c>
      <c r="D5196" s="2" t="s">
        <v>12</v>
      </c>
      <c r="E5196" s="2" t="s">
        <v>12</v>
      </c>
      <c r="F5196" s="2" t="s">
        <v>12</v>
      </c>
      <c r="G5196" s="2" t="s">
        <v>12</v>
      </c>
      <c r="H5196" s="2" t="s">
        <v>12</v>
      </c>
      <c r="I5196" s="2" t="s">
        <v>12</v>
      </c>
      <c r="J5196" s="2" t="s">
        <v>12</v>
      </c>
      <c r="K5196" s="2" t="s">
        <v>12</v>
      </c>
    </row>
    <row r="5197" spans="1:11" ht="12.5" x14ac:dyDescent="0.25">
      <c r="A5197" s="3" t="e">
        <f ca="1"/>
        <v>#NAME?</v>
      </c>
      <c r="B5197" s="2" t="s">
        <v>12</v>
      </c>
      <c r="C5197" s="2" t="s">
        <v>12</v>
      </c>
      <c r="D5197" s="2" t="s">
        <v>12</v>
      </c>
      <c r="E5197" s="2" t="s">
        <v>12</v>
      </c>
      <c r="F5197" s="2" t="s">
        <v>12</v>
      </c>
      <c r="G5197" s="2" t="s">
        <v>12</v>
      </c>
      <c r="H5197" s="2" t="s">
        <v>12</v>
      </c>
      <c r="I5197" s="2" t="s">
        <v>12</v>
      </c>
      <c r="J5197" s="2" t="s">
        <v>12</v>
      </c>
      <c r="K5197" s="2" t="s">
        <v>12</v>
      </c>
    </row>
    <row r="5198" spans="1:11" ht="12.5" x14ac:dyDescent="0.25">
      <c r="A5198" s="3" t="e">
        <f ca="1"/>
        <v>#NAME?</v>
      </c>
      <c r="B5198" s="2" t="s">
        <v>12</v>
      </c>
      <c r="C5198" s="2" t="s">
        <v>12</v>
      </c>
      <c r="D5198" s="2" t="s">
        <v>12</v>
      </c>
      <c r="E5198" s="2" t="s">
        <v>12</v>
      </c>
      <c r="F5198" s="2" t="s">
        <v>12</v>
      </c>
      <c r="G5198" s="2" t="s">
        <v>12</v>
      </c>
      <c r="H5198" s="2" t="s">
        <v>12</v>
      </c>
      <c r="I5198" s="2" t="s">
        <v>12</v>
      </c>
      <c r="J5198" s="2" t="s">
        <v>12</v>
      </c>
      <c r="K5198" s="2" t="s">
        <v>12</v>
      </c>
    </row>
    <row r="5199" spans="1:11" ht="12.5" x14ac:dyDescent="0.25">
      <c r="A5199" s="3" t="e">
        <f ca="1"/>
        <v>#NAME?</v>
      </c>
      <c r="B5199" s="2" t="s">
        <v>12</v>
      </c>
      <c r="C5199" s="2" t="s">
        <v>12</v>
      </c>
      <c r="D5199" s="2" t="s">
        <v>12</v>
      </c>
      <c r="E5199" s="2" t="s">
        <v>12</v>
      </c>
      <c r="F5199" s="2" t="s">
        <v>12</v>
      </c>
      <c r="G5199" s="2" t="s">
        <v>12</v>
      </c>
      <c r="H5199" s="2" t="s">
        <v>12</v>
      </c>
      <c r="I5199" s="2" t="s">
        <v>12</v>
      </c>
      <c r="J5199" s="2" t="s">
        <v>12</v>
      </c>
      <c r="K5199" s="2" t="s">
        <v>12</v>
      </c>
    </row>
    <row r="5200" spans="1:11" ht="12.5" x14ac:dyDescent="0.25">
      <c r="A5200" s="3" t="e">
        <f ca="1"/>
        <v>#NAME?</v>
      </c>
      <c r="B5200" s="2" t="s">
        <v>12</v>
      </c>
      <c r="C5200" s="2" t="s">
        <v>12</v>
      </c>
      <c r="D5200" s="2" t="s">
        <v>12</v>
      </c>
      <c r="E5200" s="2" t="s">
        <v>12</v>
      </c>
      <c r="F5200" s="2" t="s">
        <v>12</v>
      </c>
      <c r="G5200" s="2" t="s">
        <v>12</v>
      </c>
      <c r="H5200" s="2" t="s">
        <v>12</v>
      </c>
      <c r="I5200" s="2" t="s">
        <v>12</v>
      </c>
      <c r="J5200" s="2" t="s">
        <v>12</v>
      </c>
      <c r="K5200" s="2" t="s">
        <v>12</v>
      </c>
    </row>
    <row r="5201" spans="1:11" ht="12.5" x14ac:dyDescent="0.25">
      <c r="A5201" s="3" t="e">
        <f ca="1"/>
        <v>#NAME?</v>
      </c>
      <c r="B5201" s="2" t="s">
        <v>12</v>
      </c>
      <c r="C5201" s="2" t="s">
        <v>12</v>
      </c>
      <c r="D5201" s="2" t="s">
        <v>12</v>
      </c>
      <c r="E5201" s="2" t="s">
        <v>12</v>
      </c>
      <c r="F5201" s="2" t="s">
        <v>12</v>
      </c>
      <c r="G5201" s="2" t="s">
        <v>12</v>
      </c>
      <c r="H5201" s="2" t="s">
        <v>12</v>
      </c>
      <c r="I5201" s="2" t="s">
        <v>12</v>
      </c>
      <c r="J5201" s="2" t="s">
        <v>12</v>
      </c>
      <c r="K5201" s="2" t="s">
        <v>12</v>
      </c>
    </row>
    <row r="5202" spans="1:11" ht="12.5" x14ac:dyDescent="0.25">
      <c r="A5202" s="3" t="e">
        <f ca="1"/>
        <v>#NAME?</v>
      </c>
      <c r="B5202" s="2" t="s">
        <v>12</v>
      </c>
      <c r="C5202" s="2" t="s">
        <v>12</v>
      </c>
      <c r="D5202" s="2" t="s">
        <v>12</v>
      </c>
      <c r="E5202" s="2" t="s">
        <v>12</v>
      </c>
      <c r="F5202" s="2" t="s">
        <v>12</v>
      </c>
      <c r="G5202" s="2" t="s">
        <v>12</v>
      </c>
      <c r="H5202" s="2" t="s">
        <v>12</v>
      </c>
      <c r="I5202" s="2" t="s">
        <v>12</v>
      </c>
      <c r="J5202" s="2" t="s">
        <v>12</v>
      </c>
      <c r="K5202" s="2" t="s">
        <v>12</v>
      </c>
    </row>
    <row r="5203" spans="1:11" ht="12.5" x14ac:dyDescent="0.25">
      <c r="A5203" s="3" t="e">
        <f ca="1"/>
        <v>#NAME?</v>
      </c>
      <c r="B5203" s="2" t="s">
        <v>12</v>
      </c>
      <c r="C5203" s="2" t="s">
        <v>12</v>
      </c>
      <c r="D5203" s="2" t="s">
        <v>12</v>
      </c>
      <c r="E5203" s="2" t="s">
        <v>12</v>
      </c>
      <c r="F5203" s="2" t="s">
        <v>12</v>
      </c>
      <c r="G5203" s="2" t="s">
        <v>12</v>
      </c>
      <c r="H5203" s="2" t="s">
        <v>12</v>
      </c>
      <c r="I5203" s="2" t="s">
        <v>12</v>
      </c>
      <c r="J5203" s="2" t="s">
        <v>12</v>
      </c>
      <c r="K5203" s="2" t="s">
        <v>12</v>
      </c>
    </row>
    <row r="5204" spans="1:11" ht="12.5" x14ac:dyDescent="0.25">
      <c r="A5204" s="3" t="e">
        <f ca="1"/>
        <v>#NAME?</v>
      </c>
      <c r="B5204" s="2" t="s">
        <v>12</v>
      </c>
      <c r="C5204" s="2" t="s">
        <v>12</v>
      </c>
      <c r="D5204" s="2" t="s">
        <v>12</v>
      </c>
      <c r="E5204" s="2" t="s">
        <v>12</v>
      </c>
      <c r="F5204" s="2" t="s">
        <v>12</v>
      </c>
      <c r="G5204" s="2" t="s">
        <v>12</v>
      </c>
      <c r="H5204" s="2" t="s">
        <v>12</v>
      </c>
      <c r="I5204" s="2" t="s">
        <v>12</v>
      </c>
      <c r="J5204" s="2" t="s">
        <v>12</v>
      </c>
      <c r="K5204" s="2" t="s">
        <v>12</v>
      </c>
    </row>
    <row r="5205" spans="1:11" ht="12.5" x14ac:dyDescent="0.25">
      <c r="A5205" s="3" t="e">
        <f ca="1"/>
        <v>#NAME?</v>
      </c>
      <c r="B5205" s="2" t="s">
        <v>12</v>
      </c>
      <c r="C5205" s="2" t="s">
        <v>12</v>
      </c>
      <c r="D5205" s="2" t="s">
        <v>12</v>
      </c>
      <c r="E5205" s="2" t="s">
        <v>12</v>
      </c>
      <c r="F5205" s="2" t="s">
        <v>12</v>
      </c>
      <c r="G5205" s="2" t="s">
        <v>12</v>
      </c>
      <c r="H5205" s="2" t="s">
        <v>12</v>
      </c>
      <c r="I5205" s="2" t="s">
        <v>12</v>
      </c>
      <c r="J5205" s="2" t="s">
        <v>12</v>
      </c>
      <c r="K5205" s="2" t="s">
        <v>12</v>
      </c>
    </row>
    <row r="5206" spans="1:11" ht="12.5" x14ac:dyDescent="0.25">
      <c r="A5206" s="3" t="e">
        <f ca="1"/>
        <v>#NAME?</v>
      </c>
      <c r="B5206" s="2" t="s">
        <v>12</v>
      </c>
      <c r="C5206" s="2" t="s">
        <v>12</v>
      </c>
      <c r="D5206" s="2" t="s">
        <v>12</v>
      </c>
      <c r="E5206" s="2" t="s">
        <v>12</v>
      </c>
      <c r="F5206" s="2" t="s">
        <v>12</v>
      </c>
      <c r="G5206" s="2" t="s">
        <v>12</v>
      </c>
      <c r="H5206" s="2" t="s">
        <v>12</v>
      </c>
      <c r="I5206" s="2" t="s">
        <v>12</v>
      </c>
      <c r="J5206" s="2" t="s">
        <v>12</v>
      </c>
      <c r="K5206" s="2" t="s">
        <v>12</v>
      </c>
    </row>
    <row r="5207" spans="1:11" ht="12.5" x14ac:dyDescent="0.25">
      <c r="A5207" s="3" t="e">
        <f ca="1"/>
        <v>#NAME?</v>
      </c>
      <c r="B5207" s="2" t="s">
        <v>12</v>
      </c>
      <c r="C5207" s="2" t="s">
        <v>12</v>
      </c>
      <c r="D5207" s="2" t="s">
        <v>12</v>
      </c>
      <c r="E5207" s="2" t="s">
        <v>12</v>
      </c>
      <c r="F5207" s="2" t="s">
        <v>12</v>
      </c>
      <c r="G5207" s="2" t="s">
        <v>12</v>
      </c>
      <c r="H5207" s="2" t="s">
        <v>12</v>
      </c>
      <c r="I5207" s="2" t="s">
        <v>12</v>
      </c>
      <c r="J5207" s="2" t="s">
        <v>12</v>
      </c>
      <c r="K5207" s="2" t="s">
        <v>12</v>
      </c>
    </row>
    <row r="5208" spans="1:11" ht="12.5" x14ac:dyDescent="0.25">
      <c r="A5208" s="3" t="e">
        <f ca="1"/>
        <v>#NAME?</v>
      </c>
      <c r="B5208" s="2" t="s">
        <v>12</v>
      </c>
      <c r="C5208" s="2" t="s">
        <v>12</v>
      </c>
      <c r="D5208" s="2" t="s">
        <v>12</v>
      </c>
      <c r="E5208" s="2" t="s">
        <v>12</v>
      </c>
      <c r="F5208" s="2" t="s">
        <v>12</v>
      </c>
      <c r="G5208" s="2" t="s">
        <v>12</v>
      </c>
      <c r="H5208" s="2" t="s">
        <v>12</v>
      </c>
      <c r="I5208" s="2" t="s">
        <v>12</v>
      </c>
      <c r="J5208" s="2" t="s">
        <v>12</v>
      </c>
      <c r="K5208" s="2" t="s">
        <v>12</v>
      </c>
    </row>
    <row r="5209" spans="1:11" ht="12.5" x14ac:dyDescent="0.25">
      <c r="A5209" s="3" t="e">
        <f ca="1"/>
        <v>#NAME?</v>
      </c>
      <c r="B5209" s="2" t="s">
        <v>12</v>
      </c>
      <c r="C5209" s="2" t="s">
        <v>12</v>
      </c>
      <c r="D5209" s="2" t="s">
        <v>12</v>
      </c>
      <c r="E5209" s="2" t="s">
        <v>12</v>
      </c>
      <c r="F5209" s="2" t="s">
        <v>12</v>
      </c>
      <c r="G5209" s="2" t="s">
        <v>12</v>
      </c>
      <c r="H5209" s="2" t="s">
        <v>12</v>
      </c>
      <c r="I5209" s="2" t="s">
        <v>12</v>
      </c>
      <c r="J5209" s="2" t="s">
        <v>12</v>
      </c>
      <c r="K5209" s="2" t="s">
        <v>12</v>
      </c>
    </row>
    <row r="5210" spans="1:11" ht="12.5" x14ac:dyDescent="0.25">
      <c r="A5210" s="3" t="e">
        <f ca="1"/>
        <v>#NAME?</v>
      </c>
      <c r="B5210" s="2" t="s">
        <v>12</v>
      </c>
      <c r="C5210" s="2" t="s">
        <v>12</v>
      </c>
      <c r="D5210" s="2" t="s">
        <v>12</v>
      </c>
      <c r="E5210" s="2" t="s">
        <v>12</v>
      </c>
      <c r="F5210" s="2" t="s">
        <v>12</v>
      </c>
      <c r="G5210" s="2" t="s">
        <v>12</v>
      </c>
      <c r="H5210" s="2" t="s">
        <v>12</v>
      </c>
      <c r="I5210" s="2" t="s">
        <v>12</v>
      </c>
      <c r="J5210" s="2" t="s">
        <v>12</v>
      </c>
      <c r="K5210" s="2" t="s">
        <v>12</v>
      </c>
    </row>
    <row r="5211" spans="1:11" ht="12.5" x14ac:dyDescent="0.25">
      <c r="A5211" s="3" t="e">
        <f ca="1"/>
        <v>#NAME?</v>
      </c>
      <c r="B5211" s="2" t="s">
        <v>12</v>
      </c>
      <c r="C5211" s="2" t="s">
        <v>12</v>
      </c>
      <c r="D5211" s="2" t="s">
        <v>12</v>
      </c>
      <c r="E5211" s="2" t="s">
        <v>12</v>
      </c>
      <c r="F5211" s="2" t="s">
        <v>12</v>
      </c>
      <c r="G5211" s="2" t="s">
        <v>12</v>
      </c>
      <c r="H5211" s="2" t="s">
        <v>12</v>
      </c>
      <c r="I5211" s="2" t="s">
        <v>12</v>
      </c>
      <c r="J5211" s="2" t="s">
        <v>12</v>
      </c>
      <c r="K5211" s="2" t="s">
        <v>12</v>
      </c>
    </row>
    <row r="5212" spans="1:11" ht="12.5" x14ac:dyDescent="0.25">
      <c r="A5212" s="3" t="e">
        <f ca="1"/>
        <v>#NAME?</v>
      </c>
      <c r="B5212" s="2" t="s">
        <v>12</v>
      </c>
      <c r="C5212" s="2" t="s">
        <v>12</v>
      </c>
      <c r="D5212" s="2" t="s">
        <v>12</v>
      </c>
      <c r="E5212" s="2" t="s">
        <v>12</v>
      </c>
      <c r="F5212" s="2" t="s">
        <v>12</v>
      </c>
      <c r="G5212" s="2" t="s">
        <v>12</v>
      </c>
      <c r="H5212" s="2" t="s">
        <v>12</v>
      </c>
      <c r="I5212" s="2" t="s">
        <v>12</v>
      </c>
      <c r="J5212" s="2" t="s">
        <v>12</v>
      </c>
      <c r="K5212" s="2" t="s">
        <v>12</v>
      </c>
    </row>
    <row r="5213" spans="1:11" ht="12.5" x14ac:dyDescent="0.25">
      <c r="A5213" s="3" t="e">
        <f ca="1"/>
        <v>#NAME?</v>
      </c>
      <c r="B5213" s="2" t="s">
        <v>12</v>
      </c>
      <c r="C5213" s="2" t="s">
        <v>12</v>
      </c>
      <c r="D5213" s="2" t="s">
        <v>12</v>
      </c>
      <c r="E5213" s="2" t="s">
        <v>12</v>
      </c>
      <c r="F5213" s="2" t="s">
        <v>12</v>
      </c>
      <c r="G5213" s="2" t="s">
        <v>12</v>
      </c>
      <c r="H5213" s="2" t="s">
        <v>12</v>
      </c>
      <c r="I5213" s="2" t="s">
        <v>12</v>
      </c>
      <c r="J5213" s="2" t="s">
        <v>12</v>
      </c>
      <c r="K5213" s="2" t="s">
        <v>12</v>
      </c>
    </row>
    <row r="5214" spans="1:11" ht="12.5" x14ac:dyDescent="0.25">
      <c r="A5214" s="3" t="e">
        <f ca="1"/>
        <v>#NAME?</v>
      </c>
      <c r="B5214" s="2" t="s">
        <v>12</v>
      </c>
      <c r="C5214" s="2" t="s">
        <v>12</v>
      </c>
      <c r="D5214" s="2" t="s">
        <v>12</v>
      </c>
      <c r="E5214" s="2" t="s">
        <v>12</v>
      </c>
      <c r="F5214" s="2" t="s">
        <v>12</v>
      </c>
      <c r="G5214" s="2" t="s">
        <v>12</v>
      </c>
      <c r="H5214" s="2" t="s">
        <v>12</v>
      </c>
      <c r="I5214" s="2" t="s">
        <v>12</v>
      </c>
      <c r="J5214" s="2" t="s">
        <v>12</v>
      </c>
      <c r="K5214" s="2" t="s">
        <v>12</v>
      </c>
    </row>
    <row r="5215" spans="1:11" ht="12.5" x14ac:dyDescent="0.25">
      <c r="A5215" s="3" t="e">
        <f ca="1"/>
        <v>#NAME?</v>
      </c>
      <c r="B5215" s="2" t="s">
        <v>12</v>
      </c>
      <c r="C5215" s="2" t="s">
        <v>12</v>
      </c>
      <c r="D5215" s="2" t="s">
        <v>12</v>
      </c>
      <c r="E5215" s="2" t="s">
        <v>12</v>
      </c>
      <c r="F5215" s="2" t="s">
        <v>12</v>
      </c>
      <c r="G5215" s="2" t="s">
        <v>12</v>
      </c>
      <c r="H5215" s="2" t="s">
        <v>12</v>
      </c>
      <c r="I5215" s="2" t="s">
        <v>12</v>
      </c>
      <c r="J5215" s="2" t="s">
        <v>12</v>
      </c>
      <c r="K5215" s="2" t="s">
        <v>12</v>
      </c>
    </row>
    <row r="5216" spans="1:11" ht="12.5" x14ac:dyDescent="0.25">
      <c r="A5216" s="3" t="e">
        <f ca="1"/>
        <v>#NAME?</v>
      </c>
      <c r="B5216" s="2" t="s">
        <v>12</v>
      </c>
      <c r="C5216" s="2" t="s">
        <v>12</v>
      </c>
      <c r="D5216" s="2" t="s">
        <v>12</v>
      </c>
      <c r="E5216" s="2" t="s">
        <v>12</v>
      </c>
      <c r="F5216" s="2" t="s">
        <v>12</v>
      </c>
      <c r="G5216" s="2" t="s">
        <v>12</v>
      </c>
      <c r="H5216" s="2" t="s">
        <v>12</v>
      </c>
      <c r="I5216" s="2" t="s">
        <v>12</v>
      </c>
      <c r="J5216" s="2" t="s">
        <v>12</v>
      </c>
      <c r="K5216" s="2" t="s">
        <v>12</v>
      </c>
    </row>
    <row r="5217" spans="1:11" ht="12.5" x14ac:dyDescent="0.25">
      <c r="A5217" s="3" t="e">
        <f ca="1"/>
        <v>#NAME?</v>
      </c>
      <c r="B5217" s="2" t="s">
        <v>12</v>
      </c>
      <c r="C5217" s="2" t="s">
        <v>12</v>
      </c>
      <c r="D5217" s="2" t="s">
        <v>12</v>
      </c>
      <c r="E5217" s="2" t="s">
        <v>12</v>
      </c>
      <c r="F5217" s="2" t="s">
        <v>12</v>
      </c>
      <c r="G5217" s="2" t="s">
        <v>12</v>
      </c>
      <c r="H5217" s="2" t="s">
        <v>12</v>
      </c>
      <c r="I5217" s="2" t="s">
        <v>12</v>
      </c>
      <c r="J5217" s="2" t="s">
        <v>12</v>
      </c>
      <c r="K5217" s="2" t="s">
        <v>12</v>
      </c>
    </row>
    <row r="5218" spans="1:11" ht="12.5" x14ac:dyDescent="0.25">
      <c r="A5218" s="3" t="e">
        <f ca="1"/>
        <v>#NAME?</v>
      </c>
      <c r="B5218" s="2" t="s">
        <v>12</v>
      </c>
      <c r="C5218" s="2" t="s">
        <v>12</v>
      </c>
      <c r="D5218" s="2" t="s">
        <v>12</v>
      </c>
      <c r="E5218" s="2" t="s">
        <v>12</v>
      </c>
      <c r="F5218" s="2" t="s">
        <v>12</v>
      </c>
      <c r="G5218" s="2" t="s">
        <v>12</v>
      </c>
      <c r="H5218" s="2" t="s">
        <v>12</v>
      </c>
      <c r="I5218" s="2" t="s">
        <v>12</v>
      </c>
      <c r="J5218" s="2" t="s">
        <v>12</v>
      </c>
      <c r="K5218" s="2" t="s">
        <v>12</v>
      </c>
    </row>
    <row r="5219" spans="1:11" ht="12.5" x14ac:dyDescent="0.25">
      <c r="A5219" s="3" t="e">
        <f ca="1"/>
        <v>#NAME?</v>
      </c>
      <c r="B5219" s="2" t="s">
        <v>12</v>
      </c>
      <c r="C5219" s="2" t="s">
        <v>12</v>
      </c>
      <c r="D5219" s="2" t="s">
        <v>12</v>
      </c>
      <c r="E5219" s="2" t="s">
        <v>12</v>
      </c>
      <c r="F5219" s="2" t="s">
        <v>12</v>
      </c>
      <c r="G5219" s="2" t="s">
        <v>12</v>
      </c>
      <c r="H5219" s="2" t="s">
        <v>12</v>
      </c>
      <c r="I5219" s="2" t="s">
        <v>12</v>
      </c>
      <c r="J5219" s="2" t="s">
        <v>12</v>
      </c>
      <c r="K5219" s="2" t="s">
        <v>12</v>
      </c>
    </row>
    <row r="5220" spans="1:11" ht="12.5" x14ac:dyDescent="0.25">
      <c r="A5220" s="3" t="e">
        <f ca="1"/>
        <v>#NAME?</v>
      </c>
      <c r="B5220" s="2" t="s">
        <v>12</v>
      </c>
      <c r="C5220" s="2" t="s">
        <v>12</v>
      </c>
      <c r="D5220" s="2" t="s">
        <v>12</v>
      </c>
      <c r="E5220" s="2" t="s">
        <v>12</v>
      </c>
      <c r="F5220" s="2" t="s">
        <v>12</v>
      </c>
      <c r="G5220" s="2" t="s">
        <v>12</v>
      </c>
      <c r="H5220" s="2" t="s">
        <v>12</v>
      </c>
      <c r="I5220" s="2" t="s">
        <v>12</v>
      </c>
      <c r="J5220" s="2" t="s">
        <v>12</v>
      </c>
      <c r="K5220" s="2" t="s">
        <v>12</v>
      </c>
    </row>
    <row r="5221" spans="1:11" ht="12.5" x14ac:dyDescent="0.25">
      <c r="A5221" s="3" t="e">
        <f ca="1"/>
        <v>#NAME?</v>
      </c>
      <c r="B5221" s="2" t="s">
        <v>12</v>
      </c>
      <c r="C5221" s="2" t="s">
        <v>12</v>
      </c>
      <c r="D5221" s="2" t="s">
        <v>12</v>
      </c>
      <c r="E5221" s="2" t="s">
        <v>12</v>
      </c>
      <c r="F5221" s="2" t="s">
        <v>12</v>
      </c>
      <c r="G5221" s="2" t="s">
        <v>12</v>
      </c>
      <c r="H5221" s="2" t="s">
        <v>12</v>
      </c>
      <c r="I5221" s="2" t="s">
        <v>12</v>
      </c>
      <c r="J5221" s="2" t="s">
        <v>12</v>
      </c>
      <c r="K5221" s="2" t="s">
        <v>12</v>
      </c>
    </row>
    <row r="5222" spans="1:11" ht="12.5" x14ac:dyDescent="0.25">
      <c r="A5222" s="3" t="e">
        <f ca="1"/>
        <v>#NAME?</v>
      </c>
      <c r="B5222" s="2" t="s">
        <v>12</v>
      </c>
      <c r="C5222" s="2" t="s">
        <v>12</v>
      </c>
      <c r="D5222" s="2" t="s">
        <v>12</v>
      </c>
      <c r="E5222" s="2" t="s">
        <v>12</v>
      </c>
      <c r="F5222" s="2" t="s">
        <v>12</v>
      </c>
      <c r="G5222" s="2" t="s">
        <v>12</v>
      </c>
      <c r="H5222" s="2" t="s">
        <v>12</v>
      </c>
      <c r="I5222" s="2" t="s">
        <v>12</v>
      </c>
      <c r="J5222" s="2" t="s">
        <v>12</v>
      </c>
      <c r="K5222" s="2" t="s">
        <v>12</v>
      </c>
    </row>
    <row r="5223" spans="1:11" ht="12.5" x14ac:dyDescent="0.25">
      <c r="A5223" s="3" t="e">
        <f ca="1"/>
        <v>#NAME?</v>
      </c>
      <c r="B5223" s="2" t="s">
        <v>12</v>
      </c>
      <c r="C5223" s="2" t="s">
        <v>12</v>
      </c>
      <c r="D5223" s="2" t="s">
        <v>12</v>
      </c>
      <c r="E5223" s="2" t="s">
        <v>12</v>
      </c>
      <c r="F5223" s="2" t="s">
        <v>12</v>
      </c>
      <c r="G5223" s="2" t="s">
        <v>12</v>
      </c>
      <c r="H5223" s="2" t="s">
        <v>12</v>
      </c>
      <c r="I5223" s="2" t="s">
        <v>12</v>
      </c>
      <c r="J5223" s="2" t="s">
        <v>12</v>
      </c>
      <c r="K5223" s="2" t="s">
        <v>12</v>
      </c>
    </row>
    <row r="5224" spans="1:11" ht="12.5" x14ac:dyDescent="0.25">
      <c r="A5224" s="3" t="e">
        <f ca="1"/>
        <v>#NAME?</v>
      </c>
      <c r="B5224" s="2" t="s">
        <v>12</v>
      </c>
      <c r="C5224" s="2" t="s">
        <v>12</v>
      </c>
      <c r="D5224" s="2" t="s">
        <v>12</v>
      </c>
      <c r="E5224" s="2" t="s">
        <v>12</v>
      </c>
      <c r="F5224" s="2" t="s">
        <v>12</v>
      </c>
      <c r="G5224" s="2" t="s">
        <v>12</v>
      </c>
      <c r="H5224" s="2" t="s">
        <v>12</v>
      </c>
      <c r="I5224" s="2" t="s">
        <v>12</v>
      </c>
      <c r="J5224" s="2" t="s">
        <v>12</v>
      </c>
      <c r="K5224" s="2" t="s">
        <v>12</v>
      </c>
    </row>
    <row r="5225" spans="1:11" ht="12.5" x14ac:dyDescent="0.25">
      <c r="A5225" s="3" t="e">
        <f ca="1"/>
        <v>#NAME?</v>
      </c>
      <c r="B5225" s="2" t="s">
        <v>12</v>
      </c>
      <c r="C5225" s="2" t="s">
        <v>12</v>
      </c>
      <c r="D5225" s="2" t="s">
        <v>12</v>
      </c>
      <c r="E5225" s="2" t="s">
        <v>12</v>
      </c>
      <c r="F5225" s="2" t="s">
        <v>12</v>
      </c>
      <c r="G5225" s="2" t="s">
        <v>12</v>
      </c>
      <c r="H5225" s="2" t="s">
        <v>12</v>
      </c>
      <c r="I5225" s="2" t="s">
        <v>12</v>
      </c>
      <c r="J5225" s="2" t="s">
        <v>12</v>
      </c>
      <c r="K5225" s="2" t="s">
        <v>12</v>
      </c>
    </row>
    <row r="5226" spans="1:11" ht="12.5" x14ac:dyDescent="0.25">
      <c r="A5226" s="3" t="e">
        <f ca="1"/>
        <v>#NAME?</v>
      </c>
      <c r="B5226" s="2" t="s">
        <v>12</v>
      </c>
      <c r="C5226" s="2" t="s">
        <v>12</v>
      </c>
      <c r="D5226" s="2" t="s">
        <v>12</v>
      </c>
      <c r="E5226" s="2" t="s">
        <v>12</v>
      </c>
      <c r="F5226" s="2" t="s">
        <v>12</v>
      </c>
      <c r="G5226" s="2" t="s">
        <v>12</v>
      </c>
      <c r="H5226" s="2" t="s">
        <v>12</v>
      </c>
      <c r="I5226" s="2" t="s">
        <v>12</v>
      </c>
      <c r="J5226" s="2" t="s">
        <v>12</v>
      </c>
      <c r="K5226" s="2" t="s">
        <v>12</v>
      </c>
    </row>
    <row r="5227" spans="1:11" ht="12.5" x14ac:dyDescent="0.25">
      <c r="A5227" s="3" t="e">
        <f ca="1"/>
        <v>#NAME?</v>
      </c>
      <c r="B5227" s="2" t="s">
        <v>12</v>
      </c>
      <c r="C5227" s="2" t="s">
        <v>12</v>
      </c>
      <c r="D5227" s="2" t="s">
        <v>12</v>
      </c>
      <c r="E5227" s="2" t="s">
        <v>12</v>
      </c>
      <c r="F5227" s="2" t="s">
        <v>12</v>
      </c>
      <c r="G5227" s="2" t="s">
        <v>12</v>
      </c>
      <c r="H5227" s="2" t="s">
        <v>12</v>
      </c>
      <c r="I5227" s="2" t="s">
        <v>12</v>
      </c>
      <c r="J5227" s="2" t="s">
        <v>12</v>
      </c>
      <c r="K5227" s="2" t="s">
        <v>12</v>
      </c>
    </row>
    <row r="5228" spans="1:11" ht="12.5" x14ac:dyDescent="0.25">
      <c r="A5228" s="3" t="e">
        <f ca="1"/>
        <v>#NAME?</v>
      </c>
      <c r="B5228" s="2" t="s">
        <v>12</v>
      </c>
      <c r="C5228" s="2" t="s">
        <v>12</v>
      </c>
      <c r="D5228" s="2" t="s">
        <v>12</v>
      </c>
      <c r="E5228" s="2" t="s">
        <v>12</v>
      </c>
      <c r="F5228" s="2" t="s">
        <v>12</v>
      </c>
      <c r="G5228" s="2" t="s">
        <v>12</v>
      </c>
      <c r="H5228" s="2" t="s">
        <v>12</v>
      </c>
      <c r="I5228" s="2" t="s">
        <v>12</v>
      </c>
      <c r="J5228" s="2" t="s">
        <v>12</v>
      </c>
      <c r="K5228" s="2" t="s">
        <v>12</v>
      </c>
    </row>
    <row r="5229" spans="1:11" ht="12.5" x14ac:dyDescent="0.25">
      <c r="A5229" s="3" t="e">
        <f ca="1"/>
        <v>#NAME?</v>
      </c>
      <c r="B5229" s="2" t="s">
        <v>12</v>
      </c>
      <c r="C5229" s="2" t="s">
        <v>12</v>
      </c>
      <c r="D5229" s="2" t="s">
        <v>12</v>
      </c>
      <c r="E5229" s="2" t="s">
        <v>12</v>
      </c>
      <c r="F5229" s="2" t="s">
        <v>12</v>
      </c>
      <c r="G5229" s="2" t="s">
        <v>12</v>
      </c>
      <c r="H5229" s="2" t="s">
        <v>12</v>
      </c>
      <c r="I5229" s="2" t="s">
        <v>12</v>
      </c>
      <c r="J5229" s="2" t="s">
        <v>12</v>
      </c>
      <c r="K5229" s="2" t="s">
        <v>12</v>
      </c>
    </row>
    <row r="5230" spans="1:11" ht="12.5" x14ac:dyDescent="0.25">
      <c r="A5230" s="3" t="e">
        <f ca="1"/>
        <v>#NAME?</v>
      </c>
      <c r="B5230" s="2" t="s">
        <v>12</v>
      </c>
      <c r="C5230" s="2" t="s">
        <v>12</v>
      </c>
      <c r="D5230" s="2" t="s">
        <v>12</v>
      </c>
      <c r="E5230" s="2" t="s">
        <v>12</v>
      </c>
      <c r="F5230" s="2" t="s">
        <v>12</v>
      </c>
      <c r="G5230" s="2" t="s">
        <v>12</v>
      </c>
      <c r="H5230" s="2" t="s">
        <v>12</v>
      </c>
      <c r="I5230" s="2" t="s">
        <v>12</v>
      </c>
      <c r="J5230" s="2" t="s">
        <v>12</v>
      </c>
      <c r="K5230" s="2" t="s">
        <v>12</v>
      </c>
    </row>
    <row r="5231" spans="1:11" ht="12.5" x14ac:dyDescent="0.25">
      <c r="A5231" s="3" t="e">
        <f ca="1"/>
        <v>#NAME?</v>
      </c>
      <c r="B5231" s="2" t="s">
        <v>12</v>
      </c>
      <c r="C5231" s="2" t="s">
        <v>12</v>
      </c>
      <c r="D5231" s="2" t="s">
        <v>12</v>
      </c>
      <c r="E5231" s="2" t="s">
        <v>12</v>
      </c>
      <c r="F5231" s="2" t="s">
        <v>12</v>
      </c>
      <c r="G5231" s="2" t="s">
        <v>12</v>
      </c>
      <c r="H5231" s="2" t="s">
        <v>12</v>
      </c>
      <c r="I5231" s="2" t="s">
        <v>12</v>
      </c>
      <c r="J5231" s="2" t="s">
        <v>12</v>
      </c>
      <c r="K5231" s="2" t="s">
        <v>12</v>
      </c>
    </row>
    <row r="5232" spans="1:11" ht="12.5" x14ac:dyDescent="0.25">
      <c r="A5232" s="3" t="e">
        <f ca="1"/>
        <v>#NAME?</v>
      </c>
      <c r="B5232" s="2" t="s">
        <v>12</v>
      </c>
      <c r="C5232" s="2" t="s">
        <v>12</v>
      </c>
      <c r="D5232" s="2" t="s">
        <v>12</v>
      </c>
      <c r="E5232" s="2" t="s">
        <v>12</v>
      </c>
      <c r="F5232" s="2" t="s">
        <v>12</v>
      </c>
      <c r="G5232" s="2" t="s">
        <v>12</v>
      </c>
      <c r="H5232" s="2" t="s">
        <v>12</v>
      </c>
      <c r="I5232" s="2" t="s">
        <v>12</v>
      </c>
      <c r="J5232" s="2" t="s">
        <v>12</v>
      </c>
      <c r="K5232" s="2" t="s">
        <v>12</v>
      </c>
    </row>
    <row r="5233" spans="1:11" ht="12.5" x14ac:dyDescent="0.25">
      <c r="A5233" s="3" t="e">
        <f ca="1"/>
        <v>#NAME?</v>
      </c>
      <c r="B5233" s="2" t="s">
        <v>12</v>
      </c>
      <c r="C5233" s="2" t="s">
        <v>12</v>
      </c>
      <c r="D5233" s="2" t="s">
        <v>12</v>
      </c>
      <c r="E5233" s="2" t="s">
        <v>12</v>
      </c>
      <c r="F5233" s="2" t="s">
        <v>12</v>
      </c>
      <c r="G5233" s="2" t="s">
        <v>12</v>
      </c>
      <c r="H5233" s="2" t="s">
        <v>12</v>
      </c>
      <c r="I5233" s="2" t="s">
        <v>12</v>
      </c>
      <c r="J5233" s="2" t="s">
        <v>12</v>
      </c>
      <c r="K5233" s="2" t="s">
        <v>12</v>
      </c>
    </row>
    <row r="5234" spans="1:11" ht="12.5" x14ac:dyDescent="0.25">
      <c r="A5234" s="3" t="e">
        <f ca="1"/>
        <v>#NAME?</v>
      </c>
      <c r="B5234" s="2" t="s">
        <v>12</v>
      </c>
      <c r="C5234" s="2" t="s">
        <v>12</v>
      </c>
      <c r="D5234" s="2" t="s">
        <v>12</v>
      </c>
      <c r="E5234" s="2" t="s">
        <v>12</v>
      </c>
      <c r="F5234" s="2" t="s">
        <v>12</v>
      </c>
      <c r="G5234" s="2" t="s">
        <v>12</v>
      </c>
      <c r="H5234" s="2" t="s">
        <v>12</v>
      </c>
      <c r="I5234" s="2" t="s">
        <v>12</v>
      </c>
      <c r="J5234" s="2" t="s">
        <v>12</v>
      </c>
      <c r="K5234" s="2" t="s">
        <v>12</v>
      </c>
    </row>
    <row r="5235" spans="1:11" ht="12.5" x14ac:dyDescent="0.25">
      <c r="A5235" s="3" t="e">
        <f ca="1"/>
        <v>#NAME?</v>
      </c>
      <c r="B5235" s="2" t="s">
        <v>12</v>
      </c>
      <c r="C5235" s="2" t="s">
        <v>12</v>
      </c>
      <c r="D5235" s="2" t="s">
        <v>12</v>
      </c>
      <c r="E5235" s="2" t="s">
        <v>12</v>
      </c>
      <c r="F5235" s="2" t="s">
        <v>12</v>
      </c>
      <c r="G5235" s="2" t="s">
        <v>12</v>
      </c>
      <c r="H5235" s="2" t="s">
        <v>12</v>
      </c>
      <c r="I5235" s="2" t="s">
        <v>12</v>
      </c>
      <c r="J5235" s="2" t="s">
        <v>12</v>
      </c>
      <c r="K5235" s="2" t="s">
        <v>12</v>
      </c>
    </row>
    <row r="5236" spans="1:11" ht="12.5" x14ac:dyDescent="0.25">
      <c r="A5236" s="3" t="e">
        <f ca="1"/>
        <v>#NAME?</v>
      </c>
      <c r="B5236" s="2" t="s">
        <v>12</v>
      </c>
      <c r="C5236" s="2" t="s">
        <v>12</v>
      </c>
      <c r="D5236" s="2" t="s">
        <v>12</v>
      </c>
      <c r="E5236" s="2" t="s">
        <v>12</v>
      </c>
      <c r="F5236" s="2" t="s">
        <v>12</v>
      </c>
      <c r="G5236" s="2" t="s">
        <v>12</v>
      </c>
      <c r="H5236" s="2" t="s">
        <v>12</v>
      </c>
      <c r="I5236" s="2" t="s">
        <v>12</v>
      </c>
      <c r="J5236" s="2" t="s">
        <v>12</v>
      </c>
      <c r="K5236" s="2" t="s">
        <v>12</v>
      </c>
    </row>
    <row r="5237" spans="1:11" ht="12.5" x14ac:dyDescent="0.25">
      <c r="A5237" s="3" t="e">
        <f ca="1"/>
        <v>#NAME?</v>
      </c>
      <c r="B5237" s="2" t="s">
        <v>12</v>
      </c>
      <c r="C5237" s="2" t="s">
        <v>12</v>
      </c>
      <c r="D5237" s="2" t="s">
        <v>12</v>
      </c>
      <c r="E5237" s="2" t="s">
        <v>12</v>
      </c>
      <c r="F5237" s="2" t="s">
        <v>12</v>
      </c>
      <c r="G5237" s="2" t="s">
        <v>12</v>
      </c>
      <c r="H5237" s="2" t="s">
        <v>12</v>
      </c>
      <c r="I5237" s="2" t="s">
        <v>12</v>
      </c>
      <c r="J5237" s="2" t="s">
        <v>12</v>
      </c>
      <c r="K5237" s="2" t="s">
        <v>12</v>
      </c>
    </row>
    <row r="5238" spans="1:11" ht="12.5" x14ac:dyDescent="0.25">
      <c r="A5238" s="3" t="e">
        <f ca="1"/>
        <v>#NAME?</v>
      </c>
      <c r="B5238" s="2" t="s">
        <v>12</v>
      </c>
      <c r="C5238" s="2" t="s">
        <v>12</v>
      </c>
      <c r="D5238" s="2" t="s">
        <v>12</v>
      </c>
      <c r="E5238" s="2" t="s">
        <v>12</v>
      </c>
      <c r="F5238" s="2" t="s">
        <v>12</v>
      </c>
      <c r="G5238" s="2" t="s">
        <v>12</v>
      </c>
      <c r="H5238" s="2" t="s">
        <v>12</v>
      </c>
      <c r="I5238" s="2" t="s">
        <v>12</v>
      </c>
      <c r="J5238" s="2" t="s">
        <v>12</v>
      </c>
      <c r="K5238" s="2" t="s">
        <v>12</v>
      </c>
    </row>
    <row r="5239" spans="1:11" ht="12.5" x14ac:dyDescent="0.25">
      <c r="A5239" s="3" t="e">
        <f ca="1"/>
        <v>#NAME?</v>
      </c>
      <c r="B5239" s="2" t="s">
        <v>12</v>
      </c>
      <c r="C5239" s="2" t="s">
        <v>12</v>
      </c>
      <c r="D5239" s="2" t="s">
        <v>12</v>
      </c>
      <c r="E5239" s="2" t="s">
        <v>12</v>
      </c>
      <c r="F5239" s="2" t="s">
        <v>12</v>
      </c>
      <c r="G5239" s="2" t="s">
        <v>12</v>
      </c>
      <c r="H5239" s="2" t="s">
        <v>12</v>
      </c>
      <c r="I5239" s="2" t="s">
        <v>12</v>
      </c>
      <c r="J5239" s="2" t="s">
        <v>12</v>
      </c>
      <c r="K5239" s="2" t="s">
        <v>12</v>
      </c>
    </row>
    <row r="5240" spans="1:11" ht="12.5" x14ac:dyDescent="0.25">
      <c r="A5240" s="3" t="e">
        <f ca="1"/>
        <v>#NAME?</v>
      </c>
      <c r="B5240" s="2" t="s">
        <v>12</v>
      </c>
      <c r="C5240" s="2" t="s">
        <v>12</v>
      </c>
      <c r="D5240" s="2" t="s">
        <v>12</v>
      </c>
      <c r="E5240" s="2" t="s">
        <v>12</v>
      </c>
      <c r="F5240" s="2" t="s">
        <v>12</v>
      </c>
      <c r="G5240" s="2" t="s">
        <v>12</v>
      </c>
      <c r="H5240" s="2" t="s">
        <v>12</v>
      </c>
      <c r="I5240" s="2" t="s">
        <v>12</v>
      </c>
      <c r="J5240" s="2" t="s">
        <v>12</v>
      </c>
      <c r="K5240" s="2" t="s">
        <v>12</v>
      </c>
    </row>
    <row r="5241" spans="1:11" ht="12.5" x14ac:dyDescent="0.25">
      <c r="A5241" s="3" t="e">
        <f ca="1"/>
        <v>#NAME?</v>
      </c>
      <c r="B5241" s="2" t="s">
        <v>12</v>
      </c>
      <c r="C5241" s="2" t="s">
        <v>12</v>
      </c>
      <c r="D5241" s="2" t="s">
        <v>12</v>
      </c>
      <c r="E5241" s="2" t="s">
        <v>12</v>
      </c>
      <c r="F5241" s="2" t="s">
        <v>12</v>
      </c>
      <c r="G5241" s="2" t="s">
        <v>12</v>
      </c>
      <c r="H5241" s="2" t="s">
        <v>12</v>
      </c>
      <c r="I5241" s="2" t="s">
        <v>12</v>
      </c>
      <c r="J5241" s="2" t="s">
        <v>12</v>
      </c>
      <c r="K5241" s="2" t="s">
        <v>12</v>
      </c>
    </row>
    <row r="5242" spans="1:11" ht="12.5" x14ac:dyDescent="0.25">
      <c r="A5242" s="3" t="e">
        <f ca="1"/>
        <v>#NAME?</v>
      </c>
      <c r="B5242" s="2" t="s">
        <v>12</v>
      </c>
      <c r="C5242" s="2" t="s">
        <v>12</v>
      </c>
      <c r="D5242" s="2" t="s">
        <v>12</v>
      </c>
      <c r="E5242" s="2" t="s">
        <v>12</v>
      </c>
      <c r="F5242" s="2" t="s">
        <v>12</v>
      </c>
      <c r="G5242" s="2" t="s">
        <v>12</v>
      </c>
      <c r="H5242" s="2" t="s">
        <v>12</v>
      </c>
      <c r="I5242" s="2" t="s">
        <v>12</v>
      </c>
      <c r="J5242" s="2" t="s">
        <v>12</v>
      </c>
      <c r="K5242" s="2" t="s">
        <v>12</v>
      </c>
    </row>
    <row r="5243" spans="1:11" ht="12.5" x14ac:dyDescent="0.25">
      <c r="A5243" s="3" t="e">
        <f ca="1"/>
        <v>#NAME?</v>
      </c>
      <c r="B5243" s="2" t="s">
        <v>12</v>
      </c>
      <c r="C5243" s="2" t="s">
        <v>12</v>
      </c>
      <c r="D5243" s="2" t="s">
        <v>12</v>
      </c>
      <c r="E5243" s="2" t="s">
        <v>12</v>
      </c>
      <c r="F5243" s="2" t="s">
        <v>12</v>
      </c>
      <c r="G5243" s="2" t="s">
        <v>12</v>
      </c>
      <c r="H5243" s="2" t="s">
        <v>12</v>
      </c>
      <c r="I5243" s="2" t="s">
        <v>12</v>
      </c>
      <c r="J5243" s="2" t="s">
        <v>12</v>
      </c>
      <c r="K5243" s="2" t="s">
        <v>12</v>
      </c>
    </row>
    <row r="5244" spans="1:11" ht="12.5" x14ac:dyDescent="0.25">
      <c r="A5244" s="3" t="e">
        <f ca="1"/>
        <v>#NAME?</v>
      </c>
      <c r="B5244" s="2" t="s">
        <v>12</v>
      </c>
      <c r="C5244" s="2" t="s">
        <v>12</v>
      </c>
      <c r="D5244" s="2" t="s">
        <v>12</v>
      </c>
      <c r="E5244" s="2" t="s">
        <v>12</v>
      </c>
      <c r="F5244" s="2" t="s">
        <v>12</v>
      </c>
      <c r="G5244" s="2" t="s">
        <v>12</v>
      </c>
      <c r="H5244" s="2" t="s">
        <v>12</v>
      </c>
      <c r="I5244" s="2" t="s">
        <v>12</v>
      </c>
      <c r="J5244" s="2" t="s">
        <v>12</v>
      </c>
      <c r="K5244" s="2" t="s">
        <v>12</v>
      </c>
    </row>
    <row r="5245" spans="1:11" ht="12.5" x14ac:dyDescent="0.25">
      <c r="A5245" s="3" t="e">
        <f ca="1"/>
        <v>#NAME?</v>
      </c>
      <c r="B5245" s="2" t="s">
        <v>12</v>
      </c>
      <c r="C5245" s="2" t="s">
        <v>12</v>
      </c>
      <c r="D5245" s="2" t="s">
        <v>12</v>
      </c>
      <c r="E5245" s="2" t="s">
        <v>12</v>
      </c>
      <c r="F5245" s="2" t="s">
        <v>12</v>
      </c>
      <c r="G5245" s="2" t="s">
        <v>12</v>
      </c>
      <c r="H5245" s="2" t="s">
        <v>12</v>
      </c>
      <c r="I5245" s="2" t="s">
        <v>12</v>
      </c>
      <c r="J5245" s="2" t="s">
        <v>12</v>
      </c>
      <c r="K5245" s="2" t="s">
        <v>12</v>
      </c>
    </row>
    <row r="5246" spans="1:11" ht="12.5" x14ac:dyDescent="0.25">
      <c r="A5246" s="3" t="e">
        <f ca="1"/>
        <v>#NAME?</v>
      </c>
      <c r="B5246" s="2" t="s">
        <v>12</v>
      </c>
      <c r="C5246" s="2" t="s">
        <v>12</v>
      </c>
      <c r="D5246" s="2" t="s">
        <v>12</v>
      </c>
      <c r="E5246" s="2" t="s">
        <v>12</v>
      </c>
      <c r="F5246" s="2" t="s">
        <v>12</v>
      </c>
      <c r="G5246" s="2" t="s">
        <v>12</v>
      </c>
      <c r="H5246" s="2" t="s">
        <v>12</v>
      </c>
      <c r="I5246" s="2" t="s">
        <v>12</v>
      </c>
      <c r="J5246" s="2" t="s">
        <v>12</v>
      </c>
      <c r="K5246" s="2" t="s">
        <v>12</v>
      </c>
    </row>
    <row r="5247" spans="1:11" ht="12.5" x14ac:dyDescent="0.25">
      <c r="A5247" s="3" t="e">
        <f ca="1"/>
        <v>#NAME?</v>
      </c>
      <c r="B5247" s="2" t="s">
        <v>12</v>
      </c>
      <c r="C5247" s="2" t="s">
        <v>12</v>
      </c>
      <c r="D5247" s="2" t="s">
        <v>12</v>
      </c>
      <c r="E5247" s="2" t="s">
        <v>12</v>
      </c>
      <c r="F5247" s="2" t="s">
        <v>12</v>
      </c>
      <c r="G5247" s="2" t="s">
        <v>12</v>
      </c>
      <c r="H5247" s="2" t="s">
        <v>12</v>
      </c>
      <c r="I5247" s="2" t="s">
        <v>12</v>
      </c>
      <c r="J5247" s="2" t="s">
        <v>12</v>
      </c>
      <c r="K5247" s="2" t="s">
        <v>12</v>
      </c>
    </row>
    <row r="5248" spans="1:11" ht="12.5" x14ac:dyDescent="0.25">
      <c r="A5248" s="3" t="e">
        <f ca="1"/>
        <v>#NAME?</v>
      </c>
      <c r="B5248" s="2" t="s">
        <v>12</v>
      </c>
      <c r="C5248" s="2" t="s">
        <v>12</v>
      </c>
      <c r="D5248" s="2" t="s">
        <v>12</v>
      </c>
      <c r="E5248" s="2" t="s">
        <v>12</v>
      </c>
      <c r="F5248" s="2" t="s">
        <v>12</v>
      </c>
      <c r="G5248" s="2" t="s">
        <v>12</v>
      </c>
      <c r="H5248" s="2" t="s">
        <v>12</v>
      </c>
      <c r="I5248" s="2" t="s">
        <v>12</v>
      </c>
      <c r="J5248" s="2" t="s">
        <v>12</v>
      </c>
      <c r="K5248" s="2" t="s">
        <v>12</v>
      </c>
    </row>
    <row r="5249" spans="1:11" ht="12.5" x14ac:dyDescent="0.25">
      <c r="A5249" s="3" t="e">
        <f ca="1"/>
        <v>#NAME?</v>
      </c>
      <c r="B5249" s="2" t="s">
        <v>12</v>
      </c>
      <c r="C5249" s="2" t="s">
        <v>12</v>
      </c>
      <c r="D5249" s="2" t="s">
        <v>12</v>
      </c>
      <c r="E5249" s="2" t="s">
        <v>12</v>
      </c>
      <c r="F5249" s="2" t="s">
        <v>12</v>
      </c>
      <c r="G5249" s="2" t="s">
        <v>12</v>
      </c>
      <c r="H5249" s="2" t="s">
        <v>12</v>
      </c>
      <c r="I5249" s="2" t="s">
        <v>12</v>
      </c>
      <c r="J5249" s="2" t="s">
        <v>12</v>
      </c>
      <c r="K5249" s="2" t="s">
        <v>12</v>
      </c>
    </row>
    <row r="5250" spans="1:11" ht="12.5" x14ac:dyDescent="0.25">
      <c r="A5250" s="3" t="e">
        <f ca="1"/>
        <v>#NAME?</v>
      </c>
      <c r="B5250" s="2" t="s">
        <v>12</v>
      </c>
      <c r="C5250" s="2" t="s">
        <v>12</v>
      </c>
      <c r="D5250" s="2" t="s">
        <v>12</v>
      </c>
      <c r="E5250" s="2" t="s">
        <v>12</v>
      </c>
      <c r="F5250" s="2" t="s">
        <v>12</v>
      </c>
      <c r="G5250" s="2" t="s">
        <v>12</v>
      </c>
      <c r="H5250" s="2" t="s">
        <v>12</v>
      </c>
      <c r="I5250" s="2" t="s">
        <v>12</v>
      </c>
      <c r="J5250" s="2" t="s">
        <v>12</v>
      </c>
      <c r="K5250" s="2" t="s">
        <v>12</v>
      </c>
    </row>
    <row r="5251" spans="1:11" ht="12.5" x14ac:dyDescent="0.25">
      <c r="A5251" s="3" t="e">
        <f ca="1"/>
        <v>#NAME?</v>
      </c>
      <c r="B5251" s="2" t="s">
        <v>12</v>
      </c>
      <c r="C5251" s="2" t="s">
        <v>12</v>
      </c>
      <c r="D5251" s="2" t="s">
        <v>12</v>
      </c>
      <c r="E5251" s="2" t="s">
        <v>12</v>
      </c>
      <c r="F5251" s="2" t="s">
        <v>12</v>
      </c>
      <c r="G5251" s="2" t="s">
        <v>12</v>
      </c>
      <c r="H5251" s="2" t="s">
        <v>12</v>
      </c>
      <c r="I5251" s="2" t="s">
        <v>12</v>
      </c>
      <c r="J5251" s="2" t="s">
        <v>12</v>
      </c>
      <c r="K5251" s="2" t="s">
        <v>12</v>
      </c>
    </row>
    <row r="5252" spans="1:11" ht="12.5" x14ac:dyDescent="0.25">
      <c r="A5252" s="3" t="e">
        <f ca="1"/>
        <v>#NAME?</v>
      </c>
      <c r="B5252" s="2" t="s">
        <v>12</v>
      </c>
      <c r="C5252" s="2" t="s">
        <v>12</v>
      </c>
      <c r="D5252" s="2" t="s">
        <v>12</v>
      </c>
      <c r="E5252" s="2" t="s">
        <v>12</v>
      </c>
      <c r="F5252" s="2" t="s">
        <v>12</v>
      </c>
      <c r="G5252" s="2" t="s">
        <v>12</v>
      </c>
      <c r="H5252" s="2" t="s">
        <v>12</v>
      </c>
      <c r="I5252" s="2" t="s">
        <v>12</v>
      </c>
      <c r="J5252" s="2" t="s">
        <v>12</v>
      </c>
      <c r="K5252" s="2" t="s">
        <v>12</v>
      </c>
    </row>
    <row r="5253" spans="1:11" ht="12.5" x14ac:dyDescent="0.25">
      <c r="A5253" s="3" t="e">
        <f ca="1"/>
        <v>#NAME?</v>
      </c>
      <c r="B5253" s="2" t="s">
        <v>12</v>
      </c>
      <c r="C5253" s="2" t="s">
        <v>12</v>
      </c>
      <c r="D5253" s="2" t="s">
        <v>12</v>
      </c>
      <c r="E5253" s="2" t="s">
        <v>12</v>
      </c>
      <c r="F5253" s="2" t="s">
        <v>12</v>
      </c>
      <c r="G5253" s="2" t="s">
        <v>12</v>
      </c>
      <c r="H5253" s="2" t="s">
        <v>12</v>
      </c>
      <c r="I5253" s="2" t="s">
        <v>12</v>
      </c>
      <c r="J5253" s="2" t="s">
        <v>12</v>
      </c>
      <c r="K5253" s="2" t="s">
        <v>12</v>
      </c>
    </row>
    <row r="5254" spans="1:11" ht="12.5" x14ac:dyDescent="0.25">
      <c r="A5254" s="3" t="e">
        <f ca="1"/>
        <v>#NAME?</v>
      </c>
      <c r="B5254" s="2" t="s">
        <v>12</v>
      </c>
      <c r="C5254" s="2" t="s">
        <v>12</v>
      </c>
      <c r="D5254" s="2" t="s">
        <v>12</v>
      </c>
      <c r="E5254" s="2" t="s">
        <v>12</v>
      </c>
      <c r="F5254" s="2" t="s">
        <v>12</v>
      </c>
      <c r="G5254" s="2" t="s">
        <v>12</v>
      </c>
      <c r="H5254" s="2" t="s">
        <v>12</v>
      </c>
      <c r="I5254" s="2" t="s">
        <v>12</v>
      </c>
      <c r="J5254" s="2" t="s">
        <v>12</v>
      </c>
      <c r="K5254" s="2" t="s">
        <v>12</v>
      </c>
    </row>
    <row r="5255" spans="1:11" ht="12.5" x14ac:dyDescent="0.25">
      <c r="A5255" s="3" t="e">
        <f ca="1"/>
        <v>#NAME?</v>
      </c>
      <c r="B5255" s="2" t="s">
        <v>12</v>
      </c>
      <c r="C5255" s="2" t="s">
        <v>12</v>
      </c>
      <c r="D5255" s="2" t="s">
        <v>12</v>
      </c>
      <c r="E5255" s="2" t="s">
        <v>12</v>
      </c>
      <c r="F5255" s="2" t="s">
        <v>12</v>
      </c>
      <c r="G5255" s="2" t="s">
        <v>12</v>
      </c>
      <c r="H5255" s="2" t="s">
        <v>12</v>
      </c>
      <c r="I5255" s="2" t="s">
        <v>12</v>
      </c>
      <c r="J5255" s="2" t="s">
        <v>12</v>
      </c>
      <c r="K5255" s="2" t="s">
        <v>12</v>
      </c>
    </row>
    <row r="5256" spans="1:11" ht="12.5" x14ac:dyDescent="0.25">
      <c r="A5256" s="3" t="e">
        <f ca="1"/>
        <v>#NAME?</v>
      </c>
      <c r="B5256" s="2" t="s">
        <v>12</v>
      </c>
      <c r="C5256" s="2" t="s">
        <v>12</v>
      </c>
      <c r="D5256" s="2" t="s">
        <v>12</v>
      </c>
      <c r="E5256" s="2" t="s">
        <v>12</v>
      </c>
      <c r="F5256" s="2" t="s">
        <v>12</v>
      </c>
      <c r="G5256" s="2" t="s">
        <v>12</v>
      </c>
      <c r="H5256" s="2" t="s">
        <v>12</v>
      </c>
      <c r="I5256" s="2" t="s">
        <v>12</v>
      </c>
      <c r="J5256" s="2" t="s">
        <v>12</v>
      </c>
      <c r="K5256" s="2" t="s">
        <v>12</v>
      </c>
    </row>
    <row r="5257" spans="1:11" ht="12.5" x14ac:dyDescent="0.25">
      <c r="A5257" s="3" t="e">
        <f ca="1"/>
        <v>#NAME?</v>
      </c>
      <c r="B5257" s="2" t="s">
        <v>12</v>
      </c>
      <c r="C5257" s="2" t="s">
        <v>12</v>
      </c>
      <c r="D5257" s="2" t="s">
        <v>12</v>
      </c>
      <c r="E5257" s="2" t="s">
        <v>12</v>
      </c>
      <c r="F5257" s="2" t="s">
        <v>12</v>
      </c>
      <c r="G5257" s="2" t="s">
        <v>12</v>
      </c>
      <c r="H5257" s="2" t="s">
        <v>12</v>
      </c>
      <c r="I5257" s="2" t="s">
        <v>12</v>
      </c>
      <c r="J5257" s="2" t="s">
        <v>12</v>
      </c>
      <c r="K5257" s="2" t="s">
        <v>12</v>
      </c>
    </row>
    <row r="5258" spans="1:11" ht="12.5" x14ac:dyDescent="0.25">
      <c r="A5258" s="3" t="e">
        <f ca="1"/>
        <v>#NAME?</v>
      </c>
      <c r="B5258" s="2" t="s">
        <v>12</v>
      </c>
      <c r="C5258" s="2" t="s">
        <v>12</v>
      </c>
      <c r="D5258" s="2" t="s">
        <v>12</v>
      </c>
      <c r="E5258" s="2" t="s">
        <v>12</v>
      </c>
      <c r="F5258" s="2" t="s">
        <v>12</v>
      </c>
      <c r="G5258" s="2" t="s">
        <v>12</v>
      </c>
      <c r="H5258" s="2" t="s">
        <v>12</v>
      </c>
      <c r="I5258" s="2" t="s">
        <v>12</v>
      </c>
      <c r="J5258" s="2" t="s">
        <v>12</v>
      </c>
      <c r="K5258" s="2" t="s">
        <v>12</v>
      </c>
    </row>
    <row r="5259" spans="1:11" ht="12.5" x14ac:dyDescent="0.25">
      <c r="A5259" s="3" t="e">
        <f ca="1"/>
        <v>#NAME?</v>
      </c>
      <c r="B5259" s="2" t="s">
        <v>12</v>
      </c>
      <c r="C5259" s="2" t="s">
        <v>12</v>
      </c>
      <c r="D5259" s="2" t="s">
        <v>12</v>
      </c>
      <c r="E5259" s="2" t="s">
        <v>12</v>
      </c>
      <c r="F5259" s="2" t="s">
        <v>12</v>
      </c>
      <c r="G5259" s="2" t="s">
        <v>12</v>
      </c>
      <c r="H5259" s="2" t="s">
        <v>12</v>
      </c>
      <c r="I5259" s="2" t="s">
        <v>12</v>
      </c>
      <c r="J5259" s="2" t="s">
        <v>12</v>
      </c>
      <c r="K5259" s="2" t="s">
        <v>12</v>
      </c>
    </row>
    <row r="5260" spans="1:11" ht="12.5" x14ac:dyDescent="0.25">
      <c r="A5260" s="3" t="e">
        <f ca="1"/>
        <v>#NAME?</v>
      </c>
      <c r="B5260" s="2" t="s">
        <v>12</v>
      </c>
      <c r="C5260" s="2" t="s">
        <v>12</v>
      </c>
      <c r="D5260" s="2" t="s">
        <v>12</v>
      </c>
      <c r="E5260" s="2" t="s">
        <v>12</v>
      </c>
      <c r="F5260" s="2" t="s">
        <v>12</v>
      </c>
      <c r="G5260" s="2" t="s">
        <v>12</v>
      </c>
      <c r="H5260" s="2" t="s">
        <v>12</v>
      </c>
      <c r="I5260" s="2" t="s">
        <v>12</v>
      </c>
      <c r="J5260" s="2" t="s">
        <v>12</v>
      </c>
      <c r="K5260" s="2" t="s">
        <v>12</v>
      </c>
    </row>
    <row r="5261" spans="1:11" ht="12.5" x14ac:dyDescent="0.25">
      <c r="A5261" s="3" t="e">
        <f ca="1"/>
        <v>#NAME?</v>
      </c>
      <c r="B5261" s="2" t="s">
        <v>12</v>
      </c>
      <c r="C5261" s="2" t="s">
        <v>12</v>
      </c>
      <c r="D5261" s="2" t="s">
        <v>12</v>
      </c>
      <c r="E5261" s="2" t="s">
        <v>12</v>
      </c>
      <c r="F5261" s="2" t="s">
        <v>12</v>
      </c>
      <c r="G5261" s="2" t="s">
        <v>12</v>
      </c>
      <c r="H5261" s="2" t="s">
        <v>12</v>
      </c>
      <c r="I5261" s="2" t="s">
        <v>12</v>
      </c>
      <c r="J5261" s="2" t="s">
        <v>12</v>
      </c>
      <c r="K5261" s="2" t="s">
        <v>12</v>
      </c>
    </row>
    <row r="5262" spans="1:11" ht="12.5" x14ac:dyDescent="0.25">
      <c r="A5262" s="3" t="e">
        <f ca="1"/>
        <v>#NAME?</v>
      </c>
      <c r="B5262" s="2" t="s">
        <v>12</v>
      </c>
      <c r="C5262" s="2" t="s">
        <v>12</v>
      </c>
      <c r="D5262" s="2" t="s">
        <v>12</v>
      </c>
      <c r="E5262" s="2" t="s">
        <v>12</v>
      </c>
      <c r="F5262" s="2" t="s">
        <v>12</v>
      </c>
      <c r="G5262" s="2" t="s">
        <v>12</v>
      </c>
      <c r="H5262" s="2" t="s">
        <v>12</v>
      </c>
      <c r="I5262" s="2" t="s">
        <v>12</v>
      </c>
      <c r="J5262" s="2" t="s">
        <v>12</v>
      </c>
      <c r="K5262" s="2" t="s">
        <v>12</v>
      </c>
    </row>
    <row r="5263" spans="1:11" ht="12.5" x14ac:dyDescent="0.25">
      <c r="A5263" s="3" t="e">
        <f ca="1"/>
        <v>#NAME?</v>
      </c>
      <c r="B5263" s="2" t="s">
        <v>12</v>
      </c>
      <c r="C5263" s="2" t="s">
        <v>12</v>
      </c>
      <c r="D5263" s="2" t="s">
        <v>12</v>
      </c>
      <c r="E5263" s="2" t="s">
        <v>12</v>
      </c>
      <c r="F5263" s="2" t="s">
        <v>12</v>
      </c>
      <c r="G5263" s="2" t="s">
        <v>12</v>
      </c>
      <c r="H5263" s="2" t="s">
        <v>12</v>
      </c>
      <c r="I5263" s="2" t="s">
        <v>12</v>
      </c>
      <c r="J5263" s="2" t="s">
        <v>12</v>
      </c>
      <c r="K5263" s="2" t="s">
        <v>12</v>
      </c>
    </row>
    <row r="5264" spans="1:11" ht="12.5" x14ac:dyDescent="0.25">
      <c r="A5264" s="3" t="e">
        <f ca="1"/>
        <v>#NAME?</v>
      </c>
      <c r="B5264" s="2" t="s">
        <v>12</v>
      </c>
      <c r="C5264" s="2" t="s">
        <v>12</v>
      </c>
      <c r="D5264" s="2" t="s">
        <v>12</v>
      </c>
      <c r="E5264" s="2" t="s">
        <v>12</v>
      </c>
      <c r="F5264" s="2" t="s">
        <v>12</v>
      </c>
      <c r="G5264" s="2" t="s">
        <v>12</v>
      </c>
      <c r="H5264" s="2" t="s">
        <v>12</v>
      </c>
      <c r="I5264" s="2" t="s">
        <v>12</v>
      </c>
      <c r="J5264" s="2" t="s">
        <v>12</v>
      </c>
      <c r="K5264" s="2" t="s">
        <v>12</v>
      </c>
    </row>
    <row r="5265" spans="1:11" ht="12.5" x14ac:dyDescent="0.25">
      <c r="A5265" s="3" t="e">
        <f ca="1"/>
        <v>#NAME?</v>
      </c>
      <c r="B5265" s="2" t="s">
        <v>12</v>
      </c>
      <c r="C5265" s="2" t="s">
        <v>12</v>
      </c>
      <c r="D5265" s="2" t="s">
        <v>12</v>
      </c>
      <c r="E5265" s="2" t="s">
        <v>12</v>
      </c>
      <c r="F5265" s="2" t="s">
        <v>12</v>
      </c>
      <c r="G5265" s="2" t="s">
        <v>12</v>
      </c>
      <c r="H5265" s="2" t="s">
        <v>12</v>
      </c>
      <c r="I5265" s="2" t="s">
        <v>12</v>
      </c>
      <c r="J5265" s="2" t="s">
        <v>12</v>
      </c>
      <c r="K5265" s="2" t="s">
        <v>12</v>
      </c>
    </row>
    <row r="5266" spans="1:11" ht="12.5" x14ac:dyDescent="0.25">
      <c r="A5266" s="3" t="e">
        <f ca="1"/>
        <v>#NAME?</v>
      </c>
      <c r="B5266" s="2" t="s">
        <v>12</v>
      </c>
      <c r="C5266" s="2" t="s">
        <v>12</v>
      </c>
      <c r="D5266" s="2" t="s">
        <v>12</v>
      </c>
      <c r="E5266" s="2" t="s">
        <v>12</v>
      </c>
      <c r="F5266" s="2" t="s">
        <v>12</v>
      </c>
      <c r="G5266" s="2" t="s">
        <v>12</v>
      </c>
      <c r="H5266" s="2" t="s">
        <v>12</v>
      </c>
      <c r="I5266" s="2" t="s">
        <v>12</v>
      </c>
      <c r="J5266" s="2" t="s">
        <v>12</v>
      </c>
      <c r="K5266" s="2" t="s">
        <v>12</v>
      </c>
    </row>
    <row r="5267" spans="1:11" ht="12.5" x14ac:dyDescent="0.25">
      <c r="A5267" s="3" t="e">
        <f ca="1"/>
        <v>#NAME?</v>
      </c>
      <c r="B5267" s="2" t="s">
        <v>12</v>
      </c>
      <c r="C5267" s="2" t="s">
        <v>12</v>
      </c>
      <c r="D5267" s="2" t="s">
        <v>12</v>
      </c>
      <c r="E5267" s="2" t="s">
        <v>12</v>
      </c>
      <c r="F5267" s="2" t="s">
        <v>12</v>
      </c>
      <c r="G5267" s="2" t="s">
        <v>12</v>
      </c>
      <c r="H5267" s="2" t="s">
        <v>12</v>
      </c>
      <c r="I5267" s="2" t="s">
        <v>12</v>
      </c>
      <c r="J5267" s="2" t="s">
        <v>12</v>
      </c>
      <c r="K5267" s="2" t="s">
        <v>12</v>
      </c>
    </row>
    <row r="5268" spans="1:11" ht="12.5" x14ac:dyDescent="0.25">
      <c r="A5268" s="3" t="e">
        <f ca="1"/>
        <v>#NAME?</v>
      </c>
      <c r="B5268" s="2" t="s">
        <v>12</v>
      </c>
      <c r="C5268" s="2" t="s">
        <v>12</v>
      </c>
      <c r="D5268" s="2" t="s">
        <v>12</v>
      </c>
      <c r="E5268" s="2" t="s">
        <v>12</v>
      </c>
      <c r="F5268" s="2" t="s">
        <v>12</v>
      </c>
      <c r="G5268" s="2" t="s">
        <v>12</v>
      </c>
      <c r="H5268" s="2" t="s">
        <v>12</v>
      </c>
      <c r="I5268" s="2" t="s">
        <v>12</v>
      </c>
      <c r="J5268" s="2" t="s">
        <v>12</v>
      </c>
      <c r="K5268" s="2" t="s">
        <v>12</v>
      </c>
    </row>
    <row r="5269" spans="1:11" ht="12.5" x14ac:dyDescent="0.25">
      <c r="A5269" s="3" t="e">
        <f ca="1"/>
        <v>#NAME?</v>
      </c>
      <c r="B5269" s="2" t="s">
        <v>12</v>
      </c>
      <c r="C5269" s="2" t="s">
        <v>12</v>
      </c>
      <c r="D5269" s="2" t="s">
        <v>12</v>
      </c>
      <c r="E5269" s="2" t="s">
        <v>12</v>
      </c>
      <c r="F5269" s="2" t="s">
        <v>12</v>
      </c>
      <c r="G5269" s="2" t="s">
        <v>12</v>
      </c>
      <c r="H5269" s="2" t="s">
        <v>12</v>
      </c>
      <c r="I5269" s="2" t="s">
        <v>12</v>
      </c>
      <c r="J5269" s="2" t="s">
        <v>12</v>
      </c>
      <c r="K5269" s="2" t="s">
        <v>12</v>
      </c>
    </row>
    <row r="5270" spans="1:11" ht="12.5" x14ac:dyDescent="0.25">
      <c r="A5270" s="3" t="e">
        <f ca="1"/>
        <v>#NAME?</v>
      </c>
      <c r="B5270" s="2" t="s">
        <v>12</v>
      </c>
      <c r="C5270" s="2" t="s">
        <v>12</v>
      </c>
      <c r="D5270" s="2" t="s">
        <v>12</v>
      </c>
      <c r="E5270" s="2" t="s">
        <v>12</v>
      </c>
      <c r="F5270" s="2" t="s">
        <v>12</v>
      </c>
      <c r="G5270" s="2" t="s">
        <v>12</v>
      </c>
      <c r="H5270" s="2" t="s">
        <v>12</v>
      </c>
      <c r="I5270" s="2" t="s">
        <v>12</v>
      </c>
      <c r="J5270" s="2" t="s">
        <v>12</v>
      </c>
      <c r="K5270" s="2" t="s">
        <v>12</v>
      </c>
    </row>
    <row r="5271" spans="1:11" ht="12.5" x14ac:dyDescent="0.25">
      <c r="A5271" s="3" t="e">
        <f ca="1"/>
        <v>#NAME?</v>
      </c>
      <c r="B5271" s="2" t="s">
        <v>12</v>
      </c>
      <c r="C5271" s="2" t="s">
        <v>12</v>
      </c>
      <c r="D5271" s="2" t="s">
        <v>12</v>
      </c>
      <c r="E5271" s="2" t="s">
        <v>12</v>
      </c>
      <c r="F5271" s="2" t="s">
        <v>12</v>
      </c>
      <c r="G5271" s="2" t="s">
        <v>12</v>
      </c>
      <c r="H5271" s="2" t="s">
        <v>12</v>
      </c>
      <c r="I5271" s="2" t="s">
        <v>12</v>
      </c>
      <c r="J5271" s="2" t="s">
        <v>12</v>
      </c>
      <c r="K5271" s="2" t="s">
        <v>12</v>
      </c>
    </row>
    <row r="5272" spans="1:11" ht="12.5" x14ac:dyDescent="0.25">
      <c r="A5272" s="3" t="e">
        <f ca="1"/>
        <v>#NAME?</v>
      </c>
      <c r="B5272" s="2" t="s">
        <v>12</v>
      </c>
      <c r="C5272" s="2" t="s">
        <v>12</v>
      </c>
      <c r="D5272" s="2" t="s">
        <v>12</v>
      </c>
      <c r="E5272" s="2" t="s">
        <v>12</v>
      </c>
      <c r="F5272" s="2" t="s">
        <v>12</v>
      </c>
      <c r="G5272" s="2" t="s">
        <v>12</v>
      </c>
      <c r="H5272" s="2" t="s">
        <v>12</v>
      </c>
      <c r="I5272" s="2" t="s">
        <v>12</v>
      </c>
      <c r="J5272" s="2" t="s">
        <v>12</v>
      </c>
      <c r="K5272" s="2" t="s">
        <v>12</v>
      </c>
    </row>
    <row r="5273" spans="1:11" ht="12.5" x14ac:dyDescent="0.25">
      <c r="A5273" s="3" t="e">
        <f ca="1"/>
        <v>#NAME?</v>
      </c>
      <c r="B5273" s="2" t="s">
        <v>12</v>
      </c>
      <c r="C5273" s="2" t="s">
        <v>12</v>
      </c>
      <c r="D5273" s="2" t="s">
        <v>12</v>
      </c>
      <c r="E5273" s="2" t="s">
        <v>12</v>
      </c>
      <c r="F5273" s="2" t="s">
        <v>12</v>
      </c>
      <c r="G5273" s="2" t="s">
        <v>12</v>
      </c>
      <c r="H5273" s="2" t="s">
        <v>12</v>
      </c>
      <c r="I5273" s="2" t="s">
        <v>12</v>
      </c>
      <c r="J5273" s="2" t="s">
        <v>12</v>
      </c>
      <c r="K5273" s="2" t="s">
        <v>12</v>
      </c>
    </row>
    <row r="5274" spans="1:11" ht="12.5" x14ac:dyDescent="0.25">
      <c r="A5274" s="3" t="e">
        <f ca="1"/>
        <v>#NAME?</v>
      </c>
      <c r="B5274" s="2" t="s">
        <v>12</v>
      </c>
      <c r="C5274" s="2" t="s">
        <v>12</v>
      </c>
      <c r="D5274" s="2" t="s">
        <v>12</v>
      </c>
      <c r="E5274" s="2" t="s">
        <v>12</v>
      </c>
      <c r="F5274" s="2" t="s">
        <v>12</v>
      </c>
      <c r="G5274" s="2" t="s">
        <v>12</v>
      </c>
      <c r="H5274" s="2" t="s">
        <v>12</v>
      </c>
      <c r="I5274" s="2" t="s">
        <v>12</v>
      </c>
      <c r="J5274" s="2" t="s">
        <v>12</v>
      </c>
      <c r="K5274" s="2" t="s">
        <v>12</v>
      </c>
    </row>
    <row r="5275" spans="1:11" ht="12.5" x14ac:dyDescent="0.25">
      <c r="A5275" s="3" t="e">
        <f ca="1"/>
        <v>#NAME?</v>
      </c>
      <c r="B5275" s="2" t="s">
        <v>12</v>
      </c>
      <c r="C5275" s="2" t="s">
        <v>12</v>
      </c>
      <c r="D5275" s="2" t="s">
        <v>12</v>
      </c>
      <c r="E5275" s="2" t="s">
        <v>12</v>
      </c>
      <c r="F5275" s="2" t="s">
        <v>12</v>
      </c>
      <c r="G5275" s="2" t="s">
        <v>12</v>
      </c>
      <c r="H5275" s="2" t="s">
        <v>12</v>
      </c>
      <c r="I5275" s="2" t="s">
        <v>12</v>
      </c>
      <c r="J5275" s="2" t="s">
        <v>12</v>
      </c>
      <c r="K5275" s="2" t="s">
        <v>12</v>
      </c>
    </row>
    <row r="5276" spans="1:11" ht="12.5" x14ac:dyDescent="0.25">
      <c r="A5276" s="3" t="e">
        <f ca="1"/>
        <v>#NAME?</v>
      </c>
      <c r="B5276" s="2" t="s">
        <v>12</v>
      </c>
      <c r="C5276" s="2" t="s">
        <v>12</v>
      </c>
      <c r="D5276" s="2" t="s">
        <v>12</v>
      </c>
      <c r="E5276" s="2" t="s">
        <v>12</v>
      </c>
      <c r="F5276" s="2" t="s">
        <v>12</v>
      </c>
      <c r="G5276" s="2" t="s">
        <v>12</v>
      </c>
      <c r="H5276" s="2" t="s">
        <v>12</v>
      </c>
      <c r="I5276" s="2" t="s">
        <v>12</v>
      </c>
      <c r="J5276" s="2" t="s">
        <v>12</v>
      </c>
      <c r="K5276" s="2" t="s">
        <v>12</v>
      </c>
    </row>
    <row r="5277" spans="1:11" ht="12.5" x14ac:dyDescent="0.25">
      <c r="A5277" s="3" t="e">
        <f ca="1"/>
        <v>#NAME?</v>
      </c>
      <c r="B5277" s="2" t="s">
        <v>12</v>
      </c>
      <c r="C5277" s="2" t="s">
        <v>12</v>
      </c>
      <c r="D5277" s="2" t="s">
        <v>12</v>
      </c>
      <c r="E5277" s="2" t="s">
        <v>12</v>
      </c>
      <c r="F5277" s="2" t="s">
        <v>12</v>
      </c>
      <c r="G5277" s="2" t="s">
        <v>12</v>
      </c>
      <c r="H5277" s="2" t="s">
        <v>12</v>
      </c>
      <c r="I5277" s="2" t="s">
        <v>12</v>
      </c>
      <c r="J5277" s="2" t="s">
        <v>12</v>
      </c>
      <c r="K5277" s="2" t="s">
        <v>12</v>
      </c>
    </row>
    <row r="5278" spans="1:11" ht="12.5" x14ac:dyDescent="0.25">
      <c r="A5278" s="3" t="e">
        <f ca="1"/>
        <v>#NAME?</v>
      </c>
      <c r="B5278" s="2" t="s">
        <v>12</v>
      </c>
      <c r="C5278" s="2" t="s">
        <v>12</v>
      </c>
      <c r="D5278" s="2" t="s">
        <v>12</v>
      </c>
      <c r="E5278" s="2" t="s">
        <v>12</v>
      </c>
      <c r="F5278" s="2" t="s">
        <v>12</v>
      </c>
      <c r="G5278" s="2" t="s">
        <v>12</v>
      </c>
      <c r="H5278" s="2" t="s">
        <v>12</v>
      </c>
      <c r="I5278" s="2" t="s">
        <v>12</v>
      </c>
      <c r="J5278" s="2" t="s">
        <v>12</v>
      </c>
      <c r="K5278" s="2" t="s">
        <v>12</v>
      </c>
    </row>
    <row r="5279" spans="1:11" ht="12.5" x14ac:dyDescent="0.25">
      <c r="A5279" s="3" t="e">
        <f ca="1"/>
        <v>#NAME?</v>
      </c>
      <c r="B5279" s="2" t="s">
        <v>12</v>
      </c>
      <c r="C5279" s="2" t="s">
        <v>12</v>
      </c>
      <c r="D5279" s="2" t="s">
        <v>12</v>
      </c>
      <c r="E5279" s="2" t="s">
        <v>12</v>
      </c>
      <c r="F5279" s="2" t="s">
        <v>12</v>
      </c>
      <c r="G5279" s="2" t="s">
        <v>12</v>
      </c>
      <c r="H5279" s="2" t="s">
        <v>12</v>
      </c>
      <c r="I5279" s="2" t="s">
        <v>12</v>
      </c>
      <c r="J5279" s="2" t="s">
        <v>12</v>
      </c>
      <c r="K5279" s="2" t="s">
        <v>12</v>
      </c>
    </row>
    <row r="5280" spans="1:11" ht="12.5" x14ac:dyDescent="0.25">
      <c r="A5280" s="3" t="e">
        <f ca="1"/>
        <v>#NAME?</v>
      </c>
      <c r="B5280" s="2" t="s">
        <v>12</v>
      </c>
      <c r="C5280" s="2" t="s">
        <v>12</v>
      </c>
      <c r="D5280" s="2" t="s">
        <v>12</v>
      </c>
      <c r="E5280" s="2" t="s">
        <v>12</v>
      </c>
      <c r="F5280" s="2" t="s">
        <v>12</v>
      </c>
      <c r="G5280" s="2" t="s">
        <v>12</v>
      </c>
      <c r="H5280" s="2" t="s">
        <v>12</v>
      </c>
      <c r="I5280" s="2" t="s">
        <v>12</v>
      </c>
      <c r="J5280" s="2" t="s">
        <v>12</v>
      </c>
      <c r="K5280" s="2" t="s">
        <v>12</v>
      </c>
    </row>
    <row r="5281" spans="1:11" ht="12.5" x14ac:dyDescent="0.25">
      <c r="A5281" s="3" t="e">
        <f ca="1"/>
        <v>#NAME?</v>
      </c>
      <c r="B5281" s="2" t="s">
        <v>12</v>
      </c>
      <c r="C5281" s="2" t="s">
        <v>12</v>
      </c>
      <c r="D5281" s="2" t="s">
        <v>12</v>
      </c>
      <c r="E5281" s="2" t="s">
        <v>12</v>
      </c>
      <c r="F5281" s="2" t="s">
        <v>12</v>
      </c>
      <c r="G5281" s="2" t="s">
        <v>12</v>
      </c>
      <c r="H5281" s="2" t="s">
        <v>12</v>
      </c>
      <c r="I5281" s="2" t="s">
        <v>12</v>
      </c>
      <c r="J5281" s="2" t="s">
        <v>12</v>
      </c>
      <c r="K5281" s="2" t="s">
        <v>12</v>
      </c>
    </row>
    <row r="5282" spans="1:11" ht="12.5" x14ac:dyDescent="0.25">
      <c r="A5282" s="3" t="e">
        <f ca="1"/>
        <v>#NAME?</v>
      </c>
      <c r="B5282" s="2" t="s">
        <v>12</v>
      </c>
      <c r="C5282" s="2" t="s">
        <v>12</v>
      </c>
      <c r="D5282" s="2" t="s">
        <v>12</v>
      </c>
      <c r="E5282" s="2" t="s">
        <v>12</v>
      </c>
      <c r="F5282" s="2" t="s">
        <v>12</v>
      </c>
      <c r="G5282" s="2" t="s">
        <v>12</v>
      </c>
      <c r="H5282" s="2" t="s">
        <v>12</v>
      </c>
      <c r="I5282" s="2" t="s">
        <v>12</v>
      </c>
      <c r="J5282" s="2" t="s">
        <v>12</v>
      </c>
      <c r="K5282" s="2" t="s">
        <v>12</v>
      </c>
    </row>
    <row r="5283" spans="1:11" ht="12.5" x14ac:dyDescent="0.25">
      <c r="A5283" s="3" t="e">
        <f ca="1"/>
        <v>#NAME?</v>
      </c>
      <c r="B5283" s="2" t="s">
        <v>12</v>
      </c>
      <c r="C5283" s="2" t="s">
        <v>12</v>
      </c>
      <c r="D5283" s="2" t="s">
        <v>12</v>
      </c>
      <c r="E5283" s="2" t="s">
        <v>12</v>
      </c>
      <c r="F5283" s="2" t="s">
        <v>12</v>
      </c>
      <c r="G5283" s="2" t="s">
        <v>12</v>
      </c>
      <c r="H5283" s="2" t="s">
        <v>12</v>
      </c>
      <c r="I5283" s="2" t="s">
        <v>12</v>
      </c>
      <c r="J5283" s="2" t="s">
        <v>12</v>
      </c>
      <c r="K5283" s="2" t="s">
        <v>12</v>
      </c>
    </row>
    <row r="5284" spans="1:11" ht="12.5" x14ac:dyDescent="0.25">
      <c r="A5284" s="3" t="e">
        <f ca="1"/>
        <v>#NAME?</v>
      </c>
      <c r="B5284" s="2" t="s">
        <v>12</v>
      </c>
      <c r="C5284" s="2" t="s">
        <v>12</v>
      </c>
      <c r="D5284" s="2" t="s">
        <v>12</v>
      </c>
      <c r="E5284" s="2" t="s">
        <v>12</v>
      </c>
      <c r="F5284" s="2" t="s">
        <v>12</v>
      </c>
      <c r="G5284" s="2" t="s">
        <v>12</v>
      </c>
      <c r="H5284" s="2" t="s">
        <v>12</v>
      </c>
      <c r="I5284" s="2" t="s">
        <v>12</v>
      </c>
      <c r="J5284" s="2" t="s">
        <v>12</v>
      </c>
      <c r="K5284" s="2" t="s">
        <v>12</v>
      </c>
    </row>
    <row r="5285" spans="1:11" ht="12.5" x14ac:dyDescent="0.25">
      <c r="A5285" s="3" t="e">
        <f ca="1"/>
        <v>#NAME?</v>
      </c>
      <c r="B5285" s="2" t="s">
        <v>12</v>
      </c>
      <c r="C5285" s="2" t="s">
        <v>12</v>
      </c>
      <c r="D5285" s="2" t="s">
        <v>12</v>
      </c>
      <c r="E5285" s="2" t="s">
        <v>12</v>
      </c>
      <c r="F5285" s="2" t="s">
        <v>12</v>
      </c>
      <c r="G5285" s="2" t="s">
        <v>12</v>
      </c>
      <c r="H5285" s="2" t="s">
        <v>12</v>
      </c>
      <c r="I5285" s="2" t="s">
        <v>12</v>
      </c>
      <c r="J5285" s="2" t="s">
        <v>12</v>
      </c>
      <c r="K5285" s="2" t="s">
        <v>12</v>
      </c>
    </row>
    <row r="5286" spans="1:11" ht="12.5" x14ac:dyDescent="0.25">
      <c r="A5286" s="3" t="e">
        <f ca="1"/>
        <v>#NAME?</v>
      </c>
      <c r="B5286" s="2" t="s">
        <v>12</v>
      </c>
      <c r="C5286" s="2" t="s">
        <v>12</v>
      </c>
      <c r="D5286" s="2" t="s">
        <v>12</v>
      </c>
      <c r="E5286" s="2" t="s">
        <v>12</v>
      </c>
      <c r="F5286" s="2" t="s">
        <v>12</v>
      </c>
      <c r="G5286" s="2" t="s">
        <v>12</v>
      </c>
      <c r="H5286" s="2" t="s">
        <v>12</v>
      </c>
      <c r="I5286" s="2" t="s">
        <v>12</v>
      </c>
      <c r="J5286" s="2" t="s">
        <v>12</v>
      </c>
      <c r="K5286" s="2" t="s">
        <v>12</v>
      </c>
    </row>
    <row r="5287" spans="1:11" ht="12.5" x14ac:dyDescent="0.25">
      <c r="A5287" s="3" t="e">
        <f ca="1"/>
        <v>#NAME?</v>
      </c>
      <c r="B5287" s="2" t="s">
        <v>12</v>
      </c>
      <c r="C5287" s="2" t="s">
        <v>12</v>
      </c>
      <c r="D5287" s="2" t="s">
        <v>12</v>
      </c>
      <c r="E5287" s="2" t="s">
        <v>12</v>
      </c>
      <c r="F5287" s="2" t="s">
        <v>12</v>
      </c>
      <c r="G5287" s="2" t="s">
        <v>12</v>
      </c>
      <c r="H5287" s="2" t="s">
        <v>12</v>
      </c>
      <c r="I5287" s="2" t="s">
        <v>12</v>
      </c>
      <c r="J5287" s="2" t="s">
        <v>12</v>
      </c>
      <c r="K5287" s="2" t="s">
        <v>12</v>
      </c>
    </row>
    <row r="5288" spans="1:11" ht="12.5" x14ac:dyDescent="0.25">
      <c r="A5288" s="3" t="e">
        <f ca="1"/>
        <v>#NAME?</v>
      </c>
      <c r="B5288" s="2" t="s">
        <v>12</v>
      </c>
      <c r="C5288" s="2" t="s">
        <v>12</v>
      </c>
      <c r="D5288" s="2" t="s">
        <v>12</v>
      </c>
      <c r="E5288" s="2" t="s">
        <v>12</v>
      </c>
      <c r="F5288" s="2" t="s">
        <v>12</v>
      </c>
      <c r="G5288" s="2" t="s">
        <v>12</v>
      </c>
      <c r="H5288" s="2" t="s">
        <v>12</v>
      </c>
      <c r="I5288" s="2" t="s">
        <v>12</v>
      </c>
      <c r="J5288" s="2" t="s">
        <v>12</v>
      </c>
      <c r="K5288" s="2" t="s">
        <v>12</v>
      </c>
    </row>
    <row r="5289" spans="1:11" ht="12.5" x14ac:dyDescent="0.25">
      <c r="A5289" s="3" t="e">
        <f ca="1"/>
        <v>#NAME?</v>
      </c>
      <c r="B5289" s="2" t="s">
        <v>12</v>
      </c>
      <c r="C5289" s="2" t="s">
        <v>12</v>
      </c>
      <c r="D5289" s="2" t="s">
        <v>12</v>
      </c>
      <c r="E5289" s="2" t="s">
        <v>12</v>
      </c>
      <c r="F5289" s="2" t="s">
        <v>12</v>
      </c>
      <c r="G5289" s="2" t="s">
        <v>12</v>
      </c>
      <c r="H5289" s="2" t="s">
        <v>12</v>
      </c>
      <c r="I5289" s="2" t="s">
        <v>12</v>
      </c>
      <c r="J5289" s="2" t="s">
        <v>12</v>
      </c>
      <c r="K5289" s="2" t="s">
        <v>12</v>
      </c>
    </row>
    <row r="5290" spans="1:11" ht="12.5" x14ac:dyDescent="0.25">
      <c r="A5290" s="3" t="e">
        <f ca="1"/>
        <v>#NAME?</v>
      </c>
      <c r="B5290" s="2" t="s">
        <v>12</v>
      </c>
      <c r="C5290" s="2" t="s">
        <v>12</v>
      </c>
      <c r="D5290" s="2" t="s">
        <v>12</v>
      </c>
      <c r="E5290" s="2" t="s">
        <v>12</v>
      </c>
      <c r="F5290" s="2" t="s">
        <v>12</v>
      </c>
      <c r="G5290" s="2" t="s">
        <v>12</v>
      </c>
      <c r="H5290" s="2" t="s">
        <v>12</v>
      </c>
      <c r="I5290" s="2" t="s">
        <v>12</v>
      </c>
      <c r="J5290" s="2" t="s">
        <v>12</v>
      </c>
      <c r="K5290" s="2" t="s">
        <v>12</v>
      </c>
    </row>
    <row r="5291" spans="1:11" ht="12.5" x14ac:dyDescent="0.25">
      <c r="A5291" s="3" t="e">
        <f ca="1"/>
        <v>#NAME?</v>
      </c>
      <c r="B5291" s="2" t="s">
        <v>12</v>
      </c>
      <c r="C5291" s="2" t="s">
        <v>12</v>
      </c>
      <c r="D5291" s="2" t="s">
        <v>12</v>
      </c>
      <c r="E5291" s="2" t="s">
        <v>12</v>
      </c>
      <c r="F5291" s="2" t="s">
        <v>12</v>
      </c>
      <c r="G5291" s="2" t="s">
        <v>12</v>
      </c>
      <c r="H5291" s="2" t="s">
        <v>12</v>
      </c>
      <c r="I5291" s="2" t="s">
        <v>12</v>
      </c>
      <c r="J5291" s="2" t="s">
        <v>12</v>
      </c>
      <c r="K5291" s="2" t="s">
        <v>12</v>
      </c>
    </row>
    <row r="5292" spans="1:11" ht="12.5" x14ac:dyDescent="0.25">
      <c r="A5292" s="3" t="e">
        <f ca="1"/>
        <v>#NAME?</v>
      </c>
      <c r="B5292" s="2" t="s">
        <v>12</v>
      </c>
      <c r="C5292" s="2" t="s">
        <v>12</v>
      </c>
      <c r="D5292" s="2" t="s">
        <v>12</v>
      </c>
      <c r="E5292" s="2" t="s">
        <v>12</v>
      </c>
      <c r="F5292" s="2" t="s">
        <v>12</v>
      </c>
      <c r="G5292" s="2" t="s">
        <v>12</v>
      </c>
      <c r="H5292" s="2" t="s">
        <v>12</v>
      </c>
      <c r="I5292" s="2" t="s">
        <v>12</v>
      </c>
      <c r="J5292" s="2" t="s">
        <v>12</v>
      </c>
      <c r="K5292" s="2" t="s">
        <v>12</v>
      </c>
    </row>
    <row r="5293" spans="1:11" ht="12.5" x14ac:dyDescent="0.25">
      <c r="A5293" s="3" t="e">
        <f ca="1"/>
        <v>#NAME?</v>
      </c>
      <c r="B5293" s="2" t="s">
        <v>12</v>
      </c>
      <c r="C5293" s="2" t="s">
        <v>12</v>
      </c>
      <c r="D5293" s="2" t="s">
        <v>12</v>
      </c>
      <c r="E5293" s="2" t="s">
        <v>12</v>
      </c>
      <c r="F5293" s="2" t="s">
        <v>12</v>
      </c>
      <c r="G5293" s="2" t="s">
        <v>12</v>
      </c>
      <c r="H5293" s="2" t="s">
        <v>12</v>
      </c>
      <c r="I5293" s="2" t="s">
        <v>12</v>
      </c>
      <c r="J5293" s="2" t="s">
        <v>12</v>
      </c>
      <c r="K5293" s="2" t="s">
        <v>12</v>
      </c>
    </row>
    <row r="5294" spans="1:11" ht="12.5" x14ac:dyDescent="0.25">
      <c r="A5294" s="3" t="e">
        <f ca="1"/>
        <v>#NAME?</v>
      </c>
      <c r="B5294" s="2" t="s">
        <v>12</v>
      </c>
      <c r="C5294" s="2" t="s">
        <v>12</v>
      </c>
      <c r="D5294" s="2" t="s">
        <v>12</v>
      </c>
      <c r="E5294" s="2" t="s">
        <v>12</v>
      </c>
      <c r="F5294" s="2" t="s">
        <v>12</v>
      </c>
      <c r="G5294" s="2" t="s">
        <v>12</v>
      </c>
      <c r="H5294" s="2" t="s">
        <v>12</v>
      </c>
      <c r="I5294" s="2" t="s">
        <v>12</v>
      </c>
      <c r="J5294" s="2" t="s">
        <v>12</v>
      </c>
      <c r="K5294" s="2" t="s">
        <v>12</v>
      </c>
    </row>
    <row r="5295" spans="1:11" ht="12.5" x14ac:dyDescent="0.25">
      <c r="A5295" s="3" t="e">
        <f ca="1"/>
        <v>#NAME?</v>
      </c>
      <c r="B5295" s="2" t="s">
        <v>12</v>
      </c>
      <c r="C5295" s="2" t="s">
        <v>12</v>
      </c>
      <c r="D5295" s="2" t="s">
        <v>12</v>
      </c>
      <c r="E5295" s="2" t="s">
        <v>12</v>
      </c>
      <c r="F5295" s="2" t="s">
        <v>12</v>
      </c>
      <c r="G5295" s="2" t="s">
        <v>12</v>
      </c>
      <c r="H5295" s="2" t="s">
        <v>12</v>
      </c>
      <c r="I5295" s="2" t="s">
        <v>12</v>
      </c>
      <c r="J5295" s="2" t="s">
        <v>12</v>
      </c>
      <c r="K5295" s="2" t="s">
        <v>12</v>
      </c>
    </row>
    <row r="5296" spans="1:11" ht="12.5" x14ac:dyDescent="0.25">
      <c r="A5296" s="3" t="e">
        <f ca="1"/>
        <v>#NAME?</v>
      </c>
      <c r="B5296" s="2" t="s">
        <v>12</v>
      </c>
      <c r="C5296" s="2" t="s">
        <v>12</v>
      </c>
      <c r="D5296" s="2" t="s">
        <v>12</v>
      </c>
      <c r="E5296" s="2" t="s">
        <v>12</v>
      </c>
      <c r="F5296" s="2" t="s">
        <v>12</v>
      </c>
      <c r="G5296" s="2" t="s">
        <v>12</v>
      </c>
      <c r="H5296" s="2" t="s">
        <v>12</v>
      </c>
      <c r="I5296" s="2" t="s">
        <v>12</v>
      </c>
      <c r="J5296" s="2" t="s">
        <v>12</v>
      </c>
      <c r="K5296" s="2" t="s">
        <v>12</v>
      </c>
    </row>
    <row r="5297" spans="1:11" ht="12.5" x14ac:dyDescent="0.25">
      <c r="A5297" s="3" t="e">
        <f ca="1"/>
        <v>#NAME?</v>
      </c>
      <c r="B5297" s="2" t="s">
        <v>12</v>
      </c>
      <c r="C5297" s="2" t="s">
        <v>12</v>
      </c>
      <c r="D5297" s="2" t="s">
        <v>12</v>
      </c>
      <c r="E5297" s="2" t="s">
        <v>12</v>
      </c>
      <c r="F5297" s="2" t="s">
        <v>12</v>
      </c>
      <c r="G5297" s="2" t="s">
        <v>12</v>
      </c>
      <c r="H5297" s="2" t="s">
        <v>12</v>
      </c>
      <c r="I5297" s="2" t="s">
        <v>12</v>
      </c>
      <c r="J5297" s="2" t="s">
        <v>12</v>
      </c>
      <c r="K5297" s="2" t="s">
        <v>12</v>
      </c>
    </row>
    <row r="5298" spans="1:11" ht="12.5" x14ac:dyDescent="0.25">
      <c r="A5298" s="3" t="e">
        <f ca="1"/>
        <v>#NAME?</v>
      </c>
      <c r="B5298" s="2" t="s">
        <v>12</v>
      </c>
      <c r="C5298" s="2" t="s">
        <v>12</v>
      </c>
      <c r="D5298" s="2" t="s">
        <v>12</v>
      </c>
      <c r="E5298" s="2" t="s">
        <v>12</v>
      </c>
      <c r="F5298" s="2" t="s">
        <v>12</v>
      </c>
      <c r="G5298" s="2" t="s">
        <v>12</v>
      </c>
      <c r="H5298" s="2" t="s">
        <v>12</v>
      </c>
      <c r="I5298" s="2" t="s">
        <v>12</v>
      </c>
      <c r="J5298" s="2" t="s">
        <v>12</v>
      </c>
      <c r="K5298" s="2" t="s">
        <v>12</v>
      </c>
    </row>
    <row r="5299" spans="1:11" ht="12.5" x14ac:dyDescent="0.25">
      <c r="A5299" s="3" t="e">
        <f ca="1"/>
        <v>#NAME?</v>
      </c>
      <c r="B5299" s="2" t="s">
        <v>12</v>
      </c>
      <c r="C5299" s="2" t="s">
        <v>12</v>
      </c>
      <c r="D5299" s="2" t="s">
        <v>12</v>
      </c>
      <c r="E5299" s="2" t="s">
        <v>12</v>
      </c>
      <c r="F5299" s="2" t="s">
        <v>12</v>
      </c>
      <c r="G5299" s="2" t="s">
        <v>12</v>
      </c>
      <c r="H5299" s="2" t="s">
        <v>12</v>
      </c>
      <c r="I5299" s="2" t="s">
        <v>12</v>
      </c>
      <c r="J5299" s="2" t="s">
        <v>12</v>
      </c>
      <c r="K5299" s="2" t="s">
        <v>12</v>
      </c>
    </row>
    <row r="5300" spans="1:11" ht="12.5" x14ac:dyDescent="0.25">
      <c r="A5300" s="3" t="e">
        <f ca="1"/>
        <v>#NAME?</v>
      </c>
      <c r="B5300" s="2" t="s">
        <v>12</v>
      </c>
      <c r="C5300" s="2" t="s">
        <v>12</v>
      </c>
      <c r="D5300" s="2" t="s">
        <v>12</v>
      </c>
      <c r="E5300" s="2" t="s">
        <v>12</v>
      </c>
      <c r="F5300" s="2" t="s">
        <v>12</v>
      </c>
      <c r="G5300" s="2" t="s">
        <v>12</v>
      </c>
      <c r="H5300" s="2" t="s">
        <v>12</v>
      </c>
      <c r="I5300" s="2" t="s">
        <v>12</v>
      </c>
      <c r="J5300" s="2" t="s">
        <v>12</v>
      </c>
      <c r="K5300" s="2" t="s">
        <v>12</v>
      </c>
    </row>
    <row r="5301" spans="1:11" ht="12.5" x14ac:dyDescent="0.25">
      <c r="A5301" s="3" t="e">
        <f ca="1"/>
        <v>#NAME?</v>
      </c>
      <c r="B5301" s="2" t="s">
        <v>12</v>
      </c>
      <c r="C5301" s="2" t="s">
        <v>12</v>
      </c>
      <c r="D5301" s="2" t="s">
        <v>12</v>
      </c>
      <c r="E5301" s="2" t="s">
        <v>12</v>
      </c>
      <c r="F5301" s="2" t="s">
        <v>12</v>
      </c>
      <c r="G5301" s="2" t="s">
        <v>12</v>
      </c>
      <c r="H5301" s="2" t="s">
        <v>12</v>
      </c>
      <c r="I5301" s="2" t="s">
        <v>12</v>
      </c>
      <c r="J5301" s="2" t="s">
        <v>12</v>
      </c>
      <c r="K5301" s="2" t="s">
        <v>12</v>
      </c>
    </row>
    <row r="5302" spans="1:11" ht="12.5" x14ac:dyDescent="0.25">
      <c r="A5302" s="3" t="e">
        <f ca="1"/>
        <v>#NAME?</v>
      </c>
      <c r="B5302" s="2" t="s">
        <v>12</v>
      </c>
      <c r="C5302" s="2" t="s">
        <v>12</v>
      </c>
      <c r="D5302" s="2" t="s">
        <v>12</v>
      </c>
      <c r="E5302" s="2" t="s">
        <v>12</v>
      </c>
      <c r="F5302" s="2" t="s">
        <v>12</v>
      </c>
      <c r="G5302" s="2" t="s">
        <v>12</v>
      </c>
      <c r="H5302" s="2" t="s">
        <v>12</v>
      </c>
      <c r="I5302" s="2" t="s">
        <v>12</v>
      </c>
      <c r="J5302" s="2" t="s">
        <v>12</v>
      </c>
      <c r="K5302" s="2" t="s">
        <v>12</v>
      </c>
    </row>
    <row r="5303" spans="1:11" ht="12.5" x14ac:dyDescent="0.25">
      <c r="A5303" s="3" t="e">
        <f ca="1"/>
        <v>#NAME?</v>
      </c>
      <c r="B5303" s="2" t="s">
        <v>12</v>
      </c>
      <c r="C5303" s="2" t="s">
        <v>12</v>
      </c>
      <c r="D5303" s="2" t="s">
        <v>12</v>
      </c>
      <c r="E5303" s="2" t="s">
        <v>12</v>
      </c>
      <c r="F5303" s="2" t="s">
        <v>12</v>
      </c>
      <c r="G5303" s="2" t="s">
        <v>12</v>
      </c>
      <c r="H5303" s="2" t="s">
        <v>12</v>
      </c>
      <c r="I5303" s="2" t="s">
        <v>12</v>
      </c>
      <c r="J5303" s="2" t="s">
        <v>12</v>
      </c>
      <c r="K5303" s="2" t="s">
        <v>12</v>
      </c>
    </row>
    <row r="5304" spans="1:11" ht="12.5" x14ac:dyDescent="0.25">
      <c r="A5304" s="3" t="e">
        <f ca="1"/>
        <v>#NAME?</v>
      </c>
      <c r="B5304" s="2" t="s">
        <v>12</v>
      </c>
      <c r="C5304" s="2" t="s">
        <v>12</v>
      </c>
      <c r="D5304" s="2" t="s">
        <v>12</v>
      </c>
      <c r="E5304" s="2" t="s">
        <v>12</v>
      </c>
      <c r="F5304" s="2" t="s">
        <v>12</v>
      </c>
      <c r="G5304" s="2" t="s">
        <v>12</v>
      </c>
      <c r="H5304" s="2" t="s">
        <v>12</v>
      </c>
      <c r="I5304" s="2" t="s">
        <v>12</v>
      </c>
      <c r="J5304" s="2" t="s">
        <v>12</v>
      </c>
      <c r="K5304" s="2" t="s">
        <v>12</v>
      </c>
    </row>
    <row r="5305" spans="1:11" ht="12.5" x14ac:dyDescent="0.25">
      <c r="A5305" s="3" t="e">
        <f ca="1"/>
        <v>#NAME?</v>
      </c>
      <c r="B5305" s="2" t="s">
        <v>12</v>
      </c>
      <c r="C5305" s="2" t="s">
        <v>12</v>
      </c>
      <c r="D5305" s="2" t="s">
        <v>12</v>
      </c>
      <c r="E5305" s="2" t="s">
        <v>12</v>
      </c>
      <c r="F5305" s="2" t="s">
        <v>12</v>
      </c>
      <c r="G5305" s="2" t="s">
        <v>12</v>
      </c>
      <c r="H5305" s="2" t="s">
        <v>12</v>
      </c>
      <c r="I5305" s="2" t="s">
        <v>12</v>
      </c>
      <c r="J5305" s="2" t="s">
        <v>12</v>
      </c>
      <c r="K5305" s="2" t="s">
        <v>12</v>
      </c>
    </row>
    <row r="5306" spans="1:11" ht="12.5" x14ac:dyDescent="0.25">
      <c r="A5306" s="3" t="e">
        <f ca="1"/>
        <v>#NAME?</v>
      </c>
      <c r="B5306" s="2" t="s">
        <v>12</v>
      </c>
      <c r="C5306" s="2" t="s">
        <v>12</v>
      </c>
      <c r="D5306" s="2" t="s">
        <v>12</v>
      </c>
      <c r="E5306" s="2" t="s">
        <v>12</v>
      </c>
      <c r="F5306" s="2" t="s">
        <v>12</v>
      </c>
      <c r="G5306" s="2" t="s">
        <v>12</v>
      </c>
      <c r="H5306" s="2" t="s">
        <v>12</v>
      </c>
      <c r="I5306" s="2" t="s">
        <v>12</v>
      </c>
      <c r="J5306" s="2" t="s">
        <v>12</v>
      </c>
      <c r="K5306" s="2" t="s">
        <v>12</v>
      </c>
    </row>
    <row r="5307" spans="1:11" ht="12.5" x14ac:dyDescent="0.25">
      <c r="A5307" s="3" t="e">
        <f ca="1"/>
        <v>#NAME?</v>
      </c>
      <c r="B5307" s="2" t="s">
        <v>12</v>
      </c>
      <c r="C5307" s="2" t="s">
        <v>12</v>
      </c>
      <c r="D5307" s="2" t="s">
        <v>12</v>
      </c>
      <c r="E5307" s="2" t="s">
        <v>12</v>
      </c>
      <c r="F5307" s="2" t="s">
        <v>12</v>
      </c>
      <c r="G5307" s="2" t="s">
        <v>12</v>
      </c>
      <c r="H5307" s="2" t="s">
        <v>12</v>
      </c>
      <c r="I5307" s="2" t="s">
        <v>12</v>
      </c>
      <c r="J5307" s="2" t="s">
        <v>12</v>
      </c>
      <c r="K5307" s="2" t="s">
        <v>12</v>
      </c>
    </row>
    <row r="5308" spans="1:11" ht="12.5" x14ac:dyDescent="0.25">
      <c r="A5308" s="3" t="e">
        <f ca="1"/>
        <v>#NAME?</v>
      </c>
      <c r="B5308" s="2" t="s">
        <v>12</v>
      </c>
      <c r="C5308" s="2" t="s">
        <v>12</v>
      </c>
      <c r="D5308" s="2" t="s">
        <v>12</v>
      </c>
      <c r="E5308" s="2" t="s">
        <v>12</v>
      </c>
      <c r="F5308" s="2" t="s">
        <v>12</v>
      </c>
      <c r="G5308" s="2" t="s">
        <v>12</v>
      </c>
      <c r="H5308" s="2" t="s">
        <v>12</v>
      </c>
      <c r="I5308" s="2" t="s">
        <v>12</v>
      </c>
      <c r="J5308" s="2" t="s">
        <v>12</v>
      </c>
      <c r="K5308" s="2" t="s">
        <v>12</v>
      </c>
    </row>
    <row r="5309" spans="1:11" ht="12.5" x14ac:dyDescent="0.25">
      <c r="A5309" s="3" t="e">
        <f ca="1"/>
        <v>#NAME?</v>
      </c>
      <c r="B5309" s="2" t="s">
        <v>12</v>
      </c>
      <c r="C5309" s="2" t="s">
        <v>12</v>
      </c>
      <c r="D5309" s="2" t="s">
        <v>12</v>
      </c>
      <c r="E5309" s="2" t="s">
        <v>12</v>
      </c>
      <c r="F5309" s="2" t="s">
        <v>12</v>
      </c>
      <c r="G5309" s="2" t="s">
        <v>12</v>
      </c>
      <c r="H5309" s="2" t="s">
        <v>12</v>
      </c>
      <c r="I5309" s="2" t="s">
        <v>12</v>
      </c>
      <c r="J5309" s="2" t="s">
        <v>12</v>
      </c>
      <c r="K5309" s="2" t="s">
        <v>12</v>
      </c>
    </row>
    <row r="5310" spans="1:11" ht="12.5" x14ac:dyDescent="0.25">
      <c r="A5310" s="3" t="e">
        <f ca="1"/>
        <v>#NAME?</v>
      </c>
      <c r="B5310" s="2" t="s">
        <v>12</v>
      </c>
      <c r="C5310" s="2" t="s">
        <v>12</v>
      </c>
      <c r="D5310" s="2" t="s">
        <v>12</v>
      </c>
      <c r="E5310" s="2" t="s">
        <v>12</v>
      </c>
      <c r="F5310" s="2" t="s">
        <v>12</v>
      </c>
      <c r="G5310" s="2" t="s">
        <v>12</v>
      </c>
      <c r="H5310" s="2" t="s">
        <v>12</v>
      </c>
      <c r="I5310" s="2" t="s">
        <v>12</v>
      </c>
      <c r="J5310" s="2" t="s">
        <v>12</v>
      </c>
      <c r="K5310" s="2" t="s">
        <v>12</v>
      </c>
    </row>
    <row r="5311" spans="1:11" ht="12.5" x14ac:dyDescent="0.25">
      <c r="A5311" s="3" t="e">
        <f ca="1"/>
        <v>#NAME?</v>
      </c>
      <c r="B5311" s="2" t="s">
        <v>12</v>
      </c>
      <c r="C5311" s="2" t="s">
        <v>12</v>
      </c>
      <c r="D5311" s="2" t="s">
        <v>12</v>
      </c>
      <c r="E5311" s="2" t="s">
        <v>12</v>
      </c>
      <c r="F5311" s="2" t="s">
        <v>12</v>
      </c>
      <c r="G5311" s="2" t="s">
        <v>12</v>
      </c>
      <c r="H5311" s="2" t="s">
        <v>12</v>
      </c>
      <c r="I5311" s="2" t="s">
        <v>12</v>
      </c>
      <c r="J5311" s="2" t="s">
        <v>12</v>
      </c>
      <c r="K5311" s="2" t="s">
        <v>12</v>
      </c>
    </row>
    <row r="5312" spans="1:11" ht="12.5" x14ac:dyDescent="0.25">
      <c r="A5312" s="3" t="e">
        <f ca="1"/>
        <v>#NAME?</v>
      </c>
      <c r="B5312" s="2" t="s">
        <v>12</v>
      </c>
      <c r="C5312" s="2" t="s">
        <v>12</v>
      </c>
      <c r="D5312" s="2" t="s">
        <v>12</v>
      </c>
      <c r="E5312" s="2" t="s">
        <v>12</v>
      </c>
      <c r="F5312" s="2" t="s">
        <v>12</v>
      </c>
      <c r="G5312" s="2" t="s">
        <v>12</v>
      </c>
      <c r="H5312" s="2" t="s">
        <v>12</v>
      </c>
      <c r="I5312" s="2" t="s">
        <v>12</v>
      </c>
      <c r="J5312" s="2" t="s">
        <v>12</v>
      </c>
      <c r="K5312" s="2" t="s">
        <v>12</v>
      </c>
    </row>
    <row r="5313" spans="1:11" ht="12.5" x14ac:dyDescent="0.25">
      <c r="A5313" s="3" t="e">
        <f ca="1"/>
        <v>#NAME?</v>
      </c>
      <c r="B5313" s="2" t="s">
        <v>12</v>
      </c>
      <c r="C5313" s="2" t="s">
        <v>12</v>
      </c>
      <c r="D5313" s="2" t="s">
        <v>12</v>
      </c>
      <c r="E5313" s="2" t="s">
        <v>12</v>
      </c>
      <c r="F5313" s="2" t="s">
        <v>12</v>
      </c>
      <c r="G5313" s="2" t="s">
        <v>12</v>
      </c>
      <c r="H5313" s="2" t="s">
        <v>12</v>
      </c>
      <c r="I5313" s="2" t="s">
        <v>12</v>
      </c>
      <c r="J5313" s="2" t="s">
        <v>12</v>
      </c>
      <c r="K5313" s="2" t="s">
        <v>12</v>
      </c>
    </row>
    <row r="5314" spans="1:11" ht="12.5" x14ac:dyDescent="0.25">
      <c r="A5314" s="3" t="e">
        <f ca="1"/>
        <v>#NAME?</v>
      </c>
      <c r="B5314" s="2" t="s">
        <v>12</v>
      </c>
      <c r="C5314" s="2" t="s">
        <v>12</v>
      </c>
      <c r="D5314" s="2" t="s">
        <v>12</v>
      </c>
      <c r="E5314" s="2" t="s">
        <v>12</v>
      </c>
      <c r="F5314" s="2" t="s">
        <v>12</v>
      </c>
      <c r="G5314" s="2" t="s">
        <v>12</v>
      </c>
      <c r="H5314" s="2" t="s">
        <v>12</v>
      </c>
      <c r="I5314" s="2" t="s">
        <v>12</v>
      </c>
      <c r="J5314" s="2" t="s">
        <v>12</v>
      </c>
      <c r="K5314" s="2" t="s">
        <v>12</v>
      </c>
    </row>
    <row r="5315" spans="1:11" ht="12.5" x14ac:dyDescent="0.25">
      <c r="A5315" s="3" t="e">
        <f ca="1"/>
        <v>#NAME?</v>
      </c>
      <c r="B5315" s="2" t="s">
        <v>12</v>
      </c>
      <c r="C5315" s="2" t="s">
        <v>12</v>
      </c>
      <c r="D5315" s="2" t="s">
        <v>12</v>
      </c>
      <c r="E5315" s="2" t="s">
        <v>12</v>
      </c>
      <c r="F5315" s="2" t="s">
        <v>12</v>
      </c>
      <c r="G5315" s="2" t="s">
        <v>12</v>
      </c>
      <c r="H5315" s="2" t="s">
        <v>12</v>
      </c>
      <c r="I5315" s="2" t="s">
        <v>12</v>
      </c>
      <c r="J5315" s="2" t="s">
        <v>12</v>
      </c>
      <c r="K5315" s="2" t="s">
        <v>12</v>
      </c>
    </row>
    <row r="5316" spans="1:11" ht="12.5" x14ac:dyDescent="0.25">
      <c r="A5316" s="3" t="e">
        <f ca="1"/>
        <v>#NAME?</v>
      </c>
      <c r="B5316" s="2" t="s">
        <v>12</v>
      </c>
      <c r="C5316" s="2" t="s">
        <v>12</v>
      </c>
      <c r="D5316" s="2" t="s">
        <v>12</v>
      </c>
      <c r="E5316" s="2" t="s">
        <v>12</v>
      </c>
      <c r="F5316" s="2" t="s">
        <v>12</v>
      </c>
      <c r="G5316" s="2" t="s">
        <v>12</v>
      </c>
      <c r="H5316" s="2" t="s">
        <v>12</v>
      </c>
      <c r="I5316" s="2" t="s">
        <v>12</v>
      </c>
      <c r="J5316" s="2" t="s">
        <v>12</v>
      </c>
      <c r="K5316" s="2" t="s">
        <v>12</v>
      </c>
    </row>
    <row r="5317" spans="1:11" ht="12.5" x14ac:dyDescent="0.25">
      <c r="A5317" s="3" t="e">
        <f ca="1"/>
        <v>#NAME?</v>
      </c>
      <c r="B5317" s="2" t="s">
        <v>12</v>
      </c>
      <c r="C5317" s="2" t="s">
        <v>12</v>
      </c>
      <c r="D5317" s="2" t="s">
        <v>12</v>
      </c>
      <c r="E5317" s="2" t="s">
        <v>12</v>
      </c>
      <c r="F5317" s="2" t="s">
        <v>12</v>
      </c>
      <c r="G5317" s="2" t="s">
        <v>12</v>
      </c>
      <c r="H5317" s="2" t="s">
        <v>12</v>
      </c>
      <c r="I5317" s="2" t="s">
        <v>12</v>
      </c>
      <c r="J5317" s="2" t="s">
        <v>12</v>
      </c>
      <c r="K5317" s="2" t="s">
        <v>12</v>
      </c>
    </row>
    <row r="5318" spans="1:11" ht="12.5" x14ac:dyDescent="0.25">
      <c r="A5318" s="3" t="e">
        <f ca="1"/>
        <v>#NAME?</v>
      </c>
      <c r="B5318" s="2" t="s">
        <v>12</v>
      </c>
      <c r="C5318" s="2" t="s">
        <v>12</v>
      </c>
      <c r="D5318" s="2" t="s">
        <v>12</v>
      </c>
      <c r="E5318" s="2" t="s">
        <v>12</v>
      </c>
      <c r="F5318" s="2" t="s">
        <v>12</v>
      </c>
      <c r="G5318" s="2" t="s">
        <v>12</v>
      </c>
      <c r="H5318" s="2" t="s">
        <v>12</v>
      </c>
      <c r="I5318" s="2" t="s">
        <v>12</v>
      </c>
      <c r="J5318" s="2" t="s">
        <v>12</v>
      </c>
      <c r="K5318" s="2" t="s">
        <v>12</v>
      </c>
    </row>
    <row r="5319" spans="1:11" ht="12.5" x14ac:dyDescent="0.25">
      <c r="A5319" s="3" t="e">
        <f ca="1"/>
        <v>#NAME?</v>
      </c>
      <c r="B5319" s="2" t="s">
        <v>12</v>
      </c>
      <c r="C5319" s="2" t="s">
        <v>12</v>
      </c>
      <c r="D5319" s="2" t="s">
        <v>12</v>
      </c>
      <c r="E5319" s="2" t="s">
        <v>12</v>
      </c>
      <c r="F5319" s="2" t="s">
        <v>12</v>
      </c>
      <c r="G5319" s="2" t="s">
        <v>12</v>
      </c>
      <c r="H5319" s="2" t="s">
        <v>12</v>
      </c>
      <c r="I5319" s="2" t="s">
        <v>12</v>
      </c>
      <c r="J5319" s="2" t="s">
        <v>12</v>
      </c>
      <c r="K5319" s="2" t="s">
        <v>12</v>
      </c>
    </row>
    <row r="5320" spans="1:11" ht="12.5" x14ac:dyDescent="0.25">
      <c r="A5320" s="3" t="e">
        <f ca="1"/>
        <v>#NAME?</v>
      </c>
      <c r="B5320" s="2" t="s">
        <v>12</v>
      </c>
      <c r="C5320" s="2" t="s">
        <v>12</v>
      </c>
      <c r="D5320" s="2" t="s">
        <v>12</v>
      </c>
      <c r="E5320" s="2" t="s">
        <v>12</v>
      </c>
      <c r="F5320" s="2" t="s">
        <v>12</v>
      </c>
      <c r="G5320" s="2" t="s">
        <v>12</v>
      </c>
      <c r="H5320" s="2" t="s">
        <v>12</v>
      </c>
      <c r="I5320" s="2" t="s">
        <v>12</v>
      </c>
      <c r="J5320" s="2" t="s">
        <v>12</v>
      </c>
      <c r="K5320" s="2" t="s">
        <v>12</v>
      </c>
    </row>
    <row r="5321" spans="1:11" ht="12.5" x14ac:dyDescent="0.25">
      <c r="A5321" s="3" t="e">
        <f ca="1"/>
        <v>#NAME?</v>
      </c>
      <c r="B5321" s="2" t="s">
        <v>12</v>
      </c>
      <c r="C5321" s="2" t="s">
        <v>12</v>
      </c>
      <c r="D5321" s="2" t="s">
        <v>12</v>
      </c>
      <c r="E5321" s="2" t="s">
        <v>12</v>
      </c>
      <c r="F5321" s="2" t="s">
        <v>12</v>
      </c>
      <c r="G5321" s="2" t="s">
        <v>12</v>
      </c>
      <c r="H5321" s="2" t="s">
        <v>12</v>
      </c>
      <c r="I5321" s="2" t="s">
        <v>12</v>
      </c>
      <c r="J5321" s="2" t="s">
        <v>12</v>
      </c>
      <c r="K5321" s="2" t="s">
        <v>12</v>
      </c>
    </row>
    <row r="5322" spans="1:11" ht="12.5" x14ac:dyDescent="0.25">
      <c r="A5322" s="3" t="e">
        <f ca="1"/>
        <v>#NAME?</v>
      </c>
      <c r="B5322" s="2" t="s">
        <v>12</v>
      </c>
      <c r="C5322" s="2" t="s">
        <v>12</v>
      </c>
      <c r="D5322" s="2" t="s">
        <v>12</v>
      </c>
      <c r="E5322" s="2" t="s">
        <v>12</v>
      </c>
      <c r="F5322" s="2" t="s">
        <v>12</v>
      </c>
      <c r="G5322" s="2" t="s">
        <v>12</v>
      </c>
      <c r="H5322" s="2" t="s">
        <v>12</v>
      </c>
      <c r="I5322" s="2" t="s">
        <v>12</v>
      </c>
      <c r="J5322" s="2" t="s">
        <v>12</v>
      </c>
      <c r="K5322" s="2" t="s">
        <v>12</v>
      </c>
    </row>
    <row r="5323" spans="1:11" ht="12.5" x14ac:dyDescent="0.25">
      <c r="A5323" s="3" t="e">
        <f ca="1"/>
        <v>#NAME?</v>
      </c>
      <c r="B5323" s="2" t="s">
        <v>12</v>
      </c>
      <c r="C5323" s="2" t="s">
        <v>12</v>
      </c>
      <c r="D5323" s="2" t="s">
        <v>12</v>
      </c>
      <c r="E5323" s="2" t="s">
        <v>12</v>
      </c>
      <c r="F5323" s="2" t="s">
        <v>12</v>
      </c>
      <c r="G5323" s="2" t="s">
        <v>12</v>
      </c>
      <c r="H5323" s="2" t="s">
        <v>12</v>
      </c>
      <c r="I5323" s="2" t="s">
        <v>12</v>
      </c>
      <c r="J5323" s="2" t="s">
        <v>12</v>
      </c>
      <c r="K5323" s="2" t="s">
        <v>12</v>
      </c>
    </row>
    <row r="5324" spans="1:11" ht="12.5" x14ac:dyDescent="0.25">
      <c r="A5324" s="3" t="e">
        <f ca="1"/>
        <v>#NAME?</v>
      </c>
      <c r="B5324" s="2" t="s">
        <v>12</v>
      </c>
      <c r="C5324" s="2" t="s">
        <v>12</v>
      </c>
      <c r="D5324" s="2" t="s">
        <v>12</v>
      </c>
      <c r="E5324" s="2" t="s">
        <v>12</v>
      </c>
      <c r="F5324" s="2" t="s">
        <v>12</v>
      </c>
      <c r="G5324" s="2" t="s">
        <v>12</v>
      </c>
      <c r="H5324" s="2" t="s">
        <v>12</v>
      </c>
      <c r="I5324" s="2" t="s">
        <v>12</v>
      </c>
      <c r="J5324" s="2" t="s">
        <v>12</v>
      </c>
      <c r="K5324" s="2" t="s">
        <v>12</v>
      </c>
    </row>
    <row r="5325" spans="1:11" ht="12.5" x14ac:dyDescent="0.25">
      <c r="A5325" s="3" t="e">
        <f ca="1"/>
        <v>#NAME?</v>
      </c>
      <c r="B5325" s="2" t="s">
        <v>12</v>
      </c>
      <c r="C5325" s="2" t="s">
        <v>12</v>
      </c>
      <c r="D5325" s="2" t="s">
        <v>12</v>
      </c>
      <c r="E5325" s="2" t="s">
        <v>12</v>
      </c>
      <c r="F5325" s="2" t="s">
        <v>12</v>
      </c>
      <c r="G5325" s="2" t="s">
        <v>12</v>
      </c>
      <c r="H5325" s="2" t="s">
        <v>12</v>
      </c>
      <c r="I5325" s="2" t="s">
        <v>12</v>
      </c>
      <c r="J5325" s="2" t="s">
        <v>12</v>
      </c>
      <c r="K5325" s="2" t="s">
        <v>12</v>
      </c>
    </row>
    <row r="5326" spans="1:11" ht="12.5" x14ac:dyDescent="0.25">
      <c r="A5326" s="3" t="e">
        <f ca="1"/>
        <v>#NAME?</v>
      </c>
      <c r="B5326" s="2" t="s">
        <v>12</v>
      </c>
      <c r="C5326" s="2" t="s">
        <v>12</v>
      </c>
      <c r="D5326" s="2" t="s">
        <v>12</v>
      </c>
      <c r="E5326" s="2" t="s">
        <v>12</v>
      </c>
      <c r="F5326" s="2" t="s">
        <v>12</v>
      </c>
      <c r="G5326" s="2" t="s">
        <v>12</v>
      </c>
      <c r="H5326" s="2" t="s">
        <v>12</v>
      </c>
      <c r="I5326" s="2" t="s">
        <v>12</v>
      </c>
      <c r="J5326" s="2" t="s">
        <v>12</v>
      </c>
      <c r="K5326" s="2" t="s">
        <v>12</v>
      </c>
    </row>
    <row r="5327" spans="1:11" ht="12.5" x14ac:dyDescent="0.25">
      <c r="A5327" s="3" t="e">
        <f ca="1"/>
        <v>#NAME?</v>
      </c>
      <c r="B5327" s="2" t="s">
        <v>12</v>
      </c>
      <c r="C5327" s="2" t="s">
        <v>12</v>
      </c>
      <c r="D5327" s="2" t="s">
        <v>12</v>
      </c>
      <c r="E5327" s="2" t="s">
        <v>12</v>
      </c>
      <c r="F5327" s="2" t="s">
        <v>12</v>
      </c>
      <c r="G5327" s="2" t="s">
        <v>12</v>
      </c>
      <c r="H5327" s="2" t="s">
        <v>12</v>
      </c>
      <c r="I5327" s="2" t="s">
        <v>12</v>
      </c>
      <c r="J5327" s="2" t="s">
        <v>12</v>
      </c>
      <c r="K5327" s="2" t="s">
        <v>12</v>
      </c>
    </row>
    <row r="5328" spans="1:11" ht="12.5" x14ac:dyDescent="0.25">
      <c r="A5328" s="3" t="e">
        <f ca="1"/>
        <v>#NAME?</v>
      </c>
      <c r="B5328" s="2" t="s">
        <v>12</v>
      </c>
      <c r="C5328" s="2" t="s">
        <v>12</v>
      </c>
      <c r="D5328" s="2" t="s">
        <v>12</v>
      </c>
      <c r="E5328" s="2" t="s">
        <v>12</v>
      </c>
      <c r="F5328" s="2" t="s">
        <v>12</v>
      </c>
      <c r="G5328" s="2" t="s">
        <v>12</v>
      </c>
      <c r="H5328" s="2" t="s">
        <v>12</v>
      </c>
      <c r="I5328" s="2" t="s">
        <v>12</v>
      </c>
      <c r="J5328" s="2" t="s">
        <v>12</v>
      </c>
      <c r="K5328" s="2" t="s">
        <v>12</v>
      </c>
    </row>
    <row r="5329" spans="1:11" ht="12.5" x14ac:dyDescent="0.25">
      <c r="A5329" s="3" t="e">
        <f ca="1"/>
        <v>#NAME?</v>
      </c>
      <c r="B5329" s="2" t="s">
        <v>12</v>
      </c>
      <c r="C5329" s="2" t="s">
        <v>12</v>
      </c>
      <c r="D5329" s="2" t="s">
        <v>12</v>
      </c>
      <c r="E5329" s="2" t="s">
        <v>12</v>
      </c>
      <c r="F5329" s="2" t="s">
        <v>12</v>
      </c>
      <c r="G5329" s="2" t="s">
        <v>12</v>
      </c>
      <c r="H5329" s="2" t="s">
        <v>12</v>
      </c>
      <c r="I5329" s="2" t="s">
        <v>12</v>
      </c>
      <c r="J5329" s="2" t="s">
        <v>12</v>
      </c>
      <c r="K5329" s="2" t="s">
        <v>12</v>
      </c>
    </row>
    <row r="5330" spans="1:11" ht="12.5" x14ac:dyDescent="0.25">
      <c r="A5330" s="3" t="e">
        <f ca="1"/>
        <v>#NAME?</v>
      </c>
      <c r="B5330" s="2" t="s">
        <v>12</v>
      </c>
      <c r="C5330" s="2" t="s">
        <v>12</v>
      </c>
      <c r="D5330" s="2" t="s">
        <v>12</v>
      </c>
      <c r="E5330" s="2" t="s">
        <v>12</v>
      </c>
      <c r="F5330" s="2" t="s">
        <v>12</v>
      </c>
      <c r="G5330" s="2" t="s">
        <v>12</v>
      </c>
      <c r="H5330" s="2" t="s">
        <v>12</v>
      </c>
      <c r="I5330" s="2" t="s">
        <v>12</v>
      </c>
      <c r="J5330" s="2" t="s">
        <v>12</v>
      </c>
      <c r="K5330" s="2" t="s">
        <v>12</v>
      </c>
    </row>
    <row r="5331" spans="1:11" ht="12.5" x14ac:dyDescent="0.25">
      <c r="A5331" s="3" t="e">
        <f ca="1"/>
        <v>#NAME?</v>
      </c>
      <c r="B5331" s="2" t="s">
        <v>12</v>
      </c>
      <c r="C5331" s="2" t="s">
        <v>12</v>
      </c>
      <c r="D5331" s="2" t="s">
        <v>12</v>
      </c>
      <c r="E5331" s="2" t="s">
        <v>12</v>
      </c>
      <c r="F5331" s="2" t="s">
        <v>12</v>
      </c>
      <c r="G5331" s="2" t="s">
        <v>12</v>
      </c>
      <c r="H5331" s="2" t="s">
        <v>12</v>
      </c>
      <c r="I5331" s="2" t="s">
        <v>12</v>
      </c>
      <c r="J5331" s="2" t="s">
        <v>12</v>
      </c>
      <c r="K5331" s="2" t="s">
        <v>12</v>
      </c>
    </row>
    <row r="5332" spans="1:11" ht="12.5" x14ac:dyDescent="0.25">
      <c r="A5332" s="3" t="e">
        <f ca="1"/>
        <v>#NAME?</v>
      </c>
      <c r="B5332" s="2" t="s">
        <v>12</v>
      </c>
      <c r="C5332" s="2" t="s">
        <v>12</v>
      </c>
      <c r="D5332" s="2" t="s">
        <v>12</v>
      </c>
      <c r="E5332" s="2" t="s">
        <v>12</v>
      </c>
      <c r="F5332" s="2" t="s">
        <v>12</v>
      </c>
      <c r="G5332" s="2" t="s">
        <v>12</v>
      </c>
      <c r="H5332" s="2" t="s">
        <v>12</v>
      </c>
      <c r="I5332" s="2" t="s">
        <v>12</v>
      </c>
      <c r="J5332" s="2" t="s">
        <v>12</v>
      </c>
      <c r="K5332" s="2" t="s">
        <v>12</v>
      </c>
    </row>
    <row r="5333" spans="1:11" ht="12.5" x14ac:dyDescent="0.25">
      <c r="A5333" s="3" t="e">
        <f ca="1"/>
        <v>#NAME?</v>
      </c>
      <c r="B5333" s="2" t="s">
        <v>12</v>
      </c>
      <c r="C5333" s="2" t="s">
        <v>12</v>
      </c>
      <c r="D5333" s="2" t="s">
        <v>12</v>
      </c>
      <c r="E5333" s="2" t="s">
        <v>12</v>
      </c>
      <c r="F5333" s="2" t="s">
        <v>12</v>
      </c>
      <c r="G5333" s="2" t="s">
        <v>12</v>
      </c>
      <c r="H5333" s="2" t="s">
        <v>12</v>
      </c>
      <c r="I5333" s="2" t="s">
        <v>12</v>
      </c>
      <c r="J5333" s="2" t="s">
        <v>12</v>
      </c>
      <c r="K5333" s="2" t="s">
        <v>12</v>
      </c>
    </row>
    <row r="5334" spans="1:11" ht="12.5" x14ac:dyDescent="0.25">
      <c r="A5334" s="3" t="e">
        <f ca="1"/>
        <v>#NAME?</v>
      </c>
      <c r="B5334" s="2" t="s">
        <v>12</v>
      </c>
      <c r="C5334" s="2" t="s">
        <v>12</v>
      </c>
      <c r="D5334" s="2" t="s">
        <v>12</v>
      </c>
      <c r="E5334" s="2" t="s">
        <v>12</v>
      </c>
      <c r="F5334" s="2" t="s">
        <v>12</v>
      </c>
      <c r="G5334" s="2" t="s">
        <v>12</v>
      </c>
      <c r="H5334" s="2" t="s">
        <v>12</v>
      </c>
      <c r="I5334" s="2" t="s">
        <v>12</v>
      </c>
      <c r="J5334" s="2" t="s">
        <v>12</v>
      </c>
      <c r="K5334" s="2" t="s">
        <v>12</v>
      </c>
    </row>
    <row r="5335" spans="1:11" ht="12.5" x14ac:dyDescent="0.25">
      <c r="A5335" s="3" t="e">
        <f ca="1"/>
        <v>#NAME?</v>
      </c>
      <c r="B5335" s="2" t="s">
        <v>12</v>
      </c>
      <c r="C5335" s="2" t="s">
        <v>12</v>
      </c>
      <c r="D5335" s="2" t="s">
        <v>12</v>
      </c>
      <c r="E5335" s="2" t="s">
        <v>12</v>
      </c>
      <c r="F5335" s="2" t="s">
        <v>12</v>
      </c>
      <c r="G5335" s="2" t="s">
        <v>12</v>
      </c>
      <c r="H5335" s="2" t="s">
        <v>12</v>
      </c>
      <c r="I5335" s="2" t="s">
        <v>12</v>
      </c>
      <c r="J5335" s="2" t="s">
        <v>12</v>
      </c>
      <c r="K5335" s="2" t="s">
        <v>12</v>
      </c>
    </row>
    <row r="5336" spans="1:11" ht="12.5" x14ac:dyDescent="0.25">
      <c r="A5336" s="3" t="e">
        <f ca="1"/>
        <v>#NAME?</v>
      </c>
      <c r="B5336" s="2" t="s">
        <v>12</v>
      </c>
      <c r="C5336" s="2" t="s">
        <v>12</v>
      </c>
      <c r="D5336" s="2" t="s">
        <v>12</v>
      </c>
      <c r="E5336" s="2" t="s">
        <v>12</v>
      </c>
      <c r="F5336" s="2" t="s">
        <v>12</v>
      </c>
      <c r="G5336" s="2" t="s">
        <v>12</v>
      </c>
      <c r="H5336" s="2" t="s">
        <v>12</v>
      </c>
      <c r="I5336" s="2" t="s">
        <v>12</v>
      </c>
      <c r="J5336" s="2" t="s">
        <v>12</v>
      </c>
      <c r="K5336" s="2" t="s">
        <v>12</v>
      </c>
    </row>
    <row r="5337" spans="1:11" ht="12.5" x14ac:dyDescent="0.25">
      <c r="A5337" s="3" t="e">
        <f ca="1"/>
        <v>#NAME?</v>
      </c>
      <c r="B5337" s="2" t="s">
        <v>12</v>
      </c>
      <c r="C5337" s="2" t="s">
        <v>12</v>
      </c>
      <c r="D5337" s="2" t="s">
        <v>12</v>
      </c>
      <c r="E5337" s="2" t="s">
        <v>12</v>
      </c>
      <c r="F5337" s="2" t="s">
        <v>12</v>
      </c>
      <c r="G5337" s="2" t="s">
        <v>12</v>
      </c>
      <c r="H5337" s="2" t="s">
        <v>12</v>
      </c>
      <c r="I5337" s="2" t="s">
        <v>12</v>
      </c>
      <c r="J5337" s="2" t="s">
        <v>12</v>
      </c>
      <c r="K5337" s="2" t="s">
        <v>12</v>
      </c>
    </row>
    <row r="5338" spans="1:11" ht="12.5" x14ac:dyDescent="0.25">
      <c r="A5338" s="3" t="e">
        <f ca="1"/>
        <v>#NAME?</v>
      </c>
      <c r="B5338" s="2" t="s">
        <v>12</v>
      </c>
      <c r="C5338" s="2" t="s">
        <v>12</v>
      </c>
      <c r="D5338" s="2" t="s">
        <v>12</v>
      </c>
      <c r="E5338" s="2" t="s">
        <v>12</v>
      </c>
      <c r="F5338" s="2" t="s">
        <v>12</v>
      </c>
      <c r="G5338" s="2" t="s">
        <v>12</v>
      </c>
      <c r="H5338" s="2" t="s">
        <v>12</v>
      </c>
      <c r="I5338" s="2" t="s">
        <v>12</v>
      </c>
      <c r="J5338" s="2" t="s">
        <v>12</v>
      </c>
      <c r="K5338" s="2" t="s">
        <v>12</v>
      </c>
    </row>
    <row r="5339" spans="1:11" ht="12.5" x14ac:dyDescent="0.25">
      <c r="A5339" s="3" t="e">
        <f ca="1"/>
        <v>#NAME?</v>
      </c>
      <c r="B5339" s="2" t="s">
        <v>12</v>
      </c>
      <c r="C5339" s="2" t="s">
        <v>12</v>
      </c>
      <c r="D5339" s="2" t="s">
        <v>12</v>
      </c>
      <c r="E5339" s="2" t="s">
        <v>12</v>
      </c>
      <c r="F5339" s="2" t="s">
        <v>12</v>
      </c>
      <c r="G5339" s="2" t="s">
        <v>12</v>
      </c>
      <c r="H5339" s="2" t="s">
        <v>12</v>
      </c>
      <c r="I5339" s="2" t="s">
        <v>12</v>
      </c>
      <c r="J5339" s="2" t="s">
        <v>12</v>
      </c>
      <c r="K5339" s="2" t="s">
        <v>12</v>
      </c>
    </row>
    <row r="5340" spans="1:11" ht="12.5" x14ac:dyDescent="0.25">
      <c r="A5340" s="3" t="e">
        <f ca="1"/>
        <v>#NAME?</v>
      </c>
      <c r="B5340" s="2" t="s">
        <v>12</v>
      </c>
      <c r="C5340" s="2" t="s">
        <v>12</v>
      </c>
      <c r="D5340" s="2" t="s">
        <v>12</v>
      </c>
      <c r="E5340" s="2" t="s">
        <v>12</v>
      </c>
      <c r="F5340" s="2" t="s">
        <v>12</v>
      </c>
      <c r="G5340" s="2" t="s">
        <v>12</v>
      </c>
      <c r="H5340" s="2" t="s">
        <v>12</v>
      </c>
      <c r="I5340" s="2" t="s">
        <v>12</v>
      </c>
      <c r="J5340" s="2" t="s">
        <v>12</v>
      </c>
      <c r="K5340" s="2" t="s">
        <v>12</v>
      </c>
    </row>
    <row r="5341" spans="1:11" ht="12.5" x14ac:dyDescent="0.25">
      <c r="A5341" s="3" t="e">
        <f ca="1"/>
        <v>#NAME?</v>
      </c>
      <c r="B5341" s="2" t="s">
        <v>12</v>
      </c>
      <c r="C5341" s="2" t="s">
        <v>12</v>
      </c>
      <c r="D5341" s="2" t="s">
        <v>12</v>
      </c>
      <c r="E5341" s="2" t="s">
        <v>12</v>
      </c>
      <c r="F5341" s="2" t="s">
        <v>12</v>
      </c>
      <c r="G5341" s="2" t="s">
        <v>12</v>
      </c>
      <c r="H5341" s="2" t="s">
        <v>12</v>
      </c>
      <c r="I5341" s="2" t="s">
        <v>12</v>
      </c>
      <c r="J5341" s="2" t="s">
        <v>12</v>
      </c>
      <c r="K5341" s="2" t="s">
        <v>12</v>
      </c>
    </row>
    <row r="5342" spans="1:11" ht="12.5" x14ac:dyDescent="0.25">
      <c r="A5342" s="3" t="e">
        <f ca="1"/>
        <v>#NAME?</v>
      </c>
      <c r="B5342" s="2" t="s">
        <v>12</v>
      </c>
      <c r="C5342" s="2" t="s">
        <v>12</v>
      </c>
      <c r="D5342" s="2" t="s">
        <v>12</v>
      </c>
      <c r="E5342" s="2" t="s">
        <v>12</v>
      </c>
      <c r="F5342" s="2" t="s">
        <v>12</v>
      </c>
      <c r="G5342" s="2" t="s">
        <v>12</v>
      </c>
      <c r="H5342" s="2" t="s">
        <v>12</v>
      </c>
      <c r="I5342" s="2" t="s">
        <v>12</v>
      </c>
      <c r="J5342" s="2" t="s">
        <v>12</v>
      </c>
      <c r="K5342" s="2" t="s">
        <v>12</v>
      </c>
    </row>
    <row r="5343" spans="1:11" ht="12.5" x14ac:dyDescent="0.25">
      <c r="A5343" s="3" t="e">
        <f ca="1"/>
        <v>#NAME?</v>
      </c>
      <c r="B5343" s="2" t="s">
        <v>12</v>
      </c>
      <c r="C5343" s="2" t="s">
        <v>12</v>
      </c>
      <c r="D5343" s="2" t="s">
        <v>12</v>
      </c>
      <c r="E5343" s="2" t="s">
        <v>12</v>
      </c>
      <c r="F5343" s="2" t="s">
        <v>12</v>
      </c>
      <c r="G5343" s="2" t="s">
        <v>12</v>
      </c>
      <c r="H5343" s="2" t="s">
        <v>12</v>
      </c>
      <c r="I5343" s="2" t="s">
        <v>12</v>
      </c>
      <c r="J5343" s="2" t="s">
        <v>12</v>
      </c>
      <c r="K5343" s="2" t="s">
        <v>12</v>
      </c>
    </row>
    <row r="5344" spans="1:11" ht="12.5" x14ac:dyDescent="0.25">
      <c r="A5344" s="3" t="e">
        <f ca="1"/>
        <v>#NAME?</v>
      </c>
      <c r="B5344" s="2" t="s">
        <v>12</v>
      </c>
      <c r="C5344" s="2" t="s">
        <v>12</v>
      </c>
      <c r="D5344" s="2" t="s">
        <v>12</v>
      </c>
      <c r="E5344" s="2" t="s">
        <v>12</v>
      </c>
      <c r="F5344" s="2" t="s">
        <v>12</v>
      </c>
      <c r="G5344" s="2" t="s">
        <v>12</v>
      </c>
      <c r="H5344" s="2" t="s">
        <v>12</v>
      </c>
      <c r="I5344" s="2" t="s">
        <v>12</v>
      </c>
      <c r="J5344" s="2" t="s">
        <v>12</v>
      </c>
      <c r="K5344" s="2" t="s">
        <v>12</v>
      </c>
    </row>
    <row r="5345" spans="1:11" ht="12.5" x14ac:dyDescent="0.25">
      <c r="A5345" s="3" t="e">
        <f ca="1"/>
        <v>#NAME?</v>
      </c>
      <c r="B5345" s="2" t="s">
        <v>12</v>
      </c>
      <c r="C5345" s="2" t="s">
        <v>12</v>
      </c>
      <c r="D5345" s="2" t="s">
        <v>12</v>
      </c>
      <c r="E5345" s="2" t="s">
        <v>12</v>
      </c>
      <c r="F5345" s="2" t="s">
        <v>12</v>
      </c>
      <c r="G5345" s="2" t="s">
        <v>12</v>
      </c>
      <c r="H5345" s="2" t="s">
        <v>12</v>
      </c>
      <c r="I5345" s="2" t="s">
        <v>12</v>
      </c>
      <c r="J5345" s="2" t="s">
        <v>12</v>
      </c>
      <c r="K5345" s="2" t="s">
        <v>12</v>
      </c>
    </row>
    <row r="5346" spans="1:11" ht="12.5" x14ac:dyDescent="0.25">
      <c r="A5346" s="3" t="e">
        <f ca="1"/>
        <v>#NAME?</v>
      </c>
      <c r="B5346" s="2" t="s">
        <v>12</v>
      </c>
      <c r="C5346" s="2" t="s">
        <v>12</v>
      </c>
      <c r="D5346" s="2" t="s">
        <v>12</v>
      </c>
      <c r="E5346" s="2" t="s">
        <v>12</v>
      </c>
      <c r="F5346" s="2" t="s">
        <v>12</v>
      </c>
      <c r="G5346" s="2" t="s">
        <v>12</v>
      </c>
      <c r="H5346" s="2" t="s">
        <v>12</v>
      </c>
      <c r="I5346" s="2" t="s">
        <v>12</v>
      </c>
      <c r="J5346" s="2" t="s">
        <v>12</v>
      </c>
      <c r="K5346" s="2" t="s">
        <v>12</v>
      </c>
    </row>
    <row r="5347" spans="1:11" ht="12.5" x14ac:dyDescent="0.25">
      <c r="A5347" s="3" t="e">
        <f ca="1"/>
        <v>#NAME?</v>
      </c>
      <c r="B5347" s="2" t="s">
        <v>12</v>
      </c>
      <c r="C5347" s="2" t="s">
        <v>12</v>
      </c>
      <c r="D5347" s="2" t="s">
        <v>12</v>
      </c>
      <c r="E5347" s="2" t="s">
        <v>12</v>
      </c>
      <c r="F5347" s="2" t="s">
        <v>12</v>
      </c>
      <c r="G5347" s="2" t="s">
        <v>12</v>
      </c>
      <c r="H5347" s="2" t="s">
        <v>12</v>
      </c>
      <c r="I5347" s="2" t="s">
        <v>12</v>
      </c>
      <c r="J5347" s="2" t="s">
        <v>12</v>
      </c>
      <c r="K5347" s="2" t="s">
        <v>12</v>
      </c>
    </row>
    <row r="5348" spans="1:11" ht="12.5" x14ac:dyDescent="0.25">
      <c r="A5348" s="3" t="e">
        <f ca="1"/>
        <v>#NAME?</v>
      </c>
      <c r="B5348" s="2" t="s">
        <v>12</v>
      </c>
      <c r="C5348" s="2" t="s">
        <v>12</v>
      </c>
      <c r="D5348" s="2" t="s">
        <v>12</v>
      </c>
      <c r="E5348" s="2" t="s">
        <v>12</v>
      </c>
      <c r="F5348" s="2" t="s">
        <v>12</v>
      </c>
      <c r="G5348" s="2" t="s">
        <v>12</v>
      </c>
      <c r="H5348" s="2" t="s">
        <v>12</v>
      </c>
      <c r="I5348" s="2" t="s">
        <v>12</v>
      </c>
      <c r="J5348" s="2" t="s">
        <v>12</v>
      </c>
      <c r="K5348" s="2" t="s">
        <v>12</v>
      </c>
    </row>
    <row r="5349" spans="1:11" ht="12.5" x14ac:dyDescent="0.25">
      <c r="A5349" s="3" t="e">
        <f ca="1"/>
        <v>#NAME?</v>
      </c>
      <c r="B5349" s="2" t="s">
        <v>12</v>
      </c>
      <c r="C5349" s="2" t="s">
        <v>12</v>
      </c>
      <c r="D5349" s="2" t="s">
        <v>12</v>
      </c>
      <c r="E5349" s="2" t="s">
        <v>12</v>
      </c>
      <c r="F5349" s="2" t="s">
        <v>12</v>
      </c>
      <c r="G5349" s="2" t="s">
        <v>12</v>
      </c>
      <c r="H5349" s="2" t="s">
        <v>12</v>
      </c>
      <c r="I5349" s="2" t="s">
        <v>12</v>
      </c>
      <c r="J5349" s="2" t="s">
        <v>12</v>
      </c>
      <c r="K5349" s="2" t="s">
        <v>12</v>
      </c>
    </row>
    <row r="5350" spans="1:11" ht="12.5" x14ac:dyDescent="0.25">
      <c r="A5350" s="3" t="e">
        <f ca="1"/>
        <v>#NAME?</v>
      </c>
      <c r="B5350" s="2" t="s">
        <v>12</v>
      </c>
      <c r="C5350" s="2" t="s">
        <v>12</v>
      </c>
      <c r="D5350" s="2" t="s">
        <v>12</v>
      </c>
      <c r="E5350" s="2" t="s">
        <v>12</v>
      </c>
      <c r="F5350" s="2" t="s">
        <v>12</v>
      </c>
      <c r="G5350" s="2" t="s">
        <v>12</v>
      </c>
      <c r="H5350" s="2" t="s">
        <v>12</v>
      </c>
      <c r="I5350" s="2" t="s">
        <v>12</v>
      </c>
      <c r="J5350" s="2" t="s">
        <v>12</v>
      </c>
      <c r="K5350" s="2" t="s">
        <v>12</v>
      </c>
    </row>
    <row r="5351" spans="1:11" ht="12.5" x14ac:dyDescent="0.25">
      <c r="A5351" s="3" t="e">
        <f ca="1"/>
        <v>#NAME?</v>
      </c>
      <c r="B5351" s="2" t="s">
        <v>12</v>
      </c>
      <c r="C5351" s="2" t="s">
        <v>12</v>
      </c>
      <c r="D5351" s="2" t="s">
        <v>12</v>
      </c>
      <c r="E5351" s="2" t="s">
        <v>12</v>
      </c>
      <c r="F5351" s="2" t="s">
        <v>12</v>
      </c>
      <c r="G5351" s="2" t="s">
        <v>12</v>
      </c>
      <c r="H5351" s="2" t="s">
        <v>12</v>
      </c>
      <c r="I5351" s="2" t="s">
        <v>12</v>
      </c>
      <c r="J5351" s="2" t="s">
        <v>12</v>
      </c>
      <c r="K5351" s="2" t="s">
        <v>12</v>
      </c>
    </row>
    <row r="5352" spans="1:11" ht="12.5" x14ac:dyDescent="0.25">
      <c r="A5352" s="3" t="e">
        <f ca="1"/>
        <v>#NAME?</v>
      </c>
      <c r="B5352" s="2" t="s">
        <v>12</v>
      </c>
      <c r="C5352" s="2" t="s">
        <v>12</v>
      </c>
      <c r="D5352" s="2" t="s">
        <v>12</v>
      </c>
      <c r="E5352" s="2" t="s">
        <v>12</v>
      </c>
      <c r="F5352" s="2" t="s">
        <v>12</v>
      </c>
      <c r="G5352" s="2" t="s">
        <v>12</v>
      </c>
      <c r="H5352" s="2" t="s">
        <v>12</v>
      </c>
      <c r="I5352" s="2" t="s">
        <v>12</v>
      </c>
      <c r="J5352" s="2" t="s">
        <v>12</v>
      </c>
      <c r="K5352" s="2" t="s">
        <v>12</v>
      </c>
    </row>
    <row r="5353" spans="1:11" ht="12.5" x14ac:dyDescent="0.25">
      <c r="A5353" s="3" t="e">
        <f ca="1"/>
        <v>#NAME?</v>
      </c>
      <c r="B5353" s="2" t="s">
        <v>12</v>
      </c>
      <c r="C5353" s="2" t="s">
        <v>12</v>
      </c>
      <c r="D5353" s="2" t="s">
        <v>12</v>
      </c>
      <c r="E5353" s="2" t="s">
        <v>12</v>
      </c>
      <c r="F5353" s="2" t="s">
        <v>12</v>
      </c>
      <c r="G5353" s="2" t="s">
        <v>12</v>
      </c>
      <c r="H5353" s="2" t="s">
        <v>12</v>
      </c>
      <c r="I5353" s="2" t="s">
        <v>12</v>
      </c>
      <c r="J5353" s="2" t="s">
        <v>12</v>
      </c>
      <c r="K5353" s="2" t="s">
        <v>12</v>
      </c>
    </row>
    <row r="5354" spans="1:11" ht="12.5" x14ac:dyDescent="0.25">
      <c r="A5354" s="3" t="e">
        <f ca="1"/>
        <v>#NAME?</v>
      </c>
      <c r="B5354" s="2" t="s">
        <v>12</v>
      </c>
      <c r="C5354" s="2" t="s">
        <v>12</v>
      </c>
      <c r="D5354" s="2" t="s">
        <v>12</v>
      </c>
      <c r="E5354" s="2" t="s">
        <v>12</v>
      </c>
      <c r="F5354" s="2" t="s">
        <v>12</v>
      </c>
      <c r="G5354" s="2" t="s">
        <v>12</v>
      </c>
      <c r="H5354" s="2" t="s">
        <v>12</v>
      </c>
      <c r="I5354" s="2" t="s">
        <v>12</v>
      </c>
      <c r="J5354" s="2" t="s">
        <v>12</v>
      </c>
      <c r="K5354" s="2" t="s">
        <v>12</v>
      </c>
    </row>
    <row r="5355" spans="1:11" ht="12.5" x14ac:dyDescent="0.25">
      <c r="A5355" s="3" t="e">
        <f ca="1"/>
        <v>#NAME?</v>
      </c>
      <c r="B5355" s="2" t="s">
        <v>12</v>
      </c>
      <c r="C5355" s="2" t="s">
        <v>12</v>
      </c>
      <c r="D5355" s="2" t="s">
        <v>12</v>
      </c>
      <c r="E5355" s="2" t="s">
        <v>12</v>
      </c>
      <c r="F5355" s="2" t="s">
        <v>12</v>
      </c>
      <c r="G5355" s="2" t="s">
        <v>12</v>
      </c>
      <c r="H5355" s="2" t="s">
        <v>12</v>
      </c>
      <c r="I5355" s="2" t="s">
        <v>12</v>
      </c>
      <c r="J5355" s="2" t="s">
        <v>12</v>
      </c>
      <c r="K5355" s="2" t="s">
        <v>12</v>
      </c>
    </row>
    <row r="5356" spans="1:11" ht="12.5" x14ac:dyDescent="0.25">
      <c r="A5356" s="3" t="e">
        <f ca="1"/>
        <v>#NAME?</v>
      </c>
      <c r="B5356" s="2" t="s">
        <v>12</v>
      </c>
      <c r="C5356" s="2" t="s">
        <v>12</v>
      </c>
      <c r="D5356" s="2" t="s">
        <v>12</v>
      </c>
      <c r="E5356" s="2" t="s">
        <v>12</v>
      </c>
      <c r="F5356" s="2" t="s">
        <v>12</v>
      </c>
      <c r="G5356" s="2" t="s">
        <v>12</v>
      </c>
      <c r="H5356" s="2" t="s">
        <v>12</v>
      </c>
      <c r="I5356" s="2" t="s">
        <v>12</v>
      </c>
      <c r="J5356" s="2" t="s">
        <v>12</v>
      </c>
      <c r="K5356" s="2" t="s">
        <v>12</v>
      </c>
    </row>
    <row r="5357" spans="1:11" ht="12.5" x14ac:dyDescent="0.25">
      <c r="A5357" s="3" t="e">
        <f ca="1"/>
        <v>#NAME?</v>
      </c>
      <c r="B5357" s="2" t="s">
        <v>12</v>
      </c>
      <c r="C5357" s="2" t="s">
        <v>12</v>
      </c>
      <c r="D5357" s="2" t="s">
        <v>12</v>
      </c>
      <c r="E5357" s="2" t="s">
        <v>12</v>
      </c>
      <c r="F5357" s="2" t="s">
        <v>12</v>
      </c>
      <c r="G5357" s="2" t="s">
        <v>12</v>
      </c>
      <c r="H5357" s="2" t="s">
        <v>12</v>
      </c>
      <c r="I5357" s="2" t="s">
        <v>12</v>
      </c>
      <c r="J5357" s="2" t="s">
        <v>12</v>
      </c>
      <c r="K5357" s="2" t="s">
        <v>12</v>
      </c>
    </row>
    <row r="5358" spans="1:11" ht="12.5" x14ac:dyDescent="0.25">
      <c r="A5358" s="3" t="e">
        <f ca="1"/>
        <v>#NAME?</v>
      </c>
      <c r="B5358" s="2" t="s">
        <v>12</v>
      </c>
      <c r="C5358" s="2" t="s">
        <v>12</v>
      </c>
      <c r="D5358" s="2" t="s">
        <v>12</v>
      </c>
      <c r="E5358" s="2" t="s">
        <v>12</v>
      </c>
      <c r="F5358" s="2" t="s">
        <v>12</v>
      </c>
      <c r="G5358" s="2" t="s">
        <v>12</v>
      </c>
      <c r="H5358" s="2" t="s">
        <v>12</v>
      </c>
      <c r="I5358" s="2" t="s">
        <v>12</v>
      </c>
      <c r="J5358" s="2" t="s">
        <v>12</v>
      </c>
      <c r="K5358" s="2" t="s">
        <v>12</v>
      </c>
    </row>
    <row r="5359" spans="1:11" ht="12.5" x14ac:dyDescent="0.25">
      <c r="A5359" s="3" t="e">
        <f ca="1"/>
        <v>#NAME?</v>
      </c>
      <c r="B5359" s="2" t="s">
        <v>12</v>
      </c>
      <c r="C5359" s="2" t="s">
        <v>12</v>
      </c>
      <c r="D5359" s="2" t="s">
        <v>12</v>
      </c>
      <c r="E5359" s="2" t="s">
        <v>12</v>
      </c>
      <c r="F5359" s="2" t="s">
        <v>12</v>
      </c>
      <c r="G5359" s="2" t="s">
        <v>12</v>
      </c>
      <c r="H5359" s="2" t="s">
        <v>12</v>
      </c>
      <c r="I5359" s="2" t="s">
        <v>12</v>
      </c>
      <c r="J5359" s="2" t="s">
        <v>12</v>
      </c>
      <c r="K5359" s="2" t="s">
        <v>12</v>
      </c>
    </row>
    <row r="5360" spans="1:11" ht="12.5" x14ac:dyDescent="0.25">
      <c r="A5360" s="3" t="e">
        <f ca="1"/>
        <v>#NAME?</v>
      </c>
      <c r="B5360" s="2" t="s">
        <v>12</v>
      </c>
      <c r="C5360" s="2" t="s">
        <v>12</v>
      </c>
      <c r="D5360" s="2" t="s">
        <v>12</v>
      </c>
      <c r="E5360" s="2" t="s">
        <v>12</v>
      </c>
      <c r="F5360" s="2" t="s">
        <v>12</v>
      </c>
      <c r="G5360" s="2" t="s">
        <v>12</v>
      </c>
      <c r="H5360" s="2" t="s">
        <v>12</v>
      </c>
      <c r="I5360" s="2" t="s">
        <v>12</v>
      </c>
      <c r="J5360" s="2" t="s">
        <v>12</v>
      </c>
      <c r="K5360" s="2" t="s">
        <v>12</v>
      </c>
    </row>
    <row r="5361" spans="1:11" ht="12.5" x14ac:dyDescent="0.25">
      <c r="A5361" s="3" t="e">
        <f ca="1"/>
        <v>#NAME?</v>
      </c>
      <c r="B5361" s="2" t="s">
        <v>12</v>
      </c>
      <c r="C5361" s="2" t="s">
        <v>12</v>
      </c>
      <c r="D5361" s="2" t="s">
        <v>12</v>
      </c>
      <c r="E5361" s="2" t="s">
        <v>12</v>
      </c>
      <c r="F5361" s="2" t="s">
        <v>12</v>
      </c>
      <c r="G5361" s="2" t="s">
        <v>12</v>
      </c>
      <c r="H5361" s="2" t="s">
        <v>12</v>
      </c>
      <c r="I5361" s="2" t="s">
        <v>12</v>
      </c>
      <c r="J5361" s="2" t="s">
        <v>12</v>
      </c>
      <c r="K5361" s="2" t="s">
        <v>12</v>
      </c>
    </row>
    <row r="5362" spans="1:11" ht="12.5" x14ac:dyDescent="0.25">
      <c r="A5362" s="3" t="e">
        <f ca="1"/>
        <v>#NAME?</v>
      </c>
      <c r="B5362" s="2" t="s">
        <v>12</v>
      </c>
      <c r="C5362" s="2" t="s">
        <v>12</v>
      </c>
      <c r="D5362" s="2" t="s">
        <v>12</v>
      </c>
      <c r="E5362" s="2" t="s">
        <v>12</v>
      </c>
      <c r="F5362" s="2" t="s">
        <v>12</v>
      </c>
      <c r="G5362" s="2" t="s">
        <v>12</v>
      </c>
      <c r="H5362" s="2" t="s">
        <v>12</v>
      </c>
      <c r="I5362" s="2" t="s">
        <v>12</v>
      </c>
      <c r="J5362" s="2" t="s">
        <v>12</v>
      </c>
      <c r="K5362" s="2" t="s">
        <v>12</v>
      </c>
    </row>
    <row r="5363" spans="1:11" ht="12.5" x14ac:dyDescent="0.25">
      <c r="A5363" s="3" t="e">
        <f ca="1"/>
        <v>#NAME?</v>
      </c>
      <c r="B5363" s="2" t="s">
        <v>12</v>
      </c>
      <c r="C5363" s="2" t="s">
        <v>12</v>
      </c>
      <c r="D5363" s="2" t="s">
        <v>12</v>
      </c>
      <c r="E5363" s="2" t="s">
        <v>12</v>
      </c>
      <c r="F5363" s="2" t="s">
        <v>12</v>
      </c>
      <c r="G5363" s="2" t="s">
        <v>12</v>
      </c>
      <c r="H5363" s="2" t="s">
        <v>12</v>
      </c>
      <c r="I5363" s="2" t="s">
        <v>12</v>
      </c>
      <c r="J5363" s="2" t="s">
        <v>12</v>
      </c>
      <c r="K5363" s="2" t="s">
        <v>12</v>
      </c>
    </row>
    <row r="5364" spans="1:11" ht="12.5" x14ac:dyDescent="0.25">
      <c r="A5364" s="3" t="e">
        <f ca="1"/>
        <v>#NAME?</v>
      </c>
      <c r="B5364" s="2" t="s">
        <v>12</v>
      </c>
      <c r="C5364" s="2" t="s">
        <v>12</v>
      </c>
      <c r="D5364" s="2" t="s">
        <v>12</v>
      </c>
      <c r="E5364" s="2" t="s">
        <v>12</v>
      </c>
      <c r="F5364" s="2" t="s">
        <v>12</v>
      </c>
      <c r="G5364" s="2" t="s">
        <v>12</v>
      </c>
      <c r="H5364" s="2" t="s">
        <v>12</v>
      </c>
      <c r="I5364" s="2" t="s">
        <v>12</v>
      </c>
      <c r="J5364" s="2" t="s">
        <v>12</v>
      </c>
      <c r="K5364" s="2" t="s">
        <v>12</v>
      </c>
    </row>
    <row r="5365" spans="1:11" ht="12.5" x14ac:dyDescent="0.25">
      <c r="A5365" s="3" t="e">
        <f ca="1"/>
        <v>#NAME?</v>
      </c>
      <c r="B5365" s="2" t="s">
        <v>12</v>
      </c>
      <c r="C5365" s="2" t="s">
        <v>12</v>
      </c>
      <c r="D5365" s="2" t="s">
        <v>12</v>
      </c>
      <c r="E5365" s="2" t="s">
        <v>12</v>
      </c>
      <c r="F5365" s="2" t="s">
        <v>12</v>
      </c>
      <c r="G5365" s="2" t="s">
        <v>12</v>
      </c>
      <c r="H5365" s="2" t="s">
        <v>12</v>
      </c>
      <c r="I5365" s="2" t="s">
        <v>12</v>
      </c>
      <c r="J5365" s="2" t="s">
        <v>12</v>
      </c>
      <c r="K5365" s="2" t="s">
        <v>12</v>
      </c>
    </row>
    <row r="5366" spans="1:11" ht="12.5" x14ac:dyDescent="0.25">
      <c r="A5366" s="3" t="e">
        <f ca="1"/>
        <v>#NAME?</v>
      </c>
      <c r="B5366" s="2" t="s">
        <v>12</v>
      </c>
      <c r="C5366" s="2" t="s">
        <v>12</v>
      </c>
      <c r="D5366" s="2" t="s">
        <v>12</v>
      </c>
      <c r="E5366" s="2" t="s">
        <v>12</v>
      </c>
      <c r="F5366" s="2" t="s">
        <v>12</v>
      </c>
      <c r="G5366" s="2" t="s">
        <v>12</v>
      </c>
      <c r="H5366" s="2" t="s">
        <v>12</v>
      </c>
      <c r="I5366" s="2" t="s">
        <v>12</v>
      </c>
      <c r="J5366" s="2" t="s">
        <v>12</v>
      </c>
      <c r="K5366" s="2" t="s">
        <v>12</v>
      </c>
    </row>
    <row r="5367" spans="1:11" ht="12.5" x14ac:dyDescent="0.25">
      <c r="A5367" s="3" t="e">
        <f ca="1"/>
        <v>#NAME?</v>
      </c>
      <c r="B5367" s="2" t="s">
        <v>12</v>
      </c>
      <c r="C5367" s="2" t="s">
        <v>12</v>
      </c>
      <c r="D5367" s="2" t="s">
        <v>12</v>
      </c>
      <c r="E5367" s="2" t="s">
        <v>12</v>
      </c>
      <c r="F5367" s="2" t="s">
        <v>12</v>
      </c>
      <c r="G5367" s="2" t="s">
        <v>12</v>
      </c>
      <c r="H5367" s="2" t="s">
        <v>12</v>
      </c>
      <c r="I5367" s="2" t="s">
        <v>12</v>
      </c>
      <c r="J5367" s="2" t="s">
        <v>12</v>
      </c>
      <c r="K5367" s="2" t="s">
        <v>12</v>
      </c>
    </row>
    <row r="5368" spans="1:11" ht="12.5" x14ac:dyDescent="0.25">
      <c r="A5368" s="3" t="e">
        <f ca="1"/>
        <v>#NAME?</v>
      </c>
      <c r="B5368" s="2" t="s">
        <v>12</v>
      </c>
      <c r="C5368" s="2" t="s">
        <v>12</v>
      </c>
      <c r="D5368" s="2" t="s">
        <v>12</v>
      </c>
      <c r="E5368" s="2" t="s">
        <v>12</v>
      </c>
      <c r="F5368" s="2" t="s">
        <v>12</v>
      </c>
      <c r="G5368" s="2" t="s">
        <v>12</v>
      </c>
      <c r="H5368" s="2" t="s">
        <v>12</v>
      </c>
      <c r="I5368" s="2" t="s">
        <v>12</v>
      </c>
      <c r="J5368" s="2" t="s">
        <v>12</v>
      </c>
      <c r="K5368" s="2" t="s">
        <v>12</v>
      </c>
    </row>
    <row r="5369" spans="1:11" ht="12.5" x14ac:dyDescent="0.25">
      <c r="A5369" s="3" t="e">
        <f ca="1"/>
        <v>#NAME?</v>
      </c>
      <c r="B5369" s="2" t="s">
        <v>12</v>
      </c>
      <c r="C5369" s="2" t="s">
        <v>12</v>
      </c>
      <c r="D5369" s="2" t="s">
        <v>12</v>
      </c>
      <c r="E5369" s="2" t="s">
        <v>12</v>
      </c>
      <c r="F5369" s="2" t="s">
        <v>12</v>
      </c>
      <c r="G5369" s="2" t="s">
        <v>12</v>
      </c>
      <c r="H5369" s="2" t="s">
        <v>12</v>
      </c>
      <c r="I5369" s="2" t="s">
        <v>12</v>
      </c>
      <c r="J5369" s="2" t="s">
        <v>12</v>
      </c>
      <c r="K5369" s="2" t="s">
        <v>12</v>
      </c>
    </row>
    <row r="5370" spans="1:11" ht="12.5" x14ac:dyDescent="0.25">
      <c r="A5370" s="3" t="e">
        <f ca="1"/>
        <v>#NAME?</v>
      </c>
      <c r="B5370" s="2" t="s">
        <v>12</v>
      </c>
      <c r="C5370" s="2" t="s">
        <v>12</v>
      </c>
      <c r="D5370" s="2" t="s">
        <v>12</v>
      </c>
      <c r="E5370" s="2" t="s">
        <v>12</v>
      </c>
      <c r="F5370" s="2" t="s">
        <v>12</v>
      </c>
      <c r="G5370" s="2" t="s">
        <v>12</v>
      </c>
      <c r="H5370" s="2" t="s">
        <v>12</v>
      </c>
      <c r="I5370" s="2" t="s">
        <v>12</v>
      </c>
      <c r="J5370" s="2" t="s">
        <v>12</v>
      </c>
      <c r="K5370" s="2" t="s">
        <v>12</v>
      </c>
    </row>
    <row r="5371" spans="1:11" ht="12.5" x14ac:dyDescent="0.25">
      <c r="A5371" s="3" t="e">
        <f ca="1"/>
        <v>#NAME?</v>
      </c>
      <c r="B5371" s="2" t="s">
        <v>12</v>
      </c>
      <c r="C5371" s="2" t="s">
        <v>12</v>
      </c>
      <c r="D5371" s="2" t="s">
        <v>12</v>
      </c>
      <c r="E5371" s="2" t="s">
        <v>12</v>
      </c>
      <c r="F5371" s="2" t="s">
        <v>12</v>
      </c>
      <c r="G5371" s="2" t="s">
        <v>12</v>
      </c>
      <c r="H5371" s="2" t="s">
        <v>12</v>
      </c>
      <c r="I5371" s="2" t="s">
        <v>12</v>
      </c>
      <c r="J5371" s="2" t="s">
        <v>12</v>
      </c>
      <c r="K5371" s="2" t="s">
        <v>12</v>
      </c>
    </row>
    <row r="5372" spans="1:11" ht="12.5" x14ac:dyDescent="0.25">
      <c r="A5372" s="3" t="e">
        <f ca="1"/>
        <v>#NAME?</v>
      </c>
      <c r="B5372" s="2" t="s">
        <v>12</v>
      </c>
      <c r="C5372" s="2" t="s">
        <v>12</v>
      </c>
      <c r="D5372" s="2" t="s">
        <v>12</v>
      </c>
      <c r="E5372" s="2" t="s">
        <v>12</v>
      </c>
      <c r="F5372" s="2" t="s">
        <v>12</v>
      </c>
      <c r="G5372" s="2" t="s">
        <v>12</v>
      </c>
      <c r="H5372" s="2" t="s">
        <v>12</v>
      </c>
      <c r="I5372" s="2" t="s">
        <v>12</v>
      </c>
      <c r="J5372" s="2" t="s">
        <v>12</v>
      </c>
      <c r="K5372" s="2" t="s">
        <v>12</v>
      </c>
    </row>
    <row r="5373" spans="1:11" ht="12.5" x14ac:dyDescent="0.25">
      <c r="A5373" s="3" t="e">
        <f ca="1"/>
        <v>#NAME?</v>
      </c>
      <c r="B5373" s="2" t="s">
        <v>12</v>
      </c>
      <c r="C5373" s="2" t="s">
        <v>12</v>
      </c>
      <c r="D5373" s="2" t="s">
        <v>12</v>
      </c>
      <c r="E5373" s="2" t="s">
        <v>12</v>
      </c>
      <c r="F5373" s="2" t="s">
        <v>12</v>
      </c>
      <c r="G5373" s="2" t="s">
        <v>12</v>
      </c>
      <c r="H5373" s="2" t="s">
        <v>12</v>
      </c>
      <c r="I5373" s="2" t="s">
        <v>12</v>
      </c>
      <c r="J5373" s="2" t="s">
        <v>12</v>
      </c>
      <c r="K5373" s="2" t="s">
        <v>12</v>
      </c>
    </row>
    <row r="5374" spans="1:11" ht="12.5" x14ac:dyDescent="0.25">
      <c r="A5374" s="3" t="e">
        <f ca="1"/>
        <v>#NAME?</v>
      </c>
      <c r="B5374" s="2" t="s">
        <v>12</v>
      </c>
      <c r="C5374" s="2" t="s">
        <v>12</v>
      </c>
      <c r="D5374" s="2" t="s">
        <v>12</v>
      </c>
      <c r="E5374" s="2" t="s">
        <v>12</v>
      </c>
      <c r="F5374" s="2" t="s">
        <v>12</v>
      </c>
      <c r="G5374" s="2" t="s">
        <v>12</v>
      </c>
      <c r="H5374" s="2" t="s">
        <v>12</v>
      </c>
      <c r="I5374" s="2" t="s">
        <v>12</v>
      </c>
      <c r="J5374" s="2" t="s">
        <v>12</v>
      </c>
      <c r="K5374" s="2" t="s">
        <v>12</v>
      </c>
    </row>
    <row r="5375" spans="1:11" ht="12.5" x14ac:dyDescent="0.25">
      <c r="A5375" s="3" t="e">
        <f ca="1"/>
        <v>#NAME?</v>
      </c>
      <c r="B5375" s="2" t="s">
        <v>12</v>
      </c>
      <c r="C5375" s="2" t="s">
        <v>12</v>
      </c>
      <c r="D5375" s="2" t="s">
        <v>12</v>
      </c>
      <c r="E5375" s="2" t="s">
        <v>12</v>
      </c>
      <c r="F5375" s="2" t="s">
        <v>12</v>
      </c>
      <c r="G5375" s="2" t="s">
        <v>12</v>
      </c>
      <c r="H5375" s="2" t="s">
        <v>12</v>
      </c>
      <c r="I5375" s="2" t="s">
        <v>12</v>
      </c>
      <c r="J5375" s="2" t="s">
        <v>12</v>
      </c>
      <c r="K5375" s="2" t="s">
        <v>12</v>
      </c>
    </row>
    <row r="5376" spans="1:11" ht="12.5" x14ac:dyDescent="0.25">
      <c r="A5376" s="3" t="e">
        <f ca="1"/>
        <v>#NAME?</v>
      </c>
      <c r="B5376" s="2" t="s">
        <v>12</v>
      </c>
      <c r="C5376" s="2" t="s">
        <v>12</v>
      </c>
      <c r="D5376" s="2" t="s">
        <v>12</v>
      </c>
      <c r="E5376" s="2" t="s">
        <v>12</v>
      </c>
      <c r="F5376" s="2" t="s">
        <v>12</v>
      </c>
      <c r="G5376" s="2" t="s">
        <v>12</v>
      </c>
      <c r="H5376" s="2" t="s">
        <v>12</v>
      </c>
      <c r="I5376" s="2" t="s">
        <v>12</v>
      </c>
      <c r="J5376" s="2" t="s">
        <v>12</v>
      </c>
      <c r="K5376" s="2" t="s">
        <v>12</v>
      </c>
    </row>
    <row r="5377" spans="1:11" ht="12.5" x14ac:dyDescent="0.25">
      <c r="A5377" s="3" t="e">
        <f ca="1"/>
        <v>#NAME?</v>
      </c>
      <c r="B5377" s="2" t="s">
        <v>12</v>
      </c>
      <c r="C5377" s="2" t="s">
        <v>12</v>
      </c>
      <c r="D5377" s="2" t="s">
        <v>12</v>
      </c>
      <c r="E5377" s="2" t="s">
        <v>12</v>
      </c>
      <c r="F5377" s="2" t="s">
        <v>12</v>
      </c>
      <c r="G5377" s="2" t="s">
        <v>12</v>
      </c>
      <c r="H5377" s="2" t="s">
        <v>12</v>
      </c>
      <c r="I5377" s="2" t="s">
        <v>12</v>
      </c>
      <c r="J5377" s="2" t="s">
        <v>12</v>
      </c>
      <c r="K5377" s="2" t="s">
        <v>12</v>
      </c>
    </row>
    <row r="5378" spans="1:11" ht="12.5" x14ac:dyDescent="0.25">
      <c r="A5378" s="3" t="e">
        <f ca="1"/>
        <v>#NAME?</v>
      </c>
      <c r="B5378" s="2" t="s">
        <v>12</v>
      </c>
      <c r="C5378" s="2" t="s">
        <v>12</v>
      </c>
      <c r="D5378" s="2" t="s">
        <v>12</v>
      </c>
      <c r="E5378" s="2" t="s">
        <v>12</v>
      </c>
      <c r="F5378" s="2" t="s">
        <v>12</v>
      </c>
      <c r="G5378" s="2" t="s">
        <v>12</v>
      </c>
      <c r="H5378" s="2" t="s">
        <v>12</v>
      </c>
      <c r="I5378" s="2" t="s">
        <v>12</v>
      </c>
      <c r="J5378" s="2" t="s">
        <v>12</v>
      </c>
      <c r="K5378" s="2" t="s">
        <v>12</v>
      </c>
    </row>
    <row r="5379" spans="1:11" ht="12.5" x14ac:dyDescent="0.25">
      <c r="A5379" s="3" t="e">
        <f ca="1"/>
        <v>#NAME?</v>
      </c>
      <c r="B5379" s="2" t="s">
        <v>12</v>
      </c>
      <c r="C5379" s="2" t="s">
        <v>12</v>
      </c>
      <c r="D5379" s="2" t="s">
        <v>12</v>
      </c>
      <c r="E5379" s="2" t="s">
        <v>12</v>
      </c>
      <c r="F5379" s="2" t="s">
        <v>12</v>
      </c>
      <c r="G5379" s="2" t="s">
        <v>12</v>
      </c>
      <c r="H5379" s="2" t="s">
        <v>12</v>
      </c>
      <c r="I5379" s="2" t="s">
        <v>12</v>
      </c>
      <c r="J5379" s="2" t="s">
        <v>12</v>
      </c>
      <c r="K5379" s="2" t="s">
        <v>12</v>
      </c>
    </row>
    <row r="5380" spans="1:11" ht="12.5" x14ac:dyDescent="0.25">
      <c r="A5380" s="3" t="e">
        <f ca="1"/>
        <v>#NAME?</v>
      </c>
      <c r="B5380" s="2" t="s">
        <v>12</v>
      </c>
      <c r="C5380" s="2" t="s">
        <v>12</v>
      </c>
      <c r="D5380" s="2" t="s">
        <v>12</v>
      </c>
      <c r="E5380" s="2" t="s">
        <v>12</v>
      </c>
      <c r="F5380" s="2" t="s">
        <v>12</v>
      </c>
      <c r="G5380" s="2" t="s">
        <v>12</v>
      </c>
      <c r="H5380" s="2" t="s">
        <v>12</v>
      </c>
      <c r="I5380" s="2" t="s">
        <v>12</v>
      </c>
      <c r="J5380" s="2" t="s">
        <v>12</v>
      </c>
      <c r="K5380" s="2" t="s">
        <v>12</v>
      </c>
    </row>
    <row r="5381" spans="1:11" ht="12.5" x14ac:dyDescent="0.25">
      <c r="A5381" s="3" t="e">
        <f ca="1"/>
        <v>#NAME?</v>
      </c>
      <c r="B5381" s="2" t="s">
        <v>12</v>
      </c>
      <c r="C5381" s="2" t="s">
        <v>12</v>
      </c>
      <c r="D5381" s="2" t="s">
        <v>12</v>
      </c>
      <c r="E5381" s="2" t="s">
        <v>12</v>
      </c>
      <c r="F5381" s="2" t="s">
        <v>12</v>
      </c>
      <c r="G5381" s="2" t="s">
        <v>12</v>
      </c>
      <c r="H5381" s="2" t="s">
        <v>12</v>
      </c>
      <c r="I5381" s="2" t="s">
        <v>12</v>
      </c>
      <c r="J5381" s="2" t="s">
        <v>12</v>
      </c>
      <c r="K5381" s="2" t="s">
        <v>12</v>
      </c>
    </row>
    <row r="5382" spans="1:11" ht="12.5" x14ac:dyDescent="0.25">
      <c r="A5382" s="3" t="e">
        <f ca="1"/>
        <v>#NAME?</v>
      </c>
      <c r="B5382" s="2" t="s">
        <v>12</v>
      </c>
      <c r="C5382" s="2" t="s">
        <v>12</v>
      </c>
      <c r="D5382" s="2" t="s">
        <v>12</v>
      </c>
      <c r="E5382" s="2" t="s">
        <v>12</v>
      </c>
      <c r="F5382" s="2" t="s">
        <v>12</v>
      </c>
      <c r="G5382" s="2" t="s">
        <v>12</v>
      </c>
      <c r="H5382" s="2" t="s">
        <v>12</v>
      </c>
      <c r="I5382" s="2" t="s">
        <v>12</v>
      </c>
      <c r="J5382" s="2" t="s">
        <v>12</v>
      </c>
      <c r="K5382" s="2" t="s">
        <v>12</v>
      </c>
    </row>
    <row r="5383" spans="1:11" ht="12.5" x14ac:dyDescent="0.25">
      <c r="A5383" s="3" t="e">
        <f ca="1"/>
        <v>#NAME?</v>
      </c>
      <c r="B5383" s="2" t="s">
        <v>12</v>
      </c>
      <c r="C5383" s="2" t="s">
        <v>12</v>
      </c>
      <c r="D5383" s="2" t="s">
        <v>12</v>
      </c>
      <c r="E5383" s="2" t="s">
        <v>12</v>
      </c>
      <c r="F5383" s="2" t="s">
        <v>12</v>
      </c>
      <c r="G5383" s="2" t="s">
        <v>12</v>
      </c>
      <c r="H5383" s="2" t="s">
        <v>12</v>
      </c>
      <c r="I5383" s="2" t="s">
        <v>12</v>
      </c>
      <c r="J5383" s="2" t="s">
        <v>12</v>
      </c>
      <c r="K5383" s="2" t="s">
        <v>12</v>
      </c>
    </row>
    <row r="5384" spans="1:11" ht="12.5" x14ac:dyDescent="0.25">
      <c r="A5384" s="3" t="e">
        <f ca="1"/>
        <v>#NAME?</v>
      </c>
      <c r="B5384" s="2" t="s">
        <v>12</v>
      </c>
      <c r="C5384" s="2" t="s">
        <v>12</v>
      </c>
      <c r="D5384" s="2" t="s">
        <v>12</v>
      </c>
      <c r="E5384" s="2" t="s">
        <v>12</v>
      </c>
      <c r="F5384" s="2" t="s">
        <v>12</v>
      </c>
      <c r="G5384" s="2" t="s">
        <v>12</v>
      </c>
      <c r="H5384" s="2" t="s">
        <v>12</v>
      </c>
      <c r="I5384" s="2" t="s">
        <v>12</v>
      </c>
      <c r="J5384" s="2" t="s">
        <v>12</v>
      </c>
      <c r="K5384" s="2" t="s">
        <v>12</v>
      </c>
    </row>
    <row r="5385" spans="1:11" ht="12.5" x14ac:dyDescent="0.25">
      <c r="A5385" s="3" t="e">
        <f ca="1"/>
        <v>#NAME?</v>
      </c>
      <c r="B5385" s="2" t="s">
        <v>12</v>
      </c>
      <c r="C5385" s="2" t="s">
        <v>12</v>
      </c>
      <c r="D5385" s="2" t="s">
        <v>12</v>
      </c>
      <c r="E5385" s="2" t="s">
        <v>12</v>
      </c>
      <c r="F5385" s="2" t="s">
        <v>12</v>
      </c>
      <c r="G5385" s="2" t="s">
        <v>12</v>
      </c>
      <c r="H5385" s="2" t="s">
        <v>12</v>
      </c>
      <c r="I5385" s="2" t="s">
        <v>12</v>
      </c>
      <c r="J5385" s="2" t="s">
        <v>12</v>
      </c>
      <c r="K5385" s="2" t="s">
        <v>12</v>
      </c>
    </row>
    <row r="5386" spans="1:11" ht="12.5" x14ac:dyDescent="0.25">
      <c r="A5386" s="3" t="e">
        <f ca="1"/>
        <v>#NAME?</v>
      </c>
      <c r="B5386" s="2" t="s">
        <v>12</v>
      </c>
      <c r="C5386" s="2" t="s">
        <v>12</v>
      </c>
      <c r="D5386" s="2" t="s">
        <v>12</v>
      </c>
      <c r="E5386" s="2" t="s">
        <v>12</v>
      </c>
      <c r="F5386" s="2" t="s">
        <v>12</v>
      </c>
      <c r="G5386" s="2" t="s">
        <v>12</v>
      </c>
      <c r="H5386" s="2" t="s">
        <v>12</v>
      </c>
      <c r="I5386" s="2" t="s">
        <v>12</v>
      </c>
      <c r="J5386" s="2" t="s">
        <v>12</v>
      </c>
      <c r="K5386" s="2" t="s">
        <v>12</v>
      </c>
    </row>
    <row r="5387" spans="1:11" ht="12.5" x14ac:dyDescent="0.25">
      <c r="A5387" s="3" t="e">
        <f ca="1"/>
        <v>#NAME?</v>
      </c>
      <c r="B5387" s="2" t="s">
        <v>12</v>
      </c>
      <c r="C5387" s="2" t="s">
        <v>12</v>
      </c>
      <c r="D5387" s="2" t="s">
        <v>12</v>
      </c>
      <c r="E5387" s="2" t="s">
        <v>12</v>
      </c>
      <c r="F5387" s="2" t="s">
        <v>12</v>
      </c>
      <c r="G5387" s="2" t="s">
        <v>12</v>
      </c>
      <c r="H5387" s="2" t="s">
        <v>12</v>
      </c>
      <c r="I5387" s="2" t="s">
        <v>12</v>
      </c>
      <c r="J5387" s="2" t="s">
        <v>12</v>
      </c>
      <c r="K5387" s="2" t="s">
        <v>12</v>
      </c>
    </row>
    <row r="5388" spans="1:11" ht="12.5" x14ac:dyDescent="0.25">
      <c r="A5388" s="3" t="e">
        <f ca="1"/>
        <v>#NAME?</v>
      </c>
      <c r="B5388" s="2" t="s">
        <v>12</v>
      </c>
      <c r="C5388" s="2" t="s">
        <v>12</v>
      </c>
      <c r="D5388" s="2" t="s">
        <v>12</v>
      </c>
      <c r="E5388" s="2" t="s">
        <v>12</v>
      </c>
      <c r="F5388" s="2" t="s">
        <v>12</v>
      </c>
      <c r="G5388" s="2" t="s">
        <v>12</v>
      </c>
      <c r="H5388" s="2" t="s">
        <v>12</v>
      </c>
      <c r="I5388" s="2" t="s">
        <v>12</v>
      </c>
      <c r="J5388" s="2" t="s">
        <v>12</v>
      </c>
      <c r="K5388" s="2" t="s">
        <v>12</v>
      </c>
    </row>
    <row r="5389" spans="1:11" ht="12.5" x14ac:dyDescent="0.25">
      <c r="A5389" s="3" t="e">
        <f ca="1"/>
        <v>#NAME?</v>
      </c>
      <c r="B5389" s="2" t="s">
        <v>12</v>
      </c>
      <c r="C5389" s="2" t="s">
        <v>12</v>
      </c>
      <c r="D5389" s="2" t="s">
        <v>12</v>
      </c>
      <c r="E5389" s="2" t="s">
        <v>12</v>
      </c>
      <c r="F5389" s="2" t="s">
        <v>12</v>
      </c>
      <c r="G5389" s="2" t="s">
        <v>12</v>
      </c>
      <c r="H5389" s="2" t="s">
        <v>12</v>
      </c>
      <c r="I5389" s="2" t="s">
        <v>12</v>
      </c>
      <c r="J5389" s="2" t="s">
        <v>12</v>
      </c>
      <c r="K5389" s="2" t="s">
        <v>12</v>
      </c>
    </row>
    <row r="5390" spans="1:11" ht="12.5" x14ac:dyDescent="0.25">
      <c r="A5390" s="3" t="e">
        <f ca="1"/>
        <v>#NAME?</v>
      </c>
      <c r="B5390" s="2" t="s">
        <v>12</v>
      </c>
      <c r="C5390" s="2" t="s">
        <v>12</v>
      </c>
      <c r="D5390" s="2" t="s">
        <v>12</v>
      </c>
      <c r="E5390" s="2" t="s">
        <v>12</v>
      </c>
      <c r="F5390" s="2" t="s">
        <v>12</v>
      </c>
      <c r="G5390" s="2" t="s">
        <v>12</v>
      </c>
      <c r="H5390" s="2" t="s">
        <v>12</v>
      </c>
      <c r="I5390" s="2" t="s">
        <v>12</v>
      </c>
      <c r="J5390" s="2" t="s">
        <v>12</v>
      </c>
      <c r="K5390" s="2" t="s">
        <v>12</v>
      </c>
    </row>
    <row r="5391" spans="1:11" ht="12.5" x14ac:dyDescent="0.25">
      <c r="A5391" s="3" t="e">
        <f ca="1"/>
        <v>#NAME?</v>
      </c>
      <c r="B5391" s="2" t="s">
        <v>12</v>
      </c>
      <c r="C5391" s="2" t="s">
        <v>12</v>
      </c>
      <c r="D5391" s="2" t="s">
        <v>12</v>
      </c>
      <c r="E5391" s="2" t="s">
        <v>12</v>
      </c>
      <c r="F5391" s="2" t="s">
        <v>12</v>
      </c>
      <c r="G5391" s="2" t="s">
        <v>12</v>
      </c>
      <c r="H5391" s="2" t="s">
        <v>12</v>
      </c>
      <c r="I5391" s="2" t="s">
        <v>12</v>
      </c>
      <c r="J5391" s="2" t="s">
        <v>12</v>
      </c>
      <c r="K5391" s="2" t="s">
        <v>12</v>
      </c>
    </row>
    <row r="5392" spans="1:11" ht="12.5" x14ac:dyDescent="0.25">
      <c r="A5392" s="3" t="e">
        <f ca="1"/>
        <v>#NAME?</v>
      </c>
      <c r="B5392" s="2" t="s">
        <v>12</v>
      </c>
      <c r="C5392" s="2" t="s">
        <v>12</v>
      </c>
      <c r="D5392" s="2" t="s">
        <v>12</v>
      </c>
      <c r="E5392" s="2" t="s">
        <v>12</v>
      </c>
      <c r="F5392" s="2" t="s">
        <v>12</v>
      </c>
      <c r="G5392" s="2" t="s">
        <v>12</v>
      </c>
      <c r="H5392" s="2" t="s">
        <v>12</v>
      </c>
      <c r="I5392" s="2" t="s">
        <v>12</v>
      </c>
      <c r="J5392" s="2" t="s">
        <v>12</v>
      </c>
      <c r="K5392" s="2" t="s">
        <v>12</v>
      </c>
    </row>
    <row r="5393" spans="1:11" ht="12.5" x14ac:dyDescent="0.25">
      <c r="A5393" s="3" t="e">
        <f ca="1"/>
        <v>#NAME?</v>
      </c>
      <c r="B5393" s="2" t="s">
        <v>12</v>
      </c>
      <c r="C5393" s="2" t="s">
        <v>12</v>
      </c>
      <c r="D5393" s="2" t="s">
        <v>12</v>
      </c>
      <c r="E5393" s="2" t="s">
        <v>12</v>
      </c>
      <c r="F5393" s="2" t="s">
        <v>12</v>
      </c>
      <c r="G5393" s="2" t="s">
        <v>12</v>
      </c>
      <c r="H5393" s="2" t="s">
        <v>12</v>
      </c>
      <c r="I5393" s="2" t="s">
        <v>12</v>
      </c>
      <c r="J5393" s="2" t="s">
        <v>12</v>
      </c>
      <c r="K5393" s="2" t="s">
        <v>12</v>
      </c>
    </row>
    <row r="5394" spans="1:11" ht="12.5" x14ac:dyDescent="0.25">
      <c r="A5394" s="3" t="e">
        <f ca="1"/>
        <v>#NAME?</v>
      </c>
      <c r="B5394" s="2" t="s">
        <v>12</v>
      </c>
      <c r="C5394" s="2" t="s">
        <v>12</v>
      </c>
      <c r="D5394" s="2" t="s">
        <v>12</v>
      </c>
      <c r="E5394" s="2" t="s">
        <v>12</v>
      </c>
      <c r="F5394" s="2" t="s">
        <v>12</v>
      </c>
      <c r="G5394" s="2" t="s">
        <v>12</v>
      </c>
      <c r="H5394" s="2" t="s">
        <v>12</v>
      </c>
      <c r="I5394" s="2" t="s">
        <v>12</v>
      </c>
      <c r="J5394" s="2" t="s">
        <v>12</v>
      </c>
      <c r="K5394" s="2" t="s">
        <v>12</v>
      </c>
    </row>
    <row r="5395" spans="1:11" ht="12.5" x14ac:dyDescent="0.25">
      <c r="A5395" s="3" t="e">
        <f ca="1"/>
        <v>#NAME?</v>
      </c>
      <c r="B5395" s="2" t="s">
        <v>12</v>
      </c>
      <c r="C5395" s="2" t="s">
        <v>12</v>
      </c>
      <c r="D5395" s="2" t="s">
        <v>12</v>
      </c>
      <c r="E5395" s="2" t="s">
        <v>12</v>
      </c>
      <c r="F5395" s="2" t="s">
        <v>12</v>
      </c>
      <c r="G5395" s="2" t="s">
        <v>12</v>
      </c>
      <c r="H5395" s="2" t="s">
        <v>12</v>
      </c>
      <c r="I5395" s="2" t="s">
        <v>12</v>
      </c>
      <c r="J5395" s="2" t="s">
        <v>12</v>
      </c>
      <c r="K5395" s="2" t="s">
        <v>12</v>
      </c>
    </row>
    <row r="5396" spans="1:11" ht="12.5" x14ac:dyDescent="0.25">
      <c r="A5396" s="3" t="e">
        <f ca="1"/>
        <v>#NAME?</v>
      </c>
      <c r="B5396" s="2" t="s">
        <v>12</v>
      </c>
      <c r="C5396" s="2" t="s">
        <v>12</v>
      </c>
      <c r="D5396" s="2" t="s">
        <v>12</v>
      </c>
      <c r="E5396" s="2" t="s">
        <v>12</v>
      </c>
      <c r="F5396" s="2" t="s">
        <v>12</v>
      </c>
      <c r="G5396" s="2" t="s">
        <v>12</v>
      </c>
      <c r="H5396" s="2" t="s">
        <v>12</v>
      </c>
      <c r="I5396" s="2" t="s">
        <v>12</v>
      </c>
      <c r="J5396" s="2" t="s">
        <v>12</v>
      </c>
      <c r="K5396" s="2" t="s">
        <v>12</v>
      </c>
    </row>
    <row r="5397" spans="1:11" ht="12.5" x14ac:dyDescent="0.25">
      <c r="A5397" s="3" t="e">
        <f ca="1"/>
        <v>#NAME?</v>
      </c>
      <c r="B5397" s="2" t="s">
        <v>12</v>
      </c>
      <c r="C5397" s="2" t="s">
        <v>12</v>
      </c>
      <c r="D5397" s="2" t="s">
        <v>12</v>
      </c>
      <c r="E5397" s="2" t="s">
        <v>12</v>
      </c>
      <c r="F5397" s="2" t="s">
        <v>12</v>
      </c>
      <c r="G5397" s="2" t="s">
        <v>12</v>
      </c>
      <c r="H5397" s="2" t="s">
        <v>12</v>
      </c>
      <c r="I5397" s="2" t="s">
        <v>12</v>
      </c>
      <c r="J5397" s="2" t="s">
        <v>12</v>
      </c>
      <c r="K5397" s="2" t="s">
        <v>12</v>
      </c>
    </row>
    <row r="5398" spans="1:11" ht="12.5" x14ac:dyDescent="0.25">
      <c r="A5398" s="3" t="e">
        <f ca="1"/>
        <v>#NAME?</v>
      </c>
      <c r="B5398" s="2" t="s">
        <v>12</v>
      </c>
      <c r="C5398" s="2" t="s">
        <v>12</v>
      </c>
      <c r="D5398" s="2" t="s">
        <v>12</v>
      </c>
      <c r="E5398" s="2" t="s">
        <v>12</v>
      </c>
      <c r="F5398" s="2" t="s">
        <v>12</v>
      </c>
      <c r="G5398" s="2" t="s">
        <v>12</v>
      </c>
      <c r="H5398" s="2" t="s">
        <v>12</v>
      </c>
      <c r="I5398" s="2" t="s">
        <v>12</v>
      </c>
      <c r="J5398" s="2" t="s">
        <v>12</v>
      </c>
      <c r="K5398" s="2" t="s">
        <v>12</v>
      </c>
    </row>
    <row r="5399" spans="1:11" ht="12.5" x14ac:dyDescent="0.25">
      <c r="A5399" s="3" t="e">
        <f ca="1"/>
        <v>#NAME?</v>
      </c>
      <c r="B5399" s="2" t="s">
        <v>12</v>
      </c>
      <c r="C5399" s="2" t="s">
        <v>12</v>
      </c>
      <c r="D5399" s="2" t="s">
        <v>12</v>
      </c>
      <c r="E5399" s="2" t="s">
        <v>12</v>
      </c>
      <c r="F5399" s="2" t="s">
        <v>12</v>
      </c>
      <c r="G5399" s="2" t="s">
        <v>12</v>
      </c>
      <c r="H5399" s="2" t="s">
        <v>12</v>
      </c>
      <c r="I5399" s="2" t="s">
        <v>12</v>
      </c>
      <c r="J5399" s="2" t="s">
        <v>12</v>
      </c>
      <c r="K5399" s="2" t="s">
        <v>12</v>
      </c>
    </row>
    <row r="5400" spans="1:11" ht="12.5" x14ac:dyDescent="0.25">
      <c r="A5400" s="3" t="e">
        <f ca="1"/>
        <v>#NAME?</v>
      </c>
      <c r="B5400" s="2" t="s">
        <v>12</v>
      </c>
      <c r="C5400" s="2" t="s">
        <v>12</v>
      </c>
      <c r="D5400" s="2" t="s">
        <v>12</v>
      </c>
      <c r="E5400" s="2" t="s">
        <v>12</v>
      </c>
      <c r="F5400" s="2" t="s">
        <v>12</v>
      </c>
      <c r="G5400" s="2" t="s">
        <v>12</v>
      </c>
      <c r="H5400" s="2" t="s">
        <v>12</v>
      </c>
      <c r="I5400" s="2" t="s">
        <v>12</v>
      </c>
      <c r="J5400" s="2" t="s">
        <v>12</v>
      </c>
      <c r="K5400" s="2" t="s">
        <v>12</v>
      </c>
    </row>
    <row r="5401" spans="1:11" ht="12.5" x14ac:dyDescent="0.25">
      <c r="A5401" s="3" t="e">
        <f ca="1"/>
        <v>#NAME?</v>
      </c>
      <c r="B5401" s="2" t="s">
        <v>12</v>
      </c>
      <c r="C5401" s="2" t="s">
        <v>12</v>
      </c>
      <c r="D5401" s="2" t="s">
        <v>12</v>
      </c>
      <c r="E5401" s="2" t="s">
        <v>12</v>
      </c>
      <c r="F5401" s="2" t="s">
        <v>12</v>
      </c>
      <c r="G5401" s="2" t="s">
        <v>12</v>
      </c>
      <c r="H5401" s="2" t="s">
        <v>12</v>
      </c>
      <c r="I5401" s="2" t="s">
        <v>12</v>
      </c>
      <c r="J5401" s="2" t="s">
        <v>12</v>
      </c>
      <c r="K5401" s="2" t="s">
        <v>12</v>
      </c>
    </row>
    <row r="5402" spans="1:11" ht="12.5" x14ac:dyDescent="0.25">
      <c r="A5402" s="3" t="e">
        <f ca="1"/>
        <v>#NAME?</v>
      </c>
      <c r="B5402" s="2" t="s">
        <v>12</v>
      </c>
      <c r="C5402" s="2" t="s">
        <v>12</v>
      </c>
      <c r="D5402" s="2" t="s">
        <v>12</v>
      </c>
      <c r="E5402" s="2" t="s">
        <v>12</v>
      </c>
      <c r="F5402" s="2" t="s">
        <v>12</v>
      </c>
      <c r="G5402" s="2" t="s">
        <v>12</v>
      </c>
      <c r="H5402" s="2" t="s">
        <v>12</v>
      </c>
      <c r="I5402" s="2" t="s">
        <v>12</v>
      </c>
      <c r="J5402" s="2" t="s">
        <v>12</v>
      </c>
      <c r="K5402" s="2" t="s">
        <v>12</v>
      </c>
    </row>
    <row r="5403" spans="1:11" ht="12.5" x14ac:dyDescent="0.25">
      <c r="A5403" s="3" t="e">
        <f ca="1"/>
        <v>#NAME?</v>
      </c>
      <c r="B5403" s="2" t="s">
        <v>12</v>
      </c>
      <c r="C5403" s="2" t="s">
        <v>12</v>
      </c>
      <c r="D5403" s="2" t="s">
        <v>12</v>
      </c>
      <c r="E5403" s="2" t="s">
        <v>12</v>
      </c>
      <c r="F5403" s="2" t="s">
        <v>12</v>
      </c>
      <c r="G5403" s="2" t="s">
        <v>12</v>
      </c>
      <c r="H5403" s="2" t="s">
        <v>12</v>
      </c>
      <c r="I5403" s="2" t="s">
        <v>12</v>
      </c>
      <c r="J5403" s="2" t="s">
        <v>12</v>
      </c>
      <c r="K5403" s="2" t="s">
        <v>12</v>
      </c>
    </row>
    <row r="5404" spans="1:11" ht="12.5" x14ac:dyDescent="0.25">
      <c r="A5404" s="3" t="e">
        <f ca="1"/>
        <v>#NAME?</v>
      </c>
      <c r="B5404" s="2" t="s">
        <v>12</v>
      </c>
      <c r="C5404" s="2" t="s">
        <v>12</v>
      </c>
      <c r="D5404" s="2" t="s">
        <v>12</v>
      </c>
      <c r="E5404" s="2" t="s">
        <v>12</v>
      </c>
      <c r="F5404" s="2" t="s">
        <v>12</v>
      </c>
      <c r="G5404" s="2" t="s">
        <v>12</v>
      </c>
      <c r="H5404" s="2" t="s">
        <v>12</v>
      </c>
      <c r="I5404" s="2" t="s">
        <v>12</v>
      </c>
      <c r="J5404" s="2" t="s">
        <v>12</v>
      </c>
      <c r="K5404" s="2" t="s">
        <v>12</v>
      </c>
    </row>
    <row r="5405" spans="1:11" ht="12.5" x14ac:dyDescent="0.25">
      <c r="A5405" s="3" t="e">
        <f ca="1"/>
        <v>#NAME?</v>
      </c>
      <c r="B5405" s="2" t="s">
        <v>12</v>
      </c>
      <c r="C5405" s="2" t="s">
        <v>12</v>
      </c>
      <c r="D5405" s="2" t="s">
        <v>12</v>
      </c>
      <c r="E5405" s="2" t="s">
        <v>12</v>
      </c>
      <c r="F5405" s="2" t="s">
        <v>12</v>
      </c>
      <c r="G5405" s="2" t="s">
        <v>12</v>
      </c>
      <c r="H5405" s="2" t="s">
        <v>12</v>
      </c>
      <c r="I5405" s="2" t="s">
        <v>12</v>
      </c>
      <c r="J5405" s="2" t="s">
        <v>12</v>
      </c>
      <c r="K5405" s="2" t="s">
        <v>12</v>
      </c>
    </row>
    <row r="5406" spans="1:11" ht="12.5" x14ac:dyDescent="0.25">
      <c r="A5406" s="3" t="e">
        <f ca="1"/>
        <v>#NAME?</v>
      </c>
      <c r="B5406" s="2" t="s">
        <v>12</v>
      </c>
      <c r="C5406" s="2" t="s">
        <v>12</v>
      </c>
      <c r="D5406" s="2" t="s">
        <v>12</v>
      </c>
      <c r="E5406" s="2" t="s">
        <v>12</v>
      </c>
      <c r="F5406" s="2" t="s">
        <v>12</v>
      </c>
      <c r="G5406" s="2" t="s">
        <v>12</v>
      </c>
      <c r="H5406" s="2" t="s">
        <v>12</v>
      </c>
      <c r="I5406" s="2" t="s">
        <v>12</v>
      </c>
      <c r="J5406" s="2" t="s">
        <v>12</v>
      </c>
      <c r="K5406" s="2" t="s">
        <v>12</v>
      </c>
    </row>
    <row r="5407" spans="1:11" ht="12.5" x14ac:dyDescent="0.25">
      <c r="A5407" s="3" t="e">
        <f ca="1"/>
        <v>#NAME?</v>
      </c>
      <c r="B5407" s="2" t="s">
        <v>12</v>
      </c>
      <c r="C5407" s="2" t="s">
        <v>12</v>
      </c>
      <c r="D5407" s="2" t="s">
        <v>12</v>
      </c>
      <c r="E5407" s="2" t="s">
        <v>12</v>
      </c>
      <c r="F5407" s="2" t="s">
        <v>12</v>
      </c>
      <c r="G5407" s="2" t="s">
        <v>12</v>
      </c>
      <c r="H5407" s="2" t="s">
        <v>12</v>
      </c>
      <c r="I5407" s="2" t="s">
        <v>12</v>
      </c>
      <c r="J5407" s="2" t="s">
        <v>12</v>
      </c>
      <c r="K5407" s="2" t="s">
        <v>12</v>
      </c>
    </row>
    <row r="5408" spans="1:11" ht="12.5" x14ac:dyDescent="0.25">
      <c r="A5408" s="3" t="e">
        <f ca="1"/>
        <v>#NAME?</v>
      </c>
      <c r="B5408" s="2" t="s">
        <v>12</v>
      </c>
      <c r="C5408" s="2" t="s">
        <v>12</v>
      </c>
      <c r="D5408" s="2" t="s">
        <v>12</v>
      </c>
      <c r="E5408" s="2" t="s">
        <v>12</v>
      </c>
      <c r="F5408" s="2" t="s">
        <v>12</v>
      </c>
      <c r="G5408" s="2" t="s">
        <v>12</v>
      </c>
      <c r="H5408" s="2" t="s">
        <v>12</v>
      </c>
      <c r="I5408" s="2" t="s">
        <v>12</v>
      </c>
      <c r="J5408" s="2" t="s">
        <v>12</v>
      </c>
      <c r="K5408" s="2" t="s">
        <v>12</v>
      </c>
    </row>
    <row r="5409" spans="1:11" ht="12.5" x14ac:dyDescent="0.25">
      <c r="A5409" s="3" t="e">
        <f ca="1"/>
        <v>#NAME?</v>
      </c>
      <c r="B5409" s="2" t="s">
        <v>12</v>
      </c>
      <c r="C5409" s="2" t="s">
        <v>12</v>
      </c>
      <c r="D5409" s="2" t="s">
        <v>12</v>
      </c>
      <c r="E5409" s="2" t="s">
        <v>12</v>
      </c>
      <c r="F5409" s="2" t="s">
        <v>12</v>
      </c>
      <c r="G5409" s="2" t="s">
        <v>12</v>
      </c>
      <c r="H5409" s="2" t="s">
        <v>12</v>
      </c>
      <c r="I5409" s="2" t="s">
        <v>12</v>
      </c>
      <c r="J5409" s="2" t="s">
        <v>12</v>
      </c>
      <c r="K5409" s="2" t="s">
        <v>12</v>
      </c>
    </row>
    <row r="5410" spans="1:11" ht="12.5" x14ac:dyDescent="0.25">
      <c r="A5410" s="3" t="e">
        <f ca="1"/>
        <v>#NAME?</v>
      </c>
      <c r="B5410" s="2" t="s">
        <v>12</v>
      </c>
      <c r="C5410" s="2" t="s">
        <v>12</v>
      </c>
      <c r="D5410" s="2" t="s">
        <v>12</v>
      </c>
      <c r="E5410" s="2" t="s">
        <v>12</v>
      </c>
      <c r="F5410" s="2" t="s">
        <v>12</v>
      </c>
      <c r="G5410" s="2" t="s">
        <v>12</v>
      </c>
      <c r="H5410" s="2" t="s">
        <v>12</v>
      </c>
      <c r="I5410" s="2" t="s">
        <v>12</v>
      </c>
      <c r="J5410" s="2" t="s">
        <v>12</v>
      </c>
      <c r="K5410" s="2" t="s">
        <v>12</v>
      </c>
    </row>
    <row r="5411" spans="1:11" ht="12.5" x14ac:dyDescent="0.25">
      <c r="A5411" s="3" t="e">
        <f ca="1"/>
        <v>#NAME?</v>
      </c>
      <c r="B5411" s="2" t="s">
        <v>12</v>
      </c>
      <c r="C5411" s="2" t="s">
        <v>12</v>
      </c>
      <c r="D5411" s="2" t="s">
        <v>12</v>
      </c>
      <c r="E5411" s="2" t="s">
        <v>12</v>
      </c>
      <c r="F5411" s="2" t="s">
        <v>12</v>
      </c>
      <c r="G5411" s="2" t="s">
        <v>12</v>
      </c>
      <c r="H5411" s="2" t="s">
        <v>12</v>
      </c>
      <c r="I5411" s="2" t="s">
        <v>12</v>
      </c>
      <c r="J5411" s="2" t="s">
        <v>12</v>
      </c>
      <c r="K5411" s="2" t="s">
        <v>12</v>
      </c>
    </row>
    <row r="5412" spans="1:11" ht="12.5" x14ac:dyDescent="0.25">
      <c r="A5412" s="3" t="e">
        <f ca="1"/>
        <v>#NAME?</v>
      </c>
      <c r="B5412" s="2" t="s">
        <v>12</v>
      </c>
      <c r="C5412" s="2" t="s">
        <v>12</v>
      </c>
      <c r="D5412" s="2" t="s">
        <v>12</v>
      </c>
      <c r="E5412" s="2" t="s">
        <v>12</v>
      </c>
      <c r="F5412" s="2" t="s">
        <v>12</v>
      </c>
      <c r="G5412" s="2" t="s">
        <v>12</v>
      </c>
      <c r="H5412" s="2" t="s">
        <v>12</v>
      </c>
      <c r="I5412" s="2" t="s">
        <v>12</v>
      </c>
      <c r="J5412" s="2" t="s">
        <v>12</v>
      </c>
      <c r="K5412" s="2" t="s">
        <v>12</v>
      </c>
    </row>
    <row r="5413" spans="1:11" ht="12.5" x14ac:dyDescent="0.25">
      <c r="A5413" s="3" t="e">
        <f ca="1"/>
        <v>#NAME?</v>
      </c>
      <c r="B5413" s="2" t="s">
        <v>12</v>
      </c>
      <c r="C5413" s="2" t="s">
        <v>12</v>
      </c>
      <c r="D5413" s="2" t="s">
        <v>12</v>
      </c>
      <c r="E5413" s="2" t="s">
        <v>12</v>
      </c>
      <c r="F5413" s="2" t="s">
        <v>12</v>
      </c>
      <c r="G5413" s="2" t="s">
        <v>12</v>
      </c>
      <c r="H5413" s="2" t="s">
        <v>12</v>
      </c>
      <c r="I5413" s="2" t="s">
        <v>12</v>
      </c>
      <c r="J5413" s="2" t="s">
        <v>12</v>
      </c>
      <c r="K5413" s="2" t="s">
        <v>12</v>
      </c>
    </row>
    <row r="5414" spans="1:11" ht="12.5" x14ac:dyDescent="0.25">
      <c r="A5414" s="3" t="e">
        <f ca="1"/>
        <v>#NAME?</v>
      </c>
      <c r="B5414" s="2" t="s">
        <v>12</v>
      </c>
      <c r="C5414" s="2" t="s">
        <v>12</v>
      </c>
      <c r="D5414" s="2" t="s">
        <v>12</v>
      </c>
      <c r="E5414" s="2" t="s">
        <v>12</v>
      </c>
      <c r="F5414" s="2" t="s">
        <v>12</v>
      </c>
      <c r="G5414" s="2" t="s">
        <v>12</v>
      </c>
      <c r="H5414" s="2" t="s">
        <v>12</v>
      </c>
      <c r="I5414" s="2" t="s">
        <v>12</v>
      </c>
      <c r="J5414" s="2" t="s">
        <v>12</v>
      </c>
      <c r="K5414" s="2" t="s">
        <v>12</v>
      </c>
    </row>
    <row r="5415" spans="1:11" ht="12.5" x14ac:dyDescent="0.25">
      <c r="A5415" s="3" t="e">
        <f ca="1"/>
        <v>#NAME?</v>
      </c>
      <c r="B5415" s="2" t="s">
        <v>12</v>
      </c>
      <c r="C5415" s="2" t="s">
        <v>12</v>
      </c>
      <c r="D5415" s="2" t="s">
        <v>12</v>
      </c>
      <c r="E5415" s="2" t="s">
        <v>12</v>
      </c>
      <c r="F5415" s="2" t="s">
        <v>12</v>
      </c>
      <c r="G5415" s="2" t="s">
        <v>12</v>
      </c>
      <c r="H5415" s="2" t="s">
        <v>12</v>
      </c>
      <c r="I5415" s="2" t="s">
        <v>12</v>
      </c>
      <c r="J5415" s="2" t="s">
        <v>12</v>
      </c>
      <c r="K5415" s="2" t="s">
        <v>12</v>
      </c>
    </row>
    <row r="5416" spans="1:11" ht="12.5" x14ac:dyDescent="0.25">
      <c r="A5416" s="3" t="e">
        <f ca="1"/>
        <v>#NAME?</v>
      </c>
      <c r="B5416" s="2" t="s">
        <v>12</v>
      </c>
      <c r="C5416" s="2" t="s">
        <v>12</v>
      </c>
      <c r="D5416" s="2" t="s">
        <v>12</v>
      </c>
      <c r="E5416" s="2" t="s">
        <v>12</v>
      </c>
      <c r="F5416" s="2" t="s">
        <v>12</v>
      </c>
      <c r="G5416" s="2" t="s">
        <v>12</v>
      </c>
      <c r="H5416" s="2" t="s">
        <v>12</v>
      </c>
      <c r="I5416" s="2" t="s">
        <v>12</v>
      </c>
      <c r="J5416" s="2" t="s">
        <v>12</v>
      </c>
      <c r="K5416" s="2" t="s">
        <v>12</v>
      </c>
    </row>
    <row r="5417" spans="1:11" ht="12.5" x14ac:dyDescent="0.25">
      <c r="A5417" s="3" t="e">
        <f ca="1"/>
        <v>#NAME?</v>
      </c>
      <c r="B5417" s="2" t="s">
        <v>12</v>
      </c>
      <c r="C5417" s="2" t="s">
        <v>12</v>
      </c>
      <c r="D5417" s="2" t="s">
        <v>12</v>
      </c>
      <c r="E5417" s="2" t="s">
        <v>12</v>
      </c>
      <c r="F5417" s="2" t="s">
        <v>12</v>
      </c>
      <c r="G5417" s="2" t="s">
        <v>12</v>
      </c>
      <c r="H5417" s="2" t="s">
        <v>12</v>
      </c>
      <c r="I5417" s="2" t="s">
        <v>12</v>
      </c>
      <c r="J5417" s="2" t="s">
        <v>12</v>
      </c>
      <c r="K5417" s="2" t="s">
        <v>12</v>
      </c>
    </row>
    <row r="5418" spans="1:11" ht="12.5" x14ac:dyDescent="0.25">
      <c r="A5418" s="3" t="e">
        <f ca="1"/>
        <v>#NAME?</v>
      </c>
      <c r="B5418" s="2" t="s">
        <v>12</v>
      </c>
      <c r="C5418" s="2" t="s">
        <v>12</v>
      </c>
      <c r="D5418" s="2" t="s">
        <v>12</v>
      </c>
      <c r="E5418" s="2" t="s">
        <v>12</v>
      </c>
      <c r="F5418" s="2" t="s">
        <v>12</v>
      </c>
      <c r="G5418" s="2" t="s">
        <v>12</v>
      </c>
      <c r="H5418" s="2" t="s">
        <v>12</v>
      </c>
      <c r="I5418" s="2" t="s">
        <v>12</v>
      </c>
      <c r="J5418" s="2" t="s">
        <v>12</v>
      </c>
      <c r="K5418" s="2" t="s">
        <v>12</v>
      </c>
    </row>
    <row r="5419" spans="1:11" ht="12.5" x14ac:dyDescent="0.25">
      <c r="A5419" s="3" t="e">
        <f ca="1"/>
        <v>#NAME?</v>
      </c>
      <c r="B5419" s="2" t="s">
        <v>12</v>
      </c>
      <c r="C5419" s="2" t="s">
        <v>12</v>
      </c>
      <c r="D5419" s="2" t="s">
        <v>12</v>
      </c>
      <c r="E5419" s="2" t="s">
        <v>12</v>
      </c>
      <c r="F5419" s="2" t="s">
        <v>12</v>
      </c>
      <c r="G5419" s="2" t="s">
        <v>12</v>
      </c>
      <c r="H5419" s="2" t="s">
        <v>12</v>
      </c>
      <c r="I5419" s="2" t="s">
        <v>12</v>
      </c>
      <c r="J5419" s="2" t="s">
        <v>12</v>
      </c>
      <c r="K5419" s="2" t="s">
        <v>12</v>
      </c>
    </row>
    <row r="5420" spans="1:11" ht="12.5" x14ac:dyDescent="0.25">
      <c r="A5420" s="3" t="e">
        <f ca="1"/>
        <v>#NAME?</v>
      </c>
      <c r="B5420" s="2" t="s">
        <v>12</v>
      </c>
      <c r="C5420" s="2" t="s">
        <v>12</v>
      </c>
      <c r="D5420" s="2" t="s">
        <v>12</v>
      </c>
      <c r="E5420" s="2" t="s">
        <v>12</v>
      </c>
      <c r="F5420" s="2" t="s">
        <v>12</v>
      </c>
      <c r="G5420" s="2" t="s">
        <v>12</v>
      </c>
      <c r="H5420" s="2" t="s">
        <v>12</v>
      </c>
      <c r="I5420" s="2" t="s">
        <v>12</v>
      </c>
      <c r="J5420" s="2" t="s">
        <v>12</v>
      </c>
      <c r="K5420" s="2" t="s">
        <v>12</v>
      </c>
    </row>
    <row r="5421" spans="1:11" ht="12.5" x14ac:dyDescent="0.25">
      <c r="A5421" s="3" t="e">
        <f ca="1"/>
        <v>#NAME?</v>
      </c>
      <c r="B5421" s="2" t="s">
        <v>12</v>
      </c>
      <c r="C5421" s="2" t="s">
        <v>12</v>
      </c>
      <c r="D5421" s="2" t="s">
        <v>12</v>
      </c>
      <c r="E5421" s="2" t="s">
        <v>12</v>
      </c>
      <c r="F5421" s="2" t="s">
        <v>12</v>
      </c>
      <c r="G5421" s="2" t="s">
        <v>12</v>
      </c>
      <c r="H5421" s="2" t="s">
        <v>12</v>
      </c>
      <c r="I5421" s="2" t="s">
        <v>12</v>
      </c>
      <c r="J5421" s="2" t="s">
        <v>12</v>
      </c>
      <c r="K5421" s="2" t="s">
        <v>12</v>
      </c>
    </row>
    <row r="5422" spans="1:11" ht="12.5" x14ac:dyDescent="0.25">
      <c r="A5422" s="3" t="e">
        <f ca="1"/>
        <v>#NAME?</v>
      </c>
      <c r="B5422" s="2" t="s">
        <v>12</v>
      </c>
      <c r="C5422" s="2" t="s">
        <v>12</v>
      </c>
      <c r="D5422" s="2" t="s">
        <v>12</v>
      </c>
      <c r="E5422" s="2" t="s">
        <v>12</v>
      </c>
      <c r="F5422" s="2" t="s">
        <v>12</v>
      </c>
      <c r="G5422" s="2" t="s">
        <v>12</v>
      </c>
      <c r="H5422" s="2" t="s">
        <v>12</v>
      </c>
      <c r="I5422" s="2" t="s">
        <v>12</v>
      </c>
      <c r="J5422" s="2" t="s">
        <v>12</v>
      </c>
      <c r="K5422" s="2" t="s">
        <v>12</v>
      </c>
    </row>
    <row r="5423" spans="1:11" ht="12.5" x14ac:dyDescent="0.25">
      <c r="A5423" s="3" t="e">
        <f ca="1"/>
        <v>#NAME?</v>
      </c>
      <c r="B5423" s="2" t="s">
        <v>12</v>
      </c>
      <c r="C5423" s="2" t="s">
        <v>12</v>
      </c>
      <c r="D5423" s="2" t="s">
        <v>12</v>
      </c>
      <c r="E5423" s="2" t="s">
        <v>12</v>
      </c>
      <c r="F5423" s="2" t="s">
        <v>12</v>
      </c>
      <c r="G5423" s="2" t="s">
        <v>12</v>
      </c>
      <c r="H5423" s="2" t="s">
        <v>12</v>
      </c>
      <c r="I5423" s="2" t="s">
        <v>12</v>
      </c>
      <c r="J5423" s="2" t="s">
        <v>12</v>
      </c>
      <c r="K5423" s="2" t="s">
        <v>12</v>
      </c>
    </row>
    <row r="5424" spans="1:11" ht="12.5" x14ac:dyDescent="0.25">
      <c r="A5424" s="3" t="e">
        <f ca="1"/>
        <v>#NAME?</v>
      </c>
      <c r="B5424" s="2" t="s">
        <v>12</v>
      </c>
      <c r="C5424" s="2" t="s">
        <v>12</v>
      </c>
      <c r="D5424" s="2" t="s">
        <v>12</v>
      </c>
      <c r="E5424" s="2" t="s">
        <v>12</v>
      </c>
      <c r="F5424" s="2" t="s">
        <v>12</v>
      </c>
      <c r="G5424" s="2" t="s">
        <v>12</v>
      </c>
      <c r="H5424" s="2" t="s">
        <v>12</v>
      </c>
      <c r="I5424" s="2" t="s">
        <v>12</v>
      </c>
      <c r="J5424" s="2" t="s">
        <v>12</v>
      </c>
      <c r="K5424" s="2" t="s">
        <v>12</v>
      </c>
    </row>
    <row r="5425" spans="1:11" ht="12.5" x14ac:dyDescent="0.25">
      <c r="A5425" s="3" t="e">
        <f ca="1"/>
        <v>#NAME?</v>
      </c>
      <c r="B5425" s="2" t="s">
        <v>12</v>
      </c>
      <c r="C5425" s="2" t="s">
        <v>12</v>
      </c>
      <c r="D5425" s="2" t="s">
        <v>12</v>
      </c>
      <c r="E5425" s="2" t="s">
        <v>12</v>
      </c>
      <c r="F5425" s="2" t="s">
        <v>12</v>
      </c>
      <c r="G5425" s="2" t="s">
        <v>12</v>
      </c>
      <c r="H5425" s="2" t="s">
        <v>12</v>
      </c>
      <c r="I5425" s="2" t="s">
        <v>12</v>
      </c>
      <c r="J5425" s="2" t="s">
        <v>12</v>
      </c>
      <c r="K5425" s="2" t="s">
        <v>12</v>
      </c>
    </row>
    <row r="5426" spans="1:11" ht="12.5" x14ac:dyDescent="0.25">
      <c r="A5426" s="3" t="e">
        <f ca="1"/>
        <v>#NAME?</v>
      </c>
      <c r="B5426" s="2" t="s">
        <v>12</v>
      </c>
      <c r="C5426" s="2" t="s">
        <v>12</v>
      </c>
      <c r="D5426" s="2" t="s">
        <v>12</v>
      </c>
      <c r="E5426" s="2" t="s">
        <v>12</v>
      </c>
      <c r="F5426" s="2" t="s">
        <v>12</v>
      </c>
      <c r="G5426" s="2" t="s">
        <v>12</v>
      </c>
      <c r="H5426" s="2" t="s">
        <v>12</v>
      </c>
      <c r="I5426" s="2" t="s">
        <v>12</v>
      </c>
      <c r="J5426" s="2" t="s">
        <v>12</v>
      </c>
      <c r="K5426" s="2" t="s">
        <v>12</v>
      </c>
    </row>
    <row r="5427" spans="1:11" ht="12.5" x14ac:dyDescent="0.25">
      <c r="A5427" s="3" t="e">
        <f ca="1"/>
        <v>#NAME?</v>
      </c>
      <c r="B5427" s="2" t="s">
        <v>12</v>
      </c>
      <c r="C5427" s="2" t="s">
        <v>12</v>
      </c>
      <c r="D5427" s="2" t="s">
        <v>12</v>
      </c>
      <c r="E5427" s="2" t="s">
        <v>12</v>
      </c>
      <c r="F5427" s="2" t="s">
        <v>12</v>
      </c>
      <c r="G5427" s="2" t="s">
        <v>12</v>
      </c>
      <c r="H5427" s="2" t="s">
        <v>12</v>
      </c>
      <c r="I5427" s="2" t="s">
        <v>12</v>
      </c>
      <c r="J5427" s="2" t="s">
        <v>12</v>
      </c>
      <c r="K5427" s="2" t="s">
        <v>12</v>
      </c>
    </row>
    <row r="5428" spans="1:11" ht="12.5" x14ac:dyDescent="0.25">
      <c r="A5428" s="3" t="e">
        <f ca="1"/>
        <v>#NAME?</v>
      </c>
      <c r="B5428" s="2" t="s">
        <v>12</v>
      </c>
      <c r="C5428" s="2" t="s">
        <v>12</v>
      </c>
      <c r="D5428" s="2" t="s">
        <v>12</v>
      </c>
      <c r="E5428" s="2" t="s">
        <v>12</v>
      </c>
      <c r="F5428" s="2" t="s">
        <v>12</v>
      </c>
      <c r="G5428" s="2" t="s">
        <v>12</v>
      </c>
      <c r="H5428" s="2" t="s">
        <v>12</v>
      </c>
      <c r="I5428" s="2" t="s">
        <v>12</v>
      </c>
      <c r="J5428" s="2" t="s">
        <v>12</v>
      </c>
      <c r="K5428" s="2" t="s">
        <v>12</v>
      </c>
    </row>
    <row r="5429" spans="1:11" ht="12.5" x14ac:dyDescent="0.25">
      <c r="A5429" s="3" t="e">
        <f ca="1"/>
        <v>#NAME?</v>
      </c>
      <c r="B5429" s="2" t="s">
        <v>12</v>
      </c>
      <c r="C5429" s="2" t="s">
        <v>12</v>
      </c>
      <c r="D5429" s="2" t="s">
        <v>12</v>
      </c>
      <c r="E5429" s="2" t="s">
        <v>12</v>
      </c>
      <c r="F5429" s="2" t="s">
        <v>12</v>
      </c>
      <c r="G5429" s="2" t="s">
        <v>12</v>
      </c>
      <c r="H5429" s="2" t="s">
        <v>12</v>
      </c>
      <c r="I5429" s="2" t="s">
        <v>12</v>
      </c>
      <c r="J5429" s="2" t="s">
        <v>12</v>
      </c>
      <c r="K5429" s="2" t="s">
        <v>12</v>
      </c>
    </row>
    <row r="5430" spans="1:11" ht="12.5" x14ac:dyDescent="0.25">
      <c r="A5430" s="3" t="e">
        <f ca="1"/>
        <v>#NAME?</v>
      </c>
      <c r="B5430" s="2" t="s">
        <v>12</v>
      </c>
      <c r="C5430" s="2" t="s">
        <v>12</v>
      </c>
      <c r="D5430" s="2" t="s">
        <v>12</v>
      </c>
      <c r="E5430" s="2" t="s">
        <v>12</v>
      </c>
      <c r="F5430" s="2" t="s">
        <v>12</v>
      </c>
      <c r="G5430" s="2" t="s">
        <v>12</v>
      </c>
      <c r="H5430" s="2" t="s">
        <v>12</v>
      </c>
      <c r="I5430" s="2" t="s">
        <v>12</v>
      </c>
      <c r="J5430" s="2" t="s">
        <v>12</v>
      </c>
      <c r="K5430" s="2" t="s">
        <v>12</v>
      </c>
    </row>
    <row r="5431" spans="1:11" ht="12.5" x14ac:dyDescent="0.25">
      <c r="A5431" s="3" t="e">
        <f ca="1"/>
        <v>#NAME?</v>
      </c>
      <c r="B5431" s="2" t="s">
        <v>12</v>
      </c>
      <c r="C5431" s="2" t="s">
        <v>12</v>
      </c>
      <c r="D5431" s="2" t="s">
        <v>12</v>
      </c>
      <c r="E5431" s="2" t="s">
        <v>12</v>
      </c>
      <c r="F5431" s="2" t="s">
        <v>12</v>
      </c>
      <c r="G5431" s="2" t="s">
        <v>12</v>
      </c>
      <c r="H5431" s="2" t="s">
        <v>12</v>
      </c>
      <c r="I5431" s="2" t="s">
        <v>12</v>
      </c>
      <c r="J5431" s="2" t="s">
        <v>12</v>
      </c>
      <c r="K5431" s="2" t="s">
        <v>12</v>
      </c>
    </row>
    <row r="5432" spans="1:11" ht="12.5" x14ac:dyDescent="0.25">
      <c r="A5432" s="3" t="e">
        <f ca="1"/>
        <v>#NAME?</v>
      </c>
      <c r="B5432" s="2" t="s">
        <v>12</v>
      </c>
      <c r="C5432" s="2" t="s">
        <v>12</v>
      </c>
      <c r="D5432" s="2" t="s">
        <v>12</v>
      </c>
      <c r="E5432" s="2" t="s">
        <v>12</v>
      </c>
      <c r="F5432" s="2" t="s">
        <v>12</v>
      </c>
      <c r="G5432" s="2" t="s">
        <v>12</v>
      </c>
      <c r="H5432" s="2" t="s">
        <v>12</v>
      </c>
      <c r="I5432" s="2" t="s">
        <v>12</v>
      </c>
      <c r="J5432" s="2" t="s">
        <v>12</v>
      </c>
      <c r="K5432" s="2" t="s">
        <v>12</v>
      </c>
    </row>
    <row r="5433" spans="1:11" ht="12.5" x14ac:dyDescent="0.25">
      <c r="A5433" s="3" t="e">
        <f ca="1"/>
        <v>#NAME?</v>
      </c>
      <c r="B5433" s="2" t="s">
        <v>12</v>
      </c>
      <c r="C5433" s="2" t="s">
        <v>12</v>
      </c>
      <c r="D5433" s="2" t="s">
        <v>12</v>
      </c>
      <c r="E5433" s="2" t="s">
        <v>12</v>
      </c>
      <c r="F5433" s="2" t="s">
        <v>12</v>
      </c>
      <c r="G5433" s="2" t="s">
        <v>12</v>
      </c>
      <c r="H5433" s="2" t="s">
        <v>12</v>
      </c>
      <c r="I5433" s="2" t="s">
        <v>12</v>
      </c>
      <c r="J5433" s="2" t="s">
        <v>12</v>
      </c>
      <c r="K5433" s="2" t="s">
        <v>12</v>
      </c>
    </row>
    <row r="5434" spans="1:11" ht="12.5" x14ac:dyDescent="0.25">
      <c r="A5434" s="3" t="e">
        <f ca="1"/>
        <v>#NAME?</v>
      </c>
      <c r="B5434" s="2" t="s">
        <v>12</v>
      </c>
      <c r="C5434" s="2" t="s">
        <v>12</v>
      </c>
      <c r="D5434" s="2" t="s">
        <v>12</v>
      </c>
      <c r="E5434" s="2" t="s">
        <v>12</v>
      </c>
      <c r="F5434" s="2" t="s">
        <v>12</v>
      </c>
      <c r="G5434" s="2" t="s">
        <v>12</v>
      </c>
      <c r="H5434" s="2" t="s">
        <v>12</v>
      </c>
      <c r="I5434" s="2" t="s">
        <v>12</v>
      </c>
      <c r="J5434" s="2" t="s">
        <v>12</v>
      </c>
      <c r="K5434" s="2" t="s">
        <v>12</v>
      </c>
    </row>
    <row r="5435" spans="1:11" ht="12.5" x14ac:dyDescent="0.25">
      <c r="A5435" s="3" t="e">
        <f ca="1"/>
        <v>#NAME?</v>
      </c>
      <c r="B5435" s="2" t="s">
        <v>12</v>
      </c>
      <c r="C5435" s="2" t="s">
        <v>12</v>
      </c>
      <c r="D5435" s="2" t="s">
        <v>12</v>
      </c>
      <c r="E5435" s="2" t="s">
        <v>12</v>
      </c>
      <c r="F5435" s="2" t="s">
        <v>12</v>
      </c>
      <c r="G5435" s="2" t="s">
        <v>12</v>
      </c>
      <c r="H5435" s="2" t="s">
        <v>12</v>
      </c>
      <c r="I5435" s="2" t="s">
        <v>12</v>
      </c>
      <c r="J5435" s="2" t="s">
        <v>12</v>
      </c>
      <c r="K5435" s="2" t="s">
        <v>12</v>
      </c>
    </row>
    <row r="5436" spans="1:11" ht="12.5" x14ac:dyDescent="0.25">
      <c r="A5436" s="3" t="e">
        <f ca="1"/>
        <v>#NAME?</v>
      </c>
      <c r="B5436" s="2" t="s">
        <v>12</v>
      </c>
      <c r="C5436" s="2" t="s">
        <v>12</v>
      </c>
      <c r="D5436" s="2" t="s">
        <v>12</v>
      </c>
      <c r="E5436" s="2" t="s">
        <v>12</v>
      </c>
      <c r="F5436" s="2" t="s">
        <v>12</v>
      </c>
      <c r="G5436" s="2" t="s">
        <v>12</v>
      </c>
      <c r="H5436" s="2" t="s">
        <v>12</v>
      </c>
      <c r="I5436" s="2" t="s">
        <v>12</v>
      </c>
      <c r="J5436" s="2" t="s">
        <v>12</v>
      </c>
      <c r="K5436" s="2" t="s">
        <v>12</v>
      </c>
    </row>
    <row r="5437" spans="1:11" ht="12.5" x14ac:dyDescent="0.25">
      <c r="A5437" s="3" t="e">
        <f ca="1"/>
        <v>#NAME?</v>
      </c>
      <c r="B5437" s="2" t="s">
        <v>12</v>
      </c>
      <c r="C5437" s="2" t="s">
        <v>12</v>
      </c>
      <c r="D5437" s="2" t="s">
        <v>12</v>
      </c>
      <c r="E5437" s="2" t="s">
        <v>12</v>
      </c>
      <c r="F5437" s="2" t="s">
        <v>12</v>
      </c>
      <c r="G5437" s="2" t="s">
        <v>12</v>
      </c>
      <c r="H5437" s="2" t="s">
        <v>12</v>
      </c>
      <c r="I5437" s="2" t="s">
        <v>12</v>
      </c>
      <c r="J5437" s="2" t="s">
        <v>12</v>
      </c>
      <c r="K5437" s="2" t="s">
        <v>12</v>
      </c>
    </row>
    <row r="5438" spans="1:11" ht="12.5" x14ac:dyDescent="0.25">
      <c r="A5438" s="3" t="e">
        <f ca="1"/>
        <v>#NAME?</v>
      </c>
      <c r="B5438" s="2" t="s">
        <v>12</v>
      </c>
      <c r="C5438" s="2" t="s">
        <v>12</v>
      </c>
      <c r="D5438" s="2" t="s">
        <v>12</v>
      </c>
      <c r="E5438" s="2" t="s">
        <v>12</v>
      </c>
      <c r="F5438" s="2" t="s">
        <v>12</v>
      </c>
      <c r="G5438" s="2" t="s">
        <v>12</v>
      </c>
      <c r="H5438" s="2" t="s">
        <v>12</v>
      </c>
      <c r="I5438" s="2" t="s">
        <v>12</v>
      </c>
      <c r="J5438" s="2" t="s">
        <v>12</v>
      </c>
      <c r="K5438" s="2" t="s">
        <v>12</v>
      </c>
    </row>
    <row r="5439" spans="1:11" ht="12.5" x14ac:dyDescent="0.25">
      <c r="A5439" s="3" t="e">
        <f ca="1"/>
        <v>#NAME?</v>
      </c>
      <c r="B5439" s="2" t="s">
        <v>12</v>
      </c>
      <c r="C5439" s="2" t="s">
        <v>12</v>
      </c>
      <c r="D5439" s="2" t="s">
        <v>12</v>
      </c>
      <c r="E5439" s="2" t="s">
        <v>12</v>
      </c>
      <c r="F5439" s="2" t="s">
        <v>12</v>
      </c>
      <c r="G5439" s="2" t="s">
        <v>12</v>
      </c>
      <c r="H5439" s="2" t="s">
        <v>12</v>
      </c>
      <c r="I5439" s="2" t="s">
        <v>12</v>
      </c>
      <c r="J5439" s="2" t="s">
        <v>12</v>
      </c>
      <c r="K5439" s="2" t="s">
        <v>12</v>
      </c>
    </row>
    <row r="5440" spans="1:11" ht="12.5" x14ac:dyDescent="0.25">
      <c r="A5440" s="3" t="e">
        <f ca="1"/>
        <v>#NAME?</v>
      </c>
      <c r="B5440" s="2" t="s">
        <v>12</v>
      </c>
      <c r="C5440" s="2" t="s">
        <v>12</v>
      </c>
      <c r="D5440" s="2" t="s">
        <v>12</v>
      </c>
      <c r="E5440" s="2" t="s">
        <v>12</v>
      </c>
      <c r="F5440" s="2" t="s">
        <v>12</v>
      </c>
      <c r="G5440" s="2" t="s">
        <v>12</v>
      </c>
      <c r="H5440" s="2" t="s">
        <v>12</v>
      </c>
      <c r="I5440" s="2" t="s">
        <v>12</v>
      </c>
      <c r="J5440" s="2" t="s">
        <v>12</v>
      </c>
      <c r="K5440" s="2" t="s">
        <v>12</v>
      </c>
    </row>
    <row r="5441" spans="1:11" ht="12.5" x14ac:dyDescent="0.25">
      <c r="A5441" s="3" t="e">
        <f ca="1"/>
        <v>#NAME?</v>
      </c>
      <c r="B5441" s="2" t="s">
        <v>12</v>
      </c>
      <c r="C5441" s="2" t="s">
        <v>12</v>
      </c>
      <c r="D5441" s="2" t="s">
        <v>12</v>
      </c>
      <c r="E5441" s="2" t="s">
        <v>12</v>
      </c>
      <c r="F5441" s="2" t="s">
        <v>12</v>
      </c>
      <c r="G5441" s="2" t="s">
        <v>12</v>
      </c>
      <c r="H5441" s="2" t="s">
        <v>12</v>
      </c>
      <c r="I5441" s="2" t="s">
        <v>12</v>
      </c>
      <c r="J5441" s="2" t="s">
        <v>12</v>
      </c>
      <c r="K5441" s="2" t="s">
        <v>12</v>
      </c>
    </row>
    <row r="5442" spans="1:11" ht="12.5" x14ac:dyDescent="0.25">
      <c r="A5442" s="3" t="e">
        <f ca="1"/>
        <v>#NAME?</v>
      </c>
      <c r="B5442" s="2" t="s">
        <v>12</v>
      </c>
      <c r="C5442" s="2" t="s">
        <v>12</v>
      </c>
      <c r="D5442" s="2" t="s">
        <v>12</v>
      </c>
      <c r="E5442" s="2" t="s">
        <v>12</v>
      </c>
      <c r="F5442" s="2" t="s">
        <v>12</v>
      </c>
      <c r="G5442" s="2" t="s">
        <v>12</v>
      </c>
      <c r="H5442" s="2" t="s">
        <v>12</v>
      </c>
      <c r="I5442" s="2" t="s">
        <v>12</v>
      </c>
      <c r="J5442" s="2" t="s">
        <v>12</v>
      </c>
      <c r="K5442" s="2" t="s">
        <v>12</v>
      </c>
    </row>
    <row r="5443" spans="1:11" ht="12.5" x14ac:dyDescent="0.25">
      <c r="A5443" s="3" t="e">
        <f ca="1"/>
        <v>#NAME?</v>
      </c>
      <c r="B5443" s="2" t="s">
        <v>12</v>
      </c>
      <c r="C5443" s="2" t="s">
        <v>12</v>
      </c>
      <c r="D5443" s="2" t="s">
        <v>12</v>
      </c>
      <c r="E5443" s="2" t="s">
        <v>12</v>
      </c>
      <c r="F5443" s="2" t="s">
        <v>12</v>
      </c>
      <c r="G5443" s="2" t="s">
        <v>12</v>
      </c>
      <c r="H5443" s="2" t="s">
        <v>12</v>
      </c>
      <c r="I5443" s="2" t="s">
        <v>12</v>
      </c>
      <c r="J5443" s="2" t="s">
        <v>12</v>
      </c>
      <c r="K5443" s="2" t="s">
        <v>12</v>
      </c>
    </row>
    <row r="5444" spans="1:11" ht="12.5" x14ac:dyDescent="0.25">
      <c r="A5444" s="3" t="e">
        <f ca="1"/>
        <v>#NAME?</v>
      </c>
      <c r="B5444" s="2" t="s">
        <v>12</v>
      </c>
      <c r="C5444" s="2" t="s">
        <v>12</v>
      </c>
      <c r="D5444" s="2" t="s">
        <v>12</v>
      </c>
      <c r="E5444" s="2" t="s">
        <v>12</v>
      </c>
      <c r="F5444" s="2" t="s">
        <v>12</v>
      </c>
      <c r="G5444" s="2" t="s">
        <v>12</v>
      </c>
      <c r="H5444" s="2" t="s">
        <v>12</v>
      </c>
      <c r="I5444" s="2" t="s">
        <v>12</v>
      </c>
      <c r="J5444" s="2" t="s">
        <v>12</v>
      </c>
      <c r="K5444" s="2" t="s">
        <v>12</v>
      </c>
    </row>
    <row r="5445" spans="1:11" ht="12.5" x14ac:dyDescent="0.25">
      <c r="A5445" s="3" t="e">
        <f ca="1"/>
        <v>#NAME?</v>
      </c>
      <c r="B5445" s="2" t="s">
        <v>12</v>
      </c>
      <c r="C5445" s="2" t="s">
        <v>12</v>
      </c>
      <c r="D5445" s="2" t="s">
        <v>12</v>
      </c>
      <c r="E5445" s="2" t="s">
        <v>12</v>
      </c>
      <c r="F5445" s="2" t="s">
        <v>12</v>
      </c>
      <c r="G5445" s="2" t="s">
        <v>12</v>
      </c>
      <c r="H5445" s="2" t="s">
        <v>12</v>
      </c>
      <c r="I5445" s="2" t="s">
        <v>12</v>
      </c>
      <c r="J5445" s="2" t="s">
        <v>12</v>
      </c>
      <c r="K5445" s="2" t="s">
        <v>12</v>
      </c>
    </row>
    <row r="5446" spans="1:11" ht="12.5" x14ac:dyDescent="0.25">
      <c r="A5446" s="3" t="e">
        <f ca="1"/>
        <v>#NAME?</v>
      </c>
      <c r="B5446" s="2" t="s">
        <v>12</v>
      </c>
      <c r="C5446" s="2" t="s">
        <v>12</v>
      </c>
      <c r="D5446" s="2" t="s">
        <v>12</v>
      </c>
      <c r="E5446" s="2" t="s">
        <v>12</v>
      </c>
      <c r="F5446" s="2" t="s">
        <v>12</v>
      </c>
      <c r="G5446" s="2" t="s">
        <v>12</v>
      </c>
      <c r="H5446" s="2" t="s">
        <v>12</v>
      </c>
      <c r="I5446" s="2" t="s">
        <v>12</v>
      </c>
      <c r="J5446" s="2" t="s">
        <v>12</v>
      </c>
      <c r="K5446" s="2" t="s">
        <v>12</v>
      </c>
    </row>
    <row r="5447" spans="1:11" ht="12.5" x14ac:dyDescent="0.25">
      <c r="A5447" s="3" t="e">
        <f ca="1"/>
        <v>#NAME?</v>
      </c>
      <c r="B5447" s="2" t="s">
        <v>12</v>
      </c>
      <c r="C5447" s="2" t="s">
        <v>12</v>
      </c>
      <c r="D5447" s="2" t="s">
        <v>12</v>
      </c>
      <c r="E5447" s="2" t="s">
        <v>12</v>
      </c>
      <c r="F5447" s="2" t="s">
        <v>12</v>
      </c>
      <c r="G5447" s="2" t="s">
        <v>12</v>
      </c>
      <c r="H5447" s="2" t="s">
        <v>12</v>
      </c>
      <c r="I5447" s="2" t="s">
        <v>12</v>
      </c>
      <c r="J5447" s="2" t="s">
        <v>12</v>
      </c>
      <c r="K5447" s="2" t="s">
        <v>12</v>
      </c>
    </row>
    <row r="5448" spans="1:11" ht="12.5" x14ac:dyDescent="0.25">
      <c r="A5448" s="3" t="e">
        <f ca="1"/>
        <v>#NAME?</v>
      </c>
      <c r="B5448" s="2" t="s">
        <v>12</v>
      </c>
      <c r="C5448" s="2" t="s">
        <v>12</v>
      </c>
      <c r="D5448" s="2" t="s">
        <v>12</v>
      </c>
      <c r="E5448" s="2" t="s">
        <v>12</v>
      </c>
      <c r="F5448" s="2" t="s">
        <v>12</v>
      </c>
      <c r="G5448" s="2" t="s">
        <v>12</v>
      </c>
      <c r="H5448" s="2" t="s">
        <v>12</v>
      </c>
      <c r="I5448" s="2" t="s">
        <v>12</v>
      </c>
      <c r="J5448" s="2" t="s">
        <v>12</v>
      </c>
      <c r="K5448" s="2" t="s">
        <v>12</v>
      </c>
    </row>
    <row r="5449" spans="1:11" ht="12.5" x14ac:dyDescent="0.25">
      <c r="A5449" s="3" t="e">
        <f ca="1"/>
        <v>#NAME?</v>
      </c>
      <c r="B5449" s="2" t="s">
        <v>12</v>
      </c>
      <c r="C5449" s="2" t="s">
        <v>12</v>
      </c>
      <c r="D5449" s="2" t="s">
        <v>12</v>
      </c>
      <c r="E5449" s="2" t="s">
        <v>12</v>
      </c>
      <c r="F5449" s="2" t="s">
        <v>12</v>
      </c>
      <c r="G5449" s="2" t="s">
        <v>12</v>
      </c>
      <c r="H5449" s="2" t="s">
        <v>12</v>
      </c>
      <c r="I5449" s="2" t="s">
        <v>12</v>
      </c>
      <c r="J5449" s="2" t="s">
        <v>12</v>
      </c>
      <c r="K5449" s="2" t="s">
        <v>12</v>
      </c>
    </row>
    <row r="5450" spans="1:11" ht="12.5" x14ac:dyDescent="0.25">
      <c r="A5450" s="3" t="e">
        <f ca="1"/>
        <v>#NAME?</v>
      </c>
      <c r="B5450" s="2" t="s">
        <v>12</v>
      </c>
      <c r="C5450" s="2" t="s">
        <v>12</v>
      </c>
      <c r="D5450" s="2" t="s">
        <v>12</v>
      </c>
      <c r="E5450" s="2" t="s">
        <v>12</v>
      </c>
      <c r="F5450" s="2" t="s">
        <v>12</v>
      </c>
      <c r="G5450" s="2" t="s">
        <v>12</v>
      </c>
      <c r="H5450" s="2" t="s">
        <v>12</v>
      </c>
      <c r="I5450" s="2" t="s">
        <v>12</v>
      </c>
      <c r="J5450" s="2" t="s">
        <v>12</v>
      </c>
      <c r="K5450" s="2" t="s">
        <v>12</v>
      </c>
    </row>
    <row r="5451" spans="1:11" ht="12.5" x14ac:dyDescent="0.25">
      <c r="A5451" s="3" t="e">
        <f ca="1"/>
        <v>#NAME?</v>
      </c>
      <c r="B5451" s="2" t="s">
        <v>12</v>
      </c>
      <c r="C5451" s="2" t="s">
        <v>12</v>
      </c>
      <c r="D5451" s="2" t="s">
        <v>12</v>
      </c>
      <c r="E5451" s="2" t="s">
        <v>12</v>
      </c>
      <c r="F5451" s="2" t="s">
        <v>12</v>
      </c>
      <c r="G5451" s="2" t="s">
        <v>12</v>
      </c>
      <c r="H5451" s="2" t="s">
        <v>12</v>
      </c>
      <c r="I5451" s="2" t="s">
        <v>12</v>
      </c>
      <c r="J5451" s="2" t="s">
        <v>12</v>
      </c>
      <c r="K5451" s="2" t="s">
        <v>12</v>
      </c>
    </row>
    <row r="5452" spans="1:11" ht="12.5" x14ac:dyDescent="0.25">
      <c r="A5452" s="3" t="e">
        <f ca="1"/>
        <v>#NAME?</v>
      </c>
      <c r="B5452" s="2" t="s">
        <v>12</v>
      </c>
      <c r="C5452" s="2" t="s">
        <v>12</v>
      </c>
      <c r="D5452" s="2" t="s">
        <v>12</v>
      </c>
      <c r="E5452" s="2" t="s">
        <v>12</v>
      </c>
      <c r="F5452" s="2" t="s">
        <v>12</v>
      </c>
      <c r="G5452" s="2" t="s">
        <v>12</v>
      </c>
      <c r="H5452" s="2" t="s">
        <v>12</v>
      </c>
      <c r="I5452" s="2" t="s">
        <v>12</v>
      </c>
      <c r="J5452" s="2" t="s">
        <v>12</v>
      </c>
      <c r="K5452" s="2" t="s">
        <v>12</v>
      </c>
    </row>
    <row r="5453" spans="1:11" ht="12.5" x14ac:dyDescent="0.25">
      <c r="A5453" s="3" t="e">
        <f ca="1"/>
        <v>#NAME?</v>
      </c>
      <c r="B5453" s="2" t="s">
        <v>12</v>
      </c>
      <c r="C5453" s="2" t="s">
        <v>12</v>
      </c>
      <c r="D5453" s="2" t="s">
        <v>12</v>
      </c>
      <c r="E5453" s="2" t="s">
        <v>12</v>
      </c>
      <c r="F5453" s="2" t="s">
        <v>12</v>
      </c>
      <c r="G5453" s="2" t="s">
        <v>12</v>
      </c>
      <c r="H5453" s="2" t="s">
        <v>12</v>
      </c>
      <c r="I5453" s="2" t="s">
        <v>12</v>
      </c>
      <c r="J5453" s="2" t="s">
        <v>12</v>
      </c>
      <c r="K5453" s="2" t="s">
        <v>12</v>
      </c>
    </row>
    <row r="5454" spans="1:11" ht="12.5" x14ac:dyDescent="0.25">
      <c r="A5454" s="3" t="e">
        <f ca="1"/>
        <v>#NAME?</v>
      </c>
      <c r="B5454" s="2" t="s">
        <v>12</v>
      </c>
      <c r="C5454" s="2" t="s">
        <v>12</v>
      </c>
      <c r="D5454" s="2" t="s">
        <v>12</v>
      </c>
      <c r="E5454" s="2" t="s">
        <v>12</v>
      </c>
      <c r="F5454" s="2" t="s">
        <v>12</v>
      </c>
      <c r="G5454" s="2" t="s">
        <v>12</v>
      </c>
      <c r="H5454" s="2" t="s">
        <v>12</v>
      </c>
      <c r="I5454" s="2" t="s">
        <v>12</v>
      </c>
      <c r="J5454" s="2" t="s">
        <v>12</v>
      </c>
      <c r="K5454" s="2" t="s">
        <v>12</v>
      </c>
    </row>
    <row r="5455" spans="1:11" ht="12.5" x14ac:dyDescent="0.25">
      <c r="A5455" s="3" t="e">
        <f ca="1"/>
        <v>#NAME?</v>
      </c>
      <c r="B5455" s="2" t="s">
        <v>12</v>
      </c>
      <c r="C5455" s="2" t="s">
        <v>12</v>
      </c>
      <c r="D5455" s="2" t="s">
        <v>12</v>
      </c>
      <c r="E5455" s="2" t="s">
        <v>12</v>
      </c>
      <c r="F5455" s="2" t="s">
        <v>12</v>
      </c>
      <c r="G5455" s="2" t="s">
        <v>12</v>
      </c>
      <c r="H5455" s="2" t="s">
        <v>12</v>
      </c>
      <c r="I5455" s="2" t="s">
        <v>12</v>
      </c>
      <c r="J5455" s="2" t="s">
        <v>12</v>
      </c>
      <c r="K5455" s="2" t="s">
        <v>12</v>
      </c>
    </row>
    <row r="5456" spans="1:11" ht="12.5" x14ac:dyDescent="0.25">
      <c r="A5456" s="3" t="e">
        <f ca="1"/>
        <v>#NAME?</v>
      </c>
      <c r="B5456" s="2" t="s">
        <v>12</v>
      </c>
      <c r="C5456" s="2" t="s">
        <v>12</v>
      </c>
      <c r="D5456" s="2" t="s">
        <v>12</v>
      </c>
      <c r="E5456" s="2" t="s">
        <v>12</v>
      </c>
      <c r="F5456" s="2" t="s">
        <v>12</v>
      </c>
      <c r="G5456" s="2" t="s">
        <v>12</v>
      </c>
      <c r="H5456" s="2" t="s">
        <v>12</v>
      </c>
      <c r="I5456" s="2" t="s">
        <v>12</v>
      </c>
      <c r="J5456" s="2" t="s">
        <v>12</v>
      </c>
      <c r="K5456" s="2" t="s">
        <v>12</v>
      </c>
    </row>
    <row r="5457" spans="1:11" ht="12.5" x14ac:dyDescent="0.25">
      <c r="A5457" s="3" t="e">
        <f ca="1"/>
        <v>#NAME?</v>
      </c>
      <c r="B5457" s="2" t="s">
        <v>12</v>
      </c>
      <c r="C5457" s="2" t="s">
        <v>12</v>
      </c>
      <c r="D5457" s="2" t="s">
        <v>12</v>
      </c>
      <c r="E5457" s="2" t="s">
        <v>12</v>
      </c>
      <c r="F5457" s="2" t="s">
        <v>12</v>
      </c>
      <c r="G5457" s="2" t="s">
        <v>12</v>
      </c>
      <c r="H5457" s="2" t="s">
        <v>12</v>
      </c>
      <c r="I5457" s="2" t="s">
        <v>12</v>
      </c>
      <c r="J5457" s="2" t="s">
        <v>12</v>
      </c>
      <c r="K5457" s="2" t="s">
        <v>12</v>
      </c>
    </row>
    <row r="5458" spans="1:11" ht="12.5" x14ac:dyDescent="0.25">
      <c r="A5458" s="3" t="e">
        <f ca="1"/>
        <v>#NAME?</v>
      </c>
      <c r="B5458" s="2" t="s">
        <v>12</v>
      </c>
      <c r="C5458" s="2" t="s">
        <v>12</v>
      </c>
      <c r="D5458" s="2" t="s">
        <v>12</v>
      </c>
      <c r="E5458" s="2" t="s">
        <v>12</v>
      </c>
      <c r="F5458" s="2" t="s">
        <v>12</v>
      </c>
      <c r="G5458" s="2" t="s">
        <v>12</v>
      </c>
      <c r="H5458" s="2" t="s">
        <v>12</v>
      </c>
      <c r="I5458" s="2" t="s">
        <v>12</v>
      </c>
      <c r="J5458" s="2" t="s">
        <v>12</v>
      </c>
      <c r="K5458" s="2" t="s">
        <v>12</v>
      </c>
    </row>
    <row r="5459" spans="1:11" ht="12.5" x14ac:dyDescent="0.25">
      <c r="A5459" s="3" t="e">
        <f ca="1"/>
        <v>#NAME?</v>
      </c>
      <c r="B5459" s="2" t="s">
        <v>12</v>
      </c>
      <c r="C5459" s="2" t="s">
        <v>12</v>
      </c>
      <c r="D5459" s="2" t="s">
        <v>12</v>
      </c>
      <c r="E5459" s="2" t="s">
        <v>12</v>
      </c>
      <c r="F5459" s="2" t="s">
        <v>12</v>
      </c>
      <c r="G5459" s="2" t="s">
        <v>12</v>
      </c>
      <c r="H5459" s="2" t="s">
        <v>12</v>
      </c>
      <c r="I5459" s="2" t="s">
        <v>12</v>
      </c>
      <c r="J5459" s="2" t="s">
        <v>12</v>
      </c>
      <c r="K5459" s="2" t="s">
        <v>12</v>
      </c>
    </row>
    <row r="5460" spans="1:11" ht="12.5" x14ac:dyDescent="0.25">
      <c r="A5460" s="3" t="e">
        <f ca="1"/>
        <v>#NAME?</v>
      </c>
      <c r="B5460" s="2" t="s">
        <v>12</v>
      </c>
      <c r="C5460" s="2" t="s">
        <v>12</v>
      </c>
      <c r="D5460" s="2" t="s">
        <v>12</v>
      </c>
      <c r="E5460" s="2" t="s">
        <v>12</v>
      </c>
      <c r="F5460" s="2" t="s">
        <v>12</v>
      </c>
      <c r="G5460" s="2" t="s">
        <v>12</v>
      </c>
      <c r="H5460" s="2" t="s">
        <v>12</v>
      </c>
      <c r="I5460" s="2" t="s">
        <v>12</v>
      </c>
      <c r="J5460" s="2" t="s">
        <v>12</v>
      </c>
      <c r="K5460" s="2" t="s">
        <v>12</v>
      </c>
    </row>
    <row r="5461" spans="1:11" ht="12.5" x14ac:dyDescent="0.25">
      <c r="A5461" s="3" t="e">
        <f ca="1"/>
        <v>#NAME?</v>
      </c>
      <c r="B5461" s="2" t="s">
        <v>12</v>
      </c>
      <c r="C5461" s="2" t="s">
        <v>12</v>
      </c>
      <c r="D5461" s="2" t="s">
        <v>12</v>
      </c>
      <c r="E5461" s="2" t="s">
        <v>12</v>
      </c>
      <c r="F5461" s="2" t="s">
        <v>12</v>
      </c>
      <c r="G5461" s="2" t="s">
        <v>12</v>
      </c>
      <c r="H5461" s="2" t="s">
        <v>12</v>
      </c>
      <c r="I5461" s="2" t="s">
        <v>12</v>
      </c>
      <c r="J5461" s="2" t="s">
        <v>12</v>
      </c>
      <c r="K5461" s="2" t="s">
        <v>12</v>
      </c>
    </row>
    <row r="5462" spans="1:11" ht="12.5" x14ac:dyDescent="0.25">
      <c r="A5462" s="3" t="e">
        <f ca="1"/>
        <v>#NAME?</v>
      </c>
      <c r="B5462" s="2" t="s">
        <v>12</v>
      </c>
      <c r="C5462" s="2" t="s">
        <v>12</v>
      </c>
      <c r="D5462" s="2" t="s">
        <v>12</v>
      </c>
      <c r="E5462" s="2" t="s">
        <v>12</v>
      </c>
      <c r="F5462" s="2" t="s">
        <v>12</v>
      </c>
      <c r="G5462" s="2" t="s">
        <v>12</v>
      </c>
      <c r="H5462" s="2" t="s">
        <v>12</v>
      </c>
      <c r="I5462" s="2" t="s">
        <v>12</v>
      </c>
      <c r="J5462" s="2" t="s">
        <v>12</v>
      </c>
      <c r="K5462" s="2" t="s">
        <v>12</v>
      </c>
    </row>
    <row r="5463" spans="1:11" ht="12.5" x14ac:dyDescent="0.25">
      <c r="A5463" s="3" t="e">
        <f ca="1"/>
        <v>#NAME?</v>
      </c>
      <c r="B5463" s="2" t="s">
        <v>12</v>
      </c>
      <c r="C5463" s="2" t="s">
        <v>12</v>
      </c>
      <c r="D5463" s="2" t="s">
        <v>12</v>
      </c>
      <c r="E5463" s="2" t="s">
        <v>12</v>
      </c>
      <c r="F5463" s="2" t="s">
        <v>12</v>
      </c>
      <c r="G5463" s="2" t="s">
        <v>12</v>
      </c>
      <c r="H5463" s="2" t="s">
        <v>12</v>
      </c>
      <c r="I5463" s="2" t="s">
        <v>12</v>
      </c>
      <c r="J5463" s="2" t="s">
        <v>12</v>
      </c>
      <c r="K5463" s="2" t="s">
        <v>12</v>
      </c>
    </row>
    <row r="5464" spans="1:11" ht="12.5" x14ac:dyDescent="0.25">
      <c r="A5464" s="3" t="e">
        <f ca="1"/>
        <v>#NAME?</v>
      </c>
      <c r="B5464" s="2" t="s">
        <v>12</v>
      </c>
      <c r="C5464" s="2" t="s">
        <v>12</v>
      </c>
      <c r="D5464" s="2" t="s">
        <v>12</v>
      </c>
      <c r="E5464" s="2" t="s">
        <v>12</v>
      </c>
      <c r="F5464" s="2" t="s">
        <v>12</v>
      </c>
      <c r="G5464" s="2" t="s">
        <v>12</v>
      </c>
      <c r="H5464" s="2" t="s">
        <v>12</v>
      </c>
      <c r="I5464" s="2" t="s">
        <v>12</v>
      </c>
      <c r="J5464" s="2" t="s">
        <v>12</v>
      </c>
      <c r="K5464" s="2" t="s">
        <v>12</v>
      </c>
    </row>
    <row r="5465" spans="1:11" ht="12.5" x14ac:dyDescent="0.25">
      <c r="A5465" s="3" t="e">
        <f ca="1"/>
        <v>#NAME?</v>
      </c>
      <c r="B5465" s="2" t="s">
        <v>12</v>
      </c>
      <c r="C5465" s="2" t="s">
        <v>12</v>
      </c>
      <c r="D5465" s="2" t="s">
        <v>12</v>
      </c>
      <c r="E5465" s="2" t="s">
        <v>12</v>
      </c>
      <c r="F5465" s="2" t="s">
        <v>12</v>
      </c>
      <c r="G5465" s="2" t="s">
        <v>12</v>
      </c>
      <c r="H5465" s="2" t="s">
        <v>12</v>
      </c>
      <c r="I5465" s="2" t="s">
        <v>12</v>
      </c>
      <c r="J5465" s="2" t="s">
        <v>12</v>
      </c>
      <c r="K5465" s="2" t="s">
        <v>12</v>
      </c>
    </row>
    <row r="5466" spans="1:11" ht="12.5" x14ac:dyDescent="0.25">
      <c r="A5466" s="3" t="e">
        <f ca="1"/>
        <v>#NAME?</v>
      </c>
      <c r="B5466" s="2" t="s">
        <v>12</v>
      </c>
      <c r="C5466" s="2" t="s">
        <v>12</v>
      </c>
      <c r="D5466" s="2" t="s">
        <v>12</v>
      </c>
      <c r="E5466" s="2" t="s">
        <v>12</v>
      </c>
      <c r="F5466" s="2" t="s">
        <v>12</v>
      </c>
      <c r="G5466" s="2" t="s">
        <v>12</v>
      </c>
      <c r="H5466" s="2" t="s">
        <v>12</v>
      </c>
      <c r="I5466" s="2" t="s">
        <v>12</v>
      </c>
      <c r="J5466" s="2" t="s">
        <v>12</v>
      </c>
      <c r="K5466" s="2" t="s">
        <v>12</v>
      </c>
    </row>
    <row r="5467" spans="1:11" ht="12.5" x14ac:dyDescent="0.25">
      <c r="A5467" s="3" t="e">
        <f ca="1"/>
        <v>#NAME?</v>
      </c>
      <c r="B5467" s="2" t="s">
        <v>12</v>
      </c>
      <c r="C5467" s="2" t="s">
        <v>12</v>
      </c>
      <c r="D5467" s="2" t="s">
        <v>12</v>
      </c>
      <c r="E5467" s="2" t="s">
        <v>12</v>
      </c>
      <c r="F5467" s="2" t="s">
        <v>12</v>
      </c>
      <c r="G5467" s="2" t="s">
        <v>12</v>
      </c>
      <c r="H5467" s="2" t="s">
        <v>12</v>
      </c>
      <c r="I5467" s="2" t="s">
        <v>12</v>
      </c>
      <c r="J5467" s="2" t="s">
        <v>12</v>
      </c>
      <c r="K5467" s="2" t="s">
        <v>12</v>
      </c>
    </row>
    <row r="5468" spans="1:11" ht="12.5" x14ac:dyDescent="0.25">
      <c r="A5468" s="3" t="e">
        <f ca="1"/>
        <v>#NAME?</v>
      </c>
      <c r="B5468" s="2" t="s">
        <v>12</v>
      </c>
      <c r="C5468" s="2" t="s">
        <v>12</v>
      </c>
      <c r="D5468" s="2" t="s">
        <v>12</v>
      </c>
      <c r="E5468" s="2" t="s">
        <v>12</v>
      </c>
      <c r="F5468" s="2" t="s">
        <v>12</v>
      </c>
      <c r="G5468" s="2" t="s">
        <v>12</v>
      </c>
      <c r="H5468" s="2" t="s">
        <v>12</v>
      </c>
      <c r="I5468" s="2" t="s">
        <v>12</v>
      </c>
      <c r="J5468" s="2" t="s">
        <v>12</v>
      </c>
      <c r="K5468" s="2" t="s">
        <v>12</v>
      </c>
    </row>
    <row r="5469" spans="1:11" ht="12.5" x14ac:dyDescent="0.25">
      <c r="A5469" s="3" t="e">
        <f ca="1"/>
        <v>#NAME?</v>
      </c>
      <c r="B5469" s="2" t="s">
        <v>12</v>
      </c>
      <c r="C5469" s="2" t="s">
        <v>12</v>
      </c>
      <c r="D5469" s="2" t="s">
        <v>12</v>
      </c>
      <c r="E5469" s="2" t="s">
        <v>12</v>
      </c>
      <c r="F5469" s="2" t="s">
        <v>12</v>
      </c>
      <c r="G5469" s="2" t="s">
        <v>12</v>
      </c>
      <c r="H5469" s="2" t="s">
        <v>12</v>
      </c>
      <c r="I5469" s="2" t="s">
        <v>12</v>
      </c>
      <c r="J5469" s="2" t="s">
        <v>12</v>
      </c>
      <c r="K5469" s="2" t="s">
        <v>12</v>
      </c>
    </row>
    <row r="5470" spans="1:11" ht="12.5" x14ac:dyDescent="0.25">
      <c r="A5470" s="3" t="e">
        <f ca="1"/>
        <v>#NAME?</v>
      </c>
      <c r="B5470" s="2" t="s">
        <v>12</v>
      </c>
      <c r="C5470" s="2" t="s">
        <v>12</v>
      </c>
      <c r="D5470" s="2" t="s">
        <v>12</v>
      </c>
      <c r="E5470" s="2" t="s">
        <v>12</v>
      </c>
      <c r="F5470" s="2" t="s">
        <v>12</v>
      </c>
      <c r="G5470" s="2" t="s">
        <v>12</v>
      </c>
      <c r="H5470" s="2" t="s">
        <v>12</v>
      </c>
      <c r="I5470" s="2" t="s">
        <v>12</v>
      </c>
      <c r="J5470" s="2" t="s">
        <v>12</v>
      </c>
      <c r="K5470" s="2" t="s">
        <v>12</v>
      </c>
    </row>
    <row r="5471" spans="1:11" ht="12.5" x14ac:dyDescent="0.25">
      <c r="A5471" s="3" t="e">
        <f ca="1"/>
        <v>#NAME?</v>
      </c>
      <c r="B5471" s="2" t="s">
        <v>12</v>
      </c>
      <c r="C5471" s="2" t="s">
        <v>12</v>
      </c>
      <c r="D5471" s="2" t="s">
        <v>12</v>
      </c>
      <c r="E5471" s="2" t="s">
        <v>12</v>
      </c>
      <c r="F5471" s="2" t="s">
        <v>12</v>
      </c>
      <c r="G5471" s="2" t="s">
        <v>12</v>
      </c>
      <c r="H5471" s="2" t="s">
        <v>12</v>
      </c>
      <c r="I5471" s="2" t="s">
        <v>12</v>
      </c>
      <c r="J5471" s="2" t="s">
        <v>12</v>
      </c>
      <c r="K5471" s="2" t="s">
        <v>12</v>
      </c>
    </row>
    <row r="5472" spans="1:11" ht="12.5" x14ac:dyDescent="0.25">
      <c r="A5472" s="3" t="e">
        <f ca="1"/>
        <v>#NAME?</v>
      </c>
      <c r="B5472" s="2" t="s">
        <v>12</v>
      </c>
      <c r="C5472" s="2" t="s">
        <v>12</v>
      </c>
      <c r="D5472" s="2" t="s">
        <v>12</v>
      </c>
      <c r="E5472" s="2" t="s">
        <v>12</v>
      </c>
      <c r="F5472" s="2" t="s">
        <v>12</v>
      </c>
      <c r="G5472" s="2" t="s">
        <v>12</v>
      </c>
      <c r="H5472" s="2" t="s">
        <v>12</v>
      </c>
      <c r="I5472" s="2" t="s">
        <v>12</v>
      </c>
      <c r="J5472" s="2" t="s">
        <v>12</v>
      </c>
      <c r="K5472" s="2" t="s">
        <v>12</v>
      </c>
    </row>
    <row r="5473" spans="1:11" ht="12.5" x14ac:dyDescent="0.25">
      <c r="A5473" s="3" t="e">
        <f ca="1"/>
        <v>#NAME?</v>
      </c>
      <c r="B5473" s="2" t="s">
        <v>12</v>
      </c>
      <c r="C5473" s="2" t="s">
        <v>12</v>
      </c>
      <c r="D5473" s="2" t="s">
        <v>12</v>
      </c>
      <c r="E5473" s="2" t="s">
        <v>12</v>
      </c>
      <c r="F5473" s="2" t="s">
        <v>12</v>
      </c>
      <c r="G5473" s="2" t="s">
        <v>12</v>
      </c>
      <c r="H5473" s="2" t="s">
        <v>12</v>
      </c>
      <c r="I5473" s="2" t="s">
        <v>12</v>
      </c>
      <c r="J5473" s="2" t="s">
        <v>12</v>
      </c>
      <c r="K5473" s="2" t="s">
        <v>12</v>
      </c>
    </row>
    <row r="5474" spans="1:11" ht="12.5" x14ac:dyDescent="0.25">
      <c r="A5474" s="3" t="e">
        <f ca="1"/>
        <v>#NAME?</v>
      </c>
      <c r="B5474" s="2" t="s">
        <v>12</v>
      </c>
      <c r="C5474" s="2" t="s">
        <v>12</v>
      </c>
      <c r="D5474" s="2" t="s">
        <v>12</v>
      </c>
      <c r="E5474" s="2" t="s">
        <v>12</v>
      </c>
      <c r="F5474" s="2" t="s">
        <v>12</v>
      </c>
      <c r="G5474" s="2" t="s">
        <v>12</v>
      </c>
      <c r="H5474" s="2" t="s">
        <v>12</v>
      </c>
      <c r="I5474" s="2" t="s">
        <v>12</v>
      </c>
      <c r="J5474" s="2" t="s">
        <v>12</v>
      </c>
      <c r="K5474" s="2" t="s">
        <v>12</v>
      </c>
    </row>
    <row r="5475" spans="1:11" ht="12.5" x14ac:dyDescent="0.25">
      <c r="A5475" s="3" t="e">
        <f ca="1"/>
        <v>#NAME?</v>
      </c>
      <c r="B5475" s="2" t="s">
        <v>12</v>
      </c>
      <c r="C5475" s="2" t="s">
        <v>12</v>
      </c>
      <c r="D5475" s="2" t="s">
        <v>12</v>
      </c>
      <c r="E5475" s="2" t="s">
        <v>12</v>
      </c>
      <c r="F5475" s="2" t="s">
        <v>12</v>
      </c>
      <c r="G5475" s="2" t="s">
        <v>12</v>
      </c>
      <c r="H5475" s="2" t="s">
        <v>12</v>
      </c>
      <c r="I5475" s="2" t="s">
        <v>12</v>
      </c>
      <c r="J5475" s="2" t="s">
        <v>12</v>
      </c>
      <c r="K5475" s="2" t="s">
        <v>12</v>
      </c>
    </row>
    <row r="5476" spans="1:11" ht="12.5" x14ac:dyDescent="0.25">
      <c r="A5476" s="3" t="e">
        <f ca="1"/>
        <v>#NAME?</v>
      </c>
      <c r="B5476" s="2" t="s">
        <v>12</v>
      </c>
      <c r="C5476" s="2" t="s">
        <v>12</v>
      </c>
      <c r="D5476" s="2" t="s">
        <v>12</v>
      </c>
      <c r="E5476" s="2" t="s">
        <v>12</v>
      </c>
      <c r="F5476" s="2" t="s">
        <v>12</v>
      </c>
      <c r="G5476" s="2" t="s">
        <v>12</v>
      </c>
      <c r="H5476" s="2" t="s">
        <v>12</v>
      </c>
      <c r="I5476" s="2" t="s">
        <v>12</v>
      </c>
      <c r="J5476" s="2" t="s">
        <v>12</v>
      </c>
      <c r="K5476" s="2" t="s">
        <v>12</v>
      </c>
    </row>
    <row r="5477" spans="1:11" ht="12.5" x14ac:dyDescent="0.25">
      <c r="A5477" s="3" t="e">
        <f ca="1"/>
        <v>#NAME?</v>
      </c>
      <c r="B5477" s="2" t="s">
        <v>12</v>
      </c>
      <c r="C5477" s="2" t="s">
        <v>12</v>
      </c>
      <c r="D5477" s="2" t="s">
        <v>12</v>
      </c>
      <c r="E5477" s="2" t="s">
        <v>12</v>
      </c>
      <c r="F5477" s="2" t="s">
        <v>12</v>
      </c>
      <c r="G5477" s="2" t="s">
        <v>12</v>
      </c>
      <c r="H5477" s="2" t="s">
        <v>12</v>
      </c>
      <c r="I5477" s="2" t="s">
        <v>12</v>
      </c>
      <c r="J5477" s="2" t="s">
        <v>12</v>
      </c>
      <c r="K5477" s="2" t="s">
        <v>12</v>
      </c>
    </row>
    <row r="5478" spans="1:11" ht="12.5" x14ac:dyDescent="0.25">
      <c r="A5478" s="3" t="e">
        <f ca="1"/>
        <v>#NAME?</v>
      </c>
      <c r="B5478" s="2" t="s">
        <v>12</v>
      </c>
      <c r="C5478" s="2" t="s">
        <v>12</v>
      </c>
      <c r="D5478" s="2" t="s">
        <v>12</v>
      </c>
      <c r="E5478" s="2" t="s">
        <v>12</v>
      </c>
      <c r="F5478" s="2" t="s">
        <v>12</v>
      </c>
      <c r="G5478" s="2" t="s">
        <v>12</v>
      </c>
      <c r="H5478" s="2" t="s">
        <v>12</v>
      </c>
      <c r="I5478" s="2" t="s">
        <v>12</v>
      </c>
      <c r="J5478" s="2" t="s">
        <v>12</v>
      </c>
      <c r="K5478" s="2" t="s">
        <v>12</v>
      </c>
    </row>
    <row r="5479" spans="1:11" ht="12.5" x14ac:dyDescent="0.25">
      <c r="A5479" s="3" t="e">
        <f ca="1"/>
        <v>#NAME?</v>
      </c>
      <c r="B5479" s="2" t="s">
        <v>12</v>
      </c>
      <c r="C5479" s="2" t="s">
        <v>12</v>
      </c>
      <c r="D5479" s="2" t="s">
        <v>12</v>
      </c>
      <c r="E5479" s="2" t="s">
        <v>12</v>
      </c>
      <c r="F5479" s="2" t="s">
        <v>12</v>
      </c>
      <c r="G5479" s="2" t="s">
        <v>12</v>
      </c>
      <c r="H5479" s="2" t="s">
        <v>12</v>
      </c>
      <c r="I5479" s="2" t="s">
        <v>12</v>
      </c>
      <c r="J5479" s="2" t="s">
        <v>12</v>
      </c>
      <c r="K5479" s="2" t="s">
        <v>12</v>
      </c>
    </row>
    <row r="5480" spans="1:11" ht="12.5" x14ac:dyDescent="0.25">
      <c r="A5480" s="3" t="e">
        <f ca="1"/>
        <v>#NAME?</v>
      </c>
      <c r="B5480" s="2" t="s">
        <v>12</v>
      </c>
      <c r="C5480" s="2" t="s">
        <v>12</v>
      </c>
      <c r="D5480" s="2" t="s">
        <v>12</v>
      </c>
      <c r="E5480" s="2" t="s">
        <v>12</v>
      </c>
      <c r="F5480" s="2" t="s">
        <v>12</v>
      </c>
      <c r="G5480" s="2" t="s">
        <v>12</v>
      </c>
      <c r="H5480" s="2" t="s">
        <v>12</v>
      </c>
      <c r="I5480" s="2" t="s">
        <v>12</v>
      </c>
      <c r="J5480" s="2" t="s">
        <v>12</v>
      </c>
      <c r="K5480" s="2" t="s">
        <v>12</v>
      </c>
    </row>
    <row r="5481" spans="1:11" ht="12.5" x14ac:dyDescent="0.25">
      <c r="A5481" s="3" t="e">
        <f ca="1"/>
        <v>#NAME?</v>
      </c>
      <c r="B5481" s="2" t="s">
        <v>12</v>
      </c>
      <c r="C5481" s="2" t="s">
        <v>12</v>
      </c>
      <c r="D5481" s="2" t="s">
        <v>12</v>
      </c>
      <c r="E5481" s="2" t="s">
        <v>12</v>
      </c>
      <c r="F5481" s="2" t="s">
        <v>12</v>
      </c>
      <c r="G5481" s="2" t="s">
        <v>12</v>
      </c>
      <c r="H5481" s="2" t="s">
        <v>12</v>
      </c>
      <c r="I5481" s="2" t="s">
        <v>12</v>
      </c>
      <c r="J5481" s="2" t="s">
        <v>12</v>
      </c>
      <c r="K5481" s="2" t="s">
        <v>12</v>
      </c>
    </row>
    <row r="5482" spans="1:11" ht="12.5" x14ac:dyDescent="0.25">
      <c r="A5482" s="3" t="e">
        <f ca="1"/>
        <v>#NAME?</v>
      </c>
      <c r="B5482" s="2" t="s">
        <v>12</v>
      </c>
      <c r="C5482" s="2" t="s">
        <v>12</v>
      </c>
      <c r="D5482" s="2" t="s">
        <v>12</v>
      </c>
      <c r="E5482" s="2" t="s">
        <v>12</v>
      </c>
      <c r="F5482" s="2" t="s">
        <v>12</v>
      </c>
      <c r="G5482" s="2" t="s">
        <v>12</v>
      </c>
      <c r="H5482" s="2" t="s">
        <v>12</v>
      </c>
      <c r="I5482" s="2" t="s">
        <v>12</v>
      </c>
      <c r="J5482" s="2" t="s">
        <v>12</v>
      </c>
      <c r="K5482" s="2" t="s">
        <v>12</v>
      </c>
    </row>
    <row r="5483" spans="1:11" ht="12.5" x14ac:dyDescent="0.25">
      <c r="A5483" s="3" t="e">
        <f ca="1"/>
        <v>#NAME?</v>
      </c>
      <c r="B5483" s="2" t="s">
        <v>12</v>
      </c>
      <c r="C5483" s="2" t="s">
        <v>12</v>
      </c>
      <c r="D5483" s="2" t="s">
        <v>12</v>
      </c>
      <c r="E5483" s="2" t="s">
        <v>12</v>
      </c>
      <c r="F5483" s="2" t="s">
        <v>12</v>
      </c>
      <c r="G5483" s="2" t="s">
        <v>12</v>
      </c>
      <c r="H5483" s="2" t="s">
        <v>12</v>
      </c>
      <c r="I5483" s="2" t="s">
        <v>12</v>
      </c>
      <c r="J5483" s="2" t="s">
        <v>12</v>
      </c>
      <c r="K5483" s="2" t="s">
        <v>12</v>
      </c>
    </row>
    <row r="5484" spans="1:11" ht="12.5" x14ac:dyDescent="0.25">
      <c r="A5484" s="3" t="e">
        <f ca="1"/>
        <v>#NAME?</v>
      </c>
      <c r="B5484" s="2" t="s">
        <v>12</v>
      </c>
      <c r="C5484" s="2" t="s">
        <v>12</v>
      </c>
      <c r="D5484" s="2" t="s">
        <v>12</v>
      </c>
      <c r="E5484" s="2" t="s">
        <v>12</v>
      </c>
      <c r="F5484" s="2" t="s">
        <v>12</v>
      </c>
      <c r="G5484" s="2" t="s">
        <v>12</v>
      </c>
      <c r="H5484" s="2" t="s">
        <v>12</v>
      </c>
      <c r="I5484" s="2" t="s">
        <v>12</v>
      </c>
      <c r="J5484" s="2" t="s">
        <v>12</v>
      </c>
      <c r="K5484" s="2" t="s">
        <v>12</v>
      </c>
    </row>
    <row r="5485" spans="1:11" ht="12.5" x14ac:dyDescent="0.25">
      <c r="A5485" s="3" t="e">
        <f ca="1"/>
        <v>#NAME?</v>
      </c>
      <c r="B5485" s="2" t="s">
        <v>12</v>
      </c>
      <c r="C5485" s="2" t="s">
        <v>12</v>
      </c>
      <c r="D5485" s="2" t="s">
        <v>12</v>
      </c>
      <c r="E5485" s="2" t="s">
        <v>12</v>
      </c>
      <c r="F5485" s="2" t="s">
        <v>12</v>
      </c>
      <c r="G5485" s="2" t="s">
        <v>12</v>
      </c>
      <c r="H5485" s="2" t="s">
        <v>12</v>
      </c>
      <c r="I5485" s="2" t="s">
        <v>12</v>
      </c>
      <c r="J5485" s="2" t="s">
        <v>12</v>
      </c>
      <c r="K5485" s="2" t="s">
        <v>12</v>
      </c>
    </row>
    <row r="5486" spans="1:11" ht="12.5" x14ac:dyDescent="0.25">
      <c r="A5486" s="3" t="e">
        <f ca="1"/>
        <v>#NAME?</v>
      </c>
      <c r="B5486" s="2" t="s">
        <v>12</v>
      </c>
      <c r="C5486" s="2" t="s">
        <v>12</v>
      </c>
      <c r="D5486" s="2" t="s">
        <v>12</v>
      </c>
      <c r="E5486" s="2" t="s">
        <v>12</v>
      </c>
      <c r="F5486" s="2" t="s">
        <v>12</v>
      </c>
      <c r="G5486" s="2" t="s">
        <v>12</v>
      </c>
      <c r="H5486" s="2" t="s">
        <v>12</v>
      </c>
      <c r="I5486" s="2" t="s">
        <v>12</v>
      </c>
      <c r="J5486" s="2" t="s">
        <v>12</v>
      </c>
      <c r="K5486" s="2" t="s">
        <v>12</v>
      </c>
    </row>
    <row r="5487" spans="1:11" ht="12.5" x14ac:dyDescent="0.25">
      <c r="A5487" s="3" t="e">
        <f ca="1"/>
        <v>#NAME?</v>
      </c>
      <c r="B5487" s="2" t="s">
        <v>12</v>
      </c>
      <c r="C5487" s="2" t="s">
        <v>12</v>
      </c>
      <c r="D5487" s="2" t="s">
        <v>12</v>
      </c>
      <c r="E5487" s="2" t="s">
        <v>12</v>
      </c>
      <c r="F5487" s="2" t="s">
        <v>12</v>
      </c>
      <c r="G5487" s="2" t="s">
        <v>12</v>
      </c>
      <c r="H5487" s="2" t="s">
        <v>12</v>
      </c>
      <c r="I5487" s="2" t="s">
        <v>12</v>
      </c>
      <c r="J5487" s="2" t="s">
        <v>12</v>
      </c>
      <c r="K5487" s="2" t="s">
        <v>12</v>
      </c>
    </row>
    <row r="5488" spans="1:11" ht="12.5" x14ac:dyDescent="0.25">
      <c r="A5488" s="3" t="e">
        <f ca="1"/>
        <v>#NAME?</v>
      </c>
      <c r="B5488" s="2" t="s">
        <v>12</v>
      </c>
      <c r="C5488" s="2" t="s">
        <v>12</v>
      </c>
      <c r="D5488" s="2" t="s">
        <v>12</v>
      </c>
      <c r="E5488" s="2" t="s">
        <v>12</v>
      </c>
      <c r="F5488" s="2" t="s">
        <v>12</v>
      </c>
      <c r="G5488" s="2" t="s">
        <v>12</v>
      </c>
      <c r="H5488" s="2" t="s">
        <v>12</v>
      </c>
      <c r="I5488" s="2" t="s">
        <v>12</v>
      </c>
      <c r="J5488" s="2" t="s">
        <v>12</v>
      </c>
      <c r="K5488" s="2" t="s">
        <v>12</v>
      </c>
    </row>
    <row r="5489" spans="1:11" ht="12.5" x14ac:dyDescent="0.25">
      <c r="A5489" s="3" t="e">
        <f ca="1"/>
        <v>#NAME?</v>
      </c>
      <c r="B5489" s="2" t="s">
        <v>12</v>
      </c>
      <c r="C5489" s="2" t="s">
        <v>12</v>
      </c>
      <c r="D5489" s="2" t="s">
        <v>12</v>
      </c>
      <c r="E5489" s="2" t="s">
        <v>12</v>
      </c>
      <c r="F5489" s="2" t="s">
        <v>12</v>
      </c>
      <c r="G5489" s="2" t="s">
        <v>12</v>
      </c>
      <c r="H5489" s="2" t="s">
        <v>12</v>
      </c>
      <c r="I5489" s="2" t="s">
        <v>12</v>
      </c>
      <c r="J5489" s="2" t="s">
        <v>12</v>
      </c>
      <c r="K5489" s="2" t="s">
        <v>12</v>
      </c>
    </row>
    <row r="5490" spans="1:11" ht="12.5" x14ac:dyDescent="0.25">
      <c r="A5490" s="3" t="e">
        <f ca="1"/>
        <v>#NAME?</v>
      </c>
      <c r="B5490" s="2" t="s">
        <v>12</v>
      </c>
      <c r="C5490" s="2" t="s">
        <v>12</v>
      </c>
      <c r="D5490" s="2" t="s">
        <v>12</v>
      </c>
      <c r="E5490" s="2" t="s">
        <v>12</v>
      </c>
      <c r="F5490" s="2" t="s">
        <v>12</v>
      </c>
      <c r="G5490" s="2" t="s">
        <v>12</v>
      </c>
      <c r="H5490" s="2" t="s">
        <v>12</v>
      </c>
      <c r="I5490" s="2" t="s">
        <v>12</v>
      </c>
      <c r="J5490" s="2" t="s">
        <v>12</v>
      </c>
      <c r="K5490" s="2" t="s">
        <v>12</v>
      </c>
    </row>
    <row r="5491" spans="1:11" ht="12.5" x14ac:dyDescent="0.25">
      <c r="A5491" s="3" t="e">
        <f ca="1"/>
        <v>#NAME?</v>
      </c>
      <c r="B5491" s="2" t="s">
        <v>12</v>
      </c>
      <c r="C5491" s="2" t="s">
        <v>12</v>
      </c>
      <c r="D5491" s="2" t="s">
        <v>12</v>
      </c>
      <c r="E5491" s="2" t="s">
        <v>12</v>
      </c>
      <c r="F5491" s="2" t="s">
        <v>12</v>
      </c>
      <c r="G5491" s="2" t="s">
        <v>12</v>
      </c>
      <c r="H5491" s="2" t="s">
        <v>12</v>
      </c>
      <c r="I5491" s="2" t="s">
        <v>12</v>
      </c>
      <c r="J5491" s="2" t="s">
        <v>12</v>
      </c>
      <c r="K5491" s="2" t="s">
        <v>12</v>
      </c>
    </row>
    <row r="5492" spans="1:11" ht="12.5" x14ac:dyDescent="0.25">
      <c r="A5492" s="3" t="e">
        <f ca="1"/>
        <v>#NAME?</v>
      </c>
      <c r="B5492" s="2" t="s">
        <v>12</v>
      </c>
      <c r="C5492" s="2" t="s">
        <v>12</v>
      </c>
      <c r="D5492" s="2" t="s">
        <v>12</v>
      </c>
      <c r="E5492" s="2" t="s">
        <v>12</v>
      </c>
      <c r="F5492" s="2" t="s">
        <v>12</v>
      </c>
      <c r="G5492" s="2" t="s">
        <v>12</v>
      </c>
      <c r="H5492" s="2" t="s">
        <v>12</v>
      </c>
      <c r="I5492" s="2" t="s">
        <v>12</v>
      </c>
      <c r="J5492" s="2" t="s">
        <v>12</v>
      </c>
      <c r="K5492" s="2" t="s">
        <v>12</v>
      </c>
    </row>
    <row r="5493" spans="1:11" ht="12.5" x14ac:dyDescent="0.25">
      <c r="A5493" s="3" t="e">
        <f ca="1"/>
        <v>#NAME?</v>
      </c>
      <c r="B5493" s="2" t="s">
        <v>12</v>
      </c>
      <c r="C5493" s="2" t="s">
        <v>12</v>
      </c>
      <c r="D5493" s="2" t="s">
        <v>12</v>
      </c>
      <c r="E5493" s="2" t="s">
        <v>12</v>
      </c>
      <c r="F5493" s="2" t="s">
        <v>12</v>
      </c>
      <c r="G5493" s="2" t="s">
        <v>12</v>
      </c>
      <c r="H5493" s="2" t="s">
        <v>12</v>
      </c>
      <c r="I5493" s="2" t="s">
        <v>12</v>
      </c>
      <c r="J5493" s="2" t="s">
        <v>12</v>
      </c>
      <c r="K5493" s="2" t="s">
        <v>12</v>
      </c>
    </row>
    <row r="5494" spans="1:11" ht="12.5" x14ac:dyDescent="0.25">
      <c r="A5494" s="3" t="e">
        <f ca="1"/>
        <v>#NAME?</v>
      </c>
      <c r="B5494" s="2" t="s">
        <v>12</v>
      </c>
      <c r="C5494" s="2" t="s">
        <v>12</v>
      </c>
      <c r="D5494" s="2" t="s">
        <v>12</v>
      </c>
      <c r="E5494" s="2" t="s">
        <v>12</v>
      </c>
      <c r="F5494" s="2" t="s">
        <v>12</v>
      </c>
      <c r="G5494" s="2" t="s">
        <v>12</v>
      </c>
      <c r="H5494" s="2" t="s">
        <v>12</v>
      </c>
      <c r="I5494" s="2" t="s">
        <v>12</v>
      </c>
      <c r="J5494" s="2" t="s">
        <v>12</v>
      </c>
      <c r="K5494" s="2" t="s">
        <v>12</v>
      </c>
    </row>
    <row r="5495" spans="1:11" ht="12.5" x14ac:dyDescent="0.25">
      <c r="A5495" s="3" t="e">
        <f ca="1"/>
        <v>#NAME?</v>
      </c>
      <c r="B5495" s="2" t="s">
        <v>12</v>
      </c>
      <c r="C5495" s="2" t="s">
        <v>12</v>
      </c>
      <c r="D5495" s="2" t="s">
        <v>12</v>
      </c>
      <c r="E5495" s="2" t="s">
        <v>12</v>
      </c>
      <c r="F5495" s="2" t="s">
        <v>12</v>
      </c>
      <c r="G5495" s="2" t="s">
        <v>12</v>
      </c>
      <c r="H5495" s="2" t="s">
        <v>12</v>
      </c>
      <c r="I5495" s="2" t="s">
        <v>12</v>
      </c>
      <c r="J5495" s="2" t="s">
        <v>12</v>
      </c>
      <c r="K5495" s="2" t="s">
        <v>12</v>
      </c>
    </row>
    <row r="5496" spans="1:11" ht="12.5" x14ac:dyDescent="0.25">
      <c r="A5496" s="3" t="e">
        <f ca="1"/>
        <v>#NAME?</v>
      </c>
      <c r="B5496" s="2" t="s">
        <v>12</v>
      </c>
      <c r="C5496" s="2" t="s">
        <v>12</v>
      </c>
      <c r="D5496" s="2" t="s">
        <v>12</v>
      </c>
      <c r="E5496" s="2" t="s">
        <v>12</v>
      </c>
      <c r="F5496" s="2" t="s">
        <v>12</v>
      </c>
      <c r="G5496" s="2" t="s">
        <v>12</v>
      </c>
      <c r="H5496" s="2" t="s">
        <v>12</v>
      </c>
      <c r="I5496" s="2" t="s">
        <v>12</v>
      </c>
      <c r="J5496" s="2" t="s">
        <v>12</v>
      </c>
      <c r="K5496" s="2" t="s">
        <v>12</v>
      </c>
    </row>
    <row r="5497" spans="1:11" ht="12.5" x14ac:dyDescent="0.25">
      <c r="A5497" s="3" t="e">
        <f ca="1"/>
        <v>#NAME?</v>
      </c>
      <c r="B5497" s="2" t="s">
        <v>12</v>
      </c>
      <c r="C5497" s="2" t="s">
        <v>12</v>
      </c>
      <c r="D5497" s="2" t="s">
        <v>12</v>
      </c>
      <c r="E5497" s="2" t="s">
        <v>12</v>
      </c>
      <c r="F5497" s="2" t="s">
        <v>12</v>
      </c>
      <c r="G5497" s="2" t="s">
        <v>12</v>
      </c>
      <c r="H5497" s="2" t="s">
        <v>12</v>
      </c>
      <c r="I5497" s="2" t="s">
        <v>12</v>
      </c>
      <c r="J5497" s="2" t="s">
        <v>12</v>
      </c>
      <c r="K5497" s="2" t="s">
        <v>12</v>
      </c>
    </row>
    <row r="5498" spans="1:11" ht="12.5" x14ac:dyDescent="0.25">
      <c r="A5498" s="3" t="e">
        <f ca="1"/>
        <v>#NAME?</v>
      </c>
      <c r="B5498" s="2" t="s">
        <v>12</v>
      </c>
      <c r="C5498" s="2" t="s">
        <v>12</v>
      </c>
      <c r="D5498" s="2" t="s">
        <v>12</v>
      </c>
      <c r="E5498" s="2" t="s">
        <v>12</v>
      </c>
      <c r="F5498" s="2" t="s">
        <v>12</v>
      </c>
      <c r="G5498" s="2" t="s">
        <v>12</v>
      </c>
      <c r="H5498" s="2" t="s">
        <v>12</v>
      </c>
      <c r="I5498" s="2" t="s">
        <v>12</v>
      </c>
      <c r="J5498" s="2" t="s">
        <v>12</v>
      </c>
      <c r="K5498" s="2" t="s">
        <v>12</v>
      </c>
    </row>
    <row r="5499" spans="1:11" ht="12.5" x14ac:dyDescent="0.25">
      <c r="A5499" s="3" t="e">
        <f ca="1"/>
        <v>#NAME?</v>
      </c>
      <c r="B5499" s="2" t="s">
        <v>12</v>
      </c>
      <c r="C5499" s="2" t="s">
        <v>12</v>
      </c>
      <c r="D5499" s="2" t="s">
        <v>12</v>
      </c>
      <c r="E5499" s="2" t="s">
        <v>12</v>
      </c>
      <c r="F5499" s="2" t="s">
        <v>12</v>
      </c>
      <c r="G5499" s="2" t="s">
        <v>12</v>
      </c>
      <c r="H5499" s="2" t="s">
        <v>12</v>
      </c>
      <c r="I5499" s="2" t="s">
        <v>12</v>
      </c>
      <c r="J5499" s="2" t="s">
        <v>12</v>
      </c>
      <c r="K5499" s="2" t="s">
        <v>12</v>
      </c>
    </row>
    <row r="5500" spans="1:11" ht="12.5" x14ac:dyDescent="0.25">
      <c r="A5500" s="3" t="e">
        <f ca="1"/>
        <v>#NAME?</v>
      </c>
      <c r="B5500" s="2" t="s">
        <v>12</v>
      </c>
      <c r="C5500" s="2" t="s">
        <v>12</v>
      </c>
      <c r="D5500" s="2" t="s">
        <v>12</v>
      </c>
      <c r="E5500" s="2" t="s">
        <v>12</v>
      </c>
      <c r="F5500" s="2" t="s">
        <v>12</v>
      </c>
      <c r="G5500" s="2" t="s">
        <v>12</v>
      </c>
      <c r="H5500" s="2" t="s">
        <v>12</v>
      </c>
      <c r="I5500" s="2" t="s">
        <v>12</v>
      </c>
      <c r="J5500" s="2" t="s">
        <v>12</v>
      </c>
      <c r="K5500" s="2" t="s">
        <v>12</v>
      </c>
    </row>
    <row r="5501" spans="1:11" ht="12.5" x14ac:dyDescent="0.25">
      <c r="A5501" s="3" t="e">
        <f ca="1"/>
        <v>#NAME?</v>
      </c>
      <c r="B5501" s="2" t="s">
        <v>12</v>
      </c>
      <c r="C5501" s="2" t="s">
        <v>12</v>
      </c>
      <c r="D5501" s="2" t="s">
        <v>12</v>
      </c>
      <c r="E5501" s="2" t="s">
        <v>12</v>
      </c>
      <c r="F5501" s="2" t="s">
        <v>12</v>
      </c>
      <c r="G5501" s="2" t="s">
        <v>12</v>
      </c>
      <c r="H5501" s="2" t="s">
        <v>12</v>
      </c>
      <c r="I5501" s="2" t="s">
        <v>12</v>
      </c>
      <c r="J5501" s="2" t="s">
        <v>12</v>
      </c>
      <c r="K5501" s="2" t="s">
        <v>12</v>
      </c>
    </row>
    <row r="5502" spans="1:11" ht="12.5" x14ac:dyDescent="0.25">
      <c r="A5502" s="3" t="e">
        <f ca="1"/>
        <v>#NAME?</v>
      </c>
      <c r="B5502" s="2" t="s">
        <v>12</v>
      </c>
      <c r="C5502" s="2" t="s">
        <v>12</v>
      </c>
      <c r="D5502" s="2" t="s">
        <v>12</v>
      </c>
      <c r="E5502" s="2" t="s">
        <v>12</v>
      </c>
      <c r="F5502" s="2" t="s">
        <v>12</v>
      </c>
      <c r="G5502" s="2" t="s">
        <v>12</v>
      </c>
      <c r="H5502" s="2" t="s">
        <v>12</v>
      </c>
      <c r="I5502" s="2" t="s">
        <v>12</v>
      </c>
      <c r="J5502" s="2" t="s">
        <v>12</v>
      </c>
      <c r="K5502" s="2" t="s">
        <v>12</v>
      </c>
    </row>
    <row r="5503" spans="1:11" ht="12.5" x14ac:dyDescent="0.25">
      <c r="A5503" s="3" t="e">
        <f ca="1"/>
        <v>#NAME?</v>
      </c>
      <c r="B5503" s="2" t="s">
        <v>12</v>
      </c>
      <c r="C5503" s="2" t="s">
        <v>12</v>
      </c>
      <c r="D5503" s="2" t="s">
        <v>12</v>
      </c>
      <c r="E5503" s="2" t="s">
        <v>12</v>
      </c>
      <c r="F5503" s="2" t="s">
        <v>12</v>
      </c>
      <c r="G5503" s="2" t="s">
        <v>12</v>
      </c>
      <c r="H5503" s="2" t="s">
        <v>12</v>
      </c>
      <c r="I5503" s="2" t="s">
        <v>12</v>
      </c>
      <c r="J5503" s="2" t="s">
        <v>12</v>
      </c>
      <c r="K5503" s="2" t="s">
        <v>12</v>
      </c>
    </row>
    <row r="5504" spans="1:11" ht="12.5" x14ac:dyDescent="0.25">
      <c r="A5504" s="3" t="e">
        <f ca="1"/>
        <v>#NAME?</v>
      </c>
      <c r="B5504" s="2" t="s">
        <v>12</v>
      </c>
      <c r="C5504" s="2" t="s">
        <v>12</v>
      </c>
      <c r="D5504" s="2" t="s">
        <v>12</v>
      </c>
      <c r="E5504" s="2" t="s">
        <v>12</v>
      </c>
      <c r="F5504" s="2" t="s">
        <v>12</v>
      </c>
      <c r="G5504" s="2" t="s">
        <v>12</v>
      </c>
      <c r="H5504" s="2" t="s">
        <v>12</v>
      </c>
      <c r="I5504" s="2" t="s">
        <v>12</v>
      </c>
      <c r="J5504" s="2" t="s">
        <v>12</v>
      </c>
      <c r="K5504" s="2" t="s">
        <v>12</v>
      </c>
    </row>
    <row r="5505" spans="1:11" ht="12.5" x14ac:dyDescent="0.25">
      <c r="A5505" s="3" t="e">
        <f ca="1"/>
        <v>#NAME?</v>
      </c>
      <c r="B5505" s="2" t="s">
        <v>12</v>
      </c>
      <c r="C5505" s="2" t="s">
        <v>12</v>
      </c>
      <c r="D5505" s="2" t="s">
        <v>12</v>
      </c>
      <c r="E5505" s="2" t="s">
        <v>12</v>
      </c>
      <c r="F5505" s="2" t="s">
        <v>12</v>
      </c>
      <c r="G5505" s="2" t="s">
        <v>12</v>
      </c>
      <c r="H5505" s="2" t="s">
        <v>12</v>
      </c>
      <c r="I5505" s="2" t="s">
        <v>12</v>
      </c>
      <c r="J5505" s="2" t="s">
        <v>12</v>
      </c>
      <c r="K5505" s="2" t="s">
        <v>12</v>
      </c>
    </row>
    <row r="5506" spans="1:11" ht="12.5" x14ac:dyDescent="0.25">
      <c r="A5506" s="3" t="e">
        <f ca="1"/>
        <v>#NAME?</v>
      </c>
      <c r="B5506" s="2" t="s">
        <v>12</v>
      </c>
      <c r="C5506" s="2" t="s">
        <v>12</v>
      </c>
      <c r="D5506" s="2" t="s">
        <v>12</v>
      </c>
      <c r="E5506" s="2" t="s">
        <v>12</v>
      </c>
      <c r="F5506" s="2" t="s">
        <v>12</v>
      </c>
      <c r="G5506" s="2" t="s">
        <v>12</v>
      </c>
      <c r="H5506" s="2" t="s">
        <v>12</v>
      </c>
      <c r="I5506" s="2" t="s">
        <v>12</v>
      </c>
      <c r="J5506" s="2" t="s">
        <v>12</v>
      </c>
      <c r="K5506" s="2" t="s">
        <v>12</v>
      </c>
    </row>
    <row r="5507" spans="1:11" ht="12.5" x14ac:dyDescent="0.25">
      <c r="A5507" s="3" t="e">
        <f ca="1"/>
        <v>#NAME?</v>
      </c>
      <c r="B5507" s="2" t="s">
        <v>12</v>
      </c>
      <c r="C5507" s="2" t="s">
        <v>12</v>
      </c>
      <c r="D5507" s="2" t="s">
        <v>12</v>
      </c>
      <c r="E5507" s="2" t="s">
        <v>12</v>
      </c>
      <c r="F5507" s="2" t="s">
        <v>12</v>
      </c>
      <c r="G5507" s="2" t="s">
        <v>12</v>
      </c>
      <c r="H5507" s="2" t="s">
        <v>12</v>
      </c>
      <c r="I5507" s="2" t="s">
        <v>12</v>
      </c>
      <c r="J5507" s="2" t="s">
        <v>12</v>
      </c>
      <c r="K5507" s="2" t="s">
        <v>12</v>
      </c>
    </row>
    <row r="5508" spans="1:11" ht="12.5" x14ac:dyDescent="0.25">
      <c r="A5508" s="3" t="e">
        <f ca="1"/>
        <v>#NAME?</v>
      </c>
      <c r="B5508" s="2" t="s">
        <v>12</v>
      </c>
      <c r="C5508" s="2" t="s">
        <v>12</v>
      </c>
      <c r="D5508" s="2" t="s">
        <v>12</v>
      </c>
      <c r="E5508" s="2" t="s">
        <v>12</v>
      </c>
      <c r="F5508" s="2" t="s">
        <v>12</v>
      </c>
      <c r="G5508" s="2" t="s">
        <v>12</v>
      </c>
      <c r="H5508" s="2" t="s">
        <v>12</v>
      </c>
      <c r="I5508" s="2" t="s">
        <v>12</v>
      </c>
      <c r="J5508" s="2" t="s">
        <v>12</v>
      </c>
      <c r="K5508" s="2" t="s">
        <v>12</v>
      </c>
    </row>
    <row r="5509" spans="1:11" ht="12.5" x14ac:dyDescent="0.25">
      <c r="A5509" s="3" t="e">
        <f ca="1"/>
        <v>#NAME?</v>
      </c>
      <c r="B5509" s="2" t="s">
        <v>12</v>
      </c>
      <c r="C5509" s="2" t="s">
        <v>12</v>
      </c>
      <c r="D5509" s="2" t="s">
        <v>12</v>
      </c>
      <c r="E5509" s="2" t="s">
        <v>12</v>
      </c>
      <c r="F5509" s="2" t="s">
        <v>12</v>
      </c>
      <c r="G5509" s="2" t="s">
        <v>12</v>
      </c>
      <c r="H5509" s="2" t="s">
        <v>12</v>
      </c>
      <c r="I5509" s="2" t="s">
        <v>12</v>
      </c>
      <c r="J5509" s="2" t="s">
        <v>12</v>
      </c>
      <c r="K5509" s="2" t="s">
        <v>12</v>
      </c>
    </row>
    <row r="5510" spans="1:11" ht="12.5" x14ac:dyDescent="0.25">
      <c r="A5510" s="3" t="e">
        <f ca="1"/>
        <v>#NAME?</v>
      </c>
      <c r="B5510" s="2" t="s">
        <v>12</v>
      </c>
      <c r="C5510" s="2" t="s">
        <v>12</v>
      </c>
      <c r="D5510" s="2" t="s">
        <v>12</v>
      </c>
      <c r="E5510" s="2" t="s">
        <v>12</v>
      </c>
      <c r="F5510" s="2" t="s">
        <v>12</v>
      </c>
      <c r="G5510" s="2" t="s">
        <v>12</v>
      </c>
      <c r="H5510" s="2" t="s">
        <v>12</v>
      </c>
      <c r="I5510" s="2" t="s">
        <v>12</v>
      </c>
      <c r="J5510" s="2" t="s">
        <v>12</v>
      </c>
      <c r="K5510" s="2" t="s">
        <v>12</v>
      </c>
    </row>
    <row r="5511" spans="1:11" ht="12.5" x14ac:dyDescent="0.25">
      <c r="A5511" s="3" t="e">
        <f ca="1"/>
        <v>#NAME?</v>
      </c>
      <c r="B5511" s="2" t="s">
        <v>12</v>
      </c>
      <c r="C5511" s="2" t="s">
        <v>12</v>
      </c>
      <c r="D5511" s="2" t="s">
        <v>12</v>
      </c>
      <c r="E5511" s="2" t="s">
        <v>12</v>
      </c>
      <c r="F5511" s="2" t="s">
        <v>12</v>
      </c>
      <c r="G5511" s="2" t="s">
        <v>12</v>
      </c>
      <c r="H5511" s="2" t="s">
        <v>12</v>
      </c>
      <c r="I5511" s="2" t="s">
        <v>12</v>
      </c>
      <c r="J5511" s="2" t="s">
        <v>12</v>
      </c>
      <c r="K5511" s="2" t="s">
        <v>12</v>
      </c>
    </row>
    <row r="5512" spans="1:11" ht="12.5" x14ac:dyDescent="0.25">
      <c r="A5512" s="3" t="e">
        <f ca="1"/>
        <v>#NAME?</v>
      </c>
      <c r="B5512" s="2" t="s">
        <v>12</v>
      </c>
      <c r="C5512" s="2" t="s">
        <v>12</v>
      </c>
      <c r="D5512" s="2" t="s">
        <v>12</v>
      </c>
      <c r="E5512" s="2" t="s">
        <v>12</v>
      </c>
      <c r="F5512" s="2" t="s">
        <v>12</v>
      </c>
      <c r="G5512" s="2" t="s">
        <v>12</v>
      </c>
      <c r="H5512" s="2" t="s">
        <v>12</v>
      </c>
      <c r="I5512" s="2" t="s">
        <v>12</v>
      </c>
      <c r="J5512" s="2" t="s">
        <v>12</v>
      </c>
      <c r="K5512" s="2" t="s">
        <v>12</v>
      </c>
    </row>
    <row r="5513" spans="1:11" ht="12.5" x14ac:dyDescent="0.25">
      <c r="A5513" s="3" t="e">
        <f ca="1"/>
        <v>#NAME?</v>
      </c>
      <c r="B5513" s="2" t="s">
        <v>12</v>
      </c>
      <c r="C5513" s="2" t="s">
        <v>12</v>
      </c>
      <c r="D5513" s="2" t="s">
        <v>12</v>
      </c>
      <c r="E5513" s="2" t="s">
        <v>12</v>
      </c>
      <c r="F5513" s="2" t="s">
        <v>12</v>
      </c>
      <c r="G5513" s="2" t="s">
        <v>12</v>
      </c>
      <c r="H5513" s="2" t="s">
        <v>12</v>
      </c>
      <c r="I5513" s="2" t="s">
        <v>12</v>
      </c>
      <c r="J5513" s="2" t="s">
        <v>12</v>
      </c>
      <c r="K5513" s="2" t="s">
        <v>12</v>
      </c>
    </row>
    <row r="5514" spans="1:11" ht="12.5" x14ac:dyDescent="0.25">
      <c r="A5514" s="3" t="e">
        <f ca="1"/>
        <v>#NAME?</v>
      </c>
      <c r="B5514" s="2" t="s">
        <v>12</v>
      </c>
      <c r="C5514" s="2" t="s">
        <v>12</v>
      </c>
      <c r="D5514" s="2" t="s">
        <v>12</v>
      </c>
      <c r="E5514" s="2" t="s">
        <v>12</v>
      </c>
      <c r="F5514" s="2" t="s">
        <v>12</v>
      </c>
      <c r="G5514" s="2" t="s">
        <v>12</v>
      </c>
      <c r="H5514" s="2" t="s">
        <v>12</v>
      </c>
      <c r="I5514" s="2" t="s">
        <v>12</v>
      </c>
      <c r="J5514" s="2" t="s">
        <v>12</v>
      </c>
      <c r="K5514" s="2" t="s">
        <v>12</v>
      </c>
    </row>
    <row r="5515" spans="1:11" ht="12.5" x14ac:dyDescent="0.25">
      <c r="A5515" s="3" t="e">
        <f ca="1"/>
        <v>#NAME?</v>
      </c>
      <c r="B5515" s="2" t="s">
        <v>12</v>
      </c>
      <c r="C5515" s="2" t="s">
        <v>12</v>
      </c>
      <c r="D5515" s="2" t="s">
        <v>12</v>
      </c>
      <c r="E5515" s="2" t="s">
        <v>12</v>
      </c>
      <c r="F5515" s="2" t="s">
        <v>12</v>
      </c>
      <c r="G5515" s="2" t="s">
        <v>12</v>
      </c>
      <c r="H5515" s="2" t="s">
        <v>12</v>
      </c>
      <c r="I5515" s="2" t="s">
        <v>12</v>
      </c>
      <c r="J5515" s="2" t="s">
        <v>12</v>
      </c>
      <c r="K5515" s="2" t="s">
        <v>12</v>
      </c>
    </row>
    <row r="5516" spans="1:11" ht="12.5" x14ac:dyDescent="0.25">
      <c r="A5516" s="3" t="e">
        <f ca="1"/>
        <v>#NAME?</v>
      </c>
      <c r="B5516" s="2" t="s">
        <v>12</v>
      </c>
      <c r="C5516" s="2" t="s">
        <v>12</v>
      </c>
      <c r="D5516" s="2" t="s">
        <v>12</v>
      </c>
      <c r="E5516" s="2" t="s">
        <v>12</v>
      </c>
      <c r="F5516" s="2" t="s">
        <v>12</v>
      </c>
      <c r="G5516" s="2" t="s">
        <v>12</v>
      </c>
      <c r="H5516" s="2" t="s">
        <v>12</v>
      </c>
      <c r="I5516" s="2" t="s">
        <v>12</v>
      </c>
      <c r="J5516" s="2" t="s">
        <v>12</v>
      </c>
      <c r="K5516" s="2" t="s">
        <v>12</v>
      </c>
    </row>
    <row r="5517" spans="1:11" ht="12.5" x14ac:dyDescent="0.25">
      <c r="A5517" s="3" t="e">
        <f ca="1"/>
        <v>#NAME?</v>
      </c>
      <c r="B5517" s="2" t="s">
        <v>12</v>
      </c>
      <c r="C5517" s="2" t="s">
        <v>12</v>
      </c>
      <c r="D5517" s="2" t="s">
        <v>12</v>
      </c>
      <c r="E5517" s="2" t="s">
        <v>12</v>
      </c>
      <c r="F5517" s="2" t="s">
        <v>12</v>
      </c>
      <c r="G5517" s="2" t="s">
        <v>12</v>
      </c>
      <c r="H5517" s="2" t="s">
        <v>12</v>
      </c>
      <c r="I5517" s="2" t="s">
        <v>12</v>
      </c>
      <c r="J5517" s="2" t="s">
        <v>12</v>
      </c>
      <c r="K5517" s="2" t="s">
        <v>12</v>
      </c>
    </row>
    <row r="5518" spans="1:11" ht="12.5" x14ac:dyDescent="0.25">
      <c r="A5518" s="3" t="e">
        <f ca="1"/>
        <v>#NAME?</v>
      </c>
      <c r="B5518" s="2" t="s">
        <v>12</v>
      </c>
      <c r="C5518" s="2" t="s">
        <v>12</v>
      </c>
      <c r="D5518" s="2" t="s">
        <v>12</v>
      </c>
      <c r="E5518" s="2" t="s">
        <v>12</v>
      </c>
      <c r="F5518" s="2" t="s">
        <v>12</v>
      </c>
      <c r="G5518" s="2" t="s">
        <v>12</v>
      </c>
      <c r="H5518" s="2" t="s">
        <v>12</v>
      </c>
      <c r="I5518" s="2" t="s">
        <v>12</v>
      </c>
      <c r="J5518" s="2" t="s">
        <v>12</v>
      </c>
      <c r="K5518" s="2" t="s">
        <v>12</v>
      </c>
    </row>
    <row r="5519" spans="1:11" ht="12.5" x14ac:dyDescent="0.25">
      <c r="A5519" s="3" t="e">
        <f ca="1"/>
        <v>#NAME?</v>
      </c>
      <c r="B5519" s="2" t="s">
        <v>12</v>
      </c>
      <c r="C5519" s="2" t="s">
        <v>12</v>
      </c>
      <c r="D5519" s="2" t="s">
        <v>12</v>
      </c>
      <c r="E5519" s="2" t="s">
        <v>12</v>
      </c>
      <c r="F5519" s="2" t="s">
        <v>12</v>
      </c>
      <c r="G5519" s="2" t="s">
        <v>12</v>
      </c>
      <c r="H5519" s="2" t="s">
        <v>12</v>
      </c>
      <c r="I5519" s="2" t="s">
        <v>12</v>
      </c>
      <c r="J5519" s="2" t="s">
        <v>12</v>
      </c>
      <c r="K5519" s="2" t="s">
        <v>12</v>
      </c>
    </row>
    <row r="5520" spans="1:11" ht="12.5" x14ac:dyDescent="0.25">
      <c r="A5520" s="3" t="e">
        <f ca="1"/>
        <v>#NAME?</v>
      </c>
      <c r="B5520" s="2" t="s">
        <v>12</v>
      </c>
      <c r="C5520" s="2" t="s">
        <v>12</v>
      </c>
      <c r="D5520" s="2" t="s">
        <v>12</v>
      </c>
      <c r="E5520" s="2" t="s">
        <v>12</v>
      </c>
      <c r="F5520" s="2" t="s">
        <v>12</v>
      </c>
      <c r="G5520" s="2" t="s">
        <v>12</v>
      </c>
      <c r="H5520" s="2" t="s">
        <v>12</v>
      </c>
      <c r="I5520" s="2" t="s">
        <v>12</v>
      </c>
      <c r="J5520" s="2" t="s">
        <v>12</v>
      </c>
      <c r="K5520" s="2" t="s">
        <v>12</v>
      </c>
    </row>
    <row r="5521" spans="1:11" ht="12.5" x14ac:dyDescent="0.25">
      <c r="A5521" s="3" t="e">
        <f ca="1"/>
        <v>#NAME?</v>
      </c>
      <c r="B5521" s="2" t="s">
        <v>12</v>
      </c>
      <c r="C5521" s="2" t="s">
        <v>12</v>
      </c>
      <c r="D5521" s="2" t="s">
        <v>12</v>
      </c>
      <c r="E5521" s="2" t="s">
        <v>12</v>
      </c>
      <c r="F5521" s="2" t="s">
        <v>12</v>
      </c>
      <c r="G5521" s="2" t="s">
        <v>12</v>
      </c>
      <c r="H5521" s="2" t="s">
        <v>12</v>
      </c>
      <c r="I5521" s="2" t="s">
        <v>12</v>
      </c>
      <c r="J5521" s="2" t="s">
        <v>12</v>
      </c>
      <c r="K5521" s="2" t="s">
        <v>12</v>
      </c>
    </row>
    <row r="5522" spans="1:11" ht="12.5" x14ac:dyDescent="0.25">
      <c r="A5522" s="3" t="e">
        <f ca="1"/>
        <v>#NAME?</v>
      </c>
      <c r="B5522" s="2" t="s">
        <v>12</v>
      </c>
      <c r="C5522" s="2" t="s">
        <v>12</v>
      </c>
      <c r="D5522" s="2" t="s">
        <v>12</v>
      </c>
      <c r="E5522" s="2" t="s">
        <v>12</v>
      </c>
      <c r="F5522" s="2" t="s">
        <v>12</v>
      </c>
      <c r="G5522" s="2" t="s">
        <v>12</v>
      </c>
      <c r="H5522" s="2" t="s">
        <v>12</v>
      </c>
      <c r="I5522" s="2" t="s">
        <v>12</v>
      </c>
      <c r="J5522" s="2" t="s">
        <v>12</v>
      </c>
      <c r="K5522" s="2" t="s">
        <v>12</v>
      </c>
    </row>
    <row r="5523" spans="1:11" ht="12.5" x14ac:dyDescent="0.25">
      <c r="A5523" s="3" t="e">
        <f ca="1"/>
        <v>#NAME?</v>
      </c>
      <c r="B5523" s="2" t="s">
        <v>12</v>
      </c>
      <c r="C5523" s="2" t="s">
        <v>12</v>
      </c>
      <c r="D5523" s="2" t="s">
        <v>12</v>
      </c>
      <c r="E5523" s="2" t="s">
        <v>12</v>
      </c>
      <c r="F5523" s="2" t="s">
        <v>12</v>
      </c>
      <c r="G5523" s="2" t="s">
        <v>12</v>
      </c>
      <c r="H5523" s="2" t="s">
        <v>12</v>
      </c>
      <c r="I5523" s="2" t="s">
        <v>12</v>
      </c>
      <c r="J5523" s="2" t="s">
        <v>12</v>
      </c>
      <c r="K5523" s="2" t="s">
        <v>12</v>
      </c>
    </row>
    <row r="5524" spans="1:11" ht="12.5" x14ac:dyDescent="0.25">
      <c r="A5524" s="3" t="e">
        <f ca="1"/>
        <v>#NAME?</v>
      </c>
      <c r="B5524" s="2" t="s">
        <v>12</v>
      </c>
      <c r="C5524" s="2" t="s">
        <v>12</v>
      </c>
      <c r="D5524" s="2" t="s">
        <v>12</v>
      </c>
      <c r="E5524" s="2" t="s">
        <v>12</v>
      </c>
      <c r="F5524" s="2" t="s">
        <v>12</v>
      </c>
      <c r="G5524" s="2" t="s">
        <v>12</v>
      </c>
      <c r="H5524" s="2" t="s">
        <v>12</v>
      </c>
      <c r="I5524" s="2" t="s">
        <v>12</v>
      </c>
      <c r="J5524" s="2" t="s">
        <v>12</v>
      </c>
      <c r="K5524" s="2" t="s">
        <v>12</v>
      </c>
    </row>
    <row r="5525" spans="1:11" ht="12.5" x14ac:dyDescent="0.25">
      <c r="A5525" s="3" t="e">
        <f ca="1"/>
        <v>#NAME?</v>
      </c>
      <c r="B5525" s="2" t="s">
        <v>12</v>
      </c>
      <c r="C5525" s="2" t="s">
        <v>12</v>
      </c>
      <c r="D5525" s="2" t="s">
        <v>12</v>
      </c>
      <c r="E5525" s="2" t="s">
        <v>12</v>
      </c>
      <c r="F5525" s="2" t="s">
        <v>12</v>
      </c>
      <c r="G5525" s="2" t="s">
        <v>12</v>
      </c>
      <c r="H5525" s="2" t="s">
        <v>12</v>
      </c>
      <c r="I5525" s="2" t="s">
        <v>12</v>
      </c>
      <c r="J5525" s="2" t="s">
        <v>12</v>
      </c>
      <c r="K5525" s="2" t="s">
        <v>12</v>
      </c>
    </row>
    <row r="5526" spans="1:11" ht="12.5" x14ac:dyDescent="0.25">
      <c r="A5526" s="3" t="e">
        <f ca="1"/>
        <v>#NAME?</v>
      </c>
      <c r="B5526" s="2" t="s">
        <v>12</v>
      </c>
      <c r="C5526" s="2" t="s">
        <v>12</v>
      </c>
      <c r="D5526" s="2" t="s">
        <v>12</v>
      </c>
      <c r="E5526" s="2" t="s">
        <v>12</v>
      </c>
      <c r="F5526" s="2" t="s">
        <v>12</v>
      </c>
      <c r="G5526" s="2" t="s">
        <v>12</v>
      </c>
      <c r="H5526" s="2" t="s">
        <v>12</v>
      </c>
      <c r="I5526" s="2" t="s">
        <v>12</v>
      </c>
      <c r="J5526" s="2" t="s">
        <v>12</v>
      </c>
      <c r="K5526" s="2" t="s">
        <v>12</v>
      </c>
    </row>
    <row r="5527" spans="1:11" ht="12.5" x14ac:dyDescent="0.25">
      <c r="A5527" s="3" t="e">
        <f ca="1"/>
        <v>#NAME?</v>
      </c>
      <c r="B5527" s="2" t="s">
        <v>12</v>
      </c>
      <c r="C5527" s="2" t="s">
        <v>12</v>
      </c>
      <c r="D5527" s="2" t="s">
        <v>12</v>
      </c>
      <c r="E5527" s="2" t="s">
        <v>12</v>
      </c>
      <c r="F5527" s="2" t="s">
        <v>12</v>
      </c>
      <c r="G5527" s="2" t="s">
        <v>12</v>
      </c>
      <c r="H5527" s="2" t="s">
        <v>12</v>
      </c>
      <c r="I5527" s="2" t="s">
        <v>12</v>
      </c>
      <c r="J5527" s="2" t="s">
        <v>12</v>
      </c>
      <c r="K5527" s="2" t="s">
        <v>12</v>
      </c>
    </row>
    <row r="5528" spans="1:11" ht="12.5" x14ac:dyDescent="0.25">
      <c r="A5528" s="3" t="e">
        <f ca="1"/>
        <v>#NAME?</v>
      </c>
      <c r="B5528" s="2" t="s">
        <v>12</v>
      </c>
      <c r="C5528" s="2" t="s">
        <v>12</v>
      </c>
      <c r="D5528" s="2" t="s">
        <v>12</v>
      </c>
      <c r="E5528" s="2" t="s">
        <v>12</v>
      </c>
      <c r="F5528" s="2" t="s">
        <v>12</v>
      </c>
      <c r="G5528" s="2" t="s">
        <v>12</v>
      </c>
      <c r="H5528" s="2" t="s">
        <v>12</v>
      </c>
      <c r="I5528" s="2" t="s">
        <v>12</v>
      </c>
      <c r="J5528" s="2" t="s">
        <v>12</v>
      </c>
      <c r="K5528" s="2" t="s">
        <v>12</v>
      </c>
    </row>
    <row r="5529" spans="1:11" ht="12.5" x14ac:dyDescent="0.25">
      <c r="A5529" s="3" t="e">
        <f ca="1"/>
        <v>#NAME?</v>
      </c>
      <c r="B5529" s="2" t="s">
        <v>12</v>
      </c>
      <c r="C5529" s="2" t="s">
        <v>12</v>
      </c>
      <c r="D5529" s="2" t="s">
        <v>12</v>
      </c>
      <c r="E5529" s="2" t="s">
        <v>12</v>
      </c>
      <c r="F5529" s="2" t="s">
        <v>12</v>
      </c>
      <c r="G5529" s="2" t="s">
        <v>12</v>
      </c>
      <c r="H5529" s="2" t="s">
        <v>12</v>
      </c>
      <c r="I5529" s="2" t="s">
        <v>12</v>
      </c>
      <c r="J5529" s="2" t="s">
        <v>12</v>
      </c>
      <c r="K5529" s="2" t="s">
        <v>12</v>
      </c>
    </row>
    <row r="5530" spans="1:11" ht="12.5" x14ac:dyDescent="0.25">
      <c r="A5530" s="3" t="e">
        <f ca="1"/>
        <v>#NAME?</v>
      </c>
      <c r="B5530" s="2" t="s">
        <v>12</v>
      </c>
      <c r="C5530" s="2" t="s">
        <v>12</v>
      </c>
      <c r="D5530" s="2" t="s">
        <v>12</v>
      </c>
      <c r="E5530" s="2" t="s">
        <v>12</v>
      </c>
      <c r="F5530" s="2" t="s">
        <v>12</v>
      </c>
      <c r="G5530" s="2" t="s">
        <v>12</v>
      </c>
      <c r="H5530" s="2" t="s">
        <v>12</v>
      </c>
      <c r="I5530" s="2" t="s">
        <v>12</v>
      </c>
      <c r="J5530" s="2" t="s">
        <v>12</v>
      </c>
      <c r="K5530" s="2" t="s">
        <v>12</v>
      </c>
    </row>
    <row r="5531" spans="1:11" ht="12.5" x14ac:dyDescent="0.25">
      <c r="A5531" s="3" t="e">
        <f ca="1"/>
        <v>#NAME?</v>
      </c>
      <c r="B5531" s="2" t="s">
        <v>12</v>
      </c>
      <c r="C5531" s="2" t="s">
        <v>12</v>
      </c>
      <c r="D5531" s="2" t="s">
        <v>12</v>
      </c>
      <c r="E5531" s="2" t="s">
        <v>12</v>
      </c>
      <c r="F5531" s="2" t="s">
        <v>12</v>
      </c>
      <c r="G5531" s="2" t="s">
        <v>12</v>
      </c>
      <c r="H5531" s="2" t="s">
        <v>12</v>
      </c>
      <c r="I5531" s="2" t="s">
        <v>12</v>
      </c>
      <c r="J5531" s="2" t="s">
        <v>12</v>
      </c>
      <c r="K5531" s="2" t="s">
        <v>12</v>
      </c>
    </row>
    <row r="5532" spans="1:11" ht="12.5" x14ac:dyDescent="0.25">
      <c r="A5532" s="3" t="e">
        <f ca="1"/>
        <v>#NAME?</v>
      </c>
      <c r="B5532" s="2" t="s">
        <v>12</v>
      </c>
      <c r="C5532" s="2" t="s">
        <v>12</v>
      </c>
      <c r="D5532" s="2" t="s">
        <v>12</v>
      </c>
      <c r="E5532" s="2" t="s">
        <v>12</v>
      </c>
      <c r="F5532" s="2" t="s">
        <v>12</v>
      </c>
      <c r="G5532" s="2" t="s">
        <v>12</v>
      </c>
      <c r="H5532" s="2" t="s">
        <v>12</v>
      </c>
      <c r="I5532" s="2" t="s">
        <v>12</v>
      </c>
      <c r="J5532" s="2" t="s">
        <v>12</v>
      </c>
      <c r="K5532" s="2" t="s">
        <v>12</v>
      </c>
    </row>
    <row r="5533" spans="1:11" ht="12.5" x14ac:dyDescent="0.25">
      <c r="A5533" s="3" t="e">
        <f ca="1"/>
        <v>#NAME?</v>
      </c>
      <c r="B5533" s="2" t="s">
        <v>12</v>
      </c>
      <c r="C5533" s="2" t="s">
        <v>12</v>
      </c>
      <c r="D5533" s="2" t="s">
        <v>12</v>
      </c>
      <c r="E5533" s="2" t="s">
        <v>12</v>
      </c>
      <c r="F5533" s="2" t="s">
        <v>12</v>
      </c>
      <c r="G5533" s="2" t="s">
        <v>12</v>
      </c>
      <c r="H5533" s="2" t="s">
        <v>12</v>
      </c>
      <c r="I5533" s="2" t="s">
        <v>12</v>
      </c>
      <c r="J5533" s="2" t="s">
        <v>12</v>
      </c>
      <c r="K5533" s="2" t="s">
        <v>12</v>
      </c>
    </row>
    <row r="5534" spans="1:11" ht="12.5" x14ac:dyDescent="0.25">
      <c r="A5534" s="3" t="e">
        <f ca="1"/>
        <v>#NAME?</v>
      </c>
      <c r="B5534" s="2" t="s">
        <v>12</v>
      </c>
      <c r="C5534" s="2" t="s">
        <v>12</v>
      </c>
      <c r="D5534" s="2" t="s">
        <v>12</v>
      </c>
      <c r="E5534" s="2" t="s">
        <v>12</v>
      </c>
      <c r="F5534" s="2" t="s">
        <v>12</v>
      </c>
      <c r="G5534" s="2" t="s">
        <v>12</v>
      </c>
      <c r="H5534" s="2" t="s">
        <v>12</v>
      </c>
      <c r="I5534" s="2" t="s">
        <v>12</v>
      </c>
      <c r="J5534" s="2" t="s">
        <v>12</v>
      </c>
      <c r="K5534" s="2" t="s">
        <v>12</v>
      </c>
    </row>
    <row r="5535" spans="1:11" ht="12.5" x14ac:dyDescent="0.25">
      <c r="A5535" s="3" t="e">
        <f ca="1"/>
        <v>#NAME?</v>
      </c>
      <c r="B5535" s="2" t="s">
        <v>12</v>
      </c>
      <c r="C5535" s="2" t="s">
        <v>12</v>
      </c>
      <c r="D5535" s="2" t="s">
        <v>12</v>
      </c>
      <c r="E5535" s="2" t="s">
        <v>12</v>
      </c>
      <c r="F5535" s="2" t="s">
        <v>12</v>
      </c>
      <c r="G5535" s="2" t="s">
        <v>12</v>
      </c>
      <c r="H5535" s="2" t="s">
        <v>12</v>
      </c>
      <c r="I5535" s="2" t="s">
        <v>12</v>
      </c>
      <c r="J5535" s="2" t="s">
        <v>12</v>
      </c>
      <c r="K5535" s="2" t="s">
        <v>12</v>
      </c>
    </row>
    <row r="5536" spans="1:11" ht="12.5" x14ac:dyDescent="0.25">
      <c r="A5536" s="3" t="e">
        <f ca="1"/>
        <v>#NAME?</v>
      </c>
      <c r="B5536" s="2" t="s">
        <v>12</v>
      </c>
      <c r="C5536" s="2" t="s">
        <v>12</v>
      </c>
      <c r="D5536" s="2" t="s">
        <v>12</v>
      </c>
      <c r="E5536" s="2" t="s">
        <v>12</v>
      </c>
      <c r="F5536" s="2" t="s">
        <v>12</v>
      </c>
      <c r="G5536" s="2" t="s">
        <v>12</v>
      </c>
      <c r="H5536" s="2" t="s">
        <v>12</v>
      </c>
      <c r="I5536" s="2" t="s">
        <v>12</v>
      </c>
      <c r="J5536" s="2" t="s">
        <v>12</v>
      </c>
      <c r="K5536" s="2" t="s">
        <v>12</v>
      </c>
    </row>
    <row r="5537" spans="1:11" ht="12.5" x14ac:dyDescent="0.25">
      <c r="A5537" s="3" t="e">
        <f ca="1"/>
        <v>#NAME?</v>
      </c>
      <c r="B5537" s="2" t="s">
        <v>12</v>
      </c>
      <c r="C5537" s="2" t="s">
        <v>12</v>
      </c>
      <c r="D5537" s="2" t="s">
        <v>12</v>
      </c>
      <c r="E5537" s="2" t="s">
        <v>12</v>
      </c>
      <c r="F5537" s="2" t="s">
        <v>12</v>
      </c>
      <c r="G5537" s="2" t="s">
        <v>12</v>
      </c>
      <c r="H5537" s="2" t="s">
        <v>12</v>
      </c>
      <c r="I5537" s="2" t="s">
        <v>12</v>
      </c>
      <c r="J5537" s="2" t="s">
        <v>12</v>
      </c>
      <c r="K5537" s="2" t="s">
        <v>12</v>
      </c>
    </row>
    <row r="5538" spans="1:11" ht="12.5" x14ac:dyDescent="0.25">
      <c r="A5538" s="3" t="e">
        <f ca="1"/>
        <v>#NAME?</v>
      </c>
      <c r="B5538" s="2" t="s">
        <v>12</v>
      </c>
      <c r="C5538" s="2" t="s">
        <v>12</v>
      </c>
      <c r="D5538" s="2" t="s">
        <v>12</v>
      </c>
      <c r="E5538" s="2" t="s">
        <v>12</v>
      </c>
      <c r="F5538" s="2" t="s">
        <v>12</v>
      </c>
      <c r="G5538" s="2" t="s">
        <v>12</v>
      </c>
      <c r="H5538" s="2" t="s">
        <v>12</v>
      </c>
      <c r="I5538" s="2" t="s">
        <v>12</v>
      </c>
      <c r="J5538" s="2" t="s">
        <v>12</v>
      </c>
      <c r="K5538" s="2" t="s">
        <v>12</v>
      </c>
    </row>
    <row r="5539" spans="1:11" ht="12.5" x14ac:dyDescent="0.25">
      <c r="A5539" s="3" t="e">
        <f ca="1"/>
        <v>#NAME?</v>
      </c>
      <c r="B5539" s="2" t="s">
        <v>12</v>
      </c>
      <c r="C5539" s="2" t="s">
        <v>12</v>
      </c>
      <c r="D5539" s="2" t="s">
        <v>12</v>
      </c>
      <c r="E5539" s="2" t="s">
        <v>12</v>
      </c>
      <c r="F5539" s="2" t="s">
        <v>12</v>
      </c>
      <c r="G5539" s="2" t="s">
        <v>12</v>
      </c>
      <c r="H5539" s="2" t="s">
        <v>12</v>
      </c>
      <c r="I5539" s="2" t="s">
        <v>12</v>
      </c>
      <c r="J5539" s="2" t="s">
        <v>12</v>
      </c>
      <c r="K5539" s="2" t="s">
        <v>12</v>
      </c>
    </row>
    <row r="5540" spans="1:11" ht="12.5" x14ac:dyDescent="0.25">
      <c r="A5540" s="3" t="e">
        <f ca="1"/>
        <v>#NAME?</v>
      </c>
      <c r="B5540" s="2" t="s">
        <v>12</v>
      </c>
      <c r="C5540" s="2" t="s">
        <v>12</v>
      </c>
      <c r="D5540" s="2" t="s">
        <v>12</v>
      </c>
      <c r="E5540" s="2" t="s">
        <v>12</v>
      </c>
      <c r="F5540" s="2" t="s">
        <v>12</v>
      </c>
      <c r="G5540" s="2" t="s">
        <v>12</v>
      </c>
      <c r="H5540" s="2" t="s">
        <v>12</v>
      </c>
      <c r="I5540" s="2" t="s">
        <v>12</v>
      </c>
      <c r="J5540" s="2" t="s">
        <v>12</v>
      </c>
      <c r="K5540" s="2" t="s">
        <v>12</v>
      </c>
    </row>
    <row r="5541" spans="1:11" ht="12.5" x14ac:dyDescent="0.25">
      <c r="A5541" s="3" t="e">
        <f ca="1"/>
        <v>#NAME?</v>
      </c>
      <c r="B5541" s="2" t="s">
        <v>12</v>
      </c>
      <c r="C5541" s="2" t="s">
        <v>12</v>
      </c>
      <c r="D5541" s="2" t="s">
        <v>12</v>
      </c>
      <c r="E5541" s="2" t="s">
        <v>12</v>
      </c>
      <c r="F5541" s="2" t="s">
        <v>12</v>
      </c>
      <c r="G5541" s="2" t="s">
        <v>12</v>
      </c>
      <c r="H5541" s="2" t="s">
        <v>12</v>
      </c>
      <c r="I5541" s="2" t="s">
        <v>12</v>
      </c>
      <c r="J5541" s="2" t="s">
        <v>12</v>
      </c>
      <c r="K5541" s="2" t="s">
        <v>12</v>
      </c>
    </row>
    <row r="5542" spans="1:11" ht="12.5" x14ac:dyDescent="0.25">
      <c r="A5542" s="3" t="e">
        <f ca="1"/>
        <v>#NAME?</v>
      </c>
      <c r="B5542" s="2" t="s">
        <v>12</v>
      </c>
      <c r="C5542" s="2" t="s">
        <v>12</v>
      </c>
      <c r="D5542" s="2" t="s">
        <v>12</v>
      </c>
      <c r="E5542" s="2" t="s">
        <v>12</v>
      </c>
      <c r="F5542" s="2" t="s">
        <v>12</v>
      </c>
      <c r="G5542" s="2" t="s">
        <v>12</v>
      </c>
      <c r="H5542" s="2" t="s">
        <v>12</v>
      </c>
      <c r="I5542" s="2" t="s">
        <v>12</v>
      </c>
      <c r="J5542" s="2" t="s">
        <v>12</v>
      </c>
      <c r="K5542" s="2" t="s">
        <v>12</v>
      </c>
    </row>
    <row r="5543" spans="1:11" ht="12.5" x14ac:dyDescent="0.25">
      <c r="A5543" s="3" t="e">
        <f ca="1"/>
        <v>#NAME?</v>
      </c>
      <c r="B5543" s="2" t="s">
        <v>12</v>
      </c>
      <c r="C5543" s="2" t="s">
        <v>12</v>
      </c>
      <c r="D5543" s="2" t="s">
        <v>12</v>
      </c>
      <c r="E5543" s="2" t="s">
        <v>12</v>
      </c>
      <c r="F5543" s="2" t="s">
        <v>12</v>
      </c>
      <c r="G5543" s="2" t="s">
        <v>12</v>
      </c>
      <c r="H5543" s="2" t="s">
        <v>12</v>
      </c>
      <c r="I5543" s="2" t="s">
        <v>12</v>
      </c>
      <c r="J5543" s="2" t="s">
        <v>12</v>
      </c>
      <c r="K5543" s="2" t="s">
        <v>12</v>
      </c>
    </row>
    <row r="5544" spans="1:11" ht="12.5" x14ac:dyDescent="0.25">
      <c r="A5544" s="3" t="e">
        <f ca="1"/>
        <v>#NAME?</v>
      </c>
      <c r="B5544" s="2" t="s">
        <v>12</v>
      </c>
      <c r="C5544" s="2" t="s">
        <v>12</v>
      </c>
      <c r="D5544" s="2" t="s">
        <v>12</v>
      </c>
      <c r="E5544" s="2" t="s">
        <v>12</v>
      </c>
      <c r="F5544" s="2" t="s">
        <v>12</v>
      </c>
      <c r="G5544" s="2" t="s">
        <v>12</v>
      </c>
      <c r="H5544" s="2" t="s">
        <v>12</v>
      </c>
      <c r="I5544" s="2" t="s">
        <v>12</v>
      </c>
      <c r="J5544" s="2" t="s">
        <v>12</v>
      </c>
      <c r="K5544" s="2" t="s">
        <v>12</v>
      </c>
    </row>
    <row r="5545" spans="1:11" ht="12.5" x14ac:dyDescent="0.25">
      <c r="A5545" s="3" t="e">
        <f ca="1"/>
        <v>#NAME?</v>
      </c>
      <c r="B5545" s="2" t="s">
        <v>12</v>
      </c>
      <c r="C5545" s="2" t="s">
        <v>12</v>
      </c>
      <c r="D5545" s="2" t="s">
        <v>12</v>
      </c>
      <c r="E5545" s="2" t="s">
        <v>12</v>
      </c>
      <c r="F5545" s="2" t="s">
        <v>12</v>
      </c>
      <c r="G5545" s="2" t="s">
        <v>12</v>
      </c>
      <c r="H5545" s="2" t="s">
        <v>12</v>
      </c>
      <c r="I5545" s="2" t="s">
        <v>12</v>
      </c>
      <c r="J5545" s="2" t="s">
        <v>12</v>
      </c>
      <c r="K5545" s="2" t="s">
        <v>12</v>
      </c>
    </row>
    <row r="5546" spans="1:11" ht="12.5" x14ac:dyDescent="0.25">
      <c r="A5546" s="3" t="e">
        <f ca="1"/>
        <v>#NAME?</v>
      </c>
      <c r="B5546" s="2" t="s">
        <v>12</v>
      </c>
      <c r="C5546" s="2" t="s">
        <v>12</v>
      </c>
      <c r="D5546" s="2" t="s">
        <v>12</v>
      </c>
      <c r="E5546" s="2" t="s">
        <v>12</v>
      </c>
      <c r="F5546" s="2" t="s">
        <v>12</v>
      </c>
      <c r="G5546" s="2" t="s">
        <v>12</v>
      </c>
      <c r="H5546" s="2" t="s">
        <v>12</v>
      </c>
      <c r="I5546" s="2" t="s">
        <v>12</v>
      </c>
      <c r="J5546" s="2" t="s">
        <v>12</v>
      </c>
      <c r="K5546" s="2" t="s">
        <v>12</v>
      </c>
    </row>
    <row r="5547" spans="1:11" ht="12.5" x14ac:dyDescent="0.25">
      <c r="A5547" s="3" t="e">
        <f ca="1"/>
        <v>#NAME?</v>
      </c>
      <c r="B5547" s="2" t="s">
        <v>12</v>
      </c>
      <c r="C5547" s="2" t="s">
        <v>12</v>
      </c>
      <c r="D5547" s="2" t="s">
        <v>12</v>
      </c>
      <c r="E5547" s="2" t="s">
        <v>12</v>
      </c>
      <c r="F5547" s="2" t="s">
        <v>12</v>
      </c>
      <c r="G5547" s="2" t="s">
        <v>12</v>
      </c>
      <c r="H5547" s="2" t="s">
        <v>12</v>
      </c>
      <c r="I5547" s="2" t="s">
        <v>12</v>
      </c>
      <c r="J5547" s="2" t="s">
        <v>12</v>
      </c>
      <c r="K5547" s="2" t="s">
        <v>12</v>
      </c>
    </row>
    <row r="5548" spans="1:11" ht="12.5" x14ac:dyDescent="0.25">
      <c r="A5548" s="3" t="e">
        <f ca="1"/>
        <v>#NAME?</v>
      </c>
      <c r="B5548" s="2" t="s">
        <v>12</v>
      </c>
      <c r="C5548" s="2" t="s">
        <v>12</v>
      </c>
      <c r="D5548" s="2" t="s">
        <v>12</v>
      </c>
      <c r="E5548" s="2" t="s">
        <v>12</v>
      </c>
      <c r="F5548" s="2" t="s">
        <v>12</v>
      </c>
      <c r="G5548" s="2" t="s">
        <v>12</v>
      </c>
      <c r="H5548" s="2" t="s">
        <v>12</v>
      </c>
      <c r="I5548" s="2" t="s">
        <v>12</v>
      </c>
      <c r="J5548" s="2" t="s">
        <v>12</v>
      </c>
      <c r="K5548" s="2" t="s">
        <v>12</v>
      </c>
    </row>
    <row r="5549" spans="1:11" ht="12.5" x14ac:dyDescent="0.25">
      <c r="A5549" s="3" t="e">
        <f ca="1"/>
        <v>#NAME?</v>
      </c>
      <c r="B5549" s="2" t="s">
        <v>12</v>
      </c>
      <c r="C5549" s="2" t="s">
        <v>12</v>
      </c>
      <c r="D5549" s="2" t="s">
        <v>12</v>
      </c>
      <c r="E5549" s="2" t="s">
        <v>12</v>
      </c>
      <c r="F5549" s="2" t="s">
        <v>12</v>
      </c>
      <c r="G5549" s="2" t="s">
        <v>12</v>
      </c>
      <c r="H5549" s="2" t="s">
        <v>12</v>
      </c>
      <c r="I5549" s="2" t="s">
        <v>12</v>
      </c>
      <c r="J5549" s="2" t="s">
        <v>12</v>
      </c>
      <c r="K5549" s="2" t="s">
        <v>12</v>
      </c>
    </row>
    <row r="5550" spans="1:11" ht="12.5" x14ac:dyDescent="0.25">
      <c r="A5550" s="3" t="e">
        <f ca="1"/>
        <v>#NAME?</v>
      </c>
      <c r="B5550" s="2" t="s">
        <v>12</v>
      </c>
      <c r="C5550" s="2" t="s">
        <v>12</v>
      </c>
      <c r="D5550" s="2" t="s">
        <v>12</v>
      </c>
      <c r="E5550" s="2" t="s">
        <v>12</v>
      </c>
      <c r="F5550" s="2" t="s">
        <v>12</v>
      </c>
      <c r="G5550" s="2" t="s">
        <v>12</v>
      </c>
      <c r="H5550" s="2" t="s">
        <v>12</v>
      </c>
      <c r="I5550" s="2" t="s">
        <v>12</v>
      </c>
      <c r="J5550" s="2" t="s">
        <v>12</v>
      </c>
      <c r="K5550" s="2" t="s">
        <v>12</v>
      </c>
    </row>
    <row r="5551" spans="1:11" ht="12.5" x14ac:dyDescent="0.25">
      <c r="A5551" s="3" t="e">
        <f ca="1"/>
        <v>#NAME?</v>
      </c>
      <c r="B5551" s="2" t="s">
        <v>12</v>
      </c>
      <c r="C5551" s="2" t="s">
        <v>12</v>
      </c>
      <c r="D5551" s="2" t="s">
        <v>12</v>
      </c>
      <c r="E5551" s="2" t="s">
        <v>12</v>
      </c>
      <c r="F5551" s="2" t="s">
        <v>12</v>
      </c>
      <c r="G5551" s="2" t="s">
        <v>12</v>
      </c>
      <c r="H5551" s="2" t="s">
        <v>12</v>
      </c>
      <c r="I5551" s="2" t="s">
        <v>12</v>
      </c>
      <c r="J5551" s="2" t="s">
        <v>12</v>
      </c>
      <c r="K5551" s="2" t="s">
        <v>12</v>
      </c>
    </row>
    <row r="5552" spans="1:11" ht="12.5" x14ac:dyDescent="0.25">
      <c r="A5552" s="3" t="e">
        <f ca="1"/>
        <v>#NAME?</v>
      </c>
      <c r="B5552" s="2" t="s">
        <v>12</v>
      </c>
      <c r="C5552" s="2" t="s">
        <v>12</v>
      </c>
      <c r="D5552" s="2" t="s">
        <v>12</v>
      </c>
      <c r="E5552" s="2" t="s">
        <v>12</v>
      </c>
      <c r="F5552" s="2" t="s">
        <v>12</v>
      </c>
      <c r="G5552" s="2" t="s">
        <v>12</v>
      </c>
      <c r="H5552" s="2" t="s">
        <v>12</v>
      </c>
      <c r="I5552" s="2" t="s">
        <v>12</v>
      </c>
      <c r="J5552" s="2" t="s">
        <v>12</v>
      </c>
      <c r="K5552" s="2" t="s">
        <v>12</v>
      </c>
    </row>
    <row r="5553" spans="1:11" ht="12.5" x14ac:dyDescent="0.25">
      <c r="A5553" s="3" t="e">
        <f ca="1"/>
        <v>#NAME?</v>
      </c>
      <c r="B5553" s="2" t="s">
        <v>12</v>
      </c>
      <c r="C5553" s="2" t="s">
        <v>12</v>
      </c>
      <c r="D5553" s="2" t="s">
        <v>12</v>
      </c>
      <c r="E5553" s="2" t="s">
        <v>12</v>
      </c>
      <c r="F5553" s="2" t="s">
        <v>12</v>
      </c>
      <c r="G5553" s="2" t="s">
        <v>12</v>
      </c>
      <c r="H5553" s="2" t="s">
        <v>12</v>
      </c>
      <c r="I5553" s="2" t="s">
        <v>12</v>
      </c>
      <c r="J5553" s="2" t="s">
        <v>12</v>
      </c>
      <c r="K5553" s="2" t="s">
        <v>12</v>
      </c>
    </row>
    <row r="5554" spans="1:11" ht="12.5" x14ac:dyDescent="0.25">
      <c r="A5554" s="3" t="e">
        <f ca="1"/>
        <v>#NAME?</v>
      </c>
      <c r="B5554" s="2" t="s">
        <v>12</v>
      </c>
      <c r="C5554" s="2" t="s">
        <v>12</v>
      </c>
      <c r="D5554" s="2" t="s">
        <v>12</v>
      </c>
      <c r="E5554" s="2" t="s">
        <v>12</v>
      </c>
      <c r="F5554" s="2" t="s">
        <v>12</v>
      </c>
      <c r="G5554" s="2" t="s">
        <v>12</v>
      </c>
      <c r="H5554" s="2" t="s">
        <v>12</v>
      </c>
      <c r="I5554" s="2" t="s">
        <v>12</v>
      </c>
      <c r="J5554" s="2" t="s">
        <v>12</v>
      </c>
      <c r="K5554" s="2" t="s">
        <v>12</v>
      </c>
    </row>
    <row r="5555" spans="1:11" ht="12.5" x14ac:dyDescent="0.25">
      <c r="A5555" s="3" t="e">
        <f ca="1"/>
        <v>#NAME?</v>
      </c>
      <c r="B5555" s="2" t="s">
        <v>12</v>
      </c>
      <c r="C5555" s="2" t="s">
        <v>12</v>
      </c>
      <c r="D5555" s="2" t="s">
        <v>12</v>
      </c>
      <c r="E5555" s="2" t="s">
        <v>12</v>
      </c>
      <c r="F5555" s="2" t="s">
        <v>12</v>
      </c>
      <c r="G5555" s="2" t="s">
        <v>12</v>
      </c>
      <c r="H5555" s="2" t="s">
        <v>12</v>
      </c>
      <c r="I5555" s="2" t="s">
        <v>12</v>
      </c>
      <c r="J5555" s="2" t="s">
        <v>12</v>
      </c>
      <c r="K5555" s="2" t="s">
        <v>12</v>
      </c>
    </row>
    <row r="5556" spans="1:11" ht="12.5" x14ac:dyDescent="0.25">
      <c r="A5556" s="3" t="e">
        <f ca="1"/>
        <v>#NAME?</v>
      </c>
      <c r="B5556" s="2" t="s">
        <v>12</v>
      </c>
      <c r="C5556" s="2" t="s">
        <v>12</v>
      </c>
      <c r="D5556" s="2" t="s">
        <v>12</v>
      </c>
      <c r="E5556" s="2" t="s">
        <v>12</v>
      </c>
      <c r="F5556" s="2" t="s">
        <v>12</v>
      </c>
      <c r="G5556" s="2" t="s">
        <v>12</v>
      </c>
      <c r="H5556" s="2" t="s">
        <v>12</v>
      </c>
      <c r="I5556" s="2" t="s">
        <v>12</v>
      </c>
      <c r="J5556" s="2" t="s">
        <v>12</v>
      </c>
      <c r="K5556" s="2" t="s">
        <v>12</v>
      </c>
    </row>
    <row r="5557" spans="1:11" ht="12.5" x14ac:dyDescent="0.25">
      <c r="A5557" s="3" t="e">
        <f ca="1"/>
        <v>#NAME?</v>
      </c>
      <c r="B5557" s="2" t="s">
        <v>12</v>
      </c>
      <c r="C5557" s="2" t="s">
        <v>12</v>
      </c>
      <c r="D5557" s="2" t="s">
        <v>12</v>
      </c>
      <c r="E5557" s="2" t="s">
        <v>12</v>
      </c>
      <c r="F5557" s="2" t="s">
        <v>12</v>
      </c>
      <c r="G5557" s="2" t="s">
        <v>12</v>
      </c>
      <c r="H5557" s="2" t="s">
        <v>12</v>
      </c>
      <c r="I5557" s="2" t="s">
        <v>12</v>
      </c>
      <c r="J5557" s="2" t="s">
        <v>12</v>
      </c>
      <c r="K5557" s="2" t="s">
        <v>12</v>
      </c>
    </row>
    <row r="5558" spans="1:11" ht="12.5" x14ac:dyDescent="0.25">
      <c r="A5558" s="3" t="e">
        <f ca="1"/>
        <v>#NAME?</v>
      </c>
      <c r="B5558" s="2" t="s">
        <v>12</v>
      </c>
      <c r="C5558" s="2" t="s">
        <v>12</v>
      </c>
      <c r="D5558" s="2" t="s">
        <v>12</v>
      </c>
      <c r="E5558" s="2" t="s">
        <v>12</v>
      </c>
      <c r="F5558" s="2" t="s">
        <v>12</v>
      </c>
      <c r="G5558" s="2" t="s">
        <v>12</v>
      </c>
      <c r="H5558" s="2" t="s">
        <v>12</v>
      </c>
      <c r="I5558" s="2" t="s">
        <v>12</v>
      </c>
      <c r="J5558" s="2" t="s">
        <v>12</v>
      </c>
      <c r="K5558" s="2" t="s">
        <v>12</v>
      </c>
    </row>
    <row r="5559" spans="1:11" ht="12.5" x14ac:dyDescent="0.25">
      <c r="A5559" s="3" t="e">
        <f ca="1"/>
        <v>#NAME?</v>
      </c>
      <c r="B5559" s="2" t="s">
        <v>12</v>
      </c>
      <c r="C5559" s="2" t="s">
        <v>12</v>
      </c>
      <c r="D5559" s="2" t="s">
        <v>12</v>
      </c>
      <c r="E5559" s="2" t="s">
        <v>12</v>
      </c>
      <c r="F5559" s="2" t="s">
        <v>12</v>
      </c>
      <c r="G5559" s="2" t="s">
        <v>12</v>
      </c>
      <c r="H5559" s="2" t="s">
        <v>12</v>
      </c>
      <c r="I5559" s="2" t="s">
        <v>12</v>
      </c>
      <c r="J5559" s="2" t="s">
        <v>12</v>
      </c>
      <c r="K5559" s="2" t="s">
        <v>12</v>
      </c>
    </row>
    <row r="5560" spans="1:11" ht="12.5" x14ac:dyDescent="0.25">
      <c r="A5560" s="3" t="e">
        <f ca="1"/>
        <v>#NAME?</v>
      </c>
      <c r="B5560" s="2" t="s">
        <v>12</v>
      </c>
      <c r="C5560" s="2" t="s">
        <v>12</v>
      </c>
      <c r="D5560" s="2" t="s">
        <v>12</v>
      </c>
      <c r="E5560" s="2" t="s">
        <v>12</v>
      </c>
      <c r="F5560" s="2" t="s">
        <v>12</v>
      </c>
      <c r="G5560" s="2" t="s">
        <v>12</v>
      </c>
      <c r="H5560" s="2" t="s">
        <v>12</v>
      </c>
      <c r="I5560" s="2" t="s">
        <v>12</v>
      </c>
      <c r="J5560" s="2" t="s">
        <v>12</v>
      </c>
      <c r="K5560" s="2" t="s">
        <v>12</v>
      </c>
    </row>
    <row r="5561" spans="1:11" ht="12.5" x14ac:dyDescent="0.25">
      <c r="A5561" s="3" t="e">
        <f ca="1"/>
        <v>#NAME?</v>
      </c>
      <c r="B5561" s="2" t="s">
        <v>12</v>
      </c>
      <c r="C5561" s="2" t="s">
        <v>12</v>
      </c>
      <c r="D5561" s="2" t="s">
        <v>12</v>
      </c>
      <c r="E5561" s="2" t="s">
        <v>12</v>
      </c>
      <c r="F5561" s="2" t="s">
        <v>12</v>
      </c>
      <c r="G5561" s="2" t="s">
        <v>12</v>
      </c>
      <c r="H5561" s="2" t="s">
        <v>12</v>
      </c>
      <c r="I5561" s="2" t="s">
        <v>12</v>
      </c>
      <c r="J5561" s="2" t="s">
        <v>12</v>
      </c>
      <c r="K5561" s="2" t="s">
        <v>12</v>
      </c>
    </row>
    <row r="5562" spans="1:11" ht="12.5" x14ac:dyDescent="0.25">
      <c r="A5562" s="3" t="e">
        <f ca="1"/>
        <v>#NAME?</v>
      </c>
      <c r="B5562" s="2" t="s">
        <v>12</v>
      </c>
      <c r="C5562" s="2" t="s">
        <v>12</v>
      </c>
      <c r="D5562" s="2" t="s">
        <v>12</v>
      </c>
      <c r="E5562" s="2" t="s">
        <v>12</v>
      </c>
      <c r="F5562" s="2" t="s">
        <v>12</v>
      </c>
      <c r="G5562" s="2" t="s">
        <v>12</v>
      </c>
      <c r="H5562" s="2" t="s">
        <v>12</v>
      </c>
      <c r="I5562" s="2" t="s">
        <v>12</v>
      </c>
      <c r="J5562" s="2" t="s">
        <v>12</v>
      </c>
      <c r="K5562" s="2" t="s">
        <v>12</v>
      </c>
    </row>
    <row r="5563" spans="1:11" ht="12.5" x14ac:dyDescent="0.25">
      <c r="A5563" s="3" t="e">
        <f ca="1"/>
        <v>#NAME?</v>
      </c>
      <c r="B5563" s="2" t="s">
        <v>12</v>
      </c>
      <c r="C5563" s="2" t="s">
        <v>12</v>
      </c>
      <c r="D5563" s="2" t="s">
        <v>12</v>
      </c>
      <c r="E5563" s="2" t="s">
        <v>12</v>
      </c>
      <c r="F5563" s="2" t="s">
        <v>12</v>
      </c>
      <c r="G5563" s="2" t="s">
        <v>12</v>
      </c>
      <c r="H5563" s="2" t="s">
        <v>12</v>
      </c>
      <c r="I5563" s="2" t="s">
        <v>12</v>
      </c>
      <c r="J5563" s="2" t="s">
        <v>12</v>
      </c>
      <c r="K5563" s="2" t="s">
        <v>12</v>
      </c>
    </row>
    <row r="5564" spans="1:11" ht="12.5" x14ac:dyDescent="0.25">
      <c r="A5564" s="3" t="e">
        <f ca="1"/>
        <v>#NAME?</v>
      </c>
      <c r="B5564" s="2" t="s">
        <v>12</v>
      </c>
      <c r="C5564" s="2" t="s">
        <v>12</v>
      </c>
      <c r="D5564" s="2" t="s">
        <v>12</v>
      </c>
      <c r="E5564" s="2" t="s">
        <v>12</v>
      </c>
      <c r="F5564" s="2" t="s">
        <v>12</v>
      </c>
      <c r="G5564" s="2" t="s">
        <v>12</v>
      </c>
      <c r="H5564" s="2" t="s">
        <v>12</v>
      </c>
      <c r="I5564" s="2" t="s">
        <v>12</v>
      </c>
      <c r="J5564" s="2" t="s">
        <v>12</v>
      </c>
      <c r="K5564" s="2" t="s">
        <v>12</v>
      </c>
    </row>
    <row r="5565" spans="1:11" ht="12.5" x14ac:dyDescent="0.25">
      <c r="A5565" s="3" t="e">
        <f ca="1"/>
        <v>#NAME?</v>
      </c>
      <c r="B5565" s="2" t="s">
        <v>12</v>
      </c>
      <c r="C5565" s="2" t="s">
        <v>12</v>
      </c>
      <c r="D5565" s="2" t="s">
        <v>12</v>
      </c>
      <c r="E5565" s="2" t="s">
        <v>12</v>
      </c>
      <c r="F5565" s="2" t="s">
        <v>12</v>
      </c>
      <c r="G5565" s="2" t="s">
        <v>12</v>
      </c>
      <c r="H5565" s="2" t="s">
        <v>12</v>
      </c>
      <c r="I5565" s="2" t="s">
        <v>12</v>
      </c>
      <c r="J5565" s="2" t="s">
        <v>12</v>
      </c>
      <c r="K5565" s="2" t="s">
        <v>12</v>
      </c>
    </row>
    <row r="5566" spans="1:11" ht="12.5" x14ac:dyDescent="0.25">
      <c r="A5566" s="3" t="e">
        <f ca="1"/>
        <v>#NAME?</v>
      </c>
      <c r="B5566" s="2" t="s">
        <v>12</v>
      </c>
      <c r="C5566" s="2" t="s">
        <v>12</v>
      </c>
      <c r="D5566" s="2" t="s">
        <v>12</v>
      </c>
      <c r="E5566" s="2" t="s">
        <v>12</v>
      </c>
      <c r="F5566" s="2" t="s">
        <v>12</v>
      </c>
      <c r="G5566" s="2" t="s">
        <v>12</v>
      </c>
      <c r="H5566" s="2" t="s">
        <v>12</v>
      </c>
      <c r="I5566" s="2" t="s">
        <v>12</v>
      </c>
      <c r="J5566" s="2" t="s">
        <v>12</v>
      </c>
      <c r="K5566" s="2" t="s">
        <v>12</v>
      </c>
    </row>
    <row r="5567" spans="1:11" ht="12.5" x14ac:dyDescent="0.25">
      <c r="A5567" s="3" t="e">
        <f ca="1"/>
        <v>#NAME?</v>
      </c>
      <c r="B5567" s="2" t="s">
        <v>12</v>
      </c>
      <c r="C5567" s="2" t="s">
        <v>12</v>
      </c>
      <c r="D5567" s="2" t="s">
        <v>12</v>
      </c>
      <c r="E5567" s="2" t="s">
        <v>12</v>
      </c>
      <c r="F5567" s="2" t="s">
        <v>12</v>
      </c>
      <c r="G5567" s="2" t="s">
        <v>12</v>
      </c>
      <c r="H5567" s="2" t="s">
        <v>12</v>
      </c>
      <c r="I5567" s="2" t="s">
        <v>12</v>
      </c>
      <c r="J5567" s="2" t="s">
        <v>12</v>
      </c>
      <c r="K5567" s="2" t="s">
        <v>12</v>
      </c>
    </row>
    <row r="5568" spans="1:11" ht="12.5" x14ac:dyDescent="0.25">
      <c r="A5568" s="3" t="e">
        <f ca="1"/>
        <v>#NAME?</v>
      </c>
      <c r="B5568" s="2" t="s">
        <v>12</v>
      </c>
      <c r="C5568" s="2" t="s">
        <v>12</v>
      </c>
      <c r="D5568" s="2" t="s">
        <v>12</v>
      </c>
      <c r="E5568" s="2" t="s">
        <v>12</v>
      </c>
      <c r="F5568" s="2" t="s">
        <v>12</v>
      </c>
      <c r="G5568" s="2" t="s">
        <v>12</v>
      </c>
      <c r="H5568" s="2" t="s">
        <v>12</v>
      </c>
      <c r="I5568" s="2" t="s">
        <v>12</v>
      </c>
      <c r="J5568" s="2" t="s">
        <v>12</v>
      </c>
      <c r="K5568" s="2" t="s">
        <v>12</v>
      </c>
    </row>
    <row r="5569" spans="1:11" ht="12.5" x14ac:dyDescent="0.25">
      <c r="A5569" s="3" t="e">
        <f ca="1"/>
        <v>#NAME?</v>
      </c>
      <c r="B5569" s="2" t="s">
        <v>12</v>
      </c>
      <c r="C5569" s="2" t="s">
        <v>12</v>
      </c>
      <c r="D5569" s="2" t="s">
        <v>12</v>
      </c>
      <c r="E5569" s="2" t="s">
        <v>12</v>
      </c>
      <c r="F5569" s="2" t="s">
        <v>12</v>
      </c>
      <c r="G5569" s="2" t="s">
        <v>12</v>
      </c>
      <c r="H5569" s="2" t="s">
        <v>12</v>
      </c>
      <c r="I5569" s="2" t="s">
        <v>12</v>
      </c>
      <c r="J5569" s="2" t="s">
        <v>12</v>
      </c>
      <c r="K5569" s="2" t="s">
        <v>12</v>
      </c>
    </row>
    <row r="5570" spans="1:11" ht="12.5" x14ac:dyDescent="0.25">
      <c r="A5570" s="3" t="e">
        <f ca="1"/>
        <v>#NAME?</v>
      </c>
      <c r="B5570" s="2" t="s">
        <v>12</v>
      </c>
      <c r="C5570" s="2" t="s">
        <v>12</v>
      </c>
      <c r="D5570" s="2" t="s">
        <v>12</v>
      </c>
      <c r="E5570" s="2" t="s">
        <v>12</v>
      </c>
      <c r="F5570" s="2" t="s">
        <v>12</v>
      </c>
      <c r="G5570" s="2" t="s">
        <v>12</v>
      </c>
      <c r="H5570" s="2" t="s">
        <v>12</v>
      </c>
      <c r="I5570" s="2" t="s">
        <v>12</v>
      </c>
      <c r="J5570" s="2" t="s">
        <v>12</v>
      </c>
      <c r="K5570" s="2" t="s">
        <v>12</v>
      </c>
    </row>
    <row r="5571" spans="1:11" ht="12.5" x14ac:dyDescent="0.25">
      <c r="A5571" s="3" t="e">
        <f ca="1"/>
        <v>#NAME?</v>
      </c>
      <c r="B5571" s="2" t="s">
        <v>12</v>
      </c>
      <c r="C5571" s="2" t="s">
        <v>12</v>
      </c>
      <c r="D5571" s="2" t="s">
        <v>12</v>
      </c>
      <c r="E5571" s="2" t="s">
        <v>12</v>
      </c>
      <c r="F5571" s="2" t="s">
        <v>12</v>
      </c>
      <c r="G5571" s="2" t="s">
        <v>12</v>
      </c>
      <c r="H5571" s="2" t="s">
        <v>12</v>
      </c>
      <c r="I5571" s="2" t="s">
        <v>12</v>
      </c>
      <c r="J5571" s="2" t="s">
        <v>12</v>
      </c>
      <c r="K5571" s="2" t="s">
        <v>12</v>
      </c>
    </row>
    <row r="5572" spans="1:11" ht="12.5" x14ac:dyDescent="0.25">
      <c r="A5572" s="3" t="e">
        <f ca="1"/>
        <v>#NAME?</v>
      </c>
      <c r="B5572" s="2" t="s">
        <v>12</v>
      </c>
      <c r="C5572" s="2" t="s">
        <v>12</v>
      </c>
      <c r="D5572" s="2" t="s">
        <v>12</v>
      </c>
      <c r="E5572" s="2" t="s">
        <v>12</v>
      </c>
      <c r="F5572" s="2" t="s">
        <v>12</v>
      </c>
      <c r="G5572" s="2" t="s">
        <v>12</v>
      </c>
      <c r="H5572" s="2" t="s">
        <v>12</v>
      </c>
      <c r="I5572" s="2" t="s">
        <v>12</v>
      </c>
      <c r="J5572" s="2" t="s">
        <v>12</v>
      </c>
      <c r="K5572" s="2" t="s">
        <v>12</v>
      </c>
    </row>
    <row r="5573" spans="1:11" ht="12.5" x14ac:dyDescent="0.25">
      <c r="A5573" s="3" t="e">
        <f ca="1"/>
        <v>#NAME?</v>
      </c>
      <c r="B5573" s="2" t="s">
        <v>12</v>
      </c>
      <c r="C5573" s="2" t="s">
        <v>12</v>
      </c>
      <c r="D5573" s="2" t="s">
        <v>12</v>
      </c>
      <c r="E5573" s="2" t="s">
        <v>12</v>
      </c>
      <c r="F5573" s="2" t="s">
        <v>12</v>
      </c>
      <c r="G5573" s="2" t="s">
        <v>12</v>
      </c>
      <c r="H5573" s="2" t="s">
        <v>12</v>
      </c>
      <c r="I5573" s="2" t="s">
        <v>12</v>
      </c>
      <c r="J5573" s="2" t="s">
        <v>12</v>
      </c>
      <c r="K5573" s="2" t="s">
        <v>12</v>
      </c>
    </row>
    <row r="5574" spans="1:11" ht="12.5" x14ac:dyDescent="0.25">
      <c r="A5574" s="3" t="e">
        <f ca="1"/>
        <v>#NAME?</v>
      </c>
      <c r="B5574" s="2" t="s">
        <v>12</v>
      </c>
      <c r="C5574" s="2" t="s">
        <v>12</v>
      </c>
      <c r="D5574" s="2" t="s">
        <v>12</v>
      </c>
      <c r="E5574" s="2" t="s">
        <v>12</v>
      </c>
      <c r="F5574" s="2" t="s">
        <v>12</v>
      </c>
      <c r="G5574" s="2" t="s">
        <v>12</v>
      </c>
      <c r="H5574" s="2" t="s">
        <v>12</v>
      </c>
      <c r="I5574" s="2" t="s">
        <v>12</v>
      </c>
      <c r="J5574" s="2" t="s">
        <v>12</v>
      </c>
      <c r="K5574" s="2" t="s">
        <v>12</v>
      </c>
    </row>
    <row r="5575" spans="1:11" ht="12.5" x14ac:dyDescent="0.25">
      <c r="A5575" s="3" t="e">
        <f ca="1"/>
        <v>#NAME?</v>
      </c>
      <c r="B5575" s="2" t="s">
        <v>12</v>
      </c>
      <c r="C5575" s="2" t="s">
        <v>12</v>
      </c>
      <c r="D5575" s="2" t="s">
        <v>12</v>
      </c>
      <c r="E5575" s="2" t="s">
        <v>12</v>
      </c>
      <c r="F5575" s="2" t="s">
        <v>12</v>
      </c>
      <c r="G5575" s="2" t="s">
        <v>12</v>
      </c>
      <c r="H5575" s="2" t="s">
        <v>12</v>
      </c>
      <c r="I5575" s="2" t="s">
        <v>12</v>
      </c>
      <c r="J5575" s="2" t="s">
        <v>12</v>
      </c>
      <c r="K5575" s="2" t="s">
        <v>12</v>
      </c>
    </row>
    <row r="5576" spans="1:11" ht="12.5" x14ac:dyDescent="0.25">
      <c r="A5576" s="3" t="e">
        <f ca="1"/>
        <v>#NAME?</v>
      </c>
      <c r="B5576" s="2" t="s">
        <v>12</v>
      </c>
      <c r="C5576" s="2" t="s">
        <v>12</v>
      </c>
      <c r="D5576" s="2" t="s">
        <v>12</v>
      </c>
      <c r="E5576" s="2" t="s">
        <v>12</v>
      </c>
      <c r="F5576" s="2" t="s">
        <v>12</v>
      </c>
      <c r="G5576" s="2" t="s">
        <v>12</v>
      </c>
      <c r="H5576" s="2" t="s">
        <v>12</v>
      </c>
      <c r="I5576" s="2" t="s">
        <v>12</v>
      </c>
      <c r="J5576" s="2" t="s">
        <v>12</v>
      </c>
      <c r="K5576" s="2" t="s">
        <v>12</v>
      </c>
    </row>
    <row r="5577" spans="1:11" ht="12.5" x14ac:dyDescent="0.25">
      <c r="A5577" s="3" t="e">
        <f ca="1"/>
        <v>#NAME?</v>
      </c>
      <c r="B5577" s="2" t="s">
        <v>12</v>
      </c>
      <c r="C5577" s="2" t="s">
        <v>12</v>
      </c>
      <c r="D5577" s="2" t="s">
        <v>12</v>
      </c>
      <c r="E5577" s="2" t="s">
        <v>12</v>
      </c>
      <c r="F5577" s="2" t="s">
        <v>12</v>
      </c>
      <c r="G5577" s="2" t="s">
        <v>12</v>
      </c>
      <c r="H5577" s="2" t="s">
        <v>12</v>
      </c>
      <c r="I5577" s="2" t="s">
        <v>12</v>
      </c>
      <c r="J5577" s="2" t="s">
        <v>12</v>
      </c>
      <c r="K5577" s="2" t="s">
        <v>12</v>
      </c>
    </row>
    <row r="5578" spans="1:11" ht="12.5" x14ac:dyDescent="0.25">
      <c r="A5578" s="3" t="e">
        <f ca="1"/>
        <v>#NAME?</v>
      </c>
      <c r="B5578" s="2" t="s">
        <v>12</v>
      </c>
      <c r="C5578" s="2" t="s">
        <v>12</v>
      </c>
      <c r="D5578" s="2" t="s">
        <v>12</v>
      </c>
      <c r="E5578" s="2" t="s">
        <v>12</v>
      </c>
      <c r="F5578" s="2" t="s">
        <v>12</v>
      </c>
      <c r="G5578" s="2" t="s">
        <v>12</v>
      </c>
      <c r="H5578" s="2" t="s">
        <v>12</v>
      </c>
      <c r="I5578" s="2" t="s">
        <v>12</v>
      </c>
      <c r="J5578" s="2" t="s">
        <v>12</v>
      </c>
      <c r="K5578" s="2" t="s">
        <v>12</v>
      </c>
    </row>
    <row r="5579" spans="1:11" ht="12.5" x14ac:dyDescent="0.25">
      <c r="A5579" s="3" t="e">
        <f ca="1"/>
        <v>#NAME?</v>
      </c>
      <c r="B5579" s="2" t="s">
        <v>12</v>
      </c>
      <c r="C5579" s="2" t="s">
        <v>12</v>
      </c>
      <c r="D5579" s="2" t="s">
        <v>12</v>
      </c>
      <c r="E5579" s="2" t="s">
        <v>12</v>
      </c>
      <c r="F5579" s="2" t="s">
        <v>12</v>
      </c>
      <c r="G5579" s="2" t="s">
        <v>12</v>
      </c>
      <c r="H5579" s="2" t="s">
        <v>12</v>
      </c>
      <c r="I5579" s="2" t="s">
        <v>12</v>
      </c>
      <c r="J5579" s="2" t="s">
        <v>12</v>
      </c>
      <c r="K5579" s="2" t="s">
        <v>12</v>
      </c>
    </row>
    <row r="5580" spans="1:11" ht="12.5" x14ac:dyDescent="0.25">
      <c r="A5580" s="3" t="e">
        <f ca="1"/>
        <v>#NAME?</v>
      </c>
      <c r="B5580" s="2" t="s">
        <v>12</v>
      </c>
      <c r="C5580" s="2" t="s">
        <v>12</v>
      </c>
      <c r="D5580" s="2" t="s">
        <v>12</v>
      </c>
      <c r="E5580" s="2" t="s">
        <v>12</v>
      </c>
      <c r="F5580" s="2" t="s">
        <v>12</v>
      </c>
      <c r="G5580" s="2" t="s">
        <v>12</v>
      </c>
      <c r="H5580" s="2" t="s">
        <v>12</v>
      </c>
      <c r="I5580" s="2" t="s">
        <v>12</v>
      </c>
      <c r="J5580" s="2" t="s">
        <v>12</v>
      </c>
      <c r="K5580" s="2" t="s">
        <v>12</v>
      </c>
    </row>
    <row r="5581" spans="1:11" ht="12.5" x14ac:dyDescent="0.25">
      <c r="A5581" s="3" t="e">
        <f ca="1"/>
        <v>#NAME?</v>
      </c>
      <c r="B5581" s="2" t="s">
        <v>12</v>
      </c>
      <c r="C5581" s="2" t="s">
        <v>12</v>
      </c>
      <c r="D5581" s="2" t="s">
        <v>12</v>
      </c>
      <c r="E5581" s="2" t="s">
        <v>12</v>
      </c>
      <c r="F5581" s="2" t="s">
        <v>12</v>
      </c>
      <c r="G5581" s="2" t="s">
        <v>12</v>
      </c>
      <c r="H5581" s="2" t="s">
        <v>12</v>
      </c>
      <c r="I5581" s="2" t="s">
        <v>12</v>
      </c>
      <c r="J5581" s="2" t="s">
        <v>12</v>
      </c>
      <c r="K5581" s="2" t="s">
        <v>12</v>
      </c>
    </row>
    <row r="5582" spans="1:11" ht="12.5" x14ac:dyDescent="0.25">
      <c r="A5582" s="3" t="e">
        <f ca="1"/>
        <v>#NAME?</v>
      </c>
      <c r="B5582" s="2" t="s">
        <v>12</v>
      </c>
      <c r="C5582" s="2" t="s">
        <v>12</v>
      </c>
      <c r="D5582" s="2" t="s">
        <v>12</v>
      </c>
      <c r="E5582" s="2" t="s">
        <v>12</v>
      </c>
      <c r="F5582" s="2" t="s">
        <v>12</v>
      </c>
      <c r="G5582" s="2" t="s">
        <v>12</v>
      </c>
      <c r="H5582" s="2" t="s">
        <v>12</v>
      </c>
      <c r="I5582" s="2" t="s">
        <v>12</v>
      </c>
      <c r="J5582" s="2" t="s">
        <v>12</v>
      </c>
      <c r="K5582" s="2" t="s">
        <v>12</v>
      </c>
    </row>
    <row r="5583" spans="1:11" ht="12.5" x14ac:dyDescent="0.25">
      <c r="A5583" s="3" t="e">
        <f ca="1"/>
        <v>#NAME?</v>
      </c>
      <c r="B5583" s="2" t="s">
        <v>12</v>
      </c>
      <c r="C5583" s="2" t="s">
        <v>12</v>
      </c>
      <c r="D5583" s="2" t="s">
        <v>12</v>
      </c>
      <c r="E5583" s="2" t="s">
        <v>12</v>
      </c>
      <c r="F5583" s="2" t="s">
        <v>12</v>
      </c>
      <c r="G5583" s="2" t="s">
        <v>12</v>
      </c>
      <c r="H5583" s="2" t="s">
        <v>12</v>
      </c>
      <c r="I5583" s="2" t="s">
        <v>12</v>
      </c>
      <c r="J5583" s="2" t="s">
        <v>12</v>
      </c>
      <c r="K5583" s="2" t="s">
        <v>12</v>
      </c>
    </row>
    <row r="5584" spans="1:11" ht="12.5" x14ac:dyDescent="0.25">
      <c r="A5584" s="3" t="e">
        <f ca="1"/>
        <v>#NAME?</v>
      </c>
      <c r="B5584" s="2" t="s">
        <v>12</v>
      </c>
      <c r="C5584" s="2" t="s">
        <v>12</v>
      </c>
      <c r="D5584" s="2" t="s">
        <v>12</v>
      </c>
      <c r="E5584" s="2" t="s">
        <v>12</v>
      </c>
      <c r="F5584" s="2" t="s">
        <v>12</v>
      </c>
      <c r="G5584" s="2" t="s">
        <v>12</v>
      </c>
      <c r="H5584" s="2" t="s">
        <v>12</v>
      </c>
      <c r="I5584" s="2" t="s">
        <v>12</v>
      </c>
      <c r="J5584" s="2" t="s">
        <v>12</v>
      </c>
      <c r="K5584" s="2" t="s">
        <v>12</v>
      </c>
    </row>
    <row r="5585" spans="1:11" ht="12.5" x14ac:dyDescent="0.25">
      <c r="A5585" s="3" t="e">
        <f ca="1"/>
        <v>#NAME?</v>
      </c>
      <c r="B5585" s="2" t="s">
        <v>12</v>
      </c>
      <c r="C5585" s="2" t="s">
        <v>12</v>
      </c>
      <c r="D5585" s="2" t="s">
        <v>12</v>
      </c>
      <c r="E5585" s="2" t="s">
        <v>12</v>
      </c>
      <c r="F5585" s="2" t="s">
        <v>12</v>
      </c>
      <c r="G5585" s="2" t="s">
        <v>12</v>
      </c>
      <c r="H5585" s="2" t="s">
        <v>12</v>
      </c>
      <c r="I5585" s="2" t="s">
        <v>12</v>
      </c>
      <c r="J5585" s="2" t="s">
        <v>12</v>
      </c>
      <c r="K5585" s="2" t="s">
        <v>12</v>
      </c>
    </row>
    <row r="5586" spans="1:11" ht="12.5" x14ac:dyDescent="0.25">
      <c r="A5586" s="3" t="e">
        <f ca="1"/>
        <v>#NAME?</v>
      </c>
      <c r="B5586" s="2" t="s">
        <v>12</v>
      </c>
      <c r="C5586" s="2" t="s">
        <v>12</v>
      </c>
      <c r="D5586" s="2" t="s">
        <v>12</v>
      </c>
      <c r="E5586" s="2" t="s">
        <v>12</v>
      </c>
      <c r="F5586" s="2" t="s">
        <v>12</v>
      </c>
      <c r="G5586" s="2" t="s">
        <v>12</v>
      </c>
      <c r="H5586" s="2" t="s">
        <v>12</v>
      </c>
      <c r="I5586" s="2" t="s">
        <v>12</v>
      </c>
      <c r="J5586" s="2" t="s">
        <v>12</v>
      </c>
      <c r="K5586" s="2" t="s">
        <v>12</v>
      </c>
    </row>
    <row r="5587" spans="1:11" ht="12.5" x14ac:dyDescent="0.25">
      <c r="A5587" s="3" t="e">
        <f ca="1"/>
        <v>#NAME?</v>
      </c>
      <c r="B5587" s="2" t="s">
        <v>12</v>
      </c>
      <c r="C5587" s="2" t="s">
        <v>12</v>
      </c>
      <c r="D5587" s="2" t="s">
        <v>12</v>
      </c>
      <c r="E5587" s="2" t="s">
        <v>12</v>
      </c>
      <c r="F5587" s="2" t="s">
        <v>12</v>
      </c>
      <c r="G5587" s="2" t="s">
        <v>12</v>
      </c>
      <c r="H5587" s="2" t="s">
        <v>12</v>
      </c>
      <c r="I5587" s="2" t="s">
        <v>12</v>
      </c>
      <c r="J5587" s="2" t="s">
        <v>12</v>
      </c>
      <c r="K5587" s="2" t="s">
        <v>12</v>
      </c>
    </row>
    <row r="5588" spans="1:11" ht="12.5" x14ac:dyDescent="0.25">
      <c r="A5588" s="3" t="e">
        <f ca="1"/>
        <v>#NAME?</v>
      </c>
      <c r="B5588" s="2" t="s">
        <v>12</v>
      </c>
      <c r="C5588" s="2" t="s">
        <v>12</v>
      </c>
      <c r="D5588" s="2" t="s">
        <v>12</v>
      </c>
      <c r="E5588" s="2" t="s">
        <v>12</v>
      </c>
      <c r="F5588" s="2" t="s">
        <v>12</v>
      </c>
      <c r="G5588" s="2" t="s">
        <v>12</v>
      </c>
      <c r="H5588" s="2" t="s">
        <v>12</v>
      </c>
      <c r="I5588" s="2" t="s">
        <v>12</v>
      </c>
      <c r="J5588" s="2" t="s">
        <v>12</v>
      </c>
      <c r="K5588" s="2" t="s">
        <v>12</v>
      </c>
    </row>
    <row r="5589" spans="1:11" ht="12.5" x14ac:dyDescent="0.25">
      <c r="A5589" s="3" t="e">
        <f ca="1"/>
        <v>#NAME?</v>
      </c>
      <c r="B5589" s="2" t="s">
        <v>12</v>
      </c>
      <c r="C5589" s="2" t="s">
        <v>12</v>
      </c>
      <c r="D5589" s="2" t="s">
        <v>12</v>
      </c>
      <c r="E5589" s="2" t="s">
        <v>12</v>
      </c>
      <c r="F5589" s="2" t="s">
        <v>12</v>
      </c>
      <c r="G5589" s="2" t="s">
        <v>12</v>
      </c>
      <c r="H5589" s="2" t="s">
        <v>12</v>
      </c>
      <c r="I5589" s="2" t="s">
        <v>12</v>
      </c>
      <c r="J5589" s="2" t="s">
        <v>12</v>
      </c>
      <c r="K5589" s="2" t="s">
        <v>12</v>
      </c>
    </row>
    <row r="5590" spans="1:11" ht="12.5" x14ac:dyDescent="0.25">
      <c r="A5590" s="3" t="e">
        <f ca="1"/>
        <v>#NAME?</v>
      </c>
      <c r="B5590" s="2" t="s">
        <v>12</v>
      </c>
      <c r="C5590" s="2" t="s">
        <v>12</v>
      </c>
      <c r="D5590" s="2" t="s">
        <v>12</v>
      </c>
      <c r="E5590" s="2" t="s">
        <v>12</v>
      </c>
      <c r="F5590" s="2" t="s">
        <v>12</v>
      </c>
      <c r="G5590" s="2" t="s">
        <v>12</v>
      </c>
      <c r="H5590" s="2" t="s">
        <v>12</v>
      </c>
      <c r="I5590" s="2" t="s">
        <v>12</v>
      </c>
      <c r="J5590" s="2" t="s">
        <v>12</v>
      </c>
      <c r="K5590" s="2" t="s">
        <v>12</v>
      </c>
    </row>
    <row r="5591" spans="1:11" ht="12.5" x14ac:dyDescent="0.25">
      <c r="A5591" s="3" t="e">
        <f ca="1"/>
        <v>#NAME?</v>
      </c>
      <c r="B5591" s="2" t="s">
        <v>12</v>
      </c>
      <c r="C5591" s="2" t="s">
        <v>12</v>
      </c>
      <c r="D5591" s="2" t="s">
        <v>12</v>
      </c>
      <c r="E5591" s="2" t="s">
        <v>12</v>
      </c>
      <c r="F5591" s="2" t="s">
        <v>12</v>
      </c>
      <c r="G5591" s="2" t="s">
        <v>12</v>
      </c>
      <c r="H5591" s="2" t="s">
        <v>12</v>
      </c>
      <c r="I5591" s="2" t="s">
        <v>12</v>
      </c>
      <c r="J5591" s="2" t="s">
        <v>12</v>
      </c>
      <c r="K5591" s="2" t="s">
        <v>12</v>
      </c>
    </row>
    <row r="5592" spans="1:11" ht="12.5" x14ac:dyDescent="0.25">
      <c r="A5592" s="3" t="e">
        <f ca="1"/>
        <v>#NAME?</v>
      </c>
      <c r="B5592" s="2" t="s">
        <v>12</v>
      </c>
      <c r="C5592" s="2" t="s">
        <v>12</v>
      </c>
      <c r="D5592" s="2" t="s">
        <v>12</v>
      </c>
      <c r="E5592" s="2" t="s">
        <v>12</v>
      </c>
      <c r="F5592" s="2" t="s">
        <v>12</v>
      </c>
      <c r="G5592" s="2" t="s">
        <v>12</v>
      </c>
      <c r="H5592" s="2" t="s">
        <v>12</v>
      </c>
      <c r="I5592" s="2" t="s">
        <v>12</v>
      </c>
      <c r="J5592" s="2" t="s">
        <v>12</v>
      </c>
      <c r="K5592" s="2" t="s">
        <v>12</v>
      </c>
    </row>
    <row r="5593" spans="1:11" ht="12.5" x14ac:dyDescent="0.25">
      <c r="A5593" s="3" t="e">
        <f ca="1"/>
        <v>#NAME?</v>
      </c>
      <c r="B5593" s="2" t="s">
        <v>12</v>
      </c>
      <c r="C5593" s="2" t="s">
        <v>12</v>
      </c>
      <c r="D5593" s="2" t="s">
        <v>12</v>
      </c>
      <c r="E5593" s="2" t="s">
        <v>12</v>
      </c>
      <c r="F5593" s="2" t="s">
        <v>12</v>
      </c>
      <c r="G5593" s="2" t="s">
        <v>12</v>
      </c>
      <c r="H5593" s="2" t="s">
        <v>12</v>
      </c>
      <c r="I5593" s="2" t="s">
        <v>12</v>
      </c>
      <c r="J5593" s="2" t="s">
        <v>12</v>
      </c>
      <c r="K5593" s="2" t="s">
        <v>12</v>
      </c>
    </row>
    <row r="5594" spans="1:11" ht="12.5" x14ac:dyDescent="0.25">
      <c r="A5594" s="3" t="e">
        <f ca="1"/>
        <v>#NAME?</v>
      </c>
      <c r="B5594" s="2" t="s">
        <v>12</v>
      </c>
      <c r="C5594" s="2" t="s">
        <v>12</v>
      </c>
      <c r="D5594" s="2" t="s">
        <v>12</v>
      </c>
      <c r="E5594" s="2" t="s">
        <v>12</v>
      </c>
      <c r="F5594" s="2" t="s">
        <v>12</v>
      </c>
      <c r="G5594" s="2" t="s">
        <v>12</v>
      </c>
      <c r="H5594" s="2" t="s">
        <v>12</v>
      </c>
      <c r="I5594" s="2" t="s">
        <v>12</v>
      </c>
      <c r="J5594" s="2" t="s">
        <v>12</v>
      </c>
      <c r="K5594" s="2" t="s">
        <v>12</v>
      </c>
    </row>
    <row r="5595" spans="1:11" ht="12.5" x14ac:dyDescent="0.25">
      <c r="A5595" s="3" t="e">
        <f ca="1"/>
        <v>#NAME?</v>
      </c>
      <c r="B5595" s="2" t="s">
        <v>12</v>
      </c>
      <c r="C5595" s="2" t="s">
        <v>12</v>
      </c>
      <c r="D5595" s="2" t="s">
        <v>12</v>
      </c>
      <c r="E5595" s="2" t="s">
        <v>12</v>
      </c>
      <c r="F5595" s="2" t="s">
        <v>12</v>
      </c>
      <c r="G5595" s="2" t="s">
        <v>12</v>
      </c>
      <c r="H5595" s="2" t="s">
        <v>12</v>
      </c>
      <c r="I5595" s="2" t="s">
        <v>12</v>
      </c>
      <c r="J5595" s="2" t="s">
        <v>12</v>
      </c>
      <c r="K5595" s="2" t="s">
        <v>12</v>
      </c>
    </row>
    <row r="5596" spans="1:11" ht="12.5" x14ac:dyDescent="0.25">
      <c r="A5596" s="3" t="e">
        <f ca="1"/>
        <v>#NAME?</v>
      </c>
      <c r="B5596" s="2" t="s">
        <v>12</v>
      </c>
      <c r="C5596" s="2" t="s">
        <v>12</v>
      </c>
      <c r="D5596" s="2" t="s">
        <v>12</v>
      </c>
      <c r="E5596" s="2" t="s">
        <v>12</v>
      </c>
      <c r="F5596" s="2" t="s">
        <v>12</v>
      </c>
      <c r="G5596" s="2" t="s">
        <v>12</v>
      </c>
      <c r="H5596" s="2" t="s">
        <v>12</v>
      </c>
      <c r="I5596" s="2" t="s">
        <v>12</v>
      </c>
      <c r="J5596" s="2" t="s">
        <v>12</v>
      </c>
      <c r="K5596" s="2" t="s">
        <v>12</v>
      </c>
    </row>
    <row r="5597" spans="1:11" ht="12.5" x14ac:dyDescent="0.25">
      <c r="A5597" s="3" t="e">
        <f ca="1"/>
        <v>#NAME?</v>
      </c>
      <c r="B5597" s="2" t="s">
        <v>12</v>
      </c>
      <c r="C5597" s="2" t="s">
        <v>12</v>
      </c>
      <c r="D5597" s="2" t="s">
        <v>12</v>
      </c>
      <c r="E5597" s="2" t="s">
        <v>12</v>
      </c>
      <c r="F5597" s="2" t="s">
        <v>12</v>
      </c>
      <c r="G5597" s="2" t="s">
        <v>12</v>
      </c>
      <c r="H5597" s="2" t="s">
        <v>12</v>
      </c>
      <c r="I5597" s="2" t="s">
        <v>12</v>
      </c>
      <c r="J5597" s="2" t="s">
        <v>12</v>
      </c>
      <c r="K5597" s="2" t="s">
        <v>12</v>
      </c>
    </row>
    <row r="5598" spans="1:11" ht="12.5" x14ac:dyDescent="0.25">
      <c r="A5598" s="3" t="e">
        <f ca="1"/>
        <v>#NAME?</v>
      </c>
      <c r="B5598" s="2" t="s">
        <v>12</v>
      </c>
      <c r="C5598" s="2" t="s">
        <v>12</v>
      </c>
      <c r="D5598" s="2" t="s">
        <v>12</v>
      </c>
      <c r="E5598" s="2" t="s">
        <v>12</v>
      </c>
      <c r="F5598" s="2" t="s">
        <v>12</v>
      </c>
      <c r="G5598" s="2" t="s">
        <v>12</v>
      </c>
      <c r="H5598" s="2" t="s">
        <v>12</v>
      </c>
      <c r="I5598" s="2" t="s">
        <v>12</v>
      </c>
      <c r="J5598" s="2" t="s">
        <v>12</v>
      </c>
      <c r="K5598" s="2" t="s">
        <v>12</v>
      </c>
    </row>
    <row r="5599" spans="1:11" ht="12.5" x14ac:dyDescent="0.25">
      <c r="A5599" s="3" t="e">
        <f ca="1"/>
        <v>#NAME?</v>
      </c>
      <c r="B5599" s="2" t="s">
        <v>12</v>
      </c>
      <c r="C5599" s="2" t="s">
        <v>12</v>
      </c>
      <c r="D5599" s="2" t="s">
        <v>12</v>
      </c>
      <c r="E5599" s="2" t="s">
        <v>12</v>
      </c>
      <c r="F5599" s="2" t="s">
        <v>12</v>
      </c>
      <c r="G5599" s="2" t="s">
        <v>12</v>
      </c>
      <c r="H5599" s="2" t="s">
        <v>12</v>
      </c>
      <c r="I5599" s="2" t="s">
        <v>12</v>
      </c>
      <c r="J5599" s="2" t="s">
        <v>12</v>
      </c>
      <c r="K5599" s="2" t="s">
        <v>12</v>
      </c>
    </row>
    <row r="5600" spans="1:11" ht="12.5" x14ac:dyDescent="0.25">
      <c r="A5600" s="3" t="e">
        <f ca="1"/>
        <v>#NAME?</v>
      </c>
      <c r="B5600" s="2" t="s">
        <v>12</v>
      </c>
      <c r="C5600" s="2" t="s">
        <v>12</v>
      </c>
      <c r="D5600" s="2" t="s">
        <v>12</v>
      </c>
      <c r="E5600" s="2" t="s">
        <v>12</v>
      </c>
      <c r="F5600" s="2" t="s">
        <v>12</v>
      </c>
      <c r="G5600" s="2" t="s">
        <v>12</v>
      </c>
      <c r="H5600" s="2" t="s">
        <v>12</v>
      </c>
      <c r="I5600" s="2" t="s">
        <v>12</v>
      </c>
      <c r="J5600" s="2" t="s">
        <v>12</v>
      </c>
      <c r="K5600" s="2" t="s">
        <v>12</v>
      </c>
    </row>
    <row r="5601" spans="1:11" ht="12.5" x14ac:dyDescent="0.25">
      <c r="A5601" s="3" t="e">
        <f ca="1"/>
        <v>#NAME?</v>
      </c>
      <c r="B5601" s="2" t="s">
        <v>12</v>
      </c>
      <c r="C5601" s="2" t="s">
        <v>12</v>
      </c>
      <c r="D5601" s="2" t="s">
        <v>12</v>
      </c>
      <c r="E5601" s="2" t="s">
        <v>12</v>
      </c>
      <c r="F5601" s="2" t="s">
        <v>12</v>
      </c>
      <c r="G5601" s="2" t="s">
        <v>12</v>
      </c>
      <c r="H5601" s="2" t="s">
        <v>12</v>
      </c>
      <c r="I5601" s="2" t="s">
        <v>12</v>
      </c>
      <c r="J5601" s="2" t="s">
        <v>12</v>
      </c>
      <c r="K5601" s="2" t="s">
        <v>12</v>
      </c>
    </row>
    <row r="5602" spans="1:11" ht="12.5" x14ac:dyDescent="0.25">
      <c r="A5602" s="3" t="e">
        <f ca="1"/>
        <v>#NAME?</v>
      </c>
      <c r="B5602" s="2" t="s">
        <v>12</v>
      </c>
      <c r="C5602" s="2" t="s">
        <v>12</v>
      </c>
      <c r="D5602" s="2" t="s">
        <v>12</v>
      </c>
      <c r="E5602" s="2" t="s">
        <v>12</v>
      </c>
      <c r="F5602" s="2" t="s">
        <v>12</v>
      </c>
      <c r="G5602" s="2" t="s">
        <v>12</v>
      </c>
      <c r="H5602" s="2" t="s">
        <v>12</v>
      </c>
      <c r="I5602" s="2" t="s">
        <v>12</v>
      </c>
      <c r="J5602" s="2" t="s">
        <v>12</v>
      </c>
      <c r="K5602" s="2" t="s">
        <v>12</v>
      </c>
    </row>
    <row r="5603" spans="1:11" ht="12.5" x14ac:dyDescent="0.25">
      <c r="A5603" s="3" t="e">
        <f ca="1"/>
        <v>#NAME?</v>
      </c>
      <c r="B5603" s="2" t="s">
        <v>12</v>
      </c>
      <c r="C5603" s="2" t="s">
        <v>12</v>
      </c>
      <c r="D5603" s="2" t="s">
        <v>12</v>
      </c>
      <c r="E5603" s="2" t="s">
        <v>12</v>
      </c>
      <c r="F5603" s="2" t="s">
        <v>12</v>
      </c>
      <c r="G5603" s="2" t="s">
        <v>12</v>
      </c>
      <c r="H5603" s="2" t="s">
        <v>12</v>
      </c>
      <c r="I5603" s="2" t="s">
        <v>12</v>
      </c>
      <c r="J5603" s="2" t="s">
        <v>12</v>
      </c>
      <c r="K5603" s="2" t="s">
        <v>12</v>
      </c>
    </row>
    <row r="5604" spans="1:11" ht="12.5" x14ac:dyDescent="0.25">
      <c r="A5604" s="3" t="e">
        <f ca="1"/>
        <v>#NAME?</v>
      </c>
      <c r="B5604" s="2" t="s">
        <v>12</v>
      </c>
      <c r="C5604" s="2" t="s">
        <v>12</v>
      </c>
      <c r="D5604" s="2" t="s">
        <v>12</v>
      </c>
      <c r="E5604" s="2" t="s">
        <v>12</v>
      </c>
      <c r="F5604" s="2" t="s">
        <v>12</v>
      </c>
      <c r="G5604" s="2" t="s">
        <v>12</v>
      </c>
      <c r="H5604" s="2" t="s">
        <v>12</v>
      </c>
      <c r="I5604" s="2" t="s">
        <v>12</v>
      </c>
      <c r="J5604" s="2" t="s">
        <v>12</v>
      </c>
      <c r="K5604" s="2" t="s">
        <v>12</v>
      </c>
    </row>
    <row r="5605" spans="1:11" ht="12.5" x14ac:dyDescent="0.25">
      <c r="A5605" s="3" t="e">
        <f ca="1"/>
        <v>#NAME?</v>
      </c>
      <c r="B5605" s="2" t="s">
        <v>12</v>
      </c>
      <c r="C5605" s="2" t="s">
        <v>12</v>
      </c>
      <c r="D5605" s="2" t="s">
        <v>12</v>
      </c>
      <c r="E5605" s="2" t="s">
        <v>12</v>
      </c>
      <c r="F5605" s="2" t="s">
        <v>12</v>
      </c>
      <c r="G5605" s="2" t="s">
        <v>12</v>
      </c>
      <c r="H5605" s="2" t="s">
        <v>12</v>
      </c>
      <c r="I5605" s="2" t="s">
        <v>12</v>
      </c>
      <c r="J5605" s="2" t="s">
        <v>12</v>
      </c>
      <c r="K5605" s="2" t="s">
        <v>12</v>
      </c>
    </row>
    <row r="5606" spans="1:11" ht="12.5" x14ac:dyDescent="0.25">
      <c r="A5606" s="3" t="e">
        <f ca="1"/>
        <v>#NAME?</v>
      </c>
      <c r="B5606" s="2" t="s">
        <v>12</v>
      </c>
      <c r="C5606" s="2" t="s">
        <v>12</v>
      </c>
      <c r="D5606" s="2" t="s">
        <v>12</v>
      </c>
      <c r="E5606" s="2" t="s">
        <v>12</v>
      </c>
      <c r="F5606" s="2" t="s">
        <v>12</v>
      </c>
      <c r="G5606" s="2" t="s">
        <v>12</v>
      </c>
      <c r="H5606" s="2" t="s">
        <v>12</v>
      </c>
      <c r="I5606" s="2" t="s">
        <v>12</v>
      </c>
      <c r="J5606" s="2" t="s">
        <v>12</v>
      </c>
      <c r="K5606" s="2" t="s">
        <v>12</v>
      </c>
    </row>
    <row r="5607" spans="1:11" ht="12.5" x14ac:dyDescent="0.25">
      <c r="A5607" s="3" t="e">
        <f ca="1"/>
        <v>#NAME?</v>
      </c>
      <c r="B5607" s="2" t="s">
        <v>12</v>
      </c>
      <c r="C5607" s="2" t="s">
        <v>12</v>
      </c>
      <c r="D5607" s="2" t="s">
        <v>12</v>
      </c>
      <c r="E5607" s="2" t="s">
        <v>12</v>
      </c>
      <c r="F5607" s="2" t="s">
        <v>12</v>
      </c>
      <c r="G5607" s="2" t="s">
        <v>12</v>
      </c>
      <c r="H5607" s="2" t="s">
        <v>12</v>
      </c>
      <c r="I5607" s="2" t="s">
        <v>12</v>
      </c>
      <c r="J5607" s="2" t="s">
        <v>12</v>
      </c>
      <c r="K5607" s="2" t="s">
        <v>12</v>
      </c>
    </row>
    <row r="5608" spans="1:11" ht="12.5" x14ac:dyDescent="0.25">
      <c r="A5608" s="3" t="e">
        <f ca="1"/>
        <v>#NAME?</v>
      </c>
      <c r="B5608" s="2" t="s">
        <v>12</v>
      </c>
      <c r="C5608" s="2" t="s">
        <v>12</v>
      </c>
      <c r="D5608" s="2" t="s">
        <v>12</v>
      </c>
      <c r="E5608" s="2" t="s">
        <v>12</v>
      </c>
      <c r="F5608" s="2" t="s">
        <v>12</v>
      </c>
      <c r="G5608" s="2" t="s">
        <v>12</v>
      </c>
      <c r="H5608" s="2" t="s">
        <v>12</v>
      </c>
      <c r="I5608" s="2" t="s">
        <v>12</v>
      </c>
      <c r="J5608" s="2" t="s">
        <v>12</v>
      </c>
      <c r="K5608" s="2" t="s">
        <v>12</v>
      </c>
    </row>
    <row r="5609" spans="1:11" ht="12.5" x14ac:dyDescent="0.25">
      <c r="A5609" s="3" t="e">
        <f ca="1"/>
        <v>#NAME?</v>
      </c>
      <c r="B5609" s="2" t="s">
        <v>12</v>
      </c>
      <c r="C5609" s="2" t="s">
        <v>12</v>
      </c>
      <c r="D5609" s="2" t="s">
        <v>12</v>
      </c>
      <c r="E5609" s="2" t="s">
        <v>12</v>
      </c>
      <c r="F5609" s="2" t="s">
        <v>12</v>
      </c>
      <c r="G5609" s="2" t="s">
        <v>12</v>
      </c>
      <c r="H5609" s="2" t="s">
        <v>12</v>
      </c>
      <c r="I5609" s="2" t="s">
        <v>12</v>
      </c>
      <c r="J5609" s="2" t="s">
        <v>12</v>
      </c>
      <c r="K5609" s="2" t="s">
        <v>12</v>
      </c>
    </row>
    <row r="5610" spans="1:11" ht="12.5" x14ac:dyDescent="0.25">
      <c r="A5610" s="3" t="e">
        <f ca="1"/>
        <v>#NAME?</v>
      </c>
      <c r="B5610" s="2" t="s">
        <v>12</v>
      </c>
      <c r="C5610" s="2" t="s">
        <v>12</v>
      </c>
      <c r="D5610" s="2" t="s">
        <v>12</v>
      </c>
      <c r="E5610" s="2" t="s">
        <v>12</v>
      </c>
      <c r="F5610" s="2" t="s">
        <v>12</v>
      </c>
      <c r="G5610" s="2" t="s">
        <v>12</v>
      </c>
      <c r="H5610" s="2" t="s">
        <v>12</v>
      </c>
      <c r="I5610" s="2" t="s">
        <v>12</v>
      </c>
      <c r="J5610" s="2" t="s">
        <v>12</v>
      </c>
      <c r="K5610" s="2" t="s">
        <v>12</v>
      </c>
    </row>
    <row r="5611" spans="1:11" ht="12.5" x14ac:dyDescent="0.25">
      <c r="A5611" s="3" t="e">
        <f ca="1"/>
        <v>#NAME?</v>
      </c>
      <c r="B5611" s="2" t="s">
        <v>12</v>
      </c>
      <c r="C5611" s="2" t="s">
        <v>12</v>
      </c>
      <c r="D5611" s="2" t="s">
        <v>12</v>
      </c>
      <c r="E5611" s="2" t="s">
        <v>12</v>
      </c>
      <c r="F5611" s="2" t="s">
        <v>12</v>
      </c>
      <c r="G5611" s="2" t="s">
        <v>12</v>
      </c>
      <c r="H5611" s="2" t="s">
        <v>12</v>
      </c>
      <c r="I5611" s="2" t="s">
        <v>12</v>
      </c>
      <c r="J5611" s="2" t="s">
        <v>12</v>
      </c>
      <c r="K5611" s="2" t="s">
        <v>12</v>
      </c>
    </row>
    <row r="5612" spans="1:11" ht="12.5" x14ac:dyDescent="0.25">
      <c r="A5612" s="3" t="e">
        <f ca="1"/>
        <v>#NAME?</v>
      </c>
      <c r="B5612" s="2" t="s">
        <v>12</v>
      </c>
      <c r="C5612" s="2" t="s">
        <v>12</v>
      </c>
      <c r="D5612" s="2" t="s">
        <v>12</v>
      </c>
      <c r="E5612" s="2" t="s">
        <v>12</v>
      </c>
      <c r="F5612" s="2" t="s">
        <v>12</v>
      </c>
      <c r="G5612" s="2" t="s">
        <v>12</v>
      </c>
      <c r="H5612" s="2" t="s">
        <v>12</v>
      </c>
      <c r="I5612" s="2" t="s">
        <v>12</v>
      </c>
      <c r="J5612" s="2" t="s">
        <v>12</v>
      </c>
      <c r="K5612" s="2" t="s">
        <v>12</v>
      </c>
    </row>
    <row r="5613" spans="1:11" ht="12.5" x14ac:dyDescent="0.25">
      <c r="A5613" s="3" t="e">
        <f ca="1"/>
        <v>#NAME?</v>
      </c>
      <c r="B5613" s="2" t="s">
        <v>12</v>
      </c>
      <c r="C5613" s="2" t="s">
        <v>12</v>
      </c>
      <c r="D5613" s="2" t="s">
        <v>12</v>
      </c>
      <c r="E5613" s="2" t="s">
        <v>12</v>
      </c>
      <c r="F5613" s="2" t="s">
        <v>12</v>
      </c>
      <c r="G5613" s="2" t="s">
        <v>12</v>
      </c>
      <c r="H5613" s="2" t="s">
        <v>12</v>
      </c>
      <c r="I5613" s="2" t="s">
        <v>12</v>
      </c>
      <c r="J5613" s="2" t="s">
        <v>12</v>
      </c>
      <c r="K5613" s="2" t="s">
        <v>12</v>
      </c>
    </row>
    <row r="5614" spans="1:11" ht="12.5" x14ac:dyDescent="0.25">
      <c r="A5614" s="3" t="e">
        <f ca="1"/>
        <v>#NAME?</v>
      </c>
      <c r="B5614" s="2" t="s">
        <v>12</v>
      </c>
      <c r="C5614" s="2" t="s">
        <v>12</v>
      </c>
      <c r="D5614" s="2" t="s">
        <v>12</v>
      </c>
      <c r="E5614" s="2" t="s">
        <v>12</v>
      </c>
      <c r="F5614" s="2" t="s">
        <v>12</v>
      </c>
      <c r="G5614" s="2" t="s">
        <v>12</v>
      </c>
      <c r="H5614" s="2" t="s">
        <v>12</v>
      </c>
      <c r="I5614" s="2" t="s">
        <v>12</v>
      </c>
      <c r="J5614" s="2" t="s">
        <v>12</v>
      </c>
      <c r="K5614" s="2" t="s">
        <v>12</v>
      </c>
    </row>
    <row r="5615" spans="1:11" ht="12.5" x14ac:dyDescent="0.25">
      <c r="A5615" s="3" t="e">
        <f ca="1"/>
        <v>#NAME?</v>
      </c>
      <c r="B5615" s="2" t="s">
        <v>12</v>
      </c>
      <c r="C5615" s="2" t="s">
        <v>12</v>
      </c>
      <c r="D5615" s="2" t="s">
        <v>12</v>
      </c>
      <c r="E5615" s="2" t="s">
        <v>12</v>
      </c>
      <c r="F5615" s="2" t="s">
        <v>12</v>
      </c>
      <c r="G5615" s="2" t="s">
        <v>12</v>
      </c>
      <c r="H5615" s="2" t="s">
        <v>12</v>
      </c>
      <c r="I5615" s="2" t="s">
        <v>12</v>
      </c>
      <c r="J5615" s="2" t="s">
        <v>12</v>
      </c>
      <c r="K5615" s="2" t="s">
        <v>12</v>
      </c>
    </row>
    <row r="5616" spans="1:11" ht="12.5" x14ac:dyDescent="0.25">
      <c r="A5616" s="3" t="e">
        <f ca="1"/>
        <v>#NAME?</v>
      </c>
      <c r="B5616" s="2" t="s">
        <v>12</v>
      </c>
      <c r="C5616" s="2" t="s">
        <v>12</v>
      </c>
      <c r="D5616" s="2" t="s">
        <v>12</v>
      </c>
      <c r="E5616" s="2" t="s">
        <v>12</v>
      </c>
      <c r="F5616" s="2" t="s">
        <v>12</v>
      </c>
      <c r="G5616" s="2" t="s">
        <v>12</v>
      </c>
      <c r="H5616" s="2" t="s">
        <v>12</v>
      </c>
      <c r="I5616" s="2" t="s">
        <v>12</v>
      </c>
      <c r="J5616" s="2" t="s">
        <v>12</v>
      </c>
      <c r="K5616" s="2" t="s">
        <v>12</v>
      </c>
    </row>
    <row r="5617" spans="1:11" ht="12.5" x14ac:dyDescent="0.25">
      <c r="A5617" s="3" t="e">
        <f ca="1"/>
        <v>#NAME?</v>
      </c>
      <c r="B5617" s="2" t="s">
        <v>12</v>
      </c>
      <c r="C5617" s="2" t="s">
        <v>12</v>
      </c>
      <c r="D5617" s="2" t="s">
        <v>12</v>
      </c>
      <c r="E5617" s="2" t="s">
        <v>12</v>
      </c>
      <c r="F5617" s="2" t="s">
        <v>12</v>
      </c>
      <c r="G5617" s="2" t="s">
        <v>12</v>
      </c>
      <c r="H5617" s="2" t="s">
        <v>12</v>
      </c>
      <c r="I5617" s="2" t="s">
        <v>12</v>
      </c>
      <c r="J5617" s="2" t="s">
        <v>12</v>
      </c>
      <c r="K5617" s="2" t="s">
        <v>12</v>
      </c>
    </row>
    <row r="5618" spans="1:11" ht="12.5" x14ac:dyDescent="0.25">
      <c r="A5618" s="3" t="e">
        <f ca="1"/>
        <v>#NAME?</v>
      </c>
      <c r="B5618" s="2" t="s">
        <v>12</v>
      </c>
      <c r="C5618" s="2" t="s">
        <v>12</v>
      </c>
      <c r="D5618" s="2" t="s">
        <v>12</v>
      </c>
      <c r="E5618" s="2" t="s">
        <v>12</v>
      </c>
      <c r="F5618" s="2" t="s">
        <v>12</v>
      </c>
      <c r="G5618" s="2" t="s">
        <v>12</v>
      </c>
      <c r="H5618" s="2" t="s">
        <v>12</v>
      </c>
      <c r="I5618" s="2" t="s">
        <v>12</v>
      </c>
      <c r="J5618" s="2" t="s">
        <v>12</v>
      </c>
      <c r="K5618" s="2" t="s">
        <v>12</v>
      </c>
    </row>
    <row r="5619" spans="1:11" ht="12.5" x14ac:dyDescent="0.25">
      <c r="A5619" s="3" t="e">
        <f ca="1"/>
        <v>#NAME?</v>
      </c>
      <c r="B5619" s="2" t="s">
        <v>12</v>
      </c>
      <c r="C5619" s="2" t="s">
        <v>12</v>
      </c>
      <c r="D5619" s="2" t="s">
        <v>12</v>
      </c>
      <c r="E5619" s="2" t="s">
        <v>12</v>
      </c>
      <c r="F5619" s="2" t="s">
        <v>12</v>
      </c>
      <c r="G5619" s="2" t="s">
        <v>12</v>
      </c>
      <c r="H5619" s="2" t="s">
        <v>12</v>
      </c>
      <c r="I5619" s="2" t="s">
        <v>12</v>
      </c>
      <c r="J5619" s="2" t="s">
        <v>12</v>
      </c>
      <c r="K5619" s="2" t="s">
        <v>12</v>
      </c>
    </row>
    <row r="5620" spans="1:11" ht="12.5" x14ac:dyDescent="0.25">
      <c r="A5620" s="3" t="e">
        <f ca="1"/>
        <v>#NAME?</v>
      </c>
      <c r="B5620" s="2" t="s">
        <v>12</v>
      </c>
      <c r="C5620" s="2" t="s">
        <v>12</v>
      </c>
      <c r="D5620" s="2" t="s">
        <v>12</v>
      </c>
      <c r="E5620" s="2" t="s">
        <v>12</v>
      </c>
      <c r="F5620" s="2" t="s">
        <v>12</v>
      </c>
      <c r="G5620" s="2" t="s">
        <v>12</v>
      </c>
      <c r="H5620" s="2" t="s">
        <v>12</v>
      </c>
      <c r="I5620" s="2" t="s">
        <v>12</v>
      </c>
      <c r="J5620" s="2" t="s">
        <v>12</v>
      </c>
      <c r="K5620" s="2" t="s">
        <v>12</v>
      </c>
    </row>
    <row r="5621" spans="1:11" ht="12.5" x14ac:dyDescent="0.25">
      <c r="A5621" s="3" t="e">
        <f ca="1"/>
        <v>#NAME?</v>
      </c>
      <c r="B5621" s="2" t="s">
        <v>12</v>
      </c>
      <c r="C5621" s="2" t="s">
        <v>12</v>
      </c>
      <c r="D5621" s="2" t="s">
        <v>12</v>
      </c>
      <c r="E5621" s="2" t="s">
        <v>12</v>
      </c>
      <c r="F5621" s="2" t="s">
        <v>12</v>
      </c>
      <c r="G5621" s="2" t="s">
        <v>12</v>
      </c>
      <c r="H5621" s="2" t="s">
        <v>12</v>
      </c>
      <c r="I5621" s="2" t="s">
        <v>12</v>
      </c>
      <c r="J5621" s="2" t="s">
        <v>12</v>
      </c>
      <c r="K5621" s="2" t="s">
        <v>12</v>
      </c>
    </row>
    <row r="5622" spans="1:11" ht="12.5" x14ac:dyDescent="0.25">
      <c r="A5622" s="3" t="e">
        <f ca="1"/>
        <v>#NAME?</v>
      </c>
      <c r="B5622" s="2" t="s">
        <v>12</v>
      </c>
      <c r="C5622" s="2" t="s">
        <v>12</v>
      </c>
      <c r="D5622" s="2" t="s">
        <v>12</v>
      </c>
      <c r="E5622" s="2" t="s">
        <v>12</v>
      </c>
      <c r="F5622" s="2" t="s">
        <v>12</v>
      </c>
      <c r="G5622" s="2" t="s">
        <v>12</v>
      </c>
      <c r="H5622" s="2" t="s">
        <v>12</v>
      </c>
      <c r="I5622" s="2" t="s">
        <v>12</v>
      </c>
      <c r="J5622" s="2" t="s">
        <v>12</v>
      </c>
      <c r="K5622" s="2" t="s">
        <v>12</v>
      </c>
    </row>
    <row r="5623" spans="1:11" ht="12.5" x14ac:dyDescent="0.25">
      <c r="A5623" s="3" t="e">
        <f ca="1"/>
        <v>#NAME?</v>
      </c>
      <c r="B5623" s="2" t="s">
        <v>12</v>
      </c>
      <c r="C5623" s="2" t="s">
        <v>12</v>
      </c>
      <c r="D5623" s="2" t="s">
        <v>12</v>
      </c>
      <c r="E5623" s="2" t="s">
        <v>12</v>
      </c>
      <c r="F5623" s="2" t="s">
        <v>12</v>
      </c>
      <c r="G5623" s="2" t="s">
        <v>12</v>
      </c>
      <c r="H5623" s="2" t="s">
        <v>12</v>
      </c>
      <c r="I5623" s="2" t="s">
        <v>12</v>
      </c>
      <c r="J5623" s="2" t="s">
        <v>12</v>
      </c>
      <c r="K5623" s="2" t="s">
        <v>12</v>
      </c>
    </row>
    <row r="5624" spans="1:11" ht="12.5" x14ac:dyDescent="0.25">
      <c r="A5624" s="3" t="e">
        <f ca="1"/>
        <v>#NAME?</v>
      </c>
      <c r="B5624" s="2" t="s">
        <v>12</v>
      </c>
      <c r="C5624" s="2" t="s">
        <v>12</v>
      </c>
      <c r="D5624" s="2" t="s">
        <v>12</v>
      </c>
      <c r="E5624" s="2" t="s">
        <v>12</v>
      </c>
      <c r="F5624" s="2" t="s">
        <v>12</v>
      </c>
      <c r="G5624" s="2" t="s">
        <v>12</v>
      </c>
      <c r="H5624" s="2" t="s">
        <v>12</v>
      </c>
      <c r="I5624" s="2" t="s">
        <v>12</v>
      </c>
      <c r="J5624" s="2" t="s">
        <v>12</v>
      </c>
      <c r="K5624" s="2" t="s">
        <v>12</v>
      </c>
    </row>
    <row r="5625" spans="1:11" ht="12.5" x14ac:dyDescent="0.25">
      <c r="A5625" s="3" t="e">
        <f ca="1"/>
        <v>#NAME?</v>
      </c>
      <c r="B5625" s="2" t="s">
        <v>12</v>
      </c>
      <c r="C5625" s="2" t="s">
        <v>12</v>
      </c>
      <c r="D5625" s="2" t="s">
        <v>12</v>
      </c>
      <c r="E5625" s="2" t="s">
        <v>12</v>
      </c>
      <c r="F5625" s="2" t="s">
        <v>12</v>
      </c>
      <c r="G5625" s="2" t="s">
        <v>12</v>
      </c>
      <c r="H5625" s="2" t="s">
        <v>12</v>
      </c>
      <c r="I5625" s="2" t="s">
        <v>12</v>
      </c>
      <c r="J5625" s="2" t="s">
        <v>12</v>
      </c>
      <c r="K5625" s="2" t="s">
        <v>12</v>
      </c>
    </row>
    <row r="5626" spans="1:11" ht="12.5" x14ac:dyDescent="0.25">
      <c r="A5626" s="3" t="e">
        <f ca="1"/>
        <v>#NAME?</v>
      </c>
      <c r="B5626" s="2" t="s">
        <v>12</v>
      </c>
      <c r="C5626" s="2" t="s">
        <v>12</v>
      </c>
      <c r="D5626" s="2" t="s">
        <v>12</v>
      </c>
      <c r="E5626" s="2" t="s">
        <v>12</v>
      </c>
      <c r="F5626" s="2" t="s">
        <v>12</v>
      </c>
      <c r="G5626" s="2" t="s">
        <v>12</v>
      </c>
      <c r="H5626" s="2" t="s">
        <v>12</v>
      </c>
      <c r="I5626" s="2" t="s">
        <v>12</v>
      </c>
      <c r="J5626" s="2" t="s">
        <v>12</v>
      </c>
      <c r="K5626" s="2" t="s">
        <v>12</v>
      </c>
    </row>
    <row r="5627" spans="1:11" ht="12.5" x14ac:dyDescent="0.25">
      <c r="A5627" s="3" t="e">
        <f ca="1"/>
        <v>#NAME?</v>
      </c>
      <c r="B5627" s="2" t="s">
        <v>12</v>
      </c>
      <c r="C5627" s="2" t="s">
        <v>12</v>
      </c>
      <c r="D5627" s="2" t="s">
        <v>12</v>
      </c>
      <c r="E5627" s="2" t="s">
        <v>12</v>
      </c>
      <c r="F5627" s="2" t="s">
        <v>12</v>
      </c>
      <c r="G5627" s="2" t="s">
        <v>12</v>
      </c>
      <c r="H5627" s="2" t="s">
        <v>12</v>
      </c>
      <c r="I5627" s="2" t="s">
        <v>12</v>
      </c>
      <c r="J5627" s="2" t="s">
        <v>12</v>
      </c>
      <c r="K5627" s="2" t="s">
        <v>12</v>
      </c>
    </row>
    <row r="5628" spans="1:11" ht="12.5" x14ac:dyDescent="0.25">
      <c r="A5628" s="3" t="e">
        <f ca="1"/>
        <v>#NAME?</v>
      </c>
      <c r="B5628" s="2" t="s">
        <v>12</v>
      </c>
      <c r="C5628" s="2" t="s">
        <v>12</v>
      </c>
      <c r="D5628" s="2" t="s">
        <v>12</v>
      </c>
      <c r="E5628" s="2" t="s">
        <v>12</v>
      </c>
      <c r="F5628" s="2" t="s">
        <v>12</v>
      </c>
      <c r="G5628" s="2" t="s">
        <v>12</v>
      </c>
      <c r="H5628" s="2" t="s">
        <v>12</v>
      </c>
      <c r="I5628" s="2" t="s">
        <v>12</v>
      </c>
      <c r="J5628" s="2" t="s">
        <v>12</v>
      </c>
      <c r="K5628" s="2" t="s">
        <v>12</v>
      </c>
    </row>
    <row r="5629" spans="1:11" ht="12.5" x14ac:dyDescent="0.25">
      <c r="A5629" s="3" t="e">
        <f ca="1"/>
        <v>#NAME?</v>
      </c>
      <c r="B5629" s="2" t="s">
        <v>12</v>
      </c>
      <c r="C5629" s="2" t="s">
        <v>12</v>
      </c>
      <c r="D5629" s="2" t="s">
        <v>12</v>
      </c>
      <c r="E5629" s="2" t="s">
        <v>12</v>
      </c>
      <c r="F5629" s="2" t="s">
        <v>12</v>
      </c>
      <c r="G5629" s="2" t="s">
        <v>12</v>
      </c>
      <c r="H5629" s="2" t="s">
        <v>12</v>
      </c>
      <c r="I5629" s="2" t="s">
        <v>12</v>
      </c>
      <c r="J5629" s="2" t="s">
        <v>12</v>
      </c>
      <c r="K5629" s="2" t="s">
        <v>12</v>
      </c>
    </row>
    <row r="5630" spans="1:11" ht="12.5" x14ac:dyDescent="0.25">
      <c r="A5630" s="3" t="e">
        <f ca="1"/>
        <v>#NAME?</v>
      </c>
      <c r="B5630" s="2" t="s">
        <v>12</v>
      </c>
      <c r="C5630" s="2" t="s">
        <v>12</v>
      </c>
      <c r="D5630" s="2" t="s">
        <v>12</v>
      </c>
      <c r="E5630" s="2" t="s">
        <v>12</v>
      </c>
      <c r="F5630" s="2" t="s">
        <v>12</v>
      </c>
      <c r="G5630" s="2" t="s">
        <v>12</v>
      </c>
      <c r="H5630" s="2" t="s">
        <v>12</v>
      </c>
      <c r="I5630" s="2" t="s">
        <v>12</v>
      </c>
      <c r="J5630" s="2" t="s">
        <v>12</v>
      </c>
      <c r="K5630" s="2" t="s">
        <v>12</v>
      </c>
    </row>
    <row r="5631" spans="1:11" ht="12.5" x14ac:dyDescent="0.25">
      <c r="A5631" s="3" t="e">
        <f ca="1"/>
        <v>#NAME?</v>
      </c>
      <c r="B5631" s="2" t="s">
        <v>12</v>
      </c>
      <c r="C5631" s="2" t="s">
        <v>12</v>
      </c>
      <c r="D5631" s="2" t="s">
        <v>12</v>
      </c>
      <c r="E5631" s="2" t="s">
        <v>12</v>
      </c>
      <c r="F5631" s="2" t="s">
        <v>12</v>
      </c>
      <c r="G5631" s="2" t="s">
        <v>12</v>
      </c>
      <c r="H5631" s="2" t="s">
        <v>12</v>
      </c>
      <c r="I5631" s="2" t="s">
        <v>12</v>
      </c>
      <c r="J5631" s="2" t="s">
        <v>12</v>
      </c>
      <c r="K5631" s="2" t="s">
        <v>12</v>
      </c>
    </row>
    <row r="5632" spans="1:11" ht="12.5" x14ac:dyDescent="0.25">
      <c r="A5632" s="3" t="e">
        <f ca="1"/>
        <v>#NAME?</v>
      </c>
      <c r="B5632" s="2" t="s">
        <v>12</v>
      </c>
      <c r="C5632" s="2" t="s">
        <v>12</v>
      </c>
      <c r="D5632" s="2" t="s">
        <v>12</v>
      </c>
      <c r="E5632" s="2" t="s">
        <v>12</v>
      </c>
      <c r="F5632" s="2" t="s">
        <v>12</v>
      </c>
      <c r="G5632" s="2" t="s">
        <v>12</v>
      </c>
      <c r="H5632" s="2" t="s">
        <v>12</v>
      </c>
      <c r="I5632" s="2" t="s">
        <v>12</v>
      </c>
      <c r="J5632" s="2" t="s">
        <v>12</v>
      </c>
      <c r="K5632" s="2" t="s">
        <v>12</v>
      </c>
    </row>
    <row r="5633" spans="1:11" ht="12.5" x14ac:dyDescent="0.25">
      <c r="A5633" s="3" t="e">
        <f ca="1"/>
        <v>#NAME?</v>
      </c>
      <c r="B5633" s="2" t="s">
        <v>12</v>
      </c>
      <c r="C5633" s="2" t="s">
        <v>12</v>
      </c>
      <c r="D5633" s="2" t="s">
        <v>12</v>
      </c>
      <c r="E5633" s="2" t="s">
        <v>12</v>
      </c>
      <c r="F5633" s="2" t="s">
        <v>12</v>
      </c>
      <c r="G5633" s="2" t="s">
        <v>12</v>
      </c>
      <c r="H5633" s="2" t="s">
        <v>12</v>
      </c>
      <c r="I5633" s="2" t="s">
        <v>12</v>
      </c>
      <c r="J5633" s="2" t="s">
        <v>12</v>
      </c>
      <c r="K5633" s="2" t="s">
        <v>12</v>
      </c>
    </row>
    <row r="5634" spans="1:11" ht="12.5" x14ac:dyDescent="0.25">
      <c r="A5634" s="3" t="e">
        <f ca="1"/>
        <v>#NAME?</v>
      </c>
      <c r="B5634" s="2" t="s">
        <v>12</v>
      </c>
      <c r="C5634" s="2" t="s">
        <v>12</v>
      </c>
      <c r="D5634" s="2" t="s">
        <v>12</v>
      </c>
      <c r="E5634" s="2" t="s">
        <v>12</v>
      </c>
      <c r="F5634" s="2" t="s">
        <v>12</v>
      </c>
      <c r="G5634" s="2" t="s">
        <v>12</v>
      </c>
      <c r="H5634" s="2" t="s">
        <v>12</v>
      </c>
      <c r="I5634" s="2" t="s">
        <v>12</v>
      </c>
      <c r="J5634" s="2" t="s">
        <v>12</v>
      </c>
      <c r="K5634" s="2" t="s">
        <v>12</v>
      </c>
    </row>
    <row r="5635" spans="1:11" ht="12.5" x14ac:dyDescent="0.25">
      <c r="A5635" s="3" t="e">
        <f ca="1"/>
        <v>#NAME?</v>
      </c>
      <c r="B5635" s="2" t="s">
        <v>12</v>
      </c>
      <c r="C5635" s="2" t="s">
        <v>12</v>
      </c>
      <c r="D5635" s="2" t="s">
        <v>12</v>
      </c>
      <c r="E5635" s="2" t="s">
        <v>12</v>
      </c>
      <c r="F5635" s="2" t="s">
        <v>12</v>
      </c>
      <c r="G5635" s="2" t="s">
        <v>12</v>
      </c>
      <c r="H5635" s="2" t="s">
        <v>12</v>
      </c>
      <c r="I5635" s="2" t="s">
        <v>12</v>
      </c>
      <c r="J5635" s="2" t="s">
        <v>12</v>
      </c>
      <c r="K5635" s="2" t="s">
        <v>12</v>
      </c>
    </row>
    <row r="5636" spans="1:11" ht="12.5" x14ac:dyDescent="0.25">
      <c r="A5636" s="3" t="e">
        <f ca="1"/>
        <v>#NAME?</v>
      </c>
      <c r="B5636" s="2" t="s">
        <v>12</v>
      </c>
      <c r="C5636" s="2" t="s">
        <v>12</v>
      </c>
      <c r="D5636" s="2" t="s">
        <v>12</v>
      </c>
      <c r="E5636" s="2" t="s">
        <v>12</v>
      </c>
      <c r="F5636" s="2" t="s">
        <v>12</v>
      </c>
      <c r="G5636" s="2" t="s">
        <v>12</v>
      </c>
      <c r="H5636" s="2" t="s">
        <v>12</v>
      </c>
      <c r="I5636" s="2" t="s">
        <v>12</v>
      </c>
      <c r="J5636" s="2" t="s">
        <v>12</v>
      </c>
      <c r="K5636" s="2" t="s">
        <v>12</v>
      </c>
    </row>
    <row r="5637" spans="1:11" ht="12.5" x14ac:dyDescent="0.25">
      <c r="A5637" s="3" t="e">
        <f ca="1"/>
        <v>#NAME?</v>
      </c>
      <c r="B5637" s="2" t="s">
        <v>12</v>
      </c>
      <c r="C5637" s="2" t="s">
        <v>12</v>
      </c>
      <c r="D5637" s="2" t="s">
        <v>12</v>
      </c>
      <c r="E5637" s="2" t="s">
        <v>12</v>
      </c>
      <c r="F5637" s="2" t="s">
        <v>12</v>
      </c>
      <c r="G5637" s="2" t="s">
        <v>12</v>
      </c>
      <c r="H5637" s="2" t="s">
        <v>12</v>
      </c>
      <c r="I5637" s="2" t="s">
        <v>12</v>
      </c>
      <c r="J5637" s="2" t="s">
        <v>12</v>
      </c>
      <c r="K5637" s="2" t="s">
        <v>12</v>
      </c>
    </row>
    <row r="5638" spans="1:11" ht="12.5" x14ac:dyDescent="0.25">
      <c r="A5638" s="3" t="e">
        <f ca="1"/>
        <v>#NAME?</v>
      </c>
      <c r="B5638" s="2" t="s">
        <v>12</v>
      </c>
      <c r="C5638" s="2" t="s">
        <v>12</v>
      </c>
      <c r="D5638" s="2" t="s">
        <v>12</v>
      </c>
      <c r="E5638" s="2" t="s">
        <v>12</v>
      </c>
      <c r="F5638" s="2" t="s">
        <v>12</v>
      </c>
      <c r="G5638" s="2" t="s">
        <v>12</v>
      </c>
      <c r="H5638" s="2" t="s">
        <v>12</v>
      </c>
      <c r="I5638" s="2" t="s">
        <v>12</v>
      </c>
      <c r="J5638" s="2" t="s">
        <v>12</v>
      </c>
      <c r="K5638" s="2" t="s">
        <v>12</v>
      </c>
    </row>
    <row r="5639" spans="1:11" ht="12.5" x14ac:dyDescent="0.25">
      <c r="A5639" s="3" t="e">
        <f ca="1"/>
        <v>#NAME?</v>
      </c>
      <c r="B5639" s="2" t="s">
        <v>12</v>
      </c>
      <c r="C5639" s="2" t="s">
        <v>12</v>
      </c>
      <c r="D5639" s="2" t="s">
        <v>12</v>
      </c>
      <c r="E5639" s="2" t="s">
        <v>12</v>
      </c>
      <c r="F5639" s="2" t="s">
        <v>12</v>
      </c>
      <c r="G5639" s="2" t="s">
        <v>12</v>
      </c>
      <c r="H5639" s="2" t="s">
        <v>12</v>
      </c>
      <c r="I5639" s="2" t="s">
        <v>12</v>
      </c>
      <c r="J5639" s="2" t="s">
        <v>12</v>
      </c>
      <c r="K5639" s="2" t="s">
        <v>12</v>
      </c>
    </row>
    <row r="5640" spans="1:11" ht="12.5" x14ac:dyDescent="0.25">
      <c r="A5640" s="3" t="e">
        <f ca="1"/>
        <v>#NAME?</v>
      </c>
      <c r="B5640" s="2" t="s">
        <v>12</v>
      </c>
      <c r="C5640" s="2" t="s">
        <v>12</v>
      </c>
      <c r="D5640" s="2" t="s">
        <v>12</v>
      </c>
      <c r="E5640" s="2" t="s">
        <v>12</v>
      </c>
      <c r="F5640" s="2" t="s">
        <v>12</v>
      </c>
      <c r="G5640" s="2" t="s">
        <v>12</v>
      </c>
      <c r="H5640" s="2" t="s">
        <v>12</v>
      </c>
      <c r="I5640" s="2" t="s">
        <v>12</v>
      </c>
      <c r="J5640" s="2" t="s">
        <v>12</v>
      </c>
      <c r="K5640" s="2" t="s">
        <v>12</v>
      </c>
    </row>
    <row r="5641" spans="1:11" ht="12.5" x14ac:dyDescent="0.25">
      <c r="A5641" s="3" t="e">
        <f ca="1"/>
        <v>#NAME?</v>
      </c>
      <c r="B5641" s="2" t="s">
        <v>12</v>
      </c>
      <c r="C5641" s="2" t="s">
        <v>12</v>
      </c>
      <c r="D5641" s="2" t="s">
        <v>12</v>
      </c>
      <c r="E5641" s="2" t="s">
        <v>12</v>
      </c>
      <c r="F5641" s="2" t="s">
        <v>12</v>
      </c>
      <c r="G5641" s="2" t="s">
        <v>12</v>
      </c>
      <c r="H5641" s="2" t="s">
        <v>12</v>
      </c>
      <c r="I5641" s="2" t="s">
        <v>12</v>
      </c>
      <c r="J5641" s="2" t="s">
        <v>12</v>
      </c>
      <c r="K5641" s="2" t="s">
        <v>12</v>
      </c>
    </row>
    <row r="5642" spans="1:11" ht="12.5" x14ac:dyDescent="0.25">
      <c r="A5642" s="3" t="e">
        <f ca="1"/>
        <v>#NAME?</v>
      </c>
      <c r="B5642" s="2" t="s">
        <v>12</v>
      </c>
      <c r="C5642" s="2" t="s">
        <v>12</v>
      </c>
      <c r="D5642" s="2" t="s">
        <v>12</v>
      </c>
      <c r="E5642" s="2" t="s">
        <v>12</v>
      </c>
      <c r="F5642" s="2" t="s">
        <v>12</v>
      </c>
      <c r="G5642" s="2" t="s">
        <v>12</v>
      </c>
      <c r="H5642" s="2" t="s">
        <v>12</v>
      </c>
      <c r="I5642" s="2" t="s">
        <v>12</v>
      </c>
      <c r="J5642" s="2" t="s">
        <v>12</v>
      </c>
      <c r="K5642" s="2" t="s">
        <v>12</v>
      </c>
    </row>
    <row r="5643" spans="1:11" ht="12.5" x14ac:dyDescent="0.25">
      <c r="A5643" s="3" t="e">
        <f ca="1"/>
        <v>#NAME?</v>
      </c>
      <c r="B5643" s="2" t="s">
        <v>12</v>
      </c>
      <c r="C5643" s="2" t="s">
        <v>12</v>
      </c>
      <c r="D5643" s="2" t="s">
        <v>12</v>
      </c>
      <c r="E5643" s="2" t="s">
        <v>12</v>
      </c>
      <c r="F5643" s="2" t="s">
        <v>12</v>
      </c>
      <c r="G5643" s="2" t="s">
        <v>12</v>
      </c>
      <c r="H5643" s="2" t="s">
        <v>12</v>
      </c>
      <c r="I5643" s="2" t="s">
        <v>12</v>
      </c>
      <c r="J5643" s="2" t="s">
        <v>12</v>
      </c>
      <c r="K5643" s="2" t="s">
        <v>12</v>
      </c>
    </row>
    <row r="5644" spans="1:11" ht="12.5" x14ac:dyDescent="0.25">
      <c r="A5644" s="3" t="e">
        <f ca="1"/>
        <v>#NAME?</v>
      </c>
      <c r="B5644" s="2" t="s">
        <v>12</v>
      </c>
      <c r="C5644" s="2" t="s">
        <v>12</v>
      </c>
      <c r="D5644" s="2" t="s">
        <v>12</v>
      </c>
      <c r="E5644" s="2" t="s">
        <v>12</v>
      </c>
      <c r="F5644" s="2" t="s">
        <v>12</v>
      </c>
      <c r="G5644" s="2" t="s">
        <v>12</v>
      </c>
      <c r="H5644" s="2" t="s">
        <v>12</v>
      </c>
      <c r="I5644" s="2" t="s">
        <v>12</v>
      </c>
      <c r="J5644" s="2" t="s">
        <v>12</v>
      </c>
      <c r="K5644" s="2" t="s">
        <v>12</v>
      </c>
    </row>
    <row r="5645" spans="1:11" ht="12.5" x14ac:dyDescent="0.25">
      <c r="A5645" s="3" t="e">
        <f ca="1"/>
        <v>#NAME?</v>
      </c>
      <c r="B5645" s="2" t="s">
        <v>12</v>
      </c>
      <c r="C5645" s="2" t="s">
        <v>12</v>
      </c>
      <c r="D5645" s="2" t="s">
        <v>12</v>
      </c>
      <c r="E5645" s="2" t="s">
        <v>12</v>
      </c>
      <c r="F5645" s="2" t="s">
        <v>12</v>
      </c>
      <c r="G5645" s="2" t="s">
        <v>12</v>
      </c>
      <c r="H5645" s="2" t="s">
        <v>12</v>
      </c>
      <c r="I5645" s="2" t="s">
        <v>12</v>
      </c>
      <c r="J5645" s="2" t="s">
        <v>12</v>
      </c>
      <c r="K5645" s="2" t="s">
        <v>12</v>
      </c>
    </row>
    <row r="5646" spans="1:11" ht="12.5" x14ac:dyDescent="0.25">
      <c r="A5646" s="3" t="e">
        <f ca="1"/>
        <v>#NAME?</v>
      </c>
      <c r="B5646" s="2" t="s">
        <v>12</v>
      </c>
      <c r="C5646" s="2" t="s">
        <v>12</v>
      </c>
      <c r="D5646" s="2" t="s">
        <v>12</v>
      </c>
      <c r="E5646" s="2" t="s">
        <v>12</v>
      </c>
      <c r="F5646" s="2" t="s">
        <v>12</v>
      </c>
      <c r="G5646" s="2" t="s">
        <v>12</v>
      </c>
      <c r="H5646" s="2" t="s">
        <v>12</v>
      </c>
      <c r="I5646" s="2" t="s">
        <v>12</v>
      </c>
      <c r="J5646" s="2" t="s">
        <v>12</v>
      </c>
      <c r="K5646" s="2" t="s">
        <v>12</v>
      </c>
    </row>
    <row r="5647" spans="1:11" ht="12.5" x14ac:dyDescent="0.25">
      <c r="A5647" s="3" t="e">
        <f ca="1"/>
        <v>#NAME?</v>
      </c>
      <c r="B5647" s="2" t="s">
        <v>12</v>
      </c>
      <c r="C5647" s="2" t="s">
        <v>12</v>
      </c>
      <c r="D5647" s="2" t="s">
        <v>12</v>
      </c>
      <c r="E5647" s="2" t="s">
        <v>12</v>
      </c>
      <c r="F5647" s="2" t="s">
        <v>12</v>
      </c>
      <c r="G5647" s="2" t="s">
        <v>12</v>
      </c>
      <c r="H5647" s="2" t="s">
        <v>12</v>
      </c>
      <c r="I5647" s="2" t="s">
        <v>12</v>
      </c>
      <c r="J5647" s="2" t="s">
        <v>12</v>
      </c>
      <c r="K5647" s="2" t="s">
        <v>12</v>
      </c>
    </row>
    <row r="5648" spans="1:11" ht="12.5" x14ac:dyDescent="0.25">
      <c r="A5648" s="3" t="e">
        <f ca="1"/>
        <v>#NAME?</v>
      </c>
      <c r="B5648" s="2" t="s">
        <v>12</v>
      </c>
      <c r="C5648" s="2" t="s">
        <v>12</v>
      </c>
      <c r="D5648" s="2" t="s">
        <v>12</v>
      </c>
      <c r="E5648" s="2" t="s">
        <v>12</v>
      </c>
      <c r="F5648" s="2" t="s">
        <v>12</v>
      </c>
      <c r="G5648" s="2" t="s">
        <v>12</v>
      </c>
      <c r="H5648" s="2" t="s">
        <v>12</v>
      </c>
      <c r="I5648" s="2" t="s">
        <v>12</v>
      </c>
      <c r="J5648" s="2" t="s">
        <v>12</v>
      </c>
      <c r="K5648" s="2" t="s">
        <v>12</v>
      </c>
    </row>
    <row r="5649" spans="1:11" ht="12.5" x14ac:dyDescent="0.25">
      <c r="A5649" s="3" t="e">
        <f ca="1"/>
        <v>#NAME?</v>
      </c>
      <c r="B5649" s="2" t="s">
        <v>12</v>
      </c>
      <c r="C5649" s="2" t="s">
        <v>12</v>
      </c>
      <c r="D5649" s="2" t="s">
        <v>12</v>
      </c>
      <c r="E5649" s="2" t="s">
        <v>12</v>
      </c>
      <c r="F5649" s="2" t="s">
        <v>12</v>
      </c>
      <c r="G5649" s="2" t="s">
        <v>12</v>
      </c>
      <c r="H5649" s="2" t="s">
        <v>12</v>
      </c>
      <c r="I5649" s="2" t="s">
        <v>12</v>
      </c>
      <c r="J5649" s="2" t="s">
        <v>12</v>
      </c>
      <c r="K5649" s="2" t="s">
        <v>12</v>
      </c>
    </row>
    <row r="5650" spans="1:11" ht="12.5" x14ac:dyDescent="0.25">
      <c r="A5650" s="3" t="e">
        <f ca="1"/>
        <v>#NAME?</v>
      </c>
      <c r="B5650" s="2" t="s">
        <v>12</v>
      </c>
      <c r="C5650" s="2" t="s">
        <v>12</v>
      </c>
      <c r="D5650" s="2" t="s">
        <v>12</v>
      </c>
      <c r="E5650" s="2" t="s">
        <v>12</v>
      </c>
      <c r="F5650" s="2" t="s">
        <v>12</v>
      </c>
      <c r="G5650" s="2" t="s">
        <v>12</v>
      </c>
      <c r="H5650" s="2" t="s">
        <v>12</v>
      </c>
      <c r="I5650" s="2" t="s">
        <v>12</v>
      </c>
      <c r="J5650" s="2" t="s">
        <v>12</v>
      </c>
      <c r="K5650" s="2" t="s">
        <v>12</v>
      </c>
    </row>
    <row r="5651" spans="1:11" ht="12.5" x14ac:dyDescent="0.25">
      <c r="A5651" s="3" t="e">
        <f ca="1"/>
        <v>#NAME?</v>
      </c>
      <c r="B5651" s="2" t="s">
        <v>12</v>
      </c>
      <c r="C5651" s="2" t="s">
        <v>12</v>
      </c>
      <c r="D5651" s="2" t="s">
        <v>12</v>
      </c>
      <c r="E5651" s="2" t="s">
        <v>12</v>
      </c>
      <c r="F5651" s="2" t="s">
        <v>12</v>
      </c>
      <c r="G5651" s="2" t="s">
        <v>12</v>
      </c>
      <c r="H5651" s="2" t="s">
        <v>12</v>
      </c>
      <c r="I5651" s="2" t="s">
        <v>12</v>
      </c>
      <c r="J5651" s="2" t="s">
        <v>12</v>
      </c>
      <c r="K5651" s="2" t="s">
        <v>12</v>
      </c>
    </row>
    <row r="5652" spans="1:11" ht="12.5" x14ac:dyDescent="0.25">
      <c r="A5652" s="3" t="e">
        <f ca="1"/>
        <v>#NAME?</v>
      </c>
      <c r="B5652" s="2" t="s">
        <v>12</v>
      </c>
      <c r="C5652" s="2" t="s">
        <v>12</v>
      </c>
      <c r="D5652" s="2" t="s">
        <v>12</v>
      </c>
      <c r="E5652" s="2" t="s">
        <v>12</v>
      </c>
      <c r="F5652" s="2" t="s">
        <v>12</v>
      </c>
      <c r="G5652" s="2" t="s">
        <v>12</v>
      </c>
      <c r="H5652" s="2" t="s">
        <v>12</v>
      </c>
      <c r="I5652" s="2" t="s">
        <v>12</v>
      </c>
      <c r="J5652" s="2" t="s">
        <v>12</v>
      </c>
      <c r="K5652" s="2" t="s">
        <v>12</v>
      </c>
    </row>
    <row r="5653" spans="1:11" ht="12.5" x14ac:dyDescent="0.25">
      <c r="A5653" s="3" t="e">
        <f ca="1"/>
        <v>#NAME?</v>
      </c>
      <c r="B5653" s="2" t="s">
        <v>12</v>
      </c>
      <c r="C5653" s="2" t="s">
        <v>12</v>
      </c>
      <c r="D5653" s="2" t="s">
        <v>12</v>
      </c>
      <c r="E5653" s="2" t="s">
        <v>12</v>
      </c>
      <c r="F5653" s="2" t="s">
        <v>12</v>
      </c>
      <c r="G5653" s="2" t="s">
        <v>12</v>
      </c>
      <c r="H5653" s="2" t="s">
        <v>12</v>
      </c>
      <c r="I5653" s="2" t="s">
        <v>12</v>
      </c>
      <c r="J5653" s="2" t="s">
        <v>12</v>
      </c>
      <c r="K5653" s="2" t="s">
        <v>12</v>
      </c>
    </row>
    <row r="5654" spans="1:11" ht="12.5" x14ac:dyDescent="0.25">
      <c r="A5654" s="3" t="e">
        <f ca="1"/>
        <v>#NAME?</v>
      </c>
      <c r="B5654" s="2" t="s">
        <v>12</v>
      </c>
      <c r="C5654" s="2" t="s">
        <v>12</v>
      </c>
      <c r="D5654" s="2" t="s">
        <v>12</v>
      </c>
      <c r="E5654" s="2" t="s">
        <v>12</v>
      </c>
      <c r="F5654" s="2" t="s">
        <v>12</v>
      </c>
      <c r="G5654" s="2" t="s">
        <v>12</v>
      </c>
      <c r="H5654" s="2" t="s">
        <v>12</v>
      </c>
      <c r="I5654" s="2" t="s">
        <v>12</v>
      </c>
      <c r="J5654" s="2" t="s">
        <v>12</v>
      </c>
      <c r="K5654" s="2" t="s">
        <v>12</v>
      </c>
    </row>
    <row r="5655" spans="1:11" ht="12.5" x14ac:dyDescent="0.25">
      <c r="A5655" s="3" t="e">
        <f ca="1"/>
        <v>#NAME?</v>
      </c>
      <c r="B5655" s="2" t="s">
        <v>12</v>
      </c>
      <c r="C5655" s="2" t="s">
        <v>12</v>
      </c>
      <c r="D5655" s="2" t="s">
        <v>12</v>
      </c>
      <c r="E5655" s="2" t="s">
        <v>12</v>
      </c>
      <c r="F5655" s="2" t="s">
        <v>12</v>
      </c>
      <c r="G5655" s="2" t="s">
        <v>12</v>
      </c>
      <c r="H5655" s="2" t="s">
        <v>12</v>
      </c>
      <c r="I5655" s="2" t="s">
        <v>12</v>
      </c>
      <c r="J5655" s="2" t="s">
        <v>12</v>
      </c>
      <c r="K5655" s="2" t="s">
        <v>12</v>
      </c>
    </row>
    <row r="5656" spans="1:11" ht="12.5" x14ac:dyDescent="0.25">
      <c r="A5656" s="3" t="e">
        <f ca="1"/>
        <v>#NAME?</v>
      </c>
      <c r="B5656" s="2" t="s">
        <v>12</v>
      </c>
      <c r="C5656" s="2" t="s">
        <v>12</v>
      </c>
      <c r="D5656" s="2" t="s">
        <v>12</v>
      </c>
      <c r="E5656" s="2" t="s">
        <v>12</v>
      </c>
      <c r="F5656" s="2" t="s">
        <v>12</v>
      </c>
      <c r="G5656" s="2" t="s">
        <v>12</v>
      </c>
      <c r="H5656" s="2" t="s">
        <v>12</v>
      </c>
      <c r="I5656" s="2" t="s">
        <v>12</v>
      </c>
      <c r="J5656" s="2" t="s">
        <v>12</v>
      </c>
      <c r="K5656" s="2" t="s">
        <v>12</v>
      </c>
    </row>
    <row r="5657" spans="1:11" ht="12.5" x14ac:dyDescent="0.25">
      <c r="A5657" s="3" t="e">
        <f ca="1"/>
        <v>#NAME?</v>
      </c>
      <c r="B5657" s="2" t="s">
        <v>12</v>
      </c>
      <c r="C5657" s="2" t="s">
        <v>12</v>
      </c>
      <c r="D5657" s="2" t="s">
        <v>12</v>
      </c>
      <c r="E5657" s="2" t="s">
        <v>12</v>
      </c>
      <c r="F5657" s="2" t="s">
        <v>12</v>
      </c>
      <c r="G5657" s="2" t="s">
        <v>12</v>
      </c>
      <c r="H5657" s="2" t="s">
        <v>12</v>
      </c>
      <c r="I5657" s="2" t="s">
        <v>12</v>
      </c>
      <c r="J5657" s="2" t="s">
        <v>12</v>
      </c>
      <c r="K5657" s="2" t="s">
        <v>12</v>
      </c>
    </row>
    <row r="5658" spans="1:11" ht="12.5" x14ac:dyDescent="0.25">
      <c r="A5658" s="3" t="e">
        <f ca="1"/>
        <v>#NAME?</v>
      </c>
      <c r="B5658" s="2" t="s">
        <v>12</v>
      </c>
      <c r="C5658" s="2" t="s">
        <v>12</v>
      </c>
      <c r="D5658" s="2" t="s">
        <v>12</v>
      </c>
      <c r="E5658" s="2" t="s">
        <v>12</v>
      </c>
      <c r="F5658" s="2" t="s">
        <v>12</v>
      </c>
      <c r="G5658" s="2" t="s">
        <v>12</v>
      </c>
      <c r="H5658" s="2" t="s">
        <v>12</v>
      </c>
      <c r="I5658" s="2" t="s">
        <v>12</v>
      </c>
      <c r="J5658" s="2" t="s">
        <v>12</v>
      </c>
      <c r="K5658" s="2" t="s">
        <v>12</v>
      </c>
    </row>
    <row r="5659" spans="1:11" ht="12.5" x14ac:dyDescent="0.25">
      <c r="A5659" s="3" t="e">
        <f ca="1"/>
        <v>#NAME?</v>
      </c>
      <c r="B5659" s="2" t="s">
        <v>12</v>
      </c>
      <c r="C5659" s="2" t="s">
        <v>12</v>
      </c>
      <c r="D5659" s="2" t="s">
        <v>12</v>
      </c>
      <c r="E5659" s="2" t="s">
        <v>12</v>
      </c>
      <c r="F5659" s="2" t="s">
        <v>12</v>
      </c>
      <c r="G5659" s="2" t="s">
        <v>12</v>
      </c>
      <c r="H5659" s="2" t="s">
        <v>12</v>
      </c>
      <c r="I5659" s="2" t="s">
        <v>12</v>
      </c>
      <c r="J5659" s="2" t="s">
        <v>12</v>
      </c>
      <c r="K5659" s="2" t="s">
        <v>12</v>
      </c>
    </row>
    <row r="5660" spans="1:11" ht="12.5" x14ac:dyDescent="0.25">
      <c r="A5660" s="3" t="e">
        <f ca="1"/>
        <v>#NAME?</v>
      </c>
      <c r="B5660" s="2" t="s">
        <v>12</v>
      </c>
      <c r="C5660" s="2" t="s">
        <v>12</v>
      </c>
      <c r="D5660" s="2" t="s">
        <v>12</v>
      </c>
      <c r="E5660" s="2" t="s">
        <v>12</v>
      </c>
      <c r="F5660" s="2" t="s">
        <v>12</v>
      </c>
      <c r="G5660" s="2" t="s">
        <v>12</v>
      </c>
      <c r="H5660" s="2" t="s">
        <v>12</v>
      </c>
      <c r="I5660" s="2" t="s">
        <v>12</v>
      </c>
      <c r="J5660" s="2" t="s">
        <v>12</v>
      </c>
      <c r="K5660" s="2" t="s">
        <v>12</v>
      </c>
    </row>
    <row r="5661" spans="1:11" ht="12.5" x14ac:dyDescent="0.25">
      <c r="A5661" s="3" t="e">
        <f ca="1"/>
        <v>#NAME?</v>
      </c>
      <c r="B5661" s="2" t="s">
        <v>12</v>
      </c>
      <c r="C5661" s="2" t="s">
        <v>12</v>
      </c>
      <c r="D5661" s="2" t="s">
        <v>12</v>
      </c>
      <c r="E5661" s="2" t="s">
        <v>12</v>
      </c>
      <c r="F5661" s="2" t="s">
        <v>12</v>
      </c>
      <c r="G5661" s="2" t="s">
        <v>12</v>
      </c>
      <c r="H5661" s="2" t="s">
        <v>12</v>
      </c>
      <c r="I5661" s="2" t="s">
        <v>12</v>
      </c>
      <c r="J5661" s="2" t="s">
        <v>12</v>
      </c>
      <c r="K5661" s="2" t="s">
        <v>12</v>
      </c>
    </row>
    <row r="5662" spans="1:11" ht="12.5" x14ac:dyDescent="0.25">
      <c r="A5662" s="3" t="e">
        <f ca="1"/>
        <v>#NAME?</v>
      </c>
      <c r="B5662" s="2" t="s">
        <v>12</v>
      </c>
      <c r="C5662" s="2" t="s">
        <v>12</v>
      </c>
      <c r="D5662" s="2" t="s">
        <v>12</v>
      </c>
      <c r="E5662" s="2" t="s">
        <v>12</v>
      </c>
      <c r="F5662" s="2" t="s">
        <v>12</v>
      </c>
      <c r="G5662" s="2" t="s">
        <v>12</v>
      </c>
      <c r="H5662" s="2" t="s">
        <v>12</v>
      </c>
      <c r="I5662" s="2" t="s">
        <v>12</v>
      </c>
      <c r="J5662" s="2" t="s">
        <v>12</v>
      </c>
      <c r="K5662" s="2" t="s">
        <v>12</v>
      </c>
    </row>
    <row r="5663" spans="1:11" ht="12.5" x14ac:dyDescent="0.25">
      <c r="A5663" s="3" t="e">
        <f ca="1"/>
        <v>#NAME?</v>
      </c>
      <c r="B5663" s="2" t="s">
        <v>12</v>
      </c>
      <c r="C5663" s="2" t="s">
        <v>12</v>
      </c>
      <c r="D5663" s="2" t="s">
        <v>12</v>
      </c>
      <c r="E5663" s="2" t="s">
        <v>12</v>
      </c>
      <c r="F5663" s="2" t="s">
        <v>12</v>
      </c>
      <c r="G5663" s="2" t="s">
        <v>12</v>
      </c>
      <c r="H5663" s="2" t="s">
        <v>12</v>
      </c>
      <c r="I5663" s="2" t="s">
        <v>12</v>
      </c>
      <c r="J5663" s="2" t="s">
        <v>12</v>
      </c>
      <c r="K5663" s="2" t="s">
        <v>12</v>
      </c>
    </row>
    <row r="5664" spans="1:11" ht="12.5" x14ac:dyDescent="0.25">
      <c r="A5664" s="3" t="e">
        <f ca="1"/>
        <v>#NAME?</v>
      </c>
      <c r="B5664" s="2" t="s">
        <v>12</v>
      </c>
      <c r="C5664" s="2" t="s">
        <v>12</v>
      </c>
      <c r="D5664" s="2" t="s">
        <v>12</v>
      </c>
      <c r="E5664" s="2" t="s">
        <v>12</v>
      </c>
      <c r="F5664" s="2" t="s">
        <v>12</v>
      </c>
      <c r="G5664" s="2" t="s">
        <v>12</v>
      </c>
      <c r="H5664" s="2" t="s">
        <v>12</v>
      </c>
      <c r="I5664" s="2" t="s">
        <v>12</v>
      </c>
      <c r="J5664" s="2" t="s">
        <v>12</v>
      </c>
      <c r="K5664" s="2" t="s">
        <v>12</v>
      </c>
    </row>
    <row r="5665" spans="1:11" ht="12.5" x14ac:dyDescent="0.25">
      <c r="A5665" s="3" t="e">
        <f ca="1"/>
        <v>#NAME?</v>
      </c>
      <c r="B5665" s="2" t="s">
        <v>12</v>
      </c>
      <c r="C5665" s="2" t="s">
        <v>12</v>
      </c>
      <c r="D5665" s="2" t="s">
        <v>12</v>
      </c>
      <c r="E5665" s="2" t="s">
        <v>12</v>
      </c>
      <c r="F5665" s="2" t="s">
        <v>12</v>
      </c>
      <c r="G5665" s="2" t="s">
        <v>12</v>
      </c>
      <c r="H5665" s="2" t="s">
        <v>12</v>
      </c>
      <c r="I5665" s="2" t="s">
        <v>12</v>
      </c>
      <c r="J5665" s="2" t="s">
        <v>12</v>
      </c>
      <c r="K5665" s="2" t="s">
        <v>12</v>
      </c>
    </row>
    <row r="5666" spans="1:11" ht="12.5" x14ac:dyDescent="0.25">
      <c r="A5666" s="3" t="e">
        <f ca="1"/>
        <v>#NAME?</v>
      </c>
      <c r="B5666" s="2" t="s">
        <v>12</v>
      </c>
      <c r="C5666" s="2" t="s">
        <v>12</v>
      </c>
      <c r="D5666" s="2" t="s">
        <v>12</v>
      </c>
      <c r="E5666" s="2" t="s">
        <v>12</v>
      </c>
      <c r="F5666" s="2" t="s">
        <v>12</v>
      </c>
      <c r="G5666" s="2" t="s">
        <v>12</v>
      </c>
      <c r="H5666" s="2" t="s">
        <v>12</v>
      </c>
      <c r="I5666" s="2" t="s">
        <v>12</v>
      </c>
      <c r="J5666" s="2" t="s">
        <v>12</v>
      </c>
      <c r="K5666" s="2" t="s">
        <v>12</v>
      </c>
    </row>
    <row r="5667" spans="1:11" ht="12.5" x14ac:dyDescent="0.25">
      <c r="A5667" s="3" t="e">
        <f ca="1"/>
        <v>#NAME?</v>
      </c>
      <c r="B5667" s="2" t="s">
        <v>12</v>
      </c>
      <c r="C5667" s="2" t="s">
        <v>12</v>
      </c>
      <c r="D5667" s="2" t="s">
        <v>12</v>
      </c>
      <c r="E5667" s="2" t="s">
        <v>12</v>
      </c>
      <c r="F5667" s="2" t="s">
        <v>12</v>
      </c>
      <c r="G5667" s="2" t="s">
        <v>12</v>
      </c>
      <c r="H5667" s="2" t="s">
        <v>12</v>
      </c>
      <c r="I5667" s="2" t="s">
        <v>12</v>
      </c>
      <c r="J5667" s="2" t="s">
        <v>12</v>
      </c>
      <c r="K5667" s="2" t="s">
        <v>12</v>
      </c>
    </row>
    <row r="5668" spans="1:11" ht="12.5" x14ac:dyDescent="0.25">
      <c r="A5668" s="3" t="e">
        <f ca="1"/>
        <v>#NAME?</v>
      </c>
      <c r="B5668" s="2" t="s">
        <v>12</v>
      </c>
      <c r="C5668" s="2" t="s">
        <v>12</v>
      </c>
      <c r="D5668" s="2" t="s">
        <v>12</v>
      </c>
      <c r="E5668" s="2" t="s">
        <v>12</v>
      </c>
      <c r="F5668" s="2" t="s">
        <v>12</v>
      </c>
      <c r="G5668" s="2" t="s">
        <v>12</v>
      </c>
      <c r="H5668" s="2" t="s">
        <v>12</v>
      </c>
      <c r="I5668" s="2" t="s">
        <v>12</v>
      </c>
      <c r="J5668" s="2" t="s">
        <v>12</v>
      </c>
      <c r="K5668" s="2" t="s">
        <v>12</v>
      </c>
    </row>
    <row r="5669" spans="1:11" ht="12.5" x14ac:dyDescent="0.25">
      <c r="A5669" s="3" t="e">
        <f ca="1"/>
        <v>#NAME?</v>
      </c>
      <c r="B5669" s="2" t="s">
        <v>12</v>
      </c>
      <c r="C5669" s="2" t="s">
        <v>12</v>
      </c>
      <c r="D5669" s="2" t="s">
        <v>12</v>
      </c>
      <c r="E5669" s="2" t="s">
        <v>12</v>
      </c>
      <c r="F5669" s="2" t="s">
        <v>12</v>
      </c>
      <c r="G5669" s="2" t="s">
        <v>12</v>
      </c>
      <c r="H5669" s="2" t="s">
        <v>12</v>
      </c>
      <c r="I5669" s="2" t="s">
        <v>12</v>
      </c>
      <c r="J5669" s="2" t="s">
        <v>12</v>
      </c>
      <c r="K5669" s="2" t="s">
        <v>12</v>
      </c>
    </row>
    <row r="5670" spans="1:11" ht="12.5" x14ac:dyDescent="0.25">
      <c r="A5670" s="3" t="e">
        <f ca="1"/>
        <v>#NAME?</v>
      </c>
      <c r="B5670" s="2" t="s">
        <v>12</v>
      </c>
      <c r="C5670" s="2" t="s">
        <v>12</v>
      </c>
      <c r="D5670" s="2" t="s">
        <v>12</v>
      </c>
      <c r="E5670" s="2" t="s">
        <v>12</v>
      </c>
      <c r="F5670" s="2" t="s">
        <v>12</v>
      </c>
      <c r="G5670" s="2" t="s">
        <v>12</v>
      </c>
      <c r="H5670" s="2" t="s">
        <v>12</v>
      </c>
      <c r="I5670" s="2" t="s">
        <v>12</v>
      </c>
      <c r="J5670" s="2" t="s">
        <v>12</v>
      </c>
      <c r="K5670" s="2" t="s">
        <v>12</v>
      </c>
    </row>
    <row r="5671" spans="1:11" ht="12.5" x14ac:dyDescent="0.25">
      <c r="A5671" s="3" t="e">
        <f ca="1"/>
        <v>#NAME?</v>
      </c>
      <c r="B5671" s="2" t="s">
        <v>12</v>
      </c>
      <c r="C5671" s="2" t="s">
        <v>12</v>
      </c>
      <c r="D5671" s="2" t="s">
        <v>12</v>
      </c>
      <c r="E5671" s="2" t="s">
        <v>12</v>
      </c>
      <c r="F5671" s="2" t="s">
        <v>12</v>
      </c>
      <c r="G5671" s="2" t="s">
        <v>12</v>
      </c>
      <c r="H5671" s="2" t="s">
        <v>12</v>
      </c>
      <c r="I5671" s="2" t="s">
        <v>12</v>
      </c>
      <c r="J5671" s="2" t="s">
        <v>12</v>
      </c>
      <c r="K5671" s="2" t="s">
        <v>12</v>
      </c>
    </row>
    <row r="5672" spans="1:11" ht="12.5" x14ac:dyDescent="0.25">
      <c r="A5672" s="3" t="e">
        <f ca="1"/>
        <v>#NAME?</v>
      </c>
      <c r="B5672" s="2" t="s">
        <v>12</v>
      </c>
      <c r="C5672" s="2" t="s">
        <v>12</v>
      </c>
      <c r="D5672" s="2" t="s">
        <v>12</v>
      </c>
      <c r="E5672" s="2" t="s">
        <v>12</v>
      </c>
      <c r="F5672" s="2" t="s">
        <v>12</v>
      </c>
      <c r="G5672" s="2" t="s">
        <v>12</v>
      </c>
      <c r="H5672" s="2" t="s">
        <v>12</v>
      </c>
      <c r="I5672" s="2" t="s">
        <v>12</v>
      </c>
      <c r="J5672" s="2" t="s">
        <v>12</v>
      </c>
      <c r="K5672" s="2" t="s">
        <v>12</v>
      </c>
    </row>
    <row r="5673" spans="1:11" ht="12.5" x14ac:dyDescent="0.25">
      <c r="A5673" s="3" t="e">
        <f ca="1"/>
        <v>#NAME?</v>
      </c>
      <c r="B5673" s="2" t="s">
        <v>12</v>
      </c>
      <c r="C5673" s="2" t="s">
        <v>12</v>
      </c>
      <c r="D5673" s="2" t="s">
        <v>12</v>
      </c>
      <c r="E5673" s="2" t="s">
        <v>12</v>
      </c>
      <c r="F5673" s="2" t="s">
        <v>12</v>
      </c>
      <c r="G5673" s="2" t="s">
        <v>12</v>
      </c>
      <c r="H5673" s="2" t="s">
        <v>12</v>
      </c>
      <c r="I5673" s="2" t="s">
        <v>12</v>
      </c>
      <c r="J5673" s="2" t="s">
        <v>12</v>
      </c>
      <c r="K5673" s="2" t="s">
        <v>12</v>
      </c>
    </row>
    <row r="5674" spans="1:11" ht="12.5" x14ac:dyDescent="0.25">
      <c r="A5674" s="3" t="e">
        <f ca="1"/>
        <v>#NAME?</v>
      </c>
      <c r="B5674" s="2" t="s">
        <v>12</v>
      </c>
      <c r="C5674" s="2" t="s">
        <v>12</v>
      </c>
      <c r="D5674" s="2" t="s">
        <v>12</v>
      </c>
      <c r="E5674" s="2" t="s">
        <v>12</v>
      </c>
      <c r="F5674" s="2" t="s">
        <v>12</v>
      </c>
      <c r="G5674" s="2" t="s">
        <v>12</v>
      </c>
      <c r="H5674" s="2" t="s">
        <v>12</v>
      </c>
      <c r="I5674" s="2" t="s">
        <v>12</v>
      </c>
      <c r="J5674" s="2" t="s">
        <v>12</v>
      </c>
      <c r="K5674" s="2" t="s">
        <v>12</v>
      </c>
    </row>
    <row r="5675" spans="1:11" ht="12.5" x14ac:dyDescent="0.25">
      <c r="A5675" s="3" t="e">
        <f ca="1"/>
        <v>#NAME?</v>
      </c>
      <c r="B5675" s="2" t="s">
        <v>12</v>
      </c>
      <c r="C5675" s="2" t="s">
        <v>12</v>
      </c>
      <c r="D5675" s="2" t="s">
        <v>12</v>
      </c>
      <c r="E5675" s="2" t="s">
        <v>12</v>
      </c>
      <c r="F5675" s="2" t="s">
        <v>12</v>
      </c>
      <c r="G5675" s="2" t="s">
        <v>12</v>
      </c>
      <c r="H5675" s="2" t="s">
        <v>12</v>
      </c>
      <c r="I5675" s="2" t="s">
        <v>12</v>
      </c>
      <c r="J5675" s="2" t="s">
        <v>12</v>
      </c>
      <c r="K5675" s="2" t="s">
        <v>12</v>
      </c>
    </row>
    <row r="5676" spans="1:11" ht="12.5" x14ac:dyDescent="0.25">
      <c r="A5676" s="3" t="e">
        <f ca="1"/>
        <v>#NAME?</v>
      </c>
      <c r="B5676" s="2" t="s">
        <v>12</v>
      </c>
      <c r="C5676" s="2" t="s">
        <v>12</v>
      </c>
      <c r="D5676" s="2" t="s">
        <v>12</v>
      </c>
      <c r="E5676" s="2" t="s">
        <v>12</v>
      </c>
      <c r="F5676" s="2" t="s">
        <v>12</v>
      </c>
      <c r="G5676" s="2" t="s">
        <v>12</v>
      </c>
      <c r="H5676" s="2" t="s">
        <v>12</v>
      </c>
      <c r="I5676" s="2" t="s">
        <v>12</v>
      </c>
      <c r="J5676" s="2" t="s">
        <v>12</v>
      </c>
      <c r="K5676" s="2" t="s">
        <v>12</v>
      </c>
    </row>
    <row r="5677" spans="1:11" ht="12.5" x14ac:dyDescent="0.25">
      <c r="A5677" s="3" t="e">
        <f ca="1"/>
        <v>#NAME?</v>
      </c>
      <c r="B5677" s="2" t="s">
        <v>12</v>
      </c>
      <c r="C5677" s="2" t="s">
        <v>12</v>
      </c>
      <c r="D5677" s="2" t="s">
        <v>12</v>
      </c>
      <c r="E5677" s="2" t="s">
        <v>12</v>
      </c>
      <c r="F5677" s="2" t="s">
        <v>12</v>
      </c>
      <c r="G5677" s="2" t="s">
        <v>12</v>
      </c>
      <c r="H5677" s="2" t="s">
        <v>12</v>
      </c>
      <c r="I5677" s="2" t="s">
        <v>12</v>
      </c>
      <c r="J5677" s="2" t="s">
        <v>12</v>
      </c>
      <c r="K5677" s="2" t="s">
        <v>12</v>
      </c>
    </row>
    <row r="5678" spans="1:11" ht="12.5" x14ac:dyDescent="0.25">
      <c r="A5678" s="3" t="e">
        <f ca="1"/>
        <v>#NAME?</v>
      </c>
      <c r="B5678" s="2" t="s">
        <v>12</v>
      </c>
      <c r="C5678" s="2" t="s">
        <v>12</v>
      </c>
      <c r="D5678" s="2" t="s">
        <v>12</v>
      </c>
      <c r="E5678" s="2" t="s">
        <v>12</v>
      </c>
      <c r="F5678" s="2" t="s">
        <v>12</v>
      </c>
      <c r="G5678" s="2" t="s">
        <v>12</v>
      </c>
      <c r="H5678" s="2" t="s">
        <v>12</v>
      </c>
      <c r="I5678" s="2" t="s">
        <v>12</v>
      </c>
      <c r="J5678" s="2" t="s">
        <v>12</v>
      </c>
      <c r="K5678" s="2" t="s">
        <v>12</v>
      </c>
    </row>
    <row r="5679" spans="1:11" ht="12.5" x14ac:dyDescent="0.25">
      <c r="A5679" s="3" t="e">
        <f ca="1"/>
        <v>#NAME?</v>
      </c>
      <c r="B5679" s="2" t="s">
        <v>12</v>
      </c>
      <c r="C5679" s="2" t="s">
        <v>12</v>
      </c>
      <c r="D5679" s="2" t="s">
        <v>12</v>
      </c>
      <c r="E5679" s="2" t="s">
        <v>12</v>
      </c>
      <c r="F5679" s="2" t="s">
        <v>12</v>
      </c>
      <c r="G5679" s="2" t="s">
        <v>12</v>
      </c>
      <c r="H5679" s="2" t="s">
        <v>12</v>
      </c>
      <c r="I5679" s="2" t="s">
        <v>12</v>
      </c>
      <c r="J5679" s="2" t="s">
        <v>12</v>
      </c>
      <c r="K5679" s="2" t="s">
        <v>12</v>
      </c>
    </row>
    <row r="5680" spans="1:11" ht="12.5" x14ac:dyDescent="0.25">
      <c r="A5680" s="3" t="e">
        <f ca="1"/>
        <v>#NAME?</v>
      </c>
      <c r="B5680" s="2" t="s">
        <v>12</v>
      </c>
      <c r="C5680" s="2" t="s">
        <v>12</v>
      </c>
      <c r="D5680" s="2" t="s">
        <v>12</v>
      </c>
      <c r="E5680" s="2" t="s">
        <v>12</v>
      </c>
      <c r="F5680" s="2" t="s">
        <v>12</v>
      </c>
      <c r="G5680" s="2" t="s">
        <v>12</v>
      </c>
      <c r="H5680" s="2" t="s">
        <v>12</v>
      </c>
      <c r="I5680" s="2" t="s">
        <v>12</v>
      </c>
      <c r="J5680" s="2" t="s">
        <v>12</v>
      </c>
      <c r="K5680" s="2" t="s">
        <v>12</v>
      </c>
    </row>
    <row r="5681" spans="1:11" ht="12.5" x14ac:dyDescent="0.25">
      <c r="A5681" s="3" t="e">
        <f ca="1"/>
        <v>#NAME?</v>
      </c>
      <c r="B5681" s="2" t="s">
        <v>12</v>
      </c>
      <c r="C5681" s="2" t="s">
        <v>12</v>
      </c>
      <c r="D5681" s="2" t="s">
        <v>12</v>
      </c>
      <c r="E5681" s="2" t="s">
        <v>12</v>
      </c>
      <c r="F5681" s="2" t="s">
        <v>12</v>
      </c>
      <c r="G5681" s="2" t="s">
        <v>12</v>
      </c>
      <c r="H5681" s="2" t="s">
        <v>12</v>
      </c>
      <c r="I5681" s="2" t="s">
        <v>12</v>
      </c>
      <c r="J5681" s="2" t="s">
        <v>12</v>
      </c>
      <c r="K5681" s="2" t="s">
        <v>12</v>
      </c>
    </row>
    <row r="5682" spans="1:11" ht="12.5" x14ac:dyDescent="0.25">
      <c r="A5682" s="3" t="e">
        <f ca="1"/>
        <v>#NAME?</v>
      </c>
      <c r="B5682" s="2" t="s">
        <v>12</v>
      </c>
      <c r="C5682" s="2" t="s">
        <v>12</v>
      </c>
      <c r="D5682" s="2" t="s">
        <v>12</v>
      </c>
      <c r="E5682" s="2" t="s">
        <v>12</v>
      </c>
      <c r="F5682" s="2" t="s">
        <v>12</v>
      </c>
      <c r="G5682" s="2" t="s">
        <v>12</v>
      </c>
      <c r="H5682" s="2" t="s">
        <v>12</v>
      </c>
      <c r="I5682" s="2" t="s">
        <v>12</v>
      </c>
      <c r="J5682" s="2" t="s">
        <v>12</v>
      </c>
      <c r="K5682" s="2" t="s">
        <v>12</v>
      </c>
    </row>
    <row r="5683" spans="1:11" ht="12.5" x14ac:dyDescent="0.25">
      <c r="A5683" s="3" t="e">
        <f ca="1"/>
        <v>#NAME?</v>
      </c>
      <c r="B5683" s="2" t="s">
        <v>12</v>
      </c>
      <c r="C5683" s="2" t="s">
        <v>12</v>
      </c>
      <c r="D5683" s="2" t="s">
        <v>12</v>
      </c>
      <c r="E5683" s="2" t="s">
        <v>12</v>
      </c>
      <c r="F5683" s="2" t="s">
        <v>12</v>
      </c>
      <c r="G5683" s="2" t="s">
        <v>12</v>
      </c>
      <c r="H5683" s="2" t="s">
        <v>12</v>
      </c>
      <c r="I5683" s="2" t="s">
        <v>12</v>
      </c>
      <c r="J5683" s="2" t="s">
        <v>12</v>
      </c>
      <c r="K5683" s="2" t="s">
        <v>12</v>
      </c>
    </row>
    <row r="5684" spans="1:11" ht="12.5" x14ac:dyDescent="0.25">
      <c r="A5684" s="3" t="e">
        <f ca="1"/>
        <v>#NAME?</v>
      </c>
      <c r="B5684" s="2" t="s">
        <v>12</v>
      </c>
      <c r="C5684" s="2" t="s">
        <v>12</v>
      </c>
      <c r="D5684" s="2" t="s">
        <v>12</v>
      </c>
      <c r="E5684" s="2" t="s">
        <v>12</v>
      </c>
      <c r="F5684" s="2" t="s">
        <v>12</v>
      </c>
      <c r="G5684" s="2" t="s">
        <v>12</v>
      </c>
      <c r="H5684" s="2" t="s">
        <v>12</v>
      </c>
      <c r="I5684" s="2" t="s">
        <v>12</v>
      </c>
      <c r="J5684" s="2" t="s">
        <v>12</v>
      </c>
      <c r="K5684" s="2" t="s">
        <v>12</v>
      </c>
    </row>
    <row r="5685" spans="1:11" ht="12.5" x14ac:dyDescent="0.25">
      <c r="A5685" s="3" t="e">
        <f ca="1"/>
        <v>#NAME?</v>
      </c>
      <c r="B5685" s="2" t="s">
        <v>12</v>
      </c>
      <c r="C5685" s="2" t="s">
        <v>12</v>
      </c>
      <c r="D5685" s="2" t="s">
        <v>12</v>
      </c>
      <c r="E5685" s="2" t="s">
        <v>12</v>
      </c>
      <c r="F5685" s="2" t="s">
        <v>12</v>
      </c>
      <c r="G5685" s="2" t="s">
        <v>12</v>
      </c>
      <c r="H5685" s="2" t="s">
        <v>12</v>
      </c>
      <c r="I5685" s="2" t="s">
        <v>12</v>
      </c>
      <c r="J5685" s="2" t="s">
        <v>12</v>
      </c>
      <c r="K5685" s="2" t="s">
        <v>12</v>
      </c>
    </row>
    <row r="5686" spans="1:11" ht="12.5" x14ac:dyDescent="0.25">
      <c r="A5686" s="3" t="e">
        <f ca="1"/>
        <v>#NAME?</v>
      </c>
      <c r="B5686" s="2" t="s">
        <v>12</v>
      </c>
      <c r="C5686" s="2" t="s">
        <v>12</v>
      </c>
      <c r="D5686" s="2" t="s">
        <v>12</v>
      </c>
      <c r="E5686" s="2" t="s">
        <v>12</v>
      </c>
      <c r="F5686" s="2" t="s">
        <v>12</v>
      </c>
      <c r="G5686" s="2" t="s">
        <v>12</v>
      </c>
      <c r="H5686" s="2" t="s">
        <v>12</v>
      </c>
      <c r="I5686" s="2" t="s">
        <v>12</v>
      </c>
      <c r="J5686" s="2" t="s">
        <v>12</v>
      </c>
      <c r="K5686" s="2" t="s">
        <v>12</v>
      </c>
    </row>
    <row r="5687" spans="1:11" ht="12.5" x14ac:dyDescent="0.25">
      <c r="A5687" s="3" t="e">
        <f ca="1"/>
        <v>#NAME?</v>
      </c>
      <c r="B5687" s="2" t="s">
        <v>12</v>
      </c>
      <c r="C5687" s="2" t="s">
        <v>12</v>
      </c>
      <c r="D5687" s="2" t="s">
        <v>12</v>
      </c>
      <c r="E5687" s="2" t="s">
        <v>12</v>
      </c>
      <c r="F5687" s="2" t="s">
        <v>12</v>
      </c>
      <c r="G5687" s="2" t="s">
        <v>12</v>
      </c>
      <c r="H5687" s="2" t="s">
        <v>12</v>
      </c>
      <c r="I5687" s="2" t="s">
        <v>12</v>
      </c>
      <c r="J5687" s="2" t="s">
        <v>12</v>
      </c>
      <c r="K5687" s="2" t="s">
        <v>12</v>
      </c>
    </row>
    <row r="5688" spans="1:11" ht="12.5" x14ac:dyDescent="0.25">
      <c r="A5688" s="3" t="e">
        <f ca="1"/>
        <v>#NAME?</v>
      </c>
      <c r="B5688" s="2" t="s">
        <v>12</v>
      </c>
      <c r="C5688" s="2" t="s">
        <v>12</v>
      </c>
      <c r="D5688" s="2" t="s">
        <v>12</v>
      </c>
      <c r="E5688" s="2" t="s">
        <v>12</v>
      </c>
      <c r="F5688" s="2" t="s">
        <v>12</v>
      </c>
      <c r="G5688" s="2" t="s">
        <v>12</v>
      </c>
      <c r="H5688" s="2" t="s">
        <v>12</v>
      </c>
      <c r="I5688" s="2" t="s">
        <v>12</v>
      </c>
      <c r="J5688" s="2" t="s">
        <v>12</v>
      </c>
      <c r="K5688" s="2" t="s">
        <v>12</v>
      </c>
    </row>
    <row r="5689" spans="1:11" ht="12.5" x14ac:dyDescent="0.25">
      <c r="A5689" s="3" t="e">
        <f ca="1"/>
        <v>#NAME?</v>
      </c>
      <c r="B5689" s="2" t="s">
        <v>12</v>
      </c>
      <c r="C5689" s="2" t="s">
        <v>12</v>
      </c>
      <c r="D5689" s="2" t="s">
        <v>12</v>
      </c>
      <c r="E5689" s="2" t="s">
        <v>12</v>
      </c>
      <c r="F5689" s="2" t="s">
        <v>12</v>
      </c>
      <c r="G5689" s="2" t="s">
        <v>12</v>
      </c>
      <c r="H5689" s="2" t="s">
        <v>12</v>
      </c>
      <c r="I5689" s="2" t="s">
        <v>12</v>
      </c>
      <c r="J5689" s="2" t="s">
        <v>12</v>
      </c>
      <c r="K5689" s="2" t="s">
        <v>12</v>
      </c>
    </row>
    <row r="5690" spans="1:11" ht="12.5" x14ac:dyDescent="0.25">
      <c r="A5690" s="3" t="e">
        <f ca="1"/>
        <v>#NAME?</v>
      </c>
      <c r="B5690" s="2" t="s">
        <v>12</v>
      </c>
      <c r="C5690" s="2" t="s">
        <v>12</v>
      </c>
      <c r="D5690" s="2" t="s">
        <v>12</v>
      </c>
      <c r="E5690" s="2" t="s">
        <v>12</v>
      </c>
      <c r="F5690" s="2" t="s">
        <v>12</v>
      </c>
      <c r="G5690" s="2" t="s">
        <v>12</v>
      </c>
      <c r="H5690" s="2" t="s">
        <v>12</v>
      </c>
      <c r="I5690" s="2" t="s">
        <v>12</v>
      </c>
      <c r="J5690" s="2" t="s">
        <v>12</v>
      </c>
      <c r="K5690" s="2" t="s">
        <v>12</v>
      </c>
    </row>
    <row r="5691" spans="1:11" ht="12.5" x14ac:dyDescent="0.25">
      <c r="A5691" s="3" t="e">
        <f ca="1"/>
        <v>#NAME?</v>
      </c>
      <c r="B5691" s="2" t="s">
        <v>12</v>
      </c>
      <c r="C5691" s="2" t="s">
        <v>12</v>
      </c>
      <c r="D5691" s="2" t="s">
        <v>12</v>
      </c>
      <c r="E5691" s="2" t="s">
        <v>12</v>
      </c>
      <c r="F5691" s="2" t="s">
        <v>12</v>
      </c>
      <c r="G5691" s="2" t="s">
        <v>12</v>
      </c>
      <c r="H5691" s="2" t="s">
        <v>12</v>
      </c>
      <c r="I5691" s="2" t="s">
        <v>12</v>
      </c>
      <c r="J5691" s="2" t="s">
        <v>12</v>
      </c>
      <c r="K5691" s="2" t="s">
        <v>12</v>
      </c>
    </row>
    <row r="5692" spans="1:11" ht="12.5" x14ac:dyDescent="0.25">
      <c r="A5692" s="3" t="e">
        <f ca="1"/>
        <v>#NAME?</v>
      </c>
      <c r="B5692" s="2" t="s">
        <v>12</v>
      </c>
      <c r="C5692" s="2" t="s">
        <v>12</v>
      </c>
      <c r="D5692" s="2" t="s">
        <v>12</v>
      </c>
      <c r="E5692" s="2" t="s">
        <v>12</v>
      </c>
      <c r="F5692" s="2" t="s">
        <v>12</v>
      </c>
      <c r="G5692" s="2" t="s">
        <v>12</v>
      </c>
      <c r="H5692" s="2" t="s">
        <v>12</v>
      </c>
      <c r="I5692" s="2" t="s">
        <v>12</v>
      </c>
      <c r="J5692" s="2" t="s">
        <v>12</v>
      </c>
      <c r="K5692" s="2" t="s">
        <v>12</v>
      </c>
    </row>
    <row r="5693" spans="1:11" ht="12.5" x14ac:dyDescent="0.25">
      <c r="A5693" s="3" t="e">
        <f ca="1"/>
        <v>#NAME?</v>
      </c>
      <c r="B5693" s="2" t="s">
        <v>12</v>
      </c>
      <c r="C5693" s="2" t="s">
        <v>12</v>
      </c>
      <c r="D5693" s="2" t="s">
        <v>12</v>
      </c>
      <c r="E5693" s="2" t="s">
        <v>12</v>
      </c>
      <c r="F5693" s="2" t="s">
        <v>12</v>
      </c>
      <c r="G5693" s="2" t="s">
        <v>12</v>
      </c>
      <c r="H5693" s="2" t="s">
        <v>12</v>
      </c>
      <c r="I5693" s="2" t="s">
        <v>12</v>
      </c>
      <c r="J5693" s="2" t="s">
        <v>12</v>
      </c>
      <c r="K5693" s="2" t="s">
        <v>12</v>
      </c>
    </row>
    <row r="5694" spans="1:11" ht="12.5" x14ac:dyDescent="0.25">
      <c r="A5694" s="3" t="e">
        <f ca="1"/>
        <v>#NAME?</v>
      </c>
      <c r="B5694" s="2" t="s">
        <v>12</v>
      </c>
      <c r="C5694" s="2" t="s">
        <v>12</v>
      </c>
      <c r="D5694" s="2" t="s">
        <v>12</v>
      </c>
      <c r="E5694" s="2" t="s">
        <v>12</v>
      </c>
      <c r="F5694" s="2" t="s">
        <v>12</v>
      </c>
      <c r="G5694" s="2" t="s">
        <v>12</v>
      </c>
      <c r="H5694" s="2" t="s">
        <v>12</v>
      </c>
      <c r="I5694" s="2" t="s">
        <v>12</v>
      </c>
      <c r="J5694" s="2" t="s">
        <v>12</v>
      </c>
      <c r="K5694" s="2" t="s">
        <v>12</v>
      </c>
    </row>
    <row r="5695" spans="1:11" ht="12.5" x14ac:dyDescent="0.25">
      <c r="A5695" s="3" t="e">
        <f ca="1"/>
        <v>#NAME?</v>
      </c>
      <c r="B5695" s="2" t="s">
        <v>12</v>
      </c>
      <c r="C5695" s="2" t="s">
        <v>12</v>
      </c>
      <c r="D5695" s="2" t="s">
        <v>12</v>
      </c>
      <c r="E5695" s="2" t="s">
        <v>12</v>
      </c>
      <c r="F5695" s="2" t="s">
        <v>12</v>
      </c>
      <c r="G5695" s="2" t="s">
        <v>12</v>
      </c>
      <c r="H5695" s="2" t="s">
        <v>12</v>
      </c>
      <c r="I5695" s="2" t="s">
        <v>12</v>
      </c>
      <c r="J5695" s="2" t="s">
        <v>12</v>
      </c>
      <c r="K5695" s="2" t="s">
        <v>12</v>
      </c>
    </row>
    <row r="5696" spans="1:11" ht="12.5" x14ac:dyDescent="0.25">
      <c r="A5696" s="3" t="e">
        <f ca="1"/>
        <v>#NAME?</v>
      </c>
      <c r="B5696" s="2" t="s">
        <v>12</v>
      </c>
      <c r="C5696" s="2" t="s">
        <v>12</v>
      </c>
      <c r="D5696" s="2" t="s">
        <v>12</v>
      </c>
      <c r="E5696" s="2" t="s">
        <v>12</v>
      </c>
      <c r="F5696" s="2" t="s">
        <v>12</v>
      </c>
      <c r="G5696" s="2" t="s">
        <v>12</v>
      </c>
      <c r="H5696" s="2" t="s">
        <v>12</v>
      </c>
      <c r="I5696" s="2" t="s">
        <v>12</v>
      </c>
      <c r="J5696" s="2" t="s">
        <v>12</v>
      </c>
      <c r="K5696" s="2" t="s">
        <v>12</v>
      </c>
    </row>
    <row r="5697" spans="1:11" ht="12.5" x14ac:dyDescent="0.25">
      <c r="A5697" s="3" t="e">
        <f ca="1"/>
        <v>#NAME?</v>
      </c>
      <c r="B5697" s="2" t="s">
        <v>12</v>
      </c>
      <c r="C5697" s="2" t="s">
        <v>12</v>
      </c>
      <c r="D5697" s="2" t="s">
        <v>12</v>
      </c>
      <c r="E5697" s="2" t="s">
        <v>12</v>
      </c>
      <c r="F5697" s="2" t="s">
        <v>12</v>
      </c>
      <c r="G5697" s="2" t="s">
        <v>12</v>
      </c>
      <c r="H5697" s="2" t="s">
        <v>12</v>
      </c>
      <c r="I5697" s="2" t="s">
        <v>12</v>
      </c>
      <c r="J5697" s="2" t="s">
        <v>12</v>
      </c>
      <c r="K5697" s="2" t="s">
        <v>12</v>
      </c>
    </row>
    <row r="5698" spans="1:11" ht="12.5" x14ac:dyDescent="0.25">
      <c r="A5698" s="3" t="e">
        <f ca="1"/>
        <v>#NAME?</v>
      </c>
      <c r="B5698" s="2" t="s">
        <v>12</v>
      </c>
      <c r="C5698" s="2" t="s">
        <v>12</v>
      </c>
      <c r="D5698" s="2" t="s">
        <v>12</v>
      </c>
      <c r="E5698" s="2" t="s">
        <v>12</v>
      </c>
      <c r="F5698" s="2" t="s">
        <v>12</v>
      </c>
      <c r="G5698" s="2" t="s">
        <v>12</v>
      </c>
      <c r="H5698" s="2" t="s">
        <v>12</v>
      </c>
      <c r="I5698" s="2" t="s">
        <v>12</v>
      </c>
      <c r="J5698" s="2" t="s">
        <v>12</v>
      </c>
      <c r="K5698" s="2" t="s">
        <v>12</v>
      </c>
    </row>
    <row r="5699" spans="1:11" ht="12.5" x14ac:dyDescent="0.25">
      <c r="A5699" s="3" t="e">
        <f ca="1"/>
        <v>#NAME?</v>
      </c>
      <c r="B5699" s="2" t="s">
        <v>12</v>
      </c>
      <c r="C5699" s="2" t="s">
        <v>12</v>
      </c>
      <c r="D5699" s="2" t="s">
        <v>12</v>
      </c>
      <c r="E5699" s="2" t="s">
        <v>12</v>
      </c>
      <c r="F5699" s="2" t="s">
        <v>12</v>
      </c>
      <c r="G5699" s="2" t="s">
        <v>12</v>
      </c>
      <c r="H5699" s="2" t="s">
        <v>12</v>
      </c>
      <c r="I5699" s="2" t="s">
        <v>12</v>
      </c>
      <c r="J5699" s="2" t="s">
        <v>12</v>
      </c>
      <c r="K5699" s="2" t="s">
        <v>12</v>
      </c>
    </row>
    <row r="5700" spans="1:11" ht="12.5" x14ac:dyDescent="0.25">
      <c r="A5700" s="3" t="e">
        <f ca="1"/>
        <v>#NAME?</v>
      </c>
      <c r="B5700" s="2" t="s">
        <v>12</v>
      </c>
      <c r="C5700" s="2" t="s">
        <v>12</v>
      </c>
      <c r="D5700" s="2" t="s">
        <v>12</v>
      </c>
      <c r="E5700" s="2" t="s">
        <v>12</v>
      </c>
      <c r="F5700" s="2" t="s">
        <v>12</v>
      </c>
      <c r="G5700" s="2" t="s">
        <v>12</v>
      </c>
      <c r="H5700" s="2" t="s">
        <v>12</v>
      </c>
      <c r="I5700" s="2" t="s">
        <v>12</v>
      </c>
      <c r="J5700" s="2" t="s">
        <v>12</v>
      </c>
      <c r="K5700" s="2" t="s">
        <v>12</v>
      </c>
    </row>
    <row r="5701" spans="1:11" ht="12.5" x14ac:dyDescent="0.25">
      <c r="A5701" s="3" t="e">
        <f ca="1"/>
        <v>#NAME?</v>
      </c>
      <c r="B5701" s="2" t="s">
        <v>12</v>
      </c>
      <c r="C5701" s="2" t="s">
        <v>12</v>
      </c>
      <c r="D5701" s="2" t="s">
        <v>12</v>
      </c>
      <c r="E5701" s="2" t="s">
        <v>12</v>
      </c>
      <c r="F5701" s="2" t="s">
        <v>12</v>
      </c>
      <c r="G5701" s="2" t="s">
        <v>12</v>
      </c>
      <c r="H5701" s="2" t="s">
        <v>12</v>
      </c>
      <c r="I5701" s="2" t="s">
        <v>12</v>
      </c>
      <c r="J5701" s="2" t="s">
        <v>12</v>
      </c>
      <c r="K5701" s="2" t="s">
        <v>12</v>
      </c>
    </row>
    <row r="5702" spans="1:11" ht="12.5" x14ac:dyDescent="0.25">
      <c r="A5702" s="3" t="e">
        <f ca="1"/>
        <v>#NAME?</v>
      </c>
      <c r="B5702" s="2" t="s">
        <v>12</v>
      </c>
      <c r="C5702" s="2" t="s">
        <v>12</v>
      </c>
      <c r="D5702" s="2" t="s">
        <v>12</v>
      </c>
      <c r="E5702" s="2" t="s">
        <v>12</v>
      </c>
      <c r="F5702" s="2" t="s">
        <v>12</v>
      </c>
      <c r="G5702" s="2" t="s">
        <v>12</v>
      </c>
      <c r="H5702" s="2" t="s">
        <v>12</v>
      </c>
      <c r="I5702" s="2" t="s">
        <v>12</v>
      </c>
      <c r="J5702" s="2" t="s">
        <v>12</v>
      </c>
      <c r="K5702" s="2" t="s">
        <v>12</v>
      </c>
    </row>
    <row r="5703" spans="1:11" ht="12.5" x14ac:dyDescent="0.25">
      <c r="A5703" s="3" t="e">
        <f ca="1"/>
        <v>#NAME?</v>
      </c>
      <c r="B5703" s="2" t="s">
        <v>12</v>
      </c>
      <c r="C5703" s="2" t="s">
        <v>12</v>
      </c>
      <c r="D5703" s="2" t="s">
        <v>12</v>
      </c>
      <c r="E5703" s="2" t="s">
        <v>12</v>
      </c>
      <c r="F5703" s="2" t="s">
        <v>12</v>
      </c>
      <c r="G5703" s="2" t="s">
        <v>12</v>
      </c>
      <c r="H5703" s="2" t="s">
        <v>12</v>
      </c>
      <c r="I5703" s="2" t="s">
        <v>12</v>
      </c>
      <c r="J5703" s="2" t="s">
        <v>12</v>
      </c>
      <c r="K5703" s="2" t="s">
        <v>12</v>
      </c>
    </row>
    <row r="5704" spans="1:11" ht="12.5" x14ac:dyDescent="0.25">
      <c r="A5704" s="3" t="e">
        <f ca="1"/>
        <v>#NAME?</v>
      </c>
      <c r="B5704" s="2" t="s">
        <v>12</v>
      </c>
      <c r="C5704" s="2" t="s">
        <v>12</v>
      </c>
      <c r="D5704" s="2" t="s">
        <v>12</v>
      </c>
      <c r="E5704" s="2" t="s">
        <v>12</v>
      </c>
      <c r="F5704" s="2" t="s">
        <v>12</v>
      </c>
      <c r="G5704" s="2" t="s">
        <v>12</v>
      </c>
      <c r="H5704" s="2" t="s">
        <v>12</v>
      </c>
      <c r="I5704" s="2" t="s">
        <v>12</v>
      </c>
      <c r="J5704" s="2" t="s">
        <v>12</v>
      </c>
      <c r="K5704" s="2" t="s">
        <v>12</v>
      </c>
    </row>
    <row r="5705" spans="1:11" ht="12.5" x14ac:dyDescent="0.25">
      <c r="A5705" s="3" t="e">
        <f ca="1"/>
        <v>#NAME?</v>
      </c>
      <c r="B5705" s="2" t="s">
        <v>12</v>
      </c>
      <c r="C5705" s="2" t="s">
        <v>12</v>
      </c>
      <c r="D5705" s="2" t="s">
        <v>12</v>
      </c>
      <c r="E5705" s="2" t="s">
        <v>12</v>
      </c>
      <c r="F5705" s="2" t="s">
        <v>12</v>
      </c>
      <c r="G5705" s="2" t="s">
        <v>12</v>
      </c>
      <c r="H5705" s="2" t="s">
        <v>12</v>
      </c>
      <c r="I5705" s="2" t="s">
        <v>12</v>
      </c>
      <c r="J5705" s="2" t="s">
        <v>12</v>
      </c>
      <c r="K5705" s="2" t="s">
        <v>12</v>
      </c>
    </row>
    <row r="5706" spans="1:11" ht="12.5" x14ac:dyDescent="0.25">
      <c r="A5706" s="3" t="e">
        <f ca="1"/>
        <v>#NAME?</v>
      </c>
      <c r="B5706" s="2" t="s">
        <v>12</v>
      </c>
      <c r="C5706" s="2" t="s">
        <v>12</v>
      </c>
      <c r="D5706" s="2" t="s">
        <v>12</v>
      </c>
      <c r="E5706" s="2" t="s">
        <v>12</v>
      </c>
      <c r="F5706" s="2" t="s">
        <v>12</v>
      </c>
      <c r="G5706" s="2" t="s">
        <v>12</v>
      </c>
      <c r="H5706" s="2" t="s">
        <v>12</v>
      </c>
      <c r="I5706" s="2" t="s">
        <v>12</v>
      </c>
      <c r="J5706" s="2" t="s">
        <v>12</v>
      </c>
      <c r="K5706" s="2" t="s">
        <v>12</v>
      </c>
    </row>
    <row r="5707" spans="1:11" ht="12.5" x14ac:dyDescent="0.25">
      <c r="A5707" s="3" t="e">
        <f ca="1"/>
        <v>#NAME?</v>
      </c>
      <c r="B5707" s="2" t="s">
        <v>12</v>
      </c>
      <c r="C5707" s="2" t="s">
        <v>12</v>
      </c>
      <c r="D5707" s="2" t="s">
        <v>12</v>
      </c>
      <c r="E5707" s="2" t="s">
        <v>12</v>
      </c>
      <c r="F5707" s="2" t="s">
        <v>12</v>
      </c>
      <c r="G5707" s="2" t="s">
        <v>12</v>
      </c>
      <c r="H5707" s="2" t="s">
        <v>12</v>
      </c>
      <c r="I5707" s="2" t="s">
        <v>12</v>
      </c>
      <c r="J5707" s="2" t="s">
        <v>12</v>
      </c>
      <c r="K5707" s="2" t="s">
        <v>12</v>
      </c>
    </row>
    <row r="5708" spans="1:11" ht="12.5" x14ac:dyDescent="0.25">
      <c r="A5708" s="3" t="e">
        <f ca="1"/>
        <v>#NAME?</v>
      </c>
      <c r="B5708" s="2" t="s">
        <v>12</v>
      </c>
      <c r="C5708" s="2" t="s">
        <v>12</v>
      </c>
      <c r="D5708" s="2" t="s">
        <v>12</v>
      </c>
      <c r="E5708" s="2" t="s">
        <v>12</v>
      </c>
      <c r="F5708" s="2" t="s">
        <v>12</v>
      </c>
      <c r="G5708" s="2" t="s">
        <v>12</v>
      </c>
      <c r="H5708" s="2" t="s">
        <v>12</v>
      </c>
      <c r="I5708" s="2" t="s">
        <v>12</v>
      </c>
      <c r="J5708" s="2" t="s">
        <v>12</v>
      </c>
      <c r="K5708" s="2" t="s">
        <v>12</v>
      </c>
    </row>
    <row r="5709" spans="1:11" ht="12.5" x14ac:dyDescent="0.25">
      <c r="A5709" s="3" t="e">
        <f ca="1"/>
        <v>#NAME?</v>
      </c>
      <c r="B5709" s="2" t="s">
        <v>12</v>
      </c>
      <c r="C5709" s="2" t="s">
        <v>12</v>
      </c>
      <c r="D5709" s="2" t="s">
        <v>12</v>
      </c>
      <c r="E5709" s="2" t="s">
        <v>12</v>
      </c>
      <c r="F5709" s="2" t="s">
        <v>12</v>
      </c>
      <c r="G5709" s="2" t="s">
        <v>12</v>
      </c>
      <c r="H5709" s="2" t="s">
        <v>12</v>
      </c>
      <c r="I5709" s="2" t="s">
        <v>12</v>
      </c>
      <c r="J5709" s="2" t="s">
        <v>12</v>
      </c>
      <c r="K5709" s="2" t="s">
        <v>12</v>
      </c>
    </row>
    <row r="5710" spans="1:11" ht="12.5" x14ac:dyDescent="0.25">
      <c r="A5710" s="3" t="e">
        <f ca="1"/>
        <v>#NAME?</v>
      </c>
      <c r="B5710" s="2" t="s">
        <v>12</v>
      </c>
      <c r="C5710" s="2" t="s">
        <v>12</v>
      </c>
      <c r="D5710" s="2" t="s">
        <v>12</v>
      </c>
      <c r="E5710" s="2" t="s">
        <v>12</v>
      </c>
      <c r="F5710" s="2" t="s">
        <v>12</v>
      </c>
      <c r="G5710" s="2" t="s">
        <v>12</v>
      </c>
      <c r="H5710" s="2" t="s">
        <v>12</v>
      </c>
      <c r="I5710" s="2" t="s">
        <v>12</v>
      </c>
      <c r="J5710" s="2" t="s">
        <v>12</v>
      </c>
      <c r="K5710" s="2" t="s">
        <v>12</v>
      </c>
    </row>
    <row r="5711" spans="1:11" ht="12.5" x14ac:dyDescent="0.25">
      <c r="A5711" s="3" t="e">
        <f ca="1"/>
        <v>#NAME?</v>
      </c>
      <c r="B5711" s="2" t="s">
        <v>12</v>
      </c>
      <c r="C5711" s="2" t="s">
        <v>12</v>
      </c>
      <c r="D5711" s="2" t="s">
        <v>12</v>
      </c>
      <c r="E5711" s="2" t="s">
        <v>12</v>
      </c>
      <c r="F5711" s="2" t="s">
        <v>12</v>
      </c>
      <c r="G5711" s="2" t="s">
        <v>12</v>
      </c>
      <c r="H5711" s="2" t="s">
        <v>12</v>
      </c>
      <c r="I5711" s="2" t="s">
        <v>12</v>
      </c>
      <c r="J5711" s="2" t="s">
        <v>12</v>
      </c>
      <c r="K5711" s="2" t="s">
        <v>12</v>
      </c>
    </row>
    <row r="5712" spans="1:11" ht="12.5" x14ac:dyDescent="0.25">
      <c r="A5712" s="3" t="e">
        <f ca="1"/>
        <v>#NAME?</v>
      </c>
      <c r="B5712" s="2" t="s">
        <v>12</v>
      </c>
      <c r="C5712" s="2" t="s">
        <v>12</v>
      </c>
      <c r="D5712" s="2" t="s">
        <v>12</v>
      </c>
      <c r="E5712" s="2" t="s">
        <v>12</v>
      </c>
      <c r="F5712" s="2" t="s">
        <v>12</v>
      </c>
      <c r="G5712" s="2" t="s">
        <v>12</v>
      </c>
      <c r="H5712" s="2" t="s">
        <v>12</v>
      </c>
      <c r="I5712" s="2" t="s">
        <v>12</v>
      </c>
      <c r="J5712" s="2" t="s">
        <v>12</v>
      </c>
      <c r="K5712" s="2" t="s">
        <v>12</v>
      </c>
    </row>
    <row r="5713" spans="1:11" ht="12.5" x14ac:dyDescent="0.25">
      <c r="A5713" s="3" t="e">
        <f ca="1"/>
        <v>#NAME?</v>
      </c>
      <c r="B5713" s="2" t="s">
        <v>12</v>
      </c>
      <c r="C5713" s="2" t="s">
        <v>12</v>
      </c>
      <c r="D5713" s="2" t="s">
        <v>12</v>
      </c>
      <c r="E5713" s="2" t="s">
        <v>12</v>
      </c>
      <c r="F5713" s="2" t="s">
        <v>12</v>
      </c>
      <c r="G5713" s="2" t="s">
        <v>12</v>
      </c>
      <c r="H5713" s="2" t="s">
        <v>12</v>
      </c>
      <c r="I5713" s="2" t="s">
        <v>12</v>
      </c>
      <c r="J5713" s="2" t="s">
        <v>12</v>
      </c>
      <c r="K5713" s="2" t="s">
        <v>12</v>
      </c>
    </row>
    <row r="5714" spans="1:11" ht="12.5" x14ac:dyDescent="0.25">
      <c r="A5714" s="3" t="e">
        <f ca="1"/>
        <v>#NAME?</v>
      </c>
      <c r="B5714" s="2" t="s">
        <v>12</v>
      </c>
      <c r="C5714" s="2" t="s">
        <v>12</v>
      </c>
      <c r="D5714" s="2" t="s">
        <v>12</v>
      </c>
      <c r="E5714" s="2" t="s">
        <v>12</v>
      </c>
      <c r="F5714" s="2" t="s">
        <v>12</v>
      </c>
      <c r="G5714" s="2" t="s">
        <v>12</v>
      </c>
      <c r="H5714" s="2" t="s">
        <v>12</v>
      </c>
      <c r="I5714" s="2" t="s">
        <v>12</v>
      </c>
      <c r="J5714" s="2" t="s">
        <v>12</v>
      </c>
      <c r="K5714" s="2" t="s">
        <v>12</v>
      </c>
    </row>
    <row r="5715" spans="1:11" ht="12.5" x14ac:dyDescent="0.25">
      <c r="A5715" s="3" t="e">
        <f ca="1"/>
        <v>#NAME?</v>
      </c>
      <c r="B5715" s="2" t="s">
        <v>12</v>
      </c>
      <c r="C5715" s="2" t="s">
        <v>12</v>
      </c>
      <c r="D5715" s="2" t="s">
        <v>12</v>
      </c>
      <c r="E5715" s="2" t="s">
        <v>12</v>
      </c>
      <c r="F5715" s="2" t="s">
        <v>12</v>
      </c>
      <c r="G5715" s="2" t="s">
        <v>12</v>
      </c>
      <c r="H5715" s="2" t="s">
        <v>12</v>
      </c>
      <c r="I5715" s="2" t="s">
        <v>12</v>
      </c>
      <c r="J5715" s="2" t="s">
        <v>12</v>
      </c>
      <c r="K5715" s="2" t="s">
        <v>12</v>
      </c>
    </row>
    <row r="5716" spans="1:11" ht="12.5" x14ac:dyDescent="0.25">
      <c r="A5716" s="3" t="e">
        <f ca="1"/>
        <v>#NAME?</v>
      </c>
      <c r="B5716" s="2" t="s">
        <v>12</v>
      </c>
      <c r="C5716" s="2" t="s">
        <v>12</v>
      </c>
      <c r="D5716" s="2" t="s">
        <v>12</v>
      </c>
      <c r="E5716" s="2" t="s">
        <v>12</v>
      </c>
      <c r="F5716" s="2" t="s">
        <v>12</v>
      </c>
      <c r="G5716" s="2" t="s">
        <v>12</v>
      </c>
      <c r="H5716" s="2" t="s">
        <v>12</v>
      </c>
      <c r="I5716" s="2" t="s">
        <v>12</v>
      </c>
      <c r="J5716" s="2" t="s">
        <v>12</v>
      </c>
      <c r="K5716" s="2" t="s">
        <v>12</v>
      </c>
    </row>
    <row r="5717" spans="1:11" ht="12.5" x14ac:dyDescent="0.25">
      <c r="A5717" s="3" t="e">
        <f ca="1"/>
        <v>#NAME?</v>
      </c>
      <c r="B5717" s="2" t="s">
        <v>12</v>
      </c>
      <c r="C5717" s="2" t="s">
        <v>12</v>
      </c>
      <c r="D5717" s="2" t="s">
        <v>12</v>
      </c>
      <c r="E5717" s="2" t="s">
        <v>12</v>
      </c>
      <c r="F5717" s="2" t="s">
        <v>12</v>
      </c>
      <c r="G5717" s="2" t="s">
        <v>12</v>
      </c>
      <c r="H5717" s="2" t="s">
        <v>12</v>
      </c>
      <c r="I5717" s="2" t="s">
        <v>12</v>
      </c>
      <c r="J5717" s="2" t="s">
        <v>12</v>
      </c>
      <c r="K5717" s="2" t="s">
        <v>12</v>
      </c>
    </row>
    <row r="5718" spans="1:11" ht="12.5" x14ac:dyDescent="0.25">
      <c r="A5718" s="3" t="e">
        <f ca="1"/>
        <v>#NAME?</v>
      </c>
      <c r="B5718" s="2" t="s">
        <v>12</v>
      </c>
      <c r="C5718" s="2" t="s">
        <v>12</v>
      </c>
      <c r="D5718" s="2" t="s">
        <v>12</v>
      </c>
      <c r="E5718" s="2" t="s">
        <v>12</v>
      </c>
      <c r="F5718" s="2" t="s">
        <v>12</v>
      </c>
      <c r="G5718" s="2" t="s">
        <v>12</v>
      </c>
      <c r="H5718" s="2" t="s">
        <v>12</v>
      </c>
      <c r="I5718" s="2" t="s">
        <v>12</v>
      </c>
      <c r="J5718" s="2" t="s">
        <v>12</v>
      </c>
      <c r="K5718" s="2" t="s">
        <v>12</v>
      </c>
    </row>
    <row r="5719" spans="1:11" ht="12.5" x14ac:dyDescent="0.25">
      <c r="A5719" s="3" t="e">
        <f ca="1"/>
        <v>#NAME?</v>
      </c>
      <c r="B5719" s="2" t="s">
        <v>12</v>
      </c>
      <c r="C5719" s="2" t="s">
        <v>12</v>
      </c>
      <c r="D5719" s="2" t="s">
        <v>12</v>
      </c>
      <c r="E5719" s="2" t="s">
        <v>12</v>
      </c>
      <c r="F5719" s="2" t="s">
        <v>12</v>
      </c>
      <c r="G5719" s="2" t="s">
        <v>12</v>
      </c>
      <c r="H5719" s="2" t="s">
        <v>12</v>
      </c>
      <c r="I5719" s="2" t="s">
        <v>12</v>
      </c>
      <c r="J5719" s="2" t="s">
        <v>12</v>
      </c>
      <c r="K5719" s="2" t="s">
        <v>12</v>
      </c>
    </row>
    <row r="5720" spans="1:11" ht="12.5" x14ac:dyDescent="0.25">
      <c r="A5720" s="3" t="e">
        <f ca="1"/>
        <v>#NAME?</v>
      </c>
      <c r="B5720" s="2" t="s">
        <v>12</v>
      </c>
      <c r="C5720" s="2" t="s">
        <v>12</v>
      </c>
      <c r="D5720" s="2" t="s">
        <v>12</v>
      </c>
      <c r="E5720" s="2" t="s">
        <v>12</v>
      </c>
      <c r="F5720" s="2" t="s">
        <v>12</v>
      </c>
      <c r="G5720" s="2" t="s">
        <v>12</v>
      </c>
      <c r="H5720" s="2" t="s">
        <v>12</v>
      </c>
      <c r="I5720" s="2" t="s">
        <v>12</v>
      </c>
      <c r="J5720" s="2" t="s">
        <v>12</v>
      </c>
      <c r="K5720" s="2" t="s">
        <v>12</v>
      </c>
    </row>
    <row r="5721" spans="1:11" ht="12.5" x14ac:dyDescent="0.25">
      <c r="A5721" s="3" t="e">
        <f ca="1"/>
        <v>#NAME?</v>
      </c>
      <c r="B5721" s="2" t="s">
        <v>12</v>
      </c>
      <c r="C5721" s="2" t="s">
        <v>12</v>
      </c>
      <c r="D5721" s="2" t="s">
        <v>12</v>
      </c>
      <c r="E5721" s="2" t="s">
        <v>12</v>
      </c>
      <c r="F5721" s="2" t="s">
        <v>12</v>
      </c>
      <c r="G5721" s="2" t="s">
        <v>12</v>
      </c>
      <c r="H5721" s="2" t="s">
        <v>12</v>
      </c>
      <c r="I5721" s="2" t="s">
        <v>12</v>
      </c>
      <c r="J5721" s="2" t="s">
        <v>12</v>
      </c>
      <c r="K5721" s="2" t="s">
        <v>12</v>
      </c>
    </row>
    <row r="5722" spans="1:11" ht="12.5" x14ac:dyDescent="0.25">
      <c r="A5722" s="3" t="e">
        <f ca="1"/>
        <v>#NAME?</v>
      </c>
      <c r="B5722" s="2" t="s">
        <v>12</v>
      </c>
      <c r="C5722" s="2" t="s">
        <v>12</v>
      </c>
      <c r="D5722" s="2" t="s">
        <v>12</v>
      </c>
      <c r="E5722" s="2" t="s">
        <v>12</v>
      </c>
      <c r="F5722" s="2" t="s">
        <v>12</v>
      </c>
      <c r="G5722" s="2" t="s">
        <v>12</v>
      </c>
      <c r="H5722" s="2" t="s">
        <v>12</v>
      </c>
      <c r="I5722" s="2" t="s">
        <v>12</v>
      </c>
      <c r="J5722" s="2" t="s">
        <v>12</v>
      </c>
      <c r="K5722" s="2" t="s">
        <v>12</v>
      </c>
    </row>
    <row r="5723" spans="1:11" ht="12.5" x14ac:dyDescent="0.25">
      <c r="A5723" s="3" t="e">
        <f ca="1"/>
        <v>#NAME?</v>
      </c>
      <c r="B5723" s="2" t="s">
        <v>12</v>
      </c>
      <c r="C5723" s="2" t="s">
        <v>12</v>
      </c>
      <c r="D5723" s="2" t="s">
        <v>12</v>
      </c>
      <c r="E5723" s="2" t="s">
        <v>12</v>
      </c>
      <c r="F5723" s="2" t="s">
        <v>12</v>
      </c>
      <c r="G5723" s="2" t="s">
        <v>12</v>
      </c>
      <c r="H5723" s="2" t="s">
        <v>12</v>
      </c>
      <c r="I5723" s="2" t="s">
        <v>12</v>
      </c>
      <c r="J5723" s="2" t="s">
        <v>12</v>
      </c>
      <c r="K5723" s="2" t="s">
        <v>12</v>
      </c>
    </row>
    <row r="5724" spans="1:11" ht="12.5" x14ac:dyDescent="0.25">
      <c r="A5724" s="3" t="e">
        <f ca="1"/>
        <v>#NAME?</v>
      </c>
      <c r="B5724" s="2" t="s">
        <v>12</v>
      </c>
      <c r="C5724" s="2" t="s">
        <v>12</v>
      </c>
      <c r="D5724" s="2" t="s">
        <v>12</v>
      </c>
      <c r="E5724" s="2" t="s">
        <v>12</v>
      </c>
      <c r="F5724" s="2" t="s">
        <v>12</v>
      </c>
      <c r="G5724" s="2" t="s">
        <v>12</v>
      </c>
      <c r="H5724" s="2" t="s">
        <v>12</v>
      </c>
      <c r="I5724" s="2" t="s">
        <v>12</v>
      </c>
      <c r="J5724" s="2" t="s">
        <v>12</v>
      </c>
      <c r="K5724" s="2" t="s">
        <v>12</v>
      </c>
    </row>
    <row r="5725" spans="1:11" ht="12.5" x14ac:dyDescent="0.25">
      <c r="A5725" s="3" t="e">
        <f ca="1"/>
        <v>#NAME?</v>
      </c>
      <c r="B5725" s="2" t="s">
        <v>12</v>
      </c>
      <c r="C5725" s="2" t="s">
        <v>12</v>
      </c>
      <c r="D5725" s="2" t="s">
        <v>12</v>
      </c>
      <c r="E5725" s="2" t="s">
        <v>12</v>
      </c>
      <c r="F5725" s="2" t="s">
        <v>12</v>
      </c>
      <c r="G5725" s="2" t="s">
        <v>12</v>
      </c>
      <c r="H5725" s="2" t="s">
        <v>12</v>
      </c>
      <c r="I5725" s="2" t="s">
        <v>12</v>
      </c>
      <c r="J5725" s="2" t="s">
        <v>12</v>
      </c>
      <c r="K5725" s="2" t="s">
        <v>12</v>
      </c>
    </row>
    <row r="5726" spans="1:11" ht="12.5" x14ac:dyDescent="0.25">
      <c r="A5726" s="3" t="e">
        <f ca="1"/>
        <v>#NAME?</v>
      </c>
      <c r="B5726" s="2" t="s">
        <v>12</v>
      </c>
      <c r="C5726" s="2" t="s">
        <v>12</v>
      </c>
      <c r="D5726" s="2" t="s">
        <v>12</v>
      </c>
      <c r="E5726" s="2" t="s">
        <v>12</v>
      </c>
      <c r="F5726" s="2" t="s">
        <v>12</v>
      </c>
      <c r="G5726" s="2" t="s">
        <v>12</v>
      </c>
      <c r="H5726" s="2" t="s">
        <v>12</v>
      </c>
      <c r="I5726" s="2" t="s">
        <v>12</v>
      </c>
      <c r="J5726" s="2" t="s">
        <v>12</v>
      </c>
      <c r="K5726" s="2" t="s">
        <v>12</v>
      </c>
    </row>
    <row r="5727" spans="1:11" ht="12.5" x14ac:dyDescent="0.25">
      <c r="A5727" s="3" t="e">
        <f ca="1"/>
        <v>#NAME?</v>
      </c>
      <c r="B5727" s="2" t="s">
        <v>12</v>
      </c>
      <c r="C5727" s="2" t="s">
        <v>12</v>
      </c>
      <c r="D5727" s="2" t="s">
        <v>12</v>
      </c>
      <c r="E5727" s="2" t="s">
        <v>12</v>
      </c>
      <c r="F5727" s="2" t="s">
        <v>12</v>
      </c>
      <c r="G5727" s="2" t="s">
        <v>12</v>
      </c>
      <c r="H5727" s="2" t="s">
        <v>12</v>
      </c>
      <c r="I5727" s="2" t="s">
        <v>12</v>
      </c>
      <c r="J5727" s="2" t="s">
        <v>12</v>
      </c>
      <c r="K5727" s="2" t="s">
        <v>12</v>
      </c>
    </row>
    <row r="5728" spans="1:11" ht="12.5" x14ac:dyDescent="0.25">
      <c r="A5728" s="3" t="e">
        <f ca="1"/>
        <v>#NAME?</v>
      </c>
      <c r="B5728" s="2" t="s">
        <v>12</v>
      </c>
      <c r="C5728" s="2" t="s">
        <v>12</v>
      </c>
      <c r="D5728" s="2" t="s">
        <v>12</v>
      </c>
      <c r="E5728" s="2" t="s">
        <v>12</v>
      </c>
      <c r="F5728" s="2" t="s">
        <v>12</v>
      </c>
      <c r="G5728" s="2" t="s">
        <v>12</v>
      </c>
      <c r="H5728" s="2" t="s">
        <v>12</v>
      </c>
      <c r="I5728" s="2" t="s">
        <v>12</v>
      </c>
      <c r="J5728" s="2" t="s">
        <v>12</v>
      </c>
      <c r="K5728" s="2" t="s">
        <v>12</v>
      </c>
    </row>
    <row r="5729" spans="1:11" ht="12.5" x14ac:dyDescent="0.25">
      <c r="A5729" s="3" t="e">
        <f ca="1"/>
        <v>#NAME?</v>
      </c>
      <c r="B5729" s="2" t="s">
        <v>12</v>
      </c>
      <c r="C5729" s="2" t="s">
        <v>12</v>
      </c>
      <c r="D5729" s="2" t="s">
        <v>12</v>
      </c>
      <c r="E5729" s="2" t="s">
        <v>12</v>
      </c>
      <c r="F5729" s="2" t="s">
        <v>12</v>
      </c>
      <c r="G5729" s="2" t="s">
        <v>12</v>
      </c>
      <c r="H5729" s="2" t="s">
        <v>12</v>
      </c>
      <c r="I5729" s="2" t="s">
        <v>12</v>
      </c>
      <c r="J5729" s="2" t="s">
        <v>12</v>
      </c>
      <c r="K5729" s="2" t="s">
        <v>12</v>
      </c>
    </row>
    <row r="5730" spans="1:11" ht="12.5" x14ac:dyDescent="0.25">
      <c r="A5730" s="3" t="e">
        <f ca="1"/>
        <v>#NAME?</v>
      </c>
      <c r="B5730" s="2" t="s">
        <v>12</v>
      </c>
      <c r="C5730" s="2" t="s">
        <v>12</v>
      </c>
      <c r="D5730" s="2" t="s">
        <v>12</v>
      </c>
      <c r="E5730" s="2" t="s">
        <v>12</v>
      </c>
      <c r="F5730" s="2" t="s">
        <v>12</v>
      </c>
      <c r="G5730" s="2" t="s">
        <v>12</v>
      </c>
      <c r="H5730" s="2" t="s">
        <v>12</v>
      </c>
      <c r="I5730" s="2" t="s">
        <v>12</v>
      </c>
      <c r="J5730" s="2" t="s">
        <v>12</v>
      </c>
      <c r="K5730" s="2" t="s">
        <v>12</v>
      </c>
    </row>
    <row r="5731" spans="1:11" ht="12.5" x14ac:dyDescent="0.25">
      <c r="A5731" s="3" t="e">
        <f ca="1"/>
        <v>#NAME?</v>
      </c>
      <c r="B5731" s="2" t="s">
        <v>12</v>
      </c>
      <c r="C5731" s="2" t="s">
        <v>12</v>
      </c>
      <c r="D5731" s="2" t="s">
        <v>12</v>
      </c>
      <c r="E5731" s="2" t="s">
        <v>12</v>
      </c>
      <c r="F5731" s="2" t="s">
        <v>12</v>
      </c>
      <c r="G5731" s="2" t="s">
        <v>12</v>
      </c>
      <c r="H5731" s="2" t="s">
        <v>12</v>
      </c>
      <c r="I5731" s="2" t="s">
        <v>12</v>
      </c>
      <c r="J5731" s="2" t="s">
        <v>12</v>
      </c>
      <c r="K5731" s="2" t="s">
        <v>12</v>
      </c>
    </row>
    <row r="5732" spans="1:11" ht="12.5" x14ac:dyDescent="0.25">
      <c r="A5732" s="3" t="e">
        <f ca="1"/>
        <v>#NAME?</v>
      </c>
      <c r="B5732" s="2" t="s">
        <v>12</v>
      </c>
      <c r="C5732" s="2" t="s">
        <v>12</v>
      </c>
      <c r="D5732" s="2" t="s">
        <v>12</v>
      </c>
      <c r="E5732" s="2" t="s">
        <v>12</v>
      </c>
      <c r="F5732" s="2" t="s">
        <v>12</v>
      </c>
      <c r="G5732" s="2" t="s">
        <v>12</v>
      </c>
      <c r="H5732" s="2" t="s">
        <v>12</v>
      </c>
      <c r="I5732" s="2" t="s">
        <v>12</v>
      </c>
      <c r="J5732" s="2" t="s">
        <v>12</v>
      </c>
      <c r="K5732" s="2" t="s">
        <v>12</v>
      </c>
    </row>
    <row r="5733" spans="1:11" ht="12.5" x14ac:dyDescent="0.25">
      <c r="A5733" s="3" t="e">
        <f ca="1"/>
        <v>#NAME?</v>
      </c>
      <c r="B5733" s="2" t="s">
        <v>12</v>
      </c>
      <c r="C5733" s="2" t="s">
        <v>12</v>
      </c>
      <c r="D5733" s="2" t="s">
        <v>12</v>
      </c>
      <c r="E5733" s="2" t="s">
        <v>12</v>
      </c>
      <c r="F5733" s="2" t="s">
        <v>12</v>
      </c>
      <c r="G5733" s="2" t="s">
        <v>12</v>
      </c>
      <c r="H5733" s="2" t="s">
        <v>12</v>
      </c>
      <c r="I5733" s="2" t="s">
        <v>12</v>
      </c>
      <c r="J5733" s="2" t="s">
        <v>12</v>
      </c>
      <c r="K5733" s="2" t="s">
        <v>12</v>
      </c>
    </row>
    <row r="5734" spans="1:11" ht="12.5" x14ac:dyDescent="0.25">
      <c r="A5734" s="3" t="e">
        <f ca="1"/>
        <v>#NAME?</v>
      </c>
      <c r="B5734" s="2" t="s">
        <v>12</v>
      </c>
      <c r="C5734" s="2" t="s">
        <v>12</v>
      </c>
      <c r="D5734" s="2" t="s">
        <v>12</v>
      </c>
      <c r="E5734" s="2" t="s">
        <v>12</v>
      </c>
      <c r="F5734" s="2" t="s">
        <v>12</v>
      </c>
      <c r="G5734" s="2" t="s">
        <v>12</v>
      </c>
      <c r="H5734" s="2" t="s">
        <v>12</v>
      </c>
      <c r="I5734" s="2" t="s">
        <v>12</v>
      </c>
      <c r="J5734" s="2" t="s">
        <v>12</v>
      </c>
      <c r="K5734" s="2" t="s">
        <v>12</v>
      </c>
    </row>
    <row r="5735" spans="1:11" ht="12.5" x14ac:dyDescent="0.25">
      <c r="A5735" s="3" t="e">
        <f ca="1"/>
        <v>#NAME?</v>
      </c>
      <c r="B5735" s="2" t="s">
        <v>12</v>
      </c>
      <c r="C5735" s="2" t="s">
        <v>12</v>
      </c>
      <c r="D5735" s="2" t="s">
        <v>12</v>
      </c>
      <c r="E5735" s="2" t="s">
        <v>12</v>
      </c>
      <c r="F5735" s="2" t="s">
        <v>12</v>
      </c>
      <c r="G5735" s="2" t="s">
        <v>12</v>
      </c>
      <c r="H5735" s="2" t="s">
        <v>12</v>
      </c>
      <c r="I5735" s="2" t="s">
        <v>12</v>
      </c>
      <c r="J5735" s="2" t="s">
        <v>12</v>
      </c>
      <c r="K5735" s="2" t="s">
        <v>12</v>
      </c>
    </row>
    <row r="5736" spans="1:11" ht="12.5" x14ac:dyDescent="0.25">
      <c r="A5736" s="3" t="e">
        <f ca="1"/>
        <v>#NAME?</v>
      </c>
      <c r="B5736" s="2" t="s">
        <v>12</v>
      </c>
      <c r="C5736" s="2" t="s">
        <v>12</v>
      </c>
      <c r="D5736" s="2" t="s">
        <v>12</v>
      </c>
      <c r="E5736" s="2" t="s">
        <v>12</v>
      </c>
      <c r="F5736" s="2" t="s">
        <v>12</v>
      </c>
      <c r="G5736" s="2" t="s">
        <v>12</v>
      </c>
      <c r="H5736" s="2" t="s">
        <v>12</v>
      </c>
      <c r="I5736" s="2" t="s">
        <v>12</v>
      </c>
      <c r="J5736" s="2" t="s">
        <v>12</v>
      </c>
      <c r="K5736" s="2" t="s">
        <v>12</v>
      </c>
    </row>
    <row r="5737" spans="1:11" ht="12.5" x14ac:dyDescent="0.25">
      <c r="A5737" s="3" t="e">
        <f ca="1"/>
        <v>#NAME?</v>
      </c>
      <c r="B5737" s="2" t="s">
        <v>12</v>
      </c>
      <c r="C5737" s="2" t="s">
        <v>12</v>
      </c>
      <c r="D5737" s="2" t="s">
        <v>12</v>
      </c>
      <c r="E5737" s="2" t="s">
        <v>12</v>
      </c>
      <c r="F5737" s="2" t="s">
        <v>12</v>
      </c>
      <c r="G5737" s="2" t="s">
        <v>12</v>
      </c>
      <c r="H5737" s="2" t="s">
        <v>12</v>
      </c>
      <c r="I5737" s="2" t="s">
        <v>12</v>
      </c>
      <c r="J5737" s="2" t="s">
        <v>12</v>
      </c>
      <c r="K5737" s="2" t="s">
        <v>12</v>
      </c>
    </row>
    <row r="5738" spans="1:11" ht="12.5" x14ac:dyDescent="0.25">
      <c r="A5738" s="3" t="e">
        <f ca="1"/>
        <v>#NAME?</v>
      </c>
      <c r="B5738" s="2" t="s">
        <v>12</v>
      </c>
      <c r="C5738" s="2" t="s">
        <v>12</v>
      </c>
      <c r="D5738" s="2" t="s">
        <v>12</v>
      </c>
      <c r="E5738" s="2" t="s">
        <v>12</v>
      </c>
      <c r="F5738" s="2" t="s">
        <v>12</v>
      </c>
      <c r="G5738" s="2" t="s">
        <v>12</v>
      </c>
      <c r="H5738" s="2" t="s">
        <v>12</v>
      </c>
      <c r="I5738" s="2" t="s">
        <v>12</v>
      </c>
      <c r="J5738" s="2" t="s">
        <v>12</v>
      </c>
      <c r="K5738" s="2" t="s">
        <v>12</v>
      </c>
    </row>
    <row r="5739" spans="1:11" ht="12.5" x14ac:dyDescent="0.25">
      <c r="A5739" s="3" t="e">
        <f ca="1"/>
        <v>#NAME?</v>
      </c>
      <c r="B5739" s="2" t="s">
        <v>12</v>
      </c>
      <c r="C5739" s="2" t="s">
        <v>12</v>
      </c>
      <c r="D5739" s="2" t="s">
        <v>12</v>
      </c>
      <c r="E5739" s="2" t="s">
        <v>12</v>
      </c>
      <c r="F5739" s="2" t="s">
        <v>12</v>
      </c>
      <c r="G5739" s="2" t="s">
        <v>12</v>
      </c>
      <c r="H5739" s="2" t="s">
        <v>12</v>
      </c>
      <c r="I5739" s="2" t="s">
        <v>12</v>
      </c>
      <c r="J5739" s="2" t="s">
        <v>12</v>
      </c>
      <c r="K5739" s="2" t="s">
        <v>12</v>
      </c>
    </row>
    <row r="5740" spans="1:11" ht="12.5" x14ac:dyDescent="0.25">
      <c r="A5740" s="3" t="e">
        <f ca="1"/>
        <v>#NAME?</v>
      </c>
      <c r="B5740" s="2" t="s">
        <v>12</v>
      </c>
      <c r="C5740" s="2" t="s">
        <v>12</v>
      </c>
      <c r="D5740" s="2" t="s">
        <v>12</v>
      </c>
      <c r="E5740" s="2" t="s">
        <v>12</v>
      </c>
      <c r="F5740" s="2" t="s">
        <v>12</v>
      </c>
      <c r="G5740" s="2" t="s">
        <v>12</v>
      </c>
      <c r="H5740" s="2" t="s">
        <v>12</v>
      </c>
      <c r="I5740" s="2" t="s">
        <v>12</v>
      </c>
      <c r="J5740" s="2" t="s">
        <v>12</v>
      </c>
      <c r="K5740" s="2" t="s">
        <v>12</v>
      </c>
    </row>
    <row r="5741" spans="1:11" ht="12.5" x14ac:dyDescent="0.25">
      <c r="A5741" s="3" t="e">
        <f ca="1"/>
        <v>#NAME?</v>
      </c>
      <c r="B5741" s="2" t="s">
        <v>12</v>
      </c>
      <c r="C5741" s="2" t="s">
        <v>12</v>
      </c>
      <c r="D5741" s="2" t="s">
        <v>12</v>
      </c>
      <c r="E5741" s="2" t="s">
        <v>12</v>
      </c>
      <c r="F5741" s="2" t="s">
        <v>12</v>
      </c>
      <c r="G5741" s="2" t="s">
        <v>12</v>
      </c>
      <c r="H5741" s="2" t="s">
        <v>12</v>
      </c>
      <c r="I5741" s="2" t="s">
        <v>12</v>
      </c>
      <c r="J5741" s="2" t="s">
        <v>12</v>
      </c>
      <c r="K5741" s="2" t="s">
        <v>12</v>
      </c>
    </row>
    <row r="5742" spans="1:11" ht="12.5" x14ac:dyDescent="0.25">
      <c r="A5742" s="3" t="e">
        <f ca="1"/>
        <v>#NAME?</v>
      </c>
      <c r="B5742" s="2" t="s">
        <v>12</v>
      </c>
      <c r="C5742" s="2" t="s">
        <v>12</v>
      </c>
      <c r="D5742" s="2" t="s">
        <v>12</v>
      </c>
      <c r="E5742" s="2" t="s">
        <v>12</v>
      </c>
      <c r="F5742" s="2" t="s">
        <v>12</v>
      </c>
      <c r="G5742" s="2" t="s">
        <v>12</v>
      </c>
      <c r="H5742" s="2" t="s">
        <v>12</v>
      </c>
      <c r="I5742" s="2" t="s">
        <v>12</v>
      </c>
      <c r="J5742" s="2" t="s">
        <v>12</v>
      </c>
      <c r="K5742" s="2" t="s">
        <v>12</v>
      </c>
    </row>
    <row r="5743" spans="1:11" ht="12.5" x14ac:dyDescent="0.25">
      <c r="A5743" s="3" t="e">
        <f ca="1"/>
        <v>#NAME?</v>
      </c>
      <c r="B5743" s="2" t="s">
        <v>12</v>
      </c>
      <c r="C5743" s="2" t="s">
        <v>12</v>
      </c>
      <c r="D5743" s="2" t="s">
        <v>12</v>
      </c>
      <c r="E5743" s="2" t="s">
        <v>12</v>
      </c>
      <c r="F5743" s="2" t="s">
        <v>12</v>
      </c>
      <c r="G5743" s="2" t="s">
        <v>12</v>
      </c>
      <c r="H5743" s="2" t="s">
        <v>12</v>
      </c>
      <c r="I5743" s="2" t="s">
        <v>12</v>
      </c>
      <c r="J5743" s="2" t="s">
        <v>12</v>
      </c>
      <c r="K5743" s="2" t="s">
        <v>12</v>
      </c>
    </row>
    <row r="5744" spans="1:11" ht="12.5" x14ac:dyDescent="0.25">
      <c r="A5744" s="3" t="e">
        <f ca="1"/>
        <v>#NAME?</v>
      </c>
      <c r="B5744" s="2" t="s">
        <v>12</v>
      </c>
      <c r="C5744" s="2" t="s">
        <v>12</v>
      </c>
      <c r="D5744" s="2" t="s">
        <v>12</v>
      </c>
      <c r="E5744" s="2" t="s">
        <v>12</v>
      </c>
      <c r="F5744" s="2" t="s">
        <v>12</v>
      </c>
      <c r="G5744" s="2" t="s">
        <v>12</v>
      </c>
      <c r="H5744" s="2" t="s">
        <v>12</v>
      </c>
      <c r="I5744" s="2" t="s">
        <v>12</v>
      </c>
      <c r="J5744" s="2" t="s">
        <v>12</v>
      </c>
      <c r="K5744" s="2" t="s">
        <v>12</v>
      </c>
    </row>
    <row r="5745" spans="1:11" ht="12.5" x14ac:dyDescent="0.25">
      <c r="A5745" s="3" t="e">
        <f ca="1"/>
        <v>#NAME?</v>
      </c>
      <c r="B5745" s="2" t="s">
        <v>12</v>
      </c>
      <c r="C5745" s="2" t="s">
        <v>12</v>
      </c>
      <c r="D5745" s="2" t="s">
        <v>12</v>
      </c>
      <c r="E5745" s="2" t="s">
        <v>12</v>
      </c>
      <c r="F5745" s="2" t="s">
        <v>12</v>
      </c>
      <c r="G5745" s="2" t="s">
        <v>12</v>
      </c>
      <c r="H5745" s="2" t="s">
        <v>12</v>
      </c>
      <c r="I5745" s="2" t="s">
        <v>12</v>
      </c>
      <c r="J5745" s="2" t="s">
        <v>12</v>
      </c>
      <c r="K5745" s="2" t="s">
        <v>12</v>
      </c>
    </row>
    <row r="5746" spans="1:11" ht="12.5" x14ac:dyDescent="0.25">
      <c r="A5746" s="3" t="e">
        <f ca="1"/>
        <v>#NAME?</v>
      </c>
      <c r="B5746" s="2" t="s">
        <v>12</v>
      </c>
      <c r="C5746" s="2" t="s">
        <v>12</v>
      </c>
      <c r="D5746" s="2" t="s">
        <v>12</v>
      </c>
      <c r="E5746" s="2" t="s">
        <v>12</v>
      </c>
      <c r="F5746" s="2" t="s">
        <v>12</v>
      </c>
      <c r="G5746" s="2" t="s">
        <v>12</v>
      </c>
      <c r="H5746" s="2" t="s">
        <v>12</v>
      </c>
      <c r="I5746" s="2" t="s">
        <v>12</v>
      </c>
      <c r="J5746" s="2" t="s">
        <v>12</v>
      </c>
      <c r="K5746" s="2" t="s">
        <v>12</v>
      </c>
    </row>
    <row r="5747" spans="1:11" ht="12.5" x14ac:dyDescent="0.25">
      <c r="A5747" s="3" t="e">
        <f ca="1"/>
        <v>#NAME?</v>
      </c>
      <c r="B5747" s="2" t="s">
        <v>12</v>
      </c>
      <c r="C5747" s="2" t="s">
        <v>12</v>
      </c>
      <c r="D5747" s="2" t="s">
        <v>12</v>
      </c>
      <c r="E5747" s="2" t="s">
        <v>12</v>
      </c>
      <c r="F5747" s="2" t="s">
        <v>12</v>
      </c>
      <c r="G5747" s="2" t="s">
        <v>12</v>
      </c>
      <c r="H5747" s="2" t="s">
        <v>12</v>
      </c>
      <c r="I5747" s="2" t="s">
        <v>12</v>
      </c>
      <c r="J5747" s="2" t="s">
        <v>12</v>
      </c>
      <c r="K5747" s="2" t="s">
        <v>12</v>
      </c>
    </row>
    <row r="5748" spans="1:11" ht="12.5" x14ac:dyDescent="0.25">
      <c r="A5748" s="3" t="e">
        <f ca="1"/>
        <v>#NAME?</v>
      </c>
      <c r="B5748" s="2" t="s">
        <v>12</v>
      </c>
      <c r="C5748" s="2" t="s">
        <v>12</v>
      </c>
      <c r="D5748" s="2" t="s">
        <v>12</v>
      </c>
      <c r="E5748" s="2" t="s">
        <v>12</v>
      </c>
      <c r="F5748" s="2" t="s">
        <v>12</v>
      </c>
      <c r="G5748" s="2" t="s">
        <v>12</v>
      </c>
      <c r="H5748" s="2" t="s">
        <v>12</v>
      </c>
      <c r="I5748" s="2" t="s">
        <v>12</v>
      </c>
      <c r="J5748" s="2" t="s">
        <v>12</v>
      </c>
      <c r="K5748" s="2" t="s">
        <v>12</v>
      </c>
    </row>
    <row r="5749" spans="1:11" ht="12.5" x14ac:dyDescent="0.25">
      <c r="A5749" s="3" t="e">
        <f ca="1"/>
        <v>#NAME?</v>
      </c>
      <c r="B5749" s="2" t="s">
        <v>12</v>
      </c>
      <c r="C5749" s="2" t="s">
        <v>12</v>
      </c>
      <c r="D5749" s="2" t="s">
        <v>12</v>
      </c>
      <c r="E5749" s="2" t="s">
        <v>12</v>
      </c>
      <c r="F5749" s="2" t="s">
        <v>12</v>
      </c>
      <c r="G5749" s="2" t="s">
        <v>12</v>
      </c>
      <c r="H5749" s="2" t="s">
        <v>12</v>
      </c>
      <c r="I5749" s="2" t="s">
        <v>12</v>
      </c>
      <c r="J5749" s="2" t="s">
        <v>12</v>
      </c>
      <c r="K5749" s="2" t="s">
        <v>12</v>
      </c>
    </row>
    <row r="5750" spans="1:11" ht="12.5" x14ac:dyDescent="0.25">
      <c r="A5750" s="3" t="e">
        <f ca="1"/>
        <v>#NAME?</v>
      </c>
      <c r="B5750" s="2" t="s">
        <v>12</v>
      </c>
      <c r="C5750" s="2" t="s">
        <v>12</v>
      </c>
      <c r="D5750" s="2" t="s">
        <v>12</v>
      </c>
      <c r="E5750" s="2" t="s">
        <v>12</v>
      </c>
      <c r="F5750" s="2" t="s">
        <v>12</v>
      </c>
      <c r="G5750" s="2" t="s">
        <v>12</v>
      </c>
      <c r="H5750" s="2" t="s">
        <v>12</v>
      </c>
      <c r="I5750" s="2" t="s">
        <v>12</v>
      </c>
      <c r="J5750" s="2" t="s">
        <v>12</v>
      </c>
      <c r="K5750" s="2" t="s">
        <v>12</v>
      </c>
    </row>
    <row r="5751" spans="1:11" ht="12.5" x14ac:dyDescent="0.25">
      <c r="A5751" s="3" t="e">
        <f ca="1"/>
        <v>#NAME?</v>
      </c>
      <c r="B5751" s="2" t="s">
        <v>12</v>
      </c>
      <c r="C5751" s="2" t="s">
        <v>12</v>
      </c>
      <c r="D5751" s="2" t="s">
        <v>12</v>
      </c>
      <c r="E5751" s="2" t="s">
        <v>12</v>
      </c>
      <c r="F5751" s="2" t="s">
        <v>12</v>
      </c>
      <c r="G5751" s="2" t="s">
        <v>12</v>
      </c>
      <c r="H5751" s="2" t="s">
        <v>12</v>
      </c>
      <c r="I5751" s="2" t="s">
        <v>12</v>
      </c>
      <c r="J5751" s="2" t="s">
        <v>12</v>
      </c>
      <c r="K5751" s="2" t="s">
        <v>12</v>
      </c>
    </row>
    <row r="5752" spans="1:11" ht="12.5" x14ac:dyDescent="0.25">
      <c r="A5752" s="3" t="e">
        <f ca="1"/>
        <v>#NAME?</v>
      </c>
      <c r="B5752" s="2" t="s">
        <v>12</v>
      </c>
      <c r="C5752" s="2" t="s">
        <v>12</v>
      </c>
      <c r="D5752" s="2" t="s">
        <v>12</v>
      </c>
      <c r="E5752" s="2" t="s">
        <v>12</v>
      </c>
      <c r="F5752" s="2" t="s">
        <v>12</v>
      </c>
      <c r="G5752" s="2" t="s">
        <v>12</v>
      </c>
      <c r="H5752" s="2" t="s">
        <v>12</v>
      </c>
      <c r="I5752" s="2" t="s">
        <v>12</v>
      </c>
      <c r="J5752" s="2" t="s">
        <v>12</v>
      </c>
      <c r="K5752" s="2" t="s">
        <v>12</v>
      </c>
    </row>
    <row r="5753" spans="1:11" ht="12.5" x14ac:dyDescent="0.25">
      <c r="A5753" s="3" t="e">
        <f ca="1"/>
        <v>#NAME?</v>
      </c>
      <c r="B5753" s="2" t="s">
        <v>12</v>
      </c>
      <c r="C5753" s="2" t="s">
        <v>12</v>
      </c>
      <c r="D5753" s="2" t="s">
        <v>12</v>
      </c>
      <c r="E5753" s="2" t="s">
        <v>12</v>
      </c>
      <c r="F5753" s="2" t="s">
        <v>12</v>
      </c>
      <c r="G5753" s="2" t="s">
        <v>12</v>
      </c>
      <c r="H5753" s="2" t="s">
        <v>12</v>
      </c>
      <c r="I5753" s="2" t="s">
        <v>12</v>
      </c>
      <c r="J5753" s="2" t="s">
        <v>12</v>
      </c>
      <c r="K5753" s="2" t="s">
        <v>12</v>
      </c>
    </row>
    <row r="5754" spans="1:11" ht="12.5" x14ac:dyDescent="0.25">
      <c r="A5754" s="3" t="e">
        <f ca="1"/>
        <v>#NAME?</v>
      </c>
      <c r="B5754" s="2" t="s">
        <v>12</v>
      </c>
      <c r="C5754" s="2" t="s">
        <v>12</v>
      </c>
      <c r="D5754" s="2" t="s">
        <v>12</v>
      </c>
      <c r="E5754" s="2" t="s">
        <v>12</v>
      </c>
      <c r="F5754" s="2" t="s">
        <v>12</v>
      </c>
      <c r="G5754" s="2" t="s">
        <v>12</v>
      </c>
      <c r="H5754" s="2" t="s">
        <v>12</v>
      </c>
      <c r="I5754" s="2" t="s">
        <v>12</v>
      </c>
      <c r="J5754" s="2" t="s">
        <v>12</v>
      </c>
      <c r="K5754" s="2" t="s">
        <v>12</v>
      </c>
    </row>
    <row r="5755" spans="1:11" ht="12.5" x14ac:dyDescent="0.25">
      <c r="A5755" s="3" t="e">
        <f ca="1"/>
        <v>#NAME?</v>
      </c>
      <c r="B5755" s="2" t="s">
        <v>12</v>
      </c>
      <c r="C5755" s="2" t="s">
        <v>12</v>
      </c>
      <c r="D5755" s="2" t="s">
        <v>12</v>
      </c>
      <c r="E5755" s="2" t="s">
        <v>12</v>
      </c>
      <c r="F5755" s="2" t="s">
        <v>12</v>
      </c>
      <c r="G5755" s="2" t="s">
        <v>12</v>
      </c>
      <c r="H5755" s="2" t="s">
        <v>12</v>
      </c>
      <c r="I5755" s="2" t="s">
        <v>12</v>
      </c>
      <c r="J5755" s="2" t="s">
        <v>12</v>
      </c>
      <c r="K5755" s="2" t="s">
        <v>12</v>
      </c>
    </row>
    <row r="5756" spans="1:11" ht="12.5" x14ac:dyDescent="0.25">
      <c r="A5756" s="3" t="e">
        <f ca="1"/>
        <v>#NAME?</v>
      </c>
      <c r="B5756" s="2" t="s">
        <v>12</v>
      </c>
      <c r="C5756" s="2" t="s">
        <v>12</v>
      </c>
      <c r="D5756" s="2" t="s">
        <v>12</v>
      </c>
      <c r="E5756" s="2" t="s">
        <v>12</v>
      </c>
      <c r="F5756" s="2" t="s">
        <v>12</v>
      </c>
      <c r="G5756" s="2" t="s">
        <v>12</v>
      </c>
      <c r="H5756" s="2" t="s">
        <v>12</v>
      </c>
      <c r="I5756" s="2" t="s">
        <v>12</v>
      </c>
      <c r="J5756" s="2" t="s">
        <v>12</v>
      </c>
      <c r="K5756" s="2" t="s">
        <v>12</v>
      </c>
    </row>
    <row r="5757" spans="1:11" ht="12.5" x14ac:dyDescent="0.25">
      <c r="A5757" s="3" t="e">
        <f ca="1"/>
        <v>#NAME?</v>
      </c>
      <c r="B5757" s="2" t="s">
        <v>12</v>
      </c>
      <c r="C5757" s="2" t="s">
        <v>12</v>
      </c>
      <c r="D5757" s="2" t="s">
        <v>12</v>
      </c>
      <c r="E5757" s="2" t="s">
        <v>12</v>
      </c>
      <c r="F5757" s="2" t="s">
        <v>12</v>
      </c>
      <c r="G5757" s="2" t="s">
        <v>12</v>
      </c>
      <c r="H5757" s="2" t="s">
        <v>12</v>
      </c>
      <c r="I5757" s="2" t="s">
        <v>12</v>
      </c>
      <c r="J5757" s="2" t="s">
        <v>12</v>
      </c>
      <c r="K5757" s="2" t="s">
        <v>12</v>
      </c>
    </row>
    <row r="5758" spans="1:11" ht="12.5" x14ac:dyDescent="0.25">
      <c r="A5758" s="3" t="e">
        <f ca="1"/>
        <v>#NAME?</v>
      </c>
      <c r="B5758" s="2" t="s">
        <v>12</v>
      </c>
      <c r="C5758" s="2" t="s">
        <v>12</v>
      </c>
      <c r="D5758" s="2" t="s">
        <v>12</v>
      </c>
      <c r="E5758" s="2" t="s">
        <v>12</v>
      </c>
      <c r="F5758" s="2" t="s">
        <v>12</v>
      </c>
      <c r="G5758" s="2" t="s">
        <v>12</v>
      </c>
      <c r="H5758" s="2" t="s">
        <v>12</v>
      </c>
      <c r="I5758" s="2" t="s">
        <v>12</v>
      </c>
      <c r="J5758" s="2" t="s">
        <v>12</v>
      </c>
      <c r="K5758" s="2" t="s">
        <v>12</v>
      </c>
    </row>
    <row r="5759" spans="1:11" ht="12.5" x14ac:dyDescent="0.25">
      <c r="A5759" s="3" t="e">
        <f ca="1"/>
        <v>#NAME?</v>
      </c>
      <c r="B5759" s="2" t="s">
        <v>12</v>
      </c>
      <c r="C5759" s="2" t="s">
        <v>12</v>
      </c>
      <c r="D5759" s="2" t="s">
        <v>12</v>
      </c>
      <c r="E5759" s="2" t="s">
        <v>12</v>
      </c>
      <c r="F5759" s="2" t="s">
        <v>12</v>
      </c>
      <c r="G5759" s="2" t="s">
        <v>12</v>
      </c>
      <c r="H5759" s="2" t="s">
        <v>12</v>
      </c>
      <c r="I5759" s="2" t="s">
        <v>12</v>
      </c>
      <c r="J5759" s="2" t="s">
        <v>12</v>
      </c>
      <c r="K5759" s="2" t="s">
        <v>12</v>
      </c>
    </row>
    <row r="5760" spans="1:11" ht="12.5" x14ac:dyDescent="0.25">
      <c r="A5760" s="3" t="e">
        <f ca="1"/>
        <v>#NAME?</v>
      </c>
      <c r="B5760" s="2" t="s">
        <v>12</v>
      </c>
      <c r="C5760" s="2" t="s">
        <v>12</v>
      </c>
      <c r="D5760" s="2" t="s">
        <v>12</v>
      </c>
      <c r="E5760" s="2" t="s">
        <v>12</v>
      </c>
      <c r="F5760" s="2" t="s">
        <v>12</v>
      </c>
      <c r="G5760" s="2" t="s">
        <v>12</v>
      </c>
      <c r="H5760" s="2" t="s">
        <v>12</v>
      </c>
      <c r="I5760" s="2" t="s">
        <v>12</v>
      </c>
      <c r="J5760" s="2" t="s">
        <v>12</v>
      </c>
      <c r="K5760" s="2" t="s">
        <v>12</v>
      </c>
    </row>
    <row r="5761" spans="1:11" ht="12.5" x14ac:dyDescent="0.25">
      <c r="A5761" s="3" t="e">
        <f ca="1"/>
        <v>#NAME?</v>
      </c>
      <c r="B5761" s="2" t="s">
        <v>12</v>
      </c>
      <c r="C5761" s="2" t="s">
        <v>12</v>
      </c>
      <c r="D5761" s="2" t="s">
        <v>12</v>
      </c>
      <c r="E5761" s="2" t="s">
        <v>12</v>
      </c>
      <c r="F5761" s="2" t="s">
        <v>12</v>
      </c>
      <c r="G5761" s="2" t="s">
        <v>12</v>
      </c>
      <c r="H5761" s="2" t="s">
        <v>12</v>
      </c>
      <c r="I5761" s="2" t="s">
        <v>12</v>
      </c>
      <c r="J5761" s="2" t="s">
        <v>12</v>
      </c>
      <c r="K5761" s="2" t="s">
        <v>12</v>
      </c>
    </row>
    <row r="5762" spans="1:11" ht="12.5" x14ac:dyDescent="0.25">
      <c r="A5762" s="3" t="e">
        <f ca="1"/>
        <v>#NAME?</v>
      </c>
      <c r="B5762" s="2" t="s">
        <v>12</v>
      </c>
      <c r="C5762" s="2" t="s">
        <v>12</v>
      </c>
      <c r="D5762" s="2" t="s">
        <v>12</v>
      </c>
      <c r="E5762" s="2" t="s">
        <v>12</v>
      </c>
      <c r="F5762" s="2" t="s">
        <v>12</v>
      </c>
      <c r="G5762" s="2" t="s">
        <v>12</v>
      </c>
      <c r="H5762" s="2" t="s">
        <v>12</v>
      </c>
      <c r="I5762" s="2" t="s">
        <v>12</v>
      </c>
      <c r="J5762" s="2" t="s">
        <v>12</v>
      </c>
      <c r="K5762" s="2" t="s">
        <v>12</v>
      </c>
    </row>
    <row r="5763" spans="1:11" ht="12.5" x14ac:dyDescent="0.25">
      <c r="A5763" s="3" t="e">
        <f ca="1"/>
        <v>#NAME?</v>
      </c>
      <c r="B5763" s="2" t="s">
        <v>12</v>
      </c>
      <c r="C5763" s="2" t="s">
        <v>12</v>
      </c>
      <c r="D5763" s="2" t="s">
        <v>12</v>
      </c>
      <c r="E5763" s="2" t="s">
        <v>12</v>
      </c>
      <c r="F5763" s="2" t="s">
        <v>12</v>
      </c>
      <c r="G5763" s="2" t="s">
        <v>12</v>
      </c>
      <c r="H5763" s="2" t="s">
        <v>12</v>
      </c>
      <c r="I5763" s="2" t="s">
        <v>12</v>
      </c>
      <c r="J5763" s="2" t="s">
        <v>12</v>
      </c>
      <c r="K5763" s="2" t="s">
        <v>12</v>
      </c>
    </row>
    <row r="5764" spans="1:11" ht="12.5" x14ac:dyDescent="0.25">
      <c r="A5764" s="3" t="e">
        <f ca="1"/>
        <v>#NAME?</v>
      </c>
      <c r="B5764" s="2" t="s">
        <v>12</v>
      </c>
      <c r="C5764" s="2" t="s">
        <v>12</v>
      </c>
      <c r="D5764" s="2" t="s">
        <v>12</v>
      </c>
      <c r="E5764" s="2" t="s">
        <v>12</v>
      </c>
      <c r="F5764" s="2" t="s">
        <v>12</v>
      </c>
      <c r="G5764" s="2" t="s">
        <v>12</v>
      </c>
      <c r="H5764" s="2" t="s">
        <v>12</v>
      </c>
      <c r="I5764" s="2" t="s">
        <v>12</v>
      </c>
      <c r="J5764" s="2" t="s">
        <v>12</v>
      </c>
      <c r="K5764" s="2" t="s">
        <v>12</v>
      </c>
    </row>
    <row r="5765" spans="1:11" ht="12.5" x14ac:dyDescent="0.25">
      <c r="A5765" s="3" t="e">
        <f ca="1"/>
        <v>#NAME?</v>
      </c>
      <c r="B5765" s="2" t="s">
        <v>12</v>
      </c>
      <c r="C5765" s="2" t="s">
        <v>12</v>
      </c>
      <c r="D5765" s="2" t="s">
        <v>12</v>
      </c>
      <c r="E5765" s="2" t="s">
        <v>12</v>
      </c>
      <c r="F5765" s="2" t="s">
        <v>12</v>
      </c>
      <c r="G5765" s="2" t="s">
        <v>12</v>
      </c>
      <c r="H5765" s="2" t="s">
        <v>12</v>
      </c>
      <c r="I5765" s="2" t="s">
        <v>12</v>
      </c>
      <c r="J5765" s="2" t="s">
        <v>12</v>
      </c>
      <c r="K5765" s="2" t="s">
        <v>12</v>
      </c>
    </row>
    <row r="5766" spans="1:11" ht="12.5" x14ac:dyDescent="0.25">
      <c r="A5766" s="3" t="e">
        <f ca="1"/>
        <v>#NAME?</v>
      </c>
      <c r="B5766" s="2" t="s">
        <v>12</v>
      </c>
      <c r="C5766" s="2" t="s">
        <v>12</v>
      </c>
      <c r="D5766" s="2" t="s">
        <v>12</v>
      </c>
      <c r="E5766" s="2" t="s">
        <v>12</v>
      </c>
      <c r="F5766" s="2" t="s">
        <v>12</v>
      </c>
      <c r="G5766" s="2" t="s">
        <v>12</v>
      </c>
      <c r="H5766" s="2" t="s">
        <v>12</v>
      </c>
      <c r="I5766" s="2" t="s">
        <v>12</v>
      </c>
      <c r="J5766" s="2" t="s">
        <v>12</v>
      </c>
      <c r="K5766" s="2" t="s">
        <v>12</v>
      </c>
    </row>
    <row r="5767" spans="1:11" ht="12.5" x14ac:dyDescent="0.25">
      <c r="A5767" s="3" t="e">
        <f ca="1"/>
        <v>#NAME?</v>
      </c>
      <c r="B5767" s="2" t="s">
        <v>12</v>
      </c>
      <c r="C5767" s="2" t="s">
        <v>12</v>
      </c>
      <c r="D5767" s="2" t="s">
        <v>12</v>
      </c>
      <c r="E5767" s="2" t="s">
        <v>12</v>
      </c>
      <c r="F5767" s="2" t="s">
        <v>12</v>
      </c>
      <c r="G5767" s="2" t="s">
        <v>12</v>
      </c>
      <c r="H5767" s="2" t="s">
        <v>12</v>
      </c>
      <c r="I5767" s="2" t="s">
        <v>12</v>
      </c>
      <c r="J5767" s="2" t="s">
        <v>12</v>
      </c>
      <c r="K5767" s="2" t="s">
        <v>12</v>
      </c>
    </row>
    <row r="5768" spans="1:11" ht="12.5" x14ac:dyDescent="0.25">
      <c r="A5768" s="3" t="e">
        <f ca="1"/>
        <v>#NAME?</v>
      </c>
      <c r="B5768" s="2" t="s">
        <v>12</v>
      </c>
      <c r="C5768" s="2" t="s">
        <v>12</v>
      </c>
      <c r="D5768" s="2" t="s">
        <v>12</v>
      </c>
      <c r="E5768" s="2" t="s">
        <v>12</v>
      </c>
      <c r="F5768" s="2" t="s">
        <v>12</v>
      </c>
      <c r="G5768" s="2" t="s">
        <v>12</v>
      </c>
      <c r="H5768" s="2" t="s">
        <v>12</v>
      </c>
      <c r="I5768" s="2" t="s">
        <v>12</v>
      </c>
      <c r="J5768" s="2" t="s">
        <v>12</v>
      </c>
      <c r="K5768" s="2" t="s">
        <v>12</v>
      </c>
    </row>
    <row r="5769" spans="1:11" ht="12.5" x14ac:dyDescent="0.25">
      <c r="A5769" s="3" t="e">
        <f ca="1"/>
        <v>#NAME?</v>
      </c>
      <c r="B5769" s="2" t="s">
        <v>12</v>
      </c>
      <c r="C5769" s="2" t="s">
        <v>12</v>
      </c>
      <c r="D5769" s="2" t="s">
        <v>12</v>
      </c>
      <c r="E5769" s="2" t="s">
        <v>12</v>
      </c>
      <c r="F5769" s="2" t="s">
        <v>12</v>
      </c>
      <c r="G5769" s="2" t="s">
        <v>12</v>
      </c>
      <c r="H5769" s="2" t="s">
        <v>12</v>
      </c>
      <c r="I5769" s="2" t="s">
        <v>12</v>
      </c>
      <c r="J5769" s="2" t="s">
        <v>12</v>
      </c>
      <c r="K5769" s="2" t="s">
        <v>12</v>
      </c>
    </row>
    <row r="5770" spans="1:11" ht="12.5" x14ac:dyDescent="0.25">
      <c r="A5770" s="3" t="e">
        <f ca="1"/>
        <v>#NAME?</v>
      </c>
      <c r="B5770" s="2" t="s">
        <v>12</v>
      </c>
      <c r="C5770" s="2" t="s">
        <v>12</v>
      </c>
      <c r="D5770" s="2" t="s">
        <v>12</v>
      </c>
      <c r="E5770" s="2" t="s">
        <v>12</v>
      </c>
      <c r="F5770" s="2" t="s">
        <v>12</v>
      </c>
      <c r="G5770" s="2" t="s">
        <v>12</v>
      </c>
      <c r="H5770" s="2" t="s">
        <v>12</v>
      </c>
      <c r="I5770" s="2" t="s">
        <v>12</v>
      </c>
      <c r="J5770" s="2" t="s">
        <v>12</v>
      </c>
      <c r="K5770" s="2" t="s">
        <v>12</v>
      </c>
    </row>
    <row r="5771" spans="1:11" ht="12.5" x14ac:dyDescent="0.25">
      <c r="A5771" s="3" t="e">
        <f ca="1"/>
        <v>#NAME?</v>
      </c>
      <c r="B5771" s="2" t="s">
        <v>12</v>
      </c>
      <c r="C5771" s="2" t="s">
        <v>12</v>
      </c>
      <c r="D5771" s="2" t="s">
        <v>12</v>
      </c>
      <c r="E5771" s="2" t="s">
        <v>12</v>
      </c>
      <c r="F5771" s="2" t="s">
        <v>12</v>
      </c>
      <c r="G5771" s="2" t="s">
        <v>12</v>
      </c>
      <c r="H5771" s="2" t="s">
        <v>12</v>
      </c>
      <c r="I5771" s="2" t="s">
        <v>12</v>
      </c>
      <c r="J5771" s="2" t="s">
        <v>12</v>
      </c>
      <c r="K5771" s="2" t="s">
        <v>12</v>
      </c>
    </row>
    <row r="5772" spans="1:11" ht="12.5" x14ac:dyDescent="0.25">
      <c r="A5772" s="3" t="e">
        <f ca="1"/>
        <v>#NAME?</v>
      </c>
      <c r="B5772" s="2" t="s">
        <v>12</v>
      </c>
      <c r="C5772" s="2" t="s">
        <v>12</v>
      </c>
      <c r="D5772" s="2" t="s">
        <v>12</v>
      </c>
      <c r="E5772" s="2" t="s">
        <v>12</v>
      </c>
      <c r="F5772" s="2" t="s">
        <v>12</v>
      </c>
      <c r="G5772" s="2" t="s">
        <v>12</v>
      </c>
      <c r="H5772" s="2" t="s">
        <v>12</v>
      </c>
      <c r="I5772" s="2" t="s">
        <v>12</v>
      </c>
      <c r="J5772" s="2" t="s">
        <v>12</v>
      </c>
      <c r="K5772" s="2" t="s">
        <v>12</v>
      </c>
    </row>
    <row r="5773" spans="1:11" ht="12.5" x14ac:dyDescent="0.25">
      <c r="A5773" s="3" t="e">
        <f ca="1"/>
        <v>#NAME?</v>
      </c>
      <c r="B5773" s="2" t="s">
        <v>12</v>
      </c>
      <c r="C5773" s="2" t="s">
        <v>12</v>
      </c>
      <c r="D5773" s="2" t="s">
        <v>12</v>
      </c>
      <c r="E5773" s="2" t="s">
        <v>12</v>
      </c>
      <c r="F5773" s="2" t="s">
        <v>12</v>
      </c>
      <c r="G5773" s="2" t="s">
        <v>12</v>
      </c>
      <c r="H5773" s="2" t="s">
        <v>12</v>
      </c>
      <c r="I5773" s="2" t="s">
        <v>12</v>
      </c>
      <c r="J5773" s="2" t="s">
        <v>12</v>
      </c>
      <c r="K5773" s="2" t="s">
        <v>12</v>
      </c>
    </row>
    <row r="5774" spans="1:11" ht="12.5" x14ac:dyDescent="0.25">
      <c r="A5774" s="3" t="e">
        <f ca="1"/>
        <v>#NAME?</v>
      </c>
      <c r="B5774" s="2" t="s">
        <v>12</v>
      </c>
      <c r="C5774" s="2" t="s">
        <v>12</v>
      </c>
      <c r="D5774" s="2" t="s">
        <v>12</v>
      </c>
      <c r="E5774" s="2" t="s">
        <v>12</v>
      </c>
      <c r="F5774" s="2" t="s">
        <v>12</v>
      </c>
      <c r="G5774" s="2" t="s">
        <v>12</v>
      </c>
      <c r="H5774" s="2" t="s">
        <v>12</v>
      </c>
      <c r="I5774" s="2" t="s">
        <v>12</v>
      </c>
      <c r="J5774" s="2" t="s">
        <v>12</v>
      </c>
      <c r="K5774" s="2" t="s">
        <v>12</v>
      </c>
    </row>
    <row r="5775" spans="1:11" ht="12.5" x14ac:dyDescent="0.25">
      <c r="A5775" s="3" t="e">
        <f ca="1"/>
        <v>#NAME?</v>
      </c>
      <c r="B5775" s="2" t="s">
        <v>12</v>
      </c>
      <c r="C5775" s="2" t="s">
        <v>12</v>
      </c>
      <c r="D5775" s="2" t="s">
        <v>12</v>
      </c>
      <c r="E5775" s="2" t="s">
        <v>12</v>
      </c>
      <c r="F5775" s="2" t="s">
        <v>12</v>
      </c>
      <c r="G5775" s="2" t="s">
        <v>12</v>
      </c>
      <c r="H5775" s="2" t="s">
        <v>12</v>
      </c>
      <c r="I5775" s="2" t="s">
        <v>12</v>
      </c>
      <c r="J5775" s="2" t="s">
        <v>12</v>
      </c>
      <c r="K5775" s="2" t="s">
        <v>12</v>
      </c>
    </row>
    <row r="5776" spans="1:11" ht="12.5" x14ac:dyDescent="0.25">
      <c r="A5776" s="3" t="e">
        <f ca="1"/>
        <v>#NAME?</v>
      </c>
      <c r="B5776" s="2" t="s">
        <v>12</v>
      </c>
      <c r="C5776" s="2" t="s">
        <v>12</v>
      </c>
      <c r="D5776" s="2" t="s">
        <v>12</v>
      </c>
      <c r="E5776" s="2" t="s">
        <v>12</v>
      </c>
      <c r="F5776" s="2" t="s">
        <v>12</v>
      </c>
      <c r="G5776" s="2" t="s">
        <v>12</v>
      </c>
      <c r="H5776" s="2" t="s">
        <v>12</v>
      </c>
      <c r="I5776" s="2" t="s">
        <v>12</v>
      </c>
      <c r="J5776" s="2" t="s">
        <v>12</v>
      </c>
      <c r="K5776" s="2" t="s">
        <v>12</v>
      </c>
    </row>
    <row r="5777" spans="1:11" ht="12.5" x14ac:dyDescent="0.25">
      <c r="A5777" s="3" t="e">
        <f ca="1"/>
        <v>#NAME?</v>
      </c>
      <c r="B5777" s="2" t="s">
        <v>12</v>
      </c>
      <c r="C5777" s="2" t="s">
        <v>12</v>
      </c>
      <c r="D5777" s="2" t="s">
        <v>12</v>
      </c>
      <c r="E5777" s="2" t="s">
        <v>12</v>
      </c>
      <c r="F5777" s="2" t="s">
        <v>12</v>
      </c>
      <c r="G5777" s="2" t="s">
        <v>12</v>
      </c>
      <c r="H5777" s="2" t="s">
        <v>12</v>
      </c>
      <c r="I5777" s="2" t="s">
        <v>12</v>
      </c>
      <c r="J5777" s="2" t="s">
        <v>12</v>
      </c>
      <c r="K5777" s="2" t="s">
        <v>12</v>
      </c>
    </row>
    <row r="5778" spans="1:11" ht="12.5" x14ac:dyDescent="0.25">
      <c r="A5778" s="3" t="e">
        <f ca="1"/>
        <v>#NAME?</v>
      </c>
      <c r="B5778" s="2" t="s">
        <v>12</v>
      </c>
      <c r="C5778" s="2" t="s">
        <v>12</v>
      </c>
      <c r="D5778" s="2" t="s">
        <v>12</v>
      </c>
      <c r="E5778" s="2" t="s">
        <v>12</v>
      </c>
      <c r="F5778" s="2" t="s">
        <v>12</v>
      </c>
      <c r="G5778" s="2" t="s">
        <v>12</v>
      </c>
      <c r="H5778" s="2" t="s">
        <v>12</v>
      </c>
      <c r="I5778" s="2" t="s">
        <v>12</v>
      </c>
      <c r="J5778" s="2" t="s">
        <v>12</v>
      </c>
      <c r="K5778" s="2" t="s">
        <v>12</v>
      </c>
    </row>
    <row r="5779" spans="1:11" ht="12.5" x14ac:dyDescent="0.25">
      <c r="A5779" s="3" t="e">
        <f ca="1"/>
        <v>#NAME?</v>
      </c>
      <c r="B5779" s="2" t="s">
        <v>12</v>
      </c>
      <c r="C5779" s="2" t="s">
        <v>12</v>
      </c>
      <c r="D5779" s="2" t="s">
        <v>12</v>
      </c>
      <c r="E5779" s="2" t="s">
        <v>12</v>
      </c>
      <c r="F5779" s="2" t="s">
        <v>12</v>
      </c>
      <c r="G5779" s="2" t="s">
        <v>12</v>
      </c>
      <c r="H5779" s="2" t="s">
        <v>12</v>
      </c>
      <c r="I5779" s="2" t="s">
        <v>12</v>
      </c>
      <c r="J5779" s="2" t="s">
        <v>12</v>
      </c>
      <c r="K5779" s="2" t="s">
        <v>12</v>
      </c>
    </row>
    <row r="5780" spans="1:11" ht="12.5" x14ac:dyDescent="0.25">
      <c r="A5780" s="3" t="e">
        <f ca="1"/>
        <v>#NAME?</v>
      </c>
      <c r="B5780" s="2" t="s">
        <v>12</v>
      </c>
      <c r="C5780" s="2" t="s">
        <v>12</v>
      </c>
      <c r="D5780" s="2" t="s">
        <v>12</v>
      </c>
      <c r="E5780" s="2" t="s">
        <v>12</v>
      </c>
      <c r="F5780" s="2" t="s">
        <v>12</v>
      </c>
      <c r="G5780" s="2" t="s">
        <v>12</v>
      </c>
      <c r="H5780" s="2" t="s">
        <v>12</v>
      </c>
      <c r="I5780" s="2" t="s">
        <v>12</v>
      </c>
      <c r="J5780" s="2" t="s">
        <v>12</v>
      </c>
      <c r="K5780" s="2" t="s">
        <v>12</v>
      </c>
    </row>
    <row r="5781" spans="1:11" ht="12.5" x14ac:dyDescent="0.25">
      <c r="A5781" s="3" t="e">
        <f ca="1"/>
        <v>#NAME?</v>
      </c>
      <c r="B5781" s="2" t="s">
        <v>12</v>
      </c>
      <c r="C5781" s="2" t="s">
        <v>12</v>
      </c>
      <c r="D5781" s="2" t="s">
        <v>12</v>
      </c>
      <c r="E5781" s="2" t="s">
        <v>12</v>
      </c>
      <c r="F5781" s="2" t="s">
        <v>12</v>
      </c>
      <c r="G5781" s="2" t="s">
        <v>12</v>
      </c>
      <c r="H5781" s="2" t="s">
        <v>12</v>
      </c>
      <c r="I5781" s="2" t="s">
        <v>12</v>
      </c>
      <c r="J5781" s="2" t="s">
        <v>12</v>
      </c>
      <c r="K5781" s="2" t="s">
        <v>12</v>
      </c>
    </row>
    <row r="5782" spans="1:11" ht="12.5" x14ac:dyDescent="0.25">
      <c r="A5782" s="3" t="e">
        <f ca="1"/>
        <v>#NAME?</v>
      </c>
      <c r="B5782" s="2" t="s">
        <v>12</v>
      </c>
      <c r="C5782" s="2" t="s">
        <v>12</v>
      </c>
      <c r="D5782" s="2" t="s">
        <v>12</v>
      </c>
      <c r="E5782" s="2" t="s">
        <v>12</v>
      </c>
      <c r="F5782" s="2" t="s">
        <v>12</v>
      </c>
      <c r="G5782" s="2" t="s">
        <v>12</v>
      </c>
      <c r="H5782" s="2" t="s">
        <v>12</v>
      </c>
      <c r="I5782" s="2" t="s">
        <v>12</v>
      </c>
      <c r="J5782" s="2" t="s">
        <v>12</v>
      </c>
      <c r="K5782" s="2" t="s">
        <v>12</v>
      </c>
    </row>
    <row r="5783" spans="1:11" ht="12.5" x14ac:dyDescent="0.25">
      <c r="A5783" s="3" t="e">
        <f ca="1"/>
        <v>#NAME?</v>
      </c>
      <c r="B5783" s="2" t="s">
        <v>12</v>
      </c>
      <c r="C5783" s="2" t="s">
        <v>12</v>
      </c>
      <c r="D5783" s="2" t="s">
        <v>12</v>
      </c>
      <c r="E5783" s="2" t="s">
        <v>12</v>
      </c>
      <c r="F5783" s="2" t="s">
        <v>12</v>
      </c>
      <c r="G5783" s="2" t="s">
        <v>12</v>
      </c>
      <c r="H5783" s="2" t="s">
        <v>12</v>
      </c>
      <c r="I5783" s="2" t="s">
        <v>12</v>
      </c>
      <c r="J5783" s="2" t="s">
        <v>12</v>
      </c>
      <c r="K5783" s="2" t="s">
        <v>12</v>
      </c>
    </row>
    <row r="5784" spans="1:11" ht="12.5" x14ac:dyDescent="0.25">
      <c r="A5784" s="3" t="e">
        <f ca="1"/>
        <v>#NAME?</v>
      </c>
      <c r="B5784" s="2" t="s">
        <v>12</v>
      </c>
      <c r="C5784" s="2" t="s">
        <v>12</v>
      </c>
      <c r="D5784" s="2" t="s">
        <v>12</v>
      </c>
      <c r="E5784" s="2" t="s">
        <v>12</v>
      </c>
      <c r="F5784" s="2" t="s">
        <v>12</v>
      </c>
      <c r="G5784" s="2" t="s">
        <v>12</v>
      </c>
      <c r="H5784" s="2" t="s">
        <v>12</v>
      </c>
      <c r="I5784" s="2" t="s">
        <v>12</v>
      </c>
      <c r="J5784" s="2" t="s">
        <v>12</v>
      </c>
      <c r="K5784" s="2" t="s">
        <v>12</v>
      </c>
    </row>
    <row r="5785" spans="1:11" ht="12.5" x14ac:dyDescent="0.25">
      <c r="A5785" s="3" t="e">
        <f ca="1"/>
        <v>#NAME?</v>
      </c>
      <c r="B5785" s="2" t="s">
        <v>12</v>
      </c>
      <c r="C5785" s="2" t="s">
        <v>12</v>
      </c>
      <c r="D5785" s="2" t="s">
        <v>12</v>
      </c>
      <c r="E5785" s="2" t="s">
        <v>12</v>
      </c>
      <c r="F5785" s="2" t="s">
        <v>12</v>
      </c>
      <c r="G5785" s="2" t="s">
        <v>12</v>
      </c>
      <c r="H5785" s="2" t="s">
        <v>12</v>
      </c>
      <c r="I5785" s="2" t="s">
        <v>12</v>
      </c>
      <c r="J5785" s="2" t="s">
        <v>12</v>
      </c>
      <c r="K5785" s="2" t="s">
        <v>12</v>
      </c>
    </row>
    <row r="5786" spans="1:11" ht="12.5" x14ac:dyDescent="0.25">
      <c r="A5786" s="3" t="e">
        <f ca="1"/>
        <v>#NAME?</v>
      </c>
      <c r="B5786" s="2" t="s">
        <v>12</v>
      </c>
      <c r="C5786" s="2" t="s">
        <v>12</v>
      </c>
      <c r="D5786" s="2" t="s">
        <v>12</v>
      </c>
      <c r="E5786" s="2" t="s">
        <v>12</v>
      </c>
      <c r="F5786" s="2" t="s">
        <v>12</v>
      </c>
      <c r="G5786" s="2" t="s">
        <v>12</v>
      </c>
      <c r="H5786" s="2" t="s">
        <v>12</v>
      </c>
      <c r="I5786" s="2" t="s">
        <v>12</v>
      </c>
      <c r="J5786" s="2" t="s">
        <v>12</v>
      </c>
      <c r="K5786" s="2" t="s">
        <v>12</v>
      </c>
    </row>
    <row r="5787" spans="1:11" ht="12.5" x14ac:dyDescent="0.25">
      <c r="A5787" s="3" t="e">
        <f ca="1"/>
        <v>#NAME?</v>
      </c>
      <c r="B5787" s="2" t="s">
        <v>12</v>
      </c>
      <c r="C5787" s="2" t="s">
        <v>12</v>
      </c>
      <c r="D5787" s="2" t="s">
        <v>12</v>
      </c>
      <c r="E5787" s="2" t="s">
        <v>12</v>
      </c>
      <c r="F5787" s="2" t="s">
        <v>12</v>
      </c>
      <c r="G5787" s="2" t="s">
        <v>12</v>
      </c>
      <c r="H5787" s="2" t="s">
        <v>12</v>
      </c>
      <c r="I5787" s="2" t="s">
        <v>12</v>
      </c>
      <c r="J5787" s="2" t="s">
        <v>12</v>
      </c>
      <c r="K5787" s="2" t="s">
        <v>12</v>
      </c>
    </row>
    <row r="5788" spans="1:11" ht="12.5" x14ac:dyDescent="0.25">
      <c r="A5788" s="3" t="e">
        <f ca="1"/>
        <v>#NAME?</v>
      </c>
      <c r="B5788" s="2" t="s">
        <v>12</v>
      </c>
      <c r="C5788" s="2" t="s">
        <v>12</v>
      </c>
      <c r="D5788" s="2" t="s">
        <v>12</v>
      </c>
      <c r="E5788" s="2" t="s">
        <v>12</v>
      </c>
      <c r="F5788" s="2" t="s">
        <v>12</v>
      </c>
      <c r="G5788" s="2" t="s">
        <v>12</v>
      </c>
      <c r="H5788" s="2" t="s">
        <v>12</v>
      </c>
      <c r="I5788" s="2" t="s">
        <v>12</v>
      </c>
      <c r="J5788" s="2" t="s">
        <v>12</v>
      </c>
      <c r="K5788" s="2" t="s">
        <v>12</v>
      </c>
    </row>
    <row r="5789" spans="1:11" ht="12.5" x14ac:dyDescent="0.25">
      <c r="A5789" s="3" t="e">
        <f ca="1"/>
        <v>#NAME?</v>
      </c>
      <c r="B5789" s="2" t="s">
        <v>12</v>
      </c>
      <c r="C5789" s="2" t="s">
        <v>12</v>
      </c>
      <c r="D5789" s="2" t="s">
        <v>12</v>
      </c>
      <c r="E5789" s="2" t="s">
        <v>12</v>
      </c>
      <c r="F5789" s="2" t="s">
        <v>12</v>
      </c>
      <c r="G5789" s="2" t="s">
        <v>12</v>
      </c>
      <c r="H5789" s="2" t="s">
        <v>12</v>
      </c>
      <c r="I5789" s="2" t="s">
        <v>12</v>
      </c>
      <c r="J5789" s="2" t="s">
        <v>12</v>
      </c>
      <c r="K5789" s="2" t="s">
        <v>12</v>
      </c>
    </row>
    <row r="5790" spans="1:11" ht="12.5" x14ac:dyDescent="0.25">
      <c r="A5790" s="3" t="e">
        <f ca="1"/>
        <v>#NAME?</v>
      </c>
      <c r="B5790" s="2" t="s">
        <v>12</v>
      </c>
      <c r="C5790" s="2" t="s">
        <v>12</v>
      </c>
      <c r="D5790" s="2" t="s">
        <v>12</v>
      </c>
      <c r="E5790" s="2" t="s">
        <v>12</v>
      </c>
      <c r="F5790" s="2" t="s">
        <v>12</v>
      </c>
      <c r="G5790" s="2" t="s">
        <v>12</v>
      </c>
      <c r="H5790" s="2" t="s">
        <v>12</v>
      </c>
      <c r="I5790" s="2" t="s">
        <v>12</v>
      </c>
      <c r="J5790" s="2" t="s">
        <v>12</v>
      </c>
      <c r="K5790" s="2" t="s">
        <v>12</v>
      </c>
    </row>
    <row r="5791" spans="1:11" ht="12.5" x14ac:dyDescent="0.25">
      <c r="A5791" s="3" t="e">
        <f ca="1"/>
        <v>#NAME?</v>
      </c>
      <c r="B5791" s="2" t="s">
        <v>12</v>
      </c>
      <c r="C5791" s="2" t="s">
        <v>12</v>
      </c>
      <c r="D5791" s="2" t="s">
        <v>12</v>
      </c>
      <c r="E5791" s="2" t="s">
        <v>12</v>
      </c>
      <c r="F5791" s="2" t="s">
        <v>12</v>
      </c>
      <c r="G5791" s="2" t="s">
        <v>12</v>
      </c>
      <c r="H5791" s="2" t="s">
        <v>12</v>
      </c>
      <c r="I5791" s="2" t="s">
        <v>12</v>
      </c>
      <c r="J5791" s="2" t="s">
        <v>12</v>
      </c>
      <c r="K5791" s="2" t="s">
        <v>12</v>
      </c>
    </row>
    <row r="5792" spans="1:11" ht="12.5" x14ac:dyDescent="0.25">
      <c r="A5792" s="3" t="e">
        <f ca="1"/>
        <v>#NAME?</v>
      </c>
      <c r="B5792" s="2" t="s">
        <v>12</v>
      </c>
      <c r="C5792" s="2" t="s">
        <v>12</v>
      </c>
      <c r="D5792" s="2" t="s">
        <v>12</v>
      </c>
      <c r="E5792" s="2" t="s">
        <v>12</v>
      </c>
      <c r="F5792" s="2" t="s">
        <v>12</v>
      </c>
      <c r="G5792" s="2" t="s">
        <v>12</v>
      </c>
      <c r="H5792" s="2" t="s">
        <v>12</v>
      </c>
      <c r="I5792" s="2" t="s">
        <v>12</v>
      </c>
      <c r="J5792" s="2" t="s">
        <v>12</v>
      </c>
      <c r="K5792" s="2" t="s">
        <v>12</v>
      </c>
    </row>
    <row r="5793" spans="1:11" ht="12.5" x14ac:dyDescent="0.25">
      <c r="A5793" s="3" t="e">
        <f ca="1"/>
        <v>#NAME?</v>
      </c>
      <c r="B5793" s="2" t="s">
        <v>12</v>
      </c>
      <c r="C5793" s="2" t="s">
        <v>12</v>
      </c>
      <c r="D5793" s="2" t="s">
        <v>12</v>
      </c>
      <c r="E5793" s="2" t="s">
        <v>12</v>
      </c>
      <c r="F5793" s="2" t="s">
        <v>12</v>
      </c>
      <c r="G5793" s="2" t="s">
        <v>12</v>
      </c>
      <c r="H5793" s="2" t="s">
        <v>12</v>
      </c>
      <c r="I5793" s="2" t="s">
        <v>12</v>
      </c>
      <c r="J5793" s="2" t="s">
        <v>12</v>
      </c>
      <c r="K5793" s="2" t="s">
        <v>12</v>
      </c>
    </row>
    <row r="5794" spans="1:11" ht="12.5" x14ac:dyDescent="0.25">
      <c r="A5794" s="3" t="e">
        <f ca="1"/>
        <v>#NAME?</v>
      </c>
      <c r="B5794" s="2" t="s">
        <v>12</v>
      </c>
      <c r="C5794" s="2" t="s">
        <v>12</v>
      </c>
      <c r="D5794" s="2" t="s">
        <v>12</v>
      </c>
      <c r="E5794" s="2" t="s">
        <v>12</v>
      </c>
      <c r="F5794" s="2" t="s">
        <v>12</v>
      </c>
      <c r="G5794" s="2" t="s">
        <v>12</v>
      </c>
      <c r="H5794" s="2" t="s">
        <v>12</v>
      </c>
      <c r="I5794" s="2" t="s">
        <v>12</v>
      </c>
      <c r="J5794" s="2" t="s">
        <v>12</v>
      </c>
      <c r="K5794" s="2" t="s">
        <v>12</v>
      </c>
    </row>
    <row r="5795" spans="1:11" ht="12.5" x14ac:dyDescent="0.25">
      <c r="A5795" s="3" t="e">
        <f ca="1"/>
        <v>#NAME?</v>
      </c>
      <c r="B5795" s="2" t="s">
        <v>12</v>
      </c>
      <c r="C5795" s="2" t="s">
        <v>12</v>
      </c>
      <c r="D5795" s="2" t="s">
        <v>12</v>
      </c>
      <c r="E5795" s="2" t="s">
        <v>12</v>
      </c>
      <c r="F5795" s="2" t="s">
        <v>12</v>
      </c>
      <c r="G5795" s="2" t="s">
        <v>12</v>
      </c>
      <c r="H5795" s="2" t="s">
        <v>12</v>
      </c>
      <c r="I5795" s="2" t="s">
        <v>12</v>
      </c>
      <c r="J5795" s="2" t="s">
        <v>12</v>
      </c>
      <c r="K5795" s="2" t="s">
        <v>12</v>
      </c>
    </row>
    <row r="5796" spans="1:11" ht="12.5" x14ac:dyDescent="0.25">
      <c r="A5796" s="3" t="e">
        <f ca="1"/>
        <v>#NAME?</v>
      </c>
      <c r="B5796" s="2" t="s">
        <v>12</v>
      </c>
      <c r="C5796" s="2" t="s">
        <v>12</v>
      </c>
      <c r="D5796" s="2" t="s">
        <v>12</v>
      </c>
      <c r="E5796" s="2" t="s">
        <v>12</v>
      </c>
      <c r="F5796" s="2" t="s">
        <v>12</v>
      </c>
      <c r="G5796" s="2" t="s">
        <v>12</v>
      </c>
      <c r="H5796" s="2" t="s">
        <v>12</v>
      </c>
      <c r="I5796" s="2" t="s">
        <v>12</v>
      </c>
      <c r="J5796" s="2" t="s">
        <v>12</v>
      </c>
      <c r="K5796" s="2" t="s">
        <v>12</v>
      </c>
    </row>
    <row r="5797" spans="1:11" ht="12.5" x14ac:dyDescent="0.25">
      <c r="A5797" s="3" t="e">
        <f ca="1"/>
        <v>#NAME?</v>
      </c>
      <c r="B5797" s="2" t="s">
        <v>12</v>
      </c>
      <c r="C5797" s="2" t="s">
        <v>12</v>
      </c>
      <c r="D5797" s="2" t="s">
        <v>12</v>
      </c>
      <c r="E5797" s="2" t="s">
        <v>12</v>
      </c>
      <c r="F5797" s="2" t="s">
        <v>12</v>
      </c>
      <c r="G5797" s="2" t="s">
        <v>12</v>
      </c>
      <c r="H5797" s="2" t="s">
        <v>12</v>
      </c>
      <c r="I5797" s="2" t="s">
        <v>12</v>
      </c>
      <c r="J5797" s="2" t="s">
        <v>12</v>
      </c>
      <c r="K5797" s="2" t="s">
        <v>12</v>
      </c>
    </row>
    <row r="5798" spans="1:11" ht="12.5" x14ac:dyDescent="0.25">
      <c r="A5798" s="3" t="e">
        <f ca="1"/>
        <v>#NAME?</v>
      </c>
      <c r="B5798" s="2" t="s">
        <v>12</v>
      </c>
      <c r="C5798" s="2" t="s">
        <v>12</v>
      </c>
      <c r="D5798" s="2" t="s">
        <v>12</v>
      </c>
      <c r="E5798" s="2" t="s">
        <v>12</v>
      </c>
      <c r="F5798" s="2" t="s">
        <v>12</v>
      </c>
      <c r="G5798" s="2" t="s">
        <v>12</v>
      </c>
      <c r="H5798" s="2" t="s">
        <v>12</v>
      </c>
      <c r="I5798" s="2" t="s">
        <v>12</v>
      </c>
      <c r="J5798" s="2" t="s">
        <v>12</v>
      </c>
      <c r="K5798" s="2" t="s">
        <v>12</v>
      </c>
    </row>
    <row r="5799" spans="1:11" ht="12.5" x14ac:dyDescent="0.25">
      <c r="A5799" s="3" t="e">
        <f ca="1"/>
        <v>#NAME?</v>
      </c>
      <c r="B5799" s="2" t="s">
        <v>12</v>
      </c>
      <c r="C5799" s="2" t="s">
        <v>12</v>
      </c>
      <c r="D5799" s="2" t="s">
        <v>12</v>
      </c>
      <c r="E5799" s="2" t="s">
        <v>12</v>
      </c>
      <c r="F5799" s="2" t="s">
        <v>12</v>
      </c>
      <c r="G5799" s="2" t="s">
        <v>12</v>
      </c>
      <c r="H5799" s="2" t="s">
        <v>12</v>
      </c>
      <c r="I5799" s="2" t="s">
        <v>12</v>
      </c>
      <c r="J5799" s="2" t="s">
        <v>12</v>
      </c>
      <c r="K5799" s="2" t="s">
        <v>12</v>
      </c>
    </row>
    <row r="5800" spans="1:11" ht="12.5" x14ac:dyDescent="0.25">
      <c r="A5800" s="3" t="e">
        <f ca="1"/>
        <v>#NAME?</v>
      </c>
      <c r="B5800" s="2" t="s">
        <v>12</v>
      </c>
      <c r="C5800" s="2" t="s">
        <v>12</v>
      </c>
      <c r="D5800" s="2" t="s">
        <v>12</v>
      </c>
      <c r="E5800" s="2" t="s">
        <v>12</v>
      </c>
      <c r="F5800" s="2" t="s">
        <v>12</v>
      </c>
      <c r="G5800" s="2" t="s">
        <v>12</v>
      </c>
      <c r="H5800" s="2" t="s">
        <v>12</v>
      </c>
      <c r="I5800" s="2" t="s">
        <v>12</v>
      </c>
      <c r="J5800" s="2" t="s">
        <v>12</v>
      </c>
      <c r="K5800" s="2" t="s">
        <v>12</v>
      </c>
    </row>
    <row r="5801" spans="1:11" ht="12.5" x14ac:dyDescent="0.25">
      <c r="A5801" s="3" t="e">
        <f ca="1"/>
        <v>#NAME?</v>
      </c>
      <c r="B5801" s="2" t="s">
        <v>12</v>
      </c>
      <c r="C5801" s="2" t="s">
        <v>12</v>
      </c>
      <c r="D5801" s="2" t="s">
        <v>12</v>
      </c>
      <c r="E5801" s="2" t="s">
        <v>12</v>
      </c>
      <c r="F5801" s="2" t="s">
        <v>12</v>
      </c>
      <c r="G5801" s="2" t="s">
        <v>12</v>
      </c>
      <c r="H5801" s="2" t="s">
        <v>12</v>
      </c>
      <c r="I5801" s="2" t="s">
        <v>12</v>
      </c>
      <c r="J5801" s="2" t="s">
        <v>12</v>
      </c>
      <c r="K5801" s="2" t="s">
        <v>12</v>
      </c>
    </row>
    <row r="5802" spans="1:11" ht="12.5" x14ac:dyDescent="0.25">
      <c r="A5802" s="3" t="e">
        <f ca="1"/>
        <v>#NAME?</v>
      </c>
      <c r="B5802" s="2" t="s">
        <v>12</v>
      </c>
      <c r="C5802" s="2" t="s">
        <v>12</v>
      </c>
      <c r="D5802" s="2" t="s">
        <v>12</v>
      </c>
      <c r="E5802" s="2" t="s">
        <v>12</v>
      </c>
      <c r="F5802" s="2" t="s">
        <v>12</v>
      </c>
      <c r="G5802" s="2" t="s">
        <v>12</v>
      </c>
      <c r="H5802" s="2" t="s">
        <v>12</v>
      </c>
      <c r="I5802" s="2" t="s">
        <v>12</v>
      </c>
      <c r="J5802" s="2" t="s">
        <v>12</v>
      </c>
      <c r="K5802" s="2" t="s">
        <v>12</v>
      </c>
    </row>
    <row r="5803" spans="1:11" ht="12.5" x14ac:dyDescent="0.25">
      <c r="A5803" s="3" t="e">
        <f ca="1"/>
        <v>#NAME?</v>
      </c>
      <c r="B5803" s="2" t="s">
        <v>12</v>
      </c>
      <c r="C5803" s="2" t="s">
        <v>12</v>
      </c>
      <c r="D5803" s="2" t="s">
        <v>12</v>
      </c>
      <c r="E5803" s="2" t="s">
        <v>12</v>
      </c>
      <c r="F5803" s="2" t="s">
        <v>12</v>
      </c>
      <c r="G5803" s="2" t="s">
        <v>12</v>
      </c>
      <c r="H5803" s="2" t="s">
        <v>12</v>
      </c>
      <c r="I5803" s="2" t="s">
        <v>12</v>
      </c>
      <c r="J5803" s="2" t="s">
        <v>12</v>
      </c>
      <c r="K5803" s="2" t="s">
        <v>12</v>
      </c>
    </row>
    <row r="5804" spans="1:11" ht="12.5" x14ac:dyDescent="0.25">
      <c r="A5804" s="3" t="e">
        <f ca="1"/>
        <v>#NAME?</v>
      </c>
      <c r="B5804" s="2" t="s">
        <v>12</v>
      </c>
      <c r="C5804" s="2" t="s">
        <v>12</v>
      </c>
      <c r="D5804" s="2" t="s">
        <v>12</v>
      </c>
      <c r="E5804" s="2" t="s">
        <v>12</v>
      </c>
      <c r="F5804" s="2" t="s">
        <v>12</v>
      </c>
      <c r="G5804" s="2" t="s">
        <v>12</v>
      </c>
      <c r="H5804" s="2" t="s">
        <v>12</v>
      </c>
      <c r="I5804" s="2" t="s">
        <v>12</v>
      </c>
      <c r="J5804" s="2" t="s">
        <v>12</v>
      </c>
      <c r="K5804" s="2" t="s">
        <v>12</v>
      </c>
    </row>
    <row r="5805" spans="1:11" ht="12.5" x14ac:dyDescent="0.25">
      <c r="A5805" s="3" t="e">
        <f ca="1"/>
        <v>#NAME?</v>
      </c>
      <c r="B5805" s="2" t="s">
        <v>12</v>
      </c>
      <c r="C5805" s="2" t="s">
        <v>12</v>
      </c>
      <c r="D5805" s="2" t="s">
        <v>12</v>
      </c>
      <c r="E5805" s="2" t="s">
        <v>12</v>
      </c>
      <c r="F5805" s="2" t="s">
        <v>12</v>
      </c>
      <c r="G5805" s="2" t="s">
        <v>12</v>
      </c>
      <c r="H5805" s="2" t="s">
        <v>12</v>
      </c>
      <c r="I5805" s="2" t="s">
        <v>12</v>
      </c>
      <c r="J5805" s="2" t="s">
        <v>12</v>
      </c>
      <c r="K5805" s="2" t="s">
        <v>12</v>
      </c>
    </row>
    <row r="5806" spans="1:11" ht="12.5" x14ac:dyDescent="0.25">
      <c r="A5806" s="3" t="e">
        <f ca="1"/>
        <v>#NAME?</v>
      </c>
      <c r="B5806" s="2" t="s">
        <v>12</v>
      </c>
      <c r="C5806" s="2" t="s">
        <v>12</v>
      </c>
      <c r="D5806" s="2" t="s">
        <v>12</v>
      </c>
      <c r="E5806" s="2" t="s">
        <v>12</v>
      </c>
      <c r="F5806" s="2" t="s">
        <v>12</v>
      </c>
      <c r="G5806" s="2" t="s">
        <v>12</v>
      </c>
      <c r="H5806" s="2" t="s">
        <v>12</v>
      </c>
      <c r="I5806" s="2" t="s">
        <v>12</v>
      </c>
      <c r="J5806" s="2" t="s">
        <v>12</v>
      </c>
      <c r="K5806" s="2" t="s">
        <v>12</v>
      </c>
    </row>
    <row r="5807" spans="1:11" ht="12.5" x14ac:dyDescent="0.25">
      <c r="A5807" s="3" t="e">
        <f ca="1"/>
        <v>#NAME?</v>
      </c>
      <c r="B5807" s="2" t="s">
        <v>12</v>
      </c>
      <c r="C5807" s="2" t="s">
        <v>12</v>
      </c>
      <c r="D5807" s="2" t="s">
        <v>12</v>
      </c>
      <c r="E5807" s="2" t="s">
        <v>12</v>
      </c>
      <c r="F5807" s="2" t="s">
        <v>12</v>
      </c>
      <c r="G5807" s="2" t="s">
        <v>12</v>
      </c>
      <c r="H5807" s="2" t="s">
        <v>12</v>
      </c>
      <c r="I5807" s="2" t="s">
        <v>12</v>
      </c>
      <c r="J5807" s="2" t="s">
        <v>12</v>
      </c>
      <c r="K5807" s="2" t="s">
        <v>12</v>
      </c>
    </row>
    <row r="5808" spans="1:11" ht="12.5" x14ac:dyDescent="0.25">
      <c r="A5808" s="3" t="e">
        <f ca="1"/>
        <v>#NAME?</v>
      </c>
      <c r="B5808" s="2" t="s">
        <v>12</v>
      </c>
      <c r="C5808" s="2" t="s">
        <v>12</v>
      </c>
      <c r="D5808" s="2" t="s">
        <v>12</v>
      </c>
      <c r="E5808" s="2" t="s">
        <v>12</v>
      </c>
      <c r="F5808" s="2" t="s">
        <v>12</v>
      </c>
      <c r="G5808" s="2" t="s">
        <v>12</v>
      </c>
      <c r="H5808" s="2" t="s">
        <v>12</v>
      </c>
      <c r="I5808" s="2" t="s">
        <v>12</v>
      </c>
      <c r="J5808" s="2" t="s">
        <v>12</v>
      </c>
      <c r="K5808" s="2" t="s">
        <v>12</v>
      </c>
    </row>
    <row r="5809" spans="1:11" ht="12.5" x14ac:dyDescent="0.25">
      <c r="A5809" s="3" t="e">
        <f ca="1"/>
        <v>#NAME?</v>
      </c>
      <c r="B5809" s="2" t="s">
        <v>12</v>
      </c>
      <c r="C5809" s="2" t="s">
        <v>12</v>
      </c>
      <c r="D5809" s="2" t="s">
        <v>12</v>
      </c>
      <c r="E5809" s="2" t="s">
        <v>12</v>
      </c>
      <c r="F5809" s="2" t="s">
        <v>12</v>
      </c>
      <c r="G5809" s="2" t="s">
        <v>12</v>
      </c>
      <c r="H5809" s="2" t="s">
        <v>12</v>
      </c>
      <c r="I5809" s="2" t="s">
        <v>12</v>
      </c>
      <c r="J5809" s="2" t="s">
        <v>12</v>
      </c>
      <c r="K5809" s="2" t="s">
        <v>12</v>
      </c>
    </row>
    <row r="5810" spans="1:11" ht="12.5" x14ac:dyDescent="0.25">
      <c r="A5810" s="3" t="e">
        <f ca="1"/>
        <v>#NAME?</v>
      </c>
      <c r="B5810" s="2" t="s">
        <v>12</v>
      </c>
      <c r="C5810" s="2" t="s">
        <v>12</v>
      </c>
      <c r="D5810" s="2" t="s">
        <v>12</v>
      </c>
      <c r="E5810" s="2" t="s">
        <v>12</v>
      </c>
      <c r="F5810" s="2" t="s">
        <v>12</v>
      </c>
      <c r="G5810" s="2" t="s">
        <v>12</v>
      </c>
      <c r="H5810" s="2" t="s">
        <v>12</v>
      </c>
      <c r="I5810" s="2" t="s">
        <v>12</v>
      </c>
      <c r="J5810" s="2" t="s">
        <v>12</v>
      </c>
      <c r="K5810" s="2" t="s">
        <v>12</v>
      </c>
    </row>
    <row r="5811" spans="1:11" ht="12.5" x14ac:dyDescent="0.25">
      <c r="A5811" s="3" t="e">
        <f ca="1"/>
        <v>#NAME?</v>
      </c>
      <c r="B5811" s="2" t="s">
        <v>12</v>
      </c>
      <c r="C5811" s="2" t="s">
        <v>12</v>
      </c>
      <c r="D5811" s="2" t="s">
        <v>12</v>
      </c>
      <c r="E5811" s="2" t="s">
        <v>12</v>
      </c>
      <c r="F5811" s="2" t="s">
        <v>12</v>
      </c>
      <c r="G5811" s="2" t="s">
        <v>12</v>
      </c>
      <c r="H5811" s="2" t="s">
        <v>12</v>
      </c>
      <c r="I5811" s="2" t="s">
        <v>12</v>
      </c>
      <c r="J5811" s="2" t="s">
        <v>12</v>
      </c>
      <c r="K5811" s="2" t="s">
        <v>12</v>
      </c>
    </row>
    <row r="5812" spans="1:11" ht="12.5" x14ac:dyDescent="0.25">
      <c r="A5812" s="3" t="e">
        <f ca="1"/>
        <v>#NAME?</v>
      </c>
      <c r="B5812" s="2" t="s">
        <v>12</v>
      </c>
      <c r="C5812" s="2" t="s">
        <v>12</v>
      </c>
      <c r="D5812" s="2" t="s">
        <v>12</v>
      </c>
      <c r="E5812" s="2" t="s">
        <v>12</v>
      </c>
      <c r="F5812" s="2" t="s">
        <v>12</v>
      </c>
      <c r="G5812" s="2" t="s">
        <v>12</v>
      </c>
      <c r="H5812" s="2" t="s">
        <v>12</v>
      </c>
      <c r="I5812" s="2" t="s">
        <v>12</v>
      </c>
      <c r="J5812" s="2" t="s">
        <v>12</v>
      </c>
      <c r="K5812" s="2" t="s">
        <v>12</v>
      </c>
    </row>
    <row r="5813" spans="1:11" ht="12.5" x14ac:dyDescent="0.25">
      <c r="A5813" s="3" t="e">
        <f ca="1"/>
        <v>#NAME?</v>
      </c>
      <c r="B5813" s="2" t="s">
        <v>12</v>
      </c>
      <c r="C5813" s="2" t="s">
        <v>12</v>
      </c>
      <c r="D5813" s="2" t="s">
        <v>12</v>
      </c>
      <c r="E5813" s="2" t="s">
        <v>12</v>
      </c>
      <c r="F5813" s="2" t="s">
        <v>12</v>
      </c>
      <c r="G5813" s="2" t="s">
        <v>12</v>
      </c>
      <c r="H5813" s="2" t="s">
        <v>12</v>
      </c>
      <c r="I5813" s="2" t="s">
        <v>12</v>
      </c>
      <c r="J5813" s="2" t="s">
        <v>12</v>
      </c>
      <c r="K5813" s="2" t="s">
        <v>12</v>
      </c>
    </row>
    <row r="5814" spans="1:11" ht="12.5" x14ac:dyDescent="0.25">
      <c r="A5814" s="3" t="e">
        <f ca="1"/>
        <v>#NAME?</v>
      </c>
      <c r="B5814" s="2" t="s">
        <v>12</v>
      </c>
      <c r="C5814" s="2" t="s">
        <v>12</v>
      </c>
      <c r="D5814" s="2" t="s">
        <v>12</v>
      </c>
      <c r="E5814" s="2" t="s">
        <v>12</v>
      </c>
      <c r="F5814" s="2" t="s">
        <v>12</v>
      </c>
      <c r="G5814" s="2" t="s">
        <v>12</v>
      </c>
      <c r="H5814" s="2" t="s">
        <v>12</v>
      </c>
      <c r="I5814" s="2" t="s">
        <v>12</v>
      </c>
      <c r="J5814" s="2" t="s">
        <v>12</v>
      </c>
      <c r="K5814" s="2" t="s">
        <v>12</v>
      </c>
    </row>
    <row r="5815" spans="1:11" ht="12.5" x14ac:dyDescent="0.25">
      <c r="A5815" s="3" t="e">
        <f ca="1"/>
        <v>#NAME?</v>
      </c>
      <c r="B5815" s="2" t="s">
        <v>12</v>
      </c>
      <c r="C5815" s="2" t="s">
        <v>12</v>
      </c>
      <c r="D5815" s="2" t="s">
        <v>12</v>
      </c>
      <c r="E5815" s="2" t="s">
        <v>12</v>
      </c>
      <c r="F5815" s="2" t="s">
        <v>12</v>
      </c>
      <c r="G5815" s="2" t="s">
        <v>12</v>
      </c>
      <c r="H5815" s="2" t="s">
        <v>12</v>
      </c>
      <c r="I5815" s="2" t="s">
        <v>12</v>
      </c>
      <c r="J5815" s="2" t="s">
        <v>12</v>
      </c>
      <c r="K5815" s="2" t="s">
        <v>12</v>
      </c>
    </row>
    <row r="5816" spans="1:11" ht="12.5" x14ac:dyDescent="0.25">
      <c r="A5816" s="3" t="e">
        <f ca="1"/>
        <v>#NAME?</v>
      </c>
      <c r="B5816" s="2" t="s">
        <v>12</v>
      </c>
      <c r="C5816" s="2" t="s">
        <v>12</v>
      </c>
      <c r="D5816" s="2" t="s">
        <v>12</v>
      </c>
      <c r="E5816" s="2" t="s">
        <v>12</v>
      </c>
      <c r="F5816" s="2" t="s">
        <v>12</v>
      </c>
      <c r="G5816" s="2" t="s">
        <v>12</v>
      </c>
      <c r="H5816" s="2" t="s">
        <v>12</v>
      </c>
      <c r="I5816" s="2" t="s">
        <v>12</v>
      </c>
      <c r="J5816" s="2" t="s">
        <v>12</v>
      </c>
      <c r="K5816" s="2" t="s">
        <v>12</v>
      </c>
    </row>
    <row r="5817" spans="1:11" ht="12.5" x14ac:dyDescent="0.25">
      <c r="A5817" s="3" t="e">
        <f ca="1"/>
        <v>#NAME?</v>
      </c>
      <c r="B5817" s="2" t="s">
        <v>12</v>
      </c>
      <c r="C5817" s="2" t="s">
        <v>12</v>
      </c>
      <c r="D5817" s="2" t="s">
        <v>12</v>
      </c>
      <c r="E5817" s="2" t="s">
        <v>12</v>
      </c>
      <c r="F5817" s="2" t="s">
        <v>12</v>
      </c>
      <c r="G5817" s="2" t="s">
        <v>12</v>
      </c>
      <c r="H5817" s="2" t="s">
        <v>12</v>
      </c>
      <c r="I5817" s="2" t="s">
        <v>12</v>
      </c>
      <c r="J5817" s="2" t="s">
        <v>12</v>
      </c>
      <c r="K5817" s="2" t="s">
        <v>12</v>
      </c>
    </row>
    <row r="5818" spans="1:11" ht="12.5" x14ac:dyDescent="0.25">
      <c r="A5818" s="3" t="e">
        <f ca="1"/>
        <v>#NAME?</v>
      </c>
      <c r="B5818" s="2" t="s">
        <v>12</v>
      </c>
      <c r="C5818" s="2" t="s">
        <v>12</v>
      </c>
      <c r="D5818" s="2" t="s">
        <v>12</v>
      </c>
      <c r="E5818" s="2" t="s">
        <v>12</v>
      </c>
      <c r="F5818" s="2" t="s">
        <v>12</v>
      </c>
      <c r="G5818" s="2" t="s">
        <v>12</v>
      </c>
      <c r="H5818" s="2" t="s">
        <v>12</v>
      </c>
      <c r="I5818" s="2" t="s">
        <v>12</v>
      </c>
      <c r="J5818" s="2" t="s">
        <v>12</v>
      </c>
      <c r="K5818" s="2" t="s">
        <v>12</v>
      </c>
    </row>
    <row r="5819" spans="1:11" ht="12.5" x14ac:dyDescent="0.25">
      <c r="A5819" s="3" t="e">
        <f ca="1"/>
        <v>#NAME?</v>
      </c>
      <c r="B5819" s="2" t="s">
        <v>12</v>
      </c>
      <c r="C5819" s="2" t="s">
        <v>12</v>
      </c>
      <c r="D5819" s="2" t="s">
        <v>12</v>
      </c>
      <c r="E5819" s="2" t="s">
        <v>12</v>
      </c>
      <c r="F5819" s="2" t="s">
        <v>12</v>
      </c>
      <c r="G5819" s="2" t="s">
        <v>12</v>
      </c>
      <c r="H5819" s="2" t="s">
        <v>12</v>
      </c>
      <c r="I5819" s="2" t="s">
        <v>12</v>
      </c>
      <c r="J5819" s="2" t="s">
        <v>12</v>
      </c>
      <c r="K5819" s="2" t="s">
        <v>12</v>
      </c>
    </row>
    <row r="5820" spans="1:11" ht="12.5" x14ac:dyDescent="0.25">
      <c r="A5820" s="3" t="e">
        <f ca="1"/>
        <v>#NAME?</v>
      </c>
      <c r="B5820" s="2" t="s">
        <v>12</v>
      </c>
      <c r="C5820" s="2" t="s">
        <v>12</v>
      </c>
      <c r="D5820" s="2" t="s">
        <v>12</v>
      </c>
      <c r="E5820" s="2" t="s">
        <v>12</v>
      </c>
      <c r="F5820" s="2" t="s">
        <v>12</v>
      </c>
      <c r="G5820" s="2" t="s">
        <v>12</v>
      </c>
      <c r="H5820" s="2" t="s">
        <v>12</v>
      </c>
      <c r="I5820" s="2" t="s">
        <v>12</v>
      </c>
      <c r="J5820" s="2" t="s">
        <v>12</v>
      </c>
      <c r="K5820" s="2" t="s">
        <v>12</v>
      </c>
    </row>
    <row r="5821" spans="1:11" ht="12.5" x14ac:dyDescent="0.25">
      <c r="A5821" s="3" t="e">
        <f ca="1"/>
        <v>#NAME?</v>
      </c>
      <c r="B5821" s="2" t="s">
        <v>12</v>
      </c>
      <c r="C5821" s="2" t="s">
        <v>12</v>
      </c>
      <c r="D5821" s="2" t="s">
        <v>12</v>
      </c>
      <c r="E5821" s="2" t="s">
        <v>12</v>
      </c>
      <c r="F5821" s="2" t="s">
        <v>12</v>
      </c>
      <c r="G5821" s="2" t="s">
        <v>12</v>
      </c>
      <c r="H5821" s="2" t="s">
        <v>12</v>
      </c>
      <c r="I5821" s="2" t="s">
        <v>12</v>
      </c>
      <c r="J5821" s="2" t="s">
        <v>12</v>
      </c>
      <c r="K5821" s="2" t="s">
        <v>12</v>
      </c>
    </row>
    <row r="5822" spans="1:11" ht="12.5" x14ac:dyDescent="0.25">
      <c r="A5822" s="3" t="e">
        <f ca="1"/>
        <v>#NAME?</v>
      </c>
      <c r="B5822" s="2" t="s">
        <v>12</v>
      </c>
      <c r="C5822" s="2" t="s">
        <v>12</v>
      </c>
      <c r="D5822" s="2" t="s">
        <v>12</v>
      </c>
      <c r="E5822" s="2" t="s">
        <v>12</v>
      </c>
      <c r="F5822" s="2" t="s">
        <v>12</v>
      </c>
      <c r="G5822" s="2" t="s">
        <v>12</v>
      </c>
      <c r="H5822" s="2" t="s">
        <v>12</v>
      </c>
      <c r="I5822" s="2" t="s">
        <v>12</v>
      </c>
      <c r="J5822" s="2" t="s">
        <v>12</v>
      </c>
      <c r="K5822" s="2" t="s">
        <v>12</v>
      </c>
    </row>
    <row r="5823" spans="1:11" ht="12.5" x14ac:dyDescent="0.25">
      <c r="A5823" s="3" t="e">
        <f ca="1"/>
        <v>#NAME?</v>
      </c>
      <c r="B5823" s="2" t="s">
        <v>12</v>
      </c>
      <c r="C5823" s="2" t="s">
        <v>12</v>
      </c>
      <c r="D5823" s="2" t="s">
        <v>12</v>
      </c>
      <c r="E5823" s="2" t="s">
        <v>12</v>
      </c>
      <c r="F5823" s="2" t="s">
        <v>12</v>
      </c>
      <c r="G5823" s="2" t="s">
        <v>12</v>
      </c>
      <c r="H5823" s="2" t="s">
        <v>12</v>
      </c>
      <c r="I5823" s="2" t="s">
        <v>12</v>
      </c>
      <c r="J5823" s="2" t="s">
        <v>12</v>
      </c>
      <c r="K5823" s="2" t="s">
        <v>12</v>
      </c>
    </row>
    <row r="5824" spans="1:11" ht="12.5" x14ac:dyDescent="0.25">
      <c r="A5824" s="3" t="e">
        <f ca="1"/>
        <v>#NAME?</v>
      </c>
      <c r="B5824" s="2" t="s">
        <v>12</v>
      </c>
      <c r="C5824" s="2" t="s">
        <v>12</v>
      </c>
      <c r="D5824" s="2" t="s">
        <v>12</v>
      </c>
      <c r="E5824" s="2" t="s">
        <v>12</v>
      </c>
      <c r="F5824" s="2" t="s">
        <v>12</v>
      </c>
      <c r="G5824" s="2" t="s">
        <v>12</v>
      </c>
      <c r="H5824" s="2" t="s">
        <v>12</v>
      </c>
      <c r="I5824" s="2" t="s">
        <v>12</v>
      </c>
      <c r="J5824" s="2" t="s">
        <v>12</v>
      </c>
      <c r="K5824" s="2" t="s">
        <v>12</v>
      </c>
    </row>
    <row r="5825" spans="1:11" ht="12.5" x14ac:dyDescent="0.25">
      <c r="A5825" s="3" t="e">
        <f ca="1"/>
        <v>#NAME?</v>
      </c>
      <c r="B5825" s="2" t="s">
        <v>12</v>
      </c>
      <c r="C5825" s="2" t="s">
        <v>12</v>
      </c>
      <c r="D5825" s="2" t="s">
        <v>12</v>
      </c>
      <c r="E5825" s="2" t="s">
        <v>12</v>
      </c>
      <c r="F5825" s="2" t="s">
        <v>12</v>
      </c>
      <c r="G5825" s="2" t="s">
        <v>12</v>
      </c>
      <c r="H5825" s="2" t="s">
        <v>12</v>
      </c>
      <c r="I5825" s="2" t="s">
        <v>12</v>
      </c>
      <c r="J5825" s="2" t="s">
        <v>12</v>
      </c>
      <c r="K5825" s="2" t="s">
        <v>12</v>
      </c>
    </row>
    <row r="5826" spans="1:11" ht="12.5" x14ac:dyDescent="0.25">
      <c r="A5826" s="3" t="e">
        <f ca="1"/>
        <v>#NAME?</v>
      </c>
      <c r="B5826" s="2" t="s">
        <v>12</v>
      </c>
      <c r="C5826" s="2" t="s">
        <v>12</v>
      </c>
      <c r="D5826" s="2" t="s">
        <v>12</v>
      </c>
      <c r="E5826" s="2" t="s">
        <v>12</v>
      </c>
      <c r="F5826" s="2" t="s">
        <v>12</v>
      </c>
      <c r="G5826" s="2" t="s">
        <v>12</v>
      </c>
      <c r="H5826" s="2" t="s">
        <v>12</v>
      </c>
      <c r="I5826" s="2" t="s">
        <v>12</v>
      </c>
      <c r="J5826" s="2" t="s">
        <v>12</v>
      </c>
      <c r="K5826" s="2" t="s">
        <v>12</v>
      </c>
    </row>
    <row r="5827" spans="1:11" ht="12.5" x14ac:dyDescent="0.25">
      <c r="A5827" s="3" t="e">
        <f ca="1"/>
        <v>#NAME?</v>
      </c>
      <c r="B5827" s="2" t="s">
        <v>12</v>
      </c>
      <c r="C5827" s="2" t="s">
        <v>12</v>
      </c>
      <c r="D5827" s="2" t="s">
        <v>12</v>
      </c>
      <c r="E5827" s="2" t="s">
        <v>12</v>
      </c>
      <c r="F5827" s="2" t="s">
        <v>12</v>
      </c>
      <c r="G5827" s="2" t="s">
        <v>12</v>
      </c>
      <c r="H5827" s="2" t="s">
        <v>12</v>
      </c>
      <c r="I5827" s="2" t="s">
        <v>12</v>
      </c>
      <c r="J5827" s="2" t="s">
        <v>12</v>
      </c>
      <c r="K5827" s="2" t="s">
        <v>12</v>
      </c>
    </row>
    <row r="5828" spans="1:11" ht="12.5" x14ac:dyDescent="0.25">
      <c r="A5828" s="3" t="e">
        <f ca="1"/>
        <v>#NAME?</v>
      </c>
      <c r="B5828" s="2" t="s">
        <v>12</v>
      </c>
      <c r="C5828" s="2" t="s">
        <v>12</v>
      </c>
      <c r="D5828" s="2" t="s">
        <v>12</v>
      </c>
      <c r="E5828" s="2" t="s">
        <v>12</v>
      </c>
      <c r="F5828" s="2" t="s">
        <v>12</v>
      </c>
      <c r="G5828" s="2" t="s">
        <v>12</v>
      </c>
      <c r="H5828" s="2" t="s">
        <v>12</v>
      </c>
      <c r="I5828" s="2" t="s">
        <v>12</v>
      </c>
      <c r="J5828" s="2" t="s">
        <v>12</v>
      </c>
      <c r="K5828" s="2" t="s">
        <v>12</v>
      </c>
    </row>
    <row r="5829" spans="1:11" ht="12.5" x14ac:dyDescent="0.25">
      <c r="A5829" s="3" t="e">
        <f ca="1"/>
        <v>#NAME?</v>
      </c>
      <c r="B5829" s="2" t="s">
        <v>12</v>
      </c>
      <c r="C5829" s="2" t="s">
        <v>12</v>
      </c>
      <c r="D5829" s="2" t="s">
        <v>12</v>
      </c>
      <c r="E5829" s="2" t="s">
        <v>12</v>
      </c>
      <c r="F5829" s="2" t="s">
        <v>12</v>
      </c>
      <c r="G5829" s="2" t="s">
        <v>12</v>
      </c>
      <c r="H5829" s="2" t="s">
        <v>12</v>
      </c>
      <c r="I5829" s="2" t="s">
        <v>12</v>
      </c>
      <c r="J5829" s="2" t="s">
        <v>12</v>
      </c>
      <c r="K5829" s="2" t="s">
        <v>12</v>
      </c>
    </row>
    <row r="5830" spans="1:11" ht="12.5" x14ac:dyDescent="0.25">
      <c r="A5830" s="3" t="e">
        <f ca="1"/>
        <v>#NAME?</v>
      </c>
      <c r="B5830" s="2" t="s">
        <v>12</v>
      </c>
      <c r="C5830" s="2" t="s">
        <v>12</v>
      </c>
      <c r="D5830" s="2" t="s">
        <v>12</v>
      </c>
      <c r="E5830" s="2" t="s">
        <v>12</v>
      </c>
      <c r="F5830" s="2" t="s">
        <v>12</v>
      </c>
      <c r="G5830" s="2" t="s">
        <v>12</v>
      </c>
      <c r="H5830" s="2" t="s">
        <v>12</v>
      </c>
      <c r="I5830" s="2" t="s">
        <v>12</v>
      </c>
      <c r="J5830" s="2" t="s">
        <v>12</v>
      </c>
      <c r="K5830" s="2" t="s">
        <v>12</v>
      </c>
    </row>
    <row r="5831" spans="1:11" ht="12.5" x14ac:dyDescent="0.25">
      <c r="A5831" s="3" t="e">
        <f ca="1"/>
        <v>#NAME?</v>
      </c>
      <c r="B5831" s="2" t="s">
        <v>12</v>
      </c>
      <c r="C5831" s="2" t="s">
        <v>12</v>
      </c>
      <c r="D5831" s="2" t="s">
        <v>12</v>
      </c>
      <c r="E5831" s="2" t="s">
        <v>12</v>
      </c>
      <c r="F5831" s="2" t="s">
        <v>12</v>
      </c>
      <c r="G5831" s="2" t="s">
        <v>12</v>
      </c>
      <c r="H5831" s="2" t="s">
        <v>12</v>
      </c>
      <c r="I5831" s="2" t="s">
        <v>12</v>
      </c>
      <c r="J5831" s="2" t="s">
        <v>12</v>
      </c>
      <c r="K5831" s="2" t="s">
        <v>12</v>
      </c>
    </row>
    <row r="5832" spans="1:11" ht="12.5" x14ac:dyDescent="0.25">
      <c r="A5832" s="3" t="e">
        <f ca="1"/>
        <v>#NAME?</v>
      </c>
      <c r="B5832" s="2" t="s">
        <v>12</v>
      </c>
      <c r="C5832" s="2" t="s">
        <v>12</v>
      </c>
      <c r="D5832" s="2" t="s">
        <v>12</v>
      </c>
      <c r="E5832" s="2" t="s">
        <v>12</v>
      </c>
      <c r="F5832" s="2" t="s">
        <v>12</v>
      </c>
      <c r="G5832" s="2" t="s">
        <v>12</v>
      </c>
      <c r="H5832" s="2" t="s">
        <v>12</v>
      </c>
      <c r="I5832" s="2" t="s">
        <v>12</v>
      </c>
      <c r="J5832" s="2" t="s">
        <v>12</v>
      </c>
      <c r="K5832" s="2" t="s">
        <v>12</v>
      </c>
    </row>
    <row r="5833" spans="1:11" ht="12.5" x14ac:dyDescent="0.25">
      <c r="A5833" s="3" t="e">
        <f ca="1"/>
        <v>#NAME?</v>
      </c>
      <c r="B5833" s="2" t="s">
        <v>12</v>
      </c>
      <c r="C5833" s="2" t="s">
        <v>12</v>
      </c>
      <c r="D5833" s="2" t="s">
        <v>12</v>
      </c>
      <c r="E5833" s="2" t="s">
        <v>12</v>
      </c>
      <c r="F5833" s="2" t="s">
        <v>12</v>
      </c>
      <c r="G5833" s="2" t="s">
        <v>12</v>
      </c>
      <c r="H5833" s="2" t="s">
        <v>12</v>
      </c>
      <c r="I5833" s="2" t="s">
        <v>12</v>
      </c>
      <c r="J5833" s="2" t="s">
        <v>12</v>
      </c>
      <c r="K5833" s="2" t="s">
        <v>12</v>
      </c>
    </row>
    <row r="5834" spans="1:11" ht="12.5" x14ac:dyDescent="0.25">
      <c r="A5834" s="3" t="e">
        <f ca="1"/>
        <v>#NAME?</v>
      </c>
      <c r="B5834" s="2" t="s">
        <v>12</v>
      </c>
      <c r="C5834" s="2" t="s">
        <v>12</v>
      </c>
      <c r="D5834" s="2" t="s">
        <v>12</v>
      </c>
      <c r="E5834" s="2" t="s">
        <v>12</v>
      </c>
      <c r="F5834" s="2" t="s">
        <v>12</v>
      </c>
      <c r="G5834" s="2" t="s">
        <v>12</v>
      </c>
      <c r="H5834" s="2" t="s">
        <v>12</v>
      </c>
      <c r="I5834" s="2" t="s">
        <v>12</v>
      </c>
      <c r="J5834" s="2" t="s">
        <v>12</v>
      </c>
      <c r="K5834" s="2" t="s">
        <v>12</v>
      </c>
    </row>
    <row r="5835" spans="1:11" ht="12.5" x14ac:dyDescent="0.25">
      <c r="A5835" s="3" t="e">
        <f ca="1"/>
        <v>#NAME?</v>
      </c>
      <c r="B5835" s="2" t="s">
        <v>12</v>
      </c>
      <c r="C5835" s="2" t="s">
        <v>12</v>
      </c>
      <c r="D5835" s="2" t="s">
        <v>12</v>
      </c>
      <c r="E5835" s="2" t="s">
        <v>12</v>
      </c>
      <c r="F5835" s="2" t="s">
        <v>12</v>
      </c>
      <c r="G5835" s="2" t="s">
        <v>12</v>
      </c>
      <c r="H5835" s="2" t="s">
        <v>12</v>
      </c>
      <c r="I5835" s="2" t="s">
        <v>12</v>
      </c>
      <c r="J5835" s="2" t="s">
        <v>12</v>
      </c>
      <c r="K5835" s="2" t="s">
        <v>12</v>
      </c>
    </row>
    <row r="5836" spans="1:11" ht="12.5" x14ac:dyDescent="0.25">
      <c r="A5836" s="3" t="e">
        <f ca="1"/>
        <v>#NAME?</v>
      </c>
      <c r="B5836" s="2" t="s">
        <v>12</v>
      </c>
      <c r="C5836" s="2" t="s">
        <v>12</v>
      </c>
      <c r="D5836" s="2" t="s">
        <v>12</v>
      </c>
      <c r="E5836" s="2" t="s">
        <v>12</v>
      </c>
      <c r="F5836" s="2" t="s">
        <v>12</v>
      </c>
      <c r="G5836" s="2" t="s">
        <v>12</v>
      </c>
      <c r="H5836" s="2" t="s">
        <v>12</v>
      </c>
      <c r="I5836" s="2" t="s">
        <v>12</v>
      </c>
      <c r="J5836" s="2" t="s">
        <v>12</v>
      </c>
      <c r="K5836" s="2" t="s">
        <v>12</v>
      </c>
    </row>
    <row r="5837" spans="1:11" ht="12.5" x14ac:dyDescent="0.25">
      <c r="A5837" s="3" t="e">
        <f ca="1"/>
        <v>#NAME?</v>
      </c>
      <c r="B5837" s="2" t="s">
        <v>12</v>
      </c>
      <c r="C5837" s="2" t="s">
        <v>12</v>
      </c>
      <c r="D5837" s="2" t="s">
        <v>12</v>
      </c>
      <c r="E5837" s="2" t="s">
        <v>12</v>
      </c>
      <c r="F5837" s="2" t="s">
        <v>12</v>
      </c>
      <c r="G5837" s="2" t="s">
        <v>12</v>
      </c>
      <c r="H5837" s="2" t="s">
        <v>12</v>
      </c>
      <c r="I5837" s="2" t="s">
        <v>12</v>
      </c>
      <c r="J5837" s="2" t="s">
        <v>12</v>
      </c>
      <c r="K5837" s="2" t="s">
        <v>12</v>
      </c>
    </row>
    <row r="5838" spans="1:11" ht="12.5" x14ac:dyDescent="0.25">
      <c r="A5838" s="3" t="e">
        <f ca="1"/>
        <v>#NAME?</v>
      </c>
      <c r="B5838" s="2" t="s">
        <v>12</v>
      </c>
      <c r="C5838" s="2" t="s">
        <v>12</v>
      </c>
      <c r="D5838" s="2" t="s">
        <v>12</v>
      </c>
      <c r="E5838" s="2" t="s">
        <v>12</v>
      </c>
      <c r="F5838" s="2" t="s">
        <v>12</v>
      </c>
      <c r="G5838" s="2" t="s">
        <v>12</v>
      </c>
      <c r="H5838" s="2" t="s">
        <v>12</v>
      </c>
      <c r="I5838" s="2" t="s">
        <v>12</v>
      </c>
      <c r="J5838" s="2" t="s">
        <v>12</v>
      </c>
      <c r="K5838" s="2" t="s">
        <v>12</v>
      </c>
    </row>
    <row r="5839" spans="1:11" ht="12.5" x14ac:dyDescent="0.25">
      <c r="A5839" s="3" t="e">
        <f ca="1"/>
        <v>#NAME?</v>
      </c>
      <c r="B5839" s="2" t="s">
        <v>12</v>
      </c>
      <c r="C5839" s="2" t="s">
        <v>12</v>
      </c>
      <c r="D5839" s="2" t="s">
        <v>12</v>
      </c>
      <c r="E5839" s="2" t="s">
        <v>12</v>
      </c>
      <c r="F5839" s="2" t="s">
        <v>12</v>
      </c>
      <c r="G5839" s="2" t="s">
        <v>12</v>
      </c>
      <c r="H5839" s="2" t="s">
        <v>12</v>
      </c>
      <c r="I5839" s="2" t="s">
        <v>12</v>
      </c>
      <c r="J5839" s="2" t="s">
        <v>12</v>
      </c>
      <c r="K5839" s="2" t="s">
        <v>12</v>
      </c>
    </row>
    <row r="5840" spans="1:11" ht="12.5" x14ac:dyDescent="0.25">
      <c r="A5840" s="3" t="e">
        <f ca="1"/>
        <v>#NAME?</v>
      </c>
      <c r="B5840" s="2" t="s">
        <v>12</v>
      </c>
      <c r="C5840" s="2" t="s">
        <v>12</v>
      </c>
      <c r="D5840" s="2" t="s">
        <v>12</v>
      </c>
      <c r="E5840" s="2" t="s">
        <v>12</v>
      </c>
      <c r="F5840" s="2" t="s">
        <v>12</v>
      </c>
      <c r="G5840" s="2" t="s">
        <v>12</v>
      </c>
      <c r="H5840" s="2" t="s">
        <v>12</v>
      </c>
      <c r="I5840" s="2" t="s">
        <v>12</v>
      </c>
      <c r="J5840" s="2" t="s">
        <v>12</v>
      </c>
      <c r="K5840" s="2" t="s">
        <v>12</v>
      </c>
    </row>
    <row r="5841" spans="1:11" ht="12.5" x14ac:dyDescent="0.25">
      <c r="A5841" s="3" t="e">
        <f ca="1"/>
        <v>#NAME?</v>
      </c>
      <c r="B5841" s="2" t="s">
        <v>12</v>
      </c>
      <c r="C5841" s="2" t="s">
        <v>12</v>
      </c>
      <c r="D5841" s="2" t="s">
        <v>12</v>
      </c>
      <c r="E5841" s="2" t="s">
        <v>12</v>
      </c>
      <c r="F5841" s="2" t="s">
        <v>12</v>
      </c>
      <c r="G5841" s="2" t="s">
        <v>12</v>
      </c>
      <c r="H5841" s="2" t="s">
        <v>12</v>
      </c>
      <c r="I5841" s="2" t="s">
        <v>12</v>
      </c>
      <c r="J5841" s="2" t="s">
        <v>12</v>
      </c>
      <c r="K5841" s="2" t="s">
        <v>12</v>
      </c>
    </row>
    <row r="5842" spans="1:11" ht="12.5" x14ac:dyDescent="0.25">
      <c r="A5842" s="3" t="e">
        <f ca="1"/>
        <v>#NAME?</v>
      </c>
      <c r="B5842" s="2" t="s">
        <v>12</v>
      </c>
      <c r="C5842" s="2" t="s">
        <v>12</v>
      </c>
      <c r="D5842" s="2" t="s">
        <v>12</v>
      </c>
      <c r="E5842" s="2" t="s">
        <v>12</v>
      </c>
      <c r="F5842" s="2" t="s">
        <v>12</v>
      </c>
      <c r="G5842" s="2" t="s">
        <v>12</v>
      </c>
      <c r="H5842" s="2" t="s">
        <v>12</v>
      </c>
      <c r="I5842" s="2" t="s">
        <v>12</v>
      </c>
      <c r="J5842" s="2" t="s">
        <v>12</v>
      </c>
      <c r="K5842" s="2" t="s">
        <v>12</v>
      </c>
    </row>
    <row r="5843" spans="1:11" ht="12.5" x14ac:dyDescent="0.25">
      <c r="A5843" s="3" t="e">
        <f ca="1"/>
        <v>#NAME?</v>
      </c>
      <c r="B5843" s="2" t="s">
        <v>12</v>
      </c>
      <c r="C5843" s="2" t="s">
        <v>12</v>
      </c>
      <c r="D5843" s="2" t="s">
        <v>12</v>
      </c>
      <c r="E5843" s="2" t="s">
        <v>12</v>
      </c>
      <c r="F5843" s="2" t="s">
        <v>12</v>
      </c>
      <c r="G5843" s="2" t="s">
        <v>12</v>
      </c>
      <c r="H5843" s="2" t="s">
        <v>12</v>
      </c>
      <c r="I5843" s="2" t="s">
        <v>12</v>
      </c>
      <c r="J5843" s="2" t="s">
        <v>12</v>
      </c>
      <c r="K5843" s="2" t="s">
        <v>12</v>
      </c>
    </row>
    <row r="5844" spans="1:11" ht="12.5" x14ac:dyDescent="0.25">
      <c r="A5844" s="3" t="e">
        <f ca="1"/>
        <v>#NAME?</v>
      </c>
      <c r="B5844" s="2" t="s">
        <v>12</v>
      </c>
      <c r="C5844" s="2" t="s">
        <v>12</v>
      </c>
      <c r="D5844" s="2" t="s">
        <v>12</v>
      </c>
      <c r="E5844" s="2" t="s">
        <v>12</v>
      </c>
      <c r="F5844" s="2" t="s">
        <v>12</v>
      </c>
      <c r="G5844" s="2" t="s">
        <v>12</v>
      </c>
      <c r="H5844" s="2" t="s">
        <v>12</v>
      </c>
      <c r="I5844" s="2" t="s">
        <v>12</v>
      </c>
      <c r="J5844" s="2" t="s">
        <v>12</v>
      </c>
      <c r="K5844" s="2" t="s">
        <v>12</v>
      </c>
    </row>
    <row r="5845" spans="1:11" ht="12.5" x14ac:dyDescent="0.25">
      <c r="A5845" s="3" t="e">
        <f ca="1"/>
        <v>#NAME?</v>
      </c>
      <c r="B5845" s="2" t="s">
        <v>12</v>
      </c>
      <c r="C5845" s="2" t="s">
        <v>12</v>
      </c>
      <c r="D5845" s="2" t="s">
        <v>12</v>
      </c>
      <c r="E5845" s="2" t="s">
        <v>12</v>
      </c>
      <c r="F5845" s="2" t="s">
        <v>12</v>
      </c>
      <c r="G5845" s="2" t="s">
        <v>12</v>
      </c>
      <c r="H5845" s="2" t="s">
        <v>12</v>
      </c>
      <c r="I5845" s="2" t="s">
        <v>12</v>
      </c>
      <c r="J5845" s="2" t="s">
        <v>12</v>
      </c>
      <c r="K5845" s="2" t="s">
        <v>12</v>
      </c>
    </row>
    <row r="5846" spans="1:11" ht="12.5" x14ac:dyDescent="0.25">
      <c r="A5846" s="3" t="e">
        <f ca="1"/>
        <v>#NAME?</v>
      </c>
      <c r="B5846" s="2" t="s">
        <v>12</v>
      </c>
      <c r="C5846" s="2" t="s">
        <v>12</v>
      </c>
      <c r="D5846" s="2" t="s">
        <v>12</v>
      </c>
      <c r="E5846" s="2" t="s">
        <v>12</v>
      </c>
      <c r="F5846" s="2" t="s">
        <v>12</v>
      </c>
      <c r="G5846" s="2" t="s">
        <v>12</v>
      </c>
      <c r="H5846" s="2" t="s">
        <v>12</v>
      </c>
      <c r="I5846" s="2" t="s">
        <v>12</v>
      </c>
      <c r="J5846" s="2" t="s">
        <v>12</v>
      </c>
      <c r="K5846" s="2" t="s">
        <v>12</v>
      </c>
    </row>
    <row r="5847" spans="1:11" ht="12.5" x14ac:dyDescent="0.25">
      <c r="A5847" s="3" t="e">
        <f ca="1"/>
        <v>#NAME?</v>
      </c>
      <c r="B5847" s="2" t="s">
        <v>12</v>
      </c>
      <c r="C5847" s="2" t="s">
        <v>12</v>
      </c>
      <c r="D5847" s="2" t="s">
        <v>12</v>
      </c>
      <c r="E5847" s="2" t="s">
        <v>12</v>
      </c>
      <c r="F5847" s="2" t="s">
        <v>12</v>
      </c>
      <c r="G5847" s="2" t="s">
        <v>12</v>
      </c>
      <c r="H5847" s="2" t="s">
        <v>12</v>
      </c>
      <c r="I5847" s="2" t="s">
        <v>12</v>
      </c>
      <c r="J5847" s="2" t="s">
        <v>12</v>
      </c>
      <c r="K5847" s="2" t="s">
        <v>12</v>
      </c>
    </row>
    <row r="5848" spans="1:11" ht="12.5" x14ac:dyDescent="0.25">
      <c r="A5848" s="3" t="e">
        <f ca="1"/>
        <v>#NAME?</v>
      </c>
      <c r="B5848" s="2" t="s">
        <v>12</v>
      </c>
      <c r="C5848" s="2" t="s">
        <v>12</v>
      </c>
      <c r="D5848" s="2" t="s">
        <v>12</v>
      </c>
      <c r="E5848" s="2" t="s">
        <v>12</v>
      </c>
      <c r="F5848" s="2" t="s">
        <v>12</v>
      </c>
      <c r="G5848" s="2" t="s">
        <v>12</v>
      </c>
      <c r="H5848" s="2" t="s">
        <v>12</v>
      </c>
      <c r="I5848" s="2" t="s">
        <v>12</v>
      </c>
      <c r="J5848" s="2" t="s">
        <v>12</v>
      </c>
      <c r="K5848" s="2" t="s">
        <v>12</v>
      </c>
    </row>
    <row r="5849" spans="1:11" ht="12.5" x14ac:dyDescent="0.25">
      <c r="A5849" s="3" t="e">
        <f ca="1"/>
        <v>#NAME?</v>
      </c>
      <c r="B5849" s="2" t="s">
        <v>12</v>
      </c>
      <c r="C5849" s="2" t="s">
        <v>12</v>
      </c>
      <c r="D5849" s="2" t="s">
        <v>12</v>
      </c>
      <c r="E5849" s="2" t="s">
        <v>12</v>
      </c>
      <c r="F5849" s="2" t="s">
        <v>12</v>
      </c>
      <c r="G5849" s="2" t="s">
        <v>12</v>
      </c>
      <c r="H5849" s="2" t="s">
        <v>12</v>
      </c>
      <c r="I5849" s="2" t="s">
        <v>12</v>
      </c>
      <c r="J5849" s="2" t="s">
        <v>12</v>
      </c>
      <c r="K5849" s="2" t="s">
        <v>12</v>
      </c>
    </row>
    <row r="5850" spans="1:11" ht="12.5" x14ac:dyDescent="0.25">
      <c r="A5850" s="3" t="e">
        <f ca="1"/>
        <v>#NAME?</v>
      </c>
      <c r="B5850" s="2" t="s">
        <v>12</v>
      </c>
      <c r="C5850" s="2" t="s">
        <v>12</v>
      </c>
      <c r="D5850" s="2" t="s">
        <v>12</v>
      </c>
      <c r="E5850" s="2" t="s">
        <v>12</v>
      </c>
      <c r="F5850" s="2" t="s">
        <v>12</v>
      </c>
      <c r="G5850" s="2" t="s">
        <v>12</v>
      </c>
      <c r="H5850" s="2" t="s">
        <v>12</v>
      </c>
      <c r="I5850" s="2" t="s">
        <v>12</v>
      </c>
      <c r="J5850" s="2" t="s">
        <v>12</v>
      </c>
      <c r="K5850" s="2" t="s">
        <v>12</v>
      </c>
    </row>
    <row r="5851" spans="1:11" ht="12.5" x14ac:dyDescent="0.25">
      <c r="A5851" s="3" t="e">
        <f ca="1"/>
        <v>#NAME?</v>
      </c>
      <c r="B5851" s="2" t="s">
        <v>12</v>
      </c>
      <c r="C5851" s="2" t="s">
        <v>12</v>
      </c>
      <c r="D5851" s="2" t="s">
        <v>12</v>
      </c>
      <c r="E5851" s="2" t="s">
        <v>12</v>
      </c>
      <c r="F5851" s="2" t="s">
        <v>12</v>
      </c>
      <c r="G5851" s="2" t="s">
        <v>12</v>
      </c>
      <c r="H5851" s="2" t="s">
        <v>12</v>
      </c>
      <c r="I5851" s="2" t="s">
        <v>12</v>
      </c>
      <c r="J5851" s="2" t="s">
        <v>12</v>
      </c>
      <c r="K5851" s="2" t="s">
        <v>12</v>
      </c>
    </row>
    <row r="5852" spans="1:11" ht="12.5" x14ac:dyDescent="0.25">
      <c r="A5852" s="3" t="e">
        <f ca="1"/>
        <v>#NAME?</v>
      </c>
      <c r="B5852" s="2" t="s">
        <v>12</v>
      </c>
      <c r="C5852" s="2" t="s">
        <v>12</v>
      </c>
      <c r="D5852" s="2" t="s">
        <v>12</v>
      </c>
      <c r="E5852" s="2" t="s">
        <v>12</v>
      </c>
      <c r="F5852" s="2" t="s">
        <v>12</v>
      </c>
      <c r="G5852" s="2" t="s">
        <v>12</v>
      </c>
      <c r="H5852" s="2" t="s">
        <v>12</v>
      </c>
      <c r="I5852" s="2" t="s">
        <v>12</v>
      </c>
      <c r="J5852" s="2" t="s">
        <v>12</v>
      </c>
      <c r="K5852" s="2" t="s">
        <v>12</v>
      </c>
    </row>
    <row r="5853" spans="1:11" ht="12.5" x14ac:dyDescent="0.25">
      <c r="A5853" s="3" t="e">
        <f ca="1"/>
        <v>#NAME?</v>
      </c>
      <c r="B5853" s="2" t="s">
        <v>12</v>
      </c>
      <c r="C5853" s="2" t="s">
        <v>12</v>
      </c>
      <c r="D5853" s="2" t="s">
        <v>12</v>
      </c>
      <c r="E5853" s="2" t="s">
        <v>12</v>
      </c>
      <c r="F5853" s="2" t="s">
        <v>12</v>
      </c>
      <c r="G5853" s="2" t="s">
        <v>12</v>
      </c>
      <c r="H5853" s="2" t="s">
        <v>12</v>
      </c>
      <c r="I5853" s="2" t="s">
        <v>12</v>
      </c>
      <c r="J5853" s="2" t="s">
        <v>12</v>
      </c>
      <c r="K5853" s="2" t="s">
        <v>12</v>
      </c>
    </row>
    <row r="5854" spans="1:11" ht="12.5" x14ac:dyDescent="0.25">
      <c r="A5854" s="3" t="e">
        <f ca="1"/>
        <v>#NAME?</v>
      </c>
      <c r="B5854" s="2" t="s">
        <v>12</v>
      </c>
      <c r="C5854" s="2" t="s">
        <v>12</v>
      </c>
      <c r="D5854" s="2" t="s">
        <v>12</v>
      </c>
      <c r="E5854" s="2" t="s">
        <v>12</v>
      </c>
      <c r="F5854" s="2" t="s">
        <v>12</v>
      </c>
      <c r="G5854" s="2" t="s">
        <v>12</v>
      </c>
      <c r="H5854" s="2" t="s">
        <v>12</v>
      </c>
      <c r="I5854" s="2" t="s">
        <v>12</v>
      </c>
      <c r="J5854" s="2" t="s">
        <v>12</v>
      </c>
      <c r="K5854" s="2" t="s">
        <v>12</v>
      </c>
    </row>
    <row r="5855" spans="1:11" ht="12.5" x14ac:dyDescent="0.25">
      <c r="A5855" s="3" t="e">
        <f ca="1"/>
        <v>#NAME?</v>
      </c>
      <c r="B5855" s="2" t="s">
        <v>12</v>
      </c>
      <c r="C5855" s="2" t="s">
        <v>12</v>
      </c>
      <c r="D5855" s="2" t="s">
        <v>12</v>
      </c>
      <c r="E5855" s="2" t="s">
        <v>12</v>
      </c>
      <c r="F5855" s="2" t="s">
        <v>12</v>
      </c>
      <c r="G5855" s="2" t="s">
        <v>12</v>
      </c>
      <c r="H5855" s="2" t="s">
        <v>12</v>
      </c>
      <c r="I5855" s="2" t="s">
        <v>12</v>
      </c>
      <c r="J5855" s="2" t="s">
        <v>12</v>
      </c>
      <c r="K5855" s="2" t="s">
        <v>12</v>
      </c>
    </row>
    <row r="5856" spans="1:11" ht="12.5" x14ac:dyDescent="0.25">
      <c r="A5856" s="3" t="e">
        <f ca="1"/>
        <v>#NAME?</v>
      </c>
      <c r="B5856" s="2" t="s">
        <v>12</v>
      </c>
      <c r="C5856" s="2" t="s">
        <v>12</v>
      </c>
      <c r="D5856" s="2" t="s">
        <v>12</v>
      </c>
      <c r="E5856" s="2" t="s">
        <v>12</v>
      </c>
      <c r="F5856" s="2" t="s">
        <v>12</v>
      </c>
      <c r="G5856" s="2" t="s">
        <v>12</v>
      </c>
      <c r="H5856" s="2" t="s">
        <v>12</v>
      </c>
      <c r="I5856" s="2" t="s">
        <v>12</v>
      </c>
      <c r="J5856" s="2" t="s">
        <v>12</v>
      </c>
      <c r="K5856" s="2" t="s">
        <v>12</v>
      </c>
    </row>
    <row r="5857" spans="1:11" ht="12.5" x14ac:dyDescent="0.25">
      <c r="A5857" s="3" t="e">
        <f ca="1"/>
        <v>#NAME?</v>
      </c>
      <c r="B5857" s="2" t="s">
        <v>12</v>
      </c>
      <c r="C5857" s="2" t="s">
        <v>12</v>
      </c>
      <c r="D5857" s="2" t="s">
        <v>12</v>
      </c>
      <c r="E5857" s="2" t="s">
        <v>12</v>
      </c>
      <c r="F5857" s="2" t="s">
        <v>12</v>
      </c>
      <c r="G5857" s="2" t="s">
        <v>12</v>
      </c>
      <c r="H5857" s="2" t="s">
        <v>12</v>
      </c>
      <c r="I5857" s="2" t="s">
        <v>12</v>
      </c>
      <c r="J5857" s="2" t="s">
        <v>12</v>
      </c>
      <c r="K5857" s="2" t="s">
        <v>12</v>
      </c>
    </row>
    <row r="5858" spans="1:11" ht="12.5" x14ac:dyDescent="0.25">
      <c r="A5858" s="3" t="e">
        <f ca="1"/>
        <v>#NAME?</v>
      </c>
      <c r="B5858" s="2" t="s">
        <v>12</v>
      </c>
      <c r="C5858" s="2" t="s">
        <v>12</v>
      </c>
      <c r="D5858" s="2" t="s">
        <v>12</v>
      </c>
      <c r="E5858" s="2" t="s">
        <v>12</v>
      </c>
      <c r="F5858" s="2" t="s">
        <v>12</v>
      </c>
      <c r="G5858" s="2" t="s">
        <v>12</v>
      </c>
      <c r="H5858" s="2" t="s">
        <v>12</v>
      </c>
      <c r="I5858" s="2" t="s">
        <v>12</v>
      </c>
      <c r="J5858" s="2" t="s">
        <v>12</v>
      </c>
      <c r="K5858" s="2" t="s">
        <v>12</v>
      </c>
    </row>
    <row r="5859" spans="1:11" ht="12.5" x14ac:dyDescent="0.25">
      <c r="A5859" s="3" t="e">
        <f ca="1"/>
        <v>#NAME?</v>
      </c>
      <c r="B5859" s="2" t="s">
        <v>12</v>
      </c>
      <c r="C5859" s="2" t="s">
        <v>12</v>
      </c>
      <c r="D5859" s="2" t="s">
        <v>12</v>
      </c>
      <c r="E5859" s="2" t="s">
        <v>12</v>
      </c>
      <c r="F5859" s="2" t="s">
        <v>12</v>
      </c>
      <c r="G5859" s="2" t="s">
        <v>12</v>
      </c>
      <c r="H5859" s="2" t="s">
        <v>12</v>
      </c>
      <c r="I5859" s="2" t="s">
        <v>12</v>
      </c>
      <c r="J5859" s="2" t="s">
        <v>12</v>
      </c>
      <c r="K5859" s="2" t="s">
        <v>12</v>
      </c>
    </row>
    <row r="5860" spans="1:11" ht="12.5" x14ac:dyDescent="0.25">
      <c r="A5860" s="3" t="e">
        <f ca="1"/>
        <v>#NAME?</v>
      </c>
      <c r="B5860" s="2" t="s">
        <v>12</v>
      </c>
      <c r="C5860" s="2" t="s">
        <v>12</v>
      </c>
      <c r="D5860" s="2" t="s">
        <v>12</v>
      </c>
      <c r="E5860" s="2" t="s">
        <v>12</v>
      </c>
      <c r="F5860" s="2" t="s">
        <v>12</v>
      </c>
      <c r="G5860" s="2" t="s">
        <v>12</v>
      </c>
      <c r="H5860" s="2" t="s">
        <v>12</v>
      </c>
      <c r="I5860" s="2" t="s">
        <v>12</v>
      </c>
      <c r="J5860" s="2" t="s">
        <v>12</v>
      </c>
      <c r="K5860" s="2" t="s">
        <v>12</v>
      </c>
    </row>
    <row r="5861" spans="1:11" ht="12.5" x14ac:dyDescent="0.25">
      <c r="A5861" s="3" t="e">
        <f ca="1"/>
        <v>#NAME?</v>
      </c>
      <c r="B5861" s="2" t="s">
        <v>12</v>
      </c>
      <c r="C5861" s="2" t="s">
        <v>12</v>
      </c>
      <c r="D5861" s="2" t="s">
        <v>12</v>
      </c>
      <c r="E5861" s="2" t="s">
        <v>12</v>
      </c>
      <c r="F5861" s="2" t="s">
        <v>12</v>
      </c>
      <c r="G5861" s="2" t="s">
        <v>12</v>
      </c>
      <c r="H5861" s="2" t="s">
        <v>12</v>
      </c>
      <c r="I5861" s="2" t="s">
        <v>12</v>
      </c>
      <c r="J5861" s="2" t="s">
        <v>12</v>
      </c>
      <c r="K5861" s="2" t="s">
        <v>12</v>
      </c>
    </row>
    <row r="5862" spans="1:11" ht="12.5" x14ac:dyDescent="0.25">
      <c r="A5862" s="3" t="e">
        <f ca="1"/>
        <v>#NAME?</v>
      </c>
      <c r="B5862" s="2" t="s">
        <v>12</v>
      </c>
      <c r="C5862" s="2" t="s">
        <v>12</v>
      </c>
      <c r="D5862" s="2" t="s">
        <v>12</v>
      </c>
      <c r="E5862" s="2" t="s">
        <v>12</v>
      </c>
      <c r="F5862" s="2" t="s">
        <v>12</v>
      </c>
      <c r="G5862" s="2" t="s">
        <v>12</v>
      </c>
      <c r="H5862" s="2" t="s">
        <v>12</v>
      </c>
      <c r="I5862" s="2" t="s">
        <v>12</v>
      </c>
      <c r="J5862" s="2" t="s">
        <v>12</v>
      </c>
      <c r="K5862" s="2" t="s">
        <v>12</v>
      </c>
    </row>
    <row r="5863" spans="1:11" ht="12.5" x14ac:dyDescent="0.25">
      <c r="A5863" s="3" t="e">
        <f ca="1"/>
        <v>#NAME?</v>
      </c>
      <c r="B5863" s="2" t="s">
        <v>12</v>
      </c>
      <c r="C5863" s="2" t="s">
        <v>12</v>
      </c>
      <c r="D5863" s="2" t="s">
        <v>12</v>
      </c>
      <c r="E5863" s="2" t="s">
        <v>12</v>
      </c>
      <c r="F5863" s="2" t="s">
        <v>12</v>
      </c>
      <c r="G5863" s="2" t="s">
        <v>12</v>
      </c>
      <c r="H5863" s="2" t="s">
        <v>12</v>
      </c>
      <c r="I5863" s="2" t="s">
        <v>12</v>
      </c>
      <c r="J5863" s="2" t="s">
        <v>12</v>
      </c>
      <c r="K5863" s="2" t="s">
        <v>12</v>
      </c>
    </row>
    <row r="5864" spans="1:11" ht="12.5" x14ac:dyDescent="0.25">
      <c r="A5864" s="3" t="e">
        <f ca="1"/>
        <v>#NAME?</v>
      </c>
      <c r="B5864" s="2" t="s">
        <v>12</v>
      </c>
      <c r="C5864" s="2" t="s">
        <v>12</v>
      </c>
      <c r="D5864" s="2" t="s">
        <v>12</v>
      </c>
      <c r="E5864" s="2" t="s">
        <v>12</v>
      </c>
      <c r="F5864" s="2" t="s">
        <v>12</v>
      </c>
      <c r="G5864" s="2" t="s">
        <v>12</v>
      </c>
      <c r="H5864" s="2" t="s">
        <v>12</v>
      </c>
      <c r="I5864" s="2" t="s">
        <v>12</v>
      </c>
      <c r="J5864" s="2" t="s">
        <v>12</v>
      </c>
      <c r="K5864" s="2" t="s">
        <v>12</v>
      </c>
    </row>
    <row r="5865" spans="1:11" ht="12.5" x14ac:dyDescent="0.25">
      <c r="A5865" s="3" t="e">
        <f ca="1"/>
        <v>#NAME?</v>
      </c>
      <c r="B5865" s="2" t="s">
        <v>12</v>
      </c>
      <c r="C5865" s="2" t="s">
        <v>12</v>
      </c>
      <c r="D5865" s="2" t="s">
        <v>12</v>
      </c>
      <c r="E5865" s="2" t="s">
        <v>12</v>
      </c>
      <c r="F5865" s="2" t="s">
        <v>12</v>
      </c>
      <c r="G5865" s="2" t="s">
        <v>12</v>
      </c>
      <c r="H5865" s="2" t="s">
        <v>12</v>
      </c>
      <c r="I5865" s="2" t="s">
        <v>12</v>
      </c>
      <c r="J5865" s="2" t="s">
        <v>12</v>
      </c>
      <c r="K5865" s="2" t="s">
        <v>12</v>
      </c>
    </row>
    <row r="5866" spans="1:11" ht="12.5" x14ac:dyDescent="0.25">
      <c r="A5866" s="3" t="e">
        <f ca="1"/>
        <v>#NAME?</v>
      </c>
      <c r="B5866" s="2" t="s">
        <v>12</v>
      </c>
      <c r="C5866" s="2" t="s">
        <v>12</v>
      </c>
      <c r="D5866" s="2" t="s">
        <v>12</v>
      </c>
      <c r="E5866" s="2" t="s">
        <v>12</v>
      </c>
      <c r="F5866" s="2" t="s">
        <v>12</v>
      </c>
      <c r="G5866" s="2" t="s">
        <v>12</v>
      </c>
      <c r="H5866" s="2" t="s">
        <v>12</v>
      </c>
      <c r="I5866" s="2" t="s">
        <v>12</v>
      </c>
      <c r="J5866" s="2" t="s">
        <v>12</v>
      </c>
      <c r="K5866" s="2" t="s">
        <v>12</v>
      </c>
    </row>
    <row r="5867" spans="1:11" ht="12.5" x14ac:dyDescent="0.25">
      <c r="A5867" s="3" t="e">
        <f ca="1"/>
        <v>#NAME?</v>
      </c>
      <c r="B5867" s="2" t="s">
        <v>12</v>
      </c>
      <c r="C5867" s="2" t="s">
        <v>12</v>
      </c>
      <c r="D5867" s="2" t="s">
        <v>12</v>
      </c>
      <c r="E5867" s="2" t="s">
        <v>12</v>
      </c>
      <c r="F5867" s="2" t="s">
        <v>12</v>
      </c>
      <c r="G5867" s="2" t="s">
        <v>12</v>
      </c>
      <c r="H5867" s="2" t="s">
        <v>12</v>
      </c>
      <c r="I5867" s="2" t="s">
        <v>12</v>
      </c>
      <c r="J5867" s="2" t="s">
        <v>12</v>
      </c>
      <c r="K5867" s="2" t="s">
        <v>12</v>
      </c>
    </row>
    <row r="5868" spans="1:11" ht="12.5" x14ac:dyDescent="0.25">
      <c r="A5868" s="3" t="e">
        <f ca="1"/>
        <v>#NAME?</v>
      </c>
      <c r="B5868" s="2" t="s">
        <v>12</v>
      </c>
      <c r="C5868" s="2" t="s">
        <v>12</v>
      </c>
      <c r="D5868" s="2" t="s">
        <v>12</v>
      </c>
      <c r="E5868" s="2" t="s">
        <v>12</v>
      </c>
      <c r="F5868" s="2" t="s">
        <v>12</v>
      </c>
      <c r="G5868" s="2" t="s">
        <v>12</v>
      </c>
      <c r="H5868" s="2" t="s">
        <v>12</v>
      </c>
      <c r="I5868" s="2" t="s">
        <v>12</v>
      </c>
      <c r="J5868" s="2" t="s">
        <v>12</v>
      </c>
      <c r="K5868" s="2" t="s">
        <v>12</v>
      </c>
    </row>
    <row r="5869" spans="1:11" ht="12.5" x14ac:dyDescent="0.25">
      <c r="A5869" s="3" t="e">
        <f ca="1"/>
        <v>#NAME?</v>
      </c>
      <c r="B5869" s="2" t="s">
        <v>12</v>
      </c>
      <c r="C5869" s="2" t="s">
        <v>12</v>
      </c>
      <c r="D5869" s="2" t="s">
        <v>12</v>
      </c>
      <c r="E5869" s="2" t="s">
        <v>12</v>
      </c>
      <c r="F5869" s="2" t="s">
        <v>12</v>
      </c>
      <c r="G5869" s="2" t="s">
        <v>12</v>
      </c>
      <c r="H5869" s="2" t="s">
        <v>12</v>
      </c>
      <c r="I5869" s="2" t="s">
        <v>12</v>
      </c>
      <c r="J5869" s="2" t="s">
        <v>12</v>
      </c>
      <c r="K5869" s="2" t="s">
        <v>12</v>
      </c>
    </row>
    <row r="5870" spans="1:11" ht="12.5" x14ac:dyDescent="0.25">
      <c r="A5870" s="3" t="e">
        <f ca="1"/>
        <v>#NAME?</v>
      </c>
      <c r="B5870" s="2" t="s">
        <v>12</v>
      </c>
      <c r="C5870" s="2" t="s">
        <v>12</v>
      </c>
      <c r="D5870" s="2" t="s">
        <v>12</v>
      </c>
      <c r="E5870" s="2" t="s">
        <v>12</v>
      </c>
      <c r="F5870" s="2" t="s">
        <v>12</v>
      </c>
      <c r="G5870" s="2" t="s">
        <v>12</v>
      </c>
      <c r="H5870" s="2" t="s">
        <v>12</v>
      </c>
      <c r="I5870" s="2" t="s">
        <v>12</v>
      </c>
      <c r="J5870" s="2" t="s">
        <v>12</v>
      </c>
      <c r="K5870" s="2" t="s">
        <v>12</v>
      </c>
    </row>
    <row r="5871" spans="1:11" ht="12.5" x14ac:dyDescent="0.25">
      <c r="A5871" s="3" t="e">
        <f ca="1"/>
        <v>#NAME?</v>
      </c>
      <c r="B5871" s="2" t="s">
        <v>12</v>
      </c>
      <c r="C5871" s="2" t="s">
        <v>12</v>
      </c>
      <c r="D5871" s="2" t="s">
        <v>12</v>
      </c>
      <c r="E5871" s="2" t="s">
        <v>12</v>
      </c>
      <c r="F5871" s="2" t="s">
        <v>12</v>
      </c>
      <c r="G5871" s="2" t="s">
        <v>12</v>
      </c>
      <c r="H5871" s="2" t="s">
        <v>12</v>
      </c>
      <c r="I5871" s="2" t="s">
        <v>12</v>
      </c>
      <c r="J5871" s="2" t="s">
        <v>12</v>
      </c>
      <c r="K5871" s="2" t="s">
        <v>12</v>
      </c>
    </row>
    <row r="5872" spans="1:11" ht="12.5" x14ac:dyDescent="0.25">
      <c r="A5872" s="3" t="e">
        <f ca="1"/>
        <v>#NAME?</v>
      </c>
      <c r="B5872" s="2" t="s">
        <v>12</v>
      </c>
      <c r="C5872" s="2" t="s">
        <v>12</v>
      </c>
      <c r="D5872" s="2" t="s">
        <v>12</v>
      </c>
      <c r="E5872" s="2" t="s">
        <v>12</v>
      </c>
      <c r="F5872" s="2" t="s">
        <v>12</v>
      </c>
      <c r="G5872" s="2" t="s">
        <v>12</v>
      </c>
      <c r="H5872" s="2" t="s">
        <v>12</v>
      </c>
      <c r="I5872" s="2" t="s">
        <v>12</v>
      </c>
      <c r="J5872" s="2" t="s">
        <v>12</v>
      </c>
      <c r="K5872" s="2" t="s">
        <v>12</v>
      </c>
    </row>
    <row r="5873" spans="1:11" ht="12.5" x14ac:dyDescent="0.25">
      <c r="A5873" s="3" t="e">
        <f ca="1"/>
        <v>#NAME?</v>
      </c>
      <c r="B5873" s="2" t="s">
        <v>12</v>
      </c>
      <c r="C5873" s="2" t="s">
        <v>12</v>
      </c>
      <c r="D5873" s="2" t="s">
        <v>12</v>
      </c>
      <c r="E5873" s="2" t="s">
        <v>12</v>
      </c>
      <c r="F5873" s="2" t="s">
        <v>12</v>
      </c>
      <c r="G5873" s="2" t="s">
        <v>12</v>
      </c>
      <c r="H5873" s="2" t="s">
        <v>12</v>
      </c>
      <c r="I5873" s="2" t="s">
        <v>12</v>
      </c>
      <c r="J5873" s="2" t="s">
        <v>12</v>
      </c>
      <c r="K5873" s="2" t="s">
        <v>12</v>
      </c>
    </row>
    <row r="5874" spans="1:11" ht="12.5" x14ac:dyDescent="0.25">
      <c r="A5874" s="3" t="e">
        <f ca="1"/>
        <v>#NAME?</v>
      </c>
      <c r="B5874" s="2" t="s">
        <v>12</v>
      </c>
      <c r="C5874" s="2" t="s">
        <v>12</v>
      </c>
      <c r="D5874" s="2" t="s">
        <v>12</v>
      </c>
      <c r="E5874" s="2" t="s">
        <v>12</v>
      </c>
      <c r="F5874" s="2" t="s">
        <v>12</v>
      </c>
      <c r="G5874" s="2" t="s">
        <v>12</v>
      </c>
      <c r="H5874" s="2" t="s">
        <v>12</v>
      </c>
      <c r="I5874" s="2" t="s">
        <v>12</v>
      </c>
      <c r="J5874" s="2" t="s">
        <v>12</v>
      </c>
      <c r="K5874" s="2" t="s">
        <v>12</v>
      </c>
    </row>
    <row r="5875" spans="1:11" ht="12.5" x14ac:dyDescent="0.25">
      <c r="A5875" s="3" t="e">
        <f ca="1"/>
        <v>#NAME?</v>
      </c>
      <c r="B5875" s="2" t="s">
        <v>12</v>
      </c>
      <c r="C5875" s="2" t="s">
        <v>12</v>
      </c>
      <c r="D5875" s="2" t="s">
        <v>12</v>
      </c>
      <c r="E5875" s="2" t="s">
        <v>12</v>
      </c>
      <c r="F5875" s="2" t="s">
        <v>12</v>
      </c>
      <c r="G5875" s="2" t="s">
        <v>12</v>
      </c>
      <c r="H5875" s="2" t="s">
        <v>12</v>
      </c>
      <c r="I5875" s="2" t="s">
        <v>12</v>
      </c>
      <c r="J5875" s="2" t="s">
        <v>12</v>
      </c>
      <c r="K5875" s="2" t="s">
        <v>12</v>
      </c>
    </row>
    <row r="5876" spans="1:11" ht="12.5" x14ac:dyDescent="0.25">
      <c r="A5876" s="3" t="e">
        <f ca="1"/>
        <v>#NAME?</v>
      </c>
      <c r="B5876" s="2" t="s">
        <v>12</v>
      </c>
      <c r="C5876" s="2" t="s">
        <v>12</v>
      </c>
      <c r="D5876" s="2" t="s">
        <v>12</v>
      </c>
      <c r="E5876" s="2" t="s">
        <v>12</v>
      </c>
      <c r="F5876" s="2" t="s">
        <v>12</v>
      </c>
      <c r="G5876" s="2" t="s">
        <v>12</v>
      </c>
      <c r="H5876" s="2" t="s">
        <v>12</v>
      </c>
      <c r="I5876" s="2" t="s">
        <v>12</v>
      </c>
      <c r="J5876" s="2" t="s">
        <v>12</v>
      </c>
      <c r="K5876" s="2" t="s">
        <v>12</v>
      </c>
    </row>
    <row r="5877" spans="1:11" ht="12.5" x14ac:dyDescent="0.25">
      <c r="A5877" s="3" t="e">
        <f ca="1"/>
        <v>#NAME?</v>
      </c>
      <c r="B5877" s="2" t="s">
        <v>12</v>
      </c>
      <c r="C5877" s="2" t="s">
        <v>12</v>
      </c>
      <c r="D5877" s="2" t="s">
        <v>12</v>
      </c>
      <c r="E5877" s="2" t="s">
        <v>12</v>
      </c>
      <c r="F5877" s="2" t="s">
        <v>12</v>
      </c>
      <c r="G5877" s="2" t="s">
        <v>12</v>
      </c>
      <c r="H5877" s="2" t="s">
        <v>12</v>
      </c>
      <c r="I5877" s="2" t="s">
        <v>12</v>
      </c>
      <c r="J5877" s="2" t="s">
        <v>12</v>
      </c>
      <c r="K5877" s="2" t="s">
        <v>12</v>
      </c>
    </row>
    <row r="5878" spans="1:11" ht="12.5" x14ac:dyDescent="0.25">
      <c r="A5878" s="3" t="e">
        <f ca="1"/>
        <v>#NAME?</v>
      </c>
      <c r="B5878" s="2" t="s">
        <v>12</v>
      </c>
      <c r="C5878" s="2" t="s">
        <v>12</v>
      </c>
      <c r="D5878" s="2" t="s">
        <v>12</v>
      </c>
      <c r="E5878" s="2" t="s">
        <v>12</v>
      </c>
      <c r="F5878" s="2" t="s">
        <v>12</v>
      </c>
      <c r="G5878" s="2" t="s">
        <v>12</v>
      </c>
      <c r="H5878" s="2" t="s">
        <v>12</v>
      </c>
      <c r="I5878" s="2" t="s">
        <v>12</v>
      </c>
      <c r="J5878" s="2" t="s">
        <v>12</v>
      </c>
      <c r="K5878" s="2" t="s">
        <v>12</v>
      </c>
    </row>
    <row r="5879" spans="1:11" ht="12.5" x14ac:dyDescent="0.25">
      <c r="A5879" s="3" t="e">
        <f ca="1"/>
        <v>#NAME?</v>
      </c>
      <c r="B5879" s="2" t="s">
        <v>12</v>
      </c>
      <c r="C5879" s="2" t="s">
        <v>12</v>
      </c>
      <c r="D5879" s="2" t="s">
        <v>12</v>
      </c>
      <c r="E5879" s="2" t="s">
        <v>12</v>
      </c>
      <c r="F5879" s="2" t="s">
        <v>12</v>
      </c>
      <c r="G5879" s="2" t="s">
        <v>12</v>
      </c>
      <c r="H5879" s="2" t="s">
        <v>12</v>
      </c>
      <c r="I5879" s="2" t="s">
        <v>12</v>
      </c>
      <c r="J5879" s="2" t="s">
        <v>12</v>
      </c>
      <c r="K5879" s="2" t="s">
        <v>12</v>
      </c>
    </row>
    <row r="5880" spans="1:11" ht="12.5" x14ac:dyDescent="0.25">
      <c r="A5880" s="3" t="e">
        <f ca="1"/>
        <v>#NAME?</v>
      </c>
      <c r="B5880" s="2" t="s">
        <v>12</v>
      </c>
      <c r="C5880" s="2" t="s">
        <v>12</v>
      </c>
      <c r="D5880" s="2" t="s">
        <v>12</v>
      </c>
      <c r="E5880" s="2" t="s">
        <v>12</v>
      </c>
      <c r="F5880" s="2" t="s">
        <v>12</v>
      </c>
      <c r="G5880" s="2" t="s">
        <v>12</v>
      </c>
      <c r="H5880" s="2" t="s">
        <v>12</v>
      </c>
      <c r="I5880" s="2" t="s">
        <v>12</v>
      </c>
      <c r="J5880" s="2" t="s">
        <v>12</v>
      </c>
      <c r="K5880" s="2" t="s">
        <v>12</v>
      </c>
    </row>
    <row r="5881" spans="1:11" ht="12.5" x14ac:dyDescent="0.25">
      <c r="A5881" s="3" t="e">
        <f ca="1"/>
        <v>#NAME?</v>
      </c>
      <c r="B5881" s="2" t="s">
        <v>12</v>
      </c>
      <c r="C5881" s="2" t="s">
        <v>12</v>
      </c>
      <c r="D5881" s="2" t="s">
        <v>12</v>
      </c>
      <c r="E5881" s="2" t="s">
        <v>12</v>
      </c>
      <c r="F5881" s="2" t="s">
        <v>12</v>
      </c>
      <c r="G5881" s="2" t="s">
        <v>12</v>
      </c>
      <c r="H5881" s="2" t="s">
        <v>12</v>
      </c>
      <c r="I5881" s="2" t="s">
        <v>12</v>
      </c>
      <c r="J5881" s="2" t="s">
        <v>12</v>
      </c>
      <c r="K5881" s="2" t="s">
        <v>12</v>
      </c>
    </row>
    <row r="5882" spans="1:11" ht="12.5" x14ac:dyDescent="0.25">
      <c r="A5882" s="3" t="e">
        <f ca="1"/>
        <v>#NAME?</v>
      </c>
      <c r="B5882" s="2" t="s">
        <v>12</v>
      </c>
      <c r="C5882" s="2" t="s">
        <v>12</v>
      </c>
      <c r="D5882" s="2" t="s">
        <v>12</v>
      </c>
      <c r="E5882" s="2" t="s">
        <v>12</v>
      </c>
      <c r="F5882" s="2" t="s">
        <v>12</v>
      </c>
      <c r="G5882" s="2" t="s">
        <v>12</v>
      </c>
      <c r="H5882" s="2" t="s">
        <v>12</v>
      </c>
      <c r="I5882" s="2" t="s">
        <v>12</v>
      </c>
      <c r="J5882" s="2" t="s">
        <v>12</v>
      </c>
      <c r="K5882" s="2" t="s">
        <v>12</v>
      </c>
    </row>
    <row r="5883" spans="1:11" ht="12.5" x14ac:dyDescent="0.25">
      <c r="A5883" s="3" t="e">
        <f ca="1"/>
        <v>#NAME?</v>
      </c>
      <c r="B5883" s="2" t="s">
        <v>12</v>
      </c>
      <c r="C5883" s="2" t="s">
        <v>12</v>
      </c>
      <c r="D5883" s="2" t="s">
        <v>12</v>
      </c>
      <c r="E5883" s="2" t="s">
        <v>12</v>
      </c>
      <c r="F5883" s="2" t="s">
        <v>12</v>
      </c>
      <c r="G5883" s="2" t="s">
        <v>12</v>
      </c>
      <c r="H5883" s="2" t="s">
        <v>12</v>
      </c>
      <c r="I5883" s="2" t="s">
        <v>12</v>
      </c>
      <c r="J5883" s="2" t="s">
        <v>12</v>
      </c>
      <c r="K5883" s="2" t="s">
        <v>12</v>
      </c>
    </row>
    <row r="5884" spans="1:11" ht="12.5" x14ac:dyDescent="0.25">
      <c r="A5884" s="3" t="e">
        <f ca="1"/>
        <v>#NAME?</v>
      </c>
      <c r="B5884" s="2" t="s">
        <v>12</v>
      </c>
      <c r="C5884" s="2" t="s">
        <v>12</v>
      </c>
      <c r="D5884" s="2" t="s">
        <v>12</v>
      </c>
      <c r="E5884" s="2" t="s">
        <v>12</v>
      </c>
      <c r="F5884" s="2" t="s">
        <v>12</v>
      </c>
      <c r="G5884" s="2" t="s">
        <v>12</v>
      </c>
      <c r="H5884" s="2" t="s">
        <v>12</v>
      </c>
      <c r="I5884" s="2" t="s">
        <v>12</v>
      </c>
      <c r="J5884" s="2" t="s">
        <v>12</v>
      </c>
      <c r="K5884" s="2" t="s">
        <v>12</v>
      </c>
    </row>
    <row r="5885" spans="1:11" ht="12.5" x14ac:dyDescent="0.25">
      <c r="A5885" s="3" t="e">
        <f ca="1"/>
        <v>#NAME?</v>
      </c>
      <c r="B5885" s="2" t="s">
        <v>12</v>
      </c>
      <c r="C5885" s="2" t="s">
        <v>12</v>
      </c>
      <c r="D5885" s="2" t="s">
        <v>12</v>
      </c>
      <c r="E5885" s="2" t="s">
        <v>12</v>
      </c>
      <c r="F5885" s="2" t="s">
        <v>12</v>
      </c>
      <c r="G5885" s="2" t="s">
        <v>12</v>
      </c>
      <c r="H5885" s="2" t="s">
        <v>12</v>
      </c>
      <c r="I5885" s="2" t="s">
        <v>12</v>
      </c>
      <c r="J5885" s="2" t="s">
        <v>12</v>
      </c>
      <c r="K5885" s="2" t="s">
        <v>12</v>
      </c>
    </row>
    <row r="5886" spans="1:11" ht="12.5" x14ac:dyDescent="0.25">
      <c r="A5886" s="3" t="e">
        <f ca="1"/>
        <v>#NAME?</v>
      </c>
      <c r="B5886" s="2" t="s">
        <v>12</v>
      </c>
      <c r="C5886" s="2" t="s">
        <v>12</v>
      </c>
      <c r="D5886" s="2" t="s">
        <v>12</v>
      </c>
      <c r="E5886" s="2" t="s">
        <v>12</v>
      </c>
      <c r="F5886" s="2" t="s">
        <v>12</v>
      </c>
      <c r="G5886" s="2" t="s">
        <v>12</v>
      </c>
      <c r="H5886" s="2" t="s">
        <v>12</v>
      </c>
      <c r="I5886" s="2" t="s">
        <v>12</v>
      </c>
      <c r="J5886" s="2" t="s">
        <v>12</v>
      </c>
      <c r="K5886" s="2" t="s">
        <v>12</v>
      </c>
    </row>
    <row r="5887" spans="1:11" ht="12.5" x14ac:dyDescent="0.25">
      <c r="A5887" s="3" t="e">
        <f ca="1"/>
        <v>#NAME?</v>
      </c>
      <c r="B5887" s="2" t="s">
        <v>12</v>
      </c>
      <c r="C5887" s="2" t="s">
        <v>12</v>
      </c>
      <c r="D5887" s="2" t="s">
        <v>12</v>
      </c>
      <c r="E5887" s="2" t="s">
        <v>12</v>
      </c>
      <c r="F5887" s="2" t="s">
        <v>12</v>
      </c>
      <c r="G5887" s="2" t="s">
        <v>12</v>
      </c>
      <c r="H5887" s="2" t="s">
        <v>12</v>
      </c>
      <c r="I5887" s="2" t="s">
        <v>12</v>
      </c>
      <c r="J5887" s="2" t="s">
        <v>12</v>
      </c>
      <c r="K5887" s="2" t="s">
        <v>12</v>
      </c>
    </row>
    <row r="5888" spans="1:11" ht="12.5" x14ac:dyDescent="0.25">
      <c r="A5888" s="3" t="e">
        <f ca="1"/>
        <v>#NAME?</v>
      </c>
      <c r="B5888" s="2" t="s">
        <v>12</v>
      </c>
      <c r="C5888" s="2" t="s">
        <v>12</v>
      </c>
      <c r="D5888" s="2" t="s">
        <v>12</v>
      </c>
      <c r="E5888" s="2" t="s">
        <v>12</v>
      </c>
      <c r="F5888" s="2" t="s">
        <v>12</v>
      </c>
      <c r="G5888" s="2" t="s">
        <v>12</v>
      </c>
      <c r="H5888" s="2" t="s">
        <v>12</v>
      </c>
      <c r="I5888" s="2" t="s">
        <v>12</v>
      </c>
      <c r="J5888" s="2" t="s">
        <v>12</v>
      </c>
      <c r="K5888" s="2" t="s">
        <v>12</v>
      </c>
    </row>
    <row r="5889" spans="1:11" ht="12.5" x14ac:dyDescent="0.25">
      <c r="A5889" s="3" t="e">
        <f ca="1"/>
        <v>#NAME?</v>
      </c>
      <c r="B5889" s="2" t="s">
        <v>12</v>
      </c>
      <c r="C5889" s="2" t="s">
        <v>12</v>
      </c>
      <c r="D5889" s="2" t="s">
        <v>12</v>
      </c>
      <c r="E5889" s="2" t="s">
        <v>12</v>
      </c>
      <c r="F5889" s="2" t="s">
        <v>12</v>
      </c>
      <c r="G5889" s="2" t="s">
        <v>12</v>
      </c>
      <c r="H5889" s="2" t="s">
        <v>12</v>
      </c>
      <c r="I5889" s="2" t="s">
        <v>12</v>
      </c>
      <c r="J5889" s="2" t="s">
        <v>12</v>
      </c>
      <c r="K5889" s="2" t="s">
        <v>12</v>
      </c>
    </row>
    <row r="5890" spans="1:11" ht="12.5" x14ac:dyDescent="0.25">
      <c r="A5890" s="3" t="e">
        <f ca="1"/>
        <v>#NAME?</v>
      </c>
      <c r="B5890" s="2" t="s">
        <v>12</v>
      </c>
      <c r="C5890" s="2" t="s">
        <v>12</v>
      </c>
      <c r="D5890" s="2" t="s">
        <v>12</v>
      </c>
      <c r="E5890" s="2" t="s">
        <v>12</v>
      </c>
      <c r="F5890" s="2" t="s">
        <v>12</v>
      </c>
      <c r="G5890" s="2" t="s">
        <v>12</v>
      </c>
      <c r="H5890" s="2" t="s">
        <v>12</v>
      </c>
      <c r="I5890" s="2" t="s">
        <v>12</v>
      </c>
      <c r="J5890" s="2" t="s">
        <v>12</v>
      </c>
      <c r="K5890" s="2" t="s">
        <v>12</v>
      </c>
    </row>
    <row r="5891" spans="1:11" ht="12.5" x14ac:dyDescent="0.25">
      <c r="A5891" s="3" t="e">
        <f ca="1"/>
        <v>#NAME?</v>
      </c>
      <c r="B5891" s="2" t="s">
        <v>12</v>
      </c>
      <c r="C5891" s="2" t="s">
        <v>12</v>
      </c>
      <c r="D5891" s="2" t="s">
        <v>12</v>
      </c>
      <c r="E5891" s="2" t="s">
        <v>12</v>
      </c>
      <c r="F5891" s="2" t="s">
        <v>12</v>
      </c>
      <c r="G5891" s="2" t="s">
        <v>12</v>
      </c>
      <c r="H5891" s="2" t="s">
        <v>12</v>
      </c>
      <c r="I5891" s="2" t="s">
        <v>12</v>
      </c>
      <c r="J5891" s="2" t="s">
        <v>12</v>
      </c>
      <c r="K5891" s="2" t="s">
        <v>12</v>
      </c>
    </row>
    <row r="5892" spans="1:11" ht="12.5" x14ac:dyDescent="0.25">
      <c r="A5892" s="3" t="e">
        <f ca="1"/>
        <v>#NAME?</v>
      </c>
      <c r="B5892" s="2" t="s">
        <v>12</v>
      </c>
      <c r="C5892" s="2" t="s">
        <v>12</v>
      </c>
      <c r="D5892" s="2" t="s">
        <v>12</v>
      </c>
      <c r="E5892" s="2" t="s">
        <v>12</v>
      </c>
      <c r="F5892" s="2" t="s">
        <v>12</v>
      </c>
      <c r="G5892" s="2" t="s">
        <v>12</v>
      </c>
      <c r="H5892" s="2" t="s">
        <v>12</v>
      </c>
      <c r="I5892" s="2" t="s">
        <v>12</v>
      </c>
      <c r="J5892" s="2" t="s">
        <v>12</v>
      </c>
      <c r="K5892" s="2" t="s">
        <v>12</v>
      </c>
    </row>
    <row r="5893" spans="1:11" ht="12.5" x14ac:dyDescent="0.25">
      <c r="A5893" s="3" t="e">
        <f ca="1"/>
        <v>#NAME?</v>
      </c>
      <c r="B5893" s="2" t="s">
        <v>12</v>
      </c>
      <c r="C5893" s="2" t="s">
        <v>12</v>
      </c>
      <c r="D5893" s="2" t="s">
        <v>12</v>
      </c>
      <c r="E5893" s="2" t="s">
        <v>12</v>
      </c>
      <c r="F5893" s="2" t="s">
        <v>12</v>
      </c>
      <c r="G5893" s="2" t="s">
        <v>12</v>
      </c>
      <c r="H5893" s="2" t="s">
        <v>12</v>
      </c>
      <c r="I5893" s="2" t="s">
        <v>12</v>
      </c>
      <c r="J5893" s="2" t="s">
        <v>12</v>
      </c>
      <c r="K5893" s="2" t="s">
        <v>12</v>
      </c>
    </row>
    <row r="5894" spans="1:11" ht="12.5" x14ac:dyDescent="0.25">
      <c r="A5894" s="3" t="e">
        <f ca="1"/>
        <v>#NAME?</v>
      </c>
      <c r="B5894" s="2" t="s">
        <v>12</v>
      </c>
      <c r="C5894" s="2" t="s">
        <v>12</v>
      </c>
      <c r="D5894" s="2" t="s">
        <v>12</v>
      </c>
      <c r="E5894" s="2" t="s">
        <v>12</v>
      </c>
      <c r="F5894" s="2" t="s">
        <v>12</v>
      </c>
      <c r="G5894" s="2" t="s">
        <v>12</v>
      </c>
      <c r="H5894" s="2" t="s">
        <v>12</v>
      </c>
      <c r="I5894" s="2" t="s">
        <v>12</v>
      </c>
      <c r="J5894" s="2" t="s">
        <v>12</v>
      </c>
      <c r="K5894" s="2" t="s">
        <v>12</v>
      </c>
    </row>
    <row r="5895" spans="1:11" ht="12.5" x14ac:dyDescent="0.25">
      <c r="A5895" s="3" t="e">
        <f ca="1"/>
        <v>#NAME?</v>
      </c>
      <c r="B5895" s="2" t="s">
        <v>12</v>
      </c>
      <c r="C5895" s="2" t="s">
        <v>12</v>
      </c>
      <c r="D5895" s="2" t="s">
        <v>12</v>
      </c>
      <c r="E5895" s="2" t="s">
        <v>12</v>
      </c>
      <c r="F5895" s="2" t="s">
        <v>12</v>
      </c>
      <c r="G5895" s="2" t="s">
        <v>12</v>
      </c>
      <c r="H5895" s="2" t="s">
        <v>12</v>
      </c>
      <c r="I5895" s="2" t="s">
        <v>12</v>
      </c>
      <c r="J5895" s="2" t="s">
        <v>12</v>
      </c>
      <c r="K5895" s="2" t="s">
        <v>12</v>
      </c>
    </row>
    <row r="5896" spans="1:11" ht="12.5" x14ac:dyDescent="0.25">
      <c r="A5896" s="3" t="e">
        <f ca="1"/>
        <v>#NAME?</v>
      </c>
      <c r="B5896" s="2" t="s">
        <v>12</v>
      </c>
      <c r="C5896" s="2" t="s">
        <v>12</v>
      </c>
      <c r="D5896" s="2" t="s">
        <v>12</v>
      </c>
      <c r="E5896" s="2" t="s">
        <v>12</v>
      </c>
      <c r="F5896" s="2" t="s">
        <v>12</v>
      </c>
      <c r="G5896" s="2" t="s">
        <v>12</v>
      </c>
      <c r="H5896" s="2" t="s">
        <v>12</v>
      </c>
      <c r="I5896" s="2" t="s">
        <v>12</v>
      </c>
      <c r="J5896" s="2" t="s">
        <v>12</v>
      </c>
      <c r="K5896" s="2" t="s">
        <v>12</v>
      </c>
    </row>
    <row r="5897" spans="1:11" ht="12.5" x14ac:dyDescent="0.25">
      <c r="A5897" s="3" t="e">
        <f ca="1"/>
        <v>#NAME?</v>
      </c>
      <c r="B5897" s="2" t="s">
        <v>12</v>
      </c>
      <c r="C5897" s="2" t="s">
        <v>12</v>
      </c>
      <c r="D5897" s="2" t="s">
        <v>12</v>
      </c>
      <c r="E5897" s="2" t="s">
        <v>12</v>
      </c>
      <c r="F5897" s="2" t="s">
        <v>12</v>
      </c>
      <c r="G5897" s="2" t="s">
        <v>12</v>
      </c>
      <c r="H5897" s="2" t="s">
        <v>12</v>
      </c>
      <c r="I5897" s="2" t="s">
        <v>12</v>
      </c>
      <c r="J5897" s="2" t="s">
        <v>12</v>
      </c>
      <c r="K5897" s="2" t="s">
        <v>12</v>
      </c>
    </row>
    <row r="5898" spans="1:11" ht="12.5" x14ac:dyDescent="0.25">
      <c r="A5898" s="3" t="e">
        <f ca="1"/>
        <v>#NAME?</v>
      </c>
      <c r="B5898" s="2" t="s">
        <v>12</v>
      </c>
      <c r="C5898" s="2" t="s">
        <v>12</v>
      </c>
      <c r="D5898" s="2" t="s">
        <v>12</v>
      </c>
      <c r="E5898" s="2" t="s">
        <v>12</v>
      </c>
      <c r="F5898" s="2" t="s">
        <v>12</v>
      </c>
      <c r="G5898" s="2" t="s">
        <v>12</v>
      </c>
      <c r="H5898" s="2" t="s">
        <v>12</v>
      </c>
      <c r="I5898" s="2" t="s">
        <v>12</v>
      </c>
      <c r="J5898" s="2" t="s">
        <v>12</v>
      </c>
      <c r="K5898" s="2" t="s">
        <v>12</v>
      </c>
    </row>
    <row r="5899" spans="1:11" ht="12.5" x14ac:dyDescent="0.25">
      <c r="A5899" s="3" t="e">
        <f ca="1"/>
        <v>#NAME?</v>
      </c>
      <c r="B5899" s="2" t="s">
        <v>12</v>
      </c>
      <c r="C5899" s="2" t="s">
        <v>12</v>
      </c>
      <c r="D5899" s="2" t="s">
        <v>12</v>
      </c>
      <c r="E5899" s="2" t="s">
        <v>12</v>
      </c>
      <c r="F5899" s="2" t="s">
        <v>12</v>
      </c>
      <c r="G5899" s="2" t="s">
        <v>12</v>
      </c>
      <c r="H5899" s="2" t="s">
        <v>12</v>
      </c>
      <c r="I5899" s="2" t="s">
        <v>12</v>
      </c>
      <c r="J5899" s="2" t="s">
        <v>12</v>
      </c>
      <c r="K5899" s="2" t="s">
        <v>12</v>
      </c>
    </row>
    <row r="5900" spans="1:11" ht="12.5" x14ac:dyDescent="0.25">
      <c r="A5900" s="3" t="e">
        <f ca="1"/>
        <v>#NAME?</v>
      </c>
      <c r="B5900" s="2" t="s">
        <v>12</v>
      </c>
      <c r="C5900" s="2" t="s">
        <v>12</v>
      </c>
      <c r="D5900" s="2" t="s">
        <v>12</v>
      </c>
      <c r="E5900" s="2" t="s">
        <v>12</v>
      </c>
      <c r="F5900" s="2" t="s">
        <v>12</v>
      </c>
      <c r="G5900" s="2" t="s">
        <v>12</v>
      </c>
      <c r="H5900" s="2" t="s">
        <v>12</v>
      </c>
      <c r="I5900" s="2" t="s">
        <v>12</v>
      </c>
      <c r="J5900" s="2" t="s">
        <v>12</v>
      </c>
      <c r="K5900" s="2" t="s">
        <v>12</v>
      </c>
    </row>
    <row r="5901" spans="1:11" ht="12.5" x14ac:dyDescent="0.25">
      <c r="A5901" s="3" t="e">
        <f ca="1"/>
        <v>#NAME?</v>
      </c>
      <c r="B5901" s="2" t="s">
        <v>12</v>
      </c>
      <c r="C5901" s="2" t="s">
        <v>12</v>
      </c>
      <c r="D5901" s="2" t="s">
        <v>12</v>
      </c>
      <c r="E5901" s="2" t="s">
        <v>12</v>
      </c>
      <c r="F5901" s="2" t="s">
        <v>12</v>
      </c>
      <c r="G5901" s="2" t="s">
        <v>12</v>
      </c>
      <c r="H5901" s="2" t="s">
        <v>12</v>
      </c>
      <c r="I5901" s="2" t="s">
        <v>12</v>
      </c>
      <c r="J5901" s="2" t="s">
        <v>12</v>
      </c>
      <c r="K5901" s="2" t="s">
        <v>12</v>
      </c>
    </row>
    <row r="5902" spans="1:11" ht="12.5" x14ac:dyDescent="0.25">
      <c r="A5902" s="3" t="e">
        <f ca="1"/>
        <v>#NAME?</v>
      </c>
      <c r="B5902" s="2" t="s">
        <v>12</v>
      </c>
      <c r="C5902" s="2" t="s">
        <v>12</v>
      </c>
      <c r="D5902" s="2" t="s">
        <v>12</v>
      </c>
      <c r="E5902" s="2" t="s">
        <v>12</v>
      </c>
      <c r="F5902" s="2" t="s">
        <v>12</v>
      </c>
      <c r="G5902" s="2" t="s">
        <v>12</v>
      </c>
      <c r="H5902" s="2" t="s">
        <v>12</v>
      </c>
      <c r="I5902" s="2" t="s">
        <v>12</v>
      </c>
      <c r="J5902" s="2" t="s">
        <v>12</v>
      </c>
      <c r="K5902" s="2" t="s">
        <v>12</v>
      </c>
    </row>
    <row r="5903" spans="1:11" ht="12.5" x14ac:dyDescent="0.25">
      <c r="A5903" s="3" t="e">
        <f ca="1"/>
        <v>#NAME?</v>
      </c>
      <c r="B5903" s="2" t="s">
        <v>12</v>
      </c>
      <c r="C5903" s="2" t="s">
        <v>12</v>
      </c>
      <c r="D5903" s="2" t="s">
        <v>12</v>
      </c>
      <c r="E5903" s="2" t="s">
        <v>12</v>
      </c>
      <c r="F5903" s="2" t="s">
        <v>12</v>
      </c>
      <c r="G5903" s="2" t="s">
        <v>12</v>
      </c>
      <c r="H5903" s="2" t="s">
        <v>12</v>
      </c>
      <c r="I5903" s="2" t="s">
        <v>12</v>
      </c>
      <c r="J5903" s="2" t="s">
        <v>12</v>
      </c>
      <c r="K5903" s="2" t="s">
        <v>12</v>
      </c>
    </row>
    <row r="5904" spans="1:11" ht="12.5" x14ac:dyDescent="0.25">
      <c r="A5904" s="3" t="e">
        <f ca="1"/>
        <v>#NAME?</v>
      </c>
      <c r="B5904" s="2" t="s">
        <v>12</v>
      </c>
      <c r="C5904" s="2" t="s">
        <v>12</v>
      </c>
      <c r="D5904" s="2" t="s">
        <v>12</v>
      </c>
      <c r="E5904" s="2" t="s">
        <v>12</v>
      </c>
      <c r="F5904" s="2" t="s">
        <v>12</v>
      </c>
      <c r="G5904" s="2" t="s">
        <v>12</v>
      </c>
      <c r="H5904" s="2" t="s">
        <v>12</v>
      </c>
      <c r="I5904" s="2" t="s">
        <v>12</v>
      </c>
      <c r="J5904" s="2" t="s">
        <v>12</v>
      </c>
      <c r="K5904" s="2" t="s">
        <v>12</v>
      </c>
    </row>
    <row r="5905" spans="1:11" ht="12.5" x14ac:dyDescent="0.25">
      <c r="A5905" s="3" t="e">
        <f ca="1"/>
        <v>#NAME?</v>
      </c>
      <c r="B5905" s="2" t="s">
        <v>12</v>
      </c>
      <c r="C5905" s="2" t="s">
        <v>12</v>
      </c>
      <c r="D5905" s="2" t="s">
        <v>12</v>
      </c>
      <c r="E5905" s="2" t="s">
        <v>12</v>
      </c>
      <c r="F5905" s="2" t="s">
        <v>12</v>
      </c>
      <c r="G5905" s="2" t="s">
        <v>12</v>
      </c>
      <c r="H5905" s="2" t="s">
        <v>12</v>
      </c>
      <c r="I5905" s="2" t="s">
        <v>12</v>
      </c>
      <c r="J5905" s="2" t="s">
        <v>12</v>
      </c>
      <c r="K5905" s="2" t="s">
        <v>12</v>
      </c>
    </row>
    <row r="5906" spans="1:11" ht="12.5" x14ac:dyDescent="0.25">
      <c r="A5906" s="3" t="e">
        <f ca="1"/>
        <v>#NAME?</v>
      </c>
      <c r="B5906" s="2" t="s">
        <v>12</v>
      </c>
      <c r="C5906" s="2" t="s">
        <v>12</v>
      </c>
      <c r="D5906" s="2" t="s">
        <v>12</v>
      </c>
      <c r="E5906" s="2" t="s">
        <v>12</v>
      </c>
      <c r="F5906" s="2" t="s">
        <v>12</v>
      </c>
      <c r="G5906" s="2" t="s">
        <v>12</v>
      </c>
      <c r="H5906" s="2" t="s">
        <v>12</v>
      </c>
      <c r="I5906" s="2" t="s">
        <v>12</v>
      </c>
      <c r="J5906" s="2" t="s">
        <v>12</v>
      </c>
      <c r="K5906" s="2" t="s">
        <v>12</v>
      </c>
    </row>
    <row r="5907" spans="1:11" ht="12.5" x14ac:dyDescent="0.25">
      <c r="A5907" s="3" t="e">
        <f ca="1"/>
        <v>#NAME?</v>
      </c>
      <c r="B5907" s="2" t="s">
        <v>12</v>
      </c>
      <c r="C5907" s="2" t="s">
        <v>12</v>
      </c>
      <c r="D5907" s="2" t="s">
        <v>12</v>
      </c>
      <c r="E5907" s="2" t="s">
        <v>12</v>
      </c>
      <c r="F5907" s="2" t="s">
        <v>12</v>
      </c>
      <c r="G5907" s="2" t="s">
        <v>12</v>
      </c>
      <c r="H5907" s="2" t="s">
        <v>12</v>
      </c>
      <c r="I5907" s="2" t="s">
        <v>12</v>
      </c>
      <c r="J5907" s="2" t="s">
        <v>12</v>
      </c>
      <c r="K5907" s="2" t="s">
        <v>12</v>
      </c>
    </row>
    <row r="5908" spans="1:11" ht="12.5" x14ac:dyDescent="0.25">
      <c r="A5908" s="3" t="e">
        <f ca="1"/>
        <v>#NAME?</v>
      </c>
      <c r="B5908" s="2" t="s">
        <v>12</v>
      </c>
      <c r="C5908" s="2" t="s">
        <v>12</v>
      </c>
      <c r="D5908" s="2" t="s">
        <v>12</v>
      </c>
      <c r="E5908" s="2" t="s">
        <v>12</v>
      </c>
      <c r="F5908" s="2" t="s">
        <v>12</v>
      </c>
      <c r="G5908" s="2" t="s">
        <v>12</v>
      </c>
      <c r="H5908" s="2" t="s">
        <v>12</v>
      </c>
      <c r="I5908" s="2" t="s">
        <v>12</v>
      </c>
      <c r="J5908" s="2" t="s">
        <v>12</v>
      </c>
      <c r="K5908" s="2" t="s">
        <v>12</v>
      </c>
    </row>
    <row r="5909" spans="1:11" ht="12.5" x14ac:dyDescent="0.25">
      <c r="A5909" s="3" t="e">
        <f ca="1"/>
        <v>#NAME?</v>
      </c>
      <c r="B5909" s="2" t="s">
        <v>12</v>
      </c>
      <c r="C5909" s="2" t="s">
        <v>12</v>
      </c>
      <c r="D5909" s="2" t="s">
        <v>12</v>
      </c>
      <c r="E5909" s="2" t="s">
        <v>12</v>
      </c>
      <c r="F5909" s="2" t="s">
        <v>12</v>
      </c>
      <c r="G5909" s="2" t="s">
        <v>12</v>
      </c>
      <c r="H5909" s="2" t="s">
        <v>12</v>
      </c>
      <c r="I5909" s="2" t="s">
        <v>12</v>
      </c>
      <c r="J5909" s="2" t="s">
        <v>12</v>
      </c>
      <c r="K5909" s="2" t="s">
        <v>12</v>
      </c>
    </row>
    <row r="5910" spans="1:11" ht="12.5" x14ac:dyDescent="0.25">
      <c r="A5910" s="3" t="e">
        <f ca="1"/>
        <v>#NAME?</v>
      </c>
      <c r="B5910" s="2" t="s">
        <v>12</v>
      </c>
      <c r="C5910" s="2" t="s">
        <v>12</v>
      </c>
      <c r="D5910" s="2" t="s">
        <v>12</v>
      </c>
      <c r="E5910" s="2" t="s">
        <v>12</v>
      </c>
      <c r="F5910" s="2" t="s">
        <v>12</v>
      </c>
      <c r="G5910" s="2" t="s">
        <v>12</v>
      </c>
      <c r="H5910" s="2" t="s">
        <v>12</v>
      </c>
      <c r="I5910" s="2" t="s">
        <v>12</v>
      </c>
      <c r="J5910" s="2" t="s">
        <v>12</v>
      </c>
      <c r="K5910" s="2" t="s">
        <v>12</v>
      </c>
    </row>
    <row r="5911" spans="1:11" ht="12.5" x14ac:dyDescent="0.25">
      <c r="A5911" s="3" t="e">
        <f ca="1"/>
        <v>#NAME?</v>
      </c>
      <c r="B5911" s="2" t="s">
        <v>12</v>
      </c>
      <c r="C5911" s="2" t="s">
        <v>12</v>
      </c>
      <c r="D5911" s="2" t="s">
        <v>12</v>
      </c>
      <c r="E5911" s="2" t="s">
        <v>12</v>
      </c>
      <c r="F5911" s="2" t="s">
        <v>12</v>
      </c>
      <c r="G5911" s="2" t="s">
        <v>12</v>
      </c>
      <c r="H5911" s="2" t="s">
        <v>12</v>
      </c>
      <c r="I5911" s="2" t="s">
        <v>12</v>
      </c>
      <c r="J5911" s="2" t="s">
        <v>12</v>
      </c>
      <c r="K5911" s="2" t="s">
        <v>12</v>
      </c>
    </row>
    <row r="5912" spans="1:11" ht="12.5" x14ac:dyDescent="0.25">
      <c r="A5912" s="3" t="e">
        <f ca="1"/>
        <v>#NAME?</v>
      </c>
      <c r="B5912" s="2" t="s">
        <v>12</v>
      </c>
      <c r="C5912" s="2" t="s">
        <v>12</v>
      </c>
      <c r="D5912" s="2" t="s">
        <v>12</v>
      </c>
      <c r="E5912" s="2" t="s">
        <v>12</v>
      </c>
      <c r="F5912" s="2" t="s">
        <v>12</v>
      </c>
      <c r="G5912" s="2" t="s">
        <v>12</v>
      </c>
      <c r="H5912" s="2" t="s">
        <v>12</v>
      </c>
      <c r="I5912" s="2" t="s">
        <v>12</v>
      </c>
      <c r="J5912" s="2" t="s">
        <v>12</v>
      </c>
      <c r="K5912" s="2" t="s">
        <v>12</v>
      </c>
    </row>
    <row r="5913" spans="1:11" ht="12.5" x14ac:dyDescent="0.25">
      <c r="A5913" s="3" t="e">
        <f ca="1"/>
        <v>#NAME?</v>
      </c>
      <c r="B5913" s="2" t="s">
        <v>12</v>
      </c>
      <c r="C5913" s="2" t="s">
        <v>12</v>
      </c>
      <c r="D5913" s="2" t="s">
        <v>12</v>
      </c>
      <c r="E5913" s="2" t="s">
        <v>12</v>
      </c>
      <c r="F5913" s="2" t="s">
        <v>12</v>
      </c>
      <c r="G5913" s="2" t="s">
        <v>12</v>
      </c>
      <c r="H5913" s="2" t="s">
        <v>12</v>
      </c>
      <c r="I5913" s="2" t="s">
        <v>12</v>
      </c>
      <c r="J5913" s="2" t="s">
        <v>12</v>
      </c>
      <c r="K5913" s="2" t="s">
        <v>12</v>
      </c>
    </row>
    <row r="5914" spans="1:11" ht="12.5" x14ac:dyDescent="0.25">
      <c r="A5914" s="3" t="e">
        <f ca="1"/>
        <v>#NAME?</v>
      </c>
      <c r="B5914" s="2" t="s">
        <v>12</v>
      </c>
      <c r="C5914" s="2" t="s">
        <v>12</v>
      </c>
      <c r="D5914" s="2" t="s">
        <v>12</v>
      </c>
      <c r="E5914" s="2" t="s">
        <v>12</v>
      </c>
      <c r="F5914" s="2" t="s">
        <v>12</v>
      </c>
      <c r="G5914" s="2" t="s">
        <v>12</v>
      </c>
      <c r="H5914" s="2" t="s">
        <v>12</v>
      </c>
      <c r="I5914" s="2" t="s">
        <v>12</v>
      </c>
      <c r="J5914" s="2" t="s">
        <v>12</v>
      </c>
      <c r="K5914" s="2" t="s">
        <v>12</v>
      </c>
    </row>
    <row r="5915" spans="1:11" ht="12.5" x14ac:dyDescent="0.25">
      <c r="A5915" s="3" t="e">
        <f ca="1"/>
        <v>#NAME?</v>
      </c>
      <c r="B5915" s="2" t="s">
        <v>12</v>
      </c>
      <c r="C5915" s="2" t="s">
        <v>12</v>
      </c>
      <c r="D5915" s="2" t="s">
        <v>12</v>
      </c>
      <c r="E5915" s="2" t="s">
        <v>12</v>
      </c>
      <c r="F5915" s="2" t="s">
        <v>12</v>
      </c>
      <c r="G5915" s="2" t="s">
        <v>12</v>
      </c>
      <c r="H5915" s="2" t="s">
        <v>12</v>
      </c>
      <c r="I5915" s="2" t="s">
        <v>12</v>
      </c>
      <c r="J5915" s="2" t="s">
        <v>12</v>
      </c>
      <c r="K5915" s="2" t="s">
        <v>12</v>
      </c>
    </row>
    <row r="5916" spans="1:11" ht="12.5" x14ac:dyDescent="0.25">
      <c r="A5916" s="3" t="e">
        <f ca="1"/>
        <v>#NAME?</v>
      </c>
      <c r="B5916" s="2" t="s">
        <v>12</v>
      </c>
      <c r="C5916" s="2" t="s">
        <v>12</v>
      </c>
      <c r="D5916" s="2" t="s">
        <v>12</v>
      </c>
      <c r="E5916" s="2" t="s">
        <v>12</v>
      </c>
      <c r="F5916" s="2" t="s">
        <v>12</v>
      </c>
      <c r="G5916" s="2" t="s">
        <v>12</v>
      </c>
      <c r="H5916" s="2" t="s">
        <v>12</v>
      </c>
      <c r="I5916" s="2" t="s">
        <v>12</v>
      </c>
      <c r="J5916" s="2" t="s">
        <v>12</v>
      </c>
      <c r="K5916" s="2" t="s">
        <v>12</v>
      </c>
    </row>
    <row r="5917" spans="1:11" ht="12.5" x14ac:dyDescent="0.25">
      <c r="A5917" s="3" t="e">
        <f ca="1"/>
        <v>#NAME?</v>
      </c>
      <c r="B5917" s="2" t="s">
        <v>12</v>
      </c>
      <c r="C5917" s="2" t="s">
        <v>12</v>
      </c>
      <c r="D5917" s="2" t="s">
        <v>12</v>
      </c>
      <c r="E5917" s="2" t="s">
        <v>12</v>
      </c>
      <c r="F5917" s="2" t="s">
        <v>12</v>
      </c>
      <c r="G5917" s="2" t="s">
        <v>12</v>
      </c>
      <c r="H5917" s="2" t="s">
        <v>12</v>
      </c>
      <c r="I5917" s="2" t="s">
        <v>12</v>
      </c>
      <c r="J5917" s="2" t="s">
        <v>12</v>
      </c>
      <c r="K5917" s="2" t="s">
        <v>12</v>
      </c>
    </row>
    <row r="5918" spans="1:11" ht="12.5" x14ac:dyDescent="0.25">
      <c r="A5918" s="3" t="e">
        <f ca="1"/>
        <v>#NAME?</v>
      </c>
      <c r="B5918" s="2" t="s">
        <v>12</v>
      </c>
      <c r="C5918" s="2" t="s">
        <v>12</v>
      </c>
      <c r="D5918" s="2" t="s">
        <v>12</v>
      </c>
      <c r="E5918" s="2" t="s">
        <v>12</v>
      </c>
      <c r="F5918" s="2" t="s">
        <v>12</v>
      </c>
      <c r="G5918" s="2" t="s">
        <v>12</v>
      </c>
      <c r="H5918" s="2" t="s">
        <v>12</v>
      </c>
      <c r="I5918" s="2" t="s">
        <v>12</v>
      </c>
      <c r="J5918" s="2" t="s">
        <v>12</v>
      </c>
      <c r="K5918" s="2" t="s">
        <v>12</v>
      </c>
    </row>
    <row r="5919" spans="1:11" ht="12.5" x14ac:dyDescent="0.25">
      <c r="A5919" s="3" t="e">
        <f ca="1"/>
        <v>#NAME?</v>
      </c>
      <c r="B5919" s="2" t="s">
        <v>12</v>
      </c>
      <c r="C5919" s="2" t="s">
        <v>12</v>
      </c>
      <c r="D5919" s="2" t="s">
        <v>12</v>
      </c>
      <c r="E5919" s="2" t="s">
        <v>12</v>
      </c>
      <c r="F5919" s="2" t="s">
        <v>12</v>
      </c>
      <c r="G5919" s="2" t="s">
        <v>12</v>
      </c>
      <c r="H5919" s="2" t="s">
        <v>12</v>
      </c>
      <c r="I5919" s="2" t="s">
        <v>12</v>
      </c>
      <c r="J5919" s="2" t="s">
        <v>12</v>
      </c>
      <c r="K5919" s="2" t="s">
        <v>12</v>
      </c>
    </row>
    <row r="5920" spans="1:11" ht="12.5" x14ac:dyDescent="0.25">
      <c r="A5920" s="3" t="e">
        <f ca="1"/>
        <v>#NAME?</v>
      </c>
      <c r="B5920" s="2" t="s">
        <v>12</v>
      </c>
      <c r="C5920" s="2" t="s">
        <v>12</v>
      </c>
      <c r="D5920" s="2" t="s">
        <v>12</v>
      </c>
      <c r="E5920" s="2" t="s">
        <v>12</v>
      </c>
      <c r="F5920" s="2" t="s">
        <v>12</v>
      </c>
      <c r="G5920" s="2" t="s">
        <v>12</v>
      </c>
      <c r="H5920" s="2" t="s">
        <v>12</v>
      </c>
      <c r="I5920" s="2" t="s">
        <v>12</v>
      </c>
      <c r="J5920" s="2" t="s">
        <v>12</v>
      </c>
      <c r="K5920" s="2" t="s">
        <v>12</v>
      </c>
    </row>
    <row r="5921" spans="1:11" ht="12.5" x14ac:dyDescent="0.25">
      <c r="A5921" s="3" t="e">
        <f ca="1"/>
        <v>#NAME?</v>
      </c>
      <c r="B5921" s="2" t="s">
        <v>12</v>
      </c>
      <c r="C5921" s="2" t="s">
        <v>12</v>
      </c>
      <c r="D5921" s="2" t="s">
        <v>12</v>
      </c>
      <c r="E5921" s="2" t="s">
        <v>12</v>
      </c>
      <c r="F5921" s="2" t="s">
        <v>12</v>
      </c>
      <c r="G5921" s="2" t="s">
        <v>12</v>
      </c>
      <c r="H5921" s="2" t="s">
        <v>12</v>
      </c>
      <c r="I5921" s="2" t="s">
        <v>12</v>
      </c>
      <c r="J5921" s="2" t="s">
        <v>12</v>
      </c>
      <c r="K5921" s="2" t="s">
        <v>12</v>
      </c>
    </row>
    <row r="5922" spans="1:11" ht="12.5" x14ac:dyDescent="0.25">
      <c r="A5922" s="3" t="e">
        <f ca="1"/>
        <v>#NAME?</v>
      </c>
      <c r="B5922" s="2" t="s">
        <v>12</v>
      </c>
      <c r="C5922" s="2" t="s">
        <v>12</v>
      </c>
      <c r="D5922" s="2" t="s">
        <v>12</v>
      </c>
      <c r="E5922" s="2" t="s">
        <v>12</v>
      </c>
      <c r="F5922" s="2" t="s">
        <v>12</v>
      </c>
      <c r="G5922" s="2" t="s">
        <v>12</v>
      </c>
      <c r="H5922" s="2" t="s">
        <v>12</v>
      </c>
      <c r="I5922" s="2" t="s">
        <v>12</v>
      </c>
      <c r="J5922" s="2" t="s">
        <v>12</v>
      </c>
      <c r="K5922" s="2" t="s">
        <v>12</v>
      </c>
    </row>
    <row r="5923" spans="1:11" ht="12.5" x14ac:dyDescent="0.25">
      <c r="A5923" s="3" t="e">
        <f ca="1"/>
        <v>#NAME?</v>
      </c>
      <c r="B5923" s="2" t="s">
        <v>12</v>
      </c>
      <c r="C5923" s="2" t="s">
        <v>12</v>
      </c>
      <c r="D5923" s="2" t="s">
        <v>12</v>
      </c>
      <c r="E5923" s="2" t="s">
        <v>12</v>
      </c>
      <c r="F5923" s="2" t="s">
        <v>12</v>
      </c>
      <c r="G5923" s="2" t="s">
        <v>12</v>
      </c>
      <c r="H5923" s="2" t="s">
        <v>12</v>
      </c>
      <c r="I5923" s="2" t="s">
        <v>12</v>
      </c>
      <c r="J5923" s="2" t="s">
        <v>12</v>
      </c>
      <c r="K5923" s="2" t="s">
        <v>12</v>
      </c>
    </row>
    <row r="5924" spans="1:11" ht="12.5" x14ac:dyDescent="0.25">
      <c r="A5924" s="3" t="e">
        <f ca="1"/>
        <v>#NAME?</v>
      </c>
      <c r="B5924" s="2" t="s">
        <v>12</v>
      </c>
      <c r="C5924" s="2" t="s">
        <v>12</v>
      </c>
      <c r="D5924" s="2" t="s">
        <v>12</v>
      </c>
      <c r="E5924" s="2" t="s">
        <v>12</v>
      </c>
      <c r="F5924" s="2" t="s">
        <v>12</v>
      </c>
      <c r="G5924" s="2" t="s">
        <v>12</v>
      </c>
      <c r="H5924" s="2" t="s">
        <v>12</v>
      </c>
      <c r="I5924" s="2" t="s">
        <v>12</v>
      </c>
      <c r="J5924" s="2" t="s">
        <v>12</v>
      </c>
      <c r="K5924" s="2" t="s">
        <v>12</v>
      </c>
    </row>
    <row r="5925" spans="1:11" ht="12.5" x14ac:dyDescent="0.25">
      <c r="A5925" s="3" t="e">
        <f ca="1"/>
        <v>#NAME?</v>
      </c>
      <c r="B5925" s="2" t="s">
        <v>12</v>
      </c>
      <c r="C5925" s="2" t="s">
        <v>12</v>
      </c>
      <c r="D5925" s="2" t="s">
        <v>12</v>
      </c>
      <c r="E5925" s="2" t="s">
        <v>12</v>
      </c>
      <c r="F5925" s="2" t="s">
        <v>12</v>
      </c>
      <c r="G5925" s="2" t="s">
        <v>12</v>
      </c>
      <c r="H5925" s="2" t="s">
        <v>12</v>
      </c>
      <c r="I5925" s="2" t="s">
        <v>12</v>
      </c>
      <c r="J5925" s="2" t="s">
        <v>12</v>
      </c>
      <c r="K5925" s="2" t="s">
        <v>12</v>
      </c>
    </row>
    <row r="5926" spans="1:11" ht="12.5" x14ac:dyDescent="0.25">
      <c r="A5926" s="3" t="e">
        <f ca="1"/>
        <v>#NAME?</v>
      </c>
      <c r="B5926" s="2" t="s">
        <v>12</v>
      </c>
      <c r="C5926" s="2" t="s">
        <v>12</v>
      </c>
      <c r="D5926" s="2" t="s">
        <v>12</v>
      </c>
      <c r="E5926" s="2" t="s">
        <v>12</v>
      </c>
      <c r="F5926" s="2" t="s">
        <v>12</v>
      </c>
      <c r="G5926" s="2" t="s">
        <v>12</v>
      </c>
      <c r="H5926" s="2" t="s">
        <v>12</v>
      </c>
      <c r="I5926" s="2" t="s">
        <v>12</v>
      </c>
      <c r="J5926" s="2" t="s">
        <v>12</v>
      </c>
      <c r="K5926" s="2" t="s">
        <v>12</v>
      </c>
    </row>
    <row r="5927" spans="1:11" ht="12.5" x14ac:dyDescent="0.25">
      <c r="A5927" s="3" t="e">
        <f ca="1"/>
        <v>#NAME?</v>
      </c>
      <c r="B5927" s="2" t="s">
        <v>12</v>
      </c>
      <c r="C5927" s="2" t="s">
        <v>12</v>
      </c>
      <c r="D5927" s="2" t="s">
        <v>12</v>
      </c>
      <c r="E5927" s="2" t="s">
        <v>12</v>
      </c>
      <c r="F5927" s="2" t="s">
        <v>12</v>
      </c>
      <c r="G5927" s="2" t="s">
        <v>12</v>
      </c>
      <c r="H5927" s="2" t="s">
        <v>12</v>
      </c>
      <c r="I5927" s="2" t="s">
        <v>12</v>
      </c>
      <c r="J5927" s="2" t="s">
        <v>12</v>
      </c>
      <c r="K5927" s="2" t="s">
        <v>12</v>
      </c>
    </row>
    <row r="5928" spans="1:11" ht="12.5" x14ac:dyDescent="0.25">
      <c r="A5928" s="3" t="e">
        <f ca="1"/>
        <v>#NAME?</v>
      </c>
      <c r="B5928" s="2" t="s">
        <v>12</v>
      </c>
      <c r="C5928" s="2" t="s">
        <v>12</v>
      </c>
      <c r="D5928" s="2" t="s">
        <v>12</v>
      </c>
      <c r="E5928" s="2" t="s">
        <v>12</v>
      </c>
      <c r="F5928" s="2" t="s">
        <v>12</v>
      </c>
      <c r="G5928" s="2" t="s">
        <v>12</v>
      </c>
      <c r="H5928" s="2" t="s">
        <v>12</v>
      </c>
      <c r="I5928" s="2" t="s">
        <v>12</v>
      </c>
      <c r="J5928" s="2" t="s">
        <v>12</v>
      </c>
      <c r="K5928" s="2" t="s">
        <v>12</v>
      </c>
    </row>
    <row r="5929" spans="1:11" ht="12.5" x14ac:dyDescent="0.25">
      <c r="A5929" s="3" t="e">
        <f ca="1"/>
        <v>#NAME?</v>
      </c>
      <c r="B5929" s="2" t="s">
        <v>12</v>
      </c>
      <c r="C5929" s="2" t="s">
        <v>12</v>
      </c>
      <c r="D5929" s="2" t="s">
        <v>12</v>
      </c>
      <c r="E5929" s="2" t="s">
        <v>12</v>
      </c>
      <c r="F5929" s="2" t="s">
        <v>12</v>
      </c>
      <c r="G5929" s="2" t="s">
        <v>12</v>
      </c>
      <c r="H5929" s="2" t="s">
        <v>12</v>
      </c>
      <c r="I5929" s="2" t="s">
        <v>12</v>
      </c>
      <c r="J5929" s="2" t="s">
        <v>12</v>
      </c>
      <c r="K5929" s="2" t="s">
        <v>12</v>
      </c>
    </row>
    <row r="5930" spans="1:11" ht="12.5" x14ac:dyDescent="0.25">
      <c r="A5930" s="3" t="e">
        <f ca="1"/>
        <v>#NAME?</v>
      </c>
      <c r="B5930" s="2" t="s">
        <v>12</v>
      </c>
      <c r="C5930" s="2" t="s">
        <v>12</v>
      </c>
      <c r="D5930" s="2" t="s">
        <v>12</v>
      </c>
      <c r="E5930" s="2" t="s">
        <v>12</v>
      </c>
      <c r="F5930" s="2" t="s">
        <v>12</v>
      </c>
      <c r="G5930" s="2" t="s">
        <v>12</v>
      </c>
      <c r="H5930" s="2" t="s">
        <v>12</v>
      </c>
      <c r="I5930" s="2" t="s">
        <v>12</v>
      </c>
      <c r="J5930" s="2" t="s">
        <v>12</v>
      </c>
      <c r="K5930" s="2" t="s">
        <v>12</v>
      </c>
    </row>
    <row r="5931" spans="1:11" ht="12.5" x14ac:dyDescent="0.25">
      <c r="A5931" s="3" t="e">
        <f ca="1"/>
        <v>#NAME?</v>
      </c>
      <c r="B5931" s="2" t="s">
        <v>12</v>
      </c>
      <c r="C5931" s="2" t="s">
        <v>12</v>
      </c>
      <c r="D5931" s="2" t="s">
        <v>12</v>
      </c>
      <c r="E5931" s="2" t="s">
        <v>12</v>
      </c>
      <c r="F5931" s="2" t="s">
        <v>12</v>
      </c>
      <c r="G5931" s="2" t="s">
        <v>12</v>
      </c>
      <c r="H5931" s="2" t="s">
        <v>12</v>
      </c>
      <c r="I5931" s="2" t="s">
        <v>12</v>
      </c>
      <c r="J5931" s="2" t="s">
        <v>12</v>
      </c>
      <c r="K5931" s="2" t="s">
        <v>12</v>
      </c>
    </row>
    <row r="5932" spans="1:11" ht="12.5" x14ac:dyDescent="0.25">
      <c r="A5932" s="3" t="e">
        <f ca="1"/>
        <v>#NAME?</v>
      </c>
      <c r="B5932" s="2" t="s">
        <v>12</v>
      </c>
      <c r="C5932" s="2" t="s">
        <v>12</v>
      </c>
      <c r="D5932" s="2" t="s">
        <v>12</v>
      </c>
      <c r="E5932" s="2" t="s">
        <v>12</v>
      </c>
      <c r="F5932" s="2" t="s">
        <v>12</v>
      </c>
      <c r="G5932" s="2" t="s">
        <v>12</v>
      </c>
      <c r="H5932" s="2" t="s">
        <v>12</v>
      </c>
      <c r="I5932" s="2" t="s">
        <v>12</v>
      </c>
      <c r="J5932" s="2" t="s">
        <v>12</v>
      </c>
      <c r="K5932" s="2" t="s">
        <v>12</v>
      </c>
    </row>
    <row r="5933" spans="1:11" ht="12.5" x14ac:dyDescent="0.25">
      <c r="A5933" s="3" t="e">
        <f ca="1"/>
        <v>#NAME?</v>
      </c>
      <c r="B5933" s="2" t="s">
        <v>12</v>
      </c>
      <c r="C5933" s="2" t="s">
        <v>12</v>
      </c>
      <c r="D5933" s="2" t="s">
        <v>12</v>
      </c>
      <c r="E5933" s="2" t="s">
        <v>12</v>
      </c>
      <c r="F5933" s="2" t="s">
        <v>12</v>
      </c>
      <c r="G5933" s="2" t="s">
        <v>12</v>
      </c>
      <c r="H5933" s="2" t="s">
        <v>12</v>
      </c>
      <c r="I5933" s="2" t="s">
        <v>12</v>
      </c>
      <c r="J5933" s="2" t="s">
        <v>12</v>
      </c>
      <c r="K5933" s="2" t="s">
        <v>12</v>
      </c>
    </row>
    <row r="5934" spans="1:11" ht="12.5" x14ac:dyDescent="0.25">
      <c r="A5934" s="3" t="e">
        <f ca="1"/>
        <v>#NAME?</v>
      </c>
      <c r="B5934" s="2" t="s">
        <v>12</v>
      </c>
      <c r="C5934" s="2" t="s">
        <v>12</v>
      </c>
      <c r="D5934" s="2" t="s">
        <v>12</v>
      </c>
      <c r="E5934" s="2" t="s">
        <v>12</v>
      </c>
      <c r="F5934" s="2" t="s">
        <v>12</v>
      </c>
      <c r="G5934" s="2" t="s">
        <v>12</v>
      </c>
      <c r="H5934" s="2" t="s">
        <v>12</v>
      </c>
      <c r="I5934" s="2" t="s">
        <v>12</v>
      </c>
      <c r="J5934" s="2" t="s">
        <v>12</v>
      </c>
      <c r="K5934" s="2" t="s">
        <v>12</v>
      </c>
    </row>
    <row r="5935" spans="1:11" ht="12.5" x14ac:dyDescent="0.25">
      <c r="A5935" s="3" t="e">
        <f ca="1"/>
        <v>#NAME?</v>
      </c>
      <c r="B5935" s="2" t="s">
        <v>12</v>
      </c>
      <c r="C5935" s="2" t="s">
        <v>12</v>
      </c>
      <c r="D5935" s="2" t="s">
        <v>12</v>
      </c>
      <c r="E5935" s="2" t="s">
        <v>12</v>
      </c>
      <c r="F5935" s="2" t="s">
        <v>12</v>
      </c>
      <c r="G5935" s="2" t="s">
        <v>12</v>
      </c>
      <c r="H5935" s="2" t="s">
        <v>12</v>
      </c>
      <c r="I5935" s="2" t="s">
        <v>12</v>
      </c>
      <c r="J5935" s="2" t="s">
        <v>12</v>
      </c>
      <c r="K5935" s="2" t="s">
        <v>12</v>
      </c>
    </row>
    <row r="5936" spans="1:11" ht="12.5" x14ac:dyDescent="0.25">
      <c r="A5936" s="3" t="e">
        <f ca="1"/>
        <v>#NAME?</v>
      </c>
      <c r="B5936" s="2" t="s">
        <v>12</v>
      </c>
      <c r="C5936" s="2" t="s">
        <v>12</v>
      </c>
      <c r="D5936" s="2" t="s">
        <v>12</v>
      </c>
      <c r="E5936" s="2" t="s">
        <v>12</v>
      </c>
      <c r="F5936" s="2" t="s">
        <v>12</v>
      </c>
      <c r="G5936" s="2" t="s">
        <v>12</v>
      </c>
      <c r="H5936" s="2" t="s">
        <v>12</v>
      </c>
      <c r="I5936" s="2" t="s">
        <v>12</v>
      </c>
      <c r="J5936" s="2" t="s">
        <v>12</v>
      </c>
      <c r="K5936" s="2" t="s">
        <v>12</v>
      </c>
    </row>
    <row r="5937" spans="1:11" ht="12.5" x14ac:dyDescent="0.25">
      <c r="A5937" s="3" t="e">
        <f ca="1"/>
        <v>#NAME?</v>
      </c>
      <c r="B5937" s="2" t="s">
        <v>12</v>
      </c>
      <c r="C5937" s="2" t="s">
        <v>12</v>
      </c>
      <c r="D5937" s="2" t="s">
        <v>12</v>
      </c>
      <c r="E5937" s="2" t="s">
        <v>12</v>
      </c>
      <c r="F5937" s="2" t="s">
        <v>12</v>
      </c>
      <c r="G5937" s="2" t="s">
        <v>12</v>
      </c>
      <c r="H5937" s="2" t="s">
        <v>12</v>
      </c>
      <c r="I5937" s="2" t="s">
        <v>12</v>
      </c>
      <c r="J5937" s="2" t="s">
        <v>12</v>
      </c>
      <c r="K5937" s="2" t="s">
        <v>12</v>
      </c>
    </row>
    <row r="5938" spans="1:11" ht="12.5" x14ac:dyDescent="0.25">
      <c r="A5938" s="3" t="e">
        <f ca="1"/>
        <v>#NAME?</v>
      </c>
      <c r="B5938" s="2" t="s">
        <v>12</v>
      </c>
      <c r="C5938" s="2" t="s">
        <v>12</v>
      </c>
      <c r="D5938" s="2" t="s">
        <v>12</v>
      </c>
      <c r="E5938" s="2" t="s">
        <v>12</v>
      </c>
      <c r="F5938" s="2" t="s">
        <v>12</v>
      </c>
      <c r="G5938" s="2" t="s">
        <v>12</v>
      </c>
      <c r="H5938" s="2" t="s">
        <v>12</v>
      </c>
      <c r="I5938" s="2" t="s">
        <v>12</v>
      </c>
      <c r="J5938" s="2" t="s">
        <v>12</v>
      </c>
      <c r="K5938" s="2" t="s">
        <v>12</v>
      </c>
    </row>
    <row r="5939" spans="1:11" ht="12.5" x14ac:dyDescent="0.25">
      <c r="A5939" s="3" t="e">
        <f ca="1"/>
        <v>#NAME?</v>
      </c>
      <c r="B5939" s="2" t="s">
        <v>12</v>
      </c>
      <c r="C5939" s="2" t="s">
        <v>12</v>
      </c>
      <c r="D5939" s="2" t="s">
        <v>12</v>
      </c>
      <c r="E5939" s="2" t="s">
        <v>12</v>
      </c>
      <c r="F5939" s="2" t="s">
        <v>12</v>
      </c>
      <c r="G5939" s="2" t="s">
        <v>12</v>
      </c>
      <c r="H5939" s="2" t="s">
        <v>12</v>
      </c>
      <c r="I5939" s="2" t="s">
        <v>12</v>
      </c>
      <c r="J5939" s="2" t="s">
        <v>12</v>
      </c>
      <c r="K5939" s="2" t="s">
        <v>12</v>
      </c>
    </row>
    <row r="5940" spans="1:11" ht="12.5" x14ac:dyDescent="0.25">
      <c r="A5940" s="3" t="e">
        <f ca="1"/>
        <v>#NAME?</v>
      </c>
      <c r="B5940" s="2" t="s">
        <v>12</v>
      </c>
      <c r="C5940" s="2" t="s">
        <v>12</v>
      </c>
      <c r="D5940" s="2" t="s">
        <v>12</v>
      </c>
      <c r="E5940" s="2" t="s">
        <v>12</v>
      </c>
      <c r="F5940" s="2" t="s">
        <v>12</v>
      </c>
      <c r="G5940" s="2" t="s">
        <v>12</v>
      </c>
      <c r="H5940" s="2" t="s">
        <v>12</v>
      </c>
      <c r="I5940" s="2" t="s">
        <v>12</v>
      </c>
      <c r="J5940" s="2" t="s">
        <v>12</v>
      </c>
      <c r="K5940" s="2" t="s">
        <v>12</v>
      </c>
    </row>
    <row r="5941" spans="1:11" ht="12.5" x14ac:dyDescent="0.25">
      <c r="A5941" s="3" t="e">
        <f ca="1"/>
        <v>#NAME?</v>
      </c>
      <c r="B5941" s="2" t="s">
        <v>12</v>
      </c>
      <c r="C5941" s="2" t="s">
        <v>12</v>
      </c>
      <c r="D5941" s="2" t="s">
        <v>12</v>
      </c>
      <c r="E5941" s="2" t="s">
        <v>12</v>
      </c>
      <c r="F5941" s="2" t="s">
        <v>12</v>
      </c>
      <c r="G5941" s="2" t="s">
        <v>12</v>
      </c>
      <c r="H5941" s="2" t="s">
        <v>12</v>
      </c>
      <c r="I5941" s="2" t="s">
        <v>12</v>
      </c>
      <c r="J5941" s="2" t="s">
        <v>12</v>
      </c>
      <c r="K5941" s="2" t="s">
        <v>12</v>
      </c>
    </row>
    <row r="5942" spans="1:11" ht="12.5" x14ac:dyDescent="0.25">
      <c r="A5942" s="3" t="e">
        <f ca="1"/>
        <v>#NAME?</v>
      </c>
      <c r="B5942" s="2" t="s">
        <v>12</v>
      </c>
      <c r="C5942" s="2" t="s">
        <v>12</v>
      </c>
      <c r="D5942" s="2" t="s">
        <v>12</v>
      </c>
      <c r="E5942" s="2" t="s">
        <v>12</v>
      </c>
      <c r="F5942" s="2" t="s">
        <v>12</v>
      </c>
      <c r="G5942" s="2" t="s">
        <v>12</v>
      </c>
      <c r="H5942" s="2" t="s">
        <v>12</v>
      </c>
      <c r="I5942" s="2" t="s">
        <v>12</v>
      </c>
      <c r="J5942" s="2" t="s">
        <v>12</v>
      </c>
      <c r="K5942" s="2" t="s">
        <v>12</v>
      </c>
    </row>
    <row r="5943" spans="1:11" ht="12.5" x14ac:dyDescent="0.25">
      <c r="A5943" s="3" t="e">
        <f ca="1"/>
        <v>#NAME?</v>
      </c>
      <c r="B5943" s="2" t="s">
        <v>12</v>
      </c>
      <c r="C5943" s="2" t="s">
        <v>12</v>
      </c>
      <c r="D5943" s="2" t="s">
        <v>12</v>
      </c>
      <c r="E5943" s="2" t="s">
        <v>12</v>
      </c>
      <c r="F5943" s="2" t="s">
        <v>12</v>
      </c>
      <c r="G5943" s="2" t="s">
        <v>12</v>
      </c>
      <c r="H5943" s="2" t="s">
        <v>12</v>
      </c>
      <c r="I5943" s="2" t="s">
        <v>12</v>
      </c>
      <c r="J5943" s="2" t="s">
        <v>12</v>
      </c>
      <c r="K5943" s="2" t="s">
        <v>12</v>
      </c>
    </row>
    <row r="5944" spans="1:11" ht="12.5" x14ac:dyDescent="0.25">
      <c r="A5944" s="3" t="e">
        <f ca="1"/>
        <v>#NAME?</v>
      </c>
      <c r="B5944" s="2" t="s">
        <v>12</v>
      </c>
      <c r="C5944" s="2" t="s">
        <v>12</v>
      </c>
      <c r="D5944" s="2" t="s">
        <v>12</v>
      </c>
      <c r="E5944" s="2" t="s">
        <v>12</v>
      </c>
      <c r="F5944" s="2" t="s">
        <v>12</v>
      </c>
      <c r="G5944" s="2" t="s">
        <v>12</v>
      </c>
      <c r="H5944" s="2" t="s">
        <v>12</v>
      </c>
      <c r="I5944" s="2" t="s">
        <v>12</v>
      </c>
      <c r="J5944" s="2" t="s">
        <v>12</v>
      </c>
      <c r="K5944" s="2" t="s">
        <v>12</v>
      </c>
    </row>
    <row r="5945" spans="1:11" ht="12.5" x14ac:dyDescent="0.25">
      <c r="A5945" s="3" t="e">
        <f ca="1"/>
        <v>#NAME?</v>
      </c>
      <c r="B5945" s="2" t="s">
        <v>12</v>
      </c>
      <c r="C5945" s="2" t="s">
        <v>12</v>
      </c>
      <c r="D5945" s="2" t="s">
        <v>12</v>
      </c>
      <c r="E5945" s="2" t="s">
        <v>12</v>
      </c>
      <c r="F5945" s="2" t="s">
        <v>12</v>
      </c>
      <c r="G5945" s="2" t="s">
        <v>12</v>
      </c>
      <c r="H5945" s="2" t="s">
        <v>12</v>
      </c>
      <c r="I5945" s="2" t="s">
        <v>12</v>
      </c>
      <c r="J5945" s="2" t="s">
        <v>12</v>
      </c>
      <c r="K5945" s="2" t="s">
        <v>12</v>
      </c>
    </row>
    <row r="5946" spans="1:11" ht="12.5" x14ac:dyDescent="0.25">
      <c r="A5946" s="3" t="e">
        <f ca="1"/>
        <v>#NAME?</v>
      </c>
      <c r="B5946" s="2" t="s">
        <v>12</v>
      </c>
      <c r="C5946" s="2" t="s">
        <v>12</v>
      </c>
      <c r="D5946" s="2" t="s">
        <v>12</v>
      </c>
      <c r="E5946" s="2" t="s">
        <v>12</v>
      </c>
      <c r="F5946" s="2" t="s">
        <v>12</v>
      </c>
      <c r="G5946" s="2" t="s">
        <v>12</v>
      </c>
      <c r="H5946" s="2" t="s">
        <v>12</v>
      </c>
      <c r="I5946" s="2" t="s">
        <v>12</v>
      </c>
      <c r="J5946" s="2" t="s">
        <v>12</v>
      </c>
      <c r="K5946" s="2" t="s">
        <v>12</v>
      </c>
    </row>
    <row r="5947" spans="1:11" ht="12.5" x14ac:dyDescent="0.25">
      <c r="A5947" s="3" t="e">
        <f ca="1"/>
        <v>#NAME?</v>
      </c>
      <c r="B5947" s="2" t="s">
        <v>12</v>
      </c>
      <c r="C5947" s="2" t="s">
        <v>12</v>
      </c>
      <c r="D5947" s="2" t="s">
        <v>12</v>
      </c>
      <c r="E5947" s="2" t="s">
        <v>12</v>
      </c>
      <c r="F5947" s="2" t="s">
        <v>12</v>
      </c>
      <c r="G5947" s="2" t="s">
        <v>12</v>
      </c>
      <c r="H5947" s="2" t="s">
        <v>12</v>
      </c>
      <c r="I5947" s="2" t="s">
        <v>12</v>
      </c>
      <c r="J5947" s="2" t="s">
        <v>12</v>
      </c>
      <c r="K5947" s="2" t="s">
        <v>12</v>
      </c>
    </row>
    <row r="5948" spans="1:11" ht="12.5" x14ac:dyDescent="0.25">
      <c r="A5948" s="3" t="e">
        <f ca="1"/>
        <v>#NAME?</v>
      </c>
      <c r="B5948" s="2" t="s">
        <v>12</v>
      </c>
      <c r="C5948" s="2" t="s">
        <v>12</v>
      </c>
      <c r="D5948" s="2" t="s">
        <v>12</v>
      </c>
      <c r="E5948" s="2" t="s">
        <v>12</v>
      </c>
      <c r="F5948" s="2" t="s">
        <v>12</v>
      </c>
      <c r="G5948" s="2" t="s">
        <v>12</v>
      </c>
      <c r="H5948" s="2" t="s">
        <v>12</v>
      </c>
      <c r="I5948" s="2" t="s">
        <v>12</v>
      </c>
      <c r="J5948" s="2" t="s">
        <v>12</v>
      </c>
      <c r="K5948" s="2" t="s">
        <v>12</v>
      </c>
    </row>
    <row r="5949" spans="1:11" ht="12.5" x14ac:dyDescent="0.25">
      <c r="A5949" s="3" t="e">
        <f ca="1"/>
        <v>#NAME?</v>
      </c>
      <c r="B5949" s="2" t="s">
        <v>12</v>
      </c>
      <c r="C5949" s="2" t="s">
        <v>12</v>
      </c>
      <c r="D5949" s="2" t="s">
        <v>12</v>
      </c>
      <c r="E5949" s="2" t="s">
        <v>12</v>
      </c>
      <c r="F5949" s="2" t="s">
        <v>12</v>
      </c>
      <c r="G5949" s="2" t="s">
        <v>12</v>
      </c>
      <c r="H5949" s="2" t="s">
        <v>12</v>
      </c>
      <c r="I5949" s="2" t="s">
        <v>12</v>
      </c>
      <c r="J5949" s="2" t="s">
        <v>12</v>
      </c>
      <c r="K5949" s="2" t="s">
        <v>12</v>
      </c>
    </row>
    <row r="5950" spans="1:11" ht="12.5" x14ac:dyDescent="0.25">
      <c r="A5950" s="3" t="e">
        <f ca="1"/>
        <v>#NAME?</v>
      </c>
      <c r="B5950" s="2" t="s">
        <v>12</v>
      </c>
      <c r="C5950" s="2" t="s">
        <v>12</v>
      </c>
      <c r="D5950" s="2" t="s">
        <v>12</v>
      </c>
      <c r="E5950" s="2" t="s">
        <v>12</v>
      </c>
      <c r="F5950" s="2" t="s">
        <v>12</v>
      </c>
      <c r="G5950" s="2" t="s">
        <v>12</v>
      </c>
      <c r="H5950" s="2" t="s">
        <v>12</v>
      </c>
      <c r="I5950" s="2" t="s">
        <v>12</v>
      </c>
      <c r="J5950" s="2" t="s">
        <v>12</v>
      </c>
      <c r="K5950" s="2" t="s">
        <v>12</v>
      </c>
    </row>
    <row r="5951" spans="1:11" ht="12.5" x14ac:dyDescent="0.25">
      <c r="A5951" s="3" t="e">
        <f ca="1"/>
        <v>#NAME?</v>
      </c>
      <c r="B5951" s="2" t="s">
        <v>12</v>
      </c>
      <c r="C5951" s="2" t="s">
        <v>12</v>
      </c>
      <c r="D5951" s="2" t="s">
        <v>12</v>
      </c>
      <c r="E5951" s="2" t="s">
        <v>12</v>
      </c>
      <c r="F5951" s="2" t="s">
        <v>12</v>
      </c>
      <c r="G5951" s="2" t="s">
        <v>12</v>
      </c>
      <c r="H5951" s="2" t="s">
        <v>12</v>
      </c>
      <c r="I5951" s="2" t="s">
        <v>12</v>
      </c>
      <c r="J5951" s="2" t="s">
        <v>12</v>
      </c>
      <c r="K5951" s="2" t="s">
        <v>12</v>
      </c>
    </row>
    <row r="5952" spans="1:11" ht="12.5" x14ac:dyDescent="0.25">
      <c r="A5952" s="3" t="e">
        <f ca="1"/>
        <v>#NAME?</v>
      </c>
      <c r="B5952" s="2" t="s">
        <v>12</v>
      </c>
      <c r="C5952" s="2" t="s">
        <v>12</v>
      </c>
      <c r="D5952" s="2" t="s">
        <v>12</v>
      </c>
      <c r="E5952" s="2" t="s">
        <v>12</v>
      </c>
      <c r="F5952" s="2" t="s">
        <v>12</v>
      </c>
      <c r="G5952" s="2" t="s">
        <v>12</v>
      </c>
      <c r="H5952" s="2" t="s">
        <v>12</v>
      </c>
      <c r="I5952" s="2" t="s">
        <v>12</v>
      </c>
      <c r="J5952" s="2" t="s">
        <v>12</v>
      </c>
      <c r="K5952" s="2" t="s">
        <v>12</v>
      </c>
    </row>
    <row r="5953" spans="1:11" ht="12.5" x14ac:dyDescent="0.25">
      <c r="A5953" s="3" t="e">
        <f ca="1"/>
        <v>#NAME?</v>
      </c>
      <c r="B5953" s="2" t="s">
        <v>12</v>
      </c>
      <c r="C5953" s="2" t="s">
        <v>12</v>
      </c>
      <c r="D5953" s="2" t="s">
        <v>12</v>
      </c>
      <c r="E5953" s="2" t="s">
        <v>12</v>
      </c>
      <c r="F5953" s="2" t="s">
        <v>12</v>
      </c>
      <c r="G5953" s="2" t="s">
        <v>12</v>
      </c>
      <c r="H5953" s="2" t="s">
        <v>12</v>
      </c>
      <c r="I5953" s="2" t="s">
        <v>12</v>
      </c>
      <c r="J5953" s="2" t="s">
        <v>12</v>
      </c>
      <c r="K5953" s="2" t="s">
        <v>12</v>
      </c>
    </row>
    <row r="5954" spans="1:11" ht="12.5" x14ac:dyDescent="0.25">
      <c r="A5954" s="3" t="e">
        <f ca="1"/>
        <v>#NAME?</v>
      </c>
      <c r="B5954" s="2" t="s">
        <v>12</v>
      </c>
      <c r="C5954" s="2" t="s">
        <v>12</v>
      </c>
      <c r="D5954" s="2" t="s">
        <v>12</v>
      </c>
      <c r="E5954" s="2" t="s">
        <v>12</v>
      </c>
      <c r="F5954" s="2" t="s">
        <v>12</v>
      </c>
      <c r="G5954" s="2" t="s">
        <v>12</v>
      </c>
      <c r="H5954" s="2" t="s">
        <v>12</v>
      </c>
      <c r="I5954" s="2" t="s">
        <v>12</v>
      </c>
      <c r="J5954" s="2" t="s">
        <v>12</v>
      </c>
      <c r="K5954" s="2" t="s">
        <v>12</v>
      </c>
    </row>
    <row r="5955" spans="1:11" ht="12.5" x14ac:dyDescent="0.25">
      <c r="A5955" s="3" t="e">
        <f ca="1"/>
        <v>#NAME?</v>
      </c>
      <c r="B5955" s="2" t="s">
        <v>12</v>
      </c>
      <c r="C5955" s="2" t="s">
        <v>12</v>
      </c>
      <c r="D5955" s="2" t="s">
        <v>12</v>
      </c>
      <c r="E5955" s="2" t="s">
        <v>12</v>
      </c>
      <c r="F5955" s="2" t="s">
        <v>12</v>
      </c>
      <c r="G5955" s="2" t="s">
        <v>12</v>
      </c>
      <c r="H5955" s="2" t="s">
        <v>12</v>
      </c>
      <c r="I5955" s="2" t="s">
        <v>12</v>
      </c>
      <c r="J5955" s="2" t="s">
        <v>12</v>
      </c>
      <c r="K5955" s="2" t="s">
        <v>12</v>
      </c>
    </row>
    <row r="5956" spans="1:11" ht="12.5" x14ac:dyDescent="0.25">
      <c r="A5956" s="3" t="e">
        <f ca="1"/>
        <v>#NAME?</v>
      </c>
      <c r="B5956" s="2" t="s">
        <v>12</v>
      </c>
      <c r="C5956" s="2" t="s">
        <v>12</v>
      </c>
      <c r="D5956" s="2" t="s">
        <v>12</v>
      </c>
      <c r="E5956" s="2" t="s">
        <v>12</v>
      </c>
      <c r="F5956" s="2" t="s">
        <v>12</v>
      </c>
      <c r="G5956" s="2" t="s">
        <v>12</v>
      </c>
      <c r="H5956" s="2" t="s">
        <v>12</v>
      </c>
      <c r="I5956" s="2" t="s">
        <v>12</v>
      </c>
      <c r="J5956" s="2" t="s">
        <v>12</v>
      </c>
      <c r="K5956" s="2" t="s">
        <v>12</v>
      </c>
    </row>
    <row r="5957" spans="1:11" ht="12.5" x14ac:dyDescent="0.25">
      <c r="A5957" s="3" t="e">
        <f ca="1"/>
        <v>#NAME?</v>
      </c>
      <c r="B5957" s="2" t="s">
        <v>12</v>
      </c>
      <c r="C5957" s="2" t="s">
        <v>12</v>
      </c>
      <c r="D5957" s="2" t="s">
        <v>12</v>
      </c>
      <c r="E5957" s="2" t="s">
        <v>12</v>
      </c>
      <c r="F5957" s="2" t="s">
        <v>12</v>
      </c>
      <c r="G5957" s="2" t="s">
        <v>12</v>
      </c>
      <c r="H5957" s="2" t="s">
        <v>12</v>
      </c>
      <c r="I5957" s="2" t="s">
        <v>12</v>
      </c>
      <c r="J5957" s="2" t="s">
        <v>12</v>
      </c>
      <c r="K5957" s="2" t="s">
        <v>12</v>
      </c>
    </row>
    <row r="5958" spans="1:11" ht="12.5" x14ac:dyDescent="0.25">
      <c r="A5958" s="3" t="e">
        <f ca="1"/>
        <v>#NAME?</v>
      </c>
      <c r="B5958" s="2" t="s">
        <v>12</v>
      </c>
      <c r="C5958" s="2" t="s">
        <v>12</v>
      </c>
      <c r="D5958" s="2" t="s">
        <v>12</v>
      </c>
      <c r="E5958" s="2" t="s">
        <v>12</v>
      </c>
      <c r="F5958" s="2" t="s">
        <v>12</v>
      </c>
      <c r="G5958" s="2" t="s">
        <v>12</v>
      </c>
      <c r="H5958" s="2" t="s">
        <v>12</v>
      </c>
      <c r="I5958" s="2" t="s">
        <v>12</v>
      </c>
      <c r="J5958" s="2" t="s">
        <v>12</v>
      </c>
      <c r="K5958" s="2" t="s">
        <v>12</v>
      </c>
    </row>
    <row r="5959" spans="1:11" ht="12.5" x14ac:dyDescent="0.25">
      <c r="A5959" s="3" t="e">
        <f ca="1"/>
        <v>#NAME?</v>
      </c>
      <c r="B5959" s="2" t="s">
        <v>12</v>
      </c>
      <c r="C5959" s="2" t="s">
        <v>12</v>
      </c>
      <c r="D5959" s="2" t="s">
        <v>12</v>
      </c>
      <c r="E5959" s="2" t="s">
        <v>12</v>
      </c>
      <c r="F5959" s="2" t="s">
        <v>12</v>
      </c>
      <c r="G5959" s="2" t="s">
        <v>12</v>
      </c>
      <c r="H5959" s="2" t="s">
        <v>12</v>
      </c>
      <c r="I5959" s="2" t="s">
        <v>12</v>
      </c>
      <c r="J5959" s="2" t="s">
        <v>12</v>
      </c>
      <c r="K5959" s="2" t="s">
        <v>12</v>
      </c>
    </row>
    <row r="5960" spans="1:11" ht="12.5" x14ac:dyDescent="0.25">
      <c r="A5960" s="3" t="e">
        <f ca="1"/>
        <v>#NAME?</v>
      </c>
      <c r="B5960" s="2" t="s">
        <v>12</v>
      </c>
      <c r="C5960" s="2" t="s">
        <v>12</v>
      </c>
      <c r="D5960" s="2" t="s">
        <v>12</v>
      </c>
      <c r="E5960" s="2" t="s">
        <v>12</v>
      </c>
      <c r="F5960" s="2" t="s">
        <v>12</v>
      </c>
      <c r="G5960" s="2" t="s">
        <v>12</v>
      </c>
      <c r="H5960" s="2" t="s">
        <v>12</v>
      </c>
      <c r="I5960" s="2" t="s">
        <v>12</v>
      </c>
      <c r="J5960" s="2" t="s">
        <v>12</v>
      </c>
      <c r="K5960" s="2" t="s">
        <v>12</v>
      </c>
    </row>
    <row r="5961" spans="1:11" ht="12.5" x14ac:dyDescent="0.25">
      <c r="A5961" s="3" t="e">
        <f ca="1"/>
        <v>#NAME?</v>
      </c>
      <c r="B5961" s="2" t="s">
        <v>12</v>
      </c>
      <c r="C5961" s="2" t="s">
        <v>12</v>
      </c>
      <c r="D5961" s="2" t="s">
        <v>12</v>
      </c>
      <c r="E5961" s="2" t="s">
        <v>12</v>
      </c>
      <c r="F5961" s="2" t="s">
        <v>12</v>
      </c>
      <c r="G5961" s="2" t="s">
        <v>12</v>
      </c>
      <c r="H5961" s="2" t="s">
        <v>12</v>
      </c>
      <c r="I5961" s="2" t="s">
        <v>12</v>
      </c>
      <c r="J5961" s="2" t="s">
        <v>12</v>
      </c>
      <c r="K5961" s="2" t="s">
        <v>12</v>
      </c>
    </row>
    <row r="5962" spans="1:11" ht="12.5" x14ac:dyDescent="0.25">
      <c r="A5962" s="3" t="e">
        <f ca="1"/>
        <v>#NAME?</v>
      </c>
      <c r="B5962" s="2" t="s">
        <v>12</v>
      </c>
      <c r="C5962" s="2" t="s">
        <v>12</v>
      </c>
      <c r="D5962" s="2" t="s">
        <v>12</v>
      </c>
      <c r="E5962" s="2" t="s">
        <v>12</v>
      </c>
      <c r="F5962" s="2" t="s">
        <v>12</v>
      </c>
      <c r="G5962" s="2" t="s">
        <v>12</v>
      </c>
      <c r="H5962" s="2" t="s">
        <v>12</v>
      </c>
      <c r="I5962" s="2" t="s">
        <v>12</v>
      </c>
      <c r="J5962" s="2" t="s">
        <v>12</v>
      </c>
      <c r="K5962" s="2" t="s">
        <v>12</v>
      </c>
    </row>
    <row r="5963" spans="1:11" ht="12.5" x14ac:dyDescent="0.25">
      <c r="A5963" s="3" t="e">
        <f ca="1"/>
        <v>#NAME?</v>
      </c>
      <c r="B5963" s="2" t="s">
        <v>12</v>
      </c>
      <c r="C5963" s="2" t="s">
        <v>12</v>
      </c>
      <c r="D5963" s="2" t="s">
        <v>12</v>
      </c>
      <c r="E5963" s="2" t="s">
        <v>12</v>
      </c>
      <c r="F5963" s="2" t="s">
        <v>12</v>
      </c>
      <c r="G5963" s="2" t="s">
        <v>12</v>
      </c>
      <c r="H5963" s="2" t="s">
        <v>12</v>
      </c>
      <c r="I5963" s="2" t="s">
        <v>12</v>
      </c>
      <c r="J5963" s="2" t="s">
        <v>12</v>
      </c>
      <c r="K5963" s="2" t="s">
        <v>12</v>
      </c>
    </row>
    <row r="5964" spans="1:11" ht="12.5" x14ac:dyDescent="0.25">
      <c r="A5964" s="3" t="e">
        <f ca="1"/>
        <v>#NAME?</v>
      </c>
      <c r="B5964" s="2" t="s">
        <v>12</v>
      </c>
      <c r="C5964" s="2" t="s">
        <v>12</v>
      </c>
      <c r="D5964" s="2" t="s">
        <v>12</v>
      </c>
      <c r="E5964" s="2" t="s">
        <v>12</v>
      </c>
      <c r="F5964" s="2" t="s">
        <v>12</v>
      </c>
      <c r="G5964" s="2" t="s">
        <v>12</v>
      </c>
      <c r="H5964" s="2" t="s">
        <v>12</v>
      </c>
      <c r="I5964" s="2" t="s">
        <v>12</v>
      </c>
      <c r="J5964" s="2" t="s">
        <v>12</v>
      </c>
      <c r="K5964" s="2" t="s">
        <v>12</v>
      </c>
    </row>
    <row r="5965" spans="1:11" ht="12.5" x14ac:dyDescent="0.25">
      <c r="A5965" s="3" t="e">
        <f ca="1"/>
        <v>#NAME?</v>
      </c>
      <c r="B5965" s="2" t="s">
        <v>12</v>
      </c>
      <c r="C5965" s="2" t="s">
        <v>12</v>
      </c>
      <c r="D5965" s="2" t="s">
        <v>12</v>
      </c>
      <c r="E5965" s="2" t="s">
        <v>12</v>
      </c>
      <c r="F5965" s="2" t="s">
        <v>12</v>
      </c>
      <c r="G5965" s="2" t="s">
        <v>12</v>
      </c>
      <c r="H5965" s="2" t="s">
        <v>12</v>
      </c>
      <c r="I5965" s="2" t="s">
        <v>12</v>
      </c>
      <c r="J5965" s="2" t="s">
        <v>12</v>
      </c>
      <c r="K5965" s="2" t="s">
        <v>12</v>
      </c>
    </row>
    <row r="5966" spans="1:11" ht="12.5" x14ac:dyDescent="0.25">
      <c r="A5966" s="3" t="e">
        <f ca="1"/>
        <v>#NAME?</v>
      </c>
      <c r="B5966" s="2" t="s">
        <v>12</v>
      </c>
      <c r="C5966" s="2" t="s">
        <v>12</v>
      </c>
      <c r="D5966" s="2" t="s">
        <v>12</v>
      </c>
      <c r="E5966" s="2" t="s">
        <v>12</v>
      </c>
      <c r="F5966" s="2" t="s">
        <v>12</v>
      </c>
      <c r="G5966" s="2" t="s">
        <v>12</v>
      </c>
      <c r="H5966" s="2" t="s">
        <v>12</v>
      </c>
      <c r="I5966" s="2" t="s">
        <v>12</v>
      </c>
      <c r="J5966" s="2" t="s">
        <v>12</v>
      </c>
      <c r="K5966" s="2" t="s">
        <v>12</v>
      </c>
    </row>
    <row r="5967" spans="1:11" ht="12.5" x14ac:dyDescent="0.25">
      <c r="A5967" s="3" t="e">
        <f ca="1"/>
        <v>#NAME?</v>
      </c>
      <c r="B5967" s="2" t="s">
        <v>12</v>
      </c>
      <c r="C5967" s="2" t="s">
        <v>12</v>
      </c>
      <c r="D5967" s="2" t="s">
        <v>12</v>
      </c>
      <c r="E5967" s="2" t="s">
        <v>12</v>
      </c>
      <c r="F5967" s="2" t="s">
        <v>12</v>
      </c>
      <c r="G5967" s="2" t="s">
        <v>12</v>
      </c>
      <c r="H5967" s="2" t="s">
        <v>12</v>
      </c>
      <c r="I5967" s="2" t="s">
        <v>12</v>
      </c>
      <c r="J5967" s="2" t="s">
        <v>12</v>
      </c>
      <c r="K5967" s="2" t="s">
        <v>12</v>
      </c>
    </row>
    <row r="5968" spans="1:11" ht="12.5" x14ac:dyDescent="0.25">
      <c r="A5968" s="3" t="e">
        <f ca="1"/>
        <v>#NAME?</v>
      </c>
      <c r="B5968" s="2" t="s">
        <v>12</v>
      </c>
      <c r="C5968" s="2" t="s">
        <v>12</v>
      </c>
      <c r="D5968" s="2" t="s">
        <v>12</v>
      </c>
      <c r="E5968" s="2" t="s">
        <v>12</v>
      </c>
      <c r="F5968" s="2" t="s">
        <v>12</v>
      </c>
      <c r="G5968" s="2" t="s">
        <v>12</v>
      </c>
      <c r="H5968" s="2" t="s">
        <v>12</v>
      </c>
      <c r="I5968" s="2" t="s">
        <v>12</v>
      </c>
      <c r="J5968" s="2" t="s">
        <v>12</v>
      </c>
      <c r="K5968" s="2" t="s">
        <v>12</v>
      </c>
    </row>
    <row r="5969" spans="1:11" ht="12.5" x14ac:dyDescent="0.25">
      <c r="A5969" s="3" t="e">
        <f ca="1"/>
        <v>#NAME?</v>
      </c>
      <c r="B5969" s="2" t="s">
        <v>12</v>
      </c>
      <c r="C5969" s="2" t="s">
        <v>12</v>
      </c>
      <c r="D5969" s="2" t="s">
        <v>12</v>
      </c>
      <c r="E5969" s="2" t="s">
        <v>12</v>
      </c>
      <c r="F5969" s="2" t="s">
        <v>12</v>
      </c>
      <c r="G5969" s="2" t="s">
        <v>12</v>
      </c>
      <c r="H5969" s="2" t="s">
        <v>12</v>
      </c>
      <c r="I5969" s="2" t="s">
        <v>12</v>
      </c>
      <c r="J5969" s="2" t="s">
        <v>12</v>
      </c>
      <c r="K5969" s="2" t="s">
        <v>12</v>
      </c>
    </row>
    <row r="5970" spans="1:11" ht="12.5" x14ac:dyDescent="0.25">
      <c r="A5970" s="3" t="e">
        <f ca="1"/>
        <v>#NAME?</v>
      </c>
      <c r="B5970" s="2" t="s">
        <v>12</v>
      </c>
      <c r="C5970" s="2" t="s">
        <v>12</v>
      </c>
      <c r="D5970" s="2" t="s">
        <v>12</v>
      </c>
      <c r="E5970" s="2" t="s">
        <v>12</v>
      </c>
      <c r="F5970" s="2" t="s">
        <v>12</v>
      </c>
      <c r="G5970" s="2" t="s">
        <v>12</v>
      </c>
      <c r="H5970" s="2" t="s">
        <v>12</v>
      </c>
      <c r="I5970" s="2" t="s">
        <v>12</v>
      </c>
      <c r="J5970" s="2" t="s">
        <v>12</v>
      </c>
      <c r="K5970" s="2" t="s">
        <v>12</v>
      </c>
    </row>
    <row r="5971" spans="1:11" ht="12.5" x14ac:dyDescent="0.25">
      <c r="A5971" s="3" t="e">
        <f ca="1"/>
        <v>#NAME?</v>
      </c>
      <c r="B5971" s="2" t="s">
        <v>12</v>
      </c>
      <c r="C5971" s="2" t="s">
        <v>12</v>
      </c>
      <c r="D5971" s="2" t="s">
        <v>12</v>
      </c>
      <c r="E5971" s="2" t="s">
        <v>12</v>
      </c>
      <c r="F5971" s="2" t="s">
        <v>12</v>
      </c>
      <c r="G5971" s="2" t="s">
        <v>12</v>
      </c>
      <c r="H5971" s="2" t="s">
        <v>12</v>
      </c>
      <c r="I5971" s="2" t="s">
        <v>12</v>
      </c>
      <c r="J5971" s="2" t="s">
        <v>12</v>
      </c>
      <c r="K5971" s="2" t="s">
        <v>12</v>
      </c>
    </row>
    <row r="5972" spans="1:11" ht="12.5" x14ac:dyDescent="0.25">
      <c r="A5972" s="3" t="e">
        <f ca="1"/>
        <v>#NAME?</v>
      </c>
      <c r="B5972" s="2" t="s">
        <v>12</v>
      </c>
      <c r="C5972" s="2" t="s">
        <v>12</v>
      </c>
      <c r="D5972" s="2" t="s">
        <v>12</v>
      </c>
      <c r="E5972" s="2" t="s">
        <v>12</v>
      </c>
      <c r="F5972" s="2" t="s">
        <v>12</v>
      </c>
      <c r="G5972" s="2" t="s">
        <v>12</v>
      </c>
      <c r="H5972" s="2" t="s">
        <v>12</v>
      </c>
      <c r="I5972" s="2" t="s">
        <v>12</v>
      </c>
      <c r="J5972" s="2" t="s">
        <v>12</v>
      </c>
      <c r="K5972" s="2" t="s">
        <v>12</v>
      </c>
    </row>
    <row r="5973" spans="1:11" ht="12.5" x14ac:dyDescent="0.25">
      <c r="A5973" s="3" t="e">
        <f ca="1"/>
        <v>#NAME?</v>
      </c>
      <c r="B5973" s="2" t="s">
        <v>12</v>
      </c>
      <c r="C5973" s="2" t="s">
        <v>12</v>
      </c>
      <c r="D5973" s="2" t="s">
        <v>12</v>
      </c>
      <c r="E5973" s="2" t="s">
        <v>12</v>
      </c>
      <c r="F5973" s="2" t="s">
        <v>12</v>
      </c>
      <c r="G5973" s="2" t="s">
        <v>12</v>
      </c>
      <c r="H5973" s="2" t="s">
        <v>12</v>
      </c>
      <c r="I5973" s="2" t="s">
        <v>12</v>
      </c>
      <c r="J5973" s="2" t="s">
        <v>12</v>
      </c>
      <c r="K5973" s="2" t="s">
        <v>12</v>
      </c>
    </row>
    <row r="5974" spans="1:11" ht="12.5" x14ac:dyDescent="0.25">
      <c r="A5974" s="3" t="e">
        <f ca="1"/>
        <v>#NAME?</v>
      </c>
      <c r="B5974" s="2" t="s">
        <v>12</v>
      </c>
      <c r="C5974" s="2" t="s">
        <v>12</v>
      </c>
      <c r="D5974" s="2" t="s">
        <v>12</v>
      </c>
      <c r="E5974" s="2" t="s">
        <v>12</v>
      </c>
      <c r="F5974" s="2" t="s">
        <v>12</v>
      </c>
      <c r="G5974" s="2" t="s">
        <v>12</v>
      </c>
      <c r="H5974" s="2" t="s">
        <v>12</v>
      </c>
      <c r="I5974" s="2" t="s">
        <v>12</v>
      </c>
      <c r="J5974" s="2" t="s">
        <v>12</v>
      </c>
      <c r="K5974" s="2" t="s">
        <v>12</v>
      </c>
    </row>
    <row r="5975" spans="1:11" ht="12.5" x14ac:dyDescent="0.25">
      <c r="A5975" s="3" t="e">
        <f ca="1"/>
        <v>#NAME?</v>
      </c>
      <c r="B5975" s="2" t="s">
        <v>12</v>
      </c>
      <c r="C5975" s="2" t="s">
        <v>12</v>
      </c>
      <c r="D5975" s="2" t="s">
        <v>12</v>
      </c>
      <c r="E5975" s="2" t="s">
        <v>12</v>
      </c>
      <c r="F5975" s="2" t="s">
        <v>12</v>
      </c>
      <c r="G5975" s="2" t="s">
        <v>12</v>
      </c>
      <c r="H5975" s="2" t="s">
        <v>12</v>
      </c>
      <c r="I5975" s="2" t="s">
        <v>12</v>
      </c>
      <c r="J5975" s="2" t="s">
        <v>12</v>
      </c>
      <c r="K5975" s="2" t="s">
        <v>12</v>
      </c>
    </row>
    <row r="5976" spans="1:11" ht="12.5" x14ac:dyDescent="0.25">
      <c r="A5976" s="3" t="e">
        <f ca="1"/>
        <v>#NAME?</v>
      </c>
      <c r="B5976" s="2" t="s">
        <v>12</v>
      </c>
      <c r="C5976" s="2" t="s">
        <v>12</v>
      </c>
      <c r="D5976" s="2" t="s">
        <v>12</v>
      </c>
      <c r="E5976" s="2" t="s">
        <v>12</v>
      </c>
      <c r="F5976" s="2" t="s">
        <v>12</v>
      </c>
      <c r="G5976" s="2" t="s">
        <v>12</v>
      </c>
      <c r="H5976" s="2" t="s">
        <v>12</v>
      </c>
      <c r="I5976" s="2" t="s">
        <v>12</v>
      </c>
      <c r="J5976" s="2" t="s">
        <v>12</v>
      </c>
      <c r="K5976" s="2" t="s">
        <v>12</v>
      </c>
    </row>
    <row r="5977" spans="1:11" ht="12.5" x14ac:dyDescent="0.25">
      <c r="A5977" s="3" t="e">
        <f ca="1"/>
        <v>#NAME?</v>
      </c>
      <c r="B5977" s="2" t="s">
        <v>12</v>
      </c>
      <c r="C5977" s="2" t="s">
        <v>12</v>
      </c>
      <c r="D5977" s="2" t="s">
        <v>12</v>
      </c>
      <c r="E5977" s="2" t="s">
        <v>12</v>
      </c>
      <c r="F5977" s="2" t="s">
        <v>12</v>
      </c>
      <c r="G5977" s="2" t="s">
        <v>12</v>
      </c>
      <c r="H5977" s="2" t="s">
        <v>12</v>
      </c>
      <c r="I5977" s="2" t="s">
        <v>12</v>
      </c>
      <c r="J5977" s="2" t="s">
        <v>12</v>
      </c>
      <c r="K5977" s="2" t="s">
        <v>12</v>
      </c>
    </row>
    <row r="5978" spans="1:11" ht="12.5" x14ac:dyDescent="0.25">
      <c r="A5978" s="3" t="e">
        <f ca="1"/>
        <v>#NAME?</v>
      </c>
      <c r="B5978" s="2" t="s">
        <v>12</v>
      </c>
      <c r="C5978" s="2" t="s">
        <v>12</v>
      </c>
      <c r="D5978" s="2" t="s">
        <v>12</v>
      </c>
      <c r="E5978" s="2" t="s">
        <v>12</v>
      </c>
      <c r="F5978" s="2" t="s">
        <v>12</v>
      </c>
      <c r="G5978" s="2" t="s">
        <v>12</v>
      </c>
      <c r="H5978" s="2" t="s">
        <v>12</v>
      </c>
      <c r="I5978" s="2" t="s">
        <v>12</v>
      </c>
      <c r="J5978" s="2" t="s">
        <v>12</v>
      </c>
      <c r="K5978" s="2" t="s">
        <v>12</v>
      </c>
    </row>
    <row r="5979" spans="1:11" ht="12.5" x14ac:dyDescent="0.25">
      <c r="A5979" s="3" t="e">
        <f ca="1"/>
        <v>#NAME?</v>
      </c>
      <c r="B5979" s="2" t="s">
        <v>12</v>
      </c>
      <c r="C5979" s="2" t="s">
        <v>12</v>
      </c>
      <c r="D5979" s="2" t="s">
        <v>12</v>
      </c>
      <c r="E5979" s="2" t="s">
        <v>12</v>
      </c>
      <c r="F5979" s="2" t="s">
        <v>12</v>
      </c>
      <c r="G5979" s="2" t="s">
        <v>12</v>
      </c>
      <c r="H5979" s="2" t="s">
        <v>12</v>
      </c>
      <c r="I5979" s="2" t="s">
        <v>12</v>
      </c>
      <c r="J5979" s="2" t="s">
        <v>12</v>
      </c>
      <c r="K5979" s="2" t="s">
        <v>12</v>
      </c>
    </row>
    <row r="5980" spans="1:11" ht="12.5" x14ac:dyDescent="0.25">
      <c r="A5980" s="3" t="e">
        <f ca="1"/>
        <v>#NAME?</v>
      </c>
      <c r="B5980" s="2" t="s">
        <v>12</v>
      </c>
      <c r="C5980" s="2" t="s">
        <v>12</v>
      </c>
      <c r="D5980" s="2" t="s">
        <v>12</v>
      </c>
      <c r="E5980" s="2" t="s">
        <v>12</v>
      </c>
      <c r="F5980" s="2" t="s">
        <v>12</v>
      </c>
      <c r="G5980" s="2" t="s">
        <v>12</v>
      </c>
      <c r="H5980" s="2" t="s">
        <v>12</v>
      </c>
      <c r="I5980" s="2" t="s">
        <v>12</v>
      </c>
      <c r="J5980" s="2" t="s">
        <v>12</v>
      </c>
      <c r="K5980" s="2" t="s">
        <v>12</v>
      </c>
    </row>
    <row r="5981" spans="1:11" ht="12.5" x14ac:dyDescent="0.25">
      <c r="A5981" s="3" t="e">
        <f ca="1"/>
        <v>#NAME?</v>
      </c>
      <c r="B5981" s="2" t="s">
        <v>12</v>
      </c>
      <c r="C5981" s="2" t="s">
        <v>12</v>
      </c>
      <c r="D5981" s="2" t="s">
        <v>12</v>
      </c>
      <c r="E5981" s="2" t="s">
        <v>12</v>
      </c>
      <c r="F5981" s="2" t="s">
        <v>12</v>
      </c>
      <c r="G5981" s="2" t="s">
        <v>12</v>
      </c>
      <c r="H5981" s="2" t="s">
        <v>12</v>
      </c>
      <c r="I5981" s="2" t="s">
        <v>12</v>
      </c>
      <c r="J5981" s="2" t="s">
        <v>12</v>
      </c>
      <c r="K5981" s="2" t="s">
        <v>12</v>
      </c>
    </row>
    <row r="5982" spans="1:11" ht="12.5" x14ac:dyDescent="0.25">
      <c r="A5982" s="3" t="e">
        <f ca="1"/>
        <v>#NAME?</v>
      </c>
      <c r="B5982" s="2" t="s">
        <v>12</v>
      </c>
      <c r="C5982" s="2" t="s">
        <v>12</v>
      </c>
      <c r="D5982" s="2" t="s">
        <v>12</v>
      </c>
      <c r="E5982" s="2" t="s">
        <v>12</v>
      </c>
      <c r="F5982" s="2" t="s">
        <v>12</v>
      </c>
      <c r="G5982" s="2" t="s">
        <v>12</v>
      </c>
      <c r="H5982" s="2" t="s">
        <v>12</v>
      </c>
      <c r="I5982" s="2" t="s">
        <v>12</v>
      </c>
      <c r="J5982" s="2" t="s">
        <v>12</v>
      </c>
      <c r="K5982" s="2" t="s">
        <v>12</v>
      </c>
    </row>
    <row r="5983" spans="1:11" ht="12.5" x14ac:dyDescent="0.25">
      <c r="A5983" s="3" t="e">
        <f ca="1"/>
        <v>#NAME?</v>
      </c>
      <c r="B5983" s="2" t="s">
        <v>12</v>
      </c>
      <c r="C5983" s="2" t="s">
        <v>12</v>
      </c>
      <c r="D5983" s="2" t="s">
        <v>12</v>
      </c>
      <c r="E5983" s="2" t="s">
        <v>12</v>
      </c>
      <c r="F5983" s="2" t="s">
        <v>12</v>
      </c>
      <c r="G5983" s="2" t="s">
        <v>12</v>
      </c>
      <c r="H5983" s="2" t="s">
        <v>12</v>
      </c>
      <c r="I5983" s="2" t="s">
        <v>12</v>
      </c>
      <c r="J5983" s="2" t="s">
        <v>12</v>
      </c>
      <c r="K5983" s="2" t="s">
        <v>12</v>
      </c>
    </row>
    <row r="5984" spans="1:11" ht="12.5" x14ac:dyDescent="0.25">
      <c r="A5984" s="3" t="e">
        <f ca="1"/>
        <v>#NAME?</v>
      </c>
      <c r="B5984" s="2" t="s">
        <v>12</v>
      </c>
      <c r="C5984" s="2" t="s">
        <v>12</v>
      </c>
      <c r="D5984" s="2" t="s">
        <v>12</v>
      </c>
      <c r="E5984" s="2" t="s">
        <v>12</v>
      </c>
      <c r="F5984" s="2" t="s">
        <v>12</v>
      </c>
      <c r="G5984" s="2" t="s">
        <v>12</v>
      </c>
      <c r="H5984" s="2" t="s">
        <v>12</v>
      </c>
      <c r="I5984" s="2" t="s">
        <v>12</v>
      </c>
      <c r="J5984" s="2" t="s">
        <v>12</v>
      </c>
      <c r="K5984" s="2" t="s">
        <v>12</v>
      </c>
    </row>
    <row r="5985" spans="1:11" ht="12.5" x14ac:dyDescent="0.25">
      <c r="A5985" s="3" t="e">
        <f ca="1"/>
        <v>#NAME?</v>
      </c>
      <c r="B5985" s="2" t="s">
        <v>12</v>
      </c>
      <c r="C5985" s="2" t="s">
        <v>12</v>
      </c>
      <c r="D5985" s="2" t="s">
        <v>12</v>
      </c>
      <c r="E5985" s="2" t="s">
        <v>12</v>
      </c>
      <c r="F5985" s="2" t="s">
        <v>12</v>
      </c>
      <c r="G5985" s="2" t="s">
        <v>12</v>
      </c>
      <c r="H5985" s="2" t="s">
        <v>12</v>
      </c>
      <c r="I5985" s="2" t="s">
        <v>12</v>
      </c>
      <c r="J5985" s="2" t="s">
        <v>12</v>
      </c>
      <c r="K5985" s="2" t="s">
        <v>12</v>
      </c>
    </row>
    <row r="5986" spans="1:11" ht="12.5" x14ac:dyDescent="0.25">
      <c r="A5986" s="3" t="e">
        <f ca="1"/>
        <v>#NAME?</v>
      </c>
      <c r="B5986" s="2" t="s">
        <v>12</v>
      </c>
      <c r="C5986" s="2" t="s">
        <v>12</v>
      </c>
      <c r="D5986" s="2" t="s">
        <v>12</v>
      </c>
      <c r="E5986" s="2" t="s">
        <v>12</v>
      </c>
      <c r="F5986" s="2" t="s">
        <v>12</v>
      </c>
      <c r="G5986" s="2" t="s">
        <v>12</v>
      </c>
      <c r="H5986" s="2" t="s">
        <v>12</v>
      </c>
      <c r="I5986" s="2" t="s">
        <v>12</v>
      </c>
      <c r="J5986" s="2" t="s">
        <v>12</v>
      </c>
      <c r="K5986" s="2" t="s">
        <v>12</v>
      </c>
    </row>
    <row r="5987" spans="1:11" ht="12.5" x14ac:dyDescent="0.25">
      <c r="A5987" s="3" t="e">
        <f ca="1"/>
        <v>#NAME?</v>
      </c>
      <c r="B5987" s="2" t="s">
        <v>12</v>
      </c>
      <c r="C5987" s="2" t="s">
        <v>12</v>
      </c>
      <c r="D5987" s="2" t="s">
        <v>12</v>
      </c>
      <c r="E5987" s="2" t="s">
        <v>12</v>
      </c>
      <c r="F5987" s="2" t="s">
        <v>12</v>
      </c>
      <c r="G5987" s="2" t="s">
        <v>12</v>
      </c>
      <c r="H5987" s="2" t="s">
        <v>12</v>
      </c>
      <c r="I5987" s="2" t="s">
        <v>12</v>
      </c>
      <c r="J5987" s="2" t="s">
        <v>12</v>
      </c>
      <c r="K5987" s="2" t="s">
        <v>12</v>
      </c>
    </row>
    <row r="5988" spans="1:11" ht="12.5" x14ac:dyDescent="0.25">
      <c r="A5988" s="3" t="e">
        <f ca="1"/>
        <v>#NAME?</v>
      </c>
      <c r="B5988" s="2" t="s">
        <v>12</v>
      </c>
      <c r="C5988" s="2" t="s">
        <v>12</v>
      </c>
      <c r="D5988" s="2" t="s">
        <v>12</v>
      </c>
      <c r="E5988" s="2" t="s">
        <v>12</v>
      </c>
      <c r="F5988" s="2" t="s">
        <v>12</v>
      </c>
      <c r="G5988" s="2" t="s">
        <v>12</v>
      </c>
      <c r="H5988" s="2" t="s">
        <v>12</v>
      </c>
      <c r="I5988" s="2" t="s">
        <v>12</v>
      </c>
      <c r="J5988" s="2" t="s">
        <v>12</v>
      </c>
      <c r="K5988" s="2" t="s">
        <v>12</v>
      </c>
    </row>
    <row r="5989" spans="1:11" ht="12.5" x14ac:dyDescent="0.25">
      <c r="A5989" s="3" t="e">
        <f ca="1"/>
        <v>#NAME?</v>
      </c>
      <c r="B5989" s="2" t="s">
        <v>12</v>
      </c>
      <c r="C5989" s="2" t="s">
        <v>12</v>
      </c>
      <c r="D5989" s="2" t="s">
        <v>12</v>
      </c>
      <c r="E5989" s="2" t="s">
        <v>12</v>
      </c>
      <c r="F5989" s="2" t="s">
        <v>12</v>
      </c>
      <c r="G5989" s="2" t="s">
        <v>12</v>
      </c>
      <c r="H5989" s="2" t="s">
        <v>12</v>
      </c>
      <c r="I5989" s="2" t="s">
        <v>12</v>
      </c>
      <c r="J5989" s="2" t="s">
        <v>12</v>
      </c>
      <c r="K5989" s="2" t="s">
        <v>12</v>
      </c>
    </row>
    <row r="5990" spans="1:11" ht="12.5" x14ac:dyDescent="0.25">
      <c r="A5990" s="3" t="e">
        <f ca="1"/>
        <v>#NAME?</v>
      </c>
      <c r="B5990" s="2" t="s">
        <v>12</v>
      </c>
      <c r="C5990" s="2" t="s">
        <v>12</v>
      </c>
      <c r="D5990" s="2" t="s">
        <v>12</v>
      </c>
      <c r="E5990" s="2" t="s">
        <v>12</v>
      </c>
      <c r="F5990" s="2" t="s">
        <v>12</v>
      </c>
      <c r="G5990" s="2" t="s">
        <v>12</v>
      </c>
      <c r="H5990" s="2" t="s">
        <v>12</v>
      </c>
      <c r="I5990" s="2" t="s">
        <v>12</v>
      </c>
      <c r="J5990" s="2" t="s">
        <v>12</v>
      </c>
      <c r="K5990" s="2" t="s">
        <v>12</v>
      </c>
    </row>
    <row r="5991" spans="1:11" ht="12.5" x14ac:dyDescent="0.25">
      <c r="A5991" s="3" t="e">
        <f ca="1"/>
        <v>#NAME?</v>
      </c>
      <c r="B5991" s="2" t="s">
        <v>12</v>
      </c>
      <c r="C5991" s="2" t="s">
        <v>12</v>
      </c>
      <c r="D5991" s="2" t="s">
        <v>12</v>
      </c>
      <c r="E5991" s="2" t="s">
        <v>12</v>
      </c>
      <c r="F5991" s="2" t="s">
        <v>12</v>
      </c>
      <c r="G5991" s="2" t="s">
        <v>12</v>
      </c>
      <c r="H5991" s="2" t="s">
        <v>12</v>
      </c>
      <c r="I5991" s="2" t="s">
        <v>12</v>
      </c>
      <c r="J5991" s="2" t="s">
        <v>12</v>
      </c>
      <c r="K5991" s="2" t="s">
        <v>12</v>
      </c>
    </row>
    <row r="5992" spans="1:11" ht="12.5" x14ac:dyDescent="0.25">
      <c r="A5992" s="3" t="e">
        <f ca="1"/>
        <v>#NAME?</v>
      </c>
      <c r="B5992" s="2" t="s">
        <v>12</v>
      </c>
      <c r="C5992" s="2" t="s">
        <v>12</v>
      </c>
      <c r="D5992" s="2" t="s">
        <v>12</v>
      </c>
      <c r="E5992" s="2" t="s">
        <v>12</v>
      </c>
      <c r="F5992" s="2" t="s">
        <v>12</v>
      </c>
      <c r="G5992" s="2" t="s">
        <v>12</v>
      </c>
      <c r="H5992" s="2" t="s">
        <v>12</v>
      </c>
      <c r="I5992" s="2" t="s">
        <v>12</v>
      </c>
      <c r="J5992" s="2" t="s">
        <v>12</v>
      </c>
      <c r="K5992" s="2" t="s">
        <v>12</v>
      </c>
    </row>
    <row r="5993" spans="1:11" ht="12.5" x14ac:dyDescent="0.25">
      <c r="A5993" s="3" t="e">
        <f ca="1"/>
        <v>#NAME?</v>
      </c>
      <c r="B5993" s="2" t="s">
        <v>12</v>
      </c>
      <c r="C5993" s="2" t="s">
        <v>12</v>
      </c>
      <c r="D5993" s="2" t="s">
        <v>12</v>
      </c>
      <c r="E5993" s="2" t="s">
        <v>12</v>
      </c>
      <c r="F5993" s="2" t="s">
        <v>12</v>
      </c>
      <c r="G5993" s="2" t="s">
        <v>12</v>
      </c>
      <c r="H5993" s="2" t="s">
        <v>12</v>
      </c>
      <c r="I5993" s="2" t="s">
        <v>12</v>
      </c>
      <c r="J5993" s="2" t="s">
        <v>12</v>
      </c>
      <c r="K5993" s="2" t="s">
        <v>12</v>
      </c>
    </row>
    <row r="5994" spans="1:11" ht="12.5" x14ac:dyDescent="0.25">
      <c r="A5994" s="3" t="e">
        <f ca="1"/>
        <v>#NAME?</v>
      </c>
      <c r="B5994" s="2" t="s">
        <v>12</v>
      </c>
      <c r="C5994" s="2" t="s">
        <v>12</v>
      </c>
      <c r="D5994" s="2" t="s">
        <v>12</v>
      </c>
      <c r="E5994" s="2" t="s">
        <v>12</v>
      </c>
      <c r="F5994" s="2" t="s">
        <v>12</v>
      </c>
      <c r="G5994" s="2" t="s">
        <v>12</v>
      </c>
      <c r="H5994" s="2" t="s">
        <v>12</v>
      </c>
      <c r="I5994" s="2" t="s">
        <v>12</v>
      </c>
      <c r="J5994" s="2" t="s">
        <v>12</v>
      </c>
      <c r="K5994" s="2" t="s">
        <v>12</v>
      </c>
    </row>
    <row r="5995" spans="1:11" ht="12.5" x14ac:dyDescent="0.25">
      <c r="A5995" s="3" t="e">
        <f ca="1"/>
        <v>#NAME?</v>
      </c>
      <c r="B5995" s="2" t="s">
        <v>12</v>
      </c>
      <c r="C5995" s="2" t="s">
        <v>12</v>
      </c>
      <c r="D5995" s="2" t="s">
        <v>12</v>
      </c>
      <c r="E5995" s="2" t="s">
        <v>12</v>
      </c>
      <c r="F5995" s="2" t="s">
        <v>12</v>
      </c>
      <c r="G5995" s="2" t="s">
        <v>12</v>
      </c>
      <c r="H5995" s="2" t="s">
        <v>12</v>
      </c>
      <c r="I5995" s="2" t="s">
        <v>12</v>
      </c>
      <c r="J5995" s="2" t="s">
        <v>12</v>
      </c>
      <c r="K5995" s="2" t="s">
        <v>12</v>
      </c>
    </row>
    <row r="5996" spans="1:11" ht="12.5" x14ac:dyDescent="0.25">
      <c r="A5996" s="3" t="e">
        <f ca="1"/>
        <v>#NAME?</v>
      </c>
      <c r="B5996" s="2" t="s">
        <v>12</v>
      </c>
      <c r="C5996" s="2" t="s">
        <v>12</v>
      </c>
      <c r="D5996" s="2" t="s">
        <v>12</v>
      </c>
      <c r="E5996" s="2" t="s">
        <v>12</v>
      </c>
      <c r="F5996" s="2" t="s">
        <v>12</v>
      </c>
      <c r="G5996" s="2" t="s">
        <v>12</v>
      </c>
      <c r="H5996" s="2" t="s">
        <v>12</v>
      </c>
      <c r="I5996" s="2" t="s">
        <v>12</v>
      </c>
      <c r="J5996" s="2" t="s">
        <v>12</v>
      </c>
      <c r="K5996" s="2" t="s">
        <v>12</v>
      </c>
    </row>
    <row r="5997" spans="1:11" ht="12.5" x14ac:dyDescent="0.25">
      <c r="A5997" s="3" t="e">
        <f ca="1"/>
        <v>#NAME?</v>
      </c>
      <c r="B5997" s="2" t="s">
        <v>12</v>
      </c>
      <c r="C5997" s="2" t="s">
        <v>12</v>
      </c>
      <c r="D5997" s="2" t="s">
        <v>12</v>
      </c>
      <c r="E5997" s="2" t="s">
        <v>12</v>
      </c>
      <c r="F5997" s="2" t="s">
        <v>12</v>
      </c>
      <c r="G5997" s="2" t="s">
        <v>12</v>
      </c>
      <c r="H5997" s="2" t="s">
        <v>12</v>
      </c>
      <c r="I5997" s="2" t="s">
        <v>12</v>
      </c>
      <c r="J5997" s="2" t="s">
        <v>12</v>
      </c>
      <c r="K5997" s="2" t="s">
        <v>12</v>
      </c>
    </row>
    <row r="5998" spans="1:11" ht="12.5" x14ac:dyDescent="0.25">
      <c r="A5998" s="3" t="e">
        <f ca="1"/>
        <v>#NAME?</v>
      </c>
      <c r="B5998" s="2" t="s">
        <v>12</v>
      </c>
      <c r="C5998" s="2" t="s">
        <v>12</v>
      </c>
      <c r="D5998" s="2" t="s">
        <v>12</v>
      </c>
      <c r="E5998" s="2" t="s">
        <v>12</v>
      </c>
      <c r="F5998" s="2" t="s">
        <v>12</v>
      </c>
      <c r="G5998" s="2" t="s">
        <v>12</v>
      </c>
      <c r="H5998" s="2" t="s">
        <v>12</v>
      </c>
      <c r="I5998" s="2" t="s">
        <v>12</v>
      </c>
      <c r="J5998" s="2" t="s">
        <v>12</v>
      </c>
      <c r="K5998" s="2" t="s">
        <v>12</v>
      </c>
    </row>
    <row r="5999" spans="1:11" ht="12.5" x14ac:dyDescent="0.25">
      <c r="A5999" s="3" t="e">
        <f ca="1"/>
        <v>#NAME?</v>
      </c>
      <c r="B5999" s="2" t="s">
        <v>12</v>
      </c>
      <c r="C5999" s="2" t="s">
        <v>12</v>
      </c>
      <c r="D5999" s="2" t="s">
        <v>12</v>
      </c>
      <c r="E5999" s="2" t="s">
        <v>12</v>
      </c>
      <c r="F5999" s="2" t="s">
        <v>12</v>
      </c>
      <c r="G5999" s="2" t="s">
        <v>12</v>
      </c>
      <c r="H5999" s="2" t="s">
        <v>12</v>
      </c>
      <c r="I5999" s="2" t="s">
        <v>12</v>
      </c>
      <c r="J5999" s="2" t="s">
        <v>12</v>
      </c>
      <c r="K5999" s="2" t="s">
        <v>12</v>
      </c>
    </row>
    <row r="6000" spans="1:11" ht="12.5" x14ac:dyDescent="0.25">
      <c r="A6000" s="3" t="e">
        <f ca="1"/>
        <v>#NAME?</v>
      </c>
      <c r="B6000" s="2" t="s">
        <v>12</v>
      </c>
      <c r="C6000" s="2" t="s">
        <v>12</v>
      </c>
      <c r="D6000" s="2" t="s">
        <v>12</v>
      </c>
      <c r="E6000" s="2" t="s">
        <v>12</v>
      </c>
      <c r="F6000" s="2" t="s">
        <v>12</v>
      </c>
      <c r="G6000" s="2" t="s">
        <v>12</v>
      </c>
      <c r="H6000" s="2" t="s">
        <v>12</v>
      </c>
      <c r="I6000" s="2" t="s">
        <v>12</v>
      </c>
      <c r="J6000" s="2" t="s">
        <v>12</v>
      </c>
      <c r="K6000" s="2" t="s">
        <v>12</v>
      </c>
    </row>
    <row r="6001" spans="1:11" ht="12.5" x14ac:dyDescent="0.25">
      <c r="A6001" s="3" t="e">
        <f ca="1"/>
        <v>#NAME?</v>
      </c>
      <c r="B6001" s="2" t="s">
        <v>12</v>
      </c>
      <c r="C6001" s="2" t="s">
        <v>12</v>
      </c>
      <c r="D6001" s="2" t="s">
        <v>12</v>
      </c>
      <c r="E6001" s="2" t="s">
        <v>12</v>
      </c>
      <c r="F6001" s="2" t="s">
        <v>12</v>
      </c>
      <c r="G6001" s="2" t="s">
        <v>12</v>
      </c>
      <c r="H6001" s="2" t="s">
        <v>12</v>
      </c>
      <c r="I6001" s="2" t="s">
        <v>12</v>
      </c>
      <c r="J6001" s="2" t="s">
        <v>12</v>
      </c>
      <c r="K6001" s="2" t="s">
        <v>12</v>
      </c>
    </row>
    <row r="6002" spans="1:11" ht="12.5" x14ac:dyDescent="0.25">
      <c r="A6002" s="3" t="e">
        <f ca="1"/>
        <v>#NAME?</v>
      </c>
      <c r="B6002" s="2" t="s">
        <v>12</v>
      </c>
      <c r="C6002" s="2" t="s">
        <v>12</v>
      </c>
      <c r="D6002" s="2" t="s">
        <v>12</v>
      </c>
      <c r="E6002" s="2" t="s">
        <v>12</v>
      </c>
      <c r="F6002" s="2" t="s">
        <v>12</v>
      </c>
      <c r="G6002" s="2" t="s">
        <v>12</v>
      </c>
      <c r="H6002" s="2" t="s">
        <v>12</v>
      </c>
      <c r="I6002" s="2" t="s">
        <v>12</v>
      </c>
      <c r="J6002" s="2" t="s">
        <v>12</v>
      </c>
      <c r="K6002" s="2" t="s">
        <v>12</v>
      </c>
    </row>
    <row r="6003" spans="1:11" ht="12.5" x14ac:dyDescent="0.25">
      <c r="A6003" s="3" t="e">
        <f ca="1"/>
        <v>#NAME?</v>
      </c>
      <c r="B6003" s="2" t="s">
        <v>12</v>
      </c>
      <c r="C6003" s="2" t="s">
        <v>12</v>
      </c>
      <c r="D6003" s="2" t="s">
        <v>12</v>
      </c>
      <c r="E6003" s="2" t="s">
        <v>12</v>
      </c>
      <c r="F6003" s="2" t="s">
        <v>12</v>
      </c>
      <c r="G6003" s="2" t="s">
        <v>12</v>
      </c>
      <c r="H6003" s="2" t="s">
        <v>12</v>
      </c>
      <c r="I6003" s="2" t="s">
        <v>12</v>
      </c>
      <c r="J6003" s="2" t="s">
        <v>12</v>
      </c>
      <c r="K6003" s="2" t="s">
        <v>12</v>
      </c>
    </row>
    <row r="6004" spans="1:11" ht="12.5" x14ac:dyDescent="0.25">
      <c r="A6004" s="3" t="e">
        <f ca="1"/>
        <v>#NAME?</v>
      </c>
      <c r="B6004" s="2" t="s">
        <v>12</v>
      </c>
      <c r="C6004" s="2" t="s">
        <v>12</v>
      </c>
      <c r="D6004" s="2" t="s">
        <v>12</v>
      </c>
      <c r="E6004" s="2" t="s">
        <v>12</v>
      </c>
      <c r="F6004" s="2" t="s">
        <v>12</v>
      </c>
      <c r="G6004" s="2" t="s">
        <v>12</v>
      </c>
      <c r="H6004" s="2" t="s">
        <v>12</v>
      </c>
      <c r="I6004" s="2" t="s">
        <v>12</v>
      </c>
      <c r="J6004" s="2" t="s">
        <v>12</v>
      </c>
      <c r="K6004" s="2" t="s">
        <v>12</v>
      </c>
    </row>
    <row r="6005" spans="1:11" ht="12.5" x14ac:dyDescent="0.25">
      <c r="A6005" s="3" t="e">
        <f ca="1"/>
        <v>#NAME?</v>
      </c>
      <c r="B6005" s="2" t="s">
        <v>12</v>
      </c>
      <c r="C6005" s="2" t="s">
        <v>12</v>
      </c>
      <c r="D6005" s="2" t="s">
        <v>12</v>
      </c>
      <c r="E6005" s="2" t="s">
        <v>12</v>
      </c>
      <c r="F6005" s="2" t="s">
        <v>12</v>
      </c>
      <c r="G6005" s="2" t="s">
        <v>12</v>
      </c>
      <c r="H6005" s="2" t="s">
        <v>12</v>
      </c>
      <c r="I6005" s="2" t="s">
        <v>12</v>
      </c>
      <c r="J6005" s="2" t="s">
        <v>12</v>
      </c>
      <c r="K6005" s="2" t="s">
        <v>12</v>
      </c>
    </row>
    <row r="6006" spans="1:11" ht="12.5" x14ac:dyDescent="0.25">
      <c r="A6006" s="3" t="e">
        <f ca="1"/>
        <v>#NAME?</v>
      </c>
      <c r="B6006" s="2" t="s">
        <v>12</v>
      </c>
      <c r="C6006" s="2" t="s">
        <v>12</v>
      </c>
      <c r="D6006" s="2" t="s">
        <v>12</v>
      </c>
      <c r="E6006" s="2" t="s">
        <v>12</v>
      </c>
      <c r="F6006" s="2" t="s">
        <v>12</v>
      </c>
      <c r="G6006" s="2" t="s">
        <v>12</v>
      </c>
      <c r="H6006" s="2" t="s">
        <v>12</v>
      </c>
      <c r="I6006" s="2" t="s">
        <v>12</v>
      </c>
      <c r="J6006" s="2" t="s">
        <v>12</v>
      </c>
      <c r="K6006" s="2" t="s">
        <v>12</v>
      </c>
    </row>
    <row r="6007" spans="1:11" ht="12.5" x14ac:dyDescent="0.25">
      <c r="A6007" s="3" t="e">
        <f ca="1"/>
        <v>#NAME?</v>
      </c>
      <c r="B6007" s="2" t="s">
        <v>12</v>
      </c>
      <c r="C6007" s="2" t="s">
        <v>12</v>
      </c>
      <c r="D6007" s="2" t="s">
        <v>12</v>
      </c>
      <c r="E6007" s="2" t="s">
        <v>12</v>
      </c>
      <c r="F6007" s="2" t="s">
        <v>12</v>
      </c>
      <c r="G6007" s="2" t="s">
        <v>12</v>
      </c>
      <c r="H6007" s="2" t="s">
        <v>12</v>
      </c>
      <c r="I6007" s="2" t="s">
        <v>12</v>
      </c>
      <c r="J6007" s="2" t="s">
        <v>12</v>
      </c>
      <c r="K6007" s="2" t="s">
        <v>12</v>
      </c>
    </row>
    <row r="6008" spans="1:11" ht="12.5" x14ac:dyDescent="0.25">
      <c r="A6008" s="3" t="e">
        <f ca="1"/>
        <v>#NAME?</v>
      </c>
      <c r="B6008" s="2" t="s">
        <v>12</v>
      </c>
      <c r="C6008" s="2" t="s">
        <v>12</v>
      </c>
      <c r="D6008" s="2" t="s">
        <v>12</v>
      </c>
      <c r="E6008" s="2" t="s">
        <v>12</v>
      </c>
      <c r="F6008" s="2" t="s">
        <v>12</v>
      </c>
      <c r="G6008" s="2" t="s">
        <v>12</v>
      </c>
      <c r="H6008" s="2" t="s">
        <v>12</v>
      </c>
      <c r="I6008" s="2" t="s">
        <v>12</v>
      </c>
      <c r="J6008" s="2" t="s">
        <v>12</v>
      </c>
      <c r="K6008" s="2" t="s">
        <v>12</v>
      </c>
    </row>
    <row r="6009" spans="1:11" ht="12.5" x14ac:dyDescent="0.25">
      <c r="A6009" s="3" t="e">
        <f ca="1"/>
        <v>#NAME?</v>
      </c>
      <c r="B6009" s="2" t="s">
        <v>12</v>
      </c>
      <c r="C6009" s="2" t="s">
        <v>12</v>
      </c>
      <c r="D6009" s="2" t="s">
        <v>12</v>
      </c>
      <c r="E6009" s="2" t="s">
        <v>12</v>
      </c>
      <c r="F6009" s="2" t="s">
        <v>12</v>
      </c>
      <c r="G6009" s="2" t="s">
        <v>12</v>
      </c>
      <c r="H6009" s="2" t="s">
        <v>12</v>
      </c>
      <c r="I6009" s="2" t="s">
        <v>12</v>
      </c>
      <c r="J6009" s="2" t="s">
        <v>12</v>
      </c>
      <c r="K6009" s="2" t="s">
        <v>12</v>
      </c>
    </row>
    <row r="6010" spans="1:11" ht="12.5" x14ac:dyDescent="0.25">
      <c r="A6010" s="3" t="e">
        <f ca="1"/>
        <v>#NAME?</v>
      </c>
      <c r="B6010" s="2" t="s">
        <v>12</v>
      </c>
      <c r="C6010" s="2" t="s">
        <v>12</v>
      </c>
      <c r="D6010" s="2" t="s">
        <v>12</v>
      </c>
      <c r="E6010" s="2" t="s">
        <v>12</v>
      </c>
      <c r="F6010" s="2" t="s">
        <v>12</v>
      </c>
      <c r="G6010" s="2" t="s">
        <v>12</v>
      </c>
      <c r="H6010" s="2" t="s">
        <v>12</v>
      </c>
      <c r="I6010" s="2" t="s">
        <v>12</v>
      </c>
      <c r="J6010" s="2" t="s">
        <v>12</v>
      </c>
      <c r="K6010" s="2" t="s">
        <v>12</v>
      </c>
    </row>
    <row r="6011" spans="1:11" ht="12.5" x14ac:dyDescent="0.25">
      <c r="A6011" s="3" t="e">
        <f ca="1"/>
        <v>#NAME?</v>
      </c>
      <c r="B6011" s="2" t="s">
        <v>12</v>
      </c>
      <c r="C6011" s="2" t="s">
        <v>12</v>
      </c>
      <c r="D6011" s="2" t="s">
        <v>12</v>
      </c>
      <c r="E6011" s="2" t="s">
        <v>12</v>
      </c>
      <c r="F6011" s="2" t="s">
        <v>12</v>
      </c>
      <c r="G6011" s="2" t="s">
        <v>12</v>
      </c>
      <c r="H6011" s="2" t="s">
        <v>12</v>
      </c>
      <c r="I6011" s="2" t="s">
        <v>12</v>
      </c>
      <c r="J6011" s="2" t="s">
        <v>12</v>
      </c>
      <c r="K6011" s="2" t="s">
        <v>12</v>
      </c>
    </row>
    <row r="6012" spans="1:11" ht="12.5" x14ac:dyDescent="0.25">
      <c r="A6012" s="3" t="e">
        <f ca="1"/>
        <v>#NAME?</v>
      </c>
      <c r="B6012" s="2" t="s">
        <v>12</v>
      </c>
      <c r="C6012" s="2" t="s">
        <v>12</v>
      </c>
      <c r="D6012" s="2" t="s">
        <v>12</v>
      </c>
      <c r="E6012" s="2" t="s">
        <v>12</v>
      </c>
      <c r="F6012" s="2" t="s">
        <v>12</v>
      </c>
      <c r="G6012" s="2" t="s">
        <v>12</v>
      </c>
      <c r="H6012" s="2" t="s">
        <v>12</v>
      </c>
      <c r="I6012" s="2" t="s">
        <v>12</v>
      </c>
      <c r="J6012" s="2" t="s">
        <v>12</v>
      </c>
      <c r="K6012" s="2" t="s">
        <v>12</v>
      </c>
    </row>
    <row r="6013" spans="1:11" ht="12.5" x14ac:dyDescent="0.25">
      <c r="A6013" s="3" t="e">
        <f ca="1"/>
        <v>#NAME?</v>
      </c>
      <c r="B6013" s="2" t="s">
        <v>12</v>
      </c>
      <c r="C6013" s="2" t="s">
        <v>12</v>
      </c>
      <c r="D6013" s="2" t="s">
        <v>12</v>
      </c>
      <c r="E6013" s="2" t="s">
        <v>12</v>
      </c>
      <c r="F6013" s="2" t="s">
        <v>12</v>
      </c>
      <c r="G6013" s="2" t="s">
        <v>12</v>
      </c>
      <c r="H6013" s="2" t="s">
        <v>12</v>
      </c>
      <c r="I6013" s="2" t="s">
        <v>12</v>
      </c>
      <c r="J6013" s="2" t="s">
        <v>12</v>
      </c>
      <c r="K6013" s="2" t="s">
        <v>12</v>
      </c>
    </row>
    <row r="6014" spans="1:11" ht="12.5" x14ac:dyDescent="0.25">
      <c r="A6014" s="3" t="e">
        <f ca="1"/>
        <v>#NAME?</v>
      </c>
      <c r="B6014" s="2" t="s">
        <v>12</v>
      </c>
      <c r="C6014" s="2" t="s">
        <v>12</v>
      </c>
      <c r="D6014" s="2" t="s">
        <v>12</v>
      </c>
      <c r="E6014" s="2" t="s">
        <v>12</v>
      </c>
      <c r="F6014" s="2" t="s">
        <v>12</v>
      </c>
      <c r="G6014" s="2" t="s">
        <v>12</v>
      </c>
      <c r="H6014" s="2" t="s">
        <v>12</v>
      </c>
      <c r="I6014" s="2" t="s">
        <v>12</v>
      </c>
      <c r="J6014" s="2" t="s">
        <v>12</v>
      </c>
      <c r="K6014" s="2" t="s">
        <v>12</v>
      </c>
    </row>
    <row r="6015" spans="1:11" ht="12.5" x14ac:dyDescent="0.25">
      <c r="A6015" s="3" t="e">
        <f ca="1"/>
        <v>#NAME?</v>
      </c>
      <c r="B6015" s="2" t="s">
        <v>12</v>
      </c>
      <c r="C6015" s="2" t="s">
        <v>12</v>
      </c>
      <c r="D6015" s="2" t="s">
        <v>12</v>
      </c>
      <c r="E6015" s="2" t="s">
        <v>12</v>
      </c>
      <c r="F6015" s="2" t="s">
        <v>12</v>
      </c>
      <c r="G6015" s="2" t="s">
        <v>12</v>
      </c>
      <c r="H6015" s="2" t="s">
        <v>12</v>
      </c>
      <c r="I6015" s="2" t="s">
        <v>12</v>
      </c>
      <c r="J6015" s="2" t="s">
        <v>12</v>
      </c>
      <c r="K6015" s="2" t="s">
        <v>12</v>
      </c>
    </row>
    <row r="6016" spans="1:11" ht="12.5" x14ac:dyDescent="0.25">
      <c r="A6016" s="3" t="e">
        <f ca="1"/>
        <v>#NAME?</v>
      </c>
      <c r="B6016" s="2" t="s">
        <v>12</v>
      </c>
      <c r="C6016" s="2" t="s">
        <v>12</v>
      </c>
      <c r="D6016" s="2" t="s">
        <v>12</v>
      </c>
      <c r="E6016" s="2" t="s">
        <v>12</v>
      </c>
      <c r="F6016" s="2" t="s">
        <v>12</v>
      </c>
      <c r="G6016" s="2" t="s">
        <v>12</v>
      </c>
      <c r="H6016" s="2" t="s">
        <v>12</v>
      </c>
      <c r="I6016" s="2" t="s">
        <v>12</v>
      </c>
      <c r="J6016" s="2" t="s">
        <v>12</v>
      </c>
      <c r="K6016" s="2" t="s">
        <v>12</v>
      </c>
    </row>
    <row r="6017" spans="1:11" ht="12.5" x14ac:dyDescent="0.25">
      <c r="A6017" s="3" t="e">
        <f ca="1"/>
        <v>#NAME?</v>
      </c>
      <c r="B6017" s="2" t="s">
        <v>12</v>
      </c>
      <c r="C6017" s="2" t="s">
        <v>12</v>
      </c>
      <c r="D6017" s="2" t="s">
        <v>12</v>
      </c>
      <c r="E6017" s="2" t="s">
        <v>12</v>
      </c>
      <c r="F6017" s="2" t="s">
        <v>12</v>
      </c>
      <c r="G6017" s="2" t="s">
        <v>12</v>
      </c>
      <c r="H6017" s="2" t="s">
        <v>12</v>
      </c>
      <c r="I6017" s="2" t="s">
        <v>12</v>
      </c>
      <c r="J6017" s="2" t="s">
        <v>12</v>
      </c>
      <c r="K6017" s="2" t="s">
        <v>12</v>
      </c>
    </row>
    <row r="6018" spans="1:11" ht="12.5" x14ac:dyDescent="0.25">
      <c r="A6018" s="3" t="e">
        <f ca="1"/>
        <v>#NAME?</v>
      </c>
      <c r="B6018" s="2" t="s">
        <v>12</v>
      </c>
      <c r="C6018" s="2" t="s">
        <v>12</v>
      </c>
      <c r="D6018" s="2" t="s">
        <v>12</v>
      </c>
      <c r="E6018" s="2" t="s">
        <v>12</v>
      </c>
      <c r="F6018" s="2" t="s">
        <v>12</v>
      </c>
      <c r="G6018" s="2" t="s">
        <v>12</v>
      </c>
      <c r="H6018" s="2" t="s">
        <v>12</v>
      </c>
      <c r="I6018" s="2" t="s">
        <v>12</v>
      </c>
      <c r="J6018" s="2" t="s">
        <v>12</v>
      </c>
      <c r="K6018" s="2" t="s">
        <v>12</v>
      </c>
    </row>
    <row r="6019" spans="1:11" ht="12.5" x14ac:dyDescent="0.25">
      <c r="A6019" s="3" t="e">
        <f ca="1"/>
        <v>#NAME?</v>
      </c>
      <c r="B6019" s="2" t="s">
        <v>12</v>
      </c>
      <c r="C6019" s="2" t="s">
        <v>12</v>
      </c>
      <c r="D6019" s="2" t="s">
        <v>12</v>
      </c>
      <c r="E6019" s="2" t="s">
        <v>12</v>
      </c>
      <c r="F6019" s="2" t="s">
        <v>12</v>
      </c>
      <c r="G6019" s="2" t="s">
        <v>12</v>
      </c>
      <c r="H6019" s="2" t="s">
        <v>12</v>
      </c>
      <c r="I6019" s="2" t="s">
        <v>12</v>
      </c>
      <c r="J6019" s="2" t="s">
        <v>12</v>
      </c>
      <c r="K6019" s="2" t="s">
        <v>12</v>
      </c>
    </row>
    <row r="6020" spans="1:11" ht="12.5" x14ac:dyDescent="0.25">
      <c r="A6020" s="3" t="e">
        <f ca="1"/>
        <v>#NAME?</v>
      </c>
      <c r="B6020" s="2" t="s">
        <v>12</v>
      </c>
      <c r="C6020" s="2" t="s">
        <v>12</v>
      </c>
      <c r="D6020" s="2" t="s">
        <v>12</v>
      </c>
      <c r="E6020" s="2" t="s">
        <v>12</v>
      </c>
      <c r="F6020" s="2" t="s">
        <v>12</v>
      </c>
      <c r="G6020" s="2" t="s">
        <v>12</v>
      </c>
      <c r="H6020" s="2" t="s">
        <v>12</v>
      </c>
      <c r="I6020" s="2" t="s">
        <v>12</v>
      </c>
      <c r="J6020" s="2" t="s">
        <v>12</v>
      </c>
      <c r="K6020" s="2" t="s">
        <v>12</v>
      </c>
    </row>
    <row r="6021" spans="1:11" ht="12.5" x14ac:dyDescent="0.25">
      <c r="A6021" s="3" t="e">
        <f ca="1"/>
        <v>#NAME?</v>
      </c>
      <c r="B6021" s="2" t="s">
        <v>12</v>
      </c>
      <c r="C6021" s="2" t="s">
        <v>12</v>
      </c>
      <c r="D6021" s="2" t="s">
        <v>12</v>
      </c>
      <c r="E6021" s="2" t="s">
        <v>12</v>
      </c>
      <c r="F6021" s="2" t="s">
        <v>12</v>
      </c>
      <c r="G6021" s="2" t="s">
        <v>12</v>
      </c>
      <c r="H6021" s="2" t="s">
        <v>12</v>
      </c>
      <c r="I6021" s="2" t="s">
        <v>12</v>
      </c>
      <c r="J6021" s="2" t="s">
        <v>12</v>
      </c>
      <c r="K6021" s="2" t="s">
        <v>12</v>
      </c>
    </row>
    <row r="6022" spans="1:11" ht="12.5" x14ac:dyDescent="0.25">
      <c r="A6022" s="3" t="e">
        <f ca="1"/>
        <v>#NAME?</v>
      </c>
      <c r="B6022" s="2" t="s">
        <v>12</v>
      </c>
      <c r="C6022" s="2" t="s">
        <v>12</v>
      </c>
      <c r="D6022" s="2" t="s">
        <v>12</v>
      </c>
      <c r="E6022" s="2" t="s">
        <v>12</v>
      </c>
      <c r="F6022" s="2" t="s">
        <v>12</v>
      </c>
      <c r="G6022" s="2" t="s">
        <v>12</v>
      </c>
      <c r="H6022" s="2" t="s">
        <v>12</v>
      </c>
      <c r="I6022" s="2" t="s">
        <v>12</v>
      </c>
      <c r="J6022" s="2" t="s">
        <v>12</v>
      </c>
      <c r="K6022" s="2" t="s">
        <v>12</v>
      </c>
    </row>
    <row r="6023" spans="1:11" ht="12.5" x14ac:dyDescent="0.25">
      <c r="A6023" s="3" t="e">
        <f ca="1"/>
        <v>#NAME?</v>
      </c>
      <c r="B6023" s="2" t="s">
        <v>12</v>
      </c>
      <c r="C6023" s="2" t="s">
        <v>12</v>
      </c>
      <c r="D6023" s="2" t="s">
        <v>12</v>
      </c>
      <c r="E6023" s="2" t="s">
        <v>12</v>
      </c>
      <c r="F6023" s="2" t="s">
        <v>12</v>
      </c>
      <c r="G6023" s="2" t="s">
        <v>12</v>
      </c>
      <c r="H6023" s="2" t="s">
        <v>12</v>
      </c>
      <c r="I6023" s="2" t="s">
        <v>12</v>
      </c>
      <c r="J6023" s="2" t="s">
        <v>12</v>
      </c>
      <c r="K6023" s="2" t="s">
        <v>12</v>
      </c>
    </row>
    <row r="6024" spans="1:11" ht="12.5" x14ac:dyDescent="0.25">
      <c r="A6024" s="3" t="e">
        <f ca="1"/>
        <v>#NAME?</v>
      </c>
      <c r="B6024" s="2" t="s">
        <v>12</v>
      </c>
      <c r="C6024" s="2" t="s">
        <v>12</v>
      </c>
      <c r="D6024" s="2" t="s">
        <v>12</v>
      </c>
      <c r="E6024" s="2" t="s">
        <v>12</v>
      </c>
      <c r="F6024" s="2" t="s">
        <v>12</v>
      </c>
      <c r="G6024" s="2" t="s">
        <v>12</v>
      </c>
      <c r="H6024" s="2" t="s">
        <v>12</v>
      </c>
      <c r="I6024" s="2" t="s">
        <v>12</v>
      </c>
      <c r="J6024" s="2" t="s">
        <v>12</v>
      </c>
      <c r="K6024" s="2" t="s">
        <v>12</v>
      </c>
    </row>
    <row r="6025" spans="1:11" ht="12.5" x14ac:dyDescent="0.25">
      <c r="A6025" s="3" t="e">
        <f ca="1"/>
        <v>#NAME?</v>
      </c>
      <c r="B6025" s="2" t="s">
        <v>12</v>
      </c>
      <c r="C6025" s="2" t="s">
        <v>12</v>
      </c>
      <c r="D6025" s="2" t="s">
        <v>12</v>
      </c>
      <c r="E6025" s="2" t="s">
        <v>12</v>
      </c>
      <c r="F6025" s="2" t="s">
        <v>12</v>
      </c>
      <c r="G6025" s="2" t="s">
        <v>12</v>
      </c>
      <c r="H6025" s="2" t="s">
        <v>12</v>
      </c>
      <c r="I6025" s="2" t="s">
        <v>12</v>
      </c>
      <c r="J6025" s="2" t="s">
        <v>12</v>
      </c>
      <c r="K6025" s="2" t="s">
        <v>12</v>
      </c>
    </row>
    <row r="6026" spans="1:11" ht="12.5" x14ac:dyDescent="0.25">
      <c r="A6026" s="3" t="e">
        <f ca="1"/>
        <v>#NAME?</v>
      </c>
      <c r="B6026" s="2" t="s">
        <v>12</v>
      </c>
      <c r="C6026" s="2" t="s">
        <v>12</v>
      </c>
      <c r="D6026" s="2" t="s">
        <v>12</v>
      </c>
      <c r="E6026" s="2" t="s">
        <v>12</v>
      </c>
      <c r="F6026" s="2" t="s">
        <v>12</v>
      </c>
      <c r="G6026" s="2" t="s">
        <v>12</v>
      </c>
      <c r="H6026" s="2" t="s">
        <v>12</v>
      </c>
      <c r="I6026" s="2" t="s">
        <v>12</v>
      </c>
      <c r="J6026" s="2" t="s">
        <v>12</v>
      </c>
      <c r="K6026" s="2" t="s">
        <v>12</v>
      </c>
    </row>
    <row r="6027" spans="1:11" ht="12.5" x14ac:dyDescent="0.25">
      <c r="A6027" s="3" t="e">
        <f ca="1"/>
        <v>#NAME?</v>
      </c>
      <c r="B6027" s="2" t="s">
        <v>12</v>
      </c>
      <c r="C6027" s="2" t="s">
        <v>12</v>
      </c>
      <c r="D6027" s="2" t="s">
        <v>12</v>
      </c>
      <c r="E6027" s="2" t="s">
        <v>12</v>
      </c>
      <c r="F6027" s="2" t="s">
        <v>12</v>
      </c>
      <c r="G6027" s="2" t="s">
        <v>12</v>
      </c>
      <c r="H6027" s="2" t="s">
        <v>12</v>
      </c>
      <c r="I6027" s="2" t="s">
        <v>12</v>
      </c>
      <c r="J6027" s="2" t="s">
        <v>12</v>
      </c>
      <c r="K6027" s="2" t="s">
        <v>12</v>
      </c>
    </row>
    <row r="6028" spans="1:11" ht="12.5" x14ac:dyDescent="0.25">
      <c r="A6028" s="3" t="e">
        <f ca="1"/>
        <v>#NAME?</v>
      </c>
      <c r="B6028" s="2" t="s">
        <v>12</v>
      </c>
      <c r="C6028" s="2" t="s">
        <v>12</v>
      </c>
      <c r="D6028" s="2" t="s">
        <v>12</v>
      </c>
      <c r="E6028" s="2" t="s">
        <v>12</v>
      </c>
      <c r="F6028" s="2" t="s">
        <v>12</v>
      </c>
      <c r="G6028" s="2" t="s">
        <v>12</v>
      </c>
      <c r="H6028" s="2" t="s">
        <v>12</v>
      </c>
      <c r="I6028" s="2" t="s">
        <v>12</v>
      </c>
      <c r="J6028" s="2" t="s">
        <v>12</v>
      </c>
      <c r="K6028" s="2" t="s">
        <v>12</v>
      </c>
    </row>
    <row r="6029" spans="1:11" ht="12.5" x14ac:dyDescent="0.25">
      <c r="A6029" s="3" t="e">
        <f ca="1"/>
        <v>#NAME?</v>
      </c>
      <c r="B6029" s="2" t="s">
        <v>12</v>
      </c>
      <c r="C6029" s="2" t="s">
        <v>12</v>
      </c>
      <c r="D6029" s="2" t="s">
        <v>12</v>
      </c>
      <c r="E6029" s="2" t="s">
        <v>12</v>
      </c>
      <c r="F6029" s="2" t="s">
        <v>12</v>
      </c>
      <c r="G6029" s="2" t="s">
        <v>12</v>
      </c>
      <c r="H6029" s="2" t="s">
        <v>12</v>
      </c>
      <c r="I6029" s="2" t="s">
        <v>12</v>
      </c>
      <c r="J6029" s="2" t="s">
        <v>12</v>
      </c>
      <c r="K6029" s="2" t="s">
        <v>12</v>
      </c>
    </row>
    <row r="6030" spans="1:11" ht="12.5" x14ac:dyDescent="0.25">
      <c r="A6030" s="3" t="e">
        <f ca="1"/>
        <v>#NAME?</v>
      </c>
      <c r="B6030" s="2" t="s">
        <v>12</v>
      </c>
      <c r="C6030" s="2" t="s">
        <v>12</v>
      </c>
      <c r="D6030" s="2" t="s">
        <v>12</v>
      </c>
      <c r="E6030" s="2" t="s">
        <v>12</v>
      </c>
      <c r="F6030" s="2" t="s">
        <v>12</v>
      </c>
      <c r="G6030" s="2" t="s">
        <v>12</v>
      </c>
      <c r="H6030" s="2" t="s">
        <v>12</v>
      </c>
      <c r="I6030" s="2" t="s">
        <v>12</v>
      </c>
      <c r="J6030" s="2" t="s">
        <v>12</v>
      </c>
      <c r="K6030" s="2" t="s">
        <v>12</v>
      </c>
    </row>
    <row r="6031" spans="1:11" ht="12.5" x14ac:dyDescent="0.25">
      <c r="A6031" s="3" t="e">
        <f ca="1"/>
        <v>#NAME?</v>
      </c>
      <c r="B6031" s="2" t="s">
        <v>12</v>
      </c>
      <c r="C6031" s="2" t="s">
        <v>12</v>
      </c>
      <c r="D6031" s="2" t="s">
        <v>12</v>
      </c>
      <c r="E6031" s="2" t="s">
        <v>12</v>
      </c>
      <c r="F6031" s="2" t="s">
        <v>12</v>
      </c>
      <c r="G6031" s="2" t="s">
        <v>12</v>
      </c>
      <c r="H6031" s="2" t="s">
        <v>12</v>
      </c>
      <c r="I6031" s="2" t="s">
        <v>12</v>
      </c>
      <c r="J6031" s="2" t="s">
        <v>12</v>
      </c>
      <c r="K6031" s="2" t="s">
        <v>12</v>
      </c>
    </row>
    <row r="6032" spans="1:11" ht="12.5" x14ac:dyDescent="0.25">
      <c r="A6032" s="3" t="e">
        <f ca="1"/>
        <v>#NAME?</v>
      </c>
      <c r="B6032" s="2" t="s">
        <v>12</v>
      </c>
      <c r="C6032" s="2" t="s">
        <v>12</v>
      </c>
      <c r="D6032" s="2" t="s">
        <v>12</v>
      </c>
      <c r="E6032" s="2" t="s">
        <v>12</v>
      </c>
      <c r="F6032" s="2" t="s">
        <v>12</v>
      </c>
      <c r="G6032" s="2" t="s">
        <v>12</v>
      </c>
      <c r="H6032" s="2" t="s">
        <v>12</v>
      </c>
      <c r="I6032" s="2" t="s">
        <v>12</v>
      </c>
      <c r="J6032" s="2" t="s">
        <v>12</v>
      </c>
      <c r="K6032" s="2" t="s">
        <v>12</v>
      </c>
    </row>
    <row r="6033" spans="1:11" ht="12.5" x14ac:dyDescent="0.25">
      <c r="A6033" s="3" t="e">
        <f ca="1"/>
        <v>#NAME?</v>
      </c>
      <c r="B6033" s="2" t="s">
        <v>12</v>
      </c>
      <c r="C6033" s="2" t="s">
        <v>12</v>
      </c>
      <c r="D6033" s="2" t="s">
        <v>12</v>
      </c>
      <c r="E6033" s="2" t="s">
        <v>12</v>
      </c>
      <c r="F6033" s="2" t="s">
        <v>12</v>
      </c>
      <c r="G6033" s="2" t="s">
        <v>12</v>
      </c>
      <c r="H6033" s="2" t="s">
        <v>12</v>
      </c>
      <c r="I6033" s="2" t="s">
        <v>12</v>
      </c>
      <c r="J6033" s="2" t="s">
        <v>12</v>
      </c>
      <c r="K6033" s="2" t="s">
        <v>12</v>
      </c>
    </row>
    <row r="6034" spans="1:11" ht="12.5" x14ac:dyDescent="0.25">
      <c r="A6034" s="3" t="e">
        <f ca="1"/>
        <v>#NAME?</v>
      </c>
      <c r="B6034" s="2" t="s">
        <v>12</v>
      </c>
      <c r="C6034" s="2" t="s">
        <v>12</v>
      </c>
      <c r="D6034" s="2" t="s">
        <v>12</v>
      </c>
      <c r="E6034" s="2" t="s">
        <v>12</v>
      </c>
      <c r="F6034" s="2" t="s">
        <v>12</v>
      </c>
      <c r="G6034" s="2" t="s">
        <v>12</v>
      </c>
      <c r="H6034" s="2" t="s">
        <v>12</v>
      </c>
      <c r="I6034" s="2" t="s">
        <v>12</v>
      </c>
      <c r="J6034" s="2" t="s">
        <v>12</v>
      </c>
      <c r="K6034" s="2" t="s">
        <v>12</v>
      </c>
    </row>
    <row r="6035" spans="1:11" ht="12.5" x14ac:dyDescent="0.25">
      <c r="A6035" s="3" t="e">
        <f ca="1"/>
        <v>#NAME?</v>
      </c>
      <c r="B6035" s="2" t="s">
        <v>12</v>
      </c>
      <c r="C6035" s="2" t="s">
        <v>12</v>
      </c>
      <c r="D6035" s="2" t="s">
        <v>12</v>
      </c>
      <c r="E6035" s="2" t="s">
        <v>12</v>
      </c>
      <c r="F6035" s="2" t="s">
        <v>12</v>
      </c>
      <c r="G6035" s="2" t="s">
        <v>12</v>
      </c>
      <c r="H6035" s="2" t="s">
        <v>12</v>
      </c>
      <c r="I6035" s="2" t="s">
        <v>12</v>
      </c>
      <c r="J6035" s="2" t="s">
        <v>12</v>
      </c>
      <c r="K6035" s="2" t="s">
        <v>12</v>
      </c>
    </row>
    <row r="6036" spans="1:11" ht="12.5" x14ac:dyDescent="0.25">
      <c r="A6036" s="3" t="e">
        <f ca="1"/>
        <v>#NAME?</v>
      </c>
      <c r="B6036" s="2" t="s">
        <v>12</v>
      </c>
      <c r="C6036" s="2" t="s">
        <v>12</v>
      </c>
      <c r="D6036" s="2" t="s">
        <v>12</v>
      </c>
      <c r="E6036" s="2" t="s">
        <v>12</v>
      </c>
      <c r="F6036" s="2" t="s">
        <v>12</v>
      </c>
      <c r="G6036" s="2" t="s">
        <v>12</v>
      </c>
      <c r="H6036" s="2" t="s">
        <v>12</v>
      </c>
      <c r="I6036" s="2" t="s">
        <v>12</v>
      </c>
      <c r="J6036" s="2" t="s">
        <v>12</v>
      </c>
      <c r="K6036" s="2" t="s">
        <v>12</v>
      </c>
    </row>
    <row r="6037" spans="1:11" ht="12.5" x14ac:dyDescent="0.25">
      <c r="A6037" s="3" t="e">
        <f ca="1"/>
        <v>#NAME?</v>
      </c>
      <c r="B6037" s="2" t="s">
        <v>12</v>
      </c>
      <c r="C6037" s="2" t="s">
        <v>12</v>
      </c>
      <c r="D6037" s="2" t="s">
        <v>12</v>
      </c>
      <c r="E6037" s="2" t="s">
        <v>12</v>
      </c>
      <c r="F6037" s="2" t="s">
        <v>12</v>
      </c>
      <c r="G6037" s="2" t="s">
        <v>12</v>
      </c>
      <c r="H6037" s="2" t="s">
        <v>12</v>
      </c>
      <c r="I6037" s="2" t="s">
        <v>12</v>
      </c>
      <c r="J6037" s="2" t="s">
        <v>12</v>
      </c>
      <c r="K6037" s="2" t="s">
        <v>12</v>
      </c>
    </row>
    <row r="6038" spans="1:11" ht="12.5" x14ac:dyDescent="0.25">
      <c r="A6038" s="3" t="e">
        <f ca="1"/>
        <v>#NAME?</v>
      </c>
      <c r="B6038" s="2" t="s">
        <v>12</v>
      </c>
      <c r="C6038" s="2" t="s">
        <v>12</v>
      </c>
      <c r="D6038" s="2" t="s">
        <v>12</v>
      </c>
      <c r="E6038" s="2" t="s">
        <v>12</v>
      </c>
      <c r="F6038" s="2" t="s">
        <v>12</v>
      </c>
      <c r="G6038" s="2" t="s">
        <v>12</v>
      </c>
      <c r="H6038" s="2" t="s">
        <v>12</v>
      </c>
      <c r="I6038" s="2" t="s">
        <v>12</v>
      </c>
      <c r="J6038" s="2" t="s">
        <v>12</v>
      </c>
      <c r="K6038" s="2" t="s">
        <v>12</v>
      </c>
    </row>
    <row r="6039" spans="1:11" ht="12.5" x14ac:dyDescent="0.25">
      <c r="A6039" s="3" t="e">
        <f ca="1"/>
        <v>#NAME?</v>
      </c>
      <c r="B6039" s="2" t="s">
        <v>12</v>
      </c>
      <c r="C6039" s="2" t="s">
        <v>12</v>
      </c>
      <c r="D6039" s="2" t="s">
        <v>12</v>
      </c>
      <c r="E6039" s="2" t="s">
        <v>12</v>
      </c>
      <c r="F6039" s="2" t="s">
        <v>12</v>
      </c>
      <c r="G6039" s="2" t="s">
        <v>12</v>
      </c>
      <c r="H6039" s="2" t="s">
        <v>12</v>
      </c>
      <c r="I6039" s="2" t="s">
        <v>12</v>
      </c>
      <c r="J6039" s="2" t="s">
        <v>12</v>
      </c>
      <c r="K6039" s="2" t="s">
        <v>12</v>
      </c>
    </row>
    <row r="6040" spans="1:11" ht="12.5" x14ac:dyDescent="0.25">
      <c r="A6040" s="3" t="e">
        <f ca="1"/>
        <v>#NAME?</v>
      </c>
      <c r="B6040" s="2" t="s">
        <v>12</v>
      </c>
      <c r="C6040" s="2" t="s">
        <v>12</v>
      </c>
      <c r="D6040" s="2" t="s">
        <v>12</v>
      </c>
      <c r="E6040" s="2" t="s">
        <v>12</v>
      </c>
      <c r="F6040" s="2" t="s">
        <v>12</v>
      </c>
      <c r="G6040" s="2" t="s">
        <v>12</v>
      </c>
      <c r="H6040" s="2" t="s">
        <v>12</v>
      </c>
      <c r="I6040" s="2" t="s">
        <v>12</v>
      </c>
      <c r="J6040" s="2" t="s">
        <v>12</v>
      </c>
      <c r="K6040" s="2" t="s">
        <v>12</v>
      </c>
    </row>
    <row r="6041" spans="1:11" ht="12.5" x14ac:dyDescent="0.25">
      <c r="A6041" s="3" t="e">
        <f ca="1"/>
        <v>#NAME?</v>
      </c>
      <c r="B6041" s="2" t="s">
        <v>12</v>
      </c>
      <c r="C6041" s="2" t="s">
        <v>12</v>
      </c>
      <c r="D6041" s="2" t="s">
        <v>12</v>
      </c>
      <c r="E6041" s="2" t="s">
        <v>12</v>
      </c>
      <c r="F6041" s="2" t="s">
        <v>12</v>
      </c>
      <c r="G6041" s="2" t="s">
        <v>12</v>
      </c>
      <c r="H6041" s="2" t="s">
        <v>12</v>
      </c>
      <c r="I6041" s="2" t="s">
        <v>12</v>
      </c>
      <c r="J6041" s="2" t="s">
        <v>12</v>
      </c>
      <c r="K6041" s="2" t="s">
        <v>12</v>
      </c>
    </row>
    <row r="6042" spans="1:11" ht="12.5" x14ac:dyDescent="0.25">
      <c r="A6042" s="3" t="e">
        <f ca="1"/>
        <v>#NAME?</v>
      </c>
      <c r="B6042" s="2" t="s">
        <v>12</v>
      </c>
      <c r="C6042" s="2" t="s">
        <v>12</v>
      </c>
      <c r="D6042" s="2" t="s">
        <v>12</v>
      </c>
      <c r="E6042" s="2" t="s">
        <v>12</v>
      </c>
      <c r="F6042" s="2" t="s">
        <v>12</v>
      </c>
      <c r="G6042" s="2" t="s">
        <v>12</v>
      </c>
      <c r="H6042" s="2" t="s">
        <v>12</v>
      </c>
      <c r="I6042" s="2" t="s">
        <v>12</v>
      </c>
      <c r="J6042" s="2" t="s">
        <v>12</v>
      </c>
      <c r="K6042" s="2" t="s">
        <v>12</v>
      </c>
    </row>
    <row r="6043" spans="1:11" ht="12.5" x14ac:dyDescent="0.25">
      <c r="A6043" s="3" t="e">
        <f ca="1"/>
        <v>#NAME?</v>
      </c>
      <c r="B6043" s="2" t="s">
        <v>12</v>
      </c>
      <c r="C6043" s="2" t="s">
        <v>12</v>
      </c>
      <c r="D6043" s="2" t="s">
        <v>12</v>
      </c>
      <c r="E6043" s="2" t="s">
        <v>12</v>
      </c>
      <c r="F6043" s="2" t="s">
        <v>12</v>
      </c>
      <c r="G6043" s="2" t="s">
        <v>12</v>
      </c>
      <c r="H6043" s="2" t="s">
        <v>12</v>
      </c>
      <c r="I6043" s="2" t="s">
        <v>12</v>
      </c>
      <c r="J6043" s="2" t="s">
        <v>12</v>
      </c>
      <c r="K6043" s="2" t="s">
        <v>12</v>
      </c>
    </row>
    <row r="6044" spans="1:11" ht="12.5" x14ac:dyDescent="0.25">
      <c r="A6044" s="3" t="e">
        <f ca="1"/>
        <v>#NAME?</v>
      </c>
      <c r="B6044" s="2" t="s">
        <v>12</v>
      </c>
      <c r="C6044" s="2" t="s">
        <v>12</v>
      </c>
      <c r="D6044" s="2" t="s">
        <v>12</v>
      </c>
      <c r="E6044" s="2" t="s">
        <v>12</v>
      </c>
      <c r="F6044" s="2" t="s">
        <v>12</v>
      </c>
      <c r="G6044" s="2" t="s">
        <v>12</v>
      </c>
      <c r="H6044" s="2" t="s">
        <v>12</v>
      </c>
      <c r="I6044" s="2" t="s">
        <v>12</v>
      </c>
      <c r="J6044" s="2" t="s">
        <v>12</v>
      </c>
      <c r="K6044" s="2" t="s">
        <v>12</v>
      </c>
    </row>
    <row r="6045" spans="1:11" ht="12.5" x14ac:dyDescent="0.25">
      <c r="A6045" s="3" t="e">
        <f ca="1"/>
        <v>#NAME?</v>
      </c>
      <c r="B6045" s="2" t="s">
        <v>12</v>
      </c>
      <c r="C6045" s="2" t="s">
        <v>12</v>
      </c>
      <c r="D6045" s="2" t="s">
        <v>12</v>
      </c>
      <c r="E6045" s="2" t="s">
        <v>12</v>
      </c>
      <c r="F6045" s="2" t="s">
        <v>12</v>
      </c>
      <c r="G6045" s="2" t="s">
        <v>12</v>
      </c>
      <c r="H6045" s="2" t="s">
        <v>12</v>
      </c>
      <c r="I6045" s="2" t="s">
        <v>12</v>
      </c>
      <c r="J6045" s="2" t="s">
        <v>12</v>
      </c>
      <c r="K6045" s="2" t="s">
        <v>12</v>
      </c>
    </row>
    <row r="6046" spans="1:11" ht="12.5" x14ac:dyDescent="0.25">
      <c r="A6046" s="3" t="e">
        <f ca="1"/>
        <v>#NAME?</v>
      </c>
      <c r="B6046" s="2" t="s">
        <v>12</v>
      </c>
      <c r="C6046" s="2" t="s">
        <v>12</v>
      </c>
      <c r="D6046" s="2" t="s">
        <v>12</v>
      </c>
      <c r="E6046" s="2" t="s">
        <v>12</v>
      </c>
      <c r="F6046" s="2" t="s">
        <v>12</v>
      </c>
      <c r="G6046" s="2" t="s">
        <v>12</v>
      </c>
      <c r="H6046" s="2" t="s">
        <v>12</v>
      </c>
      <c r="I6046" s="2" t="s">
        <v>12</v>
      </c>
      <c r="J6046" s="2" t="s">
        <v>12</v>
      </c>
      <c r="K6046" s="2" t="s">
        <v>12</v>
      </c>
    </row>
    <row r="6047" spans="1:11" ht="12.5" x14ac:dyDescent="0.25">
      <c r="A6047" s="3" t="e">
        <f ca="1"/>
        <v>#NAME?</v>
      </c>
      <c r="B6047" s="2" t="s">
        <v>12</v>
      </c>
      <c r="C6047" s="2" t="s">
        <v>12</v>
      </c>
      <c r="D6047" s="2" t="s">
        <v>12</v>
      </c>
      <c r="E6047" s="2" t="s">
        <v>12</v>
      </c>
      <c r="F6047" s="2" t="s">
        <v>12</v>
      </c>
      <c r="G6047" s="2" t="s">
        <v>12</v>
      </c>
      <c r="H6047" s="2" t="s">
        <v>12</v>
      </c>
      <c r="I6047" s="2" t="s">
        <v>12</v>
      </c>
      <c r="J6047" s="2" t="s">
        <v>12</v>
      </c>
      <c r="K6047" s="2" t="s">
        <v>12</v>
      </c>
    </row>
    <row r="6048" spans="1:11" ht="12.5" x14ac:dyDescent="0.25">
      <c r="A6048" s="3" t="e">
        <f ca="1"/>
        <v>#NAME?</v>
      </c>
      <c r="B6048" s="2" t="s">
        <v>12</v>
      </c>
      <c r="C6048" s="2" t="s">
        <v>12</v>
      </c>
      <c r="D6048" s="2" t="s">
        <v>12</v>
      </c>
      <c r="E6048" s="2" t="s">
        <v>12</v>
      </c>
      <c r="F6048" s="2" t="s">
        <v>12</v>
      </c>
      <c r="G6048" s="2" t="s">
        <v>12</v>
      </c>
      <c r="H6048" s="2" t="s">
        <v>12</v>
      </c>
      <c r="I6048" s="2" t="s">
        <v>12</v>
      </c>
      <c r="J6048" s="2" t="s">
        <v>12</v>
      </c>
      <c r="K6048" s="2" t="s">
        <v>12</v>
      </c>
    </row>
    <row r="6049" spans="1:11" ht="12.5" x14ac:dyDescent="0.25">
      <c r="A6049" s="3" t="e">
        <f ca="1"/>
        <v>#NAME?</v>
      </c>
      <c r="B6049" s="2" t="s">
        <v>12</v>
      </c>
      <c r="C6049" s="2" t="s">
        <v>12</v>
      </c>
      <c r="D6049" s="2" t="s">
        <v>12</v>
      </c>
      <c r="E6049" s="2" t="s">
        <v>12</v>
      </c>
      <c r="F6049" s="2" t="s">
        <v>12</v>
      </c>
      <c r="G6049" s="2" t="s">
        <v>12</v>
      </c>
      <c r="H6049" s="2" t="s">
        <v>12</v>
      </c>
      <c r="I6049" s="2" t="s">
        <v>12</v>
      </c>
      <c r="J6049" s="2" t="s">
        <v>12</v>
      </c>
      <c r="K6049" s="2" t="s">
        <v>12</v>
      </c>
    </row>
    <row r="6050" spans="1:11" ht="12.5" x14ac:dyDescent="0.25">
      <c r="A6050" s="3" t="e">
        <f ca="1"/>
        <v>#NAME?</v>
      </c>
      <c r="B6050" s="2" t="s">
        <v>12</v>
      </c>
      <c r="C6050" s="2" t="s">
        <v>12</v>
      </c>
      <c r="D6050" s="2" t="s">
        <v>12</v>
      </c>
      <c r="E6050" s="2" t="s">
        <v>12</v>
      </c>
      <c r="F6050" s="2" t="s">
        <v>12</v>
      </c>
      <c r="G6050" s="2" t="s">
        <v>12</v>
      </c>
      <c r="H6050" s="2" t="s">
        <v>12</v>
      </c>
      <c r="I6050" s="2" t="s">
        <v>12</v>
      </c>
      <c r="J6050" s="2" t="s">
        <v>12</v>
      </c>
      <c r="K6050" s="2" t="s">
        <v>12</v>
      </c>
    </row>
    <row r="6051" spans="1:11" ht="12.5" x14ac:dyDescent="0.25">
      <c r="A6051" s="3" t="e">
        <f ca="1"/>
        <v>#NAME?</v>
      </c>
      <c r="B6051" s="2" t="s">
        <v>12</v>
      </c>
      <c r="C6051" s="2" t="s">
        <v>12</v>
      </c>
      <c r="D6051" s="2" t="s">
        <v>12</v>
      </c>
      <c r="E6051" s="2" t="s">
        <v>12</v>
      </c>
      <c r="F6051" s="2" t="s">
        <v>12</v>
      </c>
      <c r="G6051" s="2" t="s">
        <v>12</v>
      </c>
      <c r="H6051" s="2" t="s">
        <v>12</v>
      </c>
      <c r="I6051" s="2" t="s">
        <v>12</v>
      </c>
      <c r="J6051" s="2" t="s">
        <v>12</v>
      </c>
      <c r="K6051" s="2" t="s">
        <v>12</v>
      </c>
    </row>
    <row r="6052" spans="1:11" ht="12.5" x14ac:dyDescent="0.25">
      <c r="A6052" s="3" t="e">
        <f ca="1"/>
        <v>#NAME?</v>
      </c>
      <c r="B6052" s="2" t="s">
        <v>12</v>
      </c>
      <c r="C6052" s="2" t="s">
        <v>12</v>
      </c>
      <c r="D6052" s="2" t="s">
        <v>12</v>
      </c>
      <c r="E6052" s="2" t="s">
        <v>12</v>
      </c>
      <c r="F6052" s="2" t="s">
        <v>12</v>
      </c>
      <c r="G6052" s="2" t="s">
        <v>12</v>
      </c>
      <c r="H6052" s="2" t="s">
        <v>12</v>
      </c>
      <c r="I6052" s="2" t="s">
        <v>12</v>
      </c>
      <c r="J6052" s="2" t="s">
        <v>12</v>
      </c>
      <c r="K6052" s="2" t="s">
        <v>12</v>
      </c>
    </row>
    <row r="6053" spans="1:11" ht="12.5" x14ac:dyDescent="0.25">
      <c r="A6053" s="3" t="e">
        <f ca="1"/>
        <v>#NAME?</v>
      </c>
      <c r="B6053" s="2" t="s">
        <v>12</v>
      </c>
      <c r="C6053" s="2" t="s">
        <v>12</v>
      </c>
      <c r="D6053" s="2" t="s">
        <v>12</v>
      </c>
      <c r="E6053" s="2" t="s">
        <v>12</v>
      </c>
      <c r="F6053" s="2" t="s">
        <v>12</v>
      </c>
      <c r="G6053" s="2" t="s">
        <v>12</v>
      </c>
      <c r="H6053" s="2" t="s">
        <v>12</v>
      </c>
      <c r="I6053" s="2" t="s">
        <v>12</v>
      </c>
      <c r="J6053" s="2" t="s">
        <v>12</v>
      </c>
      <c r="K6053" s="2" t="s">
        <v>12</v>
      </c>
    </row>
    <row r="6054" spans="1:11" ht="12.5" x14ac:dyDescent="0.25">
      <c r="A6054" s="3" t="e">
        <f ca="1"/>
        <v>#NAME?</v>
      </c>
      <c r="B6054" s="2" t="s">
        <v>12</v>
      </c>
      <c r="C6054" s="2" t="s">
        <v>12</v>
      </c>
      <c r="D6054" s="2" t="s">
        <v>12</v>
      </c>
      <c r="E6054" s="2" t="s">
        <v>12</v>
      </c>
      <c r="F6054" s="2" t="s">
        <v>12</v>
      </c>
      <c r="G6054" s="2" t="s">
        <v>12</v>
      </c>
      <c r="H6054" s="2" t="s">
        <v>12</v>
      </c>
      <c r="I6054" s="2" t="s">
        <v>12</v>
      </c>
      <c r="J6054" s="2" t="s">
        <v>12</v>
      </c>
      <c r="K6054" s="2" t="s">
        <v>12</v>
      </c>
    </row>
    <row r="6055" spans="1:11" ht="12.5" x14ac:dyDescent="0.25">
      <c r="A6055" s="3" t="e">
        <f ca="1"/>
        <v>#NAME?</v>
      </c>
      <c r="B6055" s="2" t="s">
        <v>12</v>
      </c>
      <c r="C6055" s="2" t="s">
        <v>12</v>
      </c>
      <c r="D6055" s="2" t="s">
        <v>12</v>
      </c>
      <c r="E6055" s="2" t="s">
        <v>12</v>
      </c>
      <c r="F6055" s="2" t="s">
        <v>12</v>
      </c>
      <c r="G6055" s="2" t="s">
        <v>12</v>
      </c>
      <c r="H6055" s="2" t="s">
        <v>12</v>
      </c>
      <c r="I6055" s="2" t="s">
        <v>12</v>
      </c>
      <c r="J6055" s="2" t="s">
        <v>12</v>
      </c>
      <c r="K6055" s="2" t="s">
        <v>12</v>
      </c>
    </row>
    <row r="6056" spans="1:11" ht="12.5" x14ac:dyDescent="0.25">
      <c r="A6056" s="3" t="e">
        <f ca="1"/>
        <v>#NAME?</v>
      </c>
      <c r="B6056" s="2" t="s">
        <v>12</v>
      </c>
      <c r="C6056" s="2" t="s">
        <v>12</v>
      </c>
      <c r="D6056" s="2" t="s">
        <v>12</v>
      </c>
      <c r="E6056" s="2" t="s">
        <v>12</v>
      </c>
      <c r="F6056" s="2" t="s">
        <v>12</v>
      </c>
      <c r="G6056" s="2" t="s">
        <v>12</v>
      </c>
      <c r="H6056" s="2" t="s">
        <v>12</v>
      </c>
      <c r="I6056" s="2" t="s">
        <v>12</v>
      </c>
      <c r="J6056" s="2" t="s">
        <v>12</v>
      </c>
      <c r="K6056" s="2" t="s">
        <v>12</v>
      </c>
    </row>
    <row r="6057" spans="1:11" ht="12.5" x14ac:dyDescent="0.25">
      <c r="A6057" s="3" t="e">
        <f ca="1"/>
        <v>#NAME?</v>
      </c>
      <c r="B6057" s="2" t="s">
        <v>12</v>
      </c>
      <c r="C6057" s="2" t="s">
        <v>12</v>
      </c>
      <c r="D6057" s="2" t="s">
        <v>12</v>
      </c>
      <c r="E6057" s="2" t="s">
        <v>12</v>
      </c>
      <c r="F6057" s="2" t="s">
        <v>12</v>
      </c>
      <c r="G6057" s="2" t="s">
        <v>12</v>
      </c>
      <c r="H6057" s="2" t="s">
        <v>12</v>
      </c>
      <c r="I6057" s="2" t="s">
        <v>12</v>
      </c>
      <c r="J6057" s="2" t="s">
        <v>12</v>
      </c>
      <c r="K6057" s="2" t="s">
        <v>12</v>
      </c>
    </row>
    <row r="6058" spans="1:11" ht="12.5" x14ac:dyDescent="0.25">
      <c r="A6058" s="3" t="e">
        <f ca="1"/>
        <v>#NAME?</v>
      </c>
      <c r="B6058" s="2" t="s">
        <v>12</v>
      </c>
      <c r="C6058" s="2" t="s">
        <v>12</v>
      </c>
      <c r="D6058" s="2" t="s">
        <v>12</v>
      </c>
      <c r="E6058" s="2" t="s">
        <v>12</v>
      </c>
      <c r="F6058" s="2" t="s">
        <v>12</v>
      </c>
      <c r="G6058" s="2" t="s">
        <v>12</v>
      </c>
      <c r="H6058" s="2" t="s">
        <v>12</v>
      </c>
      <c r="I6058" s="2" t="s">
        <v>12</v>
      </c>
      <c r="J6058" s="2" t="s">
        <v>12</v>
      </c>
      <c r="K6058" s="2" t="s">
        <v>12</v>
      </c>
    </row>
    <row r="6059" spans="1:11" ht="12.5" x14ac:dyDescent="0.25">
      <c r="A6059" s="3" t="e">
        <f ca="1"/>
        <v>#NAME?</v>
      </c>
      <c r="B6059" s="2" t="s">
        <v>12</v>
      </c>
      <c r="C6059" s="2" t="s">
        <v>12</v>
      </c>
      <c r="D6059" s="2" t="s">
        <v>12</v>
      </c>
      <c r="E6059" s="2" t="s">
        <v>12</v>
      </c>
      <c r="F6059" s="2" t="s">
        <v>12</v>
      </c>
      <c r="G6059" s="2" t="s">
        <v>12</v>
      </c>
      <c r="H6059" s="2" t="s">
        <v>12</v>
      </c>
      <c r="I6059" s="2" t="s">
        <v>12</v>
      </c>
      <c r="J6059" s="2" t="s">
        <v>12</v>
      </c>
      <c r="K6059" s="2" t="s">
        <v>12</v>
      </c>
    </row>
    <row r="6060" spans="1:11" ht="12.5" x14ac:dyDescent="0.25">
      <c r="A6060" s="3" t="e">
        <f ca="1"/>
        <v>#NAME?</v>
      </c>
      <c r="B6060" s="2" t="s">
        <v>12</v>
      </c>
      <c r="C6060" s="2" t="s">
        <v>12</v>
      </c>
      <c r="D6060" s="2" t="s">
        <v>12</v>
      </c>
      <c r="E6060" s="2" t="s">
        <v>12</v>
      </c>
      <c r="F6060" s="2" t="s">
        <v>12</v>
      </c>
      <c r="G6060" s="2" t="s">
        <v>12</v>
      </c>
      <c r="H6060" s="2" t="s">
        <v>12</v>
      </c>
      <c r="I6060" s="2" t="s">
        <v>12</v>
      </c>
      <c r="J6060" s="2" t="s">
        <v>12</v>
      </c>
      <c r="K6060" s="2" t="s">
        <v>12</v>
      </c>
    </row>
    <row r="6061" spans="1:11" ht="12.5" x14ac:dyDescent="0.25">
      <c r="A6061" s="3" t="e">
        <f ca="1"/>
        <v>#NAME?</v>
      </c>
      <c r="B6061" s="2" t="s">
        <v>12</v>
      </c>
      <c r="C6061" s="2" t="s">
        <v>12</v>
      </c>
      <c r="D6061" s="2" t="s">
        <v>12</v>
      </c>
      <c r="E6061" s="2" t="s">
        <v>12</v>
      </c>
      <c r="F6061" s="2" t="s">
        <v>12</v>
      </c>
      <c r="G6061" s="2" t="s">
        <v>12</v>
      </c>
      <c r="H6061" s="2" t="s">
        <v>12</v>
      </c>
      <c r="I6061" s="2" t="s">
        <v>12</v>
      </c>
      <c r="J6061" s="2" t="s">
        <v>12</v>
      </c>
      <c r="K6061" s="2" t="s">
        <v>12</v>
      </c>
    </row>
    <row r="6062" spans="1:11" ht="12.5" x14ac:dyDescent="0.25">
      <c r="A6062" s="3" t="e">
        <f ca="1"/>
        <v>#NAME?</v>
      </c>
      <c r="B6062" s="2" t="s">
        <v>12</v>
      </c>
      <c r="C6062" s="2" t="s">
        <v>12</v>
      </c>
      <c r="D6062" s="2" t="s">
        <v>12</v>
      </c>
      <c r="E6062" s="2" t="s">
        <v>12</v>
      </c>
      <c r="F6062" s="2" t="s">
        <v>12</v>
      </c>
      <c r="G6062" s="2" t="s">
        <v>12</v>
      </c>
      <c r="H6062" s="2" t="s">
        <v>12</v>
      </c>
      <c r="I6062" s="2" t="s">
        <v>12</v>
      </c>
      <c r="J6062" s="2" t="s">
        <v>12</v>
      </c>
      <c r="K6062" s="2" t="s">
        <v>12</v>
      </c>
    </row>
    <row r="6063" spans="1:11" ht="12.5" x14ac:dyDescent="0.25">
      <c r="A6063" s="3" t="e">
        <f ca="1"/>
        <v>#NAME?</v>
      </c>
      <c r="B6063" s="2" t="s">
        <v>12</v>
      </c>
      <c r="C6063" s="2" t="s">
        <v>12</v>
      </c>
      <c r="D6063" s="2" t="s">
        <v>12</v>
      </c>
      <c r="E6063" s="2" t="s">
        <v>12</v>
      </c>
      <c r="F6063" s="2" t="s">
        <v>12</v>
      </c>
      <c r="G6063" s="2" t="s">
        <v>12</v>
      </c>
      <c r="H6063" s="2" t="s">
        <v>12</v>
      </c>
      <c r="I6063" s="2" t="s">
        <v>12</v>
      </c>
      <c r="J6063" s="2" t="s">
        <v>12</v>
      </c>
      <c r="K6063" s="2" t="s">
        <v>12</v>
      </c>
    </row>
    <row r="6064" spans="1:11" ht="12.5" x14ac:dyDescent="0.25">
      <c r="A6064" s="3" t="e">
        <f ca="1"/>
        <v>#NAME?</v>
      </c>
      <c r="B6064" s="2" t="s">
        <v>12</v>
      </c>
      <c r="C6064" s="2" t="s">
        <v>12</v>
      </c>
      <c r="D6064" s="2" t="s">
        <v>12</v>
      </c>
      <c r="E6064" s="2" t="s">
        <v>12</v>
      </c>
      <c r="F6064" s="2" t="s">
        <v>12</v>
      </c>
      <c r="G6064" s="2" t="s">
        <v>12</v>
      </c>
      <c r="H6064" s="2" t="s">
        <v>12</v>
      </c>
      <c r="I6064" s="2" t="s">
        <v>12</v>
      </c>
      <c r="J6064" s="2" t="s">
        <v>12</v>
      </c>
      <c r="K6064" s="2" t="s">
        <v>12</v>
      </c>
    </row>
    <row r="6065" spans="1:11" ht="12.5" x14ac:dyDescent="0.25">
      <c r="A6065" s="3" t="e">
        <f ca="1"/>
        <v>#NAME?</v>
      </c>
      <c r="B6065" s="2" t="s">
        <v>12</v>
      </c>
      <c r="C6065" s="2" t="s">
        <v>12</v>
      </c>
      <c r="D6065" s="2" t="s">
        <v>12</v>
      </c>
      <c r="E6065" s="2" t="s">
        <v>12</v>
      </c>
      <c r="F6065" s="2" t="s">
        <v>12</v>
      </c>
      <c r="G6065" s="2" t="s">
        <v>12</v>
      </c>
      <c r="H6065" s="2" t="s">
        <v>12</v>
      </c>
      <c r="I6065" s="2" t="s">
        <v>12</v>
      </c>
      <c r="J6065" s="2" t="s">
        <v>12</v>
      </c>
      <c r="K6065" s="2" t="s">
        <v>12</v>
      </c>
    </row>
    <row r="6066" spans="1:11" ht="12.5" x14ac:dyDescent="0.25">
      <c r="A6066" s="3" t="e">
        <f ca="1"/>
        <v>#NAME?</v>
      </c>
      <c r="B6066" s="2" t="s">
        <v>12</v>
      </c>
      <c r="C6066" s="2" t="s">
        <v>12</v>
      </c>
      <c r="D6066" s="2" t="s">
        <v>12</v>
      </c>
      <c r="E6066" s="2" t="s">
        <v>12</v>
      </c>
      <c r="F6066" s="2" t="s">
        <v>12</v>
      </c>
      <c r="G6066" s="2" t="s">
        <v>12</v>
      </c>
      <c r="H6066" s="2" t="s">
        <v>12</v>
      </c>
      <c r="I6066" s="2" t="s">
        <v>12</v>
      </c>
      <c r="J6066" s="2" t="s">
        <v>12</v>
      </c>
      <c r="K6066" s="2" t="s">
        <v>12</v>
      </c>
    </row>
    <row r="6067" spans="1:11" ht="12.5" x14ac:dyDescent="0.25">
      <c r="A6067" s="3" t="e">
        <f ca="1"/>
        <v>#NAME?</v>
      </c>
      <c r="B6067" s="2" t="s">
        <v>12</v>
      </c>
      <c r="C6067" s="2" t="s">
        <v>12</v>
      </c>
      <c r="D6067" s="2" t="s">
        <v>12</v>
      </c>
      <c r="E6067" s="2" t="s">
        <v>12</v>
      </c>
      <c r="F6067" s="2" t="s">
        <v>12</v>
      </c>
      <c r="G6067" s="2" t="s">
        <v>12</v>
      </c>
      <c r="H6067" s="2" t="s">
        <v>12</v>
      </c>
      <c r="I6067" s="2" t="s">
        <v>12</v>
      </c>
      <c r="J6067" s="2" t="s">
        <v>12</v>
      </c>
      <c r="K6067" s="2" t="s">
        <v>12</v>
      </c>
    </row>
    <row r="6068" spans="1:11" ht="12.5" x14ac:dyDescent="0.25">
      <c r="A6068" s="3" t="e">
        <f ca="1"/>
        <v>#NAME?</v>
      </c>
      <c r="B6068" s="2" t="s">
        <v>12</v>
      </c>
      <c r="C6068" s="2" t="s">
        <v>12</v>
      </c>
      <c r="D6068" s="2" t="s">
        <v>12</v>
      </c>
      <c r="E6068" s="2" t="s">
        <v>12</v>
      </c>
      <c r="F6068" s="2" t="s">
        <v>12</v>
      </c>
      <c r="G6068" s="2" t="s">
        <v>12</v>
      </c>
      <c r="H6068" s="2" t="s">
        <v>12</v>
      </c>
      <c r="I6068" s="2" t="s">
        <v>12</v>
      </c>
      <c r="J6068" s="2" t="s">
        <v>12</v>
      </c>
      <c r="K6068" s="2" t="s">
        <v>12</v>
      </c>
    </row>
    <row r="6069" spans="1:11" ht="12.5" x14ac:dyDescent="0.25">
      <c r="A6069" s="3" t="e">
        <f ca="1"/>
        <v>#NAME?</v>
      </c>
      <c r="B6069" s="2" t="s">
        <v>12</v>
      </c>
      <c r="C6069" s="2" t="s">
        <v>12</v>
      </c>
      <c r="D6069" s="2" t="s">
        <v>12</v>
      </c>
      <c r="E6069" s="2" t="s">
        <v>12</v>
      </c>
      <c r="F6069" s="2" t="s">
        <v>12</v>
      </c>
      <c r="G6069" s="2" t="s">
        <v>12</v>
      </c>
      <c r="H6069" s="2" t="s">
        <v>12</v>
      </c>
      <c r="I6069" s="2" t="s">
        <v>12</v>
      </c>
      <c r="J6069" s="2" t="s">
        <v>12</v>
      </c>
      <c r="K6069" s="2" t="s">
        <v>12</v>
      </c>
    </row>
    <row r="6070" spans="1:11" ht="12.5" x14ac:dyDescent="0.25">
      <c r="A6070" s="3" t="e">
        <f ca="1"/>
        <v>#NAME?</v>
      </c>
      <c r="B6070" s="2" t="s">
        <v>12</v>
      </c>
      <c r="C6070" s="2" t="s">
        <v>12</v>
      </c>
      <c r="D6070" s="2" t="s">
        <v>12</v>
      </c>
      <c r="E6070" s="2" t="s">
        <v>12</v>
      </c>
      <c r="F6070" s="2" t="s">
        <v>12</v>
      </c>
      <c r="G6070" s="2" t="s">
        <v>12</v>
      </c>
      <c r="H6070" s="2" t="s">
        <v>12</v>
      </c>
      <c r="I6070" s="2" t="s">
        <v>12</v>
      </c>
      <c r="J6070" s="2" t="s">
        <v>12</v>
      </c>
      <c r="K6070" s="2" t="s">
        <v>12</v>
      </c>
    </row>
    <row r="6071" spans="1:11" ht="12.5" x14ac:dyDescent="0.25">
      <c r="A6071" s="3" t="e">
        <f ca="1"/>
        <v>#NAME?</v>
      </c>
      <c r="B6071" s="2" t="s">
        <v>12</v>
      </c>
      <c r="C6071" s="2" t="s">
        <v>12</v>
      </c>
      <c r="D6071" s="2" t="s">
        <v>12</v>
      </c>
      <c r="E6071" s="2" t="s">
        <v>12</v>
      </c>
      <c r="F6071" s="2" t="s">
        <v>12</v>
      </c>
      <c r="G6071" s="2" t="s">
        <v>12</v>
      </c>
      <c r="H6071" s="2" t="s">
        <v>12</v>
      </c>
      <c r="I6071" s="2" t="s">
        <v>12</v>
      </c>
      <c r="J6071" s="2" t="s">
        <v>12</v>
      </c>
      <c r="K6071" s="2" t="s">
        <v>12</v>
      </c>
    </row>
    <row r="6072" spans="1:11" ht="12.5" x14ac:dyDescent="0.25">
      <c r="A6072" s="3" t="e">
        <f ca="1"/>
        <v>#NAME?</v>
      </c>
      <c r="B6072" s="2" t="s">
        <v>12</v>
      </c>
      <c r="C6072" s="2" t="s">
        <v>12</v>
      </c>
      <c r="D6072" s="2" t="s">
        <v>12</v>
      </c>
      <c r="E6072" s="2" t="s">
        <v>12</v>
      </c>
      <c r="F6072" s="2" t="s">
        <v>12</v>
      </c>
      <c r="G6072" s="2" t="s">
        <v>12</v>
      </c>
      <c r="H6072" s="2" t="s">
        <v>12</v>
      </c>
      <c r="I6072" s="2" t="s">
        <v>12</v>
      </c>
      <c r="J6072" s="2" t="s">
        <v>12</v>
      </c>
      <c r="K6072" s="2" t="s">
        <v>12</v>
      </c>
    </row>
    <row r="6073" spans="1:11" ht="12.5" x14ac:dyDescent="0.25">
      <c r="A6073" s="3" t="e">
        <f ca="1"/>
        <v>#NAME?</v>
      </c>
      <c r="B6073" s="2" t="s">
        <v>12</v>
      </c>
      <c r="C6073" s="2" t="s">
        <v>12</v>
      </c>
      <c r="D6073" s="2" t="s">
        <v>12</v>
      </c>
      <c r="E6073" s="2" t="s">
        <v>12</v>
      </c>
      <c r="F6073" s="2" t="s">
        <v>12</v>
      </c>
      <c r="G6073" s="2" t="s">
        <v>12</v>
      </c>
      <c r="H6073" s="2" t="s">
        <v>12</v>
      </c>
      <c r="I6073" s="2" t="s">
        <v>12</v>
      </c>
      <c r="J6073" s="2" t="s">
        <v>12</v>
      </c>
      <c r="K6073" s="2" t="s">
        <v>12</v>
      </c>
    </row>
    <row r="6074" spans="1:11" ht="12.5" x14ac:dyDescent="0.25">
      <c r="A6074" s="3" t="e">
        <f ca="1"/>
        <v>#NAME?</v>
      </c>
      <c r="B6074" s="2" t="s">
        <v>12</v>
      </c>
      <c r="C6074" s="2" t="s">
        <v>12</v>
      </c>
      <c r="D6074" s="2" t="s">
        <v>12</v>
      </c>
      <c r="E6074" s="2" t="s">
        <v>12</v>
      </c>
      <c r="F6074" s="2" t="s">
        <v>12</v>
      </c>
      <c r="G6074" s="2" t="s">
        <v>12</v>
      </c>
      <c r="H6074" s="2" t="s">
        <v>12</v>
      </c>
      <c r="I6074" s="2" t="s">
        <v>12</v>
      </c>
      <c r="J6074" s="2" t="s">
        <v>12</v>
      </c>
      <c r="K6074" s="2" t="s">
        <v>12</v>
      </c>
    </row>
    <row r="6075" spans="1:11" ht="12.5" x14ac:dyDescent="0.25">
      <c r="A6075" s="3" t="e">
        <f ca="1"/>
        <v>#NAME?</v>
      </c>
      <c r="B6075" s="2" t="s">
        <v>12</v>
      </c>
      <c r="C6075" s="2" t="s">
        <v>12</v>
      </c>
      <c r="D6075" s="2" t="s">
        <v>12</v>
      </c>
      <c r="E6075" s="2" t="s">
        <v>12</v>
      </c>
      <c r="F6075" s="2" t="s">
        <v>12</v>
      </c>
      <c r="G6075" s="2" t="s">
        <v>12</v>
      </c>
      <c r="H6075" s="2" t="s">
        <v>12</v>
      </c>
      <c r="I6075" s="2" t="s">
        <v>12</v>
      </c>
      <c r="J6075" s="2" t="s">
        <v>12</v>
      </c>
      <c r="K6075" s="2" t="s">
        <v>12</v>
      </c>
    </row>
    <row r="6076" spans="1:11" ht="12.5" x14ac:dyDescent="0.25">
      <c r="A6076" s="3" t="e">
        <f ca="1"/>
        <v>#NAME?</v>
      </c>
      <c r="B6076" s="2" t="s">
        <v>12</v>
      </c>
      <c r="C6076" s="2" t="s">
        <v>12</v>
      </c>
      <c r="D6076" s="2" t="s">
        <v>12</v>
      </c>
      <c r="E6076" s="2" t="s">
        <v>12</v>
      </c>
      <c r="F6076" s="2" t="s">
        <v>12</v>
      </c>
      <c r="G6076" s="2" t="s">
        <v>12</v>
      </c>
      <c r="H6076" s="2" t="s">
        <v>12</v>
      </c>
      <c r="I6076" s="2" t="s">
        <v>12</v>
      </c>
      <c r="J6076" s="2" t="s">
        <v>12</v>
      </c>
      <c r="K6076" s="2" t="s">
        <v>12</v>
      </c>
    </row>
    <row r="6077" spans="1:11" ht="12.5" x14ac:dyDescent="0.25">
      <c r="A6077" s="3" t="e">
        <f ca="1"/>
        <v>#NAME?</v>
      </c>
      <c r="B6077" s="2" t="s">
        <v>12</v>
      </c>
      <c r="C6077" s="2" t="s">
        <v>12</v>
      </c>
      <c r="D6077" s="2" t="s">
        <v>12</v>
      </c>
      <c r="E6077" s="2" t="s">
        <v>12</v>
      </c>
      <c r="F6077" s="2" t="s">
        <v>12</v>
      </c>
      <c r="G6077" s="2" t="s">
        <v>12</v>
      </c>
      <c r="H6077" s="2" t="s">
        <v>12</v>
      </c>
      <c r="I6077" s="2" t="s">
        <v>12</v>
      </c>
      <c r="J6077" s="2" t="s">
        <v>12</v>
      </c>
      <c r="K6077" s="2" t="s">
        <v>12</v>
      </c>
    </row>
    <row r="6078" spans="1:11" ht="12.5" x14ac:dyDescent="0.25">
      <c r="A6078" s="3" t="e">
        <f ca="1"/>
        <v>#NAME?</v>
      </c>
      <c r="B6078" s="2" t="s">
        <v>12</v>
      </c>
      <c r="C6078" s="2" t="s">
        <v>12</v>
      </c>
      <c r="D6078" s="2" t="s">
        <v>12</v>
      </c>
      <c r="E6078" s="2" t="s">
        <v>12</v>
      </c>
      <c r="F6078" s="2" t="s">
        <v>12</v>
      </c>
      <c r="G6078" s="2" t="s">
        <v>12</v>
      </c>
      <c r="H6078" s="2" t="s">
        <v>12</v>
      </c>
      <c r="I6078" s="2" t="s">
        <v>12</v>
      </c>
      <c r="J6078" s="2" t="s">
        <v>12</v>
      </c>
      <c r="K6078" s="2" t="s">
        <v>12</v>
      </c>
    </row>
    <row r="6079" spans="1:11" ht="12.5" x14ac:dyDescent="0.25">
      <c r="A6079" s="3" t="e">
        <f ca="1"/>
        <v>#NAME?</v>
      </c>
      <c r="B6079" s="2" t="s">
        <v>12</v>
      </c>
      <c r="C6079" s="2" t="s">
        <v>12</v>
      </c>
      <c r="D6079" s="2" t="s">
        <v>12</v>
      </c>
      <c r="E6079" s="2" t="s">
        <v>12</v>
      </c>
      <c r="F6079" s="2" t="s">
        <v>12</v>
      </c>
      <c r="G6079" s="2" t="s">
        <v>12</v>
      </c>
      <c r="H6079" s="2" t="s">
        <v>12</v>
      </c>
      <c r="I6079" s="2" t="s">
        <v>12</v>
      </c>
      <c r="J6079" s="2" t="s">
        <v>12</v>
      </c>
      <c r="K6079" s="2" t="s">
        <v>12</v>
      </c>
    </row>
    <row r="6080" spans="1:11" ht="12.5" x14ac:dyDescent="0.25">
      <c r="A6080" s="3" t="e">
        <f ca="1"/>
        <v>#NAME?</v>
      </c>
      <c r="B6080" s="2" t="s">
        <v>12</v>
      </c>
      <c r="C6080" s="2" t="s">
        <v>12</v>
      </c>
      <c r="D6080" s="2" t="s">
        <v>12</v>
      </c>
      <c r="E6080" s="2" t="s">
        <v>12</v>
      </c>
      <c r="F6080" s="2" t="s">
        <v>12</v>
      </c>
      <c r="G6080" s="2" t="s">
        <v>12</v>
      </c>
      <c r="H6080" s="2" t="s">
        <v>12</v>
      </c>
      <c r="I6080" s="2" t="s">
        <v>12</v>
      </c>
      <c r="J6080" s="2" t="s">
        <v>12</v>
      </c>
      <c r="K6080" s="2" t="s">
        <v>12</v>
      </c>
    </row>
    <row r="6081" spans="1:11" ht="12.5" x14ac:dyDescent="0.25">
      <c r="A6081" s="3" t="e">
        <f ca="1"/>
        <v>#NAME?</v>
      </c>
      <c r="B6081" s="2" t="s">
        <v>12</v>
      </c>
      <c r="C6081" s="2" t="s">
        <v>12</v>
      </c>
      <c r="D6081" s="2" t="s">
        <v>12</v>
      </c>
      <c r="E6081" s="2" t="s">
        <v>12</v>
      </c>
      <c r="F6081" s="2" t="s">
        <v>12</v>
      </c>
      <c r="G6081" s="2" t="s">
        <v>12</v>
      </c>
      <c r="H6081" s="2" t="s">
        <v>12</v>
      </c>
      <c r="I6081" s="2" t="s">
        <v>12</v>
      </c>
      <c r="J6081" s="2" t="s">
        <v>12</v>
      </c>
      <c r="K6081" s="2" t="s">
        <v>12</v>
      </c>
    </row>
    <row r="6082" spans="1:11" ht="12.5" x14ac:dyDescent="0.25">
      <c r="A6082" s="3" t="e">
        <f ca="1"/>
        <v>#NAME?</v>
      </c>
      <c r="B6082" s="2" t="s">
        <v>12</v>
      </c>
      <c r="C6082" s="2" t="s">
        <v>12</v>
      </c>
      <c r="D6082" s="2" t="s">
        <v>12</v>
      </c>
      <c r="E6082" s="2" t="s">
        <v>12</v>
      </c>
      <c r="F6082" s="2" t="s">
        <v>12</v>
      </c>
      <c r="G6082" s="2" t="s">
        <v>12</v>
      </c>
      <c r="H6082" s="2" t="s">
        <v>12</v>
      </c>
      <c r="I6082" s="2" t="s">
        <v>12</v>
      </c>
      <c r="J6082" s="2" t="s">
        <v>12</v>
      </c>
      <c r="K6082" s="2" t="s">
        <v>12</v>
      </c>
    </row>
    <row r="6083" spans="1:11" ht="12.5" x14ac:dyDescent="0.25">
      <c r="A6083" s="3" t="e">
        <f ca="1"/>
        <v>#NAME?</v>
      </c>
      <c r="B6083" s="2" t="s">
        <v>12</v>
      </c>
      <c r="C6083" s="2" t="s">
        <v>12</v>
      </c>
      <c r="D6083" s="2" t="s">
        <v>12</v>
      </c>
      <c r="E6083" s="2" t="s">
        <v>12</v>
      </c>
      <c r="F6083" s="2" t="s">
        <v>12</v>
      </c>
      <c r="G6083" s="2" t="s">
        <v>12</v>
      </c>
      <c r="H6083" s="2" t="s">
        <v>12</v>
      </c>
      <c r="I6083" s="2" t="s">
        <v>12</v>
      </c>
      <c r="J6083" s="2" t="s">
        <v>12</v>
      </c>
      <c r="K6083" s="2" t="s">
        <v>12</v>
      </c>
    </row>
    <row r="6084" spans="1:11" ht="12.5" x14ac:dyDescent="0.25">
      <c r="A6084" s="3" t="e">
        <f ca="1"/>
        <v>#NAME?</v>
      </c>
      <c r="B6084" s="2" t="s">
        <v>12</v>
      </c>
      <c r="C6084" s="2" t="s">
        <v>12</v>
      </c>
      <c r="D6084" s="2" t="s">
        <v>12</v>
      </c>
      <c r="E6084" s="2" t="s">
        <v>12</v>
      </c>
      <c r="F6084" s="2" t="s">
        <v>12</v>
      </c>
      <c r="G6084" s="2" t="s">
        <v>12</v>
      </c>
      <c r="H6084" s="2" t="s">
        <v>12</v>
      </c>
      <c r="I6084" s="2" t="s">
        <v>12</v>
      </c>
      <c r="J6084" s="2" t="s">
        <v>12</v>
      </c>
      <c r="K6084" s="2" t="s">
        <v>12</v>
      </c>
    </row>
    <row r="6085" spans="1:11" ht="12.5" x14ac:dyDescent="0.25">
      <c r="A6085" s="3" t="e">
        <f ca="1"/>
        <v>#NAME?</v>
      </c>
      <c r="B6085" s="2" t="s">
        <v>12</v>
      </c>
      <c r="C6085" s="2" t="s">
        <v>12</v>
      </c>
      <c r="D6085" s="2" t="s">
        <v>12</v>
      </c>
      <c r="E6085" s="2" t="s">
        <v>12</v>
      </c>
      <c r="F6085" s="2" t="s">
        <v>12</v>
      </c>
      <c r="G6085" s="2" t="s">
        <v>12</v>
      </c>
      <c r="H6085" s="2" t="s">
        <v>12</v>
      </c>
      <c r="I6085" s="2" t="s">
        <v>12</v>
      </c>
      <c r="J6085" s="2" t="s">
        <v>12</v>
      </c>
      <c r="K6085" s="2" t="s">
        <v>12</v>
      </c>
    </row>
    <row r="6086" spans="1:11" ht="12.5" x14ac:dyDescent="0.25">
      <c r="A6086" s="3" t="e">
        <f ca="1"/>
        <v>#NAME?</v>
      </c>
      <c r="B6086" s="2" t="s">
        <v>12</v>
      </c>
      <c r="C6086" s="2" t="s">
        <v>12</v>
      </c>
      <c r="D6086" s="2" t="s">
        <v>12</v>
      </c>
      <c r="E6086" s="2" t="s">
        <v>12</v>
      </c>
      <c r="F6086" s="2" t="s">
        <v>12</v>
      </c>
      <c r="G6086" s="2" t="s">
        <v>12</v>
      </c>
      <c r="H6086" s="2" t="s">
        <v>12</v>
      </c>
      <c r="I6086" s="2" t="s">
        <v>12</v>
      </c>
      <c r="J6086" s="2" t="s">
        <v>12</v>
      </c>
      <c r="K6086" s="2" t="s">
        <v>12</v>
      </c>
    </row>
    <row r="6087" spans="1:11" ht="12.5" x14ac:dyDescent="0.25">
      <c r="A6087" s="3" t="e">
        <f ca="1"/>
        <v>#NAME?</v>
      </c>
      <c r="B6087" s="2" t="s">
        <v>12</v>
      </c>
      <c r="C6087" s="2" t="s">
        <v>12</v>
      </c>
      <c r="D6087" s="2" t="s">
        <v>12</v>
      </c>
      <c r="E6087" s="2" t="s">
        <v>12</v>
      </c>
      <c r="F6087" s="2" t="s">
        <v>12</v>
      </c>
      <c r="G6087" s="2" t="s">
        <v>12</v>
      </c>
      <c r="H6087" s="2" t="s">
        <v>12</v>
      </c>
      <c r="I6087" s="2" t="s">
        <v>12</v>
      </c>
      <c r="J6087" s="2" t="s">
        <v>12</v>
      </c>
      <c r="K6087" s="2" t="s">
        <v>12</v>
      </c>
    </row>
    <row r="6088" spans="1:11" ht="12.5" x14ac:dyDescent="0.25">
      <c r="A6088" s="3" t="e">
        <f ca="1"/>
        <v>#NAME?</v>
      </c>
      <c r="B6088" s="2" t="s">
        <v>12</v>
      </c>
      <c r="C6088" s="2" t="s">
        <v>12</v>
      </c>
      <c r="D6088" s="2" t="s">
        <v>12</v>
      </c>
      <c r="E6088" s="2" t="s">
        <v>12</v>
      </c>
      <c r="F6088" s="2" t="s">
        <v>12</v>
      </c>
      <c r="G6088" s="2" t="s">
        <v>12</v>
      </c>
      <c r="H6088" s="2" t="s">
        <v>12</v>
      </c>
      <c r="I6088" s="2" t="s">
        <v>12</v>
      </c>
      <c r="J6088" s="2" t="s">
        <v>12</v>
      </c>
      <c r="K6088" s="2" t="s">
        <v>12</v>
      </c>
    </row>
    <row r="6089" spans="1:11" ht="12.5" x14ac:dyDescent="0.25">
      <c r="A6089" s="3" t="e">
        <f ca="1"/>
        <v>#NAME?</v>
      </c>
      <c r="B6089" s="2" t="s">
        <v>12</v>
      </c>
      <c r="C6089" s="2" t="s">
        <v>12</v>
      </c>
      <c r="D6089" s="2" t="s">
        <v>12</v>
      </c>
      <c r="E6089" s="2" t="s">
        <v>12</v>
      </c>
      <c r="F6089" s="2" t="s">
        <v>12</v>
      </c>
      <c r="G6089" s="2" t="s">
        <v>12</v>
      </c>
      <c r="H6089" s="2" t="s">
        <v>12</v>
      </c>
      <c r="I6089" s="2" t="s">
        <v>12</v>
      </c>
      <c r="J6089" s="2" t="s">
        <v>12</v>
      </c>
      <c r="K6089" s="2" t="s">
        <v>12</v>
      </c>
    </row>
    <row r="6090" spans="1:11" ht="12.5" x14ac:dyDescent="0.25">
      <c r="A6090" s="3" t="e">
        <f ca="1"/>
        <v>#NAME?</v>
      </c>
      <c r="B6090" s="2" t="s">
        <v>12</v>
      </c>
      <c r="C6090" s="2" t="s">
        <v>12</v>
      </c>
      <c r="D6090" s="2" t="s">
        <v>12</v>
      </c>
      <c r="E6090" s="2" t="s">
        <v>12</v>
      </c>
      <c r="F6090" s="2" t="s">
        <v>12</v>
      </c>
      <c r="G6090" s="2" t="s">
        <v>12</v>
      </c>
      <c r="H6090" s="2" t="s">
        <v>12</v>
      </c>
      <c r="I6090" s="2" t="s">
        <v>12</v>
      </c>
      <c r="J6090" s="2" t="s">
        <v>12</v>
      </c>
      <c r="K6090" s="2" t="s">
        <v>12</v>
      </c>
    </row>
    <row r="6091" spans="1:11" ht="12.5" x14ac:dyDescent="0.25">
      <c r="A6091" s="3" t="e">
        <f ca="1"/>
        <v>#NAME?</v>
      </c>
      <c r="B6091" s="2" t="s">
        <v>12</v>
      </c>
      <c r="C6091" s="2" t="s">
        <v>12</v>
      </c>
      <c r="D6091" s="2" t="s">
        <v>12</v>
      </c>
      <c r="E6091" s="2" t="s">
        <v>12</v>
      </c>
      <c r="F6091" s="2" t="s">
        <v>12</v>
      </c>
      <c r="G6091" s="2" t="s">
        <v>12</v>
      </c>
      <c r="H6091" s="2" t="s">
        <v>12</v>
      </c>
      <c r="I6091" s="2" t="s">
        <v>12</v>
      </c>
      <c r="J6091" s="2" t="s">
        <v>12</v>
      </c>
      <c r="K6091" s="2" t="s">
        <v>12</v>
      </c>
    </row>
    <row r="6092" spans="1:11" ht="12.5" x14ac:dyDescent="0.25">
      <c r="A6092" s="3" t="e">
        <f ca="1"/>
        <v>#NAME?</v>
      </c>
      <c r="B6092" s="2" t="s">
        <v>12</v>
      </c>
      <c r="C6092" s="2" t="s">
        <v>12</v>
      </c>
      <c r="D6092" s="2" t="s">
        <v>12</v>
      </c>
      <c r="E6092" s="2" t="s">
        <v>12</v>
      </c>
      <c r="F6092" s="2" t="s">
        <v>12</v>
      </c>
      <c r="G6092" s="2" t="s">
        <v>12</v>
      </c>
      <c r="H6092" s="2" t="s">
        <v>12</v>
      </c>
      <c r="I6092" s="2" t="s">
        <v>12</v>
      </c>
      <c r="J6092" s="2" t="s">
        <v>12</v>
      </c>
      <c r="K6092" s="2" t="s">
        <v>12</v>
      </c>
    </row>
    <row r="6093" spans="1:11" ht="12.5" x14ac:dyDescent="0.25">
      <c r="A6093" s="3" t="e">
        <f ca="1"/>
        <v>#NAME?</v>
      </c>
      <c r="B6093" s="2" t="s">
        <v>12</v>
      </c>
      <c r="C6093" s="2" t="s">
        <v>12</v>
      </c>
      <c r="D6093" s="2" t="s">
        <v>12</v>
      </c>
      <c r="E6093" s="2" t="s">
        <v>12</v>
      </c>
      <c r="F6093" s="2" t="s">
        <v>12</v>
      </c>
      <c r="G6093" s="2" t="s">
        <v>12</v>
      </c>
      <c r="H6093" s="2" t="s">
        <v>12</v>
      </c>
      <c r="I6093" s="2" t="s">
        <v>12</v>
      </c>
      <c r="J6093" s="2" t="s">
        <v>12</v>
      </c>
      <c r="K6093" s="2" t="s">
        <v>12</v>
      </c>
    </row>
    <row r="6094" spans="1:11" ht="12.5" x14ac:dyDescent="0.25">
      <c r="A6094" s="3" t="e">
        <f ca="1"/>
        <v>#NAME?</v>
      </c>
      <c r="B6094" s="2" t="s">
        <v>12</v>
      </c>
      <c r="C6094" s="2" t="s">
        <v>12</v>
      </c>
      <c r="D6094" s="2" t="s">
        <v>12</v>
      </c>
      <c r="E6094" s="2" t="s">
        <v>12</v>
      </c>
      <c r="F6094" s="2" t="s">
        <v>12</v>
      </c>
      <c r="G6094" s="2" t="s">
        <v>12</v>
      </c>
      <c r="H6094" s="2" t="s">
        <v>12</v>
      </c>
      <c r="I6094" s="2" t="s">
        <v>12</v>
      </c>
      <c r="J6094" s="2" t="s">
        <v>12</v>
      </c>
      <c r="K6094" s="2" t="s">
        <v>12</v>
      </c>
    </row>
    <row r="6095" spans="1:11" ht="12.5" x14ac:dyDescent="0.25">
      <c r="A6095" s="3" t="e">
        <f ca="1"/>
        <v>#NAME?</v>
      </c>
      <c r="B6095" s="2" t="s">
        <v>12</v>
      </c>
      <c r="C6095" s="2" t="s">
        <v>12</v>
      </c>
      <c r="D6095" s="2" t="s">
        <v>12</v>
      </c>
      <c r="E6095" s="2" t="s">
        <v>12</v>
      </c>
      <c r="F6095" s="2" t="s">
        <v>12</v>
      </c>
      <c r="G6095" s="2" t="s">
        <v>12</v>
      </c>
      <c r="H6095" s="2" t="s">
        <v>12</v>
      </c>
      <c r="I6095" s="2" t="s">
        <v>12</v>
      </c>
      <c r="J6095" s="2" t="s">
        <v>12</v>
      </c>
      <c r="K6095" s="2" t="s">
        <v>12</v>
      </c>
    </row>
    <row r="6096" spans="1:11" ht="12.5" x14ac:dyDescent="0.25">
      <c r="A6096" s="3" t="e">
        <f ca="1"/>
        <v>#NAME?</v>
      </c>
      <c r="B6096" s="2" t="s">
        <v>12</v>
      </c>
      <c r="C6096" s="2" t="s">
        <v>12</v>
      </c>
      <c r="D6096" s="2" t="s">
        <v>12</v>
      </c>
      <c r="E6096" s="2" t="s">
        <v>12</v>
      </c>
      <c r="F6096" s="2" t="s">
        <v>12</v>
      </c>
      <c r="G6096" s="2" t="s">
        <v>12</v>
      </c>
      <c r="H6096" s="2" t="s">
        <v>12</v>
      </c>
      <c r="I6096" s="2" t="s">
        <v>12</v>
      </c>
      <c r="J6096" s="2" t="s">
        <v>12</v>
      </c>
      <c r="K6096" s="2" t="s">
        <v>12</v>
      </c>
    </row>
    <row r="6097" spans="1:11" ht="12.5" x14ac:dyDescent="0.25">
      <c r="A6097" s="3" t="e">
        <f ca="1"/>
        <v>#NAME?</v>
      </c>
      <c r="B6097" s="2" t="s">
        <v>12</v>
      </c>
      <c r="C6097" s="2" t="s">
        <v>12</v>
      </c>
      <c r="D6097" s="2" t="s">
        <v>12</v>
      </c>
      <c r="E6097" s="2" t="s">
        <v>12</v>
      </c>
      <c r="F6097" s="2" t="s">
        <v>12</v>
      </c>
      <c r="G6097" s="2" t="s">
        <v>12</v>
      </c>
      <c r="H6097" s="2" t="s">
        <v>12</v>
      </c>
      <c r="I6097" s="2" t="s">
        <v>12</v>
      </c>
      <c r="J6097" s="2" t="s">
        <v>12</v>
      </c>
      <c r="K6097" s="2" t="s">
        <v>12</v>
      </c>
    </row>
    <row r="6098" spans="1:11" ht="12.5" x14ac:dyDescent="0.25">
      <c r="A6098" s="3" t="e">
        <f ca="1"/>
        <v>#NAME?</v>
      </c>
      <c r="B6098" s="2" t="s">
        <v>12</v>
      </c>
      <c r="C6098" s="2" t="s">
        <v>12</v>
      </c>
      <c r="D6098" s="2" t="s">
        <v>12</v>
      </c>
      <c r="E6098" s="2" t="s">
        <v>12</v>
      </c>
      <c r="F6098" s="2" t="s">
        <v>12</v>
      </c>
      <c r="G6098" s="2" t="s">
        <v>12</v>
      </c>
      <c r="H6098" s="2" t="s">
        <v>12</v>
      </c>
      <c r="I6098" s="2" t="s">
        <v>12</v>
      </c>
      <c r="J6098" s="2" t="s">
        <v>12</v>
      </c>
      <c r="K6098" s="2" t="s">
        <v>12</v>
      </c>
    </row>
    <row r="6099" spans="1:11" ht="12.5" x14ac:dyDescent="0.25">
      <c r="A6099" s="3" t="e">
        <f ca="1"/>
        <v>#NAME?</v>
      </c>
      <c r="B6099" s="2" t="s">
        <v>12</v>
      </c>
      <c r="C6099" s="2" t="s">
        <v>12</v>
      </c>
      <c r="D6099" s="2" t="s">
        <v>12</v>
      </c>
      <c r="E6099" s="2" t="s">
        <v>12</v>
      </c>
      <c r="F6099" s="2" t="s">
        <v>12</v>
      </c>
      <c r="G6099" s="2" t="s">
        <v>12</v>
      </c>
      <c r="H6099" s="2" t="s">
        <v>12</v>
      </c>
      <c r="I6099" s="2" t="s">
        <v>12</v>
      </c>
      <c r="J6099" s="2" t="s">
        <v>12</v>
      </c>
      <c r="K6099" s="2" t="s">
        <v>12</v>
      </c>
    </row>
    <row r="6100" spans="1:11" ht="12.5" x14ac:dyDescent="0.25">
      <c r="A6100" s="3" t="e">
        <f ca="1"/>
        <v>#NAME?</v>
      </c>
      <c r="B6100" s="2" t="s">
        <v>12</v>
      </c>
      <c r="C6100" s="2" t="s">
        <v>12</v>
      </c>
      <c r="D6100" s="2" t="s">
        <v>12</v>
      </c>
      <c r="E6100" s="2" t="s">
        <v>12</v>
      </c>
      <c r="F6100" s="2" t="s">
        <v>12</v>
      </c>
      <c r="G6100" s="2" t="s">
        <v>12</v>
      </c>
      <c r="H6100" s="2" t="s">
        <v>12</v>
      </c>
      <c r="I6100" s="2" t="s">
        <v>12</v>
      </c>
      <c r="J6100" s="2" t="s">
        <v>12</v>
      </c>
      <c r="K6100" s="2" t="s">
        <v>12</v>
      </c>
    </row>
    <row r="6101" spans="1:11" ht="12.5" x14ac:dyDescent="0.25">
      <c r="A6101" s="3" t="e">
        <f ca="1"/>
        <v>#NAME?</v>
      </c>
      <c r="B6101" s="2" t="s">
        <v>12</v>
      </c>
      <c r="C6101" s="2" t="s">
        <v>12</v>
      </c>
      <c r="D6101" s="2" t="s">
        <v>12</v>
      </c>
      <c r="E6101" s="2" t="s">
        <v>12</v>
      </c>
      <c r="F6101" s="2" t="s">
        <v>12</v>
      </c>
      <c r="G6101" s="2" t="s">
        <v>12</v>
      </c>
      <c r="H6101" s="2" t="s">
        <v>12</v>
      </c>
      <c r="I6101" s="2" t="s">
        <v>12</v>
      </c>
      <c r="J6101" s="2" t="s">
        <v>12</v>
      </c>
      <c r="K6101" s="2" t="s">
        <v>12</v>
      </c>
    </row>
    <row r="6102" spans="1:11" ht="12.5" x14ac:dyDescent="0.25">
      <c r="A6102" s="3" t="e">
        <f ca="1"/>
        <v>#NAME?</v>
      </c>
      <c r="B6102" s="2" t="s">
        <v>12</v>
      </c>
      <c r="C6102" s="2" t="s">
        <v>12</v>
      </c>
      <c r="D6102" s="2" t="s">
        <v>12</v>
      </c>
      <c r="E6102" s="2" t="s">
        <v>12</v>
      </c>
      <c r="F6102" s="2" t="s">
        <v>12</v>
      </c>
      <c r="G6102" s="2" t="s">
        <v>12</v>
      </c>
      <c r="H6102" s="2" t="s">
        <v>12</v>
      </c>
      <c r="I6102" s="2" t="s">
        <v>12</v>
      </c>
      <c r="J6102" s="2" t="s">
        <v>12</v>
      </c>
      <c r="K6102" s="2" t="s">
        <v>12</v>
      </c>
    </row>
    <row r="6103" spans="1:11" ht="12.5" x14ac:dyDescent="0.25">
      <c r="A6103" s="3" t="e">
        <f ca="1"/>
        <v>#NAME?</v>
      </c>
      <c r="B6103" s="2" t="s">
        <v>12</v>
      </c>
      <c r="C6103" s="2" t="s">
        <v>12</v>
      </c>
      <c r="D6103" s="2" t="s">
        <v>12</v>
      </c>
      <c r="E6103" s="2" t="s">
        <v>12</v>
      </c>
      <c r="F6103" s="2" t="s">
        <v>12</v>
      </c>
      <c r="G6103" s="2" t="s">
        <v>12</v>
      </c>
      <c r="H6103" s="2" t="s">
        <v>12</v>
      </c>
      <c r="I6103" s="2" t="s">
        <v>12</v>
      </c>
      <c r="J6103" s="2" t="s">
        <v>12</v>
      </c>
      <c r="K6103" s="2" t="s">
        <v>12</v>
      </c>
    </row>
    <row r="6104" spans="1:11" ht="12.5" x14ac:dyDescent="0.25">
      <c r="A6104" s="3" t="e">
        <f ca="1"/>
        <v>#NAME?</v>
      </c>
      <c r="B6104" s="2" t="s">
        <v>12</v>
      </c>
      <c r="C6104" s="2" t="s">
        <v>12</v>
      </c>
      <c r="D6104" s="2" t="s">
        <v>12</v>
      </c>
      <c r="E6104" s="2" t="s">
        <v>12</v>
      </c>
      <c r="F6104" s="2" t="s">
        <v>12</v>
      </c>
      <c r="G6104" s="2" t="s">
        <v>12</v>
      </c>
      <c r="H6104" s="2" t="s">
        <v>12</v>
      </c>
      <c r="I6104" s="2" t="s">
        <v>12</v>
      </c>
      <c r="J6104" s="2" t="s">
        <v>12</v>
      </c>
      <c r="K6104" s="2" t="s">
        <v>12</v>
      </c>
    </row>
    <row r="6105" spans="1:11" ht="12.5" x14ac:dyDescent="0.25">
      <c r="A6105" s="3" t="e">
        <f ca="1"/>
        <v>#NAME?</v>
      </c>
      <c r="B6105" s="2" t="s">
        <v>12</v>
      </c>
      <c r="C6105" s="2" t="s">
        <v>12</v>
      </c>
      <c r="D6105" s="2" t="s">
        <v>12</v>
      </c>
      <c r="E6105" s="2" t="s">
        <v>12</v>
      </c>
      <c r="F6105" s="2" t="s">
        <v>12</v>
      </c>
      <c r="G6105" s="2" t="s">
        <v>12</v>
      </c>
      <c r="H6105" s="2" t="s">
        <v>12</v>
      </c>
      <c r="I6105" s="2" t="s">
        <v>12</v>
      </c>
      <c r="J6105" s="2" t="s">
        <v>12</v>
      </c>
      <c r="K6105" s="2" t="s">
        <v>12</v>
      </c>
    </row>
    <row r="6106" spans="1:11" ht="12.5" x14ac:dyDescent="0.25">
      <c r="A6106" s="3" t="e">
        <f ca="1"/>
        <v>#NAME?</v>
      </c>
      <c r="B6106" s="2" t="s">
        <v>12</v>
      </c>
      <c r="C6106" s="2" t="s">
        <v>12</v>
      </c>
      <c r="D6106" s="2" t="s">
        <v>12</v>
      </c>
      <c r="E6106" s="2" t="s">
        <v>12</v>
      </c>
      <c r="F6106" s="2" t="s">
        <v>12</v>
      </c>
      <c r="G6106" s="2" t="s">
        <v>12</v>
      </c>
      <c r="H6106" s="2" t="s">
        <v>12</v>
      </c>
      <c r="I6106" s="2" t="s">
        <v>12</v>
      </c>
      <c r="J6106" s="2" t="s">
        <v>12</v>
      </c>
      <c r="K6106" s="2" t="s">
        <v>12</v>
      </c>
    </row>
    <row r="6107" spans="1:11" ht="12.5" x14ac:dyDescent="0.25">
      <c r="A6107" s="3" t="e">
        <f ca="1"/>
        <v>#NAME?</v>
      </c>
      <c r="B6107" s="2" t="s">
        <v>12</v>
      </c>
      <c r="C6107" s="2" t="s">
        <v>12</v>
      </c>
      <c r="D6107" s="2" t="s">
        <v>12</v>
      </c>
      <c r="E6107" s="2" t="s">
        <v>12</v>
      </c>
      <c r="F6107" s="2" t="s">
        <v>12</v>
      </c>
      <c r="G6107" s="2" t="s">
        <v>12</v>
      </c>
      <c r="H6107" s="2" t="s">
        <v>12</v>
      </c>
      <c r="I6107" s="2" t="s">
        <v>12</v>
      </c>
      <c r="J6107" s="2" t="s">
        <v>12</v>
      </c>
      <c r="K6107" s="2" t="s">
        <v>12</v>
      </c>
    </row>
    <row r="6108" spans="1:11" ht="12.5" x14ac:dyDescent="0.25">
      <c r="A6108" s="3" t="e">
        <f ca="1"/>
        <v>#NAME?</v>
      </c>
      <c r="B6108" s="2" t="s">
        <v>12</v>
      </c>
      <c r="C6108" s="2" t="s">
        <v>12</v>
      </c>
      <c r="D6108" s="2" t="s">
        <v>12</v>
      </c>
      <c r="E6108" s="2" t="s">
        <v>12</v>
      </c>
      <c r="F6108" s="2" t="s">
        <v>12</v>
      </c>
      <c r="G6108" s="2" t="s">
        <v>12</v>
      </c>
      <c r="H6108" s="2" t="s">
        <v>12</v>
      </c>
      <c r="I6108" s="2" t="s">
        <v>12</v>
      </c>
      <c r="J6108" s="2" t="s">
        <v>12</v>
      </c>
      <c r="K6108" s="2" t="s">
        <v>12</v>
      </c>
    </row>
    <row r="6109" spans="1:11" ht="12.5" x14ac:dyDescent="0.25">
      <c r="A6109" s="3" t="e">
        <f ca="1"/>
        <v>#NAME?</v>
      </c>
      <c r="B6109" s="2" t="s">
        <v>12</v>
      </c>
      <c r="C6109" s="2" t="s">
        <v>12</v>
      </c>
      <c r="D6109" s="2" t="s">
        <v>12</v>
      </c>
      <c r="E6109" s="2" t="s">
        <v>12</v>
      </c>
      <c r="F6109" s="2" t="s">
        <v>12</v>
      </c>
      <c r="G6109" s="2" t="s">
        <v>12</v>
      </c>
      <c r="H6109" s="2" t="s">
        <v>12</v>
      </c>
      <c r="I6109" s="2" t="s">
        <v>12</v>
      </c>
      <c r="J6109" s="2" t="s">
        <v>12</v>
      </c>
      <c r="K6109" s="2" t="s">
        <v>12</v>
      </c>
    </row>
    <row r="6110" spans="1:11" ht="12.5" x14ac:dyDescent="0.25">
      <c r="A6110" s="3" t="e">
        <f ca="1"/>
        <v>#NAME?</v>
      </c>
      <c r="B6110" s="2" t="s">
        <v>12</v>
      </c>
      <c r="C6110" s="2" t="s">
        <v>12</v>
      </c>
      <c r="D6110" s="2" t="s">
        <v>12</v>
      </c>
      <c r="E6110" s="2" t="s">
        <v>12</v>
      </c>
      <c r="F6110" s="2" t="s">
        <v>12</v>
      </c>
      <c r="G6110" s="2" t="s">
        <v>12</v>
      </c>
      <c r="H6110" s="2" t="s">
        <v>12</v>
      </c>
      <c r="I6110" s="2" t="s">
        <v>12</v>
      </c>
      <c r="J6110" s="2" t="s">
        <v>12</v>
      </c>
      <c r="K6110" s="2" t="s">
        <v>12</v>
      </c>
    </row>
    <row r="6111" spans="1:11" ht="12.5" x14ac:dyDescent="0.25">
      <c r="A6111" s="3" t="e">
        <f ca="1"/>
        <v>#NAME?</v>
      </c>
      <c r="B6111" s="2" t="s">
        <v>12</v>
      </c>
      <c r="C6111" s="2" t="s">
        <v>12</v>
      </c>
      <c r="D6111" s="2" t="s">
        <v>12</v>
      </c>
      <c r="E6111" s="2" t="s">
        <v>12</v>
      </c>
      <c r="F6111" s="2" t="s">
        <v>12</v>
      </c>
      <c r="G6111" s="2" t="s">
        <v>12</v>
      </c>
      <c r="H6111" s="2" t="s">
        <v>12</v>
      </c>
      <c r="I6111" s="2" t="s">
        <v>12</v>
      </c>
      <c r="J6111" s="2" t="s">
        <v>12</v>
      </c>
      <c r="K6111" s="2" t="s">
        <v>12</v>
      </c>
    </row>
    <row r="6112" spans="1:11" ht="12.5" x14ac:dyDescent="0.25">
      <c r="A6112" s="3" t="e">
        <f ca="1"/>
        <v>#NAME?</v>
      </c>
      <c r="B6112" s="2" t="s">
        <v>12</v>
      </c>
      <c r="C6112" s="2" t="s">
        <v>12</v>
      </c>
      <c r="D6112" s="2" t="s">
        <v>12</v>
      </c>
      <c r="E6112" s="2" t="s">
        <v>12</v>
      </c>
      <c r="F6112" s="2" t="s">
        <v>12</v>
      </c>
      <c r="G6112" s="2" t="s">
        <v>12</v>
      </c>
      <c r="H6112" s="2" t="s">
        <v>12</v>
      </c>
      <c r="I6112" s="2" t="s">
        <v>12</v>
      </c>
      <c r="J6112" s="2" t="s">
        <v>12</v>
      </c>
      <c r="K6112" s="2" t="s">
        <v>12</v>
      </c>
    </row>
    <row r="6113" spans="1:11" ht="12.5" x14ac:dyDescent="0.25">
      <c r="A6113" s="3" t="e">
        <f ca="1"/>
        <v>#NAME?</v>
      </c>
      <c r="B6113" s="2" t="s">
        <v>12</v>
      </c>
      <c r="C6113" s="2" t="s">
        <v>12</v>
      </c>
      <c r="D6113" s="2" t="s">
        <v>12</v>
      </c>
      <c r="E6113" s="2" t="s">
        <v>12</v>
      </c>
      <c r="F6113" s="2" t="s">
        <v>12</v>
      </c>
      <c r="G6113" s="2" t="s">
        <v>12</v>
      </c>
      <c r="H6113" s="2" t="s">
        <v>12</v>
      </c>
      <c r="I6113" s="2" t="s">
        <v>12</v>
      </c>
      <c r="J6113" s="2" t="s">
        <v>12</v>
      </c>
      <c r="K6113" s="2" t="s">
        <v>12</v>
      </c>
    </row>
    <row r="6114" spans="1:11" ht="12.5" x14ac:dyDescent="0.25">
      <c r="A6114" s="3" t="e">
        <f ca="1"/>
        <v>#NAME?</v>
      </c>
      <c r="B6114" s="2" t="s">
        <v>12</v>
      </c>
      <c r="C6114" s="2" t="s">
        <v>12</v>
      </c>
      <c r="D6114" s="2" t="s">
        <v>12</v>
      </c>
      <c r="E6114" s="2" t="s">
        <v>12</v>
      </c>
      <c r="F6114" s="2" t="s">
        <v>12</v>
      </c>
      <c r="G6114" s="2" t="s">
        <v>12</v>
      </c>
      <c r="H6114" s="2" t="s">
        <v>12</v>
      </c>
      <c r="I6114" s="2" t="s">
        <v>12</v>
      </c>
      <c r="J6114" s="2" t="s">
        <v>12</v>
      </c>
      <c r="K6114" s="2" t="s">
        <v>12</v>
      </c>
    </row>
    <row r="6115" spans="1:11" ht="12.5" x14ac:dyDescent="0.25">
      <c r="A6115" s="3" t="e">
        <f ca="1"/>
        <v>#NAME?</v>
      </c>
      <c r="B6115" s="2" t="s">
        <v>12</v>
      </c>
      <c r="C6115" s="2" t="s">
        <v>12</v>
      </c>
      <c r="D6115" s="2" t="s">
        <v>12</v>
      </c>
      <c r="E6115" s="2" t="s">
        <v>12</v>
      </c>
      <c r="F6115" s="2" t="s">
        <v>12</v>
      </c>
      <c r="G6115" s="2" t="s">
        <v>12</v>
      </c>
      <c r="H6115" s="2" t="s">
        <v>12</v>
      </c>
      <c r="I6115" s="2" t="s">
        <v>12</v>
      </c>
      <c r="J6115" s="2" t="s">
        <v>12</v>
      </c>
      <c r="K6115" s="2" t="s">
        <v>12</v>
      </c>
    </row>
    <row r="6116" spans="1:11" ht="12.5" x14ac:dyDescent="0.25">
      <c r="A6116" s="3" t="e">
        <f ca="1"/>
        <v>#NAME?</v>
      </c>
      <c r="B6116" s="2" t="s">
        <v>12</v>
      </c>
      <c r="C6116" s="2" t="s">
        <v>12</v>
      </c>
      <c r="D6116" s="2" t="s">
        <v>12</v>
      </c>
      <c r="E6116" s="2" t="s">
        <v>12</v>
      </c>
      <c r="F6116" s="2" t="s">
        <v>12</v>
      </c>
      <c r="G6116" s="2" t="s">
        <v>12</v>
      </c>
      <c r="H6116" s="2" t="s">
        <v>12</v>
      </c>
      <c r="I6116" s="2" t="s">
        <v>12</v>
      </c>
      <c r="J6116" s="2" t="s">
        <v>12</v>
      </c>
      <c r="K6116" s="2" t="s">
        <v>12</v>
      </c>
    </row>
    <row r="6117" spans="1:11" ht="12.5" x14ac:dyDescent="0.25">
      <c r="A6117" s="3" t="e">
        <f ca="1"/>
        <v>#NAME?</v>
      </c>
      <c r="B6117" s="2" t="s">
        <v>12</v>
      </c>
      <c r="C6117" s="2" t="s">
        <v>12</v>
      </c>
      <c r="D6117" s="2" t="s">
        <v>12</v>
      </c>
      <c r="E6117" s="2" t="s">
        <v>12</v>
      </c>
      <c r="F6117" s="2" t="s">
        <v>12</v>
      </c>
      <c r="G6117" s="2" t="s">
        <v>12</v>
      </c>
      <c r="H6117" s="2" t="s">
        <v>12</v>
      </c>
      <c r="I6117" s="2" t="s">
        <v>12</v>
      </c>
      <c r="J6117" s="2" t="s">
        <v>12</v>
      </c>
      <c r="K6117" s="2" t="s">
        <v>12</v>
      </c>
    </row>
    <row r="6118" spans="1:11" ht="12.5" x14ac:dyDescent="0.25">
      <c r="A6118" s="3" t="e">
        <f ca="1"/>
        <v>#NAME?</v>
      </c>
      <c r="B6118" s="2" t="s">
        <v>12</v>
      </c>
      <c r="C6118" s="2" t="s">
        <v>12</v>
      </c>
      <c r="D6118" s="2" t="s">
        <v>12</v>
      </c>
      <c r="E6118" s="2" t="s">
        <v>12</v>
      </c>
      <c r="F6118" s="2" t="s">
        <v>12</v>
      </c>
      <c r="G6118" s="2" t="s">
        <v>12</v>
      </c>
      <c r="H6118" s="2" t="s">
        <v>12</v>
      </c>
      <c r="I6118" s="2" t="s">
        <v>12</v>
      </c>
      <c r="J6118" s="2" t="s">
        <v>12</v>
      </c>
      <c r="K6118" s="2" t="s">
        <v>12</v>
      </c>
    </row>
    <row r="6119" spans="1:11" ht="12.5" x14ac:dyDescent="0.25">
      <c r="A6119" s="3" t="e">
        <f ca="1"/>
        <v>#NAME?</v>
      </c>
      <c r="B6119" s="2" t="s">
        <v>12</v>
      </c>
      <c r="C6119" s="2" t="s">
        <v>12</v>
      </c>
      <c r="D6119" s="2" t="s">
        <v>12</v>
      </c>
      <c r="E6119" s="2" t="s">
        <v>12</v>
      </c>
      <c r="F6119" s="2" t="s">
        <v>12</v>
      </c>
      <c r="G6119" s="2" t="s">
        <v>12</v>
      </c>
      <c r="H6119" s="2" t="s">
        <v>12</v>
      </c>
      <c r="I6119" s="2" t="s">
        <v>12</v>
      </c>
      <c r="J6119" s="2" t="s">
        <v>12</v>
      </c>
      <c r="K6119" s="2" t="s">
        <v>12</v>
      </c>
    </row>
    <row r="6120" spans="1:11" ht="12.5" x14ac:dyDescent="0.25">
      <c r="A6120" s="3" t="e">
        <f ca="1"/>
        <v>#NAME?</v>
      </c>
      <c r="B6120" s="2" t="s">
        <v>12</v>
      </c>
      <c r="C6120" s="2" t="s">
        <v>12</v>
      </c>
      <c r="D6120" s="2" t="s">
        <v>12</v>
      </c>
      <c r="E6120" s="2" t="s">
        <v>12</v>
      </c>
      <c r="F6120" s="2" t="s">
        <v>12</v>
      </c>
      <c r="G6120" s="2" t="s">
        <v>12</v>
      </c>
      <c r="H6120" s="2" t="s">
        <v>12</v>
      </c>
      <c r="I6120" s="2" t="s">
        <v>12</v>
      </c>
      <c r="J6120" s="2" t="s">
        <v>12</v>
      </c>
      <c r="K6120" s="2" t="s">
        <v>12</v>
      </c>
    </row>
    <row r="6121" spans="1:11" ht="12.5" x14ac:dyDescent="0.25">
      <c r="A6121" s="3" t="e">
        <f ca="1"/>
        <v>#NAME?</v>
      </c>
      <c r="B6121" s="2" t="s">
        <v>12</v>
      </c>
      <c r="C6121" s="2" t="s">
        <v>12</v>
      </c>
      <c r="D6121" s="2" t="s">
        <v>12</v>
      </c>
      <c r="E6121" s="2" t="s">
        <v>12</v>
      </c>
      <c r="F6121" s="2" t="s">
        <v>12</v>
      </c>
      <c r="G6121" s="2" t="s">
        <v>12</v>
      </c>
      <c r="H6121" s="2" t="s">
        <v>12</v>
      </c>
      <c r="I6121" s="2" t="s">
        <v>12</v>
      </c>
      <c r="J6121" s="2" t="s">
        <v>12</v>
      </c>
      <c r="K6121" s="2" t="s">
        <v>12</v>
      </c>
    </row>
    <row r="6122" spans="1:11" ht="12.5" x14ac:dyDescent="0.25">
      <c r="A6122" s="3" t="e">
        <f ca="1"/>
        <v>#NAME?</v>
      </c>
      <c r="B6122" s="2" t="s">
        <v>12</v>
      </c>
      <c r="C6122" s="2" t="s">
        <v>12</v>
      </c>
      <c r="D6122" s="2" t="s">
        <v>12</v>
      </c>
      <c r="E6122" s="2" t="s">
        <v>12</v>
      </c>
      <c r="F6122" s="2" t="s">
        <v>12</v>
      </c>
      <c r="G6122" s="2" t="s">
        <v>12</v>
      </c>
      <c r="H6122" s="2" t="s">
        <v>12</v>
      </c>
      <c r="I6122" s="2" t="s">
        <v>12</v>
      </c>
      <c r="J6122" s="2" t="s">
        <v>12</v>
      </c>
      <c r="K6122" s="2" t="s">
        <v>12</v>
      </c>
    </row>
    <row r="6123" spans="1:11" ht="12.5" x14ac:dyDescent="0.25">
      <c r="A6123" s="3" t="e">
        <f ca="1"/>
        <v>#NAME?</v>
      </c>
      <c r="B6123" s="2" t="s">
        <v>12</v>
      </c>
      <c r="C6123" s="2" t="s">
        <v>12</v>
      </c>
      <c r="D6123" s="2" t="s">
        <v>12</v>
      </c>
      <c r="E6123" s="2" t="s">
        <v>12</v>
      </c>
      <c r="F6123" s="2" t="s">
        <v>12</v>
      </c>
      <c r="G6123" s="2" t="s">
        <v>12</v>
      </c>
      <c r="H6123" s="2" t="s">
        <v>12</v>
      </c>
      <c r="I6123" s="2" t="s">
        <v>12</v>
      </c>
      <c r="J6123" s="2" t="s">
        <v>12</v>
      </c>
      <c r="K6123" s="2" t="s">
        <v>12</v>
      </c>
    </row>
    <row r="6124" spans="1:11" ht="12.5" x14ac:dyDescent="0.25">
      <c r="A6124" s="3" t="e">
        <f ca="1"/>
        <v>#NAME?</v>
      </c>
      <c r="B6124" s="2" t="s">
        <v>12</v>
      </c>
      <c r="C6124" s="2" t="s">
        <v>12</v>
      </c>
      <c r="D6124" s="2" t="s">
        <v>12</v>
      </c>
      <c r="E6124" s="2" t="s">
        <v>12</v>
      </c>
      <c r="F6124" s="2" t="s">
        <v>12</v>
      </c>
      <c r="G6124" s="2" t="s">
        <v>12</v>
      </c>
      <c r="H6124" s="2" t="s">
        <v>12</v>
      </c>
      <c r="I6124" s="2" t="s">
        <v>12</v>
      </c>
      <c r="J6124" s="2" t="s">
        <v>12</v>
      </c>
      <c r="K6124" s="2" t="s">
        <v>12</v>
      </c>
    </row>
    <row r="6125" spans="1:11" ht="12.5" x14ac:dyDescent="0.25">
      <c r="A6125" s="3" t="e">
        <f ca="1"/>
        <v>#NAME?</v>
      </c>
      <c r="B6125" s="2" t="s">
        <v>12</v>
      </c>
      <c r="C6125" s="2" t="s">
        <v>12</v>
      </c>
      <c r="D6125" s="2" t="s">
        <v>12</v>
      </c>
      <c r="E6125" s="2" t="s">
        <v>12</v>
      </c>
      <c r="F6125" s="2" t="s">
        <v>12</v>
      </c>
      <c r="G6125" s="2" t="s">
        <v>12</v>
      </c>
      <c r="H6125" s="2" t="s">
        <v>12</v>
      </c>
      <c r="I6125" s="2" t="s">
        <v>12</v>
      </c>
      <c r="J6125" s="2" t="s">
        <v>12</v>
      </c>
      <c r="K6125" s="2" t="s">
        <v>12</v>
      </c>
    </row>
    <row r="6126" spans="1:11" ht="12.5" x14ac:dyDescent="0.25">
      <c r="A6126" s="3" t="e">
        <f ca="1"/>
        <v>#NAME?</v>
      </c>
      <c r="B6126" s="2" t="s">
        <v>12</v>
      </c>
      <c r="C6126" s="2" t="s">
        <v>12</v>
      </c>
      <c r="D6126" s="2" t="s">
        <v>12</v>
      </c>
      <c r="E6126" s="2" t="s">
        <v>12</v>
      </c>
      <c r="F6126" s="2" t="s">
        <v>12</v>
      </c>
      <c r="G6126" s="2" t="s">
        <v>12</v>
      </c>
      <c r="H6126" s="2" t="s">
        <v>12</v>
      </c>
      <c r="I6126" s="2" t="s">
        <v>12</v>
      </c>
      <c r="J6126" s="2" t="s">
        <v>12</v>
      </c>
      <c r="K6126" s="2" t="s">
        <v>12</v>
      </c>
    </row>
    <row r="6127" spans="1:11" ht="12.5" x14ac:dyDescent="0.25">
      <c r="A6127" s="3" t="e">
        <f ca="1"/>
        <v>#NAME?</v>
      </c>
      <c r="B6127" s="2" t="s">
        <v>12</v>
      </c>
      <c r="C6127" s="2" t="s">
        <v>12</v>
      </c>
      <c r="D6127" s="2" t="s">
        <v>12</v>
      </c>
      <c r="E6127" s="2" t="s">
        <v>12</v>
      </c>
      <c r="F6127" s="2" t="s">
        <v>12</v>
      </c>
      <c r="G6127" s="2" t="s">
        <v>12</v>
      </c>
      <c r="H6127" s="2" t="s">
        <v>12</v>
      </c>
      <c r="I6127" s="2" t="s">
        <v>12</v>
      </c>
      <c r="J6127" s="2" t="s">
        <v>12</v>
      </c>
      <c r="K6127" s="2" t="s">
        <v>12</v>
      </c>
    </row>
    <row r="6128" spans="1:11" ht="12.5" x14ac:dyDescent="0.25">
      <c r="A6128" s="3" t="e">
        <f ca="1"/>
        <v>#NAME?</v>
      </c>
      <c r="B6128" s="2" t="s">
        <v>12</v>
      </c>
      <c r="C6128" s="2" t="s">
        <v>12</v>
      </c>
      <c r="D6128" s="2" t="s">
        <v>12</v>
      </c>
      <c r="E6128" s="2" t="s">
        <v>12</v>
      </c>
      <c r="F6128" s="2" t="s">
        <v>12</v>
      </c>
      <c r="G6128" s="2" t="s">
        <v>12</v>
      </c>
      <c r="H6128" s="2" t="s">
        <v>12</v>
      </c>
      <c r="I6128" s="2" t="s">
        <v>12</v>
      </c>
      <c r="J6128" s="2" t="s">
        <v>12</v>
      </c>
      <c r="K6128" s="2" t="s">
        <v>12</v>
      </c>
    </row>
    <row r="6129" spans="1:11" ht="12.5" x14ac:dyDescent="0.25">
      <c r="A6129" s="3" t="e">
        <f ca="1"/>
        <v>#NAME?</v>
      </c>
      <c r="B6129" s="2" t="s">
        <v>12</v>
      </c>
      <c r="C6129" s="2" t="s">
        <v>12</v>
      </c>
      <c r="D6129" s="2" t="s">
        <v>12</v>
      </c>
      <c r="E6129" s="2" t="s">
        <v>12</v>
      </c>
      <c r="F6129" s="2" t="s">
        <v>12</v>
      </c>
      <c r="G6129" s="2" t="s">
        <v>12</v>
      </c>
      <c r="H6129" s="2" t="s">
        <v>12</v>
      </c>
      <c r="I6129" s="2" t="s">
        <v>12</v>
      </c>
      <c r="J6129" s="2" t="s">
        <v>12</v>
      </c>
      <c r="K6129" s="2" t="s">
        <v>12</v>
      </c>
    </row>
    <row r="6130" spans="1:11" ht="12.5" x14ac:dyDescent="0.25">
      <c r="A6130" s="3" t="e">
        <f ca="1"/>
        <v>#NAME?</v>
      </c>
      <c r="B6130" s="2" t="s">
        <v>12</v>
      </c>
      <c r="C6130" s="2" t="s">
        <v>12</v>
      </c>
      <c r="D6130" s="2" t="s">
        <v>12</v>
      </c>
      <c r="E6130" s="2" t="s">
        <v>12</v>
      </c>
      <c r="F6130" s="2" t="s">
        <v>12</v>
      </c>
      <c r="G6130" s="2" t="s">
        <v>12</v>
      </c>
      <c r="H6130" s="2" t="s">
        <v>12</v>
      </c>
      <c r="I6130" s="2" t="s">
        <v>12</v>
      </c>
      <c r="J6130" s="2" t="s">
        <v>12</v>
      </c>
      <c r="K6130" s="2" t="s">
        <v>12</v>
      </c>
    </row>
    <row r="6131" spans="1:11" ht="12.5" x14ac:dyDescent="0.25">
      <c r="A6131" s="3" t="e">
        <f ca="1"/>
        <v>#NAME?</v>
      </c>
      <c r="B6131" s="2" t="s">
        <v>12</v>
      </c>
      <c r="C6131" s="2" t="s">
        <v>12</v>
      </c>
      <c r="D6131" s="2" t="s">
        <v>12</v>
      </c>
      <c r="E6131" s="2" t="s">
        <v>12</v>
      </c>
      <c r="F6131" s="2" t="s">
        <v>12</v>
      </c>
      <c r="G6131" s="2" t="s">
        <v>12</v>
      </c>
      <c r="H6131" s="2" t="s">
        <v>12</v>
      </c>
      <c r="I6131" s="2" t="s">
        <v>12</v>
      </c>
      <c r="J6131" s="2" t="s">
        <v>12</v>
      </c>
      <c r="K6131" s="2" t="s">
        <v>12</v>
      </c>
    </row>
    <row r="6132" spans="1:11" ht="12.5" x14ac:dyDescent="0.25">
      <c r="A6132" s="3" t="e">
        <f ca="1"/>
        <v>#NAME?</v>
      </c>
      <c r="B6132" s="2" t="s">
        <v>12</v>
      </c>
      <c r="C6132" s="2" t="s">
        <v>12</v>
      </c>
      <c r="D6132" s="2" t="s">
        <v>12</v>
      </c>
      <c r="E6132" s="2" t="s">
        <v>12</v>
      </c>
      <c r="F6132" s="2" t="s">
        <v>12</v>
      </c>
      <c r="G6132" s="2" t="s">
        <v>12</v>
      </c>
      <c r="H6132" s="2" t="s">
        <v>12</v>
      </c>
      <c r="I6132" s="2" t="s">
        <v>12</v>
      </c>
      <c r="J6132" s="2" t="s">
        <v>12</v>
      </c>
      <c r="K6132" s="2" t="s">
        <v>12</v>
      </c>
    </row>
    <row r="6133" spans="1:11" ht="12.5" x14ac:dyDescent="0.25">
      <c r="A6133" s="3" t="e">
        <f ca="1"/>
        <v>#NAME?</v>
      </c>
      <c r="B6133" s="2" t="s">
        <v>12</v>
      </c>
      <c r="C6133" s="2" t="s">
        <v>12</v>
      </c>
      <c r="D6133" s="2" t="s">
        <v>12</v>
      </c>
      <c r="E6133" s="2" t="s">
        <v>12</v>
      </c>
      <c r="F6133" s="2" t="s">
        <v>12</v>
      </c>
      <c r="G6133" s="2" t="s">
        <v>12</v>
      </c>
      <c r="H6133" s="2" t="s">
        <v>12</v>
      </c>
      <c r="I6133" s="2" t="s">
        <v>12</v>
      </c>
      <c r="J6133" s="2" t="s">
        <v>12</v>
      </c>
      <c r="K6133" s="2" t="s">
        <v>12</v>
      </c>
    </row>
    <row r="6134" spans="1:11" ht="12.5" x14ac:dyDescent="0.25">
      <c r="A6134" s="3" t="e">
        <f ca="1"/>
        <v>#NAME?</v>
      </c>
      <c r="B6134" s="2" t="s">
        <v>12</v>
      </c>
      <c r="C6134" s="2" t="s">
        <v>12</v>
      </c>
      <c r="D6134" s="2" t="s">
        <v>12</v>
      </c>
      <c r="E6134" s="2" t="s">
        <v>12</v>
      </c>
      <c r="F6134" s="2" t="s">
        <v>12</v>
      </c>
      <c r="G6134" s="2" t="s">
        <v>12</v>
      </c>
      <c r="H6134" s="2" t="s">
        <v>12</v>
      </c>
      <c r="I6134" s="2" t="s">
        <v>12</v>
      </c>
      <c r="J6134" s="2" t="s">
        <v>12</v>
      </c>
      <c r="K6134" s="2" t="s">
        <v>12</v>
      </c>
    </row>
    <row r="6135" spans="1:11" ht="12.5" x14ac:dyDescent="0.25">
      <c r="A6135" s="3" t="e">
        <f ca="1"/>
        <v>#NAME?</v>
      </c>
      <c r="B6135" s="2" t="s">
        <v>12</v>
      </c>
      <c r="C6135" s="2" t="s">
        <v>12</v>
      </c>
      <c r="D6135" s="2" t="s">
        <v>12</v>
      </c>
      <c r="E6135" s="2" t="s">
        <v>12</v>
      </c>
      <c r="F6135" s="2" t="s">
        <v>12</v>
      </c>
      <c r="G6135" s="2" t="s">
        <v>12</v>
      </c>
      <c r="H6135" s="2" t="s">
        <v>12</v>
      </c>
      <c r="I6135" s="2" t="s">
        <v>12</v>
      </c>
      <c r="J6135" s="2" t="s">
        <v>12</v>
      </c>
      <c r="K6135" s="2" t="s">
        <v>12</v>
      </c>
    </row>
    <row r="6136" spans="1:11" ht="12.5" x14ac:dyDescent="0.25">
      <c r="A6136" s="3" t="e">
        <f ca="1"/>
        <v>#NAME?</v>
      </c>
      <c r="B6136" s="2" t="s">
        <v>12</v>
      </c>
      <c r="C6136" s="2" t="s">
        <v>12</v>
      </c>
      <c r="D6136" s="2" t="s">
        <v>12</v>
      </c>
      <c r="E6136" s="2" t="s">
        <v>12</v>
      </c>
      <c r="F6136" s="2" t="s">
        <v>12</v>
      </c>
      <c r="G6136" s="2" t="s">
        <v>12</v>
      </c>
      <c r="H6136" s="2" t="s">
        <v>12</v>
      </c>
      <c r="I6136" s="2" t="s">
        <v>12</v>
      </c>
      <c r="J6136" s="2" t="s">
        <v>12</v>
      </c>
      <c r="K6136" s="2" t="s">
        <v>12</v>
      </c>
    </row>
    <row r="6137" spans="1:11" ht="12.5" x14ac:dyDescent="0.25">
      <c r="A6137" s="3" t="e">
        <f ca="1"/>
        <v>#NAME?</v>
      </c>
      <c r="B6137" s="2" t="s">
        <v>12</v>
      </c>
      <c r="C6137" s="2" t="s">
        <v>12</v>
      </c>
      <c r="D6137" s="2" t="s">
        <v>12</v>
      </c>
      <c r="E6137" s="2" t="s">
        <v>12</v>
      </c>
      <c r="F6137" s="2" t="s">
        <v>12</v>
      </c>
      <c r="G6137" s="2" t="s">
        <v>12</v>
      </c>
      <c r="H6137" s="2" t="s">
        <v>12</v>
      </c>
      <c r="I6137" s="2" t="s">
        <v>12</v>
      </c>
      <c r="J6137" s="2" t="s">
        <v>12</v>
      </c>
      <c r="K6137" s="2" t="s">
        <v>12</v>
      </c>
    </row>
    <row r="6138" spans="1:11" ht="12.5" x14ac:dyDescent="0.25">
      <c r="A6138" s="3" t="e">
        <f ca="1"/>
        <v>#NAME?</v>
      </c>
      <c r="B6138" s="2" t="s">
        <v>12</v>
      </c>
      <c r="C6138" s="2" t="s">
        <v>12</v>
      </c>
      <c r="D6138" s="2" t="s">
        <v>12</v>
      </c>
      <c r="E6138" s="2" t="s">
        <v>12</v>
      </c>
      <c r="F6138" s="2" t="s">
        <v>12</v>
      </c>
      <c r="G6138" s="2" t="s">
        <v>12</v>
      </c>
      <c r="H6138" s="2" t="s">
        <v>12</v>
      </c>
      <c r="I6138" s="2" t="s">
        <v>12</v>
      </c>
      <c r="J6138" s="2" t="s">
        <v>12</v>
      </c>
      <c r="K6138" s="2" t="s">
        <v>12</v>
      </c>
    </row>
    <row r="6139" spans="1:11" ht="12.5" x14ac:dyDescent="0.25">
      <c r="A6139" s="3" t="e">
        <f ca="1"/>
        <v>#NAME?</v>
      </c>
      <c r="B6139" s="2" t="s">
        <v>12</v>
      </c>
      <c r="C6139" s="2" t="s">
        <v>12</v>
      </c>
      <c r="D6139" s="2" t="s">
        <v>12</v>
      </c>
      <c r="E6139" s="2" t="s">
        <v>12</v>
      </c>
      <c r="F6139" s="2" t="s">
        <v>12</v>
      </c>
      <c r="G6139" s="2" t="s">
        <v>12</v>
      </c>
      <c r="H6139" s="2" t="s">
        <v>12</v>
      </c>
      <c r="I6139" s="2" t="s">
        <v>12</v>
      </c>
      <c r="J6139" s="2" t="s">
        <v>12</v>
      </c>
      <c r="K6139" s="2" t="s">
        <v>12</v>
      </c>
    </row>
    <row r="6140" spans="1:11" ht="12.5" x14ac:dyDescent="0.25">
      <c r="A6140" s="3" t="e">
        <f ca="1"/>
        <v>#NAME?</v>
      </c>
      <c r="B6140" s="2" t="s">
        <v>12</v>
      </c>
      <c r="C6140" s="2" t="s">
        <v>12</v>
      </c>
      <c r="D6140" s="2" t="s">
        <v>12</v>
      </c>
      <c r="E6140" s="2" t="s">
        <v>12</v>
      </c>
      <c r="F6140" s="2" t="s">
        <v>12</v>
      </c>
      <c r="G6140" s="2" t="s">
        <v>12</v>
      </c>
      <c r="H6140" s="2" t="s">
        <v>12</v>
      </c>
      <c r="I6140" s="2" t="s">
        <v>12</v>
      </c>
      <c r="J6140" s="2" t="s">
        <v>12</v>
      </c>
      <c r="K6140" s="2" t="s">
        <v>12</v>
      </c>
    </row>
    <row r="6141" spans="1:11" ht="12.5" x14ac:dyDescent="0.25">
      <c r="A6141" s="3" t="e">
        <f ca="1"/>
        <v>#NAME?</v>
      </c>
      <c r="B6141" s="2" t="s">
        <v>12</v>
      </c>
      <c r="C6141" s="2" t="s">
        <v>12</v>
      </c>
      <c r="D6141" s="2" t="s">
        <v>12</v>
      </c>
      <c r="E6141" s="2" t="s">
        <v>12</v>
      </c>
      <c r="F6141" s="2" t="s">
        <v>12</v>
      </c>
      <c r="G6141" s="2" t="s">
        <v>12</v>
      </c>
      <c r="H6141" s="2" t="s">
        <v>12</v>
      </c>
      <c r="I6141" s="2" t="s">
        <v>12</v>
      </c>
      <c r="J6141" s="2" t="s">
        <v>12</v>
      </c>
      <c r="K6141" s="2" t="s">
        <v>12</v>
      </c>
    </row>
    <row r="6142" spans="1:11" ht="12.5" x14ac:dyDescent="0.25">
      <c r="A6142" s="3" t="e">
        <f ca="1"/>
        <v>#NAME?</v>
      </c>
      <c r="B6142" s="2" t="s">
        <v>12</v>
      </c>
      <c r="C6142" s="2" t="s">
        <v>12</v>
      </c>
      <c r="D6142" s="2" t="s">
        <v>12</v>
      </c>
      <c r="E6142" s="2" t="s">
        <v>12</v>
      </c>
      <c r="F6142" s="2" t="s">
        <v>12</v>
      </c>
      <c r="G6142" s="2" t="s">
        <v>12</v>
      </c>
      <c r="H6142" s="2" t="s">
        <v>12</v>
      </c>
      <c r="I6142" s="2" t="s">
        <v>12</v>
      </c>
      <c r="J6142" s="2" t="s">
        <v>12</v>
      </c>
      <c r="K6142" s="2" t="s">
        <v>12</v>
      </c>
    </row>
    <row r="6143" spans="1:11" ht="12.5" x14ac:dyDescent="0.25">
      <c r="A6143" s="3" t="e">
        <f ca="1"/>
        <v>#NAME?</v>
      </c>
      <c r="B6143" s="2" t="s">
        <v>12</v>
      </c>
      <c r="C6143" s="2" t="s">
        <v>12</v>
      </c>
      <c r="D6143" s="2" t="s">
        <v>12</v>
      </c>
      <c r="E6143" s="2" t="s">
        <v>12</v>
      </c>
      <c r="F6143" s="2" t="s">
        <v>12</v>
      </c>
      <c r="G6143" s="2" t="s">
        <v>12</v>
      </c>
      <c r="H6143" s="2" t="s">
        <v>12</v>
      </c>
      <c r="I6143" s="2" t="s">
        <v>12</v>
      </c>
      <c r="J6143" s="2" t="s">
        <v>12</v>
      </c>
      <c r="K6143" s="2" t="s">
        <v>12</v>
      </c>
    </row>
    <row r="6144" spans="1:11" ht="12.5" x14ac:dyDescent="0.25">
      <c r="A6144" s="3" t="e">
        <f ca="1"/>
        <v>#NAME?</v>
      </c>
      <c r="B6144" s="2" t="s">
        <v>12</v>
      </c>
      <c r="C6144" s="2" t="s">
        <v>12</v>
      </c>
      <c r="D6144" s="2" t="s">
        <v>12</v>
      </c>
      <c r="E6144" s="2" t="s">
        <v>12</v>
      </c>
      <c r="F6144" s="2" t="s">
        <v>12</v>
      </c>
      <c r="G6144" s="2" t="s">
        <v>12</v>
      </c>
      <c r="H6144" s="2" t="s">
        <v>12</v>
      </c>
      <c r="I6144" s="2" t="s">
        <v>12</v>
      </c>
      <c r="J6144" s="2" t="s">
        <v>12</v>
      </c>
      <c r="K6144" s="2" t="s">
        <v>12</v>
      </c>
    </row>
    <row r="6145" spans="1:11" ht="12.5" x14ac:dyDescent="0.25">
      <c r="A6145" s="3" t="e">
        <f ca="1"/>
        <v>#NAME?</v>
      </c>
      <c r="B6145" s="2" t="s">
        <v>12</v>
      </c>
      <c r="C6145" s="2" t="s">
        <v>12</v>
      </c>
      <c r="D6145" s="2" t="s">
        <v>12</v>
      </c>
      <c r="E6145" s="2" t="s">
        <v>12</v>
      </c>
      <c r="F6145" s="2" t="s">
        <v>12</v>
      </c>
      <c r="G6145" s="2" t="s">
        <v>12</v>
      </c>
      <c r="H6145" s="2" t="s">
        <v>12</v>
      </c>
      <c r="I6145" s="2" t="s">
        <v>12</v>
      </c>
      <c r="J6145" s="2" t="s">
        <v>12</v>
      </c>
      <c r="K6145" s="2" t="s">
        <v>12</v>
      </c>
    </row>
    <row r="6146" spans="1:11" ht="12.5" x14ac:dyDescent="0.25">
      <c r="A6146" s="3" t="e">
        <f ca="1"/>
        <v>#NAME?</v>
      </c>
      <c r="B6146" s="2" t="s">
        <v>12</v>
      </c>
      <c r="C6146" s="2" t="s">
        <v>12</v>
      </c>
      <c r="D6146" s="2" t="s">
        <v>12</v>
      </c>
      <c r="E6146" s="2" t="s">
        <v>12</v>
      </c>
      <c r="F6146" s="2" t="s">
        <v>12</v>
      </c>
      <c r="G6146" s="2" t="s">
        <v>12</v>
      </c>
      <c r="H6146" s="2" t="s">
        <v>12</v>
      </c>
      <c r="I6146" s="2" t="s">
        <v>12</v>
      </c>
      <c r="J6146" s="2" t="s">
        <v>12</v>
      </c>
      <c r="K6146" s="2" t="s">
        <v>12</v>
      </c>
    </row>
    <row r="6147" spans="1:11" ht="12.5" x14ac:dyDescent="0.25">
      <c r="A6147" s="3" t="e">
        <f ca="1"/>
        <v>#NAME?</v>
      </c>
      <c r="B6147" s="2" t="s">
        <v>12</v>
      </c>
      <c r="C6147" s="2" t="s">
        <v>12</v>
      </c>
      <c r="D6147" s="2" t="s">
        <v>12</v>
      </c>
      <c r="E6147" s="2" t="s">
        <v>12</v>
      </c>
      <c r="F6147" s="2" t="s">
        <v>12</v>
      </c>
      <c r="G6147" s="2" t="s">
        <v>12</v>
      </c>
      <c r="H6147" s="2" t="s">
        <v>12</v>
      </c>
      <c r="I6147" s="2" t="s">
        <v>12</v>
      </c>
      <c r="J6147" s="2" t="s">
        <v>12</v>
      </c>
      <c r="K6147" s="2" t="s">
        <v>12</v>
      </c>
    </row>
    <row r="6148" spans="1:11" ht="12.5" x14ac:dyDescent="0.25">
      <c r="A6148" s="3" t="e">
        <f ca="1"/>
        <v>#NAME?</v>
      </c>
      <c r="B6148" s="2" t="s">
        <v>12</v>
      </c>
      <c r="C6148" s="2" t="s">
        <v>12</v>
      </c>
      <c r="D6148" s="2" t="s">
        <v>12</v>
      </c>
      <c r="E6148" s="2" t="s">
        <v>12</v>
      </c>
      <c r="F6148" s="2" t="s">
        <v>12</v>
      </c>
      <c r="G6148" s="2" t="s">
        <v>12</v>
      </c>
      <c r="H6148" s="2" t="s">
        <v>12</v>
      </c>
      <c r="I6148" s="2" t="s">
        <v>12</v>
      </c>
      <c r="J6148" s="2" t="s">
        <v>12</v>
      </c>
      <c r="K6148" s="2" t="s">
        <v>12</v>
      </c>
    </row>
    <row r="6149" spans="1:11" ht="12.5" x14ac:dyDescent="0.25">
      <c r="A6149" s="3" t="e">
        <f ca="1"/>
        <v>#NAME?</v>
      </c>
      <c r="B6149" s="2" t="s">
        <v>12</v>
      </c>
      <c r="C6149" s="2" t="s">
        <v>12</v>
      </c>
      <c r="D6149" s="2" t="s">
        <v>12</v>
      </c>
      <c r="E6149" s="2" t="s">
        <v>12</v>
      </c>
      <c r="F6149" s="2" t="s">
        <v>12</v>
      </c>
      <c r="G6149" s="2" t="s">
        <v>12</v>
      </c>
      <c r="H6149" s="2" t="s">
        <v>12</v>
      </c>
      <c r="I6149" s="2" t="s">
        <v>12</v>
      </c>
      <c r="J6149" s="2" t="s">
        <v>12</v>
      </c>
      <c r="K6149" s="2" t="s">
        <v>12</v>
      </c>
    </row>
    <row r="6150" spans="1:11" ht="12.5" x14ac:dyDescent="0.25">
      <c r="A6150" s="3" t="e">
        <f ca="1"/>
        <v>#NAME?</v>
      </c>
      <c r="B6150" s="2" t="s">
        <v>12</v>
      </c>
      <c r="C6150" s="2" t="s">
        <v>12</v>
      </c>
      <c r="D6150" s="2" t="s">
        <v>12</v>
      </c>
      <c r="E6150" s="2" t="s">
        <v>12</v>
      </c>
      <c r="F6150" s="2" t="s">
        <v>12</v>
      </c>
      <c r="G6150" s="2" t="s">
        <v>12</v>
      </c>
      <c r="H6150" s="2" t="s">
        <v>12</v>
      </c>
      <c r="I6150" s="2" t="s">
        <v>12</v>
      </c>
      <c r="J6150" s="2" t="s">
        <v>12</v>
      </c>
      <c r="K6150" s="2" t="s">
        <v>12</v>
      </c>
    </row>
    <row r="6151" spans="1:11" ht="12.5" x14ac:dyDescent="0.25">
      <c r="A6151" s="3" t="e">
        <f ca="1"/>
        <v>#NAME?</v>
      </c>
      <c r="B6151" s="2" t="s">
        <v>12</v>
      </c>
      <c r="C6151" s="2" t="s">
        <v>12</v>
      </c>
      <c r="D6151" s="2" t="s">
        <v>12</v>
      </c>
      <c r="E6151" s="2" t="s">
        <v>12</v>
      </c>
      <c r="F6151" s="2" t="s">
        <v>12</v>
      </c>
      <c r="G6151" s="2" t="s">
        <v>12</v>
      </c>
      <c r="H6151" s="2" t="s">
        <v>12</v>
      </c>
      <c r="I6151" s="2" t="s">
        <v>12</v>
      </c>
      <c r="J6151" s="2" t="s">
        <v>12</v>
      </c>
      <c r="K6151" s="2" t="s">
        <v>12</v>
      </c>
    </row>
    <row r="6152" spans="1:11" ht="12.5" x14ac:dyDescent="0.25">
      <c r="A6152" s="3" t="e">
        <f ca="1"/>
        <v>#NAME?</v>
      </c>
      <c r="B6152" s="2" t="s">
        <v>12</v>
      </c>
      <c r="C6152" s="2" t="s">
        <v>12</v>
      </c>
      <c r="D6152" s="2" t="s">
        <v>12</v>
      </c>
      <c r="E6152" s="2" t="s">
        <v>12</v>
      </c>
      <c r="F6152" s="2" t="s">
        <v>12</v>
      </c>
      <c r="G6152" s="2" t="s">
        <v>12</v>
      </c>
      <c r="H6152" s="2" t="s">
        <v>12</v>
      </c>
      <c r="I6152" s="2" t="s">
        <v>12</v>
      </c>
      <c r="J6152" s="2" t="s">
        <v>12</v>
      </c>
      <c r="K6152" s="2" t="s">
        <v>12</v>
      </c>
    </row>
    <row r="6153" spans="1:11" ht="12.5" x14ac:dyDescent="0.25">
      <c r="A6153" s="3" t="e">
        <f ca="1"/>
        <v>#NAME?</v>
      </c>
      <c r="B6153" s="2" t="s">
        <v>12</v>
      </c>
      <c r="C6153" s="2" t="s">
        <v>12</v>
      </c>
      <c r="D6153" s="2" t="s">
        <v>12</v>
      </c>
      <c r="E6153" s="2" t="s">
        <v>12</v>
      </c>
      <c r="F6153" s="2" t="s">
        <v>12</v>
      </c>
      <c r="G6153" s="2" t="s">
        <v>12</v>
      </c>
      <c r="H6153" s="2" t="s">
        <v>12</v>
      </c>
      <c r="I6153" s="2" t="s">
        <v>12</v>
      </c>
      <c r="J6153" s="2" t="s">
        <v>12</v>
      </c>
      <c r="K6153" s="2" t="s">
        <v>12</v>
      </c>
    </row>
    <row r="6154" spans="1:11" ht="12.5" x14ac:dyDescent="0.25">
      <c r="A6154" s="3" t="e">
        <f ca="1"/>
        <v>#NAME?</v>
      </c>
      <c r="B6154" s="2" t="s">
        <v>12</v>
      </c>
      <c r="C6154" s="2" t="s">
        <v>12</v>
      </c>
      <c r="D6154" s="2" t="s">
        <v>12</v>
      </c>
      <c r="E6154" s="2" t="s">
        <v>12</v>
      </c>
      <c r="F6154" s="2" t="s">
        <v>12</v>
      </c>
      <c r="G6154" s="2" t="s">
        <v>12</v>
      </c>
      <c r="H6154" s="2" t="s">
        <v>12</v>
      </c>
      <c r="I6154" s="2" t="s">
        <v>12</v>
      </c>
      <c r="J6154" s="2" t="s">
        <v>12</v>
      </c>
      <c r="K6154" s="2" t="s">
        <v>12</v>
      </c>
    </row>
    <row r="6155" spans="1:11" ht="12.5" x14ac:dyDescent="0.25">
      <c r="A6155" s="3" t="e">
        <f ca="1"/>
        <v>#NAME?</v>
      </c>
      <c r="B6155" s="2" t="s">
        <v>12</v>
      </c>
      <c r="C6155" s="2" t="s">
        <v>12</v>
      </c>
      <c r="D6155" s="2" t="s">
        <v>12</v>
      </c>
      <c r="E6155" s="2" t="s">
        <v>12</v>
      </c>
      <c r="F6155" s="2" t="s">
        <v>12</v>
      </c>
      <c r="G6155" s="2" t="s">
        <v>12</v>
      </c>
      <c r="H6155" s="2" t="s">
        <v>12</v>
      </c>
      <c r="I6155" s="2" t="s">
        <v>12</v>
      </c>
      <c r="J6155" s="2" t="s">
        <v>12</v>
      </c>
      <c r="K6155" s="2" t="s">
        <v>12</v>
      </c>
    </row>
    <row r="6156" spans="1:11" ht="12.5" x14ac:dyDescent="0.25">
      <c r="A6156" s="3" t="e">
        <f ca="1"/>
        <v>#NAME?</v>
      </c>
      <c r="B6156" s="2" t="s">
        <v>12</v>
      </c>
      <c r="C6156" s="2" t="s">
        <v>12</v>
      </c>
      <c r="D6156" s="2" t="s">
        <v>12</v>
      </c>
      <c r="E6156" s="2" t="s">
        <v>12</v>
      </c>
      <c r="F6156" s="2" t="s">
        <v>12</v>
      </c>
      <c r="G6156" s="2" t="s">
        <v>12</v>
      </c>
      <c r="H6156" s="2" t="s">
        <v>12</v>
      </c>
      <c r="I6156" s="2" t="s">
        <v>12</v>
      </c>
      <c r="J6156" s="2" t="s">
        <v>12</v>
      </c>
      <c r="K6156" s="2" t="s">
        <v>12</v>
      </c>
    </row>
    <row r="6157" spans="1:11" ht="12.5" x14ac:dyDescent="0.25">
      <c r="A6157" s="3" t="e">
        <f ca="1"/>
        <v>#NAME?</v>
      </c>
      <c r="B6157" s="2" t="s">
        <v>12</v>
      </c>
      <c r="C6157" s="2" t="s">
        <v>12</v>
      </c>
      <c r="D6157" s="2" t="s">
        <v>12</v>
      </c>
      <c r="E6157" s="2" t="s">
        <v>12</v>
      </c>
      <c r="F6157" s="2" t="s">
        <v>12</v>
      </c>
      <c r="G6157" s="2" t="s">
        <v>12</v>
      </c>
      <c r="H6157" s="2" t="s">
        <v>12</v>
      </c>
      <c r="I6157" s="2" t="s">
        <v>12</v>
      </c>
      <c r="J6157" s="2" t="s">
        <v>12</v>
      </c>
      <c r="K6157" s="2" t="s">
        <v>12</v>
      </c>
    </row>
    <row r="6158" spans="1:11" ht="12.5" x14ac:dyDescent="0.25">
      <c r="A6158" s="3" t="e">
        <f ca="1"/>
        <v>#NAME?</v>
      </c>
      <c r="B6158" s="2" t="s">
        <v>12</v>
      </c>
      <c r="C6158" s="2" t="s">
        <v>12</v>
      </c>
      <c r="D6158" s="2" t="s">
        <v>12</v>
      </c>
      <c r="E6158" s="2" t="s">
        <v>12</v>
      </c>
      <c r="F6158" s="2" t="s">
        <v>12</v>
      </c>
      <c r="G6158" s="2" t="s">
        <v>12</v>
      </c>
      <c r="H6158" s="2" t="s">
        <v>12</v>
      </c>
      <c r="I6158" s="2" t="s">
        <v>12</v>
      </c>
      <c r="J6158" s="2" t="s">
        <v>12</v>
      </c>
      <c r="K6158" s="2" t="s">
        <v>12</v>
      </c>
    </row>
    <row r="6159" spans="1:11" ht="12.5" x14ac:dyDescent="0.25">
      <c r="A6159" s="3" t="e">
        <f ca="1"/>
        <v>#NAME?</v>
      </c>
      <c r="B6159" s="2" t="s">
        <v>12</v>
      </c>
      <c r="C6159" s="2" t="s">
        <v>12</v>
      </c>
      <c r="D6159" s="2" t="s">
        <v>12</v>
      </c>
      <c r="E6159" s="2" t="s">
        <v>12</v>
      </c>
      <c r="F6159" s="2" t="s">
        <v>12</v>
      </c>
      <c r="G6159" s="2" t="s">
        <v>12</v>
      </c>
      <c r="H6159" s="2" t="s">
        <v>12</v>
      </c>
      <c r="I6159" s="2" t="s">
        <v>12</v>
      </c>
      <c r="J6159" s="2" t="s">
        <v>12</v>
      </c>
      <c r="K6159" s="2" t="s">
        <v>12</v>
      </c>
    </row>
    <row r="6160" spans="1:11" ht="12.5" x14ac:dyDescent="0.25">
      <c r="A6160" s="3" t="e">
        <f ca="1"/>
        <v>#NAME?</v>
      </c>
      <c r="B6160" s="2" t="s">
        <v>12</v>
      </c>
      <c r="C6160" s="2" t="s">
        <v>12</v>
      </c>
      <c r="D6160" s="2" t="s">
        <v>12</v>
      </c>
      <c r="E6160" s="2" t="s">
        <v>12</v>
      </c>
      <c r="F6160" s="2" t="s">
        <v>12</v>
      </c>
      <c r="G6160" s="2" t="s">
        <v>12</v>
      </c>
      <c r="H6160" s="2" t="s">
        <v>12</v>
      </c>
      <c r="I6160" s="2" t="s">
        <v>12</v>
      </c>
      <c r="J6160" s="2" t="s">
        <v>12</v>
      </c>
      <c r="K6160" s="2" t="s">
        <v>12</v>
      </c>
    </row>
    <row r="6161" spans="1:11" ht="12.5" x14ac:dyDescent="0.25">
      <c r="A6161" s="3" t="e">
        <f ca="1"/>
        <v>#NAME?</v>
      </c>
      <c r="B6161" s="2" t="s">
        <v>12</v>
      </c>
      <c r="C6161" s="2" t="s">
        <v>12</v>
      </c>
      <c r="D6161" s="2" t="s">
        <v>12</v>
      </c>
      <c r="E6161" s="2" t="s">
        <v>12</v>
      </c>
      <c r="F6161" s="2" t="s">
        <v>12</v>
      </c>
      <c r="G6161" s="2" t="s">
        <v>12</v>
      </c>
      <c r="H6161" s="2" t="s">
        <v>12</v>
      </c>
      <c r="I6161" s="2" t="s">
        <v>12</v>
      </c>
      <c r="J6161" s="2" t="s">
        <v>12</v>
      </c>
      <c r="K6161" s="2" t="s">
        <v>12</v>
      </c>
    </row>
    <row r="6162" spans="1:11" ht="12.5" x14ac:dyDescent="0.25">
      <c r="A6162" s="3" t="e">
        <f ca="1"/>
        <v>#NAME?</v>
      </c>
      <c r="B6162" s="2" t="s">
        <v>12</v>
      </c>
      <c r="C6162" s="2" t="s">
        <v>12</v>
      </c>
      <c r="D6162" s="2" t="s">
        <v>12</v>
      </c>
      <c r="E6162" s="2" t="s">
        <v>12</v>
      </c>
      <c r="F6162" s="2" t="s">
        <v>12</v>
      </c>
      <c r="G6162" s="2" t="s">
        <v>12</v>
      </c>
      <c r="H6162" s="2" t="s">
        <v>12</v>
      </c>
      <c r="I6162" s="2" t="s">
        <v>12</v>
      </c>
      <c r="J6162" s="2" t="s">
        <v>12</v>
      </c>
      <c r="K6162" s="2" t="s">
        <v>12</v>
      </c>
    </row>
    <row r="6163" spans="1:11" ht="12.5" x14ac:dyDescent="0.25">
      <c r="A6163" s="3" t="e">
        <f ca="1"/>
        <v>#NAME?</v>
      </c>
      <c r="B6163" s="2" t="s">
        <v>12</v>
      </c>
      <c r="C6163" s="2" t="s">
        <v>12</v>
      </c>
      <c r="D6163" s="2" t="s">
        <v>12</v>
      </c>
      <c r="E6163" s="2" t="s">
        <v>12</v>
      </c>
      <c r="F6163" s="2" t="s">
        <v>12</v>
      </c>
      <c r="G6163" s="2" t="s">
        <v>12</v>
      </c>
      <c r="H6163" s="2" t="s">
        <v>12</v>
      </c>
      <c r="I6163" s="2" t="s">
        <v>12</v>
      </c>
      <c r="J6163" s="2" t="s">
        <v>12</v>
      </c>
      <c r="K6163" s="2" t="s">
        <v>12</v>
      </c>
    </row>
    <row r="6164" spans="1:11" ht="12.5" x14ac:dyDescent="0.25">
      <c r="A6164" s="3" t="e">
        <f ca="1"/>
        <v>#NAME?</v>
      </c>
      <c r="B6164" s="2" t="s">
        <v>12</v>
      </c>
      <c r="C6164" s="2" t="s">
        <v>12</v>
      </c>
      <c r="D6164" s="2" t="s">
        <v>12</v>
      </c>
      <c r="E6164" s="2" t="s">
        <v>12</v>
      </c>
      <c r="F6164" s="2" t="s">
        <v>12</v>
      </c>
      <c r="G6164" s="2" t="s">
        <v>12</v>
      </c>
      <c r="H6164" s="2" t="s">
        <v>12</v>
      </c>
      <c r="I6164" s="2" t="s">
        <v>12</v>
      </c>
      <c r="J6164" s="2" t="s">
        <v>12</v>
      </c>
      <c r="K6164" s="2" t="s">
        <v>12</v>
      </c>
    </row>
    <row r="6165" spans="1:11" ht="12.5" x14ac:dyDescent="0.25">
      <c r="A6165" s="3" t="e">
        <f ca="1"/>
        <v>#NAME?</v>
      </c>
      <c r="B6165" s="2" t="s">
        <v>12</v>
      </c>
      <c r="C6165" s="2" t="s">
        <v>12</v>
      </c>
      <c r="D6165" s="2" t="s">
        <v>12</v>
      </c>
      <c r="E6165" s="2" t="s">
        <v>12</v>
      </c>
      <c r="F6165" s="2" t="s">
        <v>12</v>
      </c>
      <c r="G6165" s="2" t="s">
        <v>12</v>
      </c>
      <c r="H6165" s="2" t="s">
        <v>12</v>
      </c>
      <c r="I6165" s="2" t="s">
        <v>12</v>
      </c>
      <c r="J6165" s="2" t="s">
        <v>12</v>
      </c>
      <c r="K6165" s="2" t="s">
        <v>12</v>
      </c>
    </row>
    <row r="6166" spans="1:11" ht="12.5" x14ac:dyDescent="0.25">
      <c r="A6166" s="3" t="e">
        <f ca="1"/>
        <v>#NAME?</v>
      </c>
      <c r="B6166" s="2" t="s">
        <v>12</v>
      </c>
      <c r="C6166" s="2" t="s">
        <v>12</v>
      </c>
      <c r="D6166" s="2" t="s">
        <v>12</v>
      </c>
      <c r="E6166" s="2" t="s">
        <v>12</v>
      </c>
      <c r="F6166" s="2" t="s">
        <v>12</v>
      </c>
      <c r="G6166" s="2" t="s">
        <v>12</v>
      </c>
      <c r="H6166" s="2" t="s">
        <v>12</v>
      </c>
      <c r="I6166" s="2" t="s">
        <v>12</v>
      </c>
      <c r="J6166" s="2" t="s">
        <v>12</v>
      </c>
      <c r="K6166" s="2" t="s">
        <v>12</v>
      </c>
    </row>
    <row r="6167" spans="1:11" ht="12.5" x14ac:dyDescent="0.25">
      <c r="A6167" s="3" t="e">
        <f ca="1"/>
        <v>#NAME?</v>
      </c>
      <c r="B6167" s="2" t="s">
        <v>12</v>
      </c>
      <c r="C6167" s="2" t="s">
        <v>12</v>
      </c>
      <c r="D6167" s="2" t="s">
        <v>12</v>
      </c>
      <c r="E6167" s="2" t="s">
        <v>12</v>
      </c>
      <c r="F6167" s="2" t="s">
        <v>12</v>
      </c>
      <c r="G6167" s="2" t="s">
        <v>12</v>
      </c>
      <c r="H6167" s="2" t="s">
        <v>12</v>
      </c>
      <c r="I6167" s="2" t="s">
        <v>12</v>
      </c>
      <c r="J6167" s="2" t="s">
        <v>12</v>
      </c>
      <c r="K6167" s="2" t="s">
        <v>12</v>
      </c>
    </row>
    <row r="6168" spans="1:11" ht="12.5" x14ac:dyDescent="0.25">
      <c r="A6168" s="3" t="e">
        <f ca="1"/>
        <v>#NAME?</v>
      </c>
      <c r="B6168" s="2" t="s">
        <v>12</v>
      </c>
      <c r="C6168" s="2" t="s">
        <v>12</v>
      </c>
      <c r="D6168" s="2" t="s">
        <v>12</v>
      </c>
      <c r="E6168" s="2" t="s">
        <v>12</v>
      </c>
      <c r="F6168" s="2" t="s">
        <v>12</v>
      </c>
      <c r="G6168" s="2" t="s">
        <v>12</v>
      </c>
      <c r="H6168" s="2" t="s">
        <v>12</v>
      </c>
      <c r="I6168" s="2" t="s">
        <v>12</v>
      </c>
      <c r="J6168" s="2" t="s">
        <v>12</v>
      </c>
      <c r="K6168" s="2" t="s">
        <v>12</v>
      </c>
    </row>
    <row r="6169" spans="1:11" ht="12.5" x14ac:dyDescent="0.25">
      <c r="A6169" s="3" t="e">
        <f ca="1"/>
        <v>#NAME?</v>
      </c>
      <c r="B6169" s="2" t="s">
        <v>12</v>
      </c>
      <c r="C6169" s="2" t="s">
        <v>12</v>
      </c>
      <c r="D6169" s="2" t="s">
        <v>12</v>
      </c>
      <c r="E6169" s="2" t="s">
        <v>12</v>
      </c>
      <c r="F6169" s="2" t="s">
        <v>12</v>
      </c>
      <c r="G6169" s="2" t="s">
        <v>12</v>
      </c>
      <c r="H6169" s="2" t="s">
        <v>12</v>
      </c>
      <c r="I6169" s="2" t="s">
        <v>12</v>
      </c>
      <c r="J6169" s="2" t="s">
        <v>12</v>
      </c>
      <c r="K6169" s="2" t="s">
        <v>12</v>
      </c>
    </row>
    <row r="6170" spans="1:11" ht="12.5" x14ac:dyDescent="0.25">
      <c r="A6170" s="3" t="e">
        <f ca="1"/>
        <v>#NAME?</v>
      </c>
      <c r="B6170" s="2" t="s">
        <v>12</v>
      </c>
      <c r="C6170" s="2" t="s">
        <v>12</v>
      </c>
      <c r="D6170" s="2" t="s">
        <v>12</v>
      </c>
      <c r="E6170" s="2" t="s">
        <v>12</v>
      </c>
      <c r="F6170" s="2" t="s">
        <v>12</v>
      </c>
      <c r="G6170" s="2" t="s">
        <v>12</v>
      </c>
      <c r="H6170" s="2" t="s">
        <v>12</v>
      </c>
      <c r="I6170" s="2" t="s">
        <v>12</v>
      </c>
      <c r="J6170" s="2" t="s">
        <v>12</v>
      </c>
      <c r="K6170" s="2" t="s">
        <v>12</v>
      </c>
    </row>
    <row r="6171" spans="1:11" ht="12.5" x14ac:dyDescent="0.25">
      <c r="A6171" s="3" t="e">
        <f ca="1"/>
        <v>#NAME?</v>
      </c>
      <c r="B6171" s="2" t="s">
        <v>12</v>
      </c>
      <c r="C6171" s="2" t="s">
        <v>12</v>
      </c>
      <c r="D6171" s="2" t="s">
        <v>12</v>
      </c>
      <c r="E6171" s="2" t="s">
        <v>12</v>
      </c>
      <c r="F6171" s="2" t="s">
        <v>12</v>
      </c>
      <c r="G6171" s="2" t="s">
        <v>12</v>
      </c>
      <c r="H6171" s="2" t="s">
        <v>12</v>
      </c>
      <c r="I6171" s="2" t="s">
        <v>12</v>
      </c>
      <c r="J6171" s="2" t="s">
        <v>12</v>
      </c>
      <c r="K6171" s="2" t="s">
        <v>12</v>
      </c>
    </row>
    <row r="6172" spans="1:11" ht="12.5" x14ac:dyDescent="0.25">
      <c r="A6172" s="3" t="e">
        <f ca="1"/>
        <v>#NAME?</v>
      </c>
      <c r="B6172" s="2" t="s">
        <v>12</v>
      </c>
      <c r="C6172" s="2" t="s">
        <v>12</v>
      </c>
      <c r="D6172" s="2" t="s">
        <v>12</v>
      </c>
      <c r="E6172" s="2" t="s">
        <v>12</v>
      </c>
      <c r="F6172" s="2" t="s">
        <v>12</v>
      </c>
      <c r="G6172" s="2" t="s">
        <v>12</v>
      </c>
      <c r="H6172" s="2" t="s">
        <v>12</v>
      </c>
      <c r="I6172" s="2" t="s">
        <v>12</v>
      </c>
      <c r="J6172" s="2" t="s">
        <v>12</v>
      </c>
      <c r="K6172" s="2" t="s">
        <v>12</v>
      </c>
    </row>
    <row r="6173" spans="1:11" ht="12.5" x14ac:dyDescent="0.25">
      <c r="A6173" s="3" t="e">
        <f ca="1"/>
        <v>#NAME?</v>
      </c>
      <c r="B6173" s="2" t="s">
        <v>12</v>
      </c>
      <c r="C6173" s="2" t="s">
        <v>12</v>
      </c>
      <c r="D6173" s="2" t="s">
        <v>12</v>
      </c>
      <c r="E6173" s="2" t="s">
        <v>12</v>
      </c>
      <c r="F6173" s="2" t="s">
        <v>12</v>
      </c>
      <c r="G6173" s="2" t="s">
        <v>12</v>
      </c>
      <c r="H6173" s="2" t="s">
        <v>12</v>
      </c>
      <c r="I6173" s="2" t="s">
        <v>12</v>
      </c>
      <c r="J6173" s="2" t="s">
        <v>12</v>
      </c>
      <c r="K6173" s="2" t="s">
        <v>12</v>
      </c>
    </row>
    <row r="6174" spans="1:11" ht="12.5" x14ac:dyDescent="0.25">
      <c r="A6174" s="3" t="e">
        <f ca="1"/>
        <v>#NAME?</v>
      </c>
      <c r="B6174" s="2" t="s">
        <v>12</v>
      </c>
      <c r="C6174" s="2" t="s">
        <v>12</v>
      </c>
      <c r="D6174" s="2" t="s">
        <v>12</v>
      </c>
      <c r="E6174" s="2" t="s">
        <v>12</v>
      </c>
      <c r="F6174" s="2" t="s">
        <v>12</v>
      </c>
      <c r="G6174" s="2" t="s">
        <v>12</v>
      </c>
      <c r="H6174" s="2" t="s">
        <v>12</v>
      </c>
      <c r="I6174" s="2" t="s">
        <v>12</v>
      </c>
      <c r="J6174" s="2" t="s">
        <v>12</v>
      </c>
      <c r="K6174" s="2" t="s">
        <v>12</v>
      </c>
    </row>
    <row r="6175" spans="1:11" ht="12.5" x14ac:dyDescent="0.25">
      <c r="A6175" s="3" t="e">
        <f ca="1"/>
        <v>#NAME?</v>
      </c>
      <c r="B6175" s="2" t="s">
        <v>12</v>
      </c>
      <c r="C6175" s="2" t="s">
        <v>12</v>
      </c>
      <c r="D6175" s="2" t="s">
        <v>12</v>
      </c>
      <c r="E6175" s="2" t="s">
        <v>12</v>
      </c>
      <c r="F6175" s="2" t="s">
        <v>12</v>
      </c>
      <c r="G6175" s="2" t="s">
        <v>12</v>
      </c>
      <c r="H6175" s="2" t="s">
        <v>12</v>
      </c>
      <c r="I6175" s="2" t="s">
        <v>12</v>
      </c>
      <c r="J6175" s="2" t="s">
        <v>12</v>
      </c>
      <c r="K6175" s="2" t="s">
        <v>12</v>
      </c>
    </row>
    <row r="6176" spans="1:11" ht="12.5" x14ac:dyDescent="0.25">
      <c r="A6176" s="3" t="e">
        <f ca="1"/>
        <v>#NAME?</v>
      </c>
      <c r="B6176" s="2" t="s">
        <v>12</v>
      </c>
      <c r="C6176" s="2" t="s">
        <v>12</v>
      </c>
      <c r="D6176" s="2" t="s">
        <v>12</v>
      </c>
      <c r="E6176" s="2" t="s">
        <v>12</v>
      </c>
      <c r="F6176" s="2" t="s">
        <v>12</v>
      </c>
      <c r="G6176" s="2" t="s">
        <v>12</v>
      </c>
      <c r="H6176" s="2" t="s">
        <v>12</v>
      </c>
      <c r="I6176" s="2" t="s">
        <v>12</v>
      </c>
      <c r="J6176" s="2" t="s">
        <v>12</v>
      </c>
      <c r="K6176" s="2" t="s">
        <v>12</v>
      </c>
    </row>
    <row r="6177" spans="1:11" ht="12.5" x14ac:dyDescent="0.25">
      <c r="A6177" s="3" t="e">
        <f ca="1"/>
        <v>#NAME?</v>
      </c>
      <c r="B6177" s="2" t="s">
        <v>12</v>
      </c>
      <c r="C6177" s="2" t="s">
        <v>12</v>
      </c>
      <c r="D6177" s="2" t="s">
        <v>12</v>
      </c>
      <c r="E6177" s="2" t="s">
        <v>12</v>
      </c>
      <c r="F6177" s="2" t="s">
        <v>12</v>
      </c>
      <c r="G6177" s="2" t="s">
        <v>12</v>
      </c>
      <c r="H6177" s="2" t="s">
        <v>12</v>
      </c>
      <c r="I6177" s="2" t="s">
        <v>12</v>
      </c>
      <c r="J6177" s="2" t="s">
        <v>12</v>
      </c>
      <c r="K6177" s="2" t="s">
        <v>12</v>
      </c>
    </row>
    <row r="6178" spans="1:11" ht="12.5" x14ac:dyDescent="0.25">
      <c r="A6178" s="3" t="e">
        <f ca="1"/>
        <v>#NAME?</v>
      </c>
      <c r="B6178" s="2" t="s">
        <v>12</v>
      </c>
      <c r="C6178" s="2" t="s">
        <v>12</v>
      </c>
      <c r="D6178" s="2" t="s">
        <v>12</v>
      </c>
      <c r="E6178" s="2" t="s">
        <v>12</v>
      </c>
      <c r="F6178" s="2" t="s">
        <v>12</v>
      </c>
      <c r="G6178" s="2" t="s">
        <v>12</v>
      </c>
      <c r="H6178" s="2" t="s">
        <v>12</v>
      </c>
      <c r="I6178" s="2" t="s">
        <v>12</v>
      </c>
      <c r="J6178" s="2" t="s">
        <v>12</v>
      </c>
      <c r="K6178" s="2" t="s">
        <v>12</v>
      </c>
    </row>
    <row r="6179" spans="1:11" ht="12.5" x14ac:dyDescent="0.25">
      <c r="A6179" s="3" t="e">
        <f ca="1"/>
        <v>#NAME?</v>
      </c>
      <c r="B6179" s="2" t="s">
        <v>12</v>
      </c>
      <c r="C6179" s="2" t="s">
        <v>12</v>
      </c>
      <c r="D6179" s="2" t="s">
        <v>12</v>
      </c>
      <c r="E6179" s="2" t="s">
        <v>12</v>
      </c>
      <c r="F6179" s="2" t="s">
        <v>12</v>
      </c>
      <c r="G6179" s="2" t="s">
        <v>12</v>
      </c>
      <c r="H6179" s="2" t="s">
        <v>12</v>
      </c>
      <c r="I6179" s="2" t="s">
        <v>12</v>
      </c>
      <c r="J6179" s="2" t="s">
        <v>12</v>
      </c>
      <c r="K6179" s="2" t="s">
        <v>12</v>
      </c>
    </row>
    <row r="6180" spans="1:11" ht="12.5" x14ac:dyDescent="0.25">
      <c r="A6180" s="3" t="e">
        <f ca="1"/>
        <v>#NAME?</v>
      </c>
      <c r="B6180" s="2" t="s">
        <v>12</v>
      </c>
      <c r="C6180" s="2" t="s">
        <v>12</v>
      </c>
      <c r="D6180" s="2" t="s">
        <v>12</v>
      </c>
      <c r="E6180" s="2" t="s">
        <v>12</v>
      </c>
      <c r="F6180" s="2" t="s">
        <v>12</v>
      </c>
      <c r="G6180" s="2" t="s">
        <v>12</v>
      </c>
      <c r="H6180" s="2" t="s">
        <v>12</v>
      </c>
      <c r="I6180" s="2" t="s">
        <v>12</v>
      </c>
      <c r="J6180" s="2" t="s">
        <v>12</v>
      </c>
      <c r="K6180" s="2" t="s">
        <v>12</v>
      </c>
    </row>
    <row r="6181" spans="1:11" ht="12.5" x14ac:dyDescent="0.25">
      <c r="A6181" s="3" t="e">
        <f ca="1"/>
        <v>#NAME?</v>
      </c>
      <c r="B6181" s="2" t="s">
        <v>12</v>
      </c>
      <c r="C6181" s="2" t="s">
        <v>12</v>
      </c>
      <c r="D6181" s="2" t="s">
        <v>12</v>
      </c>
      <c r="E6181" s="2" t="s">
        <v>12</v>
      </c>
      <c r="F6181" s="2" t="s">
        <v>12</v>
      </c>
      <c r="G6181" s="2" t="s">
        <v>12</v>
      </c>
      <c r="H6181" s="2" t="s">
        <v>12</v>
      </c>
      <c r="I6181" s="2" t="s">
        <v>12</v>
      </c>
      <c r="J6181" s="2" t="s">
        <v>12</v>
      </c>
      <c r="K6181" s="2" t="s">
        <v>12</v>
      </c>
    </row>
    <row r="6182" spans="1:11" ht="12.5" x14ac:dyDescent="0.25">
      <c r="A6182" s="3" t="e">
        <f ca="1"/>
        <v>#NAME?</v>
      </c>
      <c r="B6182" s="2" t="s">
        <v>12</v>
      </c>
      <c r="C6182" s="2" t="s">
        <v>12</v>
      </c>
      <c r="D6182" s="2" t="s">
        <v>12</v>
      </c>
      <c r="E6182" s="2" t="s">
        <v>12</v>
      </c>
      <c r="F6182" s="2" t="s">
        <v>12</v>
      </c>
      <c r="G6182" s="2" t="s">
        <v>12</v>
      </c>
      <c r="H6182" s="2" t="s">
        <v>12</v>
      </c>
      <c r="I6182" s="2" t="s">
        <v>12</v>
      </c>
      <c r="J6182" s="2" t="s">
        <v>12</v>
      </c>
      <c r="K6182" s="2" t="s">
        <v>12</v>
      </c>
    </row>
    <row r="6183" spans="1:11" ht="12.5" x14ac:dyDescent="0.25">
      <c r="A6183" s="3" t="e">
        <f ca="1"/>
        <v>#NAME?</v>
      </c>
      <c r="B6183" s="2" t="s">
        <v>12</v>
      </c>
      <c r="C6183" s="2" t="s">
        <v>12</v>
      </c>
      <c r="D6183" s="2" t="s">
        <v>12</v>
      </c>
      <c r="E6183" s="2" t="s">
        <v>12</v>
      </c>
      <c r="F6183" s="2" t="s">
        <v>12</v>
      </c>
      <c r="G6183" s="2" t="s">
        <v>12</v>
      </c>
      <c r="H6183" s="2" t="s">
        <v>12</v>
      </c>
      <c r="I6183" s="2" t="s">
        <v>12</v>
      </c>
      <c r="J6183" s="2" t="s">
        <v>12</v>
      </c>
      <c r="K6183" s="2" t="s">
        <v>12</v>
      </c>
    </row>
    <row r="6184" spans="1:11" ht="12.5" x14ac:dyDescent="0.25">
      <c r="A6184" s="3" t="e">
        <f ca="1"/>
        <v>#NAME?</v>
      </c>
      <c r="B6184" s="2" t="s">
        <v>12</v>
      </c>
      <c r="C6184" s="2" t="s">
        <v>12</v>
      </c>
      <c r="D6184" s="2" t="s">
        <v>12</v>
      </c>
      <c r="E6184" s="2" t="s">
        <v>12</v>
      </c>
      <c r="F6184" s="2" t="s">
        <v>12</v>
      </c>
      <c r="G6184" s="2" t="s">
        <v>12</v>
      </c>
      <c r="H6184" s="2" t="s">
        <v>12</v>
      </c>
      <c r="I6184" s="2" t="s">
        <v>12</v>
      </c>
      <c r="J6184" s="2" t="s">
        <v>12</v>
      </c>
      <c r="K6184" s="2" t="s">
        <v>12</v>
      </c>
    </row>
    <row r="6185" spans="1:11" ht="12.5" x14ac:dyDescent="0.25">
      <c r="A6185" s="3" t="e">
        <f ca="1"/>
        <v>#NAME?</v>
      </c>
      <c r="B6185" s="2" t="s">
        <v>12</v>
      </c>
      <c r="C6185" s="2" t="s">
        <v>12</v>
      </c>
      <c r="D6185" s="2" t="s">
        <v>12</v>
      </c>
      <c r="E6185" s="2" t="s">
        <v>12</v>
      </c>
      <c r="F6185" s="2" t="s">
        <v>12</v>
      </c>
      <c r="G6185" s="2" t="s">
        <v>12</v>
      </c>
      <c r="H6185" s="2" t="s">
        <v>12</v>
      </c>
      <c r="I6185" s="2" t="s">
        <v>12</v>
      </c>
      <c r="J6185" s="2" t="s">
        <v>12</v>
      </c>
      <c r="K6185" s="2" t="s">
        <v>12</v>
      </c>
    </row>
    <row r="6186" spans="1:11" ht="12.5" x14ac:dyDescent="0.25">
      <c r="A6186" s="3" t="e">
        <f ca="1"/>
        <v>#NAME?</v>
      </c>
      <c r="B6186" s="2" t="s">
        <v>12</v>
      </c>
      <c r="C6186" s="2" t="s">
        <v>12</v>
      </c>
      <c r="D6186" s="2" t="s">
        <v>12</v>
      </c>
      <c r="E6186" s="2" t="s">
        <v>12</v>
      </c>
      <c r="F6186" s="2" t="s">
        <v>12</v>
      </c>
      <c r="G6186" s="2" t="s">
        <v>12</v>
      </c>
      <c r="H6186" s="2" t="s">
        <v>12</v>
      </c>
      <c r="I6186" s="2" t="s">
        <v>12</v>
      </c>
      <c r="J6186" s="2" t="s">
        <v>12</v>
      </c>
      <c r="K6186" s="2" t="s">
        <v>12</v>
      </c>
    </row>
    <row r="6187" spans="1:11" ht="12.5" x14ac:dyDescent="0.25">
      <c r="A6187" s="3" t="e">
        <f ca="1"/>
        <v>#NAME?</v>
      </c>
      <c r="B6187" s="2" t="s">
        <v>12</v>
      </c>
      <c r="C6187" s="2" t="s">
        <v>12</v>
      </c>
      <c r="D6187" s="2" t="s">
        <v>12</v>
      </c>
      <c r="E6187" s="2" t="s">
        <v>12</v>
      </c>
      <c r="F6187" s="2" t="s">
        <v>12</v>
      </c>
      <c r="G6187" s="2" t="s">
        <v>12</v>
      </c>
      <c r="H6187" s="2" t="s">
        <v>12</v>
      </c>
      <c r="I6187" s="2" t="s">
        <v>12</v>
      </c>
      <c r="J6187" s="2" t="s">
        <v>12</v>
      </c>
      <c r="K6187" s="2" t="s">
        <v>12</v>
      </c>
    </row>
    <row r="6188" spans="1:11" ht="12.5" x14ac:dyDescent="0.25">
      <c r="A6188" s="3" t="e">
        <f ca="1"/>
        <v>#NAME?</v>
      </c>
      <c r="B6188" s="2" t="s">
        <v>12</v>
      </c>
      <c r="C6188" s="2" t="s">
        <v>12</v>
      </c>
      <c r="D6188" s="2" t="s">
        <v>12</v>
      </c>
      <c r="E6188" s="2" t="s">
        <v>12</v>
      </c>
      <c r="F6188" s="2" t="s">
        <v>12</v>
      </c>
      <c r="G6188" s="2" t="s">
        <v>12</v>
      </c>
      <c r="H6188" s="2" t="s">
        <v>12</v>
      </c>
      <c r="I6188" s="2" t="s">
        <v>12</v>
      </c>
      <c r="J6188" s="2" t="s">
        <v>12</v>
      </c>
      <c r="K6188" s="2" t="s">
        <v>12</v>
      </c>
    </row>
    <row r="6189" spans="1:11" ht="12.5" x14ac:dyDescent="0.25">
      <c r="A6189" s="3" t="e">
        <f ca="1"/>
        <v>#NAME?</v>
      </c>
      <c r="B6189" s="2" t="s">
        <v>12</v>
      </c>
      <c r="C6189" s="2" t="s">
        <v>12</v>
      </c>
      <c r="D6189" s="2" t="s">
        <v>12</v>
      </c>
      <c r="E6189" s="2" t="s">
        <v>12</v>
      </c>
      <c r="F6189" s="2" t="s">
        <v>12</v>
      </c>
      <c r="G6189" s="2" t="s">
        <v>12</v>
      </c>
      <c r="H6189" s="2" t="s">
        <v>12</v>
      </c>
      <c r="I6189" s="2" t="s">
        <v>12</v>
      </c>
      <c r="J6189" s="2" t="s">
        <v>12</v>
      </c>
      <c r="K6189" s="2" t="s">
        <v>12</v>
      </c>
    </row>
    <row r="6190" spans="1:11" ht="12.5" x14ac:dyDescent="0.25">
      <c r="A6190" s="3" t="e">
        <f ca="1"/>
        <v>#NAME?</v>
      </c>
      <c r="B6190" s="2" t="s">
        <v>12</v>
      </c>
      <c r="C6190" s="2" t="s">
        <v>12</v>
      </c>
      <c r="D6190" s="2" t="s">
        <v>12</v>
      </c>
      <c r="E6190" s="2" t="s">
        <v>12</v>
      </c>
      <c r="F6190" s="2" t="s">
        <v>12</v>
      </c>
      <c r="G6190" s="2" t="s">
        <v>12</v>
      </c>
      <c r="H6190" s="2" t="s">
        <v>12</v>
      </c>
      <c r="I6190" s="2" t="s">
        <v>12</v>
      </c>
      <c r="J6190" s="2" t="s">
        <v>12</v>
      </c>
      <c r="K6190" s="2" t="s">
        <v>12</v>
      </c>
    </row>
    <row r="6191" spans="1:11" ht="12.5" x14ac:dyDescent="0.25">
      <c r="A6191" s="3" t="e">
        <f ca="1"/>
        <v>#NAME?</v>
      </c>
      <c r="B6191" s="2" t="s">
        <v>12</v>
      </c>
      <c r="C6191" s="2" t="s">
        <v>12</v>
      </c>
      <c r="D6191" s="2" t="s">
        <v>12</v>
      </c>
      <c r="E6191" s="2" t="s">
        <v>12</v>
      </c>
      <c r="F6191" s="2" t="s">
        <v>12</v>
      </c>
      <c r="G6191" s="2" t="s">
        <v>12</v>
      </c>
      <c r="H6191" s="2" t="s">
        <v>12</v>
      </c>
      <c r="I6191" s="2" t="s">
        <v>12</v>
      </c>
      <c r="J6191" s="2" t="s">
        <v>12</v>
      </c>
      <c r="K6191" s="2" t="s">
        <v>12</v>
      </c>
    </row>
    <row r="6192" spans="1:11" ht="12.5" x14ac:dyDescent="0.25">
      <c r="A6192" s="3" t="e">
        <f ca="1"/>
        <v>#NAME?</v>
      </c>
      <c r="B6192" s="2" t="s">
        <v>12</v>
      </c>
      <c r="C6192" s="2" t="s">
        <v>12</v>
      </c>
      <c r="D6192" s="2" t="s">
        <v>12</v>
      </c>
      <c r="E6192" s="2" t="s">
        <v>12</v>
      </c>
      <c r="F6192" s="2" t="s">
        <v>12</v>
      </c>
      <c r="G6192" s="2" t="s">
        <v>12</v>
      </c>
      <c r="H6192" s="2" t="s">
        <v>12</v>
      </c>
      <c r="I6192" s="2" t="s">
        <v>12</v>
      </c>
      <c r="J6192" s="2" t="s">
        <v>12</v>
      </c>
      <c r="K6192" s="2" t="s">
        <v>12</v>
      </c>
    </row>
    <row r="6193" spans="1:11" ht="12.5" x14ac:dyDescent="0.25">
      <c r="A6193" s="3" t="e">
        <f ca="1"/>
        <v>#NAME?</v>
      </c>
      <c r="B6193" s="2" t="s">
        <v>12</v>
      </c>
      <c r="C6193" s="2" t="s">
        <v>12</v>
      </c>
      <c r="D6193" s="2" t="s">
        <v>12</v>
      </c>
      <c r="E6193" s="2" t="s">
        <v>12</v>
      </c>
      <c r="F6193" s="2" t="s">
        <v>12</v>
      </c>
      <c r="G6193" s="2" t="s">
        <v>12</v>
      </c>
      <c r="H6193" s="2" t="s">
        <v>12</v>
      </c>
      <c r="I6193" s="2" t="s">
        <v>12</v>
      </c>
      <c r="J6193" s="2" t="s">
        <v>12</v>
      </c>
      <c r="K6193" s="2" t="s">
        <v>12</v>
      </c>
    </row>
    <row r="6194" spans="1:11" ht="12.5" x14ac:dyDescent="0.25">
      <c r="A6194" s="3" t="e">
        <f ca="1"/>
        <v>#NAME?</v>
      </c>
      <c r="B6194" s="2" t="s">
        <v>12</v>
      </c>
      <c r="C6194" s="2" t="s">
        <v>12</v>
      </c>
      <c r="D6194" s="2" t="s">
        <v>12</v>
      </c>
      <c r="E6194" s="2" t="s">
        <v>12</v>
      </c>
      <c r="F6194" s="2" t="s">
        <v>12</v>
      </c>
      <c r="G6194" s="2" t="s">
        <v>12</v>
      </c>
      <c r="H6194" s="2" t="s">
        <v>12</v>
      </c>
      <c r="I6194" s="2" t="s">
        <v>12</v>
      </c>
      <c r="J6194" s="2" t="s">
        <v>12</v>
      </c>
      <c r="K6194" s="2" t="s">
        <v>12</v>
      </c>
    </row>
    <row r="6195" spans="1:11" ht="12.5" x14ac:dyDescent="0.25">
      <c r="A6195" s="3" t="e">
        <f ca="1"/>
        <v>#NAME?</v>
      </c>
      <c r="B6195" s="2" t="s">
        <v>12</v>
      </c>
      <c r="C6195" s="2" t="s">
        <v>12</v>
      </c>
      <c r="D6195" s="2" t="s">
        <v>12</v>
      </c>
      <c r="E6195" s="2" t="s">
        <v>12</v>
      </c>
      <c r="F6195" s="2" t="s">
        <v>12</v>
      </c>
      <c r="G6195" s="2" t="s">
        <v>12</v>
      </c>
      <c r="H6195" s="2" t="s">
        <v>12</v>
      </c>
      <c r="I6195" s="2" t="s">
        <v>12</v>
      </c>
      <c r="J6195" s="2" t="s">
        <v>12</v>
      </c>
      <c r="K6195" s="2" t="s">
        <v>12</v>
      </c>
    </row>
    <row r="6196" spans="1:11" ht="12.5" x14ac:dyDescent="0.25">
      <c r="A6196" s="3" t="e">
        <f ca="1"/>
        <v>#NAME?</v>
      </c>
      <c r="B6196" s="2" t="s">
        <v>12</v>
      </c>
      <c r="C6196" s="2" t="s">
        <v>12</v>
      </c>
      <c r="D6196" s="2" t="s">
        <v>12</v>
      </c>
      <c r="E6196" s="2" t="s">
        <v>12</v>
      </c>
      <c r="F6196" s="2" t="s">
        <v>12</v>
      </c>
      <c r="G6196" s="2" t="s">
        <v>12</v>
      </c>
      <c r="H6196" s="2" t="s">
        <v>12</v>
      </c>
      <c r="I6196" s="2" t="s">
        <v>12</v>
      </c>
      <c r="J6196" s="2" t="s">
        <v>12</v>
      </c>
      <c r="K6196" s="2" t="s">
        <v>12</v>
      </c>
    </row>
    <row r="6197" spans="1:11" ht="12.5" x14ac:dyDescent="0.25">
      <c r="A6197" s="3" t="e">
        <f ca="1"/>
        <v>#NAME?</v>
      </c>
      <c r="B6197" s="2" t="s">
        <v>12</v>
      </c>
      <c r="C6197" s="2" t="s">
        <v>12</v>
      </c>
      <c r="D6197" s="2" t="s">
        <v>12</v>
      </c>
      <c r="E6197" s="2" t="s">
        <v>12</v>
      </c>
      <c r="F6197" s="2" t="s">
        <v>12</v>
      </c>
      <c r="G6197" s="2" t="s">
        <v>12</v>
      </c>
      <c r="H6197" s="2" t="s">
        <v>12</v>
      </c>
      <c r="I6197" s="2" t="s">
        <v>12</v>
      </c>
      <c r="J6197" s="2" t="s">
        <v>12</v>
      </c>
      <c r="K6197" s="2" t="s">
        <v>12</v>
      </c>
    </row>
    <row r="6198" spans="1:11" ht="12.5" x14ac:dyDescent="0.25">
      <c r="A6198" s="3" t="e">
        <f ca="1"/>
        <v>#NAME?</v>
      </c>
      <c r="B6198" s="2" t="s">
        <v>12</v>
      </c>
      <c r="C6198" s="2" t="s">
        <v>12</v>
      </c>
      <c r="D6198" s="2" t="s">
        <v>12</v>
      </c>
      <c r="E6198" s="2" t="s">
        <v>12</v>
      </c>
      <c r="F6198" s="2" t="s">
        <v>12</v>
      </c>
      <c r="G6198" s="2" t="s">
        <v>12</v>
      </c>
      <c r="H6198" s="2" t="s">
        <v>12</v>
      </c>
      <c r="I6198" s="2" t="s">
        <v>12</v>
      </c>
      <c r="J6198" s="2" t="s">
        <v>12</v>
      </c>
      <c r="K6198" s="2" t="s">
        <v>12</v>
      </c>
    </row>
    <row r="6199" spans="1:11" ht="12.5" x14ac:dyDescent="0.25">
      <c r="A6199" s="3" t="e">
        <f ca="1"/>
        <v>#NAME?</v>
      </c>
      <c r="B6199" s="2" t="s">
        <v>12</v>
      </c>
      <c r="C6199" s="2" t="s">
        <v>12</v>
      </c>
      <c r="D6199" s="2" t="s">
        <v>12</v>
      </c>
      <c r="E6199" s="2" t="s">
        <v>12</v>
      </c>
      <c r="F6199" s="2" t="s">
        <v>12</v>
      </c>
      <c r="G6199" s="2" t="s">
        <v>12</v>
      </c>
      <c r="H6199" s="2" t="s">
        <v>12</v>
      </c>
      <c r="I6199" s="2" t="s">
        <v>12</v>
      </c>
      <c r="J6199" s="2" t="s">
        <v>12</v>
      </c>
      <c r="K6199" s="2" t="s">
        <v>12</v>
      </c>
    </row>
    <row r="6200" spans="1:11" ht="12.5" x14ac:dyDescent="0.25">
      <c r="A6200" s="3" t="e">
        <f ca="1"/>
        <v>#NAME?</v>
      </c>
      <c r="B6200" s="2" t="s">
        <v>12</v>
      </c>
      <c r="C6200" s="2" t="s">
        <v>12</v>
      </c>
      <c r="D6200" s="2" t="s">
        <v>12</v>
      </c>
      <c r="E6200" s="2" t="s">
        <v>12</v>
      </c>
      <c r="F6200" s="2" t="s">
        <v>12</v>
      </c>
      <c r="G6200" s="2" t="s">
        <v>12</v>
      </c>
      <c r="H6200" s="2" t="s">
        <v>12</v>
      </c>
      <c r="I6200" s="2" t="s">
        <v>12</v>
      </c>
      <c r="J6200" s="2" t="s">
        <v>12</v>
      </c>
      <c r="K6200" s="2" t="s">
        <v>12</v>
      </c>
    </row>
    <row r="6201" spans="1:11" ht="12.5" x14ac:dyDescent="0.25">
      <c r="A6201" s="3" t="e">
        <f ca="1"/>
        <v>#NAME?</v>
      </c>
      <c r="B6201" s="2" t="s">
        <v>12</v>
      </c>
      <c r="C6201" s="2" t="s">
        <v>12</v>
      </c>
      <c r="D6201" s="2" t="s">
        <v>12</v>
      </c>
      <c r="E6201" s="2" t="s">
        <v>12</v>
      </c>
      <c r="F6201" s="2" t="s">
        <v>12</v>
      </c>
      <c r="G6201" s="2" t="s">
        <v>12</v>
      </c>
      <c r="H6201" s="2" t="s">
        <v>12</v>
      </c>
      <c r="I6201" s="2" t="s">
        <v>12</v>
      </c>
      <c r="J6201" s="2" t="s">
        <v>12</v>
      </c>
      <c r="K6201" s="2" t="s">
        <v>12</v>
      </c>
    </row>
    <row r="6202" spans="1:11" ht="12.5" x14ac:dyDescent="0.25">
      <c r="A6202" s="3" t="e">
        <f ca="1"/>
        <v>#NAME?</v>
      </c>
      <c r="B6202" s="2" t="s">
        <v>12</v>
      </c>
      <c r="C6202" s="2" t="s">
        <v>12</v>
      </c>
      <c r="D6202" s="2" t="s">
        <v>12</v>
      </c>
      <c r="E6202" s="2" t="s">
        <v>12</v>
      </c>
      <c r="F6202" s="2" t="s">
        <v>12</v>
      </c>
      <c r="G6202" s="2" t="s">
        <v>12</v>
      </c>
      <c r="H6202" s="2" t="s">
        <v>12</v>
      </c>
      <c r="I6202" s="2" t="s">
        <v>12</v>
      </c>
      <c r="J6202" s="2" t="s">
        <v>12</v>
      </c>
      <c r="K6202" s="2" t="s">
        <v>12</v>
      </c>
    </row>
    <row r="6203" spans="1:11" ht="12.5" x14ac:dyDescent="0.25">
      <c r="A6203" s="3" t="e">
        <f ca="1"/>
        <v>#NAME?</v>
      </c>
      <c r="B6203" s="2" t="s">
        <v>12</v>
      </c>
      <c r="C6203" s="2" t="s">
        <v>12</v>
      </c>
      <c r="D6203" s="2" t="s">
        <v>12</v>
      </c>
      <c r="E6203" s="2" t="s">
        <v>12</v>
      </c>
      <c r="F6203" s="2" t="s">
        <v>12</v>
      </c>
      <c r="G6203" s="2" t="s">
        <v>12</v>
      </c>
      <c r="H6203" s="2" t="s">
        <v>12</v>
      </c>
      <c r="I6203" s="2" t="s">
        <v>12</v>
      </c>
      <c r="J6203" s="2" t="s">
        <v>12</v>
      </c>
      <c r="K6203" s="2" t="s">
        <v>12</v>
      </c>
    </row>
    <row r="6204" spans="1:11" ht="12.5" x14ac:dyDescent="0.25">
      <c r="A6204" s="3" t="e">
        <f ca="1"/>
        <v>#NAME?</v>
      </c>
      <c r="B6204" s="2" t="s">
        <v>12</v>
      </c>
      <c r="C6204" s="2" t="s">
        <v>12</v>
      </c>
      <c r="D6204" s="2" t="s">
        <v>12</v>
      </c>
      <c r="E6204" s="2" t="s">
        <v>12</v>
      </c>
      <c r="F6204" s="2" t="s">
        <v>12</v>
      </c>
      <c r="G6204" s="2" t="s">
        <v>12</v>
      </c>
      <c r="H6204" s="2" t="s">
        <v>12</v>
      </c>
      <c r="I6204" s="2" t="s">
        <v>12</v>
      </c>
      <c r="J6204" s="2" t="s">
        <v>12</v>
      </c>
      <c r="K6204" s="2" t="s">
        <v>12</v>
      </c>
    </row>
    <row r="6205" spans="1:11" ht="12.5" x14ac:dyDescent="0.25">
      <c r="A6205" s="3" t="e">
        <f ca="1"/>
        <v>#NAME?</v>
      </c>
      <c r="B6205" s="2" t="s">
        <v>12</v>
      </c>
      <c r="C6205" s="2" t="s">
        <v>12</v>
      </c>
      <c r="D6205" s="2" t="s">
        <v>12</v>
      </c>
      <c r="E6205" s="2" t="s">
        <v>12</v>
      </c>
      <c r="F6205" s="2" t="s">
        <v>12</v>
      </c>
      <c r="G6205" s="2" t="s">
        <v>12</v>
      </c>
      <c r="H6205" s="2" t="s">
        <v>12</v>
      </c>
      <c r="I6205" s="2" t="s">
        <v>12</v>
      </c>
      <c r="J6205" s="2" t="s">
        <v>12</v>
      </c>
      <c r="K6205" s="2" t="s">
        <v>12</v>
      </c>
    </row>
    <row r="6206" spans="1:11" ht="12.5" x14ac:dyDescent="0.25">
      <c r="A6206" s="3" t="e">
        <f ca="1"/>
        <v>#NAME?</v>
      </c>
      <c r="B6206" s="2" t="s">
        <v>12</v>
      </c>
      <c r="C6206" s="2" t="s">
        <v>12</v>
      </c>
      <c r="D6206" s="2" t="s">
        <v>12</v>
      </c>
      <c r="E6206" s="2" t="s">
        <v>12</v>
      </c>
      <c r="F6206" s="2" t="s">
        <v>12</v>
      </c>
      <c r="G6206" s="2" t="s">
        <v>12</v>
      </c>
      <c r="H6206" s="2" t="s">
        <v>12</v>
      </c>
      <c r="I6206" s="2" t="s">
        <v>12</v>
      </c>
      <c r="J6206" s="2" t="s">
        <v>12</v>
      </c>
      <c r="K6206" s="2" t="s">
        <v>12</v>
      </c>
    </row>
    <row r="6207" spans="1:11" ht="12.5" x14ac:dyDescent="0.25">
      <c r="A6207" s="3" t="e">
        <f ca="1"/>
        <v>#NAME?</v>
      </c>
      <c r="B6207" s="2" t="s">
        <v>12</v>
      </c>
      <c r="C6207" s="2" t="s">
        <v>12</v>
      </c>
      <c r="D6207" s="2" t="s">
        <v>12</v>
      </c>
      <c r="E6207" s="2" t="s">
        <v>12</v>
      </c>
      <c r="F6207" s="2" t="s">
        <v>12</v>
      </c>
      <c r="G6207" s="2" t="s">
        <v>12</v>
      </c>
      <c r="H6207" s="2" t="s">
        <v>12</v>
      </c>
      <c r="I6207" s="2" t="s">
        <v>12</v>
      </c>
      <c r="J6207" s="2" t="s">
        <v>12</v>
      </c>
      <c r="K6207" s="2" t="s">
        <v>12</v>
      </c>
    </row>
    <row r="6208" spans="1:11" ht="12.5" x14ac:dyDescent="0.25">
      <c r="A6208" s="3" t="e">
        <f ca="1"/>
        <v>#NAME?</v>
      </c>
      <c r="B6208" s="2" t="s">
        <v>12</v>
      </c>
      <c r="C6208" s="2" t="s">
        <v>12</v>
      </c>
      <c r="D6208" s="2" t="s">
        <v>12</v>
      </c>
      <c r="E6208" s="2" t="s">
        <v>12</v>
      </c>
      <c r="F6208" s="2" t="s">
        <v>12</v>
      </c>
      <c r="G6208" s="2" t="s">
        <v>12</v>
      </c>
      <c r="H6208" s="2" t="s">
        <v>12</v>
      </c>
      <c r="I6208" s="2" t="s">
        <v>12</v>
      </c>
      <c r="J6208" s="2" t="s">
        <v>12</v>
      </c>
      <c r="K6208" s="2" t="s">
        <v>12</v>
      </c>
    </row>
    <row r="6209" spans="1:11" ht="12.5" x14ac:dyDescent="0.25">
      <c r="A6209" s="3" t="e">
        <f ca="1"/>
        <v>#NAME?</v>
      </c>
      <c r="B6209" s="2" t="s">
        <v>12</v>
      </c>
      <c r="C6209" s="2" t="s">
        <v>12</v>
      </c>
      <c r="D6209" s="2" t="s">
        <v>12</v>
      </c>
      <c r="E6209" s="2" t="s">
        <v>12</v>
      </c>
      <c r="F6209" s="2" t="s">
        <v>12</v>
      </c>
      <c r="G6209" s="2" t="s">
        <v>12</v>
      </c>
      <c r="H6209" s="2" t="s">
        <v>12</v>
      </c>
      <c r="I6209" s="2" t="s">
        <v>12</v>
      </c>
      <c r="J6209" s="2" t="s">
        <v>12</v>
      </c>
      <c r="K6209" s="2" t="s">
        <v>12</v>
      </c>
    </row>
    <row r="6210" spans="1:11" ht="12.5" x14ac:dyDescent="0.25">
      <c r="A6210" s="3" t="e">
        <f ca="1"/>
        <v>#NAME?</v>
      </c>
      <c r="B6210" s="2" t="s">
        <v>12</v>
      </c>
      <c r="C6210" s="2" t="s">
        <v>12</v>
      </c>
      <c r="D6210" s="2" t="s">
        <v>12</v>
      </c>
      <c r="E6210" s="2" t="s">
        <v>12</v>
      </c>
      <c r="F6210" s="2" t="s">
        <v>12</v>
      </c>
      <c r="G6210" s="2" t="s">
        <v>12</v>
      </c>
      <c r="H6210" s="2" t="s">
        <v>12</v>
      </c>
      <c r="I6210" s="2" t="s">
        <v>12</v>
      </c>
      <c r="J6210" s="2" t="s">
        <v>12</v>
      </c>
      <c r="K6210" s="2" t="s">
        <v>12</v>
      </c>
    </row>
    <row r="6211" spans="1:11" ht="12.5" x14ac:dyDescent="0.25">
      <c r="A6211" s="3" t="e">
        <f ca="1"/>
        <v>#NAME?</v>
      </c>
      <c r="B6211" s="2" t="s">
        <v>12</v>
      </c>
      <c r="C6211" s="2" t="s">
        <v>12</v>
      </c>
      <c r="D6211" s="2" t="s">
        <v>12</v>
      </c>
      <c r="E6211" s="2" t="s">
        <v>12</v>
      </c>
      <c r="F6211" s="2" t="s">
        <v>12</v>
      </c>
      <c r="G6211" s="2" t="s">
        <v>12</v>
      </c>
      <c r="H6211" s="2" t="s">
        <v>12</v>
      </c>
      <c r="I6211" s="2" t="s">
        <v>12</v>
      </c>
      <c r="J6211" s="2" t="s">
        <v>12</v>
      </c>
      <c r="K6211" s="2" t="s">
        <v>12</v>
      </c>
    </row>
    <row r="6212" spans="1:11" ht="12.5" x14ac:dyDescent="0.25">
      <c r="A6212" s="3" t="e">
        <f ca="1"/>
        <v>#NAME?</v>
      </c>
      <c r="B6212" s="2" t="s">
        <v>12</v>
      </c>
      <c r="C6212" s="2" t="s">
        <v>12</v>
      </c>
      <c r="D6212" s="2" t="s">
        <v>12</v>
      </c>
      <c r="E6212" s="2" t="s">
        <v>12</v>
      </c>
      <c r="F6212" s="2" t="s">
        <v>12</v>
      </c>
      <c r="G6212" s="2" t="s">
        <v>12</v>
      </c>
      <c r="H6212" s="2" t="s">
        <v>12</v>
      </c>
      <c r="I6212" s="2" t="s">
        <v>12</v>
      </c>
      <c r="J6212" s="2" t="s">
        <v>12</v>
      </c>
      <c r="K6212" s="2" t="s">
        <v>12</v>
      </c>
    </row>
    <row r="6213" spans="1:11" ht="12.5" x14ac:dyDescent="0.25">
      <c r="A6213" s="3" t="e">
        <f ca="1"/>
        <v>#NAME?</v>
      </c>
      <c r="B6213" s="2" t="s">
        <v>12</v>
      </c>
      <c r="C6213" s="2" t="s">
        <v>12</v>
      </c>
      <c r="D6213" s="2" t="s">
        <v>12</v>
      </c>
      <c r="E6213" s="2" t="s">
        <v>12</v>
      </c>
      <c r="F6213" s="2" t="s">
        <v>12</v>
      </c>
      <c r="G6213" s="2" t="s">
        <v>12</v>
      </c>
      <c r="H6213" s="2" t="s">
        <v>12</v>
      </c>
      <c r="I6213" s="2" t="s">
        <v>12</v>
      </c>
      <c r="J6213" s="2" t="s">
        <v>12</v>
      </c>
      <c r="K6213" s="2" t="s">
        <v>12</v>
      </c>
    </row>
    <row r="6214" spans="1:11" ht="12.5" x14ac:dyDescent="0.25">
      <c r="A6214" s="3" t="e">
        <f ca="1"/>
        <v>#NAME?</v>
      </c>
      <c r="B6214" s="2" t="s">
        <v>12</v>
      </c>
      <c r="C6214" s="2" t="s">
        <v>12</v>
      </c>
      <c r="D6214" s="2" t="s">
        <v>12</v>
      </c>
      <c r="E6214" s="2" t="s">
        <v>12</v>
      </c>
      <c r="F6214" s="2" t="s">
        <v>12</v>
      </c>
      <c r="G6214" s="2" t="s">
        <v>12</v>
      </c>
      <c r="H6214" s="2" t="s">
        <v>12</v>
      </c>
      <c r="I6214" s="2" t="s">
        <v>12</v>
      </c>
      <c r="J6214" s="2" t="s">
        <v>12</v>
      </c>
      <c r="K6214" s="2" t="s">
        <v>12</v>
      </c>
    </row>
    <row r="6215" spans="1:11" ht="12.5" x14ac:dyDescent="0.25">
      <c r="A6215" s="3" t="e">
        <f ca="1"/>
        <v>#NAME?</v>
      </c>
      <c r="B6215" s="2" t="s">
        <v>12</v>
      </c>
      <c r="C6215" s="2" t="s">
        <v>12</v>
      </c>
      <c r="D6215" s="2" t="s">
        <v>12</v>
      </c>
      <c r="E6215" s="2" t="s">
        <v>12</v>
      </c>
      <c r="F6215" s="2" t="s">
        <v>12</v>
      </c>
      <c r="G6215" s="2" t="s">
        <v>12</v>
      </c>
      <c r="H6215" s="2" t="s">
        <v>12</v>
      </c>
      <c r="I6215" s="2" t="s">
        <v>12</v>
      </c>
      <c r="J6215" s="2" t="s">
        <v>12</v>
      </c>
      <c r="K6215" s="2" t="s">
        <v>12</v>
      </c>
    </row>
    <row r="6216" spans="1:11" ht="12.5" x14ac:dyDescent="0.25">
      <c r="A6216" s="3" t="e">
        <f ca="1"/>
        <v>#NAME?</v>
      </c>
      <c r="B6216" s="2" t="s">
        <v>12</v>
      </c>
      <c r="C6216" s="2" t="s">
        <v>12</v>
      </c>
      <c r="D6216" s="2" t="s">
        <v>12</v>
      </c>
      <c r="E6216" s="2" t="s">
        <v>12</v>
      </c>
      <c r="F6216" s="2" t="s">
        <v>12</v>
      </c>
      <c r="G6216" s="2" t="s">
        <v>12</v>
      </c>
      <c r="H6216" s="2" t="s">
        <v>12</v>
      </c>
      <c r="I6216" s="2" t="s">
        <v>12</v>
      </c>
      <c r="J6216" s="2" t="s">
        <v>12</v>
      </c>
      <c r="K6216" s="2" t="s">
        <v>12</v>
      </c>
    </row>
    <row r="6217" spans="1:11" ht="12.5" x14ac:dyDescent="0.25">
      <c r="A6217" s="3" t="e">
        <f ca="1"/>
        <v>#NAME?</v>
      </c>
      <c r="B6217" s="2" t="s">
        <v>12</v>
      </c>
      <c r="C6217" s="2" t="s">
        <v>12</v>
      </c>
      <c r="D6217" s="2" t="s">
        <v>12</v>
      </c>
      <c r="E6217" s="2" t="s">
        <v>12</v>
      </c>
      <c r="F6217" s="2" t="s">
        <v>12</v>
      </c>
      <c r="G6217" s="2" t="s">
        <v>12</v>
      </c>
      <c r="H6217" s="2" t="s">
        <v>12</v>
      </c>
      <c r="I6217" s="2" t="s">
        <v>12</v>
      </c>
      <c r="J6217" s="2" t="s">
        <v>12</v>
      </c>
      <c r="K6217" s="2" t="s">
        <v>12</v>
      </c>
    </row>
    <row r="6218" spans="1:11" ht="12.5" x14ac:dyDescent="0.25">
      <c r="A6218" s="3" t="e">
        <f ca="1"/>
        <v>#NAME?</v>
      </c>
      <c r="B6218" s="2" t="s">
        <v>12</v>
      </c>
      <c r="C6218" s="2" t="s">
        <v>12</v>
      </c>
      <c r="D6218" s="2" t="s">
        <v>12</v>
      </c>
      <c r="E6218" s="2" t="s">
        <v>12</v>
      </c>
      <c r="F6218" s="2" t="s">
        <v>12</v>
      </c>
      <c r="G6218" s="2" t="s">
        <v>12</v>
      </c>
      <c r="H6218" s="2" t="s">
        <v>12</v>
      </c>
      <c r="I6218" s="2" t="s">
        <v>12</v>
      </c>
      <c r="J6218" s="2" t="s">
        <v>12</v>
      </c>
      <c r="K6218" s="2" t="s">
        <v>12</v>
      </c>
    </row>
    <row r="6219" spans="1:11" ht="12.5" x14ac:dyDescent="0.25">
      <c r="A6219" s="3" t="e">
        <f ca="1"/>
        <v>#NAME?</v>
      </c>
      <c r="B6219" s="2" t="s">
        <v>12</v>
      </c>
      <c r="C6219" s="2" t="s">
        <v>12</v>
      </c>
      <c r="D6219" s="2" t="s">
        <v>12</v>
      </c>
      <c r="E6219" s="2" t="s">
        <v>12</v>
      </c>
      <c r="F6219" s="2" t="s">
        <v>12</v>
      </c>
      <c r="G6219" s="2" t="s">
        <v>12</v>
      </c>
      <c r="H6219" s="2" t="s">
        <v>12</v>
      </c>
      <c r="I6219" s="2" t="s">
        <v>12</v>
      </c>
      <c r="J6219" s="2" t="s">
        <v>12</v>
      </c>
      <c r="K6219" s="2" t="s">
        <v>12</v>
      </c>
    </row>
    <row r="6220" spans="1:11" ht="12.5" x14ac:dyDescent="0.25">
      <c r="A6220" s="3" t="e">
        <f ca="1"/>
        <v>#NAME?</v>
      </c>
      <c r="B6220" s="2" t="s">
        <v>12</v>
      </c>
      <c r="C6220" s="2" t="s">
        <v>12</v>
      </c>
      <c r="D6220" s="2" t="s">
        <v>12</v>
      </c>
      <c r="E6220" s="2" t="s">
        <v>12</v>
      </c>
      <c r="F6220" s="2" t="s">
        <v>12</v>
      </c>
      <c r="G6220" s="2" t="s">
        <v>12</v>
      </c>
      <c r="H6220" s="2" t="s">
        <v>12</v>
      </c>
      <c r="I6220" s="2" t="s">
        <v>12</v>
      </c>
      <c r="J6220" s="2" t="s">
        <v>12</v>
      </c>
      <c r="K6220" s="2" t="s">
        <v>12</v>
      </c>
    </row>
    <row r="6221" spans="1:11" ht="12.5" x14ac:dyDescent="0.25">
      <c r="A6221" s="3" t="e">
        <f ca="1"/>
        <v>#NAME?</v>
      </c>
      <c r="B6221" s="2" t="s">
        <v>12</v>
      </c>
      <c r="C6221" s="2" t="s">
        <v>12</v>
      </c>
      <c r="D6221" s="2" t="s">
        <v>12</v>
      </c>
      <c r="E6221" s="2" t="s">
        <v>12</v>
      </c>
      <c r="F6221" s="2" t="s">
        <v>12</v>
      </c>
      <c r="G6221" s="2" t="s">
        <v>12</v>
      </c>
      <c r="H6221" s="2" t="s">
        <v>12</v>
      </c>
      <c r="I6221" s="2" t="s">
        <v>12</v>
      </c>
      <c r="J6221" s="2" t="s">
        <v>12</v>
      </c>
      <c r="K6221" s="2" t="s">
        <v>12</v>
      </c>
    </row>
    <row r="6222" spans="1:11" ht="12.5" x14ac:dyDescent="0.25">
      <c r="A6222" s="3" t="e">
        <f ca="1"/>
        <v>#NAME?</v>
      </c>
      <c r="B6222" s="2" t="s">
        <v>12</v>
      </c>
      <c r="C6222" s="2" t="s">
        <v>12</v>
      </c>
      <c r="D6222" s="2" t="s">
        <v>12</v>
      </c>
      <c r="E6222" s="2" t="s">
        <v>12</v>
      </c>
      <c r="F6222" s="2" t="s">
        <v>12</v>
      </c>
      <c r="G6222" s="2" t="s">
        <v>12</v>
      </c>
      <c r="H6222" s="2" t="s">
        <v>12</v>
      </c>
      <c r="I6222" s="2" t="s">
        <v>12</v>
      </c>
      <c r="J6222" s="2" t="s">
        <v>12</v>
      </c>
      <c r="K6222" s="2" t="s">
        <v>12</v>
      </c>
    </row>
    <row r="6223" spans="1:11" ht="12.5" x14ac:dyDescent="0.25">
      <c r="A6223" s="3" t="e">
        <f ca="1"/>
        <v>#NAME?</v>
      </c>
      <c r="B6223" s="2" t="s">
        <v>12</v>
      </c>
      <c r="C6223" s="2" t="s">
        <v>12</v>
      </c>
      <c r="D6223" s="2" t="s">
        <v>12</v>
      </c>
      <c r="E6223" s="2" t="s">
        <v>12</v>
      </c>
      <c r="F6223" s="2" t="s">
        <v>12</v>
      </c>
      <c r="G6223" s="2" t="s">
        <v>12</v>
      </c>
      <c r="H6223" s="2" t="s">
        <v>12</v>
      </c>
      <c r="I6223" s="2" t="s">
        <v>12</v>
      </c>
      <c r="J6223" s="2" t="s">
        <v>12</v>
      </c>
      <c r="K6223" s="2" t="s">
        <v>12</v>
      </c>
    </row>
    <row r="6224" spans="1:11" ht="12.5" x14ac:dyDescent="0.25">
      <c r="A6224" s="3" t="e">
        <f ca="1"/>
        <v>#NAME?</v>
      </c>
      <c r="B6224" s="2" t="s">
        <v>12</v>
      </c>
      <c r="C6224" s="2" t="s">
        <v>12</v>
      </c>
      <c r="D6224" s="2" t="s">
        <v>12</v>
      </c>
      <c r="E6224" s="2" t="s">
        <v>12</v>
      </c>
      <c r="F6224" s="2" t="s">
        <v>12</v>
      </c>
      <c r="G6224" s="2" t="s">
        <v>12</v>
      </c>
      <c r="H6224" s="2" t="s">
        <v>12</v>
      </c>
      <c r="I6224" s="2" t="s">
        <v>12</v>
      </c>
      <c r="J6224" s="2" t="s">
        <v>12</v>
      </c>
      <c r="K6224" s="2" t="s">
        <v>12</v>
      </c>
    </row>
    <row r="6225" spans="1:11" ht="12.5" x14ac:dyDescent="0.25">
      <c r="A6225" s="3" t="e">
        <f ca="1"/>
        <v>#NAME?</v>
      </c>
      <c r="B6225" s="2" t="s">
        <v>12</v>
      </c>
      <c r="C6225" s="2" t="s">
        <v>12</v>
      </c>
      <c r="D6225" s="2" t="s">
        <v>12</v>
      </c>
      <c r="E6225" s="2" t="s">
        <v>12</v>
      </c>
      <c r="F6225" s="2" t="s">
        <v>12</v>
      </c>
      <c r="G6225" s="2" t="s">
        <v>12</v>
      </c>
      <c r="H6225" s="2" t="s">
        <v>12</v>
      </c>
      <c r="I6225" s="2" t="s">
        <v>12</v>
      </c>
      <c r="J6225" s="2" t="s">
        <v>12</v>
      </c>
      <c r="K6225" s="2" t="s">
        <v>12</v>
      </c>
    </row>
    <row r="6226" spans="1:11" ht="12.5" x14ac:dyDescent="0.25">
      <c r="A6226" s="3" t="e">
        <f ca="1"/>
        <v>#NAME?</v>
      </c>
      <c r="B6226" s="2" t="s">
        <v>12</v>
      </c>
      <c r="C6226" s="2" t="s">
        <v>12</v>
      </c>
      <c r="D6226" s="2" t="s">
        <v>12</v>
      </c>
      <c r="E6226" s="2" t="s">
        <v>12</v>
      </c>
      <c r="F6226" s="2" t="s">
        <v>12</v>
      </c>
      <c r="G6226" s="2" t="s">
        <v>12</v>
      </c>
      <c r="H6226" s="2" t="s">
        <v>12</v>
      </c>
      <c r="I6226" s="2" t="s">
        <v>12</v>
      </c>
      <c r="J6226" s="2" t="s">
        <v>12</v>
      </c>
      <c r="K6226" s="2" t="s">
        <v>12</v>
      </c>
    </row>
    <row r="6227" spans="1:11" ht="12.5" x14ac:dyDescent="0.25">
      <c r="A6227" s="3" t="e">
        <f ca="1"/>
        <v>#NAME?</v>
      </c>
      <c r="B6227" s="2" t="s">
        <v>12</v>
      </c>
      <c r="C6227" s="2" t="s">
        <v>12</v>
      </c>
      <c r="D6227" s="2" t="s">
        <v>12</v>
      </c>
      <c r="E6227" s="2" t="s">
        <v>12</v>
      </c>
      <c r="F6227" s="2" t="s">
        <v>12</v>
      </c>
      <c r="G6227" s="2" t="s">
        <v>12</v>
      </c>
      <c r="H6227" s="2" t="s">
        <v>12</v>
      </c>
      <c r="I6227" s="2" t="s">
        <v>12</v>
      </c>
      <c r="J6227" s="2" t="s">
        <v>12</v>
      </c>
      <c r="K6227" s="2" t="s">
        <v>12</v>
      </c>
    </row>
    <row r="6228" spans="1:11" ht="12.5" x14ac:dyDescent="0.25">
      <c r="A6228" s="3" t="e">
        <f ca="1"/>
        <v>#NAME?</v>
      </c>
      <c r="B6228" s="2" t="s">
        <v>12</v>
      </c>
      <c r="C6228" s="2" t="s">
        <v>12</v>
      </c>
      <c r="D6228" s="2" t="s">
        <v>12</v>
      </c>
      <c r="E6228" s="2" t="s">
        <v>12</v>
      </c>
      <c r="F6228" s="2" t="s">
        <v>12</v>
      </c>
      <c r="G6228" s="2" t="s">
        <v>12</v>
      </c>
      <c r="H6228" s="2" t="s">
        <v>12</v>
      </c>
      <c r="I6228" s="2" t="s">
        <v>12</v>
      </c>
      <c r="J6228" s="2" t="s">
        <v>12</v>
      </c>
      <c r="K6228" s="2" t="s">
        <v>12</v>
      </c>
    </row>
    <row r="6229" spans="1:11" ht="12.5" x14ac:dyDescent="0.25">
      <c r="A6229" s="3" t="e">
        <f ca="1"/>
        <v>#NAME?</v>
      </c>
      <c r="B6229" s="2" t="s">
        <v>12</v>
      </c>
      <c r="C6229" s="2" t="s">
        <v>12</v>
      </c>
      <c r="D6229" s="2" t="s">
        <v>12</v>
      </c>
      <c r="E6229" s="2" t="s">
        <v>12</v>
      </c>
      <c r="F6229" s="2" t="s">
        <v>12</v>
      </c>
      <c r="G6229" s="2" t="s">
        <v>12</v>
      </c>
      <c r="H6229" s="2" t="s">
        <v>12</v>
      </c>
      <c r="I6229" s="2" t="s">
        <v>12</v>
      </c>
      <c r="J6229" s="2" t="s">
        <v>12</v>
      </c>
      <c r="K6229" s="2" t="s">
        <v>12</v>
      </c>
    </row>
    <row r="6230" spans="1:11" ht="12.5" x14ac:dyDescent="0.25">
      <c r="A6230" s="3" t="e">
        <f ca="1"/>
        <v>#NAME?</v>
      </c>
      <c r="B6230" s="2" t="s">
        <v>12</v>
      </c>
      <c r="C6230" s="2" t="s">
        <v>12</v>
      </c>
      <c r="D6230" s="2" t="s">
        <v>12</v>
      </c>
      <c r="E6230" s="2" t="s">
        <v>12</v>
      </c>
      <c r="F6230" s="2" t="s">
        <v>12</v>
      </c>
      <c r="G6230" s="2" t="s">
        <v>12</v>
      </c>
      <c r="H6230" s="2" t="s">
        <v>12</v>
      </c>
      <c r="I6230" s="2" t="s">
        <v>12</v>
      </c>
      <c r="J6230" s="2" t="s">
        <v>12</v>
      </c>
      <c r="K6230" s="2" t="s">
        <v>12</v>
      </c>
    </row>
    <row r="6231" spans="1:11" ht="12.5" x14ac:dyDescent="0.25">
      <c r="A6231" s="3" t="e">
        <f ca="1"/>
        <v>#NAME?</v>
      </c>
      <c r="B6231" s="2" t="s">
        <v>12</v>
      </c>
      <c r="C6231" s="2" t="s">
        <v>12</v>
      </c>
      <c r="D6231" s="2" t="s">
        <v>12</v>
      </c>
      <c r="E6231" s="2" t="s">
        <v>12</v>
      </c>
      <c r="F6231" s="2" t="s">
        <v>12</v>
      </c>
      <c r="G6231" s="2" t="s">
        <v>12</v>
      </c>
      <c r="H6231" s="2" t="s">
        <v>12</v>
      </c>
      <c r="I6231" s="2" t="s">
        <v>12</v>
      </c>
      <c r="J6231" s="2" t="s">
        <v>12</v>
      </c>
      <c r="K6231" s="2" t="s">
        <v>12</v>
      </c>
    </row>
    <row r="6232" spans="1:11" ht="12.5" x14ac:dyDescent="0.25">
      <c r="A6232" s="3" t="e">
        <f ca="1"/>
        <v>#NAME?</v>
      </c>
      <c r="B6232" s="2" t="s">
        <v>12</v>
      </c>
      <c r="C6232" s="2" t="s">
        <v>12</v>
      </c>
      <c r="D6232" s="2" t="s">
        <v>12</v>
      </c>
      <c r="E6232" s="2" t="s">
        <v>12</v>
      </c>
      <c r="F6232" s="2" t="s">
        <v>12</v>
      </c>
      <c r="G6232" s="2" t="s">
        <v>12</v>
      </c>
      <c r="H6232" s="2" t="s">
        <v>12</v>
      </c>
      <c r="I6232" s="2" t="s">
        <v>12</v>
      </c>
      <c r="J6232" s="2" t="s">
        <v>12</v>
      </c>
      <c r="K6232" s="2" t="s">
        <v>12</v>
      </c>
    </row>
    <row r="6233" spans="1:11" ht="12.5" x14ac:dyDescent="0.25">
      <c r="A6233" s="3" t="e">
        <f ca="1"/>
        <v>#NAME?</v>
      </c>
      <c r="B6233" s="2" t="s">
        <v>12</v>
      </c>
      <c r="C6233" s="2" t="s">
        <v>12</v>
      </c>
      <c r="D6233" s="2" t="s">
        <v>12</v>
      </c>
      <c r="E6233" s="2" t="s">
        <v>12</v>
      </c>
      <c r="F6233" s="2" t="s">
        <v>12</v>
      </c>
      <c r="G6233" s="2" t="s">
        <v>12</v>
      </c>
      <c r="H6233" s="2" t="s">
        <v>12</v>
      </c>
      <c r="I6233" s="2" t="s">
        <v>12</v>
      </c>
      <c r="J6233" s="2" t="s">
        <v>12</v>
      </c>
      <c r="K6233" s="2" t="s">
        <v>12</v>
      </c>
    </row>
    <row r="6234" spans="1:11" ht="12.5" x14ac:dyDescent="0.25">
      <c r="A6234" s="3" t="e">
        <f ca="1"/>
        <v>#NAME?</v>
      </c>
      <c r="B6234" s="2" t="s">
        <v>12</v>
      </c>
      <c r="C6234" s="2" t="s">
        <v>12</v>
      </c>
      <c r="D6234" s="2" t="s">
        <v>12</v>
      </c>
      <c r="E6234" s="2" t="s">
        <v>12</v>
      </c>
      <c r="F6234" s="2" t="s">
        <v>12</v>
      </c>
      <c r="G6234" s="2" t="s">
        <v>12</v>
      </c>
      <c r="H6234" s="2" t="s">
        <v>12</v>
      </c>
      <c r="I6234" s="2" t="s">
        <v>12</v>
      </c>
      <c r="J6234" s="2" t="s">
        <v>12</v>
      </c>
      <c r="K6234" s="2" t="s">
        <v>12</v>
      </c>
    </row>
    <row r="6235" spans="1:11" ht="12.5" x14ac:dyDescent="0.25">
      <c r="A6235" s="3" t="e">
        <f ca="1"/>
        <v>#NAME?</v>
      </c>
      <c r="B6235" s="2" t="s">
        <v>12</v>
      </c>
      <c r="C6235" s="2" t="s">
        <v>12</v>
      </c>
      <c r="D6235" s="2" t="s">
        <v>12</v>
      </c>
      <c r="E6235" s="2" t="s">
        <v>12</v>
      </c>
      <c r="F6235" s="2" t="s">
        <v>12</v>
      </c>
      <c r="G6235" s="2" t="s">
        <v>12</v>
      </c>
      <c r="H6235" s="2" t="s">
        <v>12</v>
      </c>
      <c r="I6235" s="2" t="s">
        <v>12</v>
      </c>
      <c r="J6235" s="2" t="s">
        <v>12</v>
      </c>
      <c r="K6235" s="2" t="s">
        <v>12</v>
      </c>
    </row>
    <row r="6236" spans="1:11" ht="12.5" x14ac:dyDescent="0.25">
      <c r="A6236" s="3" t="e">
        <f ca="1"/>
        <v>#NAME?</v>
      </c>
      <c r="B6236" s="2" t="s">
        <v>12</v>
      </c>
      <c r="C6236" s="2" t="s">
        <v>12</v>
      </c>
      <c r="D6236" s="2" t="s">
        <v>12</v>
      </c>
      <c r="E6236" s="2" t="s">
        <v>12</v>
      </c>
      <c r="F6236" s="2" t="s">
        <v>12</v>
      </c>
      <c r="G6236" s="2" t="s">
        <v>12</v>
      </c>
      <c r="H6236" s="2" t="s">
        <v>12</v>
      </c>
      <c r="I6236" s="2" t="s">
        <v>12</v>
      </c>
      <c r="J6236" s="2" t="s">
        <v>12</v>
      </c>
      <c r="K6236" s="2" t="s">
        <v>12</v>
      </c>
    </row>
    <row r="6237" spans="1:11" ht="12.5" x14ac:dyDescent="0.25">
      <c r="A6237" s="3" t="e">
        <f ca="1"/>
        <v>#NAME?</v>
      </c>
      <c r="B6237" s="2" t="s">
        <v>12</v>
      </c>
      <c r="C6237" s="2" t="s">
        <v>12</v>
      </c>
      <c r="D6237" s="2" t="s">
        <v>12</v>
      </c>
      <c r="E6237" s="2" t="s">
        <v>12</v>
      </c>
      <c r="F6237" s="2" t="s">
        <v>12</v>
      </c>
      <c r="G6237" s="2" t="s">
        <v>12</v>
      </c>
      <c r="H6237" s="2" t="s">
        <v>12</v>
      </c>
      <c r="I6237" s="2" t="s">
        <v>12</v>
      </c>
      <c r="J6237" s="2" t="s">
        <v>12</v>
      </c>
      <c r="K6237" s="2" t="s">
        <v>12</v>
      </c>
    </row>
    <row r="6238" spans="1:11" ht="12.5" x14ac:dyDescent="0.25">
      <c r="A6238" s="3" t="e">
        <f ca="1"/>
        <v>#NAME?</v>
      </c>
      <c r="B6238" s="2" t="s">
        <v>12</v>
      </c>
      <c r="C6238" s="2" t="s">
        <v>12</v>
      </c>
      <c r="D6238" s="2" t="s">
        <v>12</v>
      </c>
      <c r="E6238" s="2" t="s">
        <v>12</v>
      </c>
      <c r="F6238" s="2" t="s">
        <v>12</v>
      </c>
      <c r="G6238" s="2" t="s">
        <v>12</v>
      </c>
      <c r="H6238" s="2" t="s">
        <v>12</v>
      </c>
      <c r="I6238" s="2" t="s">
        <v>12</v>
      </c>
      <c r="J6238" s="2" t="s">
        <v>12</v>
      </c>
      <c r="K6238" s="2" t="s">
        <v>12</v>
      </c>
    </row>
    <row r="6239" spans="1:11" ht="12.5" x14ac:dyDescent="0.25">
      <c r="A6239" s="3" t="e">
        <f ca="1"/>
        <v>#NAME?</v>
      </c>
      <c r="B6239" s="2" t="s">
        <v>12</v>
      </c>
      <c r="C6239" s="2" t="s">
        <v>12</v>
      </c>
      <c r="D6239" s="2" t="s">
        <v>12</v>
      </c>
      <c r="E6239" s="2" t="s">
        <v>12</v>
      </c>
      <c r="F6239" s="2" t="s">
        <v>12</v>
      </c>
      <c r="G6239" s="2" t="s">
        <v>12</v>
      </c>
      <c r="H6239" s="2" t="s">
        <v>12</v>
      </c>
      <c r="I6239" s="2" t="s">
        <v>12</v>
      </c>
      <c r="J6239" s="2" t="s">
        <v>12</v>
      </c>
      <c r="K6239" s="2" t="s">
        <v>12</v>
      </c>
    </row>
    <row r="6240" spans="1:11" ht="12.5" x14ac:dyDescent="0.25">
      <c r="A6240" s="3" t="e">
        <f ca="1"/>
        <v>#NAME?</v>
      </c>
      <c r="B6240" s="2" t="s">
        <v>12</v>
      </c>
      <c r="C6240" s="2" t="s">
        <v>12</v>
      </c>
      <c r="D6240" s="2" t="s">
        <v>12</v>
      </c>
      <c r="E6240" s="2" t="s">
        <v>12</v>
      </c>
      <c r="F6240" s="2" t="s">
        <v>12</v>
      </c>
      <c r="G6240" s="2" t="s">
        <v>12</v>
      </c>
      <c r="H6240" s="2" t="s">
        <v>12</v>
      </c>
      <c r="I6240" s="2" t="s">
        <v>12</v>
      </c>
      <c r="J6240" s="2" t="s">
        <v>12</v>
      </c>
      <c r="K6240" s="2" t="s">
        <v>12</v>
      </c>
    </row>
    <row r="6241" spans="1:11" ht="12.5" x14ac:dyDescent="0.25">
      <c r="A6241" s="3" t="e">
        <f ca="1"/>
        <v>#NAME?</v>
      </c>
      <c r="B6241" s="2" t="s">
        <v>12</v>
      </c>
      <c r="C6241" s="2" t="s">
        <v>12</v>
      </c>
      <c r="D6241" s="2" t="s">
        <v>12</v>
      </c>
      <c r="E6241" s="2" t="s">
        <v>12</v>
      </c>
      <c r="F6241" s="2" t="s">
        <v>12</v>
      </c>
      <c r="G6241" s="2" t="s">
        <v>12</v>
      </c>
      <c r="H6241" s="2" t="s">
        <v>12</v>
      </c>
      <c r="I6241" s="2" t="s">
        <v>12</v>
      </c>
      <c r="J6241" s="2" t="s">
        <v>12</v>
      </c>
      <c r="K6241" s="2" t="s">
        <v>12</v>
      </c>
    </row>
    <row r="6242" spans="1:11" ht="12.5" x14ac:dyDescent="0.25">
      <c r="A6242" s="3" t="e">
        <f ca="1"/>
        <v>#NAME?</v>
      </c>
      <c r="B6242" s="2" t="s">
        <v>12</v>
      </c>
      <c r="C6242" s="2" t="s">
        <v>12</v>
      </c>
      <c r="D6242" s="2" t="s">
        <v>12</v>
      </c>
      <c r="E6242" s="2" t="s">
        <v>12</v>
      </c>
      <c r="F6242" s="2" t="s">
        <v>12</v>
      </c>
      <c r="G6242" s="2" t="s">
        <v>12</v>
      </c>
      <c r="H6242" s="2" t="s">
        <v>12</v>
      </c>
      <c r="I6242" s="2" t="s">
        <v>12</v>
      </c>
      <c r="J6242" s="2" t="s">
        <v>12</v>
      </c>
      <c r="K6242" s="2" t="s">
        <v>12</v>
      </c>
    </row>
    <row r="6243" spans="1:11" ht="12.5" x14ac:dyDescent="0.25">
      <c r="A6243" s="3" t="e">
        <f ca="1"/>
        <v>#NAME?</v>
      </c>
      <c r="B6243" s="2" t="s">
        <v>12</v>
      </c>
      <c r="C6243" s="2" t="s">
        <v>12</v>
      </c>
      <c r="D6243" s="2" t="s">
        <v>12</v>
      </c>
      <c r="E6243" s="2" t="s">
        <v>12</v>
      </c>
      <c r="F6243" s="2" t="s">
        <v>12</v>
      </c>
      <c r="G6243" s="2" t="s">
        <v>12</v>
      </c>
      <c r="H6243" s="2" t="s">
        <v>12</v>
      </c>
      <c r="I6243" s="2" t="s">
        <v>12</v>
      </c>
      <c r="J6243" s="2" t="s">
        <v>12</v>
      </c>
      <c r="K6243" s="2" t="s">
        <v>12</v>
      </c>
    </row>
    <row r="6244" spans="1:11" ht="12.5" x14ac:dyDescent="0.25">
      <c r="A6244" s="3" t="e">
        <f ca="1"/>
        <v>#NAME?</v>
      </c>
      <c r="B6244" s="2" t="s">
        <v>12</v>
      </c>
      <c r="C6244" s="2" t="s">
        <v>12</v>
      </c>
      <c r="D6244" s="2" t="s">
        <v>12</v>
      </c>
      <c r="E6244" s="2" t="s">
        <v>12</v>
      </c>
      <c r="F6244" s="2" t="s">
        <v>12</v>
      </c>
      <c r="G6244" s="2" t="s">
        <v>12</v>
      </c>
      <c r="H6244" s="2" t="s">
        <v>12</v>
      </c>
      <c r="I6244" s="2" t="s">
        <v>12</v>
      </c>
      <c r="J6244" s="2" t="s">
        <v>12</v>
      </c>
      <c r="K6244" s="2" t="s">
        <v>12</v>
      </c>
    </row>
    <row r="6245" spans="1:11" ht="12.5" x14ac:dyDescent="0.25">
      <c r="A6245" s="3" t="e">
        <f ca="1"/>
        <v>#NAME?</v>
      </c>
      <c r="B6245" s="2" t="s">
        <v>12</v>
      </c>
      <c r="C6245" s="2" t="s">
        <v>12</v>
      </c>
      <c r="D6245" s="2" t="s">
        <v>12</v>
      </c>
      <c r="E6245" s="2" t="s">
        <v>12</v>
      </c>
      <c r="F6245" s="2" t="s">
        <v>12</v>
      </c>
      <c r="G6245" s="2" t="s">
        <v>12</v>
      </c>
      <c r="H6245" s="2" t="s">
        <v>12</v>
      </c>
      <c r="I6245" s="2" t="s">
        <v>12</v>
      </c>
      <c r="J6245" s="2" t="s">
        <v>12</v>
      </c>
      <c r="K6245" s="2" t="s">
        <v>12</v>
      </c>
    </row>
    <row r="6246" spans="1:11" ht="12.5" x14ac:dyDescent="0.25">
      <c r="A6246" s="3" t="e">
        <f ca="1"/>
        <v>#NAME?</v>
      </c>
      <c r="B6246" s="2" t="s">
        <v>12</v>
      </c>
      <c r="C6246" s="2" t="s">
        <v>12</v>
      </c>
      <c r="D6246" s="2" t="s">
        <v>12</v>
      </c>
      <c r="E6246" s="2" t="s">
        <v>12</v>
      </c>
      <c r="F6246" s="2" t="s">
        <v>12</v>
      </c>
      <c r="G6246" s="2" t="s">
        <v>12</v>
      </c>
      <c r="H6246" s="2" t="s">
        <v>12</v>
      </c>
      <c r="I6246" s="2" t="s">
        <v>12</v>
      </c>
      <c r="J6246" s="2" t="s">
        <v>12</v>
      </c>
      <c r="K6246" s="2" t="s">
        <v>12</v>
      </c>
    </row>
    <row r="6247" spans="1:11" ht="12.5" x14ac:dyDescent="0.25">
      <c r="A6247" s="3" t="e">
        <f ca="1"/>
        <v>#NAME?</v>
      </c>
      <c r="B6247" s="2" t="s">
        <v>12</v>
      </c>
      <c r="C6247" s="2" t="s">
        <v>12</v>
      </c>
      <c r="D6247" s="2" t="s">
        <v>12</v>
      </c>
      <c r="E6247" s="2" t="s">
        <v>12</v>
      </c>
      <c r="F6247" s="2" t="s">
        <v>12</v>
      </c>
      <c r="G6247" s="2" t="s">
        <v>12</v>
      </c>
      <c r="H6247" s="2" t="s">
        <v>12</v>
      </c>
      <c r="I6247" s="2" t="s">
        <v>12</v>
      </c>
      <c r="J6247" s="2" t="s">
        <v>12</v>
      </c>
      <c r="K6247" s="2" t="s">
        <v>12</v>
      </c>
    </row>
    <row r="6248" spans="1:11" ht="12.5" x14ac:dyDescent="0.25">
      <c r="A6248" s="3" t="e">
        <f ca="1"/>
        <v>#NAME?</v>
      </c>
      <c r="B6248" s="2" t="s">
        <v>12</v>
      </c>
      <c r="C6248" s="2" t="s">
        <v>12</v>
      </c>
      <c r="D6248" s="2" t="s">
        <v>12</v>
      </c>
      <c r="E6248" s="2" t="s">
        <v>12</v>
      </c>
      <c r="F6248" s="2" t="s">
        <v>12</v>
      </c>
      <c r="G6248" s="2" t="s">
        <v>12</v>
      </c>
      <c r="H6248" s="2" t="s">
        <v>12</v>
      </c>
      <c r="I6248" s="2" t="s">
        <v>12</v>
      </c>
      <c r="J6248" s="2" t="s">
        <v>12</v>
      </c>
      <c r="K6248" s="2" t="s">
        <v>12</v>
      </c>
    </row>
    <row r="6249" spans="1:11" ht="12.5" x14ac:dyDescent="0.25">
      <c r="A6249" s="3" t="e">
        <f ca="1"/>
        <v>#NAME?</v>
      </c>
      <c r="B6249" s="2" t="s">
        <v>12</v>
      </c>
      <c r="C6249" s="2" t="s">
        <v>12</v>
      </c>
      <c r="D6249" s="2" t="s">
        <v>12</v>
      </c>
      <c r="E6249" s="2" t="s">
        <v>12</v>
      </c>
      <c r="F6249" s="2" t="s">
        <v>12</v>
      </c>
      <c r="G6249" s="2" t="s">
        <v>12</v>
      </c>
      <c r="H6249" s="2" t="s">
        <v>12</v>
      </c>
      <c r="I6249" s="2" t="s">
        <v>12</v>
      </c>
      <c r="J6249" s="2" t="s">
        <v>12</v>
      </c>
      <c r="K6249" s="2" t="s">
        <v>12</v>
      </c>
    </row>
    <row r="6250" spans="1:11" ht="12.5" x14ac:dyDescent="0.25">
      <c r="A6250" s="3" t="e">
        <f ca="1"/>
        <v>#NAME?</v>
      </c>
      <c r="B6250" s="2" t="s">
        <v>12</v>
      </c>
      <c r="C6250" s="2" t="s">
        <v>12</v>
      </c>
      <c r="D6250" s="2" t="s">
        <v>12</v>
      </c>
      <c r="E6250" s="2" t="s">
        <v>12</v>
      </c>
      <c r="F6250" s="2" t="s">
        <v>12</v>
      </c>
      <c r="G6250" s="2" t="s">
        <v>12</v>
      </c>
      <c r="H6250" s="2" t="s">
        <v>12</v>
      </c>
      <c r="I6250" s="2" t="s">
        <v>12</v>
      </c>
      <c r="J6250" s="2" t="s">
        <v>12</v>
      </c>
      <c r="K6250" s="2" t="s">
        <v>12</v>
      </c>
    </row>
    <row r="6251" spans="1:11" ht="12.5" x14ac:dyDescent="0.25">
      <c r="A6251" s="3" t="e">
        <f ca="1"/>
        <v>#NAME?</v>
      </c>
      <c r="B6251" s="2" t="s">
        <v>12</v>
      </c>
      <c r="C6251" s="2" t="s">
        <v>12</v>
      </c>
      <c r="D6251" s="2" t="s">
        <v>12</v>
      </c>
      <c r="E6251" s="2" t="s">
        <v>12</v>
      </c>
      <c r="F6251" s="2" t="s">
        <v>12</v>
      </c>
      <c r="G6251" s="2" t="s">
        <v>12</v>
      </c>
      <c r="H6251" s="2" t="s">
        <v>12</v>
      </c>
      <c r="I6251" s="2" t="s">
        <v>12</v>
      </c>
      <c r="J6251" s="2" t="s">
        <v>12</v>
      </c>
      <c r="K6251" s="2" t="s">
        <v>12</v>
      </c>
    </row>
    <row r="6252" spans="1:11" ht="12.5" x14ac:dyDescent="0.25">
      <c r="A6252" s="3" t="e">
        <f ca="1"/>
        <v>#NAME?</v>
      </c>
      <c r="B6252" s="2" t="s">
        <v>12</v>
      </c>
      <c r="C6252" s="2" t="s">
        <v>12</v>
      </c>
      <c r="D6252" s="2" t="s">
        <v>12</v>
      </c>
      <c r="E6252" s="2" t="s">
        <v>12</v>
      </c>
      <c r="F6252" s="2" t="s">
        <v>12</v>
      </c>
      <c r="G6252" s="2" t="s">
        <v>12</v>
      </c>
      <c r="H6252" s="2" t="s">
        <v>12</v>
      </c>
      <c r="I6252" s="2" t="s">
        <v>12</v>
      </c>
      <c r="J6252" s="2" t="s">
        <v>12</v>
      </c>
      <c r="K6252" s="2" t="s">
        <v>12</v>
      </c>
    </row>
    <row r="6253" spans="1:11" ht="12.5" x14ac:dyDescent="0.25">
      <c r="A6253" s="3" t="e">
        <f ca="1"/>
        <v>#NAME?</v>
      </c>
      <c r="B6253" s="2" t="s">
        <v>12</v>
      </c>
      <c r="C6253" s="2" t="s">
        <v>12</v>
      </c>
      <c r="D6253" s="2" t="s">
        <v>12</v>
      </c>
      <c r="E6253" s="2" t="s">
        <v>12</v>
      </c>
      <c r="F6253" s="2" t="s">
        <v>12</v>
      </c>
      <c r="G6253" s="2" t="s">
        <v>12</v>
      </c>
      <c r="H6253" s="2" t="s">
        <v>12</v>
      </c>
      <c r="I6253" s="2" t="s">
        <v>12</v>
      </c>
      <c r="J6253" s="2" t="s">
        <v>12</v>
      </c>
      <c r="K6253" s="2" t="s">
        <v>12</v>
      </c>
    </row>
    <row r="6254" spans="1:11" ht="12.5" x14ac:dyDescent="0.25">
      <c r="A6254" s="3" t="e">
        <f ca="1"/>
        <v>#NAME?</v>
      </c>
      <c r="B6254" s="2" t="s">
        <v>12</v>
      </c>
      <c r="C6254" s="2" t="s">
        <v>12</v>
      </c>
      <c r="D6254" s="2" t="s">
        <v>12</v>
      </c>
      <c r="E6254" s="2" t="s">
        <v>12</v>
      </c>
      <c r="F6254" s="2" t="s">
        <v>12</v>
      </c>
      <c r="G6254" s="2" t="s">
        <v>12</v>
      </c>
      <c r="H6254" s="2" t="s">
        <v>12</v>
      </c>
      <c r="I6254" s="2" t="s">
        <v>12</v>
      </c>
      <c r="J6254" s="2" t="s">
        <v>12</v>
      </c>
      <c r="K6254" s="2" t="s">
        <v>12</v>
      </c>
    </row>
    <row r="6255" spans="1:11" ht="12.5" x14ac:dyDescent="0.25">
      <c r="A6255" s="3" t="e">
        <f ca="1"/>
        <v>#NAME?</v>
      </c>
      <c r="B6255" s="2" t="s">
        <v>12</v>
      </c>
      <c r="C6255" s="2" t="s">
        <v>12</v>
      </c>
      <c r="D6255" s="2" t="s">
        <v>12</v>
      </c>
      <c r="E6255" s="2" t="s">
        <v>12</v>
      </c>
      <c r="F6255" s="2" t="s">
        <v>12</v>
      </c>
      <c r="G6255" s="2" t="s">
        <v>12</v>
      </c>
      <c r="H6255" s="2" t="s">
        <v>12</v>
      </c>
      <c r="I6255" s="2" t="s">
        <v>12</v>
      </c>
      <c r="J6255" s="2" t="s">
        <v>12</v>
      </c>
      <c r="K6255" s="2" t="s">
        <v>12</v>
      </c>
    </row>
    <row r="6256" spans="1:11" ht="12.5" x14ac:dyDescent="0.25">
      <c r="A6256" s="3" t="e">
        <f ca="1"/>
        <v>#NAME?</v>
      </c>
      <c r="B6256" s="2" t="s">
        <v>12</v>
      </c>
      <c r="C6256" s="2" t="s">
        <v>12</v>
      </c>
      <c r="D6256" s="2" t="s">
        <v>12</v>
      </c>
      <c r="E6256" s="2" t="s">
        <v>12</v>
      </c>
      <c r="F6256" s="2" t="s">
        <v>12</v>
      </c>
      <c r="G6256" s="2" t="s">
        <v>12</v>
      </c>
      <c r="H6256" s="2" t="s">
        <v>12</v>
      </c>
      <c r="I6256" s="2" t="s">
        <v>12</v>
      </c>
      <c r="J6256" s="2" t="s">
        <v>12</v>
      </c>
      <c r="K6256" s="2" t="s">
        <v>12</v>
      </c>
    </row>
    <row r="6257" spans="1:11" ht="12.5" x14ac:dyDescent="0.25">
      <c r="A6257" s="3" t="e">
        <f ca="1"/>
        <v>#NAME?</v>
      </c>
      <c r="B6257" s="2" t="s">
        <v>12</v>
      </c>
      <c r="C6257" s="2" t="s">
        <v>12</v>
      </c>
      <c r="D6257" s="2" t="s">
        <v>12</v>
      </c>
      <c r="E6257" s="2" t="s">
        <v>12</v>
      </c>
      <c r="F6257" s="2" t="s">
        <v>12</v>
      </c>
      <c r="G6257" s="2" t="s">
        <v>12</v>
      </c>
      <c r="H6257" s="2" t="s">
        <v>12</v>
      </c>
      <c r="I6257" s="2" t="s">
        <v>12</v>
      </c>
      <c r="J6257" s="2" t="s">
        <v>12</v>
      </c>
      <c r="K6257" s="2" t="s">
        <v>12</v>
      </c>
    </row>
    <row r="6258" spans="1:11" ht="12.5" x14ac:dyDescent="0.25">
      <c r="A6258" s="3" t="e">
        <f ca="1"/>
        <v>#NAME?</v>
      </c>
      <c r="B6258" s="2" t="s">
        <v>12</v>
      </c>
      <c r="C6258" s="2" t="s">
        <v>12</v>
      </c>
      <c r="D6258" s="2" t="s">
        <v>12</v>
      </c>
      <c r="E6258" s="2" t="s">
        <v>12</v>
      </c>
      <c r="F6258" s="2" t="s">
        <v>12</v>
      </c>
      <c r="G6258" s="2" t="s">
        <v>12</v>
      </c>
      <c r="H6258" s="2" t="s">
        <v>12</v>
      </c>
      <c r="I6258" s="2" t="s">
        <v>12</v>
      </c>
      <c r="J6258" s="2" t="s">
        <v>12</v>
      </c>
      <c r="K6258" s="2" t="s">
        <v>12</v>
      </c>
    </row>
    <row r="6259" spans="1:11" ht="12.5" x14ac:dyDescent="0.25">
      <c r="A6259" s="3" t="e">
        <f ca="1"/>
        <v>#NAME?</v>
      </c>
      <c r="B6259" s="2" t="s">
        <v>12</v>
      </c>
      <c r="C6259" s="2" t="s">
        <v>12</v>
      </c>
      <c r="D6259" s="2" t="s">
        <v>12</v>
      </c>
      <c r="E6259" s="2" t="s">
        <v>12</v>
      </c>
      <c r="F6259" s="2" t="s">
        <v>12</v>
      </c>
      <c r="G6259" s="2" t="s">
        <v>12</v>
      </c>
      <c r="H6259" s="2" t="s">
        <v>12</v>
      </c>
      <c r="I6259" s="2" t="s">
        <v>12</v>
      </c>
      <c r="J6259" s="2" t="s">
        <v>12</v>
      </c>
      <c r="K6259" s="2" t="s">
        <v>12</v>
      </c>
    </row>
    <row r="6260" spans="1:11" ht="12.5" x14ac:dyDescent="0.25">
      <c r="A6260" s="3" t="e">
        <f ca="1"/>
        <v>#NAME?</v>
      </c>
      <c r="B6260" s="2" t="s">
        <v>12</v>
      </c>
      <c r="C6260" s="2" t="s">
        <v>12</v>
      </c>
      <c r="D6260" s="2" t="s">
        <v>12</v>
      </c>
      <c r="E6260" s="2" t="s">
        <v>12</v>
      </c>
      <c r="F6260" s="2" t="s">
        <v>12</v>
      </c>
      <c r="G6260" s="2" t="s">
        <v>12</v>
      </c>
      <c r="H6260" s="2" t="s">
        <v>12</v>
      </c>
      <c r="I6260" s="2" t="s">
        <v>12</v>
      </c>
      <c r="J6260" s="2" t="s">
        <v>12</v>
      </c>
      <c r="K6260" s="2" t="s">
        <v>12</v>
      </c>
    </row>
    <row r="6261" spans="1:11" ht="12.5" x14ac:dyDescent="0.25">
      <c r="A6261" s="3" t="e">
        <f ca="1"/>
        <v>#NAME?</v>
      </c>
      <c r="B6261" s="2" t="s">
        <v>12</v>
      </c>
      <c r="C6261" s="2" t="s">
        <v>12</v>
      </c>
      <c r="D6261" s="2" t="s">
        <v>12</v>
      </c>
      <c r="E6261" s="2" t="s">
        <v>12</v>
      </c>
      <c r="F6261" s="2" t="s">
        <v>12</v>
      </c>
      <c r="G6261" s="2" t="s">
        <v>12</v>
      </c>
      <c r="H6261" s="2" t="s">
        <v>12</v>
      </c>
      <c r="I6261" s="2" t="s">
        <v>12</v>
      </c>
      <c r="J6261" s="2" t="s">
        <v>12</v>
      </c>
      <c r="K6261" s="2" t="s">
        <v>12</v>
      </c>
    </row>
    <row r="6262" spans="1:11" ht="12.5" x14ac:dyDescent="0.25">
      <c r="A6262" s="3" t="e">
        <f ca="1"/>
        <v>#NAME?</v>
      </c>
      <c r="B6262" s="2" t="s">
        <v>12</v>
      </c>
      <c r="C6262" s="2" t="s">
        <v>12</v>
      </c>
      <c r="D6262" s="2" t="s">
        <v>12</v>
      </c>
      <c r="E6262" s="2" t="s">
        <v>12</v>
      </c>
      <c r="F6262" s="2" t="s">
        <v>12</v>
      </c>
      <c r="G6262" s="2" t="s">
        <v>12</v>
      </c>
      <c r="H6262" s="2" t="s">
        <v>12</v>
      </c>
      <c r="I6262" s="2" t="s">
        <v>12</v>
      </c>
      <c r="J6262" s="2" t="s">
        <v>12</v>
      </c>
      <c r="K6262" s="2" t="s">
        <v>12</v>
      </c>
    </row>
    <row r="6263" spans="1:11" ht="12.5" x14ac:dyDescent="0.25">
      <c r="A6263" s="3" t="e">
        <f ca="1"/>
        <v>#NAME?</v>
      </c>
      <c r="B6263" s="2" t="s">
        <v>12</v>
      </c>
      <c r="C6263" s="2" t="s">
        <v>12</v>
      </c>
      <c r="D6263" s="2" t="s">
        <v>12</v>
      </c>
      <c r="E6263" s="2" t="s">
        <v>12</v>
      </c>
      <c r="F6263" s="2" t="s">
        <v>12</v>
      </c>
      <c r="G6263" s="2" t="s">
        <v>12</v>
      </c>
      <c r="H6263" s="2" t="s">
        <v>12</v>
      </c>
      <c r="I6263" s="2" t="s">
        <v>12</v>
      </c>
      <c r="J6263" s="2" t="s">
        <v>12</v>
      </c>
      <c r="K6263" s="2" t="s">
        <v>12</v>
      </c>
    </row>
    <row r="6264" spans="1:11" ht="12.5" x14ac:dyDescent="0.25">
      <c r="A6264" s="3" t="e">
        <f ca="1"/>
        <v>#NAME?</v>
      </c>
      <c r="B6264" s="2" t="s">
        <v>12</v>
      </c>
      <c r="C6264" s="2" t="s">
        <v>12</v>
      </c>
      <c r="D6264" s="2" t="s">
        <v>12</v>
      </c>
      <c r="E6264" s="2" t="s">
        <v>12</v>
      </c>
      <c r="F6264" s="2" t="s">
        <v>12</v>
      </c>
      <c r="G6264" s="2" t="s">
        <v>12</v>
      </c>
      <c r="H6264" s="2" t="s">
        <v>12</v>
      </c>
      <c r="I6264" s="2" t="s">
        <v>12</v>
      </c>
      <c r="J6264" s="2" t="s">
        <v>12</v>
      </c>
      <c r="K6264" s="2" t="s">
        <v>12</v>
      </c>
    </row>
    <row r="6265" spans="1:11" ht="12.5" x14ac:dyDescent="0.25">
      <c r="A6265" s="3" t="e">
        <f ca="1"/>
        <v>#NAME?</v>
      </c>
      <c r="B6265" s="2" t="s">
        <v>12</v>
      </c>
      <c r="C6265" s="2" t="s">
        <v>12</v>
      </c>
      <c r="D6265" s="2" t="s">
        <v>12</v>
      </c>
      <c r="E6265" s="2" t="s">
        <v>12</v>
      </c>
      <c r="F6265" s="2" t="s">
        <v>12</v>
      </c>
      <c r="G6265" s="2" t="s">
        <v>12</v>
      </c>
      <c r="H6265" s="2" t="s">
        <v>12</v>
      </c>
      <c r="I6265" s="2" t="s">
        <v>12</v>
      </c>
      <c r="J6265" s="2" t="s">
        <v>12</v>
      </c>
      <c r="K6265" s="2" t="s">
        <v>12</v>
      </c>
    </row>
    <row r="6266" spans="1:11" ht="12.5" x14ac:dyDescent="0.25">
      <c r="A6266" s="3" t="e">
        <f ca="1"/>
        <v>#NAME?</v>
      </c>
      <c r="B6266" s="2" t="s">
        <v>12</v>
      </c>
      <c r="C6266" s="2" t="s">
        <v>12</v>
      </c>
      <c r="D6266" s="2" t="s">
        <v>12</v>
      </c>
      <c r="E6266" s="2" t="s">
        <v>12</v>
      </c>
      <c r="F6266" s="2" t="s">
        <v>12</v>
      </c>
      <c r="G6266" s="2" t="s">
        <v>12</v>
      </c>
      <c r="H6266" s="2" t="s">
        <v>12</v>
      </c>
      <c r="I6266" s="2" t="s">
        <v>12</v>
      </c>
      <c r="J6266" s="2" t="s">
        <v>12</v>
      </c>
      <c r="K6266" s="2" t="s">
        <v>12</v>
      </c>
    </row>
    <row r="6267" spans="1:11" ht="12.5" x14ac:dyDescent="0.25">
      <c r="A6267" s="3" t="e">
        <f ca="1"/>
        <v>#NAME?</v>
      </c>
      <c r="B6267" s="2" t="s">
        <v>12</v>
      </c>
      <c r="C6267" s="2" t="s">
        <v>12</v>
      </c>
      <c r="D6267" s="2" t="s">
        <v>12</v>
      </c>
      <c r="E6267" s="2" t="s">
        <v>12</v>
      </c>
      <c r="F6267" s="2" t="s">
        <v>12</v>
      </c>
      <c r="G6267" s="2" t="s">
        <v>12</v>
      </c>
      <c r="H6267" s="2" t="s">
        <v>12</v>
      </c>
      <c r="I6267" s="2" t="s">
        <v>12</v>
      </c>
      <c r="J6267" s="2" t="s">
        <v>12</v>
      </c>
      <c r="K6267" s="2" t="s">
        <v>12</v>
      </c>
    </row>
    <row r="6268" spans="1:11" ht="12.5" x14ac:dyDescent="0.25">
      <c r="A6268" s="3" t="e">
        <f ca="1"/>
        <v>#NAME?</v>
      </c>
      <c r="B6268" s="2" t="s">
        <v>12</v>
      </c>
      <c r="C6268" s="2" t="s">
        <v>12</v>
      </c>
      <c r="D6268" s="2" t="s">
        <v>12</v>
      </c>
      <c r="E6268" s="2" t="s">
        <v>12</v>
      </c>
      <c r="F6268" s="2" t="s">
        <v>12</v>
      </c>
      <c r="G6268" s="2" t="s">
        <v>12</v>
      </c>
      <c r="H6268" s="2" t="s">
        <v>12</v>
      </c>
      <c r="I6268" s="2" t="s">
        <v>12</v>
      </c>
      <c r="J6268" s="2" t="s">
        <v>12</v>
      </c>
      <c r="K6268" s="2" t="s">
        <v>12</v>
      </c>
    </row>
    <row r="6269" spans="1:11" ht="12.5" x14ac:dyDescent="0.25">
      <c r="A6269" s="3" t="e">
        <f ca="1"/>
        <v>#NAME?</v>
      </c>
      <c r="B6269" s="2" t="s">
        <v>12</v>
      </c>
      <c r="C6269" s="2" t="s">
        <v>12</v>
      </c>
      <c r="D6269" s="2" t="s">
        <v>12</v>
      </c>
      <c r="E6269" s="2" t="s">
        <v>12</v>
      </c>
      <c r="F6269" s="2" t="s">
        <v>12</v>
      </c>
      <c r="G6269" s="2" t="s">
        <v>12</v>
      </c>
      <c r="H6269" s="2" t="s">
        <v>12</v>
      </c>
      <c r="I6269" s="2" t="s">
        <v>12</v>
      </c>
      <c r="J6269" s="2" t="s">
        <v>12</v>
      </c>
      <c r="K6269" s="2" t="s">
        <v>12</v>
      </c>
    </row>
    <row r="6270" spans="1:11" ht="12.5" x14ac:dyDescent="0.25">
      <c r="A6270" s="3" t="e">
        <f ca="1"/>
        <v>#NAME?</v>
      </c>
      <c r="B6270" s="2" t="s">
        <v>12</v>
      </c>
      <c r="C6270" s="2" t="s">
        <v>12</v>
      </c>
      <c r="D6270" s="2" t="s">
        <v>12</v>
      </c>
      <c r="E6270" s="2" t="s">
        <v>12</v>
      </c>
      <c r="F6270" s="2" t="s">
        <v>12</v>
      </c>
      <c r="G6270" s="2" t="s">
        <v>12</v>
      </c>
      <c r="H6270" s="2" t="s">
        <v>12</v>
      </c>
      <c r="I6270" s="2" t="s">
        <v>12</v>
      </c>
      <c r="J6270" s="2" t="s">
        <v>12</v>
      </c>
      <c r="K6270" s="2" t="s">
        <v>12</v>
      </c>
    </row>
    <row r="6271" spans="1:11" ht="12.5" x14ac:dyDescent="0.25">
      <c r="A6271" s="3" t="e">
        <f ca="1"/>
        <v>#NAME?</v>
      </c>
      <c r="B6271" s="2" t="s">
        <v>12</v>
      </c>
      <c r="C6271" s="2" t="s">
        <v>12</v>
      </c>
      <c r="D6271" s="2" t="s">
        <v>12</v>
      </c>
      <c r="E6271" s="2" t="s">
        <v>12</v>
      </c>
      <c r="F6271" s="2" t="s">
        <v>12</v>
      </c>
      <c r="G6271" s="2" t="s">
        <v>12</v>
      </c>
      <c r="H6271" s="2" t="s">
        <v>12</v>
      </c>
      <c r="I6271" s="2" t="s">
        <v>12</v>
      </c>
      <c r="J6271" s="2" t="s">
        <v>12</v>
      </c>
      <c r="K6271" s="2" t="s">
        <v>12</v>
      </c>
    </row>
    <row r="6272" spans="1:11" ht="12.5" x14ac:dyDescent="0.25">
      <c r="A6272" s="3" t="e">
        <f ca="1"/>
        <v>#NAME?</v>
      </c>
      <c r="B6272" s="2" t="s">
        <v>12</v>
      </c>
      <c r="C6272" s="2" t="s">
        <v>12</v>
      </c>
      <c r="D6272" s="2" t="s">
        <v>12</v>
      </c>
      <c r="E6272" s="2" t="s">
        <v>12</v>
      </c>
      <c r="F6272" s="2" t="s">
        <v>12</v>
      </c>
      <c r="G6272" s="2" t="s">
        <v>12</v>
      </c>
      <c r="H6272" s="2" t="s">
        <v>12</v>
      </c>
      <c r="I6272" s="2" t="s">
        <v>12</v>
      </c>
      <c r="J6272" s="2" t="s">
        <v>12</v>
      </c>
      <c r="K6272" s="2" t="s">
        <v>12</v>
      </c>
    </row>
    <row r="6273" spans="1:11" ht="12.5" x14ac:dyDescent="0.25">
      <c r="A6273" s="3" t="e">
        <f ca="1"/>
        <v>#NAME?</v>
      </c>
      <c r="B6273" s="2" t="s">
        <v>12</v>
      </c>
      <c r="C6273" s="2" t="s">
        <v>12</v>
      </c>
      <c r="D6273" s="2" t="s">
        <v>12</v>
      </c>
      <c r="E6273" s="2" t="s">
        <v>12</v>
      </c>
      <c r="F6273" s="2" t="s">
        <v>12</v>
      </c>
      <c r="G6273" s="2" t="s">
        <v>12</v>
      </c>
      <c r="H6273" s="2" t="s">
        <v>12</v>
      </c>
      <c r="I6273" s="2" t="s">
        <v>12</v>
      </c>
      <c r="J6273" s="2" t="s">
        <v>12</v>
      </c>
      <c r="K6273" s="2" t="s">
        <v>12</v>
      </c>
    </row>
    <row r="6274" spans="1:11" ht="12.5" x14ac:dyDescent="0.25">
      <c r="A6274" s="3" t="e">
        <f ca="1"/>
        <v>#NAME?</v>
      </c>
      <c r="B6274" s="2" t="s">
        <v>12</v>
      </c>
      <c r="C6274" s="2" t="s">
        <v>12</v>
      </c>
      <c r="D6274" s="2" t="s">
        <v>12</v>
      </c>
      <c r="E6274" s="2" t="s">
        <v>12</v>
      </c>
      <c r="F6274" s="2" t="s">
        <v>12</v>
      </c>
      <c r="G6274" s="2" t="s">
        <v>12</v>
      </c>
      <c r="H6274" s="2" t="s">
        <v>12</v>
      </c>
      <c r="I6274" s="2" t="s">
        <v>12</v>
      </c>
      <c r="J6274" s="2" t="s">
        <v>12</v>
      </c>
      <c r="K6274" s="2" t="s">
        <v>12</v>
      </c>
    </row>
    <row r="6275" spans="1:11" ht="12.5" x14ac:dyDescent="0.25">
      <c r="A6275" s="3" t="e">
        <f ca="1"/>
        <v>#NAME?</v>
      </c>
      <c r="B6275" s="2" t="s">
        <v>12</v>
      </c>
      <c r="C6275" s="2" t="s">
        <v>12</v>
      </c>
      <c r="D6275" s="2" t="s">
        <v>12</v>
      </c>
      <c r="E6275" s="2" t="s">
        <v>12</v>
      </c>
      <c r="F6275" s="2" t="s">
        <v>12</v>
      </c>
      <c r="G6275" s="2" t="s">
        <v>12</v>
      </c>
      <c r="H6275" s="2" t="s">
        <v>12</v>
      </c>
      <c r="I6275" s="2" t="s">
        <v>12</v>
      </c>
      <c r="J6275" s="2" t="s">
        <v>12</v>
      </c>
      <c r="K6275" s="2" t="s">
        <v>12</v>
      </c>
    </row>
    <row r="6276" spans="1:11" ht="12.5" x14ac:dyDescent="0.25">
      <c r="A6276" s="3" t="e">
        <f ca="1"/>
        <v>#NAME?</v>
      </c>
      <c r="B6276" s="2" t="s">
        <v>12</v>
      </c>
      <c r="C6276" s="2" t="s">
        <v>12</v>
      </c>
      <c r="D6276" s="2" t="s">
        <v>12</v>
      </c>
      <c r="E6276" s="2" t="s">
        <v>12</v>
      </c>
      <c r="F6276" s="2" t="s">
        <v>12</v>
      </c>
      <c r="G6276" s="2" t="s">
        <v>12</v>
      </c>
      <c r="H6276" s="2" t="s">
        <v>12</v>
      </c>
      <c r="I6276" s="2" t="s">
        <v>12</v>
      </c>
      <c r="J6276" s="2" t="s">
        <v>12</v>
      </c>
      <c r="K6276" s="2" t="s">
        <v>12</v>
      </c>
    </row>
    <row r="6277" spans="1:11" ht="12.5" x14ac:dyDescent="0.25">
      <c r="A6277" s="3" t="e">
        <f ca="1"/>
        <v>#NAME?</v>
      </c>
      <c r="B6277" s="2" t="s">
        <v>12</v>
      </c>
      <c r="C6277" s="2" t="s">
        <v>12</v>
      </c>
      <c r="D6277" s="2" t="s">
        <v>12</v>
      </c>
      <c r="E6277" s="2" t="s">
        <v>12</v>
      </c>
      <c r="F6277" s="2" t="s">
        <v>12</v>
      </c>
      <c r="G6277" s="2" t="s">
        <v>12</v>
      </c>
      <c r="H6277" s="2" t="s">
        <v>12</v>
      </c>
      <c r="I6277" s="2" t="s">
        <v>12</v>
      </c>
      <c r="J6277" s="2" t="s">
        <v>12</v>
      </c>
      <c r="K6277" s="2" t="s">
        <v>12</v>
      </c>
    </row>
    <row r="6278" spans="1:11" ht="12.5" x14ac:dyDescent="0.25">
      <c r="A6278" s="3" t="e">
        <f ca="1"/>
        <v>#NAME?</v>
      </c>
      <c r="B6278" s="2" t="s">
        <v>12</v>
      </c>
      <c r="C6278" s="2" t="s">
        <v>12</v>
      </c>
      <c r="D6278" s="2" t="s">
        <v>12</v>
      </c>
      <c r="E6278" s="2" t="s">
        <v>12</v>
      </c>
      <c r="F6278" s="2" t="s">
        <v>12</v>
      </c>
      <c r="G6278" s="2" t="s">
        <v>12</v>
      </c>
      <c r="H6278" s="2" t="s">
        <v>12</v>
      </c>
      <c r="I6278" s="2" t="s">
        <v>12</v>
      </c>
      <c r="J6278" s="2" t="s">
        <v>12</v>
      </c>
      <c r="K6278" s="2" t="s">
        <v>12</v>
      </c>
    </row>
    <row r="6279" spans="1:11" ht="12.5" x14ac:dyDescent="0.25">
      <c r="A6279" s="3" t="e">
        <f ca="1"/>
        <v>#NAME?</v>
      </c>
      <c r="B6279" s="2" t="s">
        <v>12</v>
      </c>
      <c r="C6279" s="2" t="s">
        <v>12</v>
      </c>
      <c r="D6279" s="2" t="s">
        <v>12</v>
      </c>
      <c r="E6279" s="2" t="s">
        <v>12</v>
      </c>
      <c r="F6279" s="2" t="s">
        <v>12</v>
      </c>
      <c r="G6279" s="2" t="s">
        <v>12</v>
      </c>
      <c r="H6279" s="2" t="s">
        <v>12</v>
      </c>
      <c r="I6279" s="2" t="s">
        <v>12</v>
      </c>
      <c r="J6279" s="2" t="s">
        <v>12</v>
      </c>
      <c r="K6279" s="2" t="s">
        <v>12</v>
      </c>
    </row>
    <row r="6280" spans="1:11" ht="12.5" x14ac:dyDescent="0.25">
      <c r="A6280" s="3" t="e">
        <f ca="1"/>
        <v>#NAME?</v>
      </c>
      <c r="B6280" s="2" t="s">
        <v>12</v>
      </c>
      <c r="C6280" s="2" t="s">
        <v>12</v>
      </c>
      <c r="D6280" s="2" t="s">
        <v>12</v>
      </c>
      <c r="E6280" s="2" t="s">
        <v>12</v>
      </c>
      <c r="F6280" s="2" t="s">
        <v>12</v>
      </c>
      <c r="G6280" s="2" t="s">
        <v>12</v>
      </c>
      <c r="H6280" s="2" t="s">
        <v>12</v>
      </c>
      <c r="I6280" s="2" t="s">
        <v>12</v>
      </c>
      <c r="J6280" s="2" t="s">
        <v>12</v>
      </c>
      <c r="K6280" s="2" t="s">
        <v>12</v>
      </c>
    </row>
    <row r="6281" spans="1:11" ht="12.5" x14ac:dyDescent="0.25">
      <c r="A6281" s="3" t="e">
        <f ca="1"/>
        <v>#NAME?</v>
      </c>
      <c r="B6281" s="2" t="s">
        <v>12</v>
      </c>
      <c r="C6281" s="2" t="s">
        <v>12</v>
      </c>
      <c r="D6281" s="2" t="s">
        <v>12</v>
      </c>
      <c r="E6281" s="2" t="s">
        <v>12</v>
      </c>
      <c r="F6281" s="2" t="s">
        <v>12</v>
      </c>
      <c r="G6281" s="2" t="s">
        <v>12</v>
      </c>
      <c r="H6281" s="2" t="s">
        <v>12</v>
      </c>
      <c r="I6281" s="2" t="s">
        <v>12</v>
      </c>
      <c r="J6281" s="2" t="s">
        <v>12</v>
      </c>
      <c r="K6281" s="2" t="s">
        <v>12</v>
      </c>
    </row>
    <row r="6282" spans="1:11" ht="12.5" x14ac:dyDescent="0.25">
      <c r="A6282" s="3" t="e">
        <f ca="1"/>
        <v>#NAME?</v>
      </c>
      <c r="B6282" s="2" t="s">
        <v>12</v>
      </c>
      <c r="C6282" s="2" t="s">
        <v>12</v>
      </c>
      <c r="D6282" s="2" t="s">
        <v>12</v>
      </c>
      <c r="E6282" s="2" t="s">
        <v>12</v>
      </c>
      <c r="F6282" s="2" t="s">
        <v>12</v>
      </c>
      <c r="G6282" s="2" t="s">
        <v>12</v>
      </c>
      <c r="H6282" s="2" t="s">
        <v>12</v>
      </c>
      <c r="I6282" s="2" t="s">
        <v>12</v>
      </c>
      <c r="J6282" s="2" t="s">
        <v>12</v>
      </c>
      <c r="K6282" s="2" t="s">
        <v>12</v>
      </c>
    </row>
    <row r="6283" spans="1:11" ht="12.5" x14ac:dyDescent="0.25">
      <c r="A6283" s="3" t="e">
        <f ca="1"/>
        <v>#NAME?</v>
      </c>
      <c r="B6283" s="2" t="s">
        <v>12</v>
      </c>
      <c r="C6283" s="2" t="s">
        <v>12</v>
      </c>
      <c r="D6283" s="2" t="s">
        <v>12</v>
      </c>
      <c r="E6283" s="2" t="s">
        <v>12</v>
      </c>
      <c r="F6283" s="2" t="s">
        <v>12</v>
      </c>
      <c r="G6283" s="2" t="s">
        <v>12</v>
      </c>
      <c r="H6283" s="2" t="s">
        <v>12</v>
      </c>
      <c r="I6283" s="2" t="s">
        <v>12</v>
      </c>
      <c r="J6283" s="2" t="s">
        <v>12</v>
      </c>
      <c r="K6283" s="2" t="s">
        <v>12</v>
      </c>
    </row>
    <row r="6284" spans="1:11" ht="12.5" x14ac:dyDescent="0.25">
      <c r="A6284" s="3" t="e">
        <f ca="1"/>
        <v>#NAME?</v>
      </c>
      <c r="B6284" s="2" t="s">
        <v>12</v>
      </c>
      <c r="C6284" s="2" t="s">
        <v>12</v>
      </c>
      <c r="D6284" s="2" t="s">
        <v>12</v>
      </c>
      <c r="E6284" s="2" t="s">
        <v>12</v>
      </c>
      <c r="F6284" s="2" t="s">
        <v>12</v>
      </c>
      <c r="G6284" s="2" t="s">
        <v>12</v>
      </c>
      <c r="H6284" s="2" t="s">
        <v>12</v>
      </c>
      <c r="I6284" s="2" t="s">
        <v>12</v>
      </c>
      <c r="J6284" s="2" t="s">
        <v>12</v>
      </c>
      <c r="K6284" s="2" t="s">
        <v>12</v>
      </c>
    </row>
    <row r="6285" spans="1:11" ht="12.5" x14ac:dyDescent="0.25">
      <c r="A6285" s="3" t="e">
        <f ca="1"/>
        <v>#NAME?</v>
      </c>
      <c r="B6285" s="2" t="s">
        <v>12</v>
      </c>
      <c r="C6285" s="2" t="s">
        <v>12</v>
      </c>
      <c r="D6285" s="2" t="s">
        <v>12</v>
      </c>
      <c r="E6285" s="2" t="s">
        <v>12</v>
      </c>
      <c r="F6285" s="2" t="s">
        <v>12</v>
      </c>
      <c r="G6285" s="2" t="s">
        <v>12</v>
      </c>
      <c r="H6285" s="2" t="s">
        <v>12</v>
      </c>
      <c r="I6285" s="2" t="s">
        <v>12</v>
      </c>
      <c r="J6285" s="2" t="s">
        <v>12</v>
      </c>
      <c r="K6285" s="2" t="s">
        <v>12</v>
      </c>
    </row>
    <row r="6286" spans="1:11" ht="12.5" x14ac:dyDescent="0.25">
      <c r="A6286" s="3" t="e">
        <f ca="1"/>
        <v>#NAME?</v>
      </c>
      <c r="B6286" s="2" t="s">
        <v>12</v>
      </c>
      <c r="C6286" s="2" t="s">
        <v>12</v>
      </c>
      <c r="D6286" s="2" t="s">
        <v>12</v>
      </c>
      <c r="E6286" s="2" t="s">
        <v>12</v>
      </c>
      <c r="F6286" s="2" t="s">
        <v>12</v>
      </c>
      <c r="G6286" s="2" t="s">
        <v>12</v>
      </c>
      <c r="H6286" s="2" t="s">
        <v>12</v>
      </c>
      <c r="I6286" s="2" t="s">
        <v>12</v>
      </c>
      <c r="J6286" s="2" t="s">
        <v>12</v>
      </c>
      <c r="K6286" s="2" t="s">
        <v>12</v>
      </c>
    </row>
    <row r="6287" spans="1:11" ht="12.5" x14ac:dyDescent="0.25">
      <c r="A6287" s="3" t="e">
        <f ca="1"/>
        <v>#NAME?</v>
      </c>
      <c r="B6287" s="2" t="s">
        <v>12</v>
      </c>
      <c r="C6287" s="2" t="s">
        <v>12</v>
      </c>
      <c r="D6287" s="2" t="s">
        <v>12</v>
      </c>
      <c r="E6287" s="2" t="s">
        <v>12</v>
      </c>
      <c r="F6287" s="2" t="s">
        <v>12</v>
      </c>
      <c r="G6287" s="2" t="s">
        <v>12</v>
      </c>
      <c r="H6287" s="2" t="s">
        <v>12</v>
      </c>
      <c r="I6287" s="2" t="s">
        <v>12</v>
      </c>
      <c r="J6287" s="2" t="s">
        <v>12</v>
      </c>
      <c r="K6287" s="2" t="s">
        <v>12</v>
      </c>
    </row>
    <row r="6288" spans="1:11" ht="12.5" x14ac:dyDescent="0.25">
      <c r="A6288" s="3" t="e">
        <f ca="1"/>
        <v>#NAME?</v>
      </c>
      <c r="B6288" s="2" t="s">
        <v>12</v>
      </c>
      <c r="C6288" s="2" t="s">
        <v>12</v>
      </c>
      <c r="D6288" s="2" t="s">
        <v>12</v>
      </c>
      <c r="E6288" s="2" t="s">
        <v>12</v>
      </c>
      <c r="F6288" s="2" t="s">
        <v>12</v>
      </c>
      <c r="G6288" s="2" t="s">
        <v>12</v>
      </c>
      <c r="H6288" s="2" t="s">
        <v>12</v>
      </c>
      <c r="I6288" s="2" t="s">
        <v>12</v>
      </c>
      <c r="J6288" s="2" t="s">
        <v>12</v>
      </c>
      <c r="K6288" s="2" t="s">
        <v>12</v>
      </c>
    </row>
    <row r="6289" spans="1:11" ht="12.5" x14ac:dyDescent="0.25">
      <c r="A6289" s="3" t="e">
        <f ca="1"/>
        <v>#NAME?</v>
      </c>
      <c r="B6289" s="2" t="s">
        <v>12</v>
      </c>
      <c r="C6289" s="2" t="s">
        <v>12</v>
      </c>
      <c r="D6289" s="2" t="s">
        <v>12</v>
      </c>
      <c r="E6289" s="2" t="s">
        <v>12</v>
      </c>
      <c r="F6289" s="2" t="s">
        <v>12</v>
      </c>
      <c r="G6289" s="2" t="s">
        <v>12</v>
      </c>
      <c r="H6289" s="2" t="s">
        <v>12</v>
      </c>
      <c r="I6289" s="2" t="s">
        <v>12</v>
      </c>
      <c r="J6289" s="2" t="s">
        <v>12</v>
      </c>
      <c r="K6289" s="2" t="s">
        <v>12</v>
      </c>
    </row>
    <row r="6290" spans="1:11" ht="12.5" x14ac:dyDescent="0.25">
      <c r="A6290" s="3" t="e">
        <f ca="1"/>
        <v>#NAME?</v>
      </c>
      <c r="B6290" s="2" t="s">
        <v>12</v>
      </c>
      <c r="C6290" s="2" t="s">
        <v>12</v>
      </c>
      <c r="D6290" s="2" t="s">
        <v>12</v>
      </c>
      <c r="E6290" s="2" t="s">
        <v>12</v>
      </c>
      <c r="F6290" s="2" t="s">
        <v>12</v>
      </c>
      <c r="G6290" s="2" t="s">
        <v>12</v>
      </c>
      <c r="H6290" s="2" t="s">
        <v>12</v>
      </c>
      <c r="I6290" s="2" t="s">
        <v>12</v>
      </c>
      <c r="J6290" s="2" t="s">
        <v>12</v>
      </c>
      <c r="K6290" s="2" t="s">
        <v>12</v>
      </c>
    </row>
    <row r="6291" spans="1:11" ht="12.5" x14ac:dyDescent="0.25">
      <c r="A6291" s="3" t="e">
        <f ca="1"/>
        <v>#NAME?</v>
      </c>
      <c r="B6291" s="2" t="s">
        <v>12</v>
      </c>
      <c r="C6291" s="2" t="s">
        <v>12</v>
      </c>
      <c r="D6291" s="2" t="s">
        <v>12</v>
      </c>
      <c r="E6291" s="2" t="s">
        <v>12</v>
      </c>
      <c r="F6291" s="2" t="s">
        <v>12</v>
      </c>
      <c r="G6291" s="2" t="s">
        <v>12</v>
      </c>
      <c r="H6291" s="2" t="s">
        <v>12</v>
      </c>
      <c r="I6291" s="2" t="s">
        <v>12</v>
      </c>
      <c r="J6291" s="2" t="s">
        <v>12</v>
      </c>
      <c r="K6291" s="2" t="s">
        <v>12</v>
      </c>
    </row>
    <row r="6292" spans="1:11" ht="12.5" x14ac:dyDescent="0.25">
      <c r="A6292" s="3" t="e">
        <f ca="1"/>
        <v>#NAME?</v>
      </c>
      <c r="B6292" s="2" t="s">
        <v>12</v>
      </c>
      <c r="C6292" s="2" t="s">
        <v>12</v>
      </c>
      <c r="D6292" s="2" t="s">
        <v>12</v>
      </c>
      <c r="E6292" s="2" t="s">
        <v>12</v>
      </c>
      <c r="F6292" s="2" t="s">
        <v>12</v>
      </c>
      <c r="G6292" s="2" t="s">
        <v>12</v>
      </c>
      <c r="H6292" s="2" t="s">
        <v>12</v>
      </c>
      <c r="I6292" s="2" t="s">
        <v>12</v>
      </c>
      <c r="J6292" s="2" t="s">
        <v>12</v>
      </c>
      <c r="K6292" s="2" t="s">
        <v>12</v>
      </c>
    </row>
    <row r="6293" spans="1:11" ht="12.5" x14ac:dyDescent="0.25">
      <c r="A6293" s="3" t="e">
        <f ca="1"/>
        <v>#NAME?</v>
      </c>
      <c r="B6293" s="2" t="s">
        <v>12</v>
      </c>
      <c r="C6293" s="2" t="s">
        <v>12</v>
      </c>
      <c r="D6293" s="2" t="s">
        <v>12</v>
      </c>
      <c r="E6293" s="2" t="s">
        <v>12</v>
      </c>
      <c r="F6293" s="2" t="s">
        <v>12</v>
      </c>
      <c r="G6293" s="2" t="s">
        <v>12</v>
      </c>
      <c r="H6293" s="2" t="s">
        <v>12</v>
      </c>
      <c r="I6293" s="2" t="s">
        <v>12</v>
      </c>
      <c r="J6293" s="2" t="s">
        <v>12</v>
      </c>
      <c r="K6293" s="2" t="s">
        <v>12</v>
      </c>
    </row>
    <row r="6294" spans="1:11" ht="12.5" x14ac:dyDescent="0.25">
      <c r="A6294" s="3" t="e">
        <f ca="1"/>
        <v>#NAME?</v>
      </c>
      <c r="B6294" s="2" t="s">
        <v>12</v>
      </c>
      <c r="C6294" s="2" t="s">
        <v>12</v>
      </c>
      <c r="D6294" s="2" t="s">
        <v>12</v>
      </c>
      <c r="E6294" s="2" t="s">
        <v>12</v>
      </c>
      <c r="F6294" s="2" t="s">
        <v>12</v>
      </c>
      <c r="G6294" s="2" t="s">
        <v>12</v>
      </c>
      <c r="H6294" s="2" t="s">
        <v>12</v>
      </c>
      <c r="I6294" s="2" t="s">
        <v>12</v>
      </c>
      <c r="J6294" s="2" t="s">
        <v>12</v>
      </c>
      <c r="K6294" s="2" t="s">
        <v>12</v>
      </c>
    </row>
    <row r="6295" spans="1:11" ht="12.5" x14ac:dyDescent="0.25">
      <c r="A6295" s="3" t="e">
        <f ca="1"/>
        <v>#NAME?</v>
      </c>
      <c r="B6295" s="2" t="s">
        <v>12</v>
      </c>
      <c r="C6295" s="2" t="s">
        <v>12</v>
      </c>
      <c r="D6295" s="2" t="s">
        <v>12</v>
      </c>
      <c r="E6295" s="2" t="s">
        <v>12</v>
      </c>
      <c r="F6295" s="2" t="s">
        <v>12</v>
      </c>
      <c r="G6295" s="2" t="s">
        <v>12</v>
      </c>
      <c r="H6295" s="2" t="s">
        <v>12</v>
      </c>
      <c r="I6295" s="2" t="s">
        <v>12</v>
      </c>
      <c r="J6295" s="2" t="s">
        <v>12</v>
      </c>
      <c r="K6295" s="2" t="s">
        <v>12</v>
      </c>
    </row>
    <row r="6296" spans="1:11" ht="12.5" x14ac:dyDescent="0.25">
      <c r="A6296" s="3" t="e">
        <f ca="1"/>
        <v>#NAME?</v>
      </c>
      <c r="B6296" s="2" t="s">
        <v>12</v>
      </c>
      <c r="C6296" s="2" t="s">
        <v>12</v>
      </c>
      <c r="D6296" s="2" t="s">
        <v>12</v>
      </c>
      <c r="E6296" s="2" t="s">
        <v>12</v>
      </c>
      <c r="F6296" s="2" t="s">
        <v>12</v>
      </c>
      <c r="G6296" s="2" t="s">
        <v>12</v>
      </c>
      <c r="H6296" s="2" t="s">
        <v>12</v>
      </c>
      <c r="I6296" s="2" t="s">
        <v>12</v>
      </c>
      <c r="J6296" s="2" t="s">
        <v>12</v>
      </c>
      <c r="K6296" s="2" t="s">
        <v>12</v>
      </c>
    </row>
    <row r="6297" spans="1:11" ht="12.5" x14ac:dyDescent="0.25">
      <c r="A6297" s="3" t="e">
        <f ca="1"/>
        <v>#NAME?</v>
      </c>
      <c r="B6297" s="2" t="s">
        <v>12</v>
      </c>
      <c r="C6297" s="2" t="s">
        <v>12</v>
      </c>
      <c r="D6297" s="2" t="s">
        <v>12</v>
      </c>
      <c r="E6297" s="2" t="s">
        <v>12</v>
      </c>
      <c r="F6297" s="2" t="s">
        <v>12</v>
      </c>
      <c r="G6297" s="2" t="s">
        <v>12</v>
      </c>
      <c r="H6297" s="2" t="s">
        <v>12</v>
      </c>
      <c r="I6297" s="2" t="s">
        <v>12</v>
      </c>
      <c r="J6297" s="2" t="s">
        <v>12</v>
      </c>
      <c r="K6297" s="2" t="s">
        <v>12</v>
      </c>
    </row>
    <row r="6298" spans="1:11" ht="12.5" x14ac:dyDescent="0.25">
      <c r="A6298" s="3" t="e">
        <f ca="1"/>
        <v>#NAME?</v>
      </c>
      <c r="B6298" s="2" t="s">
        <v>12</v>
      </c>
      <c r="C6298" s="2" t="s">
        <v>12</v>
      </c>
      <c r="D6298" s="2" t="s">
        <v>12</v>
      </c>
      <c r="E6298" s="2" t="s">
        <v>12</v>
      </c>
      <c r="F6298" s="2" t="s">
        <v>12</v>
      </c>
      <c r="G6298" s="2" t="s">
        <v>12</v>
      </c>
      <c r="H6298" s="2" t="s">
        <v>12</v>
      </c>
      <c r="I6298" s="2" t="s">
        <v>12</v>
      </c>
      <c r="J6298" s="2" t="s">
        <v>12</v>
      </c>
      <c r="K6298" s="2" t="s">
        <v>12</v>
      </c>
    </row>
    <row r="6299" spans="1:11" ht="12.5" x14ac:dyDescent="0.25">
      <c r="A6299" s="3" t="e">
        <f ca="1"/>
        <v>#NAME?</v>
      </c>
      <c r="B6299" s="2" t="s">
        <v>12</v>
      </c>
      <c r="C6299" s="2" t="s">
        <v>12</v>
      </c>
      <c r="D6299" s="2" t="s">
        <v>12</v>
      </c>
      <c r="E6299" s="2" t="s">
        <v>12</v>
      </c>
      <c r="F6299" s="2" t="s">
        <v>12</v>
      </c>
      <c r="G6299" s="2" t="s">
        <v>12</v>
      </c>
      <c r="H6299" s="2" t="s">
        <v>12</v>
      </c>
      <c r="I6299" s="2" t="s">
        <v>12</v>
      </c>
      <c r="J6299" s="2" t="s">
        <v>12</v>
      </c>
      <c r="K6299" s="2" t="s">
        <v>12</v>
      </c>
    </row>
    <row r="6300" spans="1:11" ht="12.5" x14ac:dyDescent="0.25">
      <c r="A6300" s="3" t="e">
        <f ca="1"/>
        <v>#NAME?</v>
      </c>
      <c r="B6300" s="2" t="s">
        <v>12</v>
      </c>
      <c r="C6300" s="2" t="s">
        <v>12</v>
      </c>
      <c r="D6300" s="2" t="s">
        <v>12</v>
      </c>
      <c r="E6300" s="2" t="s">
        <v>12</v>
      </c>
      <c r="F6300" s="2" t="s">
        <v>12</v>
      </c>
      <c r="G6300" s="2" t="s">
        <v>12</v>
      </c>
      <c r="H6300" s="2" t="s">
        <v>12</v>
      </c>
      <c r="I6300" s="2" t="s">
        <v>12</v>
      </c>
      <c r="J6300" s="2" t="s">
        <v>12</v>
      </c>
      <c r="K6300" s="2" t="s">
        <v>12</v>
      </c>
    </row>
    <row r="6301" spans="1:11" ht="12.5" x14ac:dyDescent="0.25">
      <c r="A6301" s="3" t="e">
        <f ca="1"/>
        <v>#NAME?</v>
      </c>
      <c r="B6301" s="2" t="s">
        <v>12</v>
      </c>
      <c r="C6301" s="2" t="s">
        <v>12</v>
      </c>
      <c r="D6301" s="2" t="s">
        <v>12</v>
      </c>
      <c r="E6301" s="2" t="s">
        <v>12</v>
      </c>
      <c r="F6301" s="2" t="s">
        <v>12</v>
      </c>
      <c r="G6301" s="2" t="s">
        <v>12</v>
      </c>
      <c r="H6301" s="2" t="s">
        <v>12</v>
      </c>
      <c r="I6301" s="2" t="s">
        <v>12</v>
      </c>
      <c r="J6301" s="2" t="s">
        <v>12</v>
      </c>
      <c r="K6301" s="2" t="s">
        <v>12</v>
      </c>
    </row>
    <row r="6302" spans="1:11" ht="12.5" x14ac:dyDescent="0.25">
      <c r="A6302" s="3" t="e">
        <f ca="1"/>
        <v>#NAME?</v>
      </c>
      <c r="B6302" s="2" t="s">
        <v>12</v>
      </c>
      <c r="C6302" s="2" t="s">
        <v>12</v>
      </c>
      <c r="D6302" s="2" t="s">
        <v>12</v>
      </c>
      <c r="E6302" s="2" t="s">
        <v>12</v>
      </c>
      <c r="F6302" s="2" t="s">
        <v>12</v>
      </c>
      <c r="G6302" s="2" t="s">
        <v>12</v>
      </c>
      <c r="H6302" s="2" t="s">
        <v>12</v>
      </c>
      <c r="I6302" s="2" t="s">
        <v>12</v>
      </c>
      <c r="J6302" s="2" t="s">
        <v>12</v>
      </c>
      <c r="K6302" s="2" t="s">
        <v>12</v>
      </c>
    </row>
    <row r="6303" spans="1:11" ht="12.5" x14ac:dyDescent="0.25">
      <c r="A6303" s="3" t="e">
        <f ca="1"/>
        <v>#NAME?</v>
      </c>
      <c r="B6303" s="2" t="s">
        <v>12</v>
      </c>
      <c r="C6303" s="2" t="s">
        <v>12</v>
      </c>
      <c r="D6303" s="2" t="s">
        <v>12</v>
      </c>
      <c r="E6303" s="2" t="s">
        <v>12</v>
      </c>
      <c r="F6303" s="2" t="s">
        <v>12</v>
      </c>
      <c r="G6303" s="2" t="s">
        <v>12</v>
      </c>
      <c r="H6303" s="2" t="s">
        <v>12</v>
      </c>
      <c r="I6303" s="2" t="s">
        <v>12</v>
      </c>
      <c r="J6303" s="2" t="s">
        <v>12</v>
      </c>
      <c r="K6303" s="2" t="s">
        <v>12</v>
      </c>
    </row>
    <row r="6304" spans="1:11" ht="12.5" x14ac:dyDescent="0.25">
      <c r="A6304" s="3" t="e">
        <f ca="1"/>
        <v>#NAME?</v>
      </c>
      <c r="B6304" s="2" t="s">
        <v>12</v>
      </c>
      <c r="C6304" s="2" t="s">
        <v>12</v>
      </c>
      <c r="D6304" s="2" t="s">
        <v>12</v>
      </c>
      <c r="E6304" s="2" t="s">
        <v>12</v>
      </c>
      <c r="F6304" s="2" t="s">
        <v>12</v>
      </c>
      <c r="G6304" s="2" t="s">
        <v>12</v>
      </c>
      <c r="H6304" s="2" t="s">
        <v>12</v>
      </c>
      <c r="I6304" s="2" t="s">
        <v>12</v>
      </c>
      <c r="J6304" s="2" t="s">
        <v>12</v>
      </c>
      <c r="K6304" s="2" t="s">
        <v>12</v>
      </c>
    </row>
    <row r="6305" spans="1:11" ht="12.5" x14ac:dyDescent="0.25">
      <c r="A6305" s="3" t="e">
        <f ca="1"/>
        <v>#NAME?</v>
      </c>
      <c r="B6305" s="2" t="s">
        <v>12</v>
      </c>
      <c r="C6305" s="2" t="s">
        <v>12</v>
      </c>
      <c r="D6305" s="2" t="s">
        <v>12</v>
      </c>
      <c r="E6305" s="2" t="s">
        <v>12</v>
      </c>
      <c r="F6305" s="2" t="s">
        <v>12</v>
      </c>
      <c r="G6305" s="2" t="s">
        <v>12</v>
      </c>
      <c r="H6305" s="2" t="s">
        <v>12</v>
      </c>
      <c r="I6305" s="2" t="s">
        <v>12</v>
      </c>
      <c r="J6305" s="2" t="s">
        <v>12</v>
      </c>
      <c r="K6305" s="2" t="s">
        <v>12</v>
      </c>
    </row>
    <row r="6306" spans="1:11" ht="12.5" x14ac:dyDescent="0.25">
      <c r="A6306" s="3" t="e">
        <f ca="1"/>
        <v>#NAME?</v>
      </c>
      <c r="B6306" s="2" t="s">
        <v>12</v>
      </c>
      <c r="C6306" s="2" t="s">
        <v>12</v>
      </c>
      <c r="D6306" s="2" t="s">
        <v>12</v>
      </c>
      <c r="E6306" s="2" t="s">
        <v>12</v>
      </c>
      <c r="F6306" s="2" t="s">
        <v>12</v>
      </c>
      <c r="G6306" s="2" t="s">
        <v>12</v>
      </c>
      <c r="H6306" s="2" t="s">
        <v>12</v>
      </c>
      <c r="I6306" s="2" t="s">
        <v>12</v>
      </c>
      <c r="J6306" s="2" t="s">
        <v>12</v>
      </c>
      <c r="K6306" s="2" t="s">
        <v>12</v>
      </c>
    </row>
    <row r="6307" spans="1:11" ht="12.5" x14ac:dyDescent="0.25">
      <c r="A6307" s="3" t="e">
        <f ca="1"/>
        <v>#NAME?</v>
      </c>
      <c r="B6307" s="2" t="s">
        <v>12</v>
      </c>
      <c r="C6307" s="2" t="s">
        <v>12</v>
      </c>
      <c r="D6307" s="2" t="s">
        <v>12</v>
      </c>
      <c r="E6307" s="2" t="s">
        <v>12</v>
      </c>
      <c r="F6307" s="2" t="s">
        <v>12</v>
      </c>
      <c r="G6307" s="2" t="s">
        <v>12</v>
      </c>
      <c r="H6307" s="2" t="s">
        <v>12</v>
      </c>
      <c r="I6307" s="2" t="s">
        <v>12</v>
      </c>
      <c r="J6307" s="2" t="s">
        <v>12</v>
      </c>
      <c r="K6307" s="2" t="s">
        <v>12</v>
      </c>
    </row>
    <row r="6308" spans="1:11" ht="12.5" x14ac:dyDescent="0.25">
      <c r="A6308" s="3" t="e">
        <f ca="1"/>
        <v>#NAME?</v>
      </c>
      <c r="B6308" s="2" t="s">
        <v>12</v>
      </c>
      <c r="C6308" s="2" t="s">
        <v>12</v>
      </c>
      <c r="D6308" s="2" t="s">
        <v>12</v>
      </c>
      <c r="E6308" s="2" t="s">
        <v>12</v>
      </c>
      <c r="F6308" s="2" t="s">
        <v>12</v>
      </c>
      <c r="G6308" s="2" t="s">
        <v>12</v>
      </c>
      <c r="H6308" s="2" t="s">
        <v>12</v>
      </c>
      <c r="I6308" s="2" t="s">
        <v>12</v>
      </c>
      <c r="J6308" s="2" t="s">
        <v>12</v>
      </c>
      <c r="K6308" s="2" t="s">
        <v>12</v>
      </c>
    </row>
    <row r="6309" spans="1:11" ht="12.5" x14ac:dyDescent="0.25">
      <c r="A6309" s="3" t="e">
        <f ca="1"/>
        <v>#NAME?</v>
      </c>
      <c r="B6309" s="2" t="s">
        <v>12</v>
      </c>
      <c r="C6309" s="2" t="s">
        <v>12</v>
      </c>
      <c r="D6309" s="2" t="s">
        <v>12</v>
      </c>
      <c r="E6309" s="2" t="s">
        <v>12</v>
      </c>
      <c r="F6309" s="2" t="s">
        <v>12</v>
      </c>
      <c r="G6309" s="2" t="s">
        <v>12</v>
      </c>
      <c r="H6309" s="2" t="s">
        <v>12</v>
      </c>
      <c r="I6309" s="2" t="s">
        <v>12</v>
      </c>
      <c r="J6309" s="2" t="s">
        <v>12</v>
      </c>
      <c r="K6309" s="2" t="s">
        <v>12</v>
      </c>
    </row>
    <row r="6310" spans="1:11" ht="12.5" x14ac:dyDescent="0.25">
      <c r="A6310" s="3" t="e">
        <f ca="1"/>
        <v>#NAME?</v>
      </c>
      <c r="B6310" s="2" t="s">
        <v>12</v>
      </c>
      <c r="C6310" s="2" t="s">
        <v>12</v>
      </c>
      <c r="D6310" s="2" t="s">
        <v>12</v>
      </c>
      <c r="E6310" s="2" t="s">
        <v>12</v>
      </c>
      <c r="F6310" s="2" t="s">
        <v>12</v>
      </c>
      <c r="G6310" s="2" t="s">
        <v>12</v>
      </c>
      <c r="H6310" s="2" t="s">
        <v>12</v>
      </c>
      <c r="I6310" s="2" t="s">
        <v>12</v>
      </c>
      <c r="J6310" s="2" t="s">
        <v>12</v>
      </c>
      <c r="K6310" s="2" t="s">
        <v>12</v>
      </c>
    </row>
    <row r="6311" spans="1:11" ht="12.5" x14ac:dyDescent="0.25">
      <c r="A6311" s="3" t="e">
        <f ca="1"/>
        <v>#NAME?</v>
      </c>
      <c r="B6311" s="2" t="s">
        <v>12</v>
      </c>
      <c r="C6311" s="2" t="s">
        <v>12</v>
      </c>
      <c r="D6311" s="2" t="s">
        <v>12</v>
      </c>
      <c r="E6311" s="2" t="s">
        <v>12</v>
      </c>
      <c r="F6311" s="2" t="s">
        <v>12</v>
      </c>
      <c r="G6311" s="2" t="s">
        <v>12</v>
      </c>
      <c r="H6311" s="2" t="s">
        <v>12</v>
      </c>
      <c r="I6311" s="2" t="s">
        <v>12</v>
      </c>
      <c r="J6311" s="2" t="s">
        <v>12</v>
      </c>
      <c r="K6311" s="2" t="s">
        <v>12</v>
      </c>
    </row>
    <row r="6312" spans="1:11" ht="12.5" x14ac:dyDescent="0.25">
      <c r="A6312" s="3" t="e">
        <f ca="1"/>
        <v>#NAME?</v>
      </c>
      <c r="B6312" s="2" t="s">
        <v>12</v>
      </c>
      <c r="C6312" s="2" t="s">
        <v>12</v>
      </c>
      <c r="D6312" s="2" t="s">
        <v>12</v>
      </c>
      <c r="E6312" s="2" t="s">
        <v>12</v>
      </c>
      <c r="F6312" s="2" t="s">
        <v>12</v>
      </c>
      <c r="G6312" s="2" t="s">
        <v>12</v>
      </c>
      <c r="H6312" s="2" t="s">
        <v>12</v>
      </c>
      <c r="I6312" s="2" t="s">
        <v>12</v>
      </c>
      <c r="J6312" s="2" t="s">
        <v>12</v>
      </c>
      <c r="K6312" s="2" t="s">
        <v>12</v>
      </c>
    </row>
    <row r="6313" spans="1:11" ht="12.5" x14ac:dyDescent="0.25">
      <c r="A6313" s="3" t="e">
        <f ca="1"/>
        <v>#NAME?</v>
      </c>
      <c r="B6313" s="2" t="s">
        <v>12</v>
      </c>
      <c r="C6313" s="2" t="s">
        <v>12</v>
      </c>
      <c r="D6313" s="2" t="s">
        <v>12</v>
      </c>
      <c r="E6313" s="2" t="s">
        <v>12</v>
      </c>
      <c r="F6313" s="2" t="s">
        <v>12</v>
      </c>
      <c r="G6313" s="2" t="s">
        <v>12</v>
      </c>
      <c r="H6313" s="2" t="s">
        <v>12</v>
      </c>
      <c r="I6313" s="2" t="s">
        <v>12</v>
      </c>
      <c r="J6313" s="2" t="s">
        <v>12</v>
      </c>
      <c r="K6313" s="2" t="s">
        <v>12</v>
      </c>
    </row>
    <row r="6314" spans="1:11" ht="12.5" x14ac:dyDescent="0.25">
      <c r="A6314" s="3" t="e">
        <f ca="1"/>
        <v>#NAME?</v>
      </c>
      <c r="B6314" s="2" t="s">
        <v>12</v>
      </c>
      <c r="C6314" s="2" t="s">
        <v>12</v>
      </c>
      <c r="D6314" s="2" t="s">
        <v>12</v>
      </c>
      <c r="E6314" s="2" t="s">
        <v>12</v>
      </c>
      <c r="F6314" s="2" t="s">
        <v>12</v>
      </c>
      <c r="G6314" s="2" t="s">
        <v>12</v>
      </c>
      <c r="H6314" s="2" t="s">
        <v>12</v>
      </c>
      <c r="I6314" s="2" t="s">
        <v>12</v>
      </c>
      <c r="J6314" s="2" t="s">
        <v>12</v>
      </c>
      <c r="K6314" s="2" t="s">
        <v>12</v>
      </c>
    </row>
    <row r="6315" spans="1:11" ht="12.5" x14ac:dyDescent="0.25">
      <c r="A6315" s="3" t="e">
        <f ca="1"/>
        <v>#NAME?</v>
      </c>
      <c r="B6315" s="2" t="s">
        <v>12</v>
      </c>
      <c r="C6315" s="2" t="s">
        <v>12</v>
      </c>
      <c r="D6315" s="2" t="s">
        <v>12</v>
      </c>
      <c r="E6315" s="2" t="s">
        <v>12</v>
      </c>
      <c r="F6315" s="2" t="s">
        <v>12</v>
      </c>
      <c r="G6315" s="2" t="s">
        <v>12</v>
      </c>
      <c r="H6315" s="2" t="s">
        <v>12</v>
      </c>
      <c r="I6315" s="2" t="s">
        <v>12</v>
      </c>
      <c r="J6315" s="2" t="s">
        <v>12</v>
      </c>
      <c r="K6315" s="2" t="s">
        <v>12</v>
      </c>
    </row>
    <row r="6316" spans="1:11" ht="12.5" x14ac:dyDescent="0.25">
      <c r="A6316" s="3" t="e">
        <f ca="1"/>
        <v>#NAME?</v>
      </c>
      <c r="B6316" s="2" t="s">
        <v>12</v>
      </c>
      <c r="C6316" s="2" t="s">
        <v>12</v>
      </c>
      <c r="D6316" s="2" t="s">
        <v>12</v>
      </c>
      <c r="E6316" s="2" t="s">
        <v>12</v>
      </c>
      <c r="F6316" s="2" t="s">
        <v>12</v>
      </c>
      <c r="G6316" s="2" t="s">
        <v>12</v>
      </c>
      <c r="H6316" s="2" t="s">
        <v>12</v>
      </c>
      <c r="I6316" s="2" t="s">
        <v>12</v>
      </c>
      <c r="J6316" s="2" t="s">
        <v>12</v>
      </c>
      <c r="K6316" s="2" t="s">
        <v>12</v>
      </c>
    </row>
    <row r="6317" spans="1:11" ht="12.5" x14ac:dyDescent="0.25">
      <c r="A6317" s="3" t="e">
        <f ca="1"/>
        <v>#NAME?</v>
      </c>
      <c r="B6317" s="2" t="s">
        <v>12</v>
      </c>
      <c r="C6317" s="2" t="s">
        <v>12</v>
      </c>
      <c r="D6317" s="2" t="s">
        <v>12</v>
      </c>
      <c r="E6317" s="2" t="s">
        <v>12</v>
      </c>
      <c r="F6317" s="2" t="s">
        <v>12</v>
      </c>
      <c r="G6317" s="2" t="s">
        <v>12</v>
      </c>
      <c r="H6317" s="2" t="s">
        <v>12</v>
      </c>
      <c r="I6317" s="2" t="s">
        <v>12</v>
      </c>
      <c r="J6317" s="2" t="s">
        <v>12</v>
      </c>
      <c r="K6317" s="2" t="s">
        <v>12</v>
      </c>
    </row>
    <row r="6318" spans="1:11" ht="12.5" x14ac:dyDescent="0.25">
      <c r="A6318" s="3" t="e">
        <f ca="1"/>
        <v>#NAME?</v>
      </c>
      <c r="B6318" s="2" t="s">
        <v>12</v>
      </c>
      <c r="C6318" s="2" t="s">
        <v>12</v>
      </c>
      <c r="D6318" s="2" t="s">
        <v>12</v>
      </c>
      <c r="E6318" s="2" t="s">
        <v>12</v>
      </c>
      <c r="F6318" s="2" t="s">
        <v>12</v>
      </c>
      <c r="G6318" s="2" t="s">
        <v>12</v>
      </c>
      <c r="H6318" s="2" t="s">
        <v>12</v>
      </c>
      <c r="I6318" s="2" t="s">
        <v>12</v>
      </c>
      <c r="J6318" s="2" t="s">
        <v>12</v>
      </c>
      <c r="K6318" s="2" t="s">
        <v>12</v>
      </c>
    </row>
    <row r="6319" spans="1:11" ht="12.5" x14ac:dyDescent="0.25">
      <c r="A6319" s="3" t="e">
        <f ca="1"/>
        <v>#NAME?</v>
      </c>
      <c r="B6319" s="2" t="s">
        <v>12</v>
      </c>
      <c r="C6319" s="2" t="s">
        <v>12</v>
      </c>
      <c r="D6319" s="2" t="s">
        <v>12</v>
      </c>
      <c r="E6319" s="2" t="s">
        <v>12</v>
      </c>
      <c r="F6319" s="2" t="s">
        <v>12</v>
      </c>
      <c r="G6319" s="2" t="s">
        <v>12</v>
      </c>
      <c r="H6319" s="2" t="s">
        <v>12</v>
      </c>
      <c r="I6319" s="2" t="s">
        <v>12</v>
      </c>
      <c r="J6319" s="2" t="s">
        <v>12</v>
      </c>
      <c r="K6319" s="2" t="s">
        <v>12</v>
      </c>
    </row>
    <row r="6320" spans="1:11" ht="12.5" x14ac:dyDescent="0.25">
      <c r="A6320" s="3" t="e">
        <f ca="1"/>
        <v>#NAME?</v>
      </c>
      <c r="B6320" s="2" t="s">
        <v>12</v>
      </c>
      <c r="C6320" s="2" t="s">
        <v>12</v>
      </c>
      <c r="D6320" s="2" t="s">
        <v>12</v>
      </c>
      <c r="E6320" s="2" t="s">
        <v>12</v>
      </c>
      <c r="F6320" s="2" t="s">
        <v>12</v>
      </c>
      <c r="G6320" s="2" t="s">
        <v>12</v>
      </c>
      <c r="H6320" s="2" t="s">
        <v>12</v>
      </c>
      <c r="I6320" s="2" t="s">
        <v>12</v>
      </c>
      <c r="J6320" s="2" t="s">
        <v>12</v>
      </c>
      <c r="K6320" s="2" t="s">
        <v>12</v>
      </c>
    </row>
    <row r="6321" spans="1:11" ht="12.5" x14ac:dyDescent="0.25">
      <c r="A6321" s="3" t="e">
        <f ca="1"/>
        <v>#NAME?</v>
      </c>
      <c r="B6321" s="2" t="s">
        <v>12</v>
      </c>
      <c r="C6321" s="2" t="s">
        <v>12</v>
      </c>
      <c r="D6321" s="2" t="s">
        <v>12</v>
      </c>
      <c r="E6321" s="2" t="s">
        <v>12</v>
      </c>
      <c r="F6321" s="2" t="s">
        <v>12</v>
      </c>
      <c r="G6321" s="2" t="s">
        <v>12</v>
      </c>
      <c r="H6321" s="2" t="s">
        <v>12</v>
      </c>
      <c r="I6321" s="2" t="s">
        <v>12</v>
      </c>
      <c r="J6321" s="2" t="s">
        <v>12</v>
      </c>
      <c r="K6321" s="2" t="s">
        <v>12</v>
      </c>
    </row>
    <row r="6322" spans="1:11" ht="12.5" x14ac:dyDescent="0.25">
      <c r="A6322" s="3" t="e">
        <f ca="1"/>
        <v>#NAME?</v>
      </c>
      <c r="B6322" s="2" t="s">
        <v>12</v>
      </c>
      <c r="C6322" s="2" t="s">
        <v>12</v>
      </c>
      <c r="D6322" s="2" t="s">
        <v>12</v>
      </c>
      <c r="E6322" s="2" t="s">
        <v>12</v>
      </c>
      <c r="F6322" s="2" t="s">
        <v>12</v>
      </c>
      <c r="G6322" s="2" t="s">
        <v>12</v>
      </c>
      <c r="H6322" s="2" t="s">
        <v>12</v>
      </c>
      <c r="I6322" s="2" t="s">
        <v>12</v>
      </c>
      <c r="J6322" s="2" t="s">
        <v>12</v>
      </c>
      <c r="K6322" s="2" t="s">
        <v>12</v>
      </c>
    </row>
    <row r="6323" spans="1:11" ht="12.5" x14ac:dyDescent="0.25">
      <c r="A6323" s="3" t="e">
        <f ca="1"/>
        <v>#NAME?</v>
      </c>
      <c r="B6323" s="2" t="s">
        <v>12</v>
      </c>
      <c r="C6323" s="2" t="s">
        <v>12</v>
      </c>
      <c r="D6323" s="2" t="s">
        <v>12</v>
      </c>
      <c r="E6323" s="2" t="s">
        <v>12</v>
      </c>
      <c r="F6323" s="2" t="s">
        <v>12</v>
      </c>
      <c r="G6323" s="2" t="s">
        <v>12</v>
      </c>
      <c r="H6323" s="2" t="s">
        <v>12</v>
      </c>
      <c r="I6323" s="2" t="s">
        <v>12</v>
      </c>
      <c r="J6323" s="2" t="s">
        <v>12</v>
      </c>
      <c r="K6323" s="2" t="s">
        <v>12</v>
      </c>
    </row>
    <row r="6324" spans="1:11" ht="12.5" x14ac:dyDescent="0.25">
      <c r="A6324" s="3" t="e">
        <f ca="1"/>
        <v>#NAME?</v>
      </c>
      <c r="B6324" s="2" t="s">
        <v>12</v>
      </c>
      <c r="C6324" s="2" t="s">
        <v>12</v>
      </c>
      <c r="D6324" s="2" t="s">
        <v>12</v>
      </c>
      <c r="E6324" s="2" t="s">
        <v>12</v>
      </c>
      <c r="F6324" s="2" t="s">
        <v>12</v>
      </c>
      <c r="G6324" s="2" t="s">
        <v>12</v>
      </c>
      <c r="H6324" s="2" t="s">
        <v>12</v>
      </c>
      <c r="I6324" s="2" t="s">
        <v>12</v>
      </c>
      <c r="J6324" s="2" t="s">
        <v>12</v>
      </c>
      <c r="K6324" s="2" t="s">
        <v>12</v>
      </c>
    </row>
    <row r="6325" spans="1:11" ht="12.5" x14ac:dyDescent="0.25">
      <c r="A6325" s="3" t="e">
        <f ca="1"/>
        <v>#NAME?</v>
      </c>
      <c r="B6325" s="2" t="s">
        <v>12</v>
      </c>
      <c r="C6325" s="2" t="s">
        <v>12</v>
      </c>
      <c r="D6325" s="2" t="s">
        <v>12</v>
      </c>
      <c r="E6325" s="2" t="s">
        <v>12</v>
      </c>
      <c r="F6325" s="2" t="s">
        <v>12</v>
      </c>
      <c r="G6325" s="2" t="s">
        <v>12</v>
      </c>
      <c r="H6325" s="2" t="s">
        <v>12</v>
      </c>
      <c r="I6325" s="2" t="s">
        <v>12</v>
      </c>
      <c r="J6325" s="2" t="s">
        <v>12</v>
      </c>
      <c r="K6325" s="2" t="s">
        <v>12</v>
      </c>
    </row>
    <row r="6326" spans="1:11" ht="12.5" x14ac:dyDescent="0.25">
      <c r="A6326" s="3" t="e">
        <f ca="1"/>
        <v>#NAME?</v>
      </c>
      <c r="B6326" s="2" t="s">
        <v>12</v>
      </c>
      <c r="C6326" s="2" t="s">
        <v>12</v>
      </c>
      <c r="D6326" s="2" t="s">
        <v>12</v>
      </c>
      <c r="E6326" s="2" t="s">
        <v>12</v>
      </c>
      <c r="F6326" s="2" t="s">
        <v>12</v>
      </c>
      <c r="G6326" s="2" t="s">
        <v>12</v>
      </c>
      <c r="H6326" s="2" t="s">
        <v>12</v>
      </c>
      <c r="I6326" s="2" t="s">
        <v>12</v>
      </c>
      <c r="J6326" s="2" t="s">
        <v>12</v>
      </c>
      <c r="K6326" s="2" t="s">
        <v>12</v>
      </c>
    </row>
    <row r="6327" spans="1:11" ht="12.5" x14ac:dyDescent="0.25">
      <c r="A6327" s="3" t="e">
        <f ca="1"/>
        <v>#NAME?</v>
      </c>
      <c r="B6327" s="2" t="s">
        <v>12</v>
      </c>
      <c r="C6327" s="2" t="s">
        <v>12</v>
      </c>
      <c r="D6327" s="2" t="s">
        <v>12</v>
      </c>
      <c r="E6327" s="2" t="s">
        <v>12</v>
      </c>
      <c r="F6327" s="2" t="s">
        <v>12</v>
      </c>
      <c r="G6327" s="2" t="s">
        <v>12</v>
      </c>
      <c r="H6327" s="2" t="s">
        <v>12</v>
      </c>
      <c r="I6327" s="2" t="s">
        <v>12</v>
      </c>
      <c r="J6327" s="2" t="s">
        <v>12</v>
      </c>
      <c r="K6327" s="2" t="s">
        <v>12</v>
      </c>
    </row>
    <row r="6328" spans="1:11" ht="12.5" x14ac:dyDescent="0.25">
      <c r="A6328" s="3" t="e">
        <f ca="1"/>
        <v>#NAME?</v>
      </c>
      <c r="B6328" s="2" t="s">
        <v>12</v>
      </c>
      <c r="C6328" s="2" t="s">
        <v>12</v>
      </c>
      <c r="D6328" s="2" t="s">
        <v>12</v>
      </c>
      <c r="E6328" s="2" t="s">
        <v>12</v>
      </c>
      <c r="F6328" s="2" t="s">
        <v>12</v>
      </c>
      <c r="G6328" s="2" t="s">
        <v>12</v>
      </c>
      <c r="H6328" s="2" t="s">
        <v>12</v>
      </c>
      <c r="I6328" s="2" t="s">
        <v>12</v>
      </c>
      <c r="J6328" s="2" t="s">
        <v>12</v>
      </c>
      <c r="K6328" s="2" t="s">
        <v>12</v>
      </c>
    </row>
    <row r="6329" spans="1:11" ht="12.5" x14ac:dyDescent="0.25">
      <c r="A6329" s="3" t="e">
        <f ca="1"/>
        <v>#NAME?</v>
      </c>
      <c r="B6329" s="2" t="s">
        <v>12</v>
      </c>
      <c r="C6329" s="2" t="s">
        <v>12</v>
      </c>
      <c r="D6329" s="2" t="s">
        <v>12</v>
      </c>
      <c r="E6329" s="2" t="s">
        <v>12</v>
      </c>
      <c r="F6329" s="2" t="s">
        <v>12</v>
      </c>
      <c r="G6329" s="2" t="s">
        <v>12</v>
      </c>
      <c r="H6329" s="2" t="s">
        <v>12</v>
      </c>
      <c r="I6329" s="2" t="s">
        <v>12</v>
      </c>
      <c r="J6329" s="2" t="s">
        <v>12</v>
      </c>
      <c r="K6329" s="2" t="s">
        <v>12</v>
      </c>
    </row>
    <row r="6330" spans="1:11" ht="12.5" x14ac:dyDescent="0.25">
      <c r="A6330" s="3" t="e">
        <f ca="1"/>
        <v>#NAME?</v>
      </c>
      <c r="B6330" s="2" t="s">
        <v>12</v>
      </c>
      <c r="C6330" s="2" t="s">
        <v>12</v>
      </c>
      <c r="D6330" s="2" t="s">
        <v>12</v>
      </c>
      <c r="E6330" s="2" t="s">
        <v>12</v>
      </c>
      <c r="F6330" s="2" t="s">
        <v>12</v>
      </c>
      <c r="G6330" s="2" t="s">
        <v>12</v>
      </c>
      <c r="H6330" s="2" t="s">
        <v>12</v>
      </c>
      <c r="I6330" s="2" t="s">
        <v>12</v>
      </c>
      <c r="J6330" s="2" t="s">
        <v>12</v>
      </c>
      <c r="K6330" s="2" t="s">
        <v>12</v>
      </c>
    </row>
    <row r="6331" spans="1:11" ht="12.5" x14ac:dyDescent="0.25">
      <c r="A6331" s="3" t="e">
        <f ca="1"/>
        <v>#NAME?</v>
      </c>
      <c r="B6331" s="2" t="s">
        <v>12</v>
      </c>
      <c r="C6331" s="2" t="s">
        <v>12</v>
      </c>
      <c r="D6331" s="2" t="s">
        <v>12</v>
      </c>
      <c r="E6331" s="2" t="s">
        <v>12</v>
      </c>
      <c r="F6331" s="2" t="s">
        <v>12</v>
      </c>
      <c r="G6331" s="2" t="s">
        <v>12</v>
      </c>
      <c r="H6331" s="2" t="s">
        <v>12</v>
      </c>
      <c r="I6331" s="2" t="s">
        <v>12</v>
      </c>
      <c r="J6331" s="2" t="s">
        <v>12</v>
      </c>
      <c r="K6331" s="2" t="s">
        <v>12</v>
      </c>
    </row>
    <row r="6332" spans="1:11" ht="12.5" x14ac:dyDescent="0.25">
      <c r="A6332" s="3" t="e">
        <f ca="1"/>
        <v>#NAME?</v>
      </c>
      <c r="B6332" s="2" t="s">
        <v>12</v>
      </c>
      <c r="C6332" s="2" t="s">
        <v>12</v>
      </c>
      <c r="D6332" s="2" t="s">
        <v>12</v>
      </c>
      <c r="E6332" s="2" t="s">
        <v>12</v>
      </c>
      <c r="F6332" s="2" t="s">
        <v>12</v>
      </c>
      <c r="G6332" s="2" t="s">
        <v>12</v>
      </c>
      <c r="H6332" s="2" t="s">
        <v>12</v>
      </c>
      <c r="I6332" s="2" t="s">
        <v>12</v>
      </c>
      <c r="J6332" s="2" t="s">
        <v>12</v>
      </c>
      <c r="K6332" s="2" t="s">
        <v>12</v>
      </c>
    </row>
    <row r="6333" spans="1:11" ht="12.5" x14ac:dyDescent="0.25">
      <c r="A6333" s="3" t="e">
        <f ca="1"/>
        <v>#NAME?</v>
      </c>
      <c r="B6333" s="2" t="s">
        <v>12</v>
      </c>
      <c r="C6333" s="2" t="s">
        <v>12</v>
      </c>
      <c r="D6333" s="2" t="s">
        <v>12</v>
      </c>
      <c r="E6333" s="2" t="s">
        <v>12</v>
      </c>
      <c r="F6333" s="2" t="s">
        <v>12</v>
      </c>
      <c r="G6333" s="2" t="s">
        <v>12</v>
      </c>
      <c r="H6333" s="2" t="s">
        <v>12</v>
      </c>
      <c r="I6333" s="2" t="s">
        <v>12</v>
      </c>
      <c r="J6333" s="2" t="s">
        <v>12</v>
      </c>
      <c r="K6333" s="2" t="s">
        <v>12</v>
      </c>
    </row>
    <row r="6334" spans="1:11" ht="12.5" x14ac:dyDescent="0.25">
      <c r="A6334" s="3" t="e">
        <f ca="1"/>
        <v>#NAME?</v>
      </c>
      <c r="B6334" s="2" t="s">
        <v>12</v>
      </c>
      <c r="C6334" s="2" t="s">
        <v>12</v>
      </c>
      <c r="D6334" s="2" t="s">
        <v>12</v>
      </c>
      <c r="E6334" s="2" t="s">
        <v>12</v>
      </c>
      <c r="F6334" s="2" t="s">
        <v>12</v>
      </c>
      <c r="G6334" s="2" t="s">
        <v>12</v>
      </c>
      <c r="H6334" s="2" t="s">
        <v>12</v>
      </c>
      <c r="I6334" s="2" t="s">
        <v>12</v>
      </c>
      <c r="J6334" s="2" t="s">
        <v>12</v>
      </c>
      <c r="K6334" s="2" t="s">
        <v>12</v>
      </c>
    </row>
    <row r="6335" spans="1:11" ht="12.5" x14ac:dyDescent="0.25">
      <c r="A6335" s="3" t="e">
        <f ca="1"/>
        <v>#NAME?</v>
      </c>
      <c r="B6335" s="2" t="s">
        <v>12</v>
      </c>
      <c r="C6335" s="2" t="s">
        <v>12</v>
      </c>
      <c r="D6335" s="2" t="s">
        <v>12</v>
      </c>
      <c r="E6335" s="2" t="s">
        <v>12</v>
      </c>
      <c r="F6335" s="2" t="s">
        <v>12</v>
      </c>
      <c r="G6335" s="2" t="s">
        <v>12</v>
      </c>
      <c r="H6335" s="2" t="s">
        <v>12</v>
      </c>
      <c r="I6335" s="2" t="s">
        <v>12</v>
      </c>
      <c r="J6335" s="2" t="s">
        <v>12</v>
      </c>
      <c r="K6335" s="2" t="s">
        <v>12</v>
      </c>
    </row>
    <row r="6336" spans="1:11" ht="12.5" x14ac:dyDescent="0.25">
      <c r="A6336" s="3" t="e">
        <f ca="1"/>
        <v>#NAME?</v>
      </c>
      <c r="B6336" s="2" t="s">
        <v>12</v>
      </c>
      <c r="C6336" s="2" t="s">
        <v>12</v>
      </c>
      <c r="D6336" s="2" t="s">
        <v>12</v>
      </c>
      <c r="E6336" s="2" t="s">
        <v>12</v>
      </c>
      <c r="F6336" s="2" t="s">
        <v>12</v>
      </c>
      <c r="G6336" s="2" t="s">
        <v>12</v>
      </c>
      <c r="H6336" s="2" t="s">
        <v>12</v>
      </c>
      <c r="I6336" s="2" t="s">
        <v>12</v>
      </c>
      <c r="J6336" s="2" t="s">
        <v>12</v>
      </c>
      <c r="K6336" s="2" t="s">
        <v>12</v>
      </c>
    </row>
    <row r="6337" spans="1:11" ht="12.5" x14ac:dyDescent="0.25">
      <c r="A6337" s="3" t="e">
        <f ca="1"/>
        <v>#NAME?</v>
      </c>
      <c r="B6337" s="2" t="s">
        <v>12</v>
      </c>
      <c r="C6337" s="2" t="s">
        <v>12</v>
      </c>
      <c r="D6337" s="2" t="s">
        <v>12</v>
      </c>
      <c r="E6337" s="2" t="s">
        <v>12</v>
      </c>
      <c r="F6337" s="2" t="s">
        <v>12</v>
      </c>
      <c r="G6337" s="2" t="s">
        <v>12</v>
      </c>
      <c r="H6337" s="2" t="s">
        <v>12</v>
      </c>
      <c r="I6337" s="2" t="s">
        <v>12</v>
      </c>
      <c r="J6337" s="2" t="s">
        <v>12</v>
      </c>
      <c r="K6337" s="2" t="s">
        <v>12</v>
      </c>
    </row>
    <row r="6338" spans="1:11" ht="12.5" x14ac:dyDescent="0.25">
      <c r="A6338" s="3" t="e">
        <f ca="1"/>
        <v>#NAME?</v>
      </c>
      <c r="B6338" s="2" t="s">
        <v>12</v>
      </c>
      <c r="C6338" s="2" t="s">
        <v>12</v>
      </c>
      <c r="D6338" s="2" t="s">
        <v>12</v>
      </c>
      <c r="E6338" s="2" t="s">
        <v>12</v>
      </c>
      <c r="F6338" s="2" t="s">
        <v>12</v>
      </c>
      <c r="G6338" s="2" t="s">
        <v>12</v>
      </c>
      <c r="H6338" s="2" t="s">
        <v>12</v>
      </c>
      <c r="I6338" s="2" t="s">
        <v>12</v>
      </c>
      <c r="J6338" s="2" t="s">
        <v>12</v>
      </c>
      <c r="K6338" s="2" t="s">
        <v>12</v>
      </c>
    </row>
    <row r="6339" spans="1:11" ht="12.5" x14ac:dyDescent="0.25">
      <c r="A6339" s="3" t="e">
        <f ca="1"/>
        <v>#NAME?</v>
      </c>
      <c r="B6339" s="2" t="s">
        <v>12</v>
      </c>
      <c r="C6339" s="2" t="s">
        <v>12</v>
      </c>
      <c r="D6339" s="2" t="s">
        <v>12</v>
      </c>
      <c r="E6339" s="2" t="s">
        <v>12</v>
      </c>
      <c r="F6339" s="2" t="s">
        <v>12</v>
      </c>
      <c r="G6339" s="2" t="s">
        <v>12</v>
      </c>
      <c r="H6339" s="2" t="s">
        <v>12</v>
      </c>
      <c r="I6339" s="2" t="s">
        <v>12</v>
      </c>
      <c r="J6339" s="2" t="s">
        <v>12</v>
      </c>
      <c r="K6339" s="2" t="s">
        <v>12</v>
      </c>
    </row>
    <row r="6340" spans="1:11" ht="12.5" x14ac:dyDescent="0.25">
      <c r="A6340" s="3" t="e">
        <f ca="1"/>
        <v>#NAME?</v>
      </c>
      <c r="B6340" s="2" t="s">
        <v>12</v>
      </c>
      <c r="C6340" s="2" t="s">
        <v>12</v>
      </c>
      <c r="D6340" s="2" t="s">
        <v>12</v>
      </c>
      <c r="E6340" s="2" t="s">
        <v>12</v>
      </c>
      <c r="F6340" s="2" t="s">
        <v>12</v>
      </c>
      <c r="G6340" s="2" t="s">
        <v>12</v>
      </c>
      <c r="H6340" s="2" t="s">
        <v>12</v>
      </c>
      <c r="I6340" s="2" t="s">
        <v>12</v>
      </c>
      <c r="J6340" s="2" t="s">
        <v>12</v>
      </c>
      <c r="K6340" s="2" t="s">
        <v>12</v>
      </c>
    </row>
    <row r="6341" spans="1:11" ht="12.5" x14ac:dyDescent="0.25">
      <c r="A6341" s="3" t="e">
        <f ca="1"/>
        <v>#NAME?</v>
      </c>
      <c r="B6341" s="2" t="s">
        <v>12</v>
      </c>
      <c r="C6341" s="2" t="s">
        <v>12</v>
      </c>
      <c r="D6341" s="2" t="s">
        <v>12</v>
      </c>
      <c r="E6341" s="2" t="s">
        <v>12</v>
      </c>
      <c r="F6341" s="2" t="s">
        <v>12</v>
      </c>
      <c r="G6341" s="2" t="s">
        <v>12</v>
      </c>
      <c r="H6341" s="2" t="s">
        <v>12</v>
      </c>
      <c r="I6341" s="2" t="s">
        <v>12</v>
      </c>
      <c r="J6341" s="2" t="s">
        <v>12</v>
      </c>
      <c r="K6341" s="2" t="s">
        <v>12</v>
      </c>
    </row>
    <row r="6342" spans="1:11" ht="12.5" x14ac:dyDescent="0.25">
      <c r="A6342" s="3" t="e">
        <f ca="1"/>
        <v>#NAME?</v>
      </c>
      <c r="B6342" s="2" t="s">
        <v>12</v>
      </c>
      <c r="C6342" s="2" t="s">
        <v>12</v>
      </c>
      <c r="D6342" s="2" t="s">
        <v>12</v>
      </c>
      <c r="E6342" s="2" t="s">
        <v>12</v>
      </c>
      <c r="F6342" s="2" t="s">
        <v>12</v>
      </c>
      <c r="G6342" s="2" t="s">
        <v>12</v>
      </c>
      <c r="H6342" s="2" t="s">
        <v>12</v>
      </c>
      <c r="I6342" s="2" t="s">
        <v>12</v>
      </c>
      <c r="J6342" s="2" t="s">
        <v>12</v>
      </c>
      <c r="K6342" s="2" t="s">
        <v>12</v>
      </c>
    </row>
    <row r="6343" spans="1:11" ht="12.5" x14ac:dyDescent="0.25">
      <c r="A6343" s="3" t="e">
        <f ca="1"/>
        <v>#NAME?</v>
      </c>
      <c r="B6343" s="2" t="s">
        <v>12</v>
      </c>
      <c r="C6343" s="2" t="s">
        <v>12</v>
      </c>
      <c r="D6343" s="2" t="s">
        <v>12</v>
      </c>
      <c r="E6343" s="2" t="s">
        <v>12</v>
      </c>
      <c r="F6343" s="2" t="s">
        <v>12</v>
      </c>
      <c r="G6343" s="2" t="s">
        <v>12</v>
      </c>
      <c r="H6343" s="2" t="s">
        <v>12</v>
      </c>
      <c r="I6343" s="2" t="s">
        <v>12</v>
      </c>
      <c r="J6343" s="2" t="s">
        <v>12</v>
      </c>
      <c r="K6343" s="2" t="s">
        <v>12</v>
      </c>
    </row>
    <row r="6344" spans="1:11" ht="12.5" x14ac:dyDescent="0.25">
      <c r="A6344" s="3" t="e">
        <f ca="1"/>
        <v>#NAME?</v>
      </c>
      <c r="B6344" s="2" t="s">
        <v>12</v>
      </c>
      <c r="C6344" s="2" t="s">
        <v>12</v>
      </c>
      <c r="D6344" s="2" t="s">
        <v>12</v>
      </c>
      <c r="E6344" s="2" t="s">
        <v>12</v>
      </c>
      <c r="F6344" s="2" t="s">
        <v>12</v>
      </c>
      <c r="G6344" s="2" t="s">
        <v>12</v>
      </c>
      <c r="H6344" s="2" t="s">
        <v>12</v>
      </c>
      <c r="I6344" s="2" t="s">
        <v>12</v>
      </c>
      <c r="J6344" s="2" t="s">
        <v>12</v>
      </c>
      <c r="K6344" s="2" t="s">
        <v>12</v>
      </c>
    </row>
    <row r="6345" spans="1:11" ht="12.5" x14ac:dyDescent="0.25">
      <c r="A6345" s="3" t="e">
        <f ca="1"/>
        <v>#NAME?</v>
      </c>
      <c r="B6345" s="2" t="s">
        <v>12</v>
      </c>
      <c r="C6345" s="2" t="s">
        <v>12</v>
      </c>
      <c r="D6345" s="2" t="s">
        <v>12</v>
      </c>
      <c r="E6345" s="2" t="s">
        <v>12</v>
      </c>
      <c r="F6345" s="2" t="s">
        <v>12</v>
      </c>
      <c r="G6345" s="2" t="s">
        <v>12</v>
      </c>
      <c r="H6345" s="2" t="s">
        <v>12</v>
      </c>
      <c r="I6345" s="2" t="s">
        <v>12</v>
      </c>
      <c r="J6345" s="2" t="s">
        <v>12</v>
      </c>
      <c r="K6345" s="2" t="s">
        <v>12</v>
      </c>
    </row>
    <row r="6346" spans="1:11" ht="12.5" x14ac:dyDescent="0.25">
      <c r="A6346" s="3" t="e">
        <f ca="1"/>
        <v>#NAME?</v>
      </c>
      <c r="B6346" s="2" t="s">
        <v>12</v>
      </c>
      <c r="C6346" s="2" t="s">
        <v>12</v>
      </c>
      <c r="D6346" s="2" t="s">
        <v>12</v>
      </c>
      <c r="E6346" s="2" t="s">
        <v>12</v>
      </c>
      <c r="F6346" s="2" t="s">
        <v>12</v>
      </c>
      <c r="G6346" s="2" t="s">
        <v>12</v>
      </c>
      <c r="H6346" s="2" t="s">
        <v>12</v>
      </c>
      <c r="I6346" s="2" t="s">
        <v>12</v>
      </c>
      <c r="J6346" s="2" t="s">
        <v>12</v>
      </c>
      <c r="K6346" s="2" t="s">
        <v>12</v>
      </c>
    </row>
    <row r="6347" spans="1:11" ht="12.5" x14ac:dyDescent="0.25">
      <c r="A6347" s="3" t="e">
        <f ca="1"/>
        <v>#NAME?</v>
      </c>
      <c r="B6347" s="2" t="s">
        <v>12</v>
      </c>
      <c r="C6347" s="2" t="s">
        <v>12</v>
      </c>
      <c r="D6347" s="2" t="s">
        <v>12</v>
      </c>
      <c r="E6347" s="2" t="s">
        <v>12</v>
      </c>
      <c r="F6347" s="2" t="s">
        <v>12</v>
      </c>
      <c r="G6347" s="2" t="s">
        <v>12</v>
      </c>
      <c r="H6347" s="2" t="s">
        <v>12</v>
      </c>
      <c r="I6347" s="2" t="s">
        <v>12</v>
      </c>
      <c r="J6347" s="2" t="s">
        <v>12</v>
      </c>
      <c r="K6347" s="2" t="s">
        <v>12</v>
      </c>
    </row>
    <row r="6348" spans="1:11" ht="12.5" x14ac:dyDescent="0.25">
      <c r="A6348" s="3" t="e">
        <f ca="1"/>
        <v>#NAME?</v>
      </c>
      <c r="B6348" s="2" t="s">
        <v>12</v>
      </c>
      <c r="C6348" s="2" t="s">
        <v>12</v>
      </c>
      <c r="D6348" s="2" t="s">
        <v>12</v>
      </c>
      <c r="E6348" s="2" t="s">
        <v>12</v>
      </c>
      <c r="F6348" s="2" t="s">
        <v>12</v>
      </c>
      <c r="G6348" s="2" t="s">
        <v>12</v>
      </c>
      <c r="H6348" s="2" t="s">
        <v>12</v>
      </c>
      <c r="I6348" s="2" t="s">
        <v>12</v>
      </c>
      <c r="J6348" s="2" t="s">
        <v>12</v>
      </c>
      <c r="K6348" s="2" t="s">
        <v>12</v>
      </c>
    </row>
    <row r="6349" spans="1:11" ht="12.5" x14ac:dyDescent="0.25">
      <c r="A6349" s="3" t="e">
        <f ca="1"/>
        <v>#NAME?</v>
      </c>
      <c r="B6349" s="2" t="s">
        <v>12</v>
      </c>
      <c r="C6349" s="2" t="s">
        <v>12</v>
      </c>
      <c r="D6349" s="2" t="s">
        <v>12</v>
      </c>
      <c r="E6349" s="2" t="s">
        <v>12</v>
      </c>
      <c r="F6349" s="2" t="s">
        <v>12</v>
      </c>
      <c r="G6349" s="2" t="s">
        <v>12</v>
      </c>
      <c r="H6349" s="2" t="s">
        <v>12</v>
      </c>
      <c r="I6349" s="2" t="s">
        <v>12</v>
      </c>
      <c r="J6349" s="2" t="s">
        <v>12</v>
      </c>
      <c r="K6349" s="2" t="s">
        <v>12</v>
      </c>
    </row>
    <row r="6350" spans="1:11" ht="12.5" x14ac:dyDescent="0.25">
      <c r="A6350" s="3" t="e">
        <f ca="1"/>
        <v>#NAME?</v>
      </c>
      <c r="B6350" s="2" t="s">
        <v>12</v>
      </c>
      <c r="C6350" s="2" t="s">
        <v>12</v>
      </c>
      <c r="D6350" s="2" t="s">
        <v>12</v>
      </c>
      <c r="E6350" s="2" t="s">
        <v>12</v>
      </c>
      <c r="F6350" s="2" t="s">
        <v>12</v>
      </c>
      <c r="G6350" s="2" t="s">
        <v>12</v>
      </c>
      <c r="H6350" s="2" t="s">
        <v>12</v>
      </c>
      <c r="I6350" s="2" t="s">
        <v>12</v>
      </c>
      <c r="J6350" s="2" t="s">
        <v>12</v>
      </c>
      <c r="K6350" s="2" t="s">
        <v>12</v>
      </c>
    </row>
    <row r="6351" spans="1:11" ht="12.5" x14ac:dyDescent="0.25">
      <c r="A6351" s="3" t="e">
        <f ca="1"/>
        <v>#NAME?</v>
      </c>
      <c r="B6351" s="2" t="s">
        <v>12</v>
      </c>
      <c r="C6351" s="2" t="s">
        <v>12</v>
      </c>
      <c r="D6351" s="2" t="s">
        <v>12</v>
      </c>
      <c r="E6351" s="2" t="s">
        <v>12</v>
      </c>
      <c r="F6351" s="2" t="s">
        <v>12</v>
      </c>
      <c r="G6351" s="2" t="s">
        <v>12</v>
      </c>
      <c r="H6351" s="2" t="s">
        <v>12</v>
      </c>
      <c r="I6351" s="2" t="s">
        <v>12</v>
      </c>
      <c r="J6351" s="2" t="s">
        <v>12</v>
      </c>
      <c r="K6351" s="2" t="s">
        <v>12</v>
      </c>
    </row>
    <row r="6352" spans="1:11" ht="12.5" x14ac:dyDescent="0.25">
      <c r="A6352" s="3" t="e">
        <f ca="1"/>
        <v>#NAME?</v>
      </c>
      <c r="B6352" s="2" t="s">
        <v>12</v>
      </c>
      <c r="C6352" s="2" t="s">
        <v>12</v>
      </c>
      <c r="D6352" s="2" t="s">
        <v>12</v>
      </c>
      <c r="E6352" s="2" t="s">
        <v>12</v>
      </c>
      <c r="F6352" s="2" t="s">
        <v>12</v>
      </c>
      <c r="G6352" s="2" t="s">
        <v>12</v>
      </c>
      <c r="H6352" s="2" t="s">
        <v>12</v>
      </c>
      <c r="I6352" s="2" t="s">
        <v>12</v>
      </c>
      <c r="J6352" s="2" t="s">
        <v>12</v>
      </c>
      <c r="K6352" s="2" t="s">
        <v>12</v>
      </c>
    </row>
    <row r="6353" spans="1:11" ht="12.5" x14ac:dyDescent="0.25">
      <c r="A6353" s="3" t="e">
        <f ca="1"/>
        <v>#NAME?</v>
      </c>
      <c r="B6353" s="2" t="s">
        <v>12</v>
      </c>
      <c r="C6353" s="2" t="s">
        <v>12</v>
      </c>
      <c r="D6353" s="2" t="s">
        <v>12</v>
      </c>
      <c r="E6353" s="2" t="s">
        <v>12</v>
      </c>
      <c r="F6353" s="2" t="s">
        <v>12</v>
      </c>
      <c r="G6353" s="2" t="s">
        <v>12</v>
      </c>
      <c r="H6353" s="2" t="s">
        <v>12</v>
      </c>
      <c r="I6353" s="2" t="s">
        <v>12</v>
      </c>
      <c r="J6353" s="2" t="s">
        <v>12</v>
      </c>
      <c r="K6353" s="2" t="s">
        <v>12</v>
      </c>
    </row>
    <row r="6354" spans="1:11" ht="12.5" x14ac:dyDescent="0.25">
      <c r="A6354" s="3" t="e">
        <f ca="1"/>
        <v>#NAME?</v>
      </c>
      <c r="B6354" s="2" t="s">
        <v>12</v>
      </c>
      <c r="C6354" s="2" t="s">
        <v>12</v>
      </c>
      <c r="D6354" s="2" t="s">
        <v>12</v>
      </c>
      <c r="E6354" s="2" t="s">
        <v>12</v>
      </c>
      <c r="F6354" s="2" t="s">
        <v>12</v>
      </c>
      <c r="G6354" s="2" t="s">
        <v>12</v>
      </c>
      <c r="H6354" s="2" t="s">
        <v>12</v>
      </c>
      <c r="I6354" s="2" t="s">
        <v>12</v>
      </c>
      <c r="J6354" s="2" t="s">
        <v>12</v>
      </c>
      <c r="K6354" s="2" t="s">
        <v>12</v>
      </c>
    </row>
    <row r="6355" spans="1:11" ht="12.5" x14ac:dyDescent="0.25">
      <c r="A6355" s="3" t="e">
        <f ca="1"/>
        <v>#NAME?</v>
      </c>
      <c r="B6355" s="2" t="s">
        <v>12</v>
      </c>
      <c r="C6355" s="2" t="s">
        <v>12</v>
      </c>
      <c r="D6355" s="2" t="s">
        <v>12</v>
      </c>
      <c r="E6355" s="2" t="s">
        <v>12</v>
      </c>
      <c r="F6355" s="2" t="s">
        <v>12</v>
      </c>
      <c r="G6355" s="2" t="s">
        <v>12</v>
      </c>
      <c r="H6355" s="2" t="s">
        <v>12</v>
      </c>
      <c r="I6355" s="2" t="s">
        <v>12</v>
      </c>
      <c r="J6355" s="2" t="s">
        <v>12</v>
      </c>
      <c r="K6355" s="2" t="s">
        <v>12</v>
      </c>
    </row>
    <row r="6356" spans="1:11" ht="12.5" x14ac:dyDescent="0.25">
      <c r="A6356" s="3" t="e">
        <f ca="1"/>
        <v>#NAME?</v>
      </c>
      <c r="B6356" s="2" t="s">
        <v>12</v>
      </c>
      <c r="C6356" s="2" t="s">
        <v>12</v>
      </c>
      <c r="D6356" s="2" t="s">
        <v>12</v>
      </c>
      <c r="E6356" s="2" t="s">
        <v>12</v>
      </c>
      <c r="F6356" s="2" t="s">
        <v>12</v>
      </c>
      <c r="G6356" s="2" t="s">
        <v>12</v>
      </c>
      <c r="H6356" s="2" t="s">
        <v>12</v>
      </c>
      <c r="I6356" s="2" t="s">
        <v>12</v>
      </c>
      <c r="J6356" s="2" t="s">
        <v>12</v>
      </c>
      <c r="K6356" s="2" t="s">
        <v>12</v>
      </c>
    </row>
    <row r="6357" spans="1:11" ht="12.5" x14ac:dyDescent="0.25">
      <c r="A6357" s="3" t="e">
        <f ca="1"/>
        <v>#NAME?</v>
      </c>
      <c r="B6357" s="2" t="s">
        <v>12</v>
      </c>
      <c r="C6357" s="2" t="s">
        <v>12</v>
      </c>
      <c r="D6357" s="2" t="s">
        <v>12</v>
      </c>
      <c r="E6357" s="2" t="s">
        <v>12</v>
      </c>
      <c r="F6357" s="2" t="s">
        <v>12</v>
      </c>
      <c r="G6357" s="2" t="s">
        <v>12</v>
      </c>
      <c r="H6357" s="2" t="s">
        <v>12</v>
      </c>
      <c r="I6357" s="2" t="s">
        <v>12</v>
      </c>
      <c r="J6357" s="2" t="s">
        <v>12</v>
      </c>
      <c r="K6357" s="2" t="s">
        <v>12</v>
      </c>
    </row>
    <row r="6358" spans="1:11" ht="12.5" x14ac:dyDescent="0.25">
      <c r="A6358" s="3" t="e">
        <f ca="1"/>
        <v>#NAME?</v>
      </c>
      <c r="B6358" s="2" t="s">
        <v>12</v>
      </c>
      <c r="C6358" s="2" t="s">
        <v>12</v>
      </c>
      <c r="D6358" s="2" t="s">
        <v>12</v>
      </c>
      <c r="E6358" s="2" t="s">
        <v>12</v>
      </c>
      <c r="F6358" s="2" t="s">
        <v>12</v>
      </c>
      <c r="G6358" s="2" t="s">
        <v>12</v>
      </c>
      <c r="H6358" s="2" t="s">
        <v>12</v>
      </c>
      <c r="I6358" s="2" t="s">
        <v>12</v>
      </c>
      <c r="J6358" s="2" t="s">
        <v>12</v>
      </c>
      <c r="K6358" s="2" t="s">
        <v>12</v>
      </c>
    </row>
    <row r="6359" spans="1:11" ht="12.5" x14ac:dyDescent="0.25">
      <c r="A6359" s="3" t="e">
        <f ca="1"/>
        <v>#NAME?</v>
      </c>
      <c r="B6359" s="2" t="s">
        <v>12</v>
      </c>
      <c r="C6359" s="2" t="s">
        <v>12</v>
      </c>
      <c r="D6359" s="2" t="s">
        <v>12</v>
      </c>
      <c r="E6359" s="2" t="s">
        <v>12</v>
      </c>
      <c r="F6359" s="2" t="s">
        <v>12</v>
      </c>
      <c r="G6359" s="2" t="s">
        <v>12</v>
      </c>
      <c r="H6359" s="2" t="s">
        <v>12</v>
      </c>
      <c r="I6359" s="2" t="s">
        <v>12</v>
      </c>
      <c r="J6359" s="2" t="s">
        <v>12</v>
      </c>
      <c r="K6359" s="2" t="s">
        <v>12</v>
      </c>
    </row>
    <row r="6360" spans="1:11" ht="12.5" x14ac:dyDescent="0.25">
      <c r="A6360" s="3" t="e">
        <f ca="1"/>
        <v>#NAME?</v>
      </c>
      <c r="B6360" s="2" t="s">
        <v>12</v>
      </c>
      <c r="C6360" s="2" t="s">
        <v>12</v>
      </c>
      <c r="D6360" s="2" t="s">
        <v>12</v>
      </c>
      <c r="E6360" s="2" t="s">
        <v>12</v>
      </c>
      <c r="F6360" s="2" t="s">
        <v>12</v>
      </c>
      <c r="G6360" s="2" t="s">
        <v>12</v>
      </c>
      <c r="H6360" s="2" t="s">
        <v>12</v>
      </c>
      <c r="I6360" s="2" t="s">
        <v>12</v>
      </c>
      <c r="J6360" s="2" t="s">
        <v>12</v>
      </c>
      <c r="K6360" s="2" t="s">
        <v>12</v>
      </c>
    </row>
    <row r="6361" spans="1:11" ht="12.5" x14ac:dyDescent="0.25">
      <c r="A6361" s="3" t="e">
        <f ca="1"/>
        <v>#NAME?</v>
      </c>
      <c r="B6361" s="2" t="s">
        <v>12</v>
      </c>
      <c r="C6361" s="2" t="s">
        <v>12</v>
      </c>
      <c r="D6361" s="2" t="s">
        <v>12</v>
      </c>
      <c r="E6361" s="2" t="s">
        <v>12</v>
      </c>
      <c r="F6361" s="2" t="s">
        <v>12</v>
      </c>
      <c r="G6361" s="2" t="s">
        <v>12</v>
      </c>
      <c r="H6361" s="2" t="s">
        <v>12</v>
      </c>
      <c r="I6361" s="2" t="s">
        <v>12</v>
      </c>
      <c r="J6361" s="2" t="s">
        <v>12</v>
      </c>
      <c r="K6361" s="2" t="s">
        <v>12</v>
      </c>
    </row>
    <row r="6362" spans="1:11" ht="12.5" x14ac:dyDescent="0.25">
      <c r="A6362" s="3" t="e">
        <f ca="1"/>
        <v>#NAME?</v>
      </c>
      <c r="B6362" s="2" t="s">
        <v>12</v>
      </c>
      <c r="C6362" s="2" t="s">
        <v>12</v>
      </c>
      <c r="D6362" s="2" t="s">
        <v>12</v>
      </c>
      <c r="E6362" s="2" t="s">
        <v>12</v>
      </c>
      <c r="F6362" s="2" t="s">
        <v>12</v>
      </c>
      <c r="G6362" s="2" t="s">
        <v>12</v>
      </c>
      <c r="H6362" s="2" t="s">
        <v>12</v>
      </c>
      <c r="I6362" s="2" t="s">
        <v>12</v>
      </c>
      <c r="J6362" s="2" t="s">
        <v>12</v>
      </c>
      <c r="K6362" s="2" t="s">
        <v>12</v>
      </c>
    </row>
    <row r="6363" spans="1:11" ht="12.5" x14ac:dyDescent="0.25">
      <c r="A6363" s="3" t="e">
        <f ca="1"/>
        <v>#NAME?</v>
      </c>
      <c r="B6363" s="2" t="s">
        <v>12</v>
      </c>
      <c r="C6363" s="2" t="s">
        <v>12</v>
      </c>
      <c r="D6363" s="2" t="s">
        <v>12</v>
      </c>
      <c r="E6363" s="2" t="s">
        <v>12</v>
      </c>
      <c r="F6363" s="2" t="s">
        <v>12</v>
      </c>
      <c r="G6363" s="2" t="s">
        <v>12</v>
      </c>
      <c r="H6363" s="2" t="s">
        <v>12</v>
      </c>
      <c r="I6363" s="2" t="s">
        <v>12</v>
      </c>
      <c r="J6363" s="2" t="s">
        <v>12</v>
      </c>
      <c r="K6363" s="2" t="s">
        <v>12</v>
      </c>
    </row>
    <row r="6364" spans="1:11" ht="12.5" x14ac:dyDescent="0.25">
      <c r="A6364" s="3" t="e">
        <f ca="1"/>
        <v>#NAME?</v>
      </c>
      <c r="B6364" s="2" t="s">
        <v>12</v>
      </c>
      <c r="C6364" s="2" t="s">
        <v>12</v>
      </c>
      <c r="D6364" s="2" t="s">
        <v>12</v>
      </c>
      <c r="E6364" s="2" t="s">
        <v>12</v>
      </c>
      <c r="F6364" s="2" t="s">
        <v>12</v>
      </c>
      <c r="G6364" s="2" t="s">
        <v>12</v>
      </c>
      <c r="H6364" s="2" t="s">
        <v>12</v>
      </c>
      <c r="I6364" s="2" t="s">
        <v>12</v>
      </c>
      <c r="J6364" s="2" t="s">
        <v>12</v>
      </c>
      <c r="K6364" s="2" t="s">
        <v>12</v>
      </c>
    </row>
    <row r="6365" spans="1:11" ht="12.5" x14ac:dyDescent="0.25">
      <c r="A6365" s="3" t="e">
        <f ca="1"/>
        <v>#NAME?</v>
      </c>
      <c r="B6365" s="2" t="s">
        <v>12</v>
      </c>
      <c r="C6365" s="2" t="s">
        <v>12</v>
      </c>
      <c r="D6365" s="2" t="s">
        <v>12</v>
      </c>
      <c r="E6365" s="2" t="s">
        <v>12</v>
      </c>
      <c r="F6365" s="2" t="s">
        <v>12</v>
      </c>
      <c r="G6365" s="2" t="s">
        <v>12</v>
      </c>
      <c r="H6365" s="2" t="s">
        <v>12</v>
      </c>
      <c r="I6365" s="2" t="s">
        <v>12</v>
      </c>
      <c r="J6365" s="2" t="s">
        <v>12</v>
      </c>
      <c r="K6365" s="2" t="s">
        <v>12</v>
      </c>
    </row>
    <row r="6366" spans="1:11" ht="12.5" x14ac:dyDescent="0.25">
      <c r="A6366" s="3" t="e">
        <f ca="1"/>
        <v>#NAME?</v>
      </c>
      <c r="B6366" s="2" t="s">
        <v>12</v>
      </c>
      <c r="C6366" s="2" t="s">
        <v>12</v>
      </c>
      <c r="D6366" s="2" t="s">
        <v>12</v>
      </c>
      <c r="E6366" s="2" t="s">
        <v>12</v>
      </c>
      <c r="F6366" s="2" t="s">
        <v>12</v>
      </c>
      <c r="G6366" s="2" t="s">
        <v>12</v>
      </c>
      <c r="H6366" s="2" t="s">
        <v>12</v>
      </c>
      <c r="I6366" s="2" t="s">
        <v>12</v>
      </c>
      <c r="J6366" s="2" t="s">
        <v>12</v>
      </c>
      <c r="K6366" s="2" t="s">
        <v>12</v>
      </c>
    </row>
    <row r="6367" spans="1:11" ht="12.5" x14ac:dyDescent="0.25">
      <c r="A6367" s="3" t="e">
        <f ca="1"/>
        <v>#NAME?</v>
      </c>
      <c r="B6367" s="2" t="s">
        <v>12</v>
      </c>
      <c r="C6367" s="2" t="s">
        <v>12</v>
      </c>
      <c r="D6367" s="2" t="s">
        <v>12</v>
      </c>
      <c r="E6367" s="2" t="s">
        <v>12</v>
      </c>
      <c r="F6367" s="2" t="s">
        <v>12</v>
      </c>
      <c r="G6367" s="2" t="s">
        <v>12</v>
      </c>
      <c r="H6367" s="2" t="s">
        <v>12</v>
      </c>
      <c r="I6367" s="2" t="s">
        <v>12</v>
      </c>
      <c r="J6367" s="2" t="s">
        <v>12</v>
      </c>
      <c r="K6367" s="2" t="s">
        <v>12</v>
      </c>
    </row>
    <row r="6368" spans="1:11" ht="12.5" x14ac:dyDescent="0.25">
      <c r="A6368" s="3" t="e">
        <f ca="1"/>
        <v>#NAME?</v>
      </c>
      <c r="B6368" s="2" t="s">
        <v>12</v>
      </c>
      <c r="C6368" s="2" t="s">
        <v>12</v>
      </c>
      <c r="D6368" s="2" t="s">
        <v>12</v>
      </c>
      <c r="E6368" s="2" t="s">
        <v>12</v>
      </c>
      <c r="F6368" s="2" t="s">
        <v>12</v>
      </c>
      <c r="G6368" s="2" t="s">
        <v>12</v>
      </c>
      <c r="H6368" s="2" t="s">
        <v>12</v>
      </c>
      <c r="I6368" s="2" t="s">
        <v>12</v>
      </c>
      <c r="J6368" s="2" t="s">
        <v>12</v>
      </c>
      <c r="K6368" s="2" t="s">
        <v>12</v>
      </c>
    </row>
    <row r="6369" spans="1:11" ht="12.5" x14ac:dyDescent="0.25">
      <c r="A6369" s="3" t="e">
        <f ca="1"/>
        <v>#NAME?</v>
      </c>
      <c r="B6369" s="2" t="s">
        <v>12</v>
      </c>
      <c r="C6369" s="2" t="s">
        <v>12</v>
      </c>
      <c r="D6369" s="2" t="s">
        <v>12</v>
      </c>
      <c r="E6369" s="2" t="s">
        <v>12</v>
      </c>
      <c r="F6369" s="2" t="s">
        <v>12</v>
      </c>
      <c r="G6369" s="2" t="s">
        <v>12</v>
      </c>
      <c r="H6369" s="2" t="s">
        <v>12</v>
      </c>
      <c r="I6369" s="2" t="s">
        <v>12</v>
      </c>
      <c r="J6369" s="2" t="s">
        <v>12</v>
      </c>
      <c r="K6369" s="2" t="s">
        <v>12</v>
      </c>
    </row>
    <row r="6370" spans="1:11" ht="12.5" x14ac:dyDescent="0.25">
      <c r="A6370" s="3" t="e">
        <f ca="1"/>
        <v>#NAME?</v>
      </c>
      <c r="B6370" s="2" t="s">
        <v>12</v>
      </c>
      <c r="C6370" s="2" t="s">
        <v>12</v>
      </c>
      <c r="D6370" s="2" t="s">
        <v>12</v>
      </c>
      <c r="E6370" s="2" t="s">
        <v>12</v>
      </c>
      <c r="F6370" s="2" t="s">
        <v>12</v>
      </c>
      <c r="G6370" s="2" t="s">
        <v>12</v>
      </c>
      <c r="H6370" s="2" t="s">
        <v>12</v>
      </c>
      <c r="I6370" s="2" t="s">
        <v>12</v>
      </c>
      <c r="J6370" s="2" t="s">
        <v>12</v>
      </c>
      <c r="K6370" s="2" t="s">
        <v>12</v>
      </c>
    </row>
    <row r="6371" spans="1:11" ht="12.5" x14ac:dyDescent="0.25">
      <c r="A6371" s="3" t="e">
        <f ca="1"/>
        <v>#NAME?</v>
      </c>
      <c r="B6371" s="2" t="s">
        <v>12</v>
      </c>
      <c r="C6371" s="2" t="s">
        <v>12</v>
      </c>
      <c r="D6371" s="2" t="s">
        <v>12</v>
      </c>
      <c r="E6371" s="2" t="s">
        <v>12</v>
      </c>
      <c r="F6371" s="2" t="s">
        <v>12</v>
      </c>
      <c r="G6371" s="2" t="s">
        <v>12</v>
      </c>
      <c r="H6371" s="2" t="s">
        <v>12</v>
      </c>
      <c r="I6371" s="2" t="s">
        <v>12</v>
      </c>
      <c r="J6371" s="2" t="s">
        <v>12</v>
      </c>
      <c r="K6371" s="2" t="s">
        <v>12</v>
      </c>
    </row>
    <row r="6372" spans="1:11" ht="12.5" x14ac:dyDescent="0.25">
      <c r="A6372" s="3" t="e">
        <f ca="1"/>
        <v>#NAME?</v>
      </c>
      <c r="B6372" s="2" t="s">
        <v>12</v>
      </c>
      <c r="C6372" s="2" t="s">
        <v>12</v>
      </c>
      <c r="D6372" s="2" t="s">
        <v>12</v>
      </c>
      <c r="E6372" s="2" t="s">
        <v>12</v>
      </c>
      <c r="F6372" s="2" t="s">
        <v>12</v>
      </c>
      <c r="G6372" s="2" t="s">
        <v>12</v>
      </c>
      <c r="H6372" s="2" t="s">
        <v>12</v>
      </c>
      <c r="I6372" s="2" t="s">
        <v>12</v>
      </c>
      <c r="J6372" s="2" t="s">
        <v>12</v>
      </c>
      <c r="K6372" s="2" t="s">
        <v>12</v>
      </c>
    </row>
    <row r="6373" spans="1:11" ht="12.5" x14ac:dyDescent="0.25">
      <c r="A6373" s="3" t="e">
        <f ca="1"/>
        <v>#NAME?</v>
      </c>
      <c r="B6373" s="2" t="s">
        <v>12</v>
      </c>
      <c r="C6373" s="2" t="s">
        <v>12</v>
      </c>
      <c r="D6373" s="2" t="s">
        <v>12</v>
      </c>
      <c r="E6373" s="2" t="s">
        <v>12</v>
      </c>
      <c r="F6373" s="2" t="s">
        <v>12</v>
      </c>
      <c r="G6373" s="2" t="s">
        <v>12</v>
      </c>
      <c r="H6373" s="2" t="s">
        <v>12</v>
      </c>
      <c r="I6373" s="2" t="s">
        <v>12</v>
      </c>
      <c r="J6373" s="2" t="s">
        <v>12</v>
      </c>
      <c r="K6373" s="2" t="s">
        <v>12</v>
      </c>
    </row>
    <row r="6374" spans="1:11" ht="12.5" x14ac:dyDescent="0.25">
      <c r="A6374" s="3" t="e">
        <f ca="1"/>
        <v>#NAME?</v>
      </c>
      <c r="B6374" s="2" t="s">
        <v>12</v>
      </c>
      <c r="C6374" s="2" t="s">
        <v>12</v>
      </c>
      <c r="D6374" s="2" t="s">
        <v>12</v>
      </c>
      <c r="E6374" s="2" t="s">
        <v>12</v>
      </c>
      <c r="F6374" s="2" t="s">
        <v>12</v>
      </c>
      <c r="G6374" s="2" t="s">
        <v>12</v>
      </c>
      <c r="H6374" s="2" t="s">
        <v>12</v>
      </c>
      <c r="I6374" s="2" t="s">
        <v>12</v>
      </c>
      <c r="J6374" s="2" t="s">
        <v>12</v>
      </c>
      <c r="K6374" s="2" t="s">
        <v>12</v>
      </c>
    </row>
    <row r="6375" spans="1:11" ht="12.5" x14ac:dyDescent="0.25">
      <c r="A6375" s="3" t="e">
        <f ca="1"/>
        <v>#NAME?</v>
      </c>
      <c r="B6375" s="2" t="s">
        <v>12</v>
      </c>
      <c r="C6375" s="2" t="s">
        <v>12</v>
      </c>
      <c r="D6375" s="2" t="s">
        <v>12</v>
      </c>
      <c r="E6375" s="2" t="s">
        <v>12</v>
      </c>
      <c r="F6375" s="2" t="s">
        <v>12</v>
      </c>
      <c r="G6375" s="2" t="s">
        <v>12</v>
      </c>
      <c r="H6375" s="2" t="s">
        <v>12</v>
      </c>
      <c r="I6375" s="2" t="s">
        <v>12</v>
      </c>
      <c r="J6375" s="2" t="s">
        <v>12</v>
      </c>
      <c r="K6375" s="2" t="s">
        <v>12</v>
      </c>
    </row>
    <row r="6376" spans="1:11" ht="12.5" x14ac:dyDescent="0.25">
      <c r="A6376" s="3" t="e">
        <f ca="1"/>
        <v>#NAME?</v>
      </c>
      <c r="B6376" s="2" t="s">
        <v>12</v>
      </c>
      <c r="C6376" s="2" t="s">
        <v>12</v>
      </c>
      <c r="D6376" s="2" t="s">
        <v>12</v>
      </c>
      <c r="E6376" s="2" t="s">
        <v>12</v>
      </c>
      <c r="F6376" s="2" t="s">
        <v>12</v>
      </c>
      <c r="G6376" s="2" t="s">
        <v>12</v>
      </c>
      <c r="H6376" s="2" t="s">
        <v>12</v>
      </c>
      <c r="I6376" s="2" t="s">
        <v>12</v>
      </c>
      <c r="J6376" s="2" t="s">
        <v>12</v>
      </c>
      <c r="K6376" s="2" t="s">
        <v>12</v>
      </c>
    </row>
    <row r="6377" spans="1:11" ht="12.5" x14ac:dyDescent="0.25">
      <c r="A6377" s="3" t="e">
        <f ca="1"/>
        <v>#NAME?</v>
      </c>
      <c r="B6377" s="2" t="s">
        <v>12</v>
      </c>
      <c r="C6377" s="2" t="s">
        <v>12</v>
      </c>
      <c r="D6377" s="2" t="s">
        <v>12</v>
      </c>
      <c r="E6377" s="2" t="s">
        <v>12</v>
      </c>
      <c r="F6377" s="2" t="s">
        <v>12</v>
      </c>
      <c r="G6377" s="2" t="s">
        <v>12</v>
      </c>
      <c r="H6377" s="2" t="s">
        <v>12</v>
      </c>
      <c r="I6377" s="2" t="s">
        <v>12</v>
      </c>
      <c r="J6377" s="2" t="s">
        <v>12</v>
      </c>
      <c r="K6377" s="2" t="s">
        <v>12</v>
      </c>
    </row>
    <row r="6378" spans="1:11" ht="12.5" x14ac:dyDescent="0.25">
      <c r="A6378" s="3" t="e">
        <f ca="1"/>
        <v>#NAME?</v>
      </c>
      <c r="B6378" s="2" t="s">
        <v>12</v>
      </c>
      <c r="C6378" s="2" t="s">
        <v>12</v>
      </c>
      <c r="D6378" s="2" t="s">
        <v>12</v>
      </c>
      <c r="E6378" s="2" t="s">
        <v>12</v>
      </c>
      <c r="F6378" s="2" t="s">
        <v>12</v>
      </c>
      <c r="G6378" s="2" t="s">
        <v>12</v>
      </c>
      <c r="H6378" s="2" t="s">
        <v>12</v>
      </c>
      <c r="I6378" s="2" t="s">
        <v>12</v>
      </c>
      <c r="J6378" s="2" t="s">
        <v>12</v>
      </c>
      <c r="K6378" s="2" t="s">
        <v>12</v>
      </c>
    </row>
    <row r="6379" spans="1:11" ht="12.5" x14ac:dyDescent="0.25">
      <c r="A6379" s="3" t="e">
        <f ca="1"/>
        <v>#NAME?</v>
      </c>
      <c r="B6379" s="2" t="s">
        <v>12</v>
      </c>
      <c r="C6379" s="2" t="s">
        <v>12</v>
      </c>
      <c r="D6379" s="2" t="s">
        <v>12</v>
      </c>
      <c r="E6379" s="2" t="s">
        <v>12</v>
      </c>
      <c r="F6379" s="2" t="s">
        <v>12</v>
      </c>
      <c r="G6379" s="2" t="s">
        <v>12</v>
      </c>
      <c r="H6379" s="2" t="s">
        <v>12</v>
      </c>
      <c r="I6379" s="2" t="s">
        <v>12</v>
      </c>
      <c r="J6379" s="2" t="s">
        <v>12</v>
      </c>
      <c r="K6379" s="2" t="s">
        <v>12</v>
      </c>
    </row>
    <row r="6380" spans="1:11" ht="12.5" x14ac:dyDescent="0.25">
      <c r="A6380" s="3" t="e">
        <f ca="1"/>
        <v>#NAME?</v>
      </c>
      <c r="B6380" s="2" t="s">
        <v>12</v>
      </c>
      <c r="C6380" s="2" t="s">
        <v>12</v>
      </c>
      <c r="D6380" s="2" t="s">
        <v>12</v>
      </c>
      <c r="E6380" s="2" t="s">
        <v>12</v>
      </c>
      <c r="F6380" s="2" t="s">
        <v>12</v>
      </c>
      <c r="G6380" s="2" t="s">
        <v>12</v>
      </c>
      <c r="H6380" s="2" t="s">
        <v>12</v>
      </c>
      <c r="I6380" s="2" t="s">
        <v>12</v>
      </c>
      <c r="J6380" s="2" t="s">
        <v>12</v>
      </c>
      <c r="K6380" s="2" t="s">
        <v>12</v>
      </c>
    </row>
    <row r="6381" spans="1:11" ht="12.5" x14ac:dyDescent="0.25">
      <c r="A6381" s="3" t="e">
        <f ca="1"/>
        <v>#NAME?</v>
      </c>
      <c r="B6381" s="2" t="s">
        <v>12</v>
      </c>
      <c r="C6381" s="2" t="s">
        <v>12</v>
      </c>
      <c r="D6381" s="2" t="s">
        <v>12</v>
      </c>
      <c r="E6381" s="2" t="s">
        <v>12</v>
      </c>
      <c r="F6381" s="2" t="s">
        <v>12</v>
      </c>
      <c r="G6381" s="2" t="s">
        <v>12</v>
      </c>
      <c r="H6381" s="2" t="s">
        <v>12</v>
      </c>
      <c r="I6381" s="2" t="s">
        <v>12</v>
      </c>
      <c r="J6381" s="2" t="s">
        <v>12</v>
      </c>
      <c r="K6381" s="2" t="s">
        <v>12</v>
      </c>
    </row>
    <row r="6382" spans="1:11" ht="12.5" x14ac:dyDescent="0.25">
      <c r="A6382" s="3" t="e">
        <f ca="1"/>
        <v>#NAME?</v>
      </c>
      <c r="B6382" s="2" t="s">
        <v>12</v>
      </c>
      <c r="C6382" s="2" t="s">
        <v>12</v>
      </c>
      <c r="D6382" s="2" t="s">
        <v>12</v>
      </c>
      <c r="E6382" s="2" t="s">
        <v>12</v>
      </c>
      <c r="F6382" s="2" t="s">
        <v>12</v>
      </c>
      <c r="G6382" s="2" t="s">
        <v>12</v>
      </c>
      <c r="H6382" s="2" t="s">
        <v>12</v>
      </c>
      <c r="I6382" s="2" t="s">
        <v>12</v>
      </c>
      <c r="J6382" s="2" t="s">
        <v>12</v>
      </c>
      <c r="K6382" s="2" t="s">
        <v>12</v>
      </c>
    </row>
    <row r="6383" spans="1:11" ht="12.5" x14ac:dyDescent="0.25">
      <c r="A6383" s="3" t="e">
        <f ca="1"/>
        <v>#NAME?</v>
      </c>
      <c r="B6383" s="2" t="s">
        <v>12</v>
      </c>
      <c r="C6383" s="2" t="s">
        <v>12</v>
      </c>
      <c r="D6383" s="2" t="s">
        <v>12</v>
      </c>
      <c r="E6383" s="2" t="s">
        <v>12</v>
      </c>
      <c r="F6383" s="2" t="s">
        <v>12</v>
      </c>
      <c r="G6383" s="2" t="s">
        <v>12</v>
      </c>
      <c r="H6383" s="2" t="s">
        <v>12</v>
      </c>
      <c r="I6383" s="2" t="s">
        <v>12</v>
      </c>
      <c r="J6383" s="2" t="s">
        <v>12</v>
      </c>
      <c r="K6383" s="2" t="s">
        <v>12</v>
      </c>
    </row>
    <row r="6384" spans="1:11" ht="12.5" x14ac:dyDescent="0.25">
      <c r="A6384" s="3" t="e">
        <f ca="1"/>
        <v>#NAME?</v>
      </c>
      <c r="B6384" s="2" t="s">
        <v>12</v>
      </c>
      <c r="C6384" s="2" t="s">
        <v>12</v>
      </c>
      <c r="D6384" s="2" t="s">
        <v>12</v>
      </c>
      <c r="E6384" s="2" t="s">
        <v>12</v>
      </c>
      <c r="F6384" s="2" t="s">
        <v>12</v>
      </c>
      <c r="G6384" s="2" t="s">
        <v>12</v>
      </c>
      <c r="H6384" s="2" t="s">
        <v>12</v>
      </c>
      <c r="I6384" s="2" t="s">
        <v>12</v>
      </c>
      <c r="J6384" s="2" t="s">
        <v>12</v>
      </c>
      <c r="K6384" s="2" t="s">
        <v>12</v>
      </c>
    </row>
    <row r="6385" spans="1:11" ht="12.5" x14ac:dyDescent="0.25">
      <c r="A6385" s="3" t="e">
        <f ca="1"/>
        <v>#NAME?</v>
      </c>
      <c r="B6385" s="2" t="s">
        <v>12</v>
      </c>
      <c r="C6385" s="2" t="s">
        <v>12</v>
      </c>
      <c r="D6385" s="2" t="s">
        <v>12</v>
      </c>
      <c r="E6385" s="2" t="s">
        <v>12</v>
      </c>
      <c r="F6385" s="2" t="s">
        <v>12</v>
      </c>
      <c r="G6385" s="2" t="s">
        <v>12</v>
      </c>
      <c r="H6385" s="2" t="s">
        <v>12</v>
      </c>
      <c r="I6385" s="2" t="s">
        <v>12</v>
      </c>
      <c r="J6385" s="2" t="s">
        <v>12</v>
      </c>
      <c r="K6385" s="2" t="s">
        <v>12</v>
      </c>
    </row>
    <row r="6386" spans="1:11" ht="12.5" x14ac:dyDescent="0.25">
      <c r="A6386" s="3" t="e">
        <f ca="1"/>
        <v>#NAME?</v>
      </c>
      <c r="B6386" s="2" t="s">
        <v>12</v>
      </c>
      <c r="C6386" s="2" t="s">
        <v>12</v>
      </c>
      <c r="D6386" s="2" t="s">
        <v>12</v>
      </c>
      <c r="E6386" s="2" t="s">
        <v>12</v>
      </c>
      <c r="F6386" s="2" t="s">
        <v>12</v>
      </c>
      <c r="G6386" s="2" t="s">
        <v>12</v>
      </c>
      <c r="H6386" s="2" t="s">
        <v>12</v>
      </c>
      <c r="I6386" s="2" t="s">
        <v>12</v>
      </c>
      <c r="J6386" s="2" t="s">
        <v>12</v>
      </c>
      <c r="K6386" s="2" t="s">
        <v>12</v>
      </c>
    </row>
    <row r="6387" spans="1:11" ht="12.5" x14ac:dyDescent="0.25">
      <c r="A6387" s="3" t="e">
        <f ca="1"/>
        <v>#NAME?</v>
      </c>
      <c r="B6387" s="2" t="s">
        <v>12</v>
      </c>
      <c r="C6387" s="2" t="s">
        <v>12</v>
      </c>
      <c r="D6387" s="2" t="s">
        <v>12</v>
      </c>
      <c r="E6387" s="2" t="s">
        <v>12</v>
      </c>
      <c r="F6387" s="2" t="s">
        <v>12</v>
      </c>
      <c r="G6387" s="2" t="s">
        <v>12</v>
      </c>
      <c r="H6387" s="2" t="s">
        <v>12</v>
      </c>
      <c r="I6387" s="2" t="s">
        <v>12</v>
      </c>
      <c r="J6387" s="2" t="s">
        <v>12</v>
      </c>
      <c r="K6387" s="2" t="s">
        <v>12</v>
      </c>
    </row>
    <row r="6388" spans="1:11" ht="12.5" x14ac:dyDescent="0.25">
      <c r="A6388" s="3" t="e">
        <f ca="1"/>
        <v>#NAME?</v>
      </c>
      <c r="B6388" s="2" t="s">
        <v>12</v>
      </c>
      <c r="C6388" s="2" t="s">
        <v>12</v>
      </c>
      <c r="D6388" s="2" t="s">
        <v>12</v>
      </c>
      <c r="E6388" s="2" t="s">
        <v>12</v>
      </c>
      <c r="F6388" s="2" t="s">
        <v>12</v>
      </c>
      <c r="G6388" s="2" t="s">
        <v>12</v>
      </c>
      <c r="H6388" s="2" t="s">
        <v>12</v>
      </c>
      <c r="I6388" s="2" t="s">
        <v>12</v>
      </c>
      <c r="J6388" s="2" t="s">
        <v>12</v>
      </c>
      <c r="K6388" s="2" t="s">
        <v>12</v>
      </c>
    </row>
    <row r="6389" spans="1:11" ht="12.5" x14ac:dyDescent="0.25">
      <c r="A6389" s="3" t="e">
        <f ca="1"/>
        <v>#NAME?</v>
      </c>
      <c r="B6389" s="2" t="s">
        <v>12</v>
      </c>
      <c r="C6389" s="2" t="s">
        <v>12</v>
      </c>
      <c r="D6389" s="2" t="s">
        <v>12</v>
      </c>
      <c r="E6389" s="2" t="s">
        <v>12</v>
      </c>
      <c r="F6389" s="2" t="s">
        <v>12</v>
      </c>
      <c r="G6389" s="2" t="s">
        <v>12</v>
      </c>
      <c r="H6389" s="2" t="s">
        <v>12</v>
      </c>
      <c r="I6389" s="2" t="s">
        <v>12</v>
      </c>
      <c r="J6389" s="2" t="s">
        <v>12</v>
      </c>
      <c r="K6389" s="2" t="s">
        <v>12</v>
      </c>
    </row>
    <row r="6390" spans="1:11" ht="12.5" x14ac:dyDescent="0.25">
      <c r="A6390" s="3" t="e">
        <f ca="1"/>
        <v>#NAME?</v>
      </c>
      <c r="B6390" s="2" t="s">
        <v>12</v>
      </c>
      <c r="C6390" s="2" t="s">
        <v>12</v>
      </c>
      <c r="D6390" s="2" t="s">
        <v>12</v>
      </c>
      <c r="E6390" s="2" t="s">
        <v>12</v>
      </c>
      <c r="F6390" s="2" t="s">
        <v>12</v>
      </c>
      <c r="G6390" s="2" t="s">
        <v>12</v>
      </c>
      <c r="H6390" s="2" t="s">
        <v>12</v>
      </c>
      <c r="I6390" s="2" t="s">
        <v>12</v>
      </c>
      <c r="J6390" s="2" t="s">
        <v>12</v>
      </c>
      <c r="K6390" s="2" t="s">
        <v>12</v>
      </c>
    </row>
    <row r="6391" spans="1:11" ht="12.5" x14ac:dyDescent="0.25">
      <c r="A6391" s="3" t="e">
        <f ca="1"/>
        <v>#NAME?</v>
      </c>
      <c r="B6391" s="2" t="s">
        <v>12</v>
      </c>
      <c r="C6391" s="2" t="s">
        <v>12</v>
      </c>
      <c r="D6391" s="2" t="s">
        <v>12</v>
      </c>
      <c r="E6391" s="2" t="s">
        <v>12</v>
      </c>
      <c r="F6391" s="2" t="s">
        <v>12</v>
      </c>
      <c r="G6391" s="2" t="s">
        <v>12</v>
      </c>
      <c r="H6391" s="2" t="s">
        <v>12</v>
      </c>
      <c r="I6391" s="2" t="s">
        <v>12</v>
      </c>
      <c r="J6391" s="2" t="s">
        <v>12</v>
      </c>
      <c r="K6391" s="2" t="s">
        <v>12</v>
      </c>
    </row>
    <row r="6392" spans="1:11" ht="12.5" x14ac:dyDescent="0.25">
      <c r="A6392" s="3" t="e">
        <f ca="1"/>
        <v>#NAME?</v>
      </c>
      <c r="B6392" s="2" t="s">
        <v>12</v>
      </c>
      <c r="C6392" s="2" t="s">
        <v>12</v>
      </c>
      <c r="D6392" s="2" t="s">
        <v>12</v>
      </c>
      <c r="E6392" s="2" t="s">
        <v>12</v>
      </c>
      <c r="F6392" s="2" t="s">
        <v>12</v>
      </c>
      <c r="G6392" s="2" t="s">
        <v>12</v>
      </c>
      <c r="H6392" s="2" t="s">
        <v>12</v>
      </c>
      <c r="I6392" s="2" t="s">
        <v>12</v>
      </c>
      <c r="J6392" s="2" t="s">
        <v>12</v>
      </c>
      <c r="K6392" s="2" t="s">
        <v>12</v>
      </c>
    </row>
    <row r="6393" spans="1:11" ht="12.5" x14ac:dyDescent="0.25">
      <c r="A6393" s="3" t="e">
        <f ca="1"/>
        <v>#NAME?</v>
      </c>
      <c r="B6393" s="2" t="s">
        <v>12</v>
      </c>
      <c r="C6393" s="2" t="s">
        <v>12</v>
      </c>
      <c r="D6393" s="2" t="s">
        <v>12</v>
      </c>
      <c r="E6393" s="2" t="s">
        <v>12</v>
      </c>
      <c r="F6393" s="2" t="s">
        <v>12</v>
      </c>
      <c r="G6393" s="2" t="s">
        <v>12</v>
      </c>
      <c r="H6393" s="2" t="s">
        <v>12</v>
      </c>
      <c r="I6393" s="2" t="s">
        <v>12</v>
      </c>
      <c r="J6393" s="2" t="s">
        <v>12</v>
      </c>
      <c r="K6393" s="2" t="s">
        <v>12</v>
      </c>
    </row>
    <row r="6394" spans="1:11" ht="12.5" x14ac:dyDescent="0.25">
      <c r="A6394" s="3" t="e">
        <f ca="1"/>
        <v>#NAME?</v>
      </c>
      <c r="B6394" s="2" t="s">
        <v>12</v>
      </c>
      <c r="C6394" s="2" t="s">
        <v>12</v>
      </c>
      <c r="D6394" s="2" t="s">
        <v>12</v>
      </c>
      <c r="E6394" s="2" t="s">
        <v>12</v>
      </c>
      <c r="F6394" s="2" t="s">
        <v>12</v>
      </c>
      <c r="G6394" s="2" t="s">
        <v>12</v>
      </c>
      <c r="H6394" s="2" t="s">
        <v>12</v>
      </c>
      <c r="I6394" s="2" t="s">
        <v>12</v>
      </c>
      <c r="J6394" s="2" t="s">
        <v>12</v>
      </c>
      <c r="K6394" s="2" t="s">
        <v>12</v>
      </c>
    </row>
    <row r="6395" spans="1:11" ht="12.5" x14ac:dyDescent="0.25">
      <c r="A6395" s="3" t="e">
        <f ca="1"/>
        <v>#NAME?</v>
      </c>
      <c r="B6395" s="2" t="s">
        <v>12</v>
      </c>
      <c r="C6395" s="2" t="s">
        <v>12</v>
      </c>
      <c r="D6395" s="2" t="s">
        <v>12</v>
      </c>
      <c r="E6395" s="2" t="s">
        <v>12</v>
      </c>
      <c r="F6395" s="2" t="s">
        <v>12</v>
      </c>
      <c r="G6395" s="2" t="s">
        <v>12</v>
      </c>
      <c r="H6395" s="2" t="s">
        <v>12</v>
      </c>
      <c r="I6395" s="2" t="s">
        <v>12</v>
      </c>
      <c r="J6395" s="2" t="s">
        <v>12</v>
      </c>
      <c r="K6395" s="2" t="s">
        <v>12</v>
      </c>
    </row>
    <row r="6396" spans="1:11" ht="12.5" x14ac:dyDescent="0.25">
      <c r="A6396" s="3" t="e">
        <f ca="1"/>
        <v>#NAME?</v>
      </c>
      <c r="B6396" s="2" t="s">
        <v>12</v>
      </c>
      <c r="C6396" s="2" t="s">
        <v>12</v>
      </c>
      <c r="D6396" s="2" t="s">
        <v>12</v>
      </c>
      <c r="E6396" s="2" t="s">
        <v>12</v>
      </c>
      <c r="F6396" s="2" t="s">
        <v>12</v>
      </c>
      <c r="G6396" s="2" t="s">
        <v>12</v>
      </c>
      <c r="H6396" s="2" t="s">
        <v>12</v>
      </c>
      <c r="I6396" s="2" t="s">
        <v>12</v>
      </c>
      <c r="J6396" s="2" t="s">
        <v>12</v>
      </c>
      <c r="K6396" s="2" t="s">
        <v>12</v>
      </c>
    </row>
    <row r="6397" spans="1:11" ht="12.5" x14ac:dyDescent="0.25">
      <c r="A6397" s="3" t="e">
        <f ca="1"/>
        <v>#NAME?</v>
      </c>
      <c r="B6397" s="2" t="s">
        <v>12</v>
      </c>
      <c r="C6397" s="2" t="s">
        <v>12</v>
      </c>
      <c r="D6397" s="2" t="s">
        <v>12</v>
      </c>
      <c r="E6397" s="2" t="s">
        <v>12</v>
      </c>
      <c r="F6397" s="2" t="s">
        <v>12</v>
      </c>
      <c r="G6397" s="2" t="s">
        <v>12</v>
      </c>
      <c r="H6397" s="2" t="s">
        <v>12</v>
      </c>
      <c r="I6397" s="2" t="s">
        <v>12</v>
      </c>
      <c r="J6397" s="2" t="s">
        <v>12</v>
      </c>
      <c r="K6397" s="2" t="s">
        <v>12</v>
      </c>
    </row>
    <row r="6398" spans="1:11" ht="12.5" x14ac:dyDescent="0.25">
      <c r="A6398" s="3" t="e">
        <f ca="1"/>
        <v>#NAME?</v>
      </c>
      <c r="B6398" s="2" t="s">
        <v>12</v>
      </c>
      <c r="C6398" s="2" t="s">
        <v>12</v>
      </c>
      <c r="D6398" s="2" t="s">
        <v>12</v>
      </c>
      <c r="E6398" s="2" t="s">
        <v>12</v>
      </c>
      <c r="F6398" s="2" t="s">
        <v>12</v>
      </c>
      <c r="G6398" s="2" t="s">
        <v>12</v>
      </c>
      <c r="H6398" s="2" t="s">
        <v>12</v>
      </c>
      <c r="I6398" s="2" t="s">
        <v>12</v>
      </c>
      <c r="J6398" s="2" t="s">
        <v>12</v>
      </c>
      <c r="K6398" s="2" t="s">
        <v>12</v>
      </c>
    </row>
    <row r="6399" spans="1:11" ht="12.5" x14ac:dyDescent="0.25">
      <c r="A6399" s="3" t="e">
        <f ca="1"/>
        <v>#NAME?</v>
      </c>
      <c r="B6399" s="2" t="s">
        <v>12</v>
      </c>
      <c r="C6399" s="2" t="s">
        <v>12</v>
      </c>
      <c r="D6399" s="2" t="s">
        <v>12</v>
      </c>
      <c r="E6399" s="2" t="s">
        <v>12</v>
      </c>
      <c r="F6399" s="2" t="s">
        <v>12</v>
      </c>
      <c r="G6399" s="2" t="s">
        <v>12</v>
      </c>
      <c r="H6399" s="2" t="s">
        <v>12</v>
      </c>
      <c r="I6399" s="2" t="s">
        <v>12</v>
      </c>
      <c r="J6399" s="2" t="s">
        <v>12</v>
      </c>
      <c r="K6399" s="2" t="s">
        <v>12</v>
      </c>
    </row>
    <row r="6400" spans="1:11" ht="12.5" x14ac:dyDescent="0.25">
      <c r="A6400" s="3" t="e">
        <f ca="1"/>
        <v>#NAME?</v>
      </c>
      <c r="B6400" s="2" t="s">
        <v>12</v>
      </c>
      <c r="C6400" s="2" t="s">
        <v>12</v>
      </c>
      <c r="D6400" s="2" t="s">
        <v>12</v>
      </c>
      <c r="E6400" s="2" t="s">
        <v>12</v>
      </c>
      <c r="F6400" s="2" t="s">
        <v>12</v>
      </c>
      <c r="G6400" s="2" t="s">
        <v>12</v>
      </c>
      <c r="H6400" s="2" t="s">
        <v>12</v>
      </c>
      <c r="I6400" s="2" t="s">
        <v>12</v>
      </c>
      <c r="J6400" s="2" t="s">
        <v>12</v>
      </c>
      <c r="K6400" s="2" t="s">
        <v>12</v>
      </c>
    </row>
    <row r="6401" spans="1:11" ht="12.5" x14ac:dyDescent="0.25">
      <c r="A6401" s="3" t="e">
        <f ca="1"/>
        <v>#NAME?</v>
      </c>
      <c r="B6401" s="2" t="s">
        <v>12</v>
      </c>
      <c r="C6401" s="2" t="s">
        <v>12</v>
      </c>
      <c r="D6401" s="2" t="s">
        <v>12</v>
      </c>
      <c r="E6401" s="2" t="s">
        <v>12</v>
      </c>
      <c r="F6401" s="2" t="s">
        <v>12</v>
      </c>
      <c r="G6401" s="2" t="s">
        <v>12</v>
      </c>
      <c r="H6401" s="2" t="s">
        <v>12</v>
      </c>
      <c r="I6401" s="2" t="s">
        <v>12</v>
      </c>
      <c r="J6401" s="2" t="s">
        <v>12</v>
      </c>
      <c r="K6401" s="2" t="s">
        <v>12</v>
      </c>
    </row>
    <row r="6402" spans="1:11" ht="12.5" x14ac:dyDescent="0.25">
      <c r="A6402" s="3" t="e">
        <f ca="1"/>
        <v>#NAME?</v>
      </c>
      <c r="B6402" s="2" t="s">
        <v>12</v>
      </c>
      <c r="C6402" s="2" t="s">
        <v>12</v>
      </c>
      <c r="D6402" s="2" t="s">
        <v>12</v>
      </c>
      <c r="E6402" s="2" t="s">
        <v>12</v>
      </c>
      <c r="F6402" s="2" t="s">
        <v>12</v>
      </c>
      <c r="G6402" s="2" t="s">
        <v>12</v>
      </c>
      <c r="H6402" s="2" t="s">
        <v>12</v>
      </c>
      <c r="I6402" s="2" t="s">
        <v>12</v>
      </c>
      <c r="J6402" s="2" t="s">
        <v>12</v>
      </c>
      <c r="K6402" s="2" t="s">
        <v>12</v>
      </c>
    </row>
    <row r="6403" spans="1:11" ht="12.5" x14ac:dyDescent="0.25">
      <c r="A6403" s="3" t="e">
        <f ca="1"/>
        <v>#NAME?</v>
      </c>
      <c r="B6403" s="2" t="s">
        <v>12</v>
      </c>
      <c r="C6403" s="2" t="s">
        <v>12</v>
      </c>
      <c r="D6403" s="2" t="s">
        <v>12</v>
      </c>
      <c r="E6403" s="2" t="s">
        <v>12</v>
      </c>
      <c r="F6403" s="2" t="s">
        <v>12</v>
      </c>
      <c r="G6403" s="2" t="s">
        <v>12</v>
      </c>
      <c r="H6403" s="2" t="s">
        <v>12</v>
      </c>
      <c r="I6403" s="2" t="s">
        <v>12</v>
      </c>
      <c r="J6403" s="2" t="s">
        <v>12</v>
      </c>
      <c r="K6403" s="2" t="s">
        <v>12</v>
      </c>
    </row>
    <row r="6404" spans="1:11" ht="12.5" x14ac:dyDescent="0.25">
      <c r="A6404" s="3" t="e">
        <f ca="1"/>
        <v>#NAME?</v>
      </c>
      <c r="B6404" s="2" t="s">
        <v>12</v>
      </c>
      <c r="C6404" s="2" t="s">
        <v>12</v>
      </c>
      <c r="D6404" s="2" t="s">
        <v>12</v>
      </c>
      <c r="E6404" s="2" t="s">
        <v>12</v>
      </c>
      <c r="F6404" s="2" t="s">
        <v>12</v>
      </c>
      <c r="G6404" s="2" t="s">
        <v>12</v>
      </c>
      <c r="H6404" s="2" t="s">
        <v>12</v>
      </c>
      <c r="I6404" s="2" t="s">
        <v>12</v>
      </c>
      <c r="J6404" s="2" t="s">
        <v>12</v>
      </c>
      <c r="K6404" s="2" t="s">
        <v>12</v>
      </c>
    </row>
    <row r="6405" spans="1:11" ht="12.5" x14ac:dyDescent="0.25">
      <c r="A6405" s="3" t="e">
        <f ca="1"/>
        <v>#NAME?</v>
      </c>
      <c r="B6405" s="2" t="s">
        <v>12</v>
      </c>
      <c r="C6405" s="2" t="s">
        <v>12</v>
      </c>
      <c r="D6405" s="2" t="s">
        <v>12</v>
      </c>
      <c r="E6405" s="2" t="s">
        <v>12</v>
      </c>
      <c r="F6405" s="2" t="s">
        <v>12</v>
      </c>
      <c r="G6405" s="2" t="s">
        <v>12</v>
      </c>
      <c r="H6405" s="2" t="s">
        <v>12</v>
      </c>
      <c r="I6405" s="2" t="s">
        <v>12</v>
      </c>
      <c r="J6405" s="2" t="s">
        <v>12</v>
      </c>
      <c r="K6405" s="2" t="s">
        <v>12</v>
      </c>
    </row>
    <row r="6406" spans="1:11" ht="12.5" x14ac:dyDescent="0.25">
      <c r="A6406" s="3" t="e">
        <f ca="1"/>
        <v>#NAME?</v>
      </c>
      <c r="B6406" s="2" t="s">
        <v>12</v>
      </c>
      <c r="C6406" s="2" t="s">
        <v>12</v>
      </c>
      <c r="D6406" s="2" t="s">
        <v>12</v>
      </c>
      <c r="E6406" s="2" t="s">
        <v>12</v>
      </c>
      <c r="F6406" s="2" t="s">
        <v>12</v>
      </c>
      <c r="G6406" s="2" t="s">
        <v>12</v>
      </c>
      <c r="H6406" s="2" t="s">
        <v>12</v>
      </c>
      <c r="I6406" s="2" t="s">
        <v>12</v>
      </c>
      <c r="J6406" s="2" t="s">
        <v>12</v>
      </c>
      <c r="K6406" s="2" t="s">
        <v>12</v>
      </c>
    </row>
    <row r="6407" spans="1:11" ht="12.5" x14ac:dyDescent="0.25">
      <c r="A6407" s="3" t="e">
        <f ca="1"/>
        <v>#NAME?</v>
      </c>
      <c r="B6407" s="2" t="s">
        <v>12</v>
      </c>
      <c r="C6407" s="2" t="s">
        <v>12</v>
      </c>
      <c r="D6407" s="2" t="s">
        <v>12</v>
      </c>
      <c r="E6407" s="2" t="s">
        <v>12</v>
      </c>
      <c r="F6407" s="2" t="s">
        <v>12</v>
      </c>
      <c r="G6407" s="2" t="s">
        <v>12</v>
      </c>
      <c r="H6407" s="2" t="s">
        <v>12</v>
      </c>
      <c r="I6407" s="2" t="s">
        <v>12</v>
      </c>
      <c r="J6407" s="2" t="s">
        <v>12</v>
      </c>
      <c r="K6407" s="2" t="s">
        <v>12</v>
      </c>
    </row>
    <row r="6408" spans="1:11" ht="12.5" x14ac:dyDescent="0.25">
      <c r="A6408" s="3" t="e">
        <f ca="1"/>
        <v>#NAME?</v>
      </c>
      <c r="B6408" s="2" t="s">
        <v>12</v>
      </c>
      <c r="C6408" s="2" t="s">
        <v>12</v>
      </c>
      <c r="D6408" s="2" t="s">
        <v>12</v>
      </c>
      <c r="E6408" s="2" t="s">
        <v>12</v>
      </c>
      <c r="F6408" s="2" t="s">
        <v>12</v>
      </c>
      <c r="G6408" s="2" t="s">
        <v>12</v>
      </c>
      <c r="H6408" s="2" t="s">
        <v>12</v>
      </c>
      <c r="I6408" s="2" t="s">
        <v>12</v>
      </c>
      <c r="J6408" s="2" t="s">
        <v>12</v>
      </c>
      <c r="K6408" s="2" t="s">
        <v>12</v>
      </c>
    </row>
    <row r="6409" spans="1:11" ht="12.5" x14ac:dyDescent="0.25">
      <c r="A6409" s="3" t="e">
        <f ca="1"/>
        <v>#NAME?</v>
      </c>
      <c r="B6409" s="2" t="s">
        <v>12</v>
      </c>
      <c r="C6409" s="2" t="s">
        <v>12</v>
      </c>
      <c r="D6409" s="2" t="s">
        <v>12</v>
      </c>
      <c r="E6409" s="2" t="s">
        <v>12</v>
      </c>
      <c r="F6409" s="2" t="s">
        <v>12</v>
      </c>
      <c r="G6409" s="2" t="s">
        <v>12</v>
      </c>
      <c r="H6409" s="2" t="s">
        <v>12</v>
      </c>
      <c r="I6409" s="2" t="s">
        <v>12</v>
      </c>
      <c r="J6409" s="2" t="s">
        <v>12</v>
      </c>
      <c r="K6409" s="2" t="s">
        <v>12</v>
      </c>
    </row>
    <row r="6410" spans="1:11" ht="12.5" x14ac:dyDescent="0.25">
      <c r="A6410" s="3" t="e">
        <f ca="1"/>
        <v>#NAME?</v>
      </c>
      <c r="B6410" s="2" t="s">
        <v>12</v>
      </c>
      <c r="C6410" s="2" t="s">
        <v>12</v>
      </c>
      <c r="D6410" s="2" t="s">
        <v>12</v>
      </c>
      <c r="E6410" s="2" t="s">
        <v>12</v>
      </c>
      <c r="F6410" s="2" t="s">
        <v>12</v>
      </c>
      <c r="G6410" s="2" t="s">
        <v>12</v>
      </c>
      <c r="H6410" s="2" t="s">
        <v>12</v>
      </c>
      <c r="I6410" s="2" t="s">
        <v>12</v>
      </c>
      <c r="J6410" s="2" t="s">
        <v>12</v>
      </c>
      <c r="K6410" s="2" t="s">
        <v>12</v>
      </c>
    </row>
    <row r="6411" spans="1:11" ht="12.5" x14ac:dyDescent="0.25">
      <c r="A6411" s="3" t="e">
        <f ca="1"/>
        <v>#NAME?</v>
      </c>
      <c r="B6411" s="2" t="s">
        <v>12</v>
      </c>
      <c r="C6411" s="2" t="s">
        <v>12</v>
      </c>
      <c r="D6411" s="2" t="s">
        <v>12</v>
      </c>
      <c r="E6411" s="2" t="s">
        <v>12</v>
      </c>
      <c r="F6411" s="2" t="s">
        <v>12</v>
      </c>
      <c r="G6411" s="2" t="s">
        <v>12</v>
      </c>
      <c r="H6411" s="2" t="s">
        <v>12</v>
      </c>
      <c r="I6411" s="2" t="s">
        <v>12</v>
      </c>
      <c r="J6411" s="2" t="s">
        <v>12</v>
      </c>
      <c r="K6411" s="2" t="s">
        <v>12</v>
      </c>
    </row>
    <row r="6412" spans="1:11" ht="12.5" x14ac:dyDescent="0.25">
      <c r="A6412" s="3" t="e">
        <f ca="1"/>
        <v>#NAME?</v>
      </c>
      <c r="B6412" s="2" t="s">
        <v>12</v>
      </c>
      <c r="C6412" s="2" t="s">
        <v>12</v>
      </c>
      <c r="D6412" s="2" t="s">
        <v>12</v>
      </c>
      <c r="E6412" s="2" t="s">
        <v>12</v>
      </c>
      <c r="F6412" s="2" t="s">
        <v>12</v>
      </c>
      <c r="G6412" s="2" t="s">
        <v>12</v>
      </c>
      <c r="H6412" s="2" t="s">
        <v>12</v>
      </c>
      <c r="I6412" s="2" t="s">
        <v>12</v>
      </c>
      <c r="J6412" s="2" t="s">
        <v>12</v>
      </c>
      <c r="K6412" s="2" t="s">
        <v>12</v>
      </c>
    </row>
    <row r="6413" spans="1:11" ht="12.5" x14ac:dyDescent="0.25">
      <c r="A6413" s="3" t="e">
        <f ca="1"/>
        <v>#NAME?</v>
      </c>
      <c r="B6413" s="2" t="s">
        <v>12</v>
      </c>
      <c r="C6413" s="2" t="s">
        <v>12</v>
      </c>
      <c r="D6413" s="2" t="s">
        <v>12</v>
      </c>
      <c r="E6413" s="2" t="s">
        <v>12</v>
      </c>
      <c r="F6413" s="2" t="s">
        <v>12</v>
      </c>
      <c r="G6413" s="2" t="s">
        <v>12</v>
      </c>
      <c r="H6413" s="2" t="s">
        <v>12</v>
      </c>
      <c r="I6413" s="2" t="s">
        <v>12</v>
      </c>
      <c r="J6413" s="2" t="s">
        <v>12</v>
      </c>
      <c r="K6413" s="2" t="s">
        <v>12</v>
      </c>
    </row>
    <row r="6414" spans="1:11" ht="12.5" x14ac:dyDescent="0.25">
      <c r="A6414" s="3" t="e">
        <f ca="1"/>
        <v>#NAME?</v>
      </c>
      <c r="B6414" s="2" t="s">
        <v>12</v>
      </c>
      <c r="C6414" s="2" t="s">
        <v>12</v>
      </c>
      <c r="D6414" s="2" t="s">
        <v>12</v>
      </c>
      <c r="E6414" s="2" t="s">
        <v>12</v>
      </c>
      <c r="F6414" s="2" t="s">
        <v>12</v>
      </c>
      <c r="G6414" s="2" t="s">
        <v>12</v>
      </c>
      <c r="H6414" s="2" t="s">
        <v>12</v>
      </c>
      <c r="I6414" s="2" t="s">
        <v>12</v>
      </c>
      <c r="J6414" s="2" t="s">
        <v>12</v>
      </c>
      <c r="K6414" s="2" t="s">
        <v>12</v>
      </c>
    </row>
    <row r="6415" spans="1:11" ht="12.5" x14ac:dyDescent="0.25">
      <c r="A6415" s="3" t="e">
        <f ca="1"/>
        <v>#NAME?</v>
      </c>
      <c r="B6415" s="2" t="s">
        <v>12</v>
      </c>
      <c r="C6415" s="2" t="s">
        <v>12</v>
      </c>
      <c r="D6415" s="2" t="s">
        <v>12</v>
      </c>
      <c r="E6415" s="2" t="s">
        <v>12</v>
      </c>
      <c r="F6415" s="2" t="s">
        <v>12</v>
      </c>
      <c r="G6415" s="2" t="s">
        <v>12</v>
      </c>
      <c r="H6415" s="2" t="s">
        <v>12</v>
      </c>
      <c r="I6415" s="2" t="s">
        <v>12</v>
      </c>
      <c r="J6415" s="2" t="s">
        <v>12</v>
      </c>
      <c r="K6415" s="2" t="s">
        <v>12</v>
      </c>
    </row>
    <row r="6416" spans="1:11" ht="12.5" x14ac:dyDescent="0.25">
      <c r="A6416" s="3" t="e">
        <f ca="1"/>
        <v>#NAME?</v>
      </c>
      <c r="B6416" s="2" t="s">
        <v>12</v>
      </c>
      <c r="C6416" s="2" t="s">
        <v>12</v>
      </c>
      <c r="D6416" s="2" t="s">
        <v>12</v>
      </c>
      <c r="E6416" s="2" t="s">
        <v>12</v>
      </c>
      <c r="F6416" s="2" t="s">
        <v>12</v>
      </c>
      <c r="G6416" s="2" t="s">
        <v>12</v>
      </c>
      <c r="H6416" s="2" t="s">
        <v>12</v>
      </c>
      <c r="I6416" s="2" t="s">
        <v>12</v>
      </c>
      <c r="J6416" s="2" t="s">
        <v>12</v>
      </c>
      <c r="K6416" s="2" t="s">
        <v>12</v>
      </c>
    </row>
    <row r="6417" spans="1:11" ht="12.5" x14ac:dyDescent="0.25">
      <c r="A6417" s="3" t="e">
        <f ca="1"/>
        <v>#NAME?</v>
      </c>
      <c r="B6417" s="2" t="s">
        <v>12</v>
      </c>
      <c r="C6417" s="2" t="s">
        <v>12</v>
      </c>
      <c r="D6417" s="2" t="s">
        <v>12</v>
      </c>
      <c r="E6417" s="2" t="s">
        <v>12</v>
      </c>
      <c r="F6417" s="2" t="s">
        <v>12</v>
      </c>
      <c r="G6417" s="2" t="s">
        <v>12</v>
      </c>
      <c r="H6417" s="2" t="s">
        <v>12</v>
      </c>
      <c r="I6417" s="2" t="s">
        <v>12</v>
      </c>
      <c r="J6417" s="2" t="s">
        <v>12</v>
      </c>
      <c r="K6417" s="2" t="s">
        <v>12</v>
      </c>
    </row>
    <row r="6418" spans="1:11" ht="12.5" x14ac:dyDescent="0.25">
      <c r="A6418" s="3" t="e">
        <f ca="1"/>
        <v>#NAME?</v>
      </c>
      <c r="B6418" s="2" t="s">
        <v>12</v>
      </c>
      <c r="C6418" s="2" t="s">
        <v>12</v>
      </c>
      <c r="D6418" s="2" t="s">
        <v>12</v>
      </c>
      <c r="E6418" s="2" t="s">
        <v>12</v>
      </c>
      <c r="F6418" s="2" t="s">
        <v>12</v>
      </c>
      <c r="G6418" s="2" t="s">
        <v>12</v>
      </c>
      <c r="H6418" s="2" t="s">
        <v>12</v>
      </c>
      <c r="I6418" s="2" t="s">
        <v>12</v>
      </c>
      <c r="J6418" s="2" t="s">
        <v>12</v>
      </c>
      <c r="K6418" s="2" t="s">
        <v>12</v>
      </c>
    </row>
    <row r="6419" spans="1:11" ht="12.5" x14ac:dyDescent="0.25">
      <c r="A6419" s="3" t="e">
        <f ca="1"/>
        <v>#NAME?</v>
      </c>
      <c r="B6419" s="2" t="s">
        <v>12</v>
      </c>
      <c r="C6419" s="2" t="s">
        <v>12</v>
      </c>
      <c r="D6419" s="2" t="s">
        <v>12</v>
      </c>
      <c r="E6419" s="2" t="s">
        <v>12</v>
      </c>
      <c r="F6419" s="2" t="s">
        <v>12</v>
      </c>
      <c r="G6419" s="2" t="s">
        <v>12</v>
      </c>
      <c r="H6419" s="2" t="s">
        <v>12</v>
      </c>
      <c r="I6419" s="2" t="s">
        <v>12</v>
      </c>
      <c r="J6419" s="2" t="s">
        <v>12</v>
      </c>
      <c r="K6419" s="2" t="s">
        <v>12</v>
      </c>
    </row>
    <row r="6420" spans="1:11" ht="12.5" x14ac:dyDescent="0.25">
      <c r="A6420" s="3" t="e">
        <f ca="1"/>
        <v>#NAME?</v>
      </c>
      <c r="B6420" s="2" t="s">
        <v>12</v>
      </c>
      <c r="C6420" s="2" t="s">
        <v>12</v>
      </c>
      <c r="D6420" s="2" t="s">
        <v>12</v>
      </c>
      <c r="E6420" s="2" t="s">
        <v>12</v>
      </c>
      <c r="F6420" s="2" t="s">
        <v>12</v>
      </c>
      <c r="G6420" s="2" t="s">
        <v>12</v>
      </c>
      <c r="H6420" s="2" t="s">
        <v>12</v>
      </c>
      <c r="I6420" s="2" t="s">
        <v>12</v>
      </c>
      <c r="J6420" s="2" t="s">
        <v>12</v>
      </c>
      <c r="K6420" s="2" t="s">
        <v>12</v>
      </c>
    </row>
    <row r="6421" spans="1:11" ht="12.5" x14ac:dyDescent="0.25">
      <c r="A6421" s="3" t="e">
        <f ca="1"/>
        <v>#NAME?</v>
      </c>
      <c r="B6421" s="2" t="s">
        <v>12</v>
      </c>
      <c r="C6421" s="2" t="s">
        <v>12</v>
      </c>
      <c r="D6421" s="2" t="s">
        <v>12</v>
      </c>
      <c r="E6421" s="2" t="s">
        <v>12</v>
      </c>
      <c r="F6421" s="2" t="s">
        <v>12</v>
      </c>
      <c r="G6421" s="2" t="s">
        <v>12</v>
      </c>
      <c r="H6421" s="2" t="s">
        <v>12</v>
      </c>
      <c r="I6421" s="2" t="s">
        <v>12</v>
      </c>
      <c r="J6421" s="2" t="s">
        <v>12</v>
      </c>
      <c r="K6421" s="2" t="s">
        <v>12</v>
      </c>
    </row>
    <row r="6422" spans="1:11" ht="12.5" x14ac:dyDescent="0.25">
      <c r="A6422" s="3" t="e">
        <f ca="1"/>
        <v>#NAME?</v>
      </c>
      <c r="B6422" s="2" t="s">
        <v>12</v>
      </c>
      <c r="C6422" s="2" t="s">
        <v>12</v>
      </c>
      <c r="D6422" s="2" t="s">
        <v>12</v>
      </c>
      <c r="E6422" s="2" t="s">
        <v>12</v>
      </c>
      <c r="F6422" s="2" t="s">
        <v>12</v>
      </c>
      <c r="G6422" s="2" t="s">
        <v>12</v>
      </c>
      <c r="H6422" s="2" t="s">
        <v>12</v>
      </c>
      <c r="I6422" s="2" t="s">
        <v>12</v>
      </c>
      <c r="J6422" s="2" t="s">
        <v>12</v>
      </c>
      <c r="K6422" s="2" t="s">
        <v>12</v>
      </c>
    </row>
    <row r="6423" spans="1:11" ht="12.5" x14ac:dyDescent="0.25">
      <c r="A6423" s="3" t="e">
        <f ca="1"/>
        <v>#NAME?</v>
      </c>
      <c r="B6423" s="2" t="s">
        <v>12</v>
      </c>
      <c r="C6423" s="2" t="s">
        <v>12</v>
      </c>
      <c r="D6423" s="2" t="s">
        <v>12</v>
      </c>
      <c r="E6423" s="2" t="s">
        <v>12</v>
      </c>
      <c r="F6423" s="2" t="s">
        <v>12</v>
      </c>
      <c r="G6423" s="2" t="s">
        <v>12</v>
      </c>
      <c r="H6423" s="2" t="s">
        <v>12</v>
      </c>
      <c r="I6423" s="2" t="s">
        <v>12</v>
      </c>
      <c r="J6423" s="2" t="s">
        <v>12</v>
      </c>
      <c r="K6423" s="2" t="s">
        <v>12</v>
      </c>
    </row>
    <row r="6424" spans="1:11" ht="12.5" x14ac:dyDescent="0.25">
      <c r="A6424" s="3" t="e">
        <f ca="1"/>
        <v>#NAME?</v>
      </c>
      <c r="B6424" s="2" t="s">
        <v>12</v>
      </c>
      <c r="C6424" s="2" t="s">
        <v>12</v>
      </c>
      <c r="D6424" s="2" t="s">
        <v>12</v>
      </c>
      <c r="E6424" s="2" t="s">
        <v>12</v>
      </c>
      <c r="F6424" s="2" t="s">
        <v>12</v>
      </c>
      <c r="G6424" s="2" t="s">
        <v>12</v>
      </c>
      <c r="H6424" s="2" t="s">
        <v>12</v>
      </c>
      <c r="I6424" s="2" t="s">
        <v>12</v>
      </c>
      <c r="J6424" s="2" t="s">
        <v>12</v>
      </c>
      <c r="K6424" s="2" t="s">
        <v>12</v>
      </c>
    </row>
    <row r="6425" spans="1:11" ht="12.5" x14ac:dyDescent="0.25">
      <c r="A6425" s="3" t="e">
        <f ca="1"/>
        <v>#NAME?</v>
      </c>
      <c r="B6425" s="2" t="s">
        <v>12</v>
      </c>
      <c r="C6425" s="2" t="s">
        <v>12</v>
      </c>
      <c r="D6425" s="2" t="s">
        <v>12</v>
      </c>
      <c r="E6425" s="2" t="s">
        <v>12</v>
      </c>
      <c r="F6425" s="2" t="s">
        <v>12</v>
      </c>
      <c r="G6425" s="2" t="s">
        <v>12</v>
      </c>
      <c r="H6425" s="2" t="s">
        <v>12</v>
      </c>
      <c r="I6425" s="2" t="s">
        <v>12</v>
      </c>
      <c r="J6425" s="2" t="s">
        <v>12</v>
      </c>
      <c r="K6425" s="2" t="s">
        <v>12</v>
      </c>
    </row>
    <row r="6426" spans="1:11" ht="12.5" x14ac:dyDescent="0.25">
      <c r="A6426" s="3" t="e">
        <f ca="1"/>
        <v>#NAME?</v>
      </c>
      <c r="B6426" s="2" t="s">
        <v>12</v>
      </c>
      <c r="C6426" s="2" t="s">
        <v>12</v>
      </c>
      <c r="D6426" s="2" t="s">
        <v>12</v>
      </c>
      <c r="E6426" s="2" t="s">
        <v>12</v>
      </c>
      <c r="F6426" s="2" t="s">
        <v>12</v>
      </c>
      <c r="G6426" s="2" t="s">
        <v>12</v>
      </c>
      <c r="H6426" s="2" t="s">
        <v>12</v>
      </c>
      <c r="I6426" s="2" t="s">
        <v>12</v>
      </c>
      <c r="J6426" s="2" t="s">
        <v>12</v>
      </c>
      <c r="K6426" s="2" t="s">
        <v>12</v>
      </c>
    </row>
    <row r="6427" spans="1:11" ht="12.5" x14ac:dyDescent="0.25">
      <c r="A6427" s="3" t="e">
        <f ca="1"/>
        <v>#NAME?</v>
      </c>
      <c r="B6427" s="2" t="s">
        <v>12</v>
      </c>
      <c r="C6427" s="2" t="s">
        <v>12</v>
      </c>
      <c r="D6427" s="2" t="s">
        <v>12</v>
      </c>
      <c r="E6427" s="2" t="s">
        <v>12</v>
      </c>
      <c r="F6427" s="2" t="s">
        <v>12</v>
      </c>
      <c r="G6427" s="2" t="s">
        <v>12</v>
      </c>
      <c r="H6427" s="2" t="s">
        <v>12</v>
      </c>
      <c r="I6427" s="2" t="s">
        <v>12</v>
      </c>
      <c r="J6427" s="2" t="s">
        <v>12</v>
      </c>
      <c r="K6427" s="2" t="s">
        <v>12</v>
      </c>
    </row>
    <row r="6428" spans="1:11" ht="12.5" x14ac:dyDescent="0.25">
      <c r="A6428" s="3" t="e">
        <f ca="1"/>
        <v>#NAME?</v>
      </c>
      <c r="B6428" s="2" t="s">
        <v>12</v>
      </c>
      <c r="C6428" s="2" t="s">
        <v>12</v>
      </c>
      <c r="D6428" s="2" t="s">
        <v>12</v>
      </c>
      <c r="E6428" s="2" t="s">
        <v>12</v>
      </c>
      <c r="F6428" s="2" t="s">
        <v>12</v>
      </c>
      <c r="G6428" s="2" t="s">
        <v>12</v>
      </c>
      <c r="H6428" s="2" t="s">
        <v>12</v>
      </c>
      <c r="I6428" s="2" t="s">
        <v>12</v>
      </c>
      <c r="J6428" s="2" t="s">
        <v>12</v>
      </c>
      <c r="K6428" s="2" t="s">
        <v>12</v>
      </c>
    </row>
    <row r="6429" spans="1:11" ht="12.5" x14ac:dyDescent="0.25">
      <c r="A6429" s="3" t="e">
        <f ca="1"/>
        <v>#NAME?</v>
      </c>
      <c r="B6429" s="2" t="s">
        <v>12</v>
      </c>
      <c r="C6429" s="2" t="s">
        <v>12</v>
      </c>
      <c r="D6429" s="2" t="s">
        <v>12</v>
      </c>
      <c r="E6429" s="2" t="s">
        <v>12</v>
      </c>
      <c r="F6429" s="2" t="s">
        <v>12</v>
      </c>
      <c r="G6429" s="2" t="s">
        <v>12</v>
      </c>
      <c r="H6429" s="2" t="s">
        <v>12</v>
      </c>
      <c r="I6429" s="2" t="s">
        <v>12</v>
      </c>
      <c r="J6429" s="2" t="s">
        <v>12</v>
      </c>
      <c r="K6429" s="2" t="s">
        <v>12</v>
      </c>
    </row>
    <row r="6430" spans="1:11" ht="12.5" x14ac:dyDescent="0.25">
      <c r="A6430" s="3" t="e">
        <f ca="1"/>
        <v>#NAME?</v>
      </c>
      <c r="B6430" s="2" t="s">
        <v>12</v>
      </c>
      <c r="C6430" s="2" t="s">
        <v>12</v>
      </c>
      <c r="D6430" s="2" t="s">
        <v>12</v>
      </c>
      <c r="E6430" s="2" t="s">
        <v>12</v>
      </c>
      <c r="F6430" s="2" t="s">
        <v>12</v>
      </c>
      <c r="G6430" s="2" t="s">
        <v>12</v>
      </c>
      <c r="H6430" s="2" t="s">
        <v>12</v>
      </c>
      <c r="I6430" s="2" t="s">
        <v>12</v>
      </c>
      <c r="J6430" s="2" t="s">
        <v>12</v>
      </c>
      <c r="K6430" s="2" t="s">
        <v>12</v>
      </c>
    </row>
    <row r="6431" spans="1:11" ht="12.5" x14ac:dyDescent="0.25">
      <c r="A6431" s="3" t="e">
        <f ca="1"/>
        <v>#NAME?</v>
      </c>
      <c r="B6431" s="2" t="s">
        <v>12</v>
      </c>
      <c r="C6431" s="2" t="s">
        <v>12</v>
      </c>
      <c r="D6431" s="2" t="s">
        <v>12</v>
      </c>
      <c r="E6431" s="2" t="s">
        <v>12</v>
      </c>
      <c r="F6431" s="2" t="s">
        <v>12</v>
      </c>
      <c r="G6431" s="2" t="s">
        <v>12</v>
      </c>
      <c r="H6431" s="2" t="s">
        <v>12</v>
      </c>
      <c r="I6431" s="2" t="s">
        <v>12</v>
      </c>
      <c r="J6431" s="2" t="s">
        <v>12</v>
      </c>
      <c r="K6431" s="2" t="s">
        <v>12</v>
      </c>
    </row>
    <row r="6432" spans="1:11" ht="12.5" x14ac:dyDescent="0.25">
      <c r="A6432" s="3" t="e">
        <f ca="1"/>
        <v>#NAME?</v>
      </c>
      <c r="B6432" s="2" t="s">
        <v>12</v>
      </c>
      <c r="C6432" s="2" t="s">
        <v>12</v>
      </c>
      <c r="D6432" s="2" t="s">
        <v>12</v>
      </c>
      <c r="E6432" s="2" t="s">
        <v>12</v>
      </c>
      <c r="F6432" s="2" t="s">
        <v>12</v>
      </c>
      <c r="G6432" s="2" t="s">
        <v>12</v>
      </c>
      <c r="H6432" s="2" t="s">
        <v>12</v>
      </c>
      <c r="I6432" s="2" t="s">
        <v>12</v>
      </c>
      <c r="J6432" s="2" t="s">
        <v>12</v>
      </c>
      <c r="K6432" s="2" t="s">
        <v>12</v>
      </c>
    </row>
    <row r="6433" spans="1:11" ht="12.5" x14ac:dyDescent="0.25">
      <c r="A6433" s="3" t="e">
        <f ca="1"/>
        <v>#NAME?</v>
      </c>
      <c r="B6433" s="2" t="s">
        <v>12</v>
      </c>
      <c r="C6433" s="2" t="s">
        <v>12</v>
      </c>
      <c r="D6433" s="2" t="s">
        <v>12</v>
      </c>
      <c r="E6433" s="2" t="s">
        <v>12</v>
      </c>
      <c r="F6433" s="2" t="s">
        <v>12</v>
      </c>
      <c r="G6433" s="2" t="s">
        <v>12</v>
      </c>
      <c r="H6433" s="2" t="s">
        <v>12</v>
      </c>
      <c r="I6433" s="2" t="s">
        <v>12</v>
      </c>
      <c r="J6433" s="2" t="s">
        <v>12</v>
      </c>
      <c r="K6433" s="2" t="s">
        <v>12</v>
      </c>
    </row>
    <row r="6434" spans="1:11" ht="12.5" x14ac:dyDescent="0.25">
      <c r="A6434" s="3" t="e">
        <f ca="1"/>
        <v>#NAME?</v>
      </c>
      <c r="B6434" s="2" t="s">
        <v>12</v>
      </c>
      <c r="C6434" s="2" t="s">
        <v>12</v>
      </c>
      <c r="D6434" s="2" t="s">
        <v>12</v>
      </c>
      <c r="E6434" s="2" t="s">
        <v>12</v>
      </c>
      <c r="F6434" s="2" t="s">
        <v>12</v>
      </c>
      <c r="G6434" s="2" t="s">
        <v>12</v>
      </c>
      <c r="H6434" s="2" t="s">
        <v>12</v>
      </c>
      <c r="I6434" s="2" t="s">
        <v>12</v>
      </c>
      <c r="J6434" s="2" t="s">
        <v>12</v>
      </c>
      <c r="K6434" s="2" t="s">
        <v>12</v>
      </c>
    </row>
    <row r="6435" spans="1:11" ht="12.5" x14ac:dyDescent="0.25">
      <c r="A6435" s="3" t="e">
        <f ca="1"/>
        <v>#NAME?</v>
      </c>
      <c r="B6435" s="2" t="s">
        <v>12</v>
      </c>
      <c r="C6435" s="2" t="s">
        <v>12</v>
      </c>
      <c r="D6435" s="2" t="s">
        <v>12</v>
      </c>
      <c r="E6435" s="2" t="s">
        <v>12</v>
      </c>
      <c r="F6435" s="2" t="s">
        <v>12</v>
      </c>
      <c r="G6435" s="2" t="s">
        <v>12</v>
      </c>
      <c r="H6435" s="2" t="s">
        <v>12</v>
      </c>
      <c r="I6435" s="2" t="s">
        <v>12</v>
      </c>
      <c r="J6435" s="2" t="s">
        <v>12</v>
      </c>
      <c r="K6435" s="2" t="s">
        <v>12</v>
      </c>
    </row>
    <row r="6436" spans="1:11" ht="12.5" x14ac:dyDescent="0.25">
      <c r="A6436" s="3" t="e">
        <f ca="1"/>
        <v>#NAME?</v>
      </c>
      <c r="B6436" s="2" t="s">
        <v>12</v>
      </c>
      <c r="C6436" s="2" t="s">
        <v>12</v>
      </c>
      <c r="D6436" s="2" t="s">
        <v>12</v>
      </c>
      <c r="E6436" s="2" t="s">
        <v>12</v>
      </c>
      <c r="F6436" s="2" t="s">
        <v>12</v>
      </c>
      <c r="G6436" s="2" t="s">
        <v>12</v>
      </c>
      <c r="H6436" s="2" t="s">
        <v>12</v>
      </c>
      <c r="I6436" s="2" t="s">
        <v>12</v>
      </c>
      <c r="J6436" s="2" t="s">
        <v>12</v>
      </c>
      <c r="K6436" s="2" t="s">
        <v>12</v>
      </c>
    </row>
    <row r="6437" spans="1:11" ht="12.5" x14ac:dyDescent="0.25">
      <c r="A6437" s="3" t="e">
        <f ca="1"/>
        <v>#NAME?</v>
      </c>
      <c r="B6437" s="2" t="s">
        <v>12</v>
      </c>
      <c r="C6437" s="2" t="s">
        <v>12</v>
      </c>
      <c r="D6437" s="2" t="s">
        <v>12</v>
      </c>
      <c r="E6437" s="2" t="s">
        <v>12</v>
      </c>
      <c r="F6437" s="2" t="s">
        <v>12</v>
      </c>
      <c r="G6437" s="2" t="s">
        <v>12</v>
      </c>
      <c r="H6437" s="2" t="s">
        <v>12</v>
      </c>
      <c r="I6437" s="2" t="s">
        <v>12</v>
      </c>
      <c r="J6437" s="2" t="s">
        <v>12</v>
      </c>
      <c r="K6437" s="2" t="s">
        <v>12</v>
      </c>
    </row>
    <row r="6438" spans="1:11" ht="12.5" x14ac:dyDescent="0.25">
      <c r="A6438" s="3" t="e">
        <f ca="1"/>
        <v>#NAME?</v>
      </c>
      <c r="B6438" s="2" t="s">
        <v>12</v>
      </c>
      <c r="C6438" s="2" t="s">
        <v>12</v>
      </c>
      <c r="D6438" s="2" t="s">
        <v>12</v>
      </c>
      <c r="E6438" s="2" t="s">
        <v>12</v>
      </c>
      <c r="F6438" s="2" t="s">
        <v>12</v>
      </c>
      <c r="G6438" s="2" t="s">
        <v>12</v>
      </c>
      <c r="H6438" s="2" t="s">
        <v>12</v>
      </c>
      <c r="I6438" s="2" t="s">
        <v>12</v>
      </c>
      <c r="J6438" s="2" t="s">
        <v>12</v>
      </c>
      <c r="K6438" s="2" t="s">
        <v>12</v>
      </c>
    </row>
    <row r="6439" spans="1:11" ht="12.5" x14ac:dyDescent="0.25">
      <c r="A6439" s="3" t="e">
        <f ca="1"/>
        <v>#NAME?</v>
      </c>
      <c r="B6439" s="2" t="s">
        <v>12</v>
      </c>
      <c r="C6439" s="2" t="s">
        <v>12</v>
      </c>
      <c r="D6439" s="2" t="s">
        <v>12</v>
      </c>
      <c r="E6439" s="2" t="s">
        <v>12</v>
      </c>
      <c r="F6439" s="2" t="s">
        <v>12</v>
      </c>
      <c r="G6439" s="2" t="s">
        <v>12</v>
      </c>
      <c r="H6439" s="2" t="s">
        <v>12</v>
      </c>
      <c r="I6439" s="2" t="s">
        <v>12</v>
      </c>
      <c r="J6439" s="2" t="s">
        <v>12</v>
      </c>
      <c r="K6439" s="2" t="s">
        <v>12</v>
      </c>
    </row>
    <row r="6440" spans="1:11" ht="12.5" x14ac:dyDescent="0.25">
      <c r="A6440" s="3" t="e">
        <f ca="1"/>
        <v>#NAME?</v>
      </c>
      <c r="B6440" s="2" t="s">
        <v>12</v>
      </c>
      <c r="C6440" s="2" t="s">
        <v>12</v>
      </c>
      <c r="D6440" s="2" t="s">
        <v>12</v>
      </c>
      <c r="E6440" s="2" t="s">
        <v>12</v>
      </c>
      <c r="F6440" s="2" t="s">
        <v>12</v>
      </c>
      <c r="G6440" s="2" t="s">
        <v>12</v>
      </c>
      <c r="H6440" s="2" t="s">
        <v>12</v>
      </c>
      <c r="I6440" s="2" t="s">
        <v>12</v>
      </c>
      <c r="J6440" s="2" t="s">
        <v>12</v>
      </c>
      <c r="K6440" s="2" t="s">
        <v>12</v>
      </c>
    </row>
    <row r="6441" spans="1:11" ht="12.5" x14ac:dyDescent="0.25">
      <c r="A6441" s="3" t="e">
        <f ca="1"/>
        <v>#NAME?</v>
      </c>
      <c r="B6441" s="2" t="s">
        <v>12</v>
      </c>
      <c r="C6441" s="2" t="s">
        <v>12</v>
      </c>
      <c r="D6441" s="2" t="s">
        <v>12</v>
      </c>
      <c r="E6441" s="2" t="s">
        <v>12</v>
      </c>
      <c r="F6441" s="2" t="s">
        <v>12</v>
      </c>
      <c r="G6441" s="2" t="s">
        <v>12</v>
      </c>
      <c r="H6441" s="2" t="s">
        <v>12</v>
      </c>
      <c r="I6441" s="2" t="s">
        <v>12</v>
      </c>
      <c r="J6441" s="2" t="s">
        <v>12</v>
      </c>
      <c r="K6441" s="2" t="s">
        <v>12</v>
      </c>
    </row>
    <row r="6442" spans="1:11" ht="12.5" x14ac:dyDescent="0.25">
      <c r="A6442" s="3" t="e">
        <f ca="1"/>
        <v>#NAME?</v>
      </c>
      <c r="B6442" s="2" t="s">
        <v>12</v>
      </c>
      <c r="C6442" s="2" t="s">
        <v>12</v>
      </c>
      <c r="D6442" s="2" t="s">
        <v>12</v>
      </c>
      <c r="E6442" s="2" t="s">
        <v>12</v>
      </c>
      <c r="F6442" s="2" t="s">
        <v>12</v>
      </c>
      <c r="G6442" s="2" t="s">
        <v>12</v>
      </c>
      <c r="H6442" s="2" t="s">
        <v>12</v>
      </c>
      <c r="I6442" s="2" t="s">
        <v>12</v>
      </c>
      <c r="J6442" s="2" t="s">
        <v>12</v>
      </c>
      <c r="K6442" s="2" t="s">
        <v>12</v>
      </c>
    </row>
    <row r="6443" spans="1:11" ht="12.5" x14ac:dyDescent="0.25">
      <c r="A6443" s="3" t="e">
        <f ca="1"/>
        <v>#NAME?</v>
      </c>
      <c r="B6443" s="2" t="s">
        <v>12</v>
      </c>
      <c r="C6443" s="2" t="s">
        <v>12</v>
      </c>
      <c r="D6443" s="2" t="s">
        <v>12</v>
      </c>
      <c r="E6443" s="2" t="s">
        <v>12</v>
      </c>
      <c r="F6443" s="2" t="s">
        <v>12</v>
      </c>
      <c r="G6443" s="2" t="s">
        <v>12</v>
      </c>
      <c r="H6443" s="2" t="s">
        <v>12</v>
      </c>
      <c r="I6443" s="2" t="s">
        <v>12</v>
      </c>
      <c r="J6443" s="2" t="s">
        <v>12</v>
      </c>
      <c r="K6443" s="2" t="s">
        <v>12</v>
      </c>
    </row>
    <row r="6444" spans="1:11" ht="12.5" x14ac:dyDescent="0.25">
      <c r="A6444" s="3" t="e">
        <f ca="1"/>
        <v>#NAME?</v>
      </c>
      <c r="B6444" s="2" t="s">
        <v>12</v>
      </c>
      <c r="C6444" s="2" t="s">
        <v>12</v>
      </c>
      <c r="D6444" s="2" t="s">
        <v>12</v>
      </c>
      <c r="E6444" s="2" t="s">
        <v>12</v>
      </c>
      <c r="F6444" s="2" t="s">
        <v>12</v>
      </c>
      <c r="G6444" s="2" t="s">
        <v>12</v>
      </c>
      <c r="H6444" s="2" t="s">
        <v>12</v>
      </c>
      <c r="I6444" s="2" t="s">
        <v>12</v>
      </c>
      <c r="J6444" s="2" t="s">
        <v>12</v>
      </c>
      <c r="K6444" s="2" t="s">
        <v>12</v>
      </c>
    </row>
    <row r="6445" spans="1:11" ht="12.5" x14ac:dyDescent="0.25">
      <c r="A6445" s="3" t="e">
        <f ca="1"/>
        <v>#NAME?</v>
      </c>
      <c r="B6445" s="2" t="s">
        <v>12</v>
      </c>
      <c r="C6445" s="2" t="s">
        <v>12</v>
      </c>
      <c r="D6445" s="2" t="s">
        <v>12</v>
      </c>
      <c r="E6445" s="2" t="s">
        <v>12</v>
      </c>
      <c r="F6445" s="2" t="s">
        <v>12</v>
      </c>
      <c r="G6445" s="2" t="s">
        <v>12</v>
      </c>
      <c r="H6445" s="2" t="s">
        <v>12</v>
      </c>
      <c r="I6445" s="2" t="s">
        <v>12</v>
      </c>
      <c r="J6445" s="2" t="s">
        <v>12</v>
      </c>
      <c r="K6445" s="2" t="s">
        <v>12</v>
      </c>
    </row>
    <row r="6446" spans="1:11" ht="12.5" x14ac:dyDescent="0.25">
      <c r="A6446" s="3" t="e">
        <f ca="1"/>
        <v>#NAME?</v>
      </c>
      <c r="B6446" s="2" t="s">
        <v>12</v>
      </c>
      <c r="C6446" s="2" t="s">
        <v>12</v>
      </c>
      <c r="D6446" s="2" t="s">
        <v>12</v>
      </c>
      <c r="E6446" s="2" t="s">
        <v>12</v>
      </c>
      <c r="F6446" s="2" t="s">
        <v>12</v>
      </c>
      <c r="G6446" s="2" t="s">
        <v>12</v>
      </c>
      <c r="H6446" s="2" t="s">
        <v>12</v>
      </c>
      <c r="I6446" s="2" t="s">
        <v>12</v>
      </c>
      <c r="J6446" s="2" t="s">
        <v>12</v>
      </c>
      <c r="K6446" s="2" t="s">
        <v>12</v>
      </c>
    </row>
    <row r="6447" spans="1:11" ht="12.5" x14ac:dyDescent="0.25">
      <c r="A6447" s="3" t="e">
        <f ca="1"/>
        <v>#NAME?</v>
      </c>
      <c r="B6447" s="2" t="s">
        <v>12</v>
      </c>
      <c r="C6447" s="2" t="s">
        <v>12</v>
      </c>
      <c r="D6447" s="2" t="s">
        <v>12</v>
      </c>
      <c r="E6447" s="2" t="s">
        <v>12</v>
      </c>
      <c r="F6447" s="2" t="s">
        <v>12</v>
      </c>
      <c r="G6447" s="2" t="s">
        <v>12</v>
      </c>
      <c r="H6447" s="2" t="s">
        <v>12</v>
      </c>
      <c r="I6447" s="2" t="s">
        <v>12</v>
      </c>
      <c r="J6447" s="2" t="s">
        <v>12</v>
      </c>
      <c r="K6447" s="2" t="s">
        <v>12</v>
      </c>
    </row>
    <row r="6448" spans="1:11" ht="12.5" x14ac:dyDescent="0.25">
      <c r="A6448" s="3" t="e">
        <f ca="1"/>
        <v>#NAME?</v>
      </c>
      <c r="B6448" s="2" t="s">
        <v>12</v>
      </c>
      <c r="C6448" s="2" t="s">
        <v>12</v>
      </c>
      <c r="D6448" s="2" t="s">
        <v>12</v>
      </c>
      <c r="E6448" s="2" t="s">
        <v>12</v>
      </c>
      <c r="F6448" s="2" t="s">
        <v>12</v>
      </c>
      <c r="G6448" s="2" t="s">
        <v>12</v>
      </c>
      <c r="H6448" s="2" t="s">
        <v>12</v>
      </c>
      <c r="I6448" s="2" t="s">
        <v>12</v>
      </c>
      <c r="J6448" s="2" t="s">
        <v>12</v>
      </c>
      <c r="K6448" s="2" t="s">
        <v>12</v>
      </c>
    </row>
    <row r="6449" spans="1:11" ht="12.5" x14ac:dyDescent="0.25">
      <c r="A6449" s="3" t="e">
        <f ca="1"/>
        <v>#NAME?</v>
      </c>
      <c r="B6449" s="2" t="s">
        <v>12</v>
      </c>
      <c r="C6449" s="2" t="s">
        <v>12</v>
      </c>
      <c r="D6449" s="2" t="s">
        <v>12</v>
      </c>
      <c r="E6449" s="2" t="s">
        <v>12</v>
      </c>
      <c r="F6449" s="2" t="s">
        <v>12</v>
      </c>
      <c r="G6449" s="2" t="s">
        <v>12</v>
      </c>
      <c r="H6449" s="2" t="s">
        <v>12</v>
      </c>
      <c r="I6449" s="2" t="s">
        <v>12</v>
      </c>
      <c r="J6449" s="2" t="s">
        <v>12</v>
      </c>
      <c r="K6449" s="2" t="s">
        <v>12</v>
      </c>
    </row>
    <row r="6450" spans="1:11" ht="12.5" x14ac:dyDescent="0.25">
      <c r="A6450" s="3" t="e">
        <f ca="1"/>
        <v>#NAME?</v>
      </c>
      <c r="B6450" s="2" t="s">
        <v>12</v>
      </c>
      <c r="C6450" s="2" t="s">
        <v>12</v>
      </c>
      <c r="D6450" s="2" t="s">
        <v>12</v>
      </c>
      <c r="E6450" s="2" t="s">
        <v>12</v>
      </c>
      <c r="F6450" s="2" t="s">
        <v>12</v>
      </c>
      <c r="G6450" s="2" t="s">
        <v>12</v>
      </c>
      <c r="H6450" s="2" t="s">
        <v>12</v>
      </c>
      <c r="I6450" s="2" t="s">
        <v>12</v>
      </c>
      <c r="J6450" s="2" t="s">
        <v>12</v>
      </c>
      <c r="K6450" s="2" t="s">
        <v>12</v>
      </c>
    </row>
    <row r="6451" spans="1:11" ht="12.5" x14ac:dyDescent="0.25">
      <c r="A6451" s="3" t="e">
        <f ca="1"/>
        <v>#NAME?</v>
      </c>
      <c r="B6451" s="2" t="s">
        <v>12</v>
      </c>
      <c r="C6451" s="2" t="s">
        <v>12</v>
      </c>
      <c r="D6451" s="2" t="s">
        <v>12</v>
      </c>
      <c r="E6451" s="2" t="s">
        <v>12</v>
      </c>
      <c r="F6451" s="2" t="s">
        <v>12</v>
      </c>
      <c r="G6451" s="2" t="s">
        <v>12</v>
      </c>
      <c r="H6451" s="2" t="s">
        <v>12</v>
      </c>
      <c r="I6451" s="2" t="s">
        <v>12</v>
      </c>
      <c r="J6451" s="2" t="s">
        <v>12</v>
      </c>
      <c r="K6451" s="2" t="s">
        <v>12</v>
      </c>
    </row>
    <row r="6452" spans="1:11" ht="12.5" x14ac:dyDescent="0.25">
      <c r="A6452" s="3" t="e">
        <f ca="1"/>
        <v>#NAME?</v>
      </c>
      <c r="B6452" s="2" t="s">
        <v>12</v>
      </c>
      <c r="C6452" s="2" t="s">
        <v>12</v>
      </c>
      <c r="D6452" s="2" t="s">
        <v>12</v>
      </c>
      <c r="E6452" s="2" t="s">
        <v>12</v>
      </c>
      <c r="F6452" s="2" t="s">
        <v>12</v>
      </c>
      <c r="G6452" s="2" t="s">
        <v>12</v>
      </c>
      <c r="H6452" s="2" t="s">
        <v>12</v>
      </c>
      <c r="I6452" s="2" t="s">
        <v>12</v>
      </c>
      <c r="J6452" s="2" t="s">
        <v>12</v>
      </c>
      <c r="K6452" s="2" t="s">
        <v>12</v>
      </c>
    </row>
    <row r="6453" spans="1:11" ht="12.5" x14ac:dyDescent="0.25">
      <c r="A6453" s="3" t="e">
        <f ca="1"/>
        <v>#NAME?</v>
      </c>
      <c r="B6453" s="2" t="s">
        <v>12</v>
      </c>
      <c r="C6453" s="2" t="s">
        <v>12</v>
      </c>
      <c r="D6453" s="2" t="s">
        <v>12</v>
      </c>
      <c r="E6453" s="2" t="s">
        <v>12</v>
      </c>
      <c r="F6453" s="2" t="s">
        <v>12</v>
      </c>
      <c r="G6453" s="2" t="s">
        <v>12</v>
      </c>
      <c r="H6453" s="2" t="s">
        <v>12</v>
      </c>
      <c r="I6453" s="2" t="s">
        <v>12</v>
      </c>
      <c r="J6453" s="2" t="s">
        <v>12</v>
      </c>
      <c r="K6453" s="2" t="s">
        <v>12</v>
      </c>
    </row>
    <row r="6454" spans="1:11" ht="12.5" x14ac:dyDescent="0.25">
      <c r="A6454" s="3" t="e">
        <f ca="1"/>
        <v>#NAME?</v>
      </c>
      <c r="B6454" s="2" t="s">
        <v>12</v>
      </c>
      <c r="C6454" s="2" t="s">
        <v>12</v>
      </c>
      <c r="D6454" s="2" t="s">
        <v>12</v>
      </c>
      <c r="E6454" s="2" t="s">
        <v>12</v>
      </c>
      <c r="F6454" s="2" t="s">
        <v>12</v>
      </c>
      <c r="G6454" s="2" t="s">
        <v>12</v>
      </c>
      <c r="H6454" s="2" t="s">
        <v>12</v>
      </c>
      <c r="I6454" s="2" t="s">
        <v>12</v>
      </c>
      <c r="J6454" s="2" t="s">
        <v>12</v>
      </c>
      <c r="K6454" s="2" t="s">
        <v>12</v>
      </c>
    </row>
    <row r="6455" spans="1:11" ht="12.5" x14ac:dyDescent="0.25">
      <c r="A6455" s="3" t="e">
        <f ca="1"/>
        <v>#NAME?</v>
      </c>
      <c r="B6455" s="2" t="s">
        <v>12</v>
      </c>
      <c r="C6455" s="2" t="s">
        <v>12</v>
      </c>
      <c r="D6455" s="2" t="s">
        <v>12</v>
      </c>
      <c r="E6455" s="2" t="s">
        <v>12</v>
      </c>
      <c r="F6455" s="2" t="s">
        <v>12</v>
      </c>
      <c r="G6455" s="2" t="s">
        <v>12</v>
      </c>
      <c r="H6455" s="2" t="s">
        <v>12</v>
      </c>
      <c r="I6455" s="2" t="s">
        <v>12</v>
      </c>
      <c r="J6455" s="2" t="s">
        <v>12</v>
      </c>
      <c r="K6455" s="2" t="s">
        <v>12</v>
      </c>
    </row>
    <row r="6456" spans="1:11" ht="12.5" x14ac:dyDescent="0.25">
      <c r="A6456" s="3" t="e">
        <f ca="1"/>
        <v>#NAME?</v>
      </c>
      <c r="B6456" s="2" t="s">
        <v>12</v>
      </c>
      <c r="C6456" s="2" t="s">
        <v>12</v>
      </c>
      <c r="D6456" s="2" t="s">
        <v>12</v>
      </c>
      <c r="E6456" s="2" t="s">
        <v>12</v>
      </c>
      <c r="F6456" s="2" t="s">
        <v>12</v>
      </c>
      <c r="G6456" s="2" t="s">
        <v>12</v>
      </c>
      <c r="H6456" s="2" t="s">
        <v>12</v>
      </c>
      <c r="I6456" s="2" t="s">
        <v>12</v>
      </c>
      <c r="J6456" s="2" t="s">
        <v>12</v>
      </c>
      <c r="K6456" s="2" t="s">
        <v>12</v>
      </c>
    </row>
    <row r="6457" spans="1:11" ht="12.5" x14ac:dyDescent="0.25">
      <c r="A6457" s="3" t="e">
        <f ca="1"/>
        <v>#NAME?</v>
      </c>
      <c r="B6457" s="2" t="s">
        <v>12</v>
      </c>
      <c r="C6457" s="2" t="s">
        <v>12</v>
      </c>
      <c r="D6457" s="2" t="s">
        <v>12</v>
      </c>
      <c r="E6457" s="2" t="s">
        <v>12</v>
      </c>
      <c r="F6457" s="2" t="s">
        <v>12</v>
      </c>
      <c r="G6457" s="2" t="s">
        <v>12</v>
      </c>
      <c r="H6457" s="2" t="s">
        <v>12</v>
      </c>
      <c r="I6457" s="2" t="s">
        <v>12</v>
      </c>
      <c r="J6457" s="2" t="s">
        <v>12</v>
      </c>
      <c r="K6457" s="2" t="s">
        <v>12</v>
      </c>
    </row>
    <row r="6458" spans="1:11" ht="12.5" x14ac:dyDescent="0.25">
      <c r="A6458" s="3" t="e">
        <f ca="1"/>
        <v>#NAME?</v>
      </c>
      <c r="B6458" s="2" t="s">
        <v>12</v>
      </c>
      <c r="C6458" s="2" t="s">
        <v>12</v>
      </c>
      <c r="D6458" s="2" t="s">
        <v>12</v>
      </c>
      <c r="E6458" s="2" t="s">
        <v>12</v>
      </c>
      <c r="F6458" s="2" t="s">
        <v>12</v>
      </c>
      <c r="G6458" s="2" t="s">
        <v>12</v>
      </c>
      <c r="H6458" s="2" t="s">
        <v>12</v>
      </c>
      <c r="I6458" s="2" t="s">
        <v>12</v>
      </c>
      <c r="J6458" s="2" t="s">
        <v>12</v>
      </c>
      <c r="K6458" s="2" t="s">
        <v>12</v>
      </c>
    </row>
    <row r="6459" spans="1:11" ht="12.5" x14ac:dyDescent="0.25">
      <c r="A6459" s="3" t="e">
        <f ca="1"/>
        <v>#NAME?</v>
      </c>
      <c r="B6459" s="2" t="s">
        <v>12</v>
      </c>
      <c r="C6459" s="2" t="s">
        <v>12</v>
      </c>
      <c r="D6459" s="2" t="s">
        <v>12</v>
      </c>
      <c r="E6459" s="2" t="s">
        <v>12</v>
      </c>
      <c r="F6459" s="2" t="s">
        <v>12</v>
      </c>
      <c r="G6459" s="2" t="s">
        <v>12</v>
      </c>
      <c r="H6459" s="2" t="s">
        <v>12</v>
      </c>
      <c r="I6459" s="2" t="s">
        <v>12</v>
      </c>
      <c r="J6459" s="2" t="s">
        <v>12</v>
      </c>
      <c r="K6459" s="2" t="s">
        <v>12</v>
      </c>
    </row>
    <row r="6460" spans="1:11" ht="12.5" x14ac:dyDescent="0.25">
      <c r="A6460" s="3" t="e">
        <f ca="1"/>
        <v>#NAME?</v>
      </c>
      <c r="B6460" s="2" t="s">
        <v>12</v>
      </c>
      <c r="C6460" s="2" t="s">
        <v>12</v>
      </c>
      <c r="D6460" s="2" t="s">
        <v>12</v>
      </c>
      <c r="E6460" s="2" t="s">
        <v>12</v>
      </c>
      <c r="F6460" s="2" t="s">
        <v>12</v>
      </c>
      <c r="G6460" s="2" t="s">
        <v>12</v>
      </c>
      <c r="H6460" s="2" t="s">
        <v>12</v>
      </c>
      <c r="I6460" s="2" t="s">
        <v>12</v>
      </c>
      <c r="J6460" s="2" t="s">
        <v>12</v>
      </c>
      <c r="K6460" s="2" t="s">
        <v>12</v>
      </c>
    </row>
    <row r="6461" spans="1:11" ht="12.5" x14ac:dyDescent="0.25">
      <c r="A6461" s="3" t="e">
        <f ca="1"/>
        <v>#NAME?</v>
      </c>
      <c r="B6461" s="2" t="s">
        <v>12</v>
      </c>
      <c r="C6461" s="2" t="s">
        <v>12</v>
      </c>
      <c r="D6461" s="2" t="s">
        <v>12</v>
      </c>
      <c r="E6461" s="2" t="s">
        <v>12</v>
      </c>
      <c r="F6461" s="2" t="s">
        <v>12</v>
      </c>
      <c r="G6461" s="2" t="s">
        <v>12</v>
      </c>
      <c r="H6461" s="2" t="s">
        <v>12</v>
      </c>
      <c r="I6461" s="2" t="s">
        <v>12</v>
      </c>
      <c r="J6461" s="2" t="s">
        <v>12</v>
      </c>
      <c r="K6461" s="2" t="s">
        <v>12</v>
      </c>
    </row>
    <row r="6462" spans="1:11" ht="12.5" x14ac:dyDescent="0.25">
      <c r="A6462" s="3" t="e">
        <f ca="1"/>
        <v>#NAME?</v>
      </c>
      <c r="B6462" s="2" t="s">
        <v>12</v>
      </c>
      <c r="C6462" s="2" t="s">
        <v>12</v>
      </c>
      <c r="D6462" s="2" t="s">
        <v>12</v>
      </c>
      <c r="E6462" s="2" t="s">
        <v>12</v>
      </c>
      <c r="F6462" s="2" t="s">
        <v>12</v>
      </c>
      <c r="G6462" s="2" t="s">
        <v>12</v>
      </c>
      <c r="H6462" s="2" t="s">
        <v>12</v>
      </c>
      <c r="I6462" s="2" t="s">
        <v>12</v>
      </c>
      <c r="J6462" s="2" t="s">
        <v>12</v>
      </c>
      <c r="K6462" s="2" t="s">
        <v>12</v>
      </c>
    </row>
    <row r="6463" spans="1:11" ht="12.5" x14ac:dyDescent="0.25">
      <c r="A6463" s="3" t="e">
        <f ca="1"/>
        <v>#NAME?</v>
      </c>
      <c r="B6463" s="2" t="s">
        <v>12</v>
      </c>
      <c r="C6463" s="2" t="s">
        <v>12</v>
      </c>
      <c r="D6463" s="2" t="s">
        <v>12</v>
      </c>
      <c r="E6463" s="2" t="s">
        <v>12</v>
      </c>
      <c r="F6463" s="2" t="s">
        <v>12</v>
      </c>
      <c r="G6463" s="2" t="s">
        <v>12</v>
      </c>
      <c r="H6463" s="2" t="s">
        <v>12</v>
      </c>
      <c r="I6463" s="2" t="s">
        <v>12</v>
      </c>
      <c r="J6463" s="2" t="s">
        <v>12</v>
      </c>
      <c r="K6463" s="2" t="s">
        <v>12</v>
      </c>
    </row>
    <row r="6464" spans="1:11" ht="12.5" x14ac:dyDescent="0.25">
      <c r="A6464" s="3" t="e">
        <f ca="1"/>
        <v>#NAME?</v>
      </c>
      <c r="B6464" s="2" t="s">
        <v>12</v>
      </c>
      <c r="C6464" s="2" t="s">
        <v>12</v>
      </c>
      <c r="D6464" s="2" t="s">
        <v>12</v>
      </c>
      <c r="E6464" s="2" t="s">
        <v>12</v>
      </c>
      <c r="F6464" s="2" t="s">
        <v>12</v>
      </c>
      <c r="G6464" s="2" t="s">
        <v>12</v>
      </c>
      <c r="H6464" s="2" t="s">
        <v>12</v>
      </c>
      <c r="I6464" s="2" t="s">
        <v>12</v>
      </c>
      <c r="J6464" s="2" t="s">
        <v>12</v>
      </c>
      <c r="K6464" s="2" t="s">
        <v>12</v>
      </c>
    </row>
    <row r="6465" spans="1:11" ht="12.5" x14ac:dyDescent="0.25">
      <c r="A6465" s="3" t="e">
        <f ca="1"/>
        <v>#NAME?</v>
      </c>
      <c r="B6465" s="2" t="s">
        <v>12</v>
      </c>
      <c r="C6465" s="2" t="s">
        <v>12</v>
      </c>
      <c r="D6465" s="2" t="s">
        <v>12</v>
      </c>
      <c r="E6465" s="2" t="s">
        <v>12</v>
      </c>
      <c r="F6465" s="2" t="s">
        <v>12</v>
      </c>
      <c r="G6465" s="2" t="s">
        <v>12</v>
      </c>
      <c r="H6465" s="2" t="s">
        <v>12</v>
      </c>
      <c r="I6465" s="2" t="s">
        <v>12</v>
      </c>
      <c r="J6465" s="2" t="s">
        <v>12</v>
      </c>
      <c r="K6465" s="2" t="s">
        <v>12</v>
      </c>
    </row>
    <row r="6466" spans="1:11" ht="12.5" x14ac:dyDescent="0.25">
      <c r="A6466" s="3" t="e">
        <f ca="1"/>
        <v>#NAME?</v>
      </c>
      <c r="B6466" s="2" t="s">
        <v>12</v>
      </c>
      <c r="C6466" s="2" t="s">
        <v>12</v>
      </c>
      <c r="D6466" s="2" t="s">
        <v>12</v>
      </c>
      <c r="E6466" s="2" t="s">
        <v>12</v>
      </c>
      <c r="F6466" s="2" t="s">
        <v>12</v>
      </c>
      <c r="G6466" s="2" t="s">
        <v>12</v>
      </c>
      <c r="H6466" s="2" t="s">
        <v>12</v>
      </c>
      <c r="I6466" s="2" t="s">
        <v>12</v>
      </c>
      <c r="J6466" s="2" t="s">
        <v>12</v>
      </c>
      <c r="K6466" s="2" t="s">
        <v>12</v>
      </c>
    </row>
    <row r="6467" spans="1:11" ht="12.5" x14ac:dyDescent="0.25">
      <c r="A6467" s="3" t="e">
        <f ca="1"/>
        <v>#NAME?</v>
      </c>
      <c r="B6467" s="2" t="s">
        <v>12</v>
      </c>
      <c r="C6467" s="2" t="s">
        <v>12</v>
      </c>
      <c r="D6467" s="2" t="s">
        <v>12</v>
      </c>
      <c r="E6467" s="2" t="s">
        <v>12</v>
      </c>
      <c r="F6467" s="2" t="s">
        <v>12</v>
      </c>
      <c r="G6467" s="2" t="s">
        <v>12</v>
      </c>
      <c r="H6467" s="2" t="s">
        <v>12</v>
      </c>
      <c r="I6467" s="2" t="s">
        <v>12</v>
      </c>
      <c r="J6467" s="2" t="s">
        <v>12</v>
      </c>
      <c r="K6467" s="2" t="s">
        <v>12</v>
      </c>
    </row>
    <row r="6468" spans="1:11" ht="12.5" x14ac:dyDescent="0.25">
      <c r="A6468" s="3" t="e">
        <f ca="1"/>
        <v>#NAME?</v>
      </c>
      <c r="B6468" s="2" t="s">
        <v>12</v>
      </c>
      <c r="C6468" s="2" t="s">
        <v>12</v>
      </c>
      <c r="D6468" s="2" t="s">
        <v>12</v>
      </c>
      <c r="E6468" s="2" t="s">
        <v>12</v>
      </c>
      <c r="F6468" s="2" t="s">
        <v>12</v>
      </c>
      <c r="G6468" s="2" t="s">
        <v>12</v>
      </c>
      <c r="H6468" s="2" t="s">
        <v>12</v>
      </c>
      <c r="I6468" s="2" t="s">
        <v>12</v>
      </c>
      <c r="J6468" s="2" t="s">
        <v>12</v>
      </c>
      <c r="K6468" s="2" t="s">
        <v>12</v>
      </c>
    </row>
    <row r="6469" spans="1:11" ht="12.5" x14ac:dyDescent="0.25">
      <c r="A6469" s="3" t="e">
        <f ca="1"/>
        <v>#NAME?</v>
      </c>
      <c r="B6469" s="2" t="s">
        <v>12</v>
      </c>
      <c r="C6469" s="2" t="s">
        <v>12</v>
      </c>
      <c r="D6469" s="2" t="s">
        <v>12</v>
      </c>
      <c r="E6469" s="2" t="s">
        <v>12</v>
      </c>
      <c r="F6469" s="2" t="s">
        <v>12</v>
      </c>
      <c r="G6469" s="2" t="s">
        <v>12</v>
      </c>
      <c r="H6469" s="2" t="s">
        <v>12</v>
      </c>
      <c r="I6469" s="2" t="s">
        <v>12</v>
      </c>
      <c r="J6469" s="2" t="s">
        <v>12</v>
      </c>
      <c r="K6469" s="2" t="s">
        <v>12</v>
      </c>
    </row>
    <row r="6470" spans="1:11" ht="12.5" x14ac:dyDescent="0.25">
      <c r="A6470" s="3" t="e">
        <f ca="1"/>
        <v>#NAME?</v>
      </c>
      <c r="B6470" s="2" t="s">
        <v>12</v>
      </c>
      <c r="C6470" s="2" t="s">
        <v>12</v>
      </c>
      <c r="D6470" s="2" t="s">
        <v>12</v>
      </c>
      <c r="E6470" s="2" t="s">
        <v>12</v>
      </c>
      <c r="F6470" s="2" t="s">
        <v>12</v>
      </c>
      <c r="G6470" s="2" t="s">
        <v>12</v>
      </c>
      <c r="H6470" s="2" t="s">
        <v>12</v>
      </c>
      <c r="I6470" s="2" t="s">
        <v>12</v>
      </c>
      <c r="J6470" s="2" t="s">
        <v>12</v>
      </c>
      <c r="K6470" s="2" t="s">
        <v>12</v>
      </c>
    </row>
    <row r="6471" spans="1:11" ht="12.5" x14ac:dyDescent="0.25">
      <c r="A6471" s="3" t="e">
        <f ca="1"/>
        <v>#NAME?</v>
      </c>
      <c r="B6471" s="2" t="s">
        <v>12</v>
      </c>
      <c r="C6471" s="2" t="s">
        <v>12</v>
      </c>
      <c r="D6471" s="2" t="s">
        <v>12</v>
      </c>
      <c r="E6471" s="2" t="s">
        <v>12</v>
      </c>
      <c r="F6471" s="2" t="s">
        <v>12</v>
      </c>
      <c r="G6471" s="2" t="s">
        <v>12</v>
      </c>
      <c r="H6471" s="2" t="s">
        <v>12</v>
      </c>
      <c r="I6471" s="2" t="s">
        <v>12</v>
      </c>
      <c r="J6471" s="2" t="s">
        <v>12</v>
      </c>
      <c r="K6471" s="2" t="s">
        <v>12</v>
      </c>
    </row>
    <row r="6472" spans="1:11" ht="12.5" x14ac:dyDescent="0.25">
      <c r="A6472" s="3" t="e">
        <f ca="1"/>
        <v>#NAME?</v>
      </c>
      <c r="B6472" s="2" t="s">
        <v>12</v>
      </c>
      <c r="C6472" s="2" t="s">
        <v>12</v>
      </c>
      <c r="D6472" s="2" t="s">
        <v>12</v>
      </c>
      <c r="E6472" s="2" t="s">
        <v>12</v>
      </c>
      <c r="F6472" s="2" t="s">
        <v>12</v>
      </c>
      <c r="G6472" s="2" t="s">
        <v>12</v>
      </c>
      <c r="H6472" s="2" t="s">
        <v>12</v>
      </c>
      <c r="I6472" s="2" t="s">
        <v>12</v>
      </c>
      <c r="J6472" s="2" t="s">
        <v>12</v>
      </c>
      <c r="K6472" s="2" t="s">
        <v>12</v>
      </c>
    </row>
    <row r="6473" spans="1:11" ht="12.5" x14ac:dyDescent="0.25">
      <c r="A6473" s="3" t="e">
        <f ca="1"/>
        <v>#NAME?</v>
      </c>
      <c r="B6473" s="2" t="s">
        <v>12</v>
      </c>
      <c r="C6473" s="2" t="s">
        <v>12</v>
      </c>
      <c r="D6473" s="2" t="s">
        <v>12</v>
      </c>
      <c r="E6473" s="2" t="s">
        <v>12</v>
      </c>
      <c r="F6473" s="2" t="s">
        <v>12</v>
      </c>
      <c r="G6473" s="2" t="s">
        <v>12</v>
      </c>
      <c r="H6473" s="2" t="s">
        <v>12</v>
      </c>
      <c r="I6473" s="2" t="s">
        <v>12</v>
      </c>
      <c r="J6473" s="2" t="s">
        <v>12</v>
      </c>
      <c r="K6473" s="2" t="s">
        <v>12</v>
      </c>
    </row>
    <row r="6474" spans="1:11" ht="12.5" x14ac:dyDescent="0.25">
      <c r="A6474" s="3" t="e">
        <f ca="1"/>
        <v>#NAME?</v>
      </c>
      <c r="B6474" s="2" t="s">
        <v>12</v>
      </c>
      <c r="C6474" s="2" t="s">
        <v>12</v>
      </c>
      <c r="D6474" s="2" t="s">
        <v>12</v>
      </c>
      <c r="E6474" s="2" t="s">
        <v>12</v>
      </c>
      <c r="F6474" s="2" t="s">
        <v>12</v>
      </c>
      <c r="G6474" s="2" t="s">
        <v>12</v>
      </c>
      <c r="H6474" s="2" t="s">
        <v>12</v>
      </c>
      <c r="I6474" s="2" t="s">
        <v>12</v>
      </c>
      <c r="J6474" s="2" t="s">
        <v>12</v>
      </c>
      <c r="K6474" s="2" t="s">
        <v>12</v>
      </c>
    </row>
    <row r="6475" spans="1:11" ht="12.5" x14ac:dyDescent="0.25">
      <c r="A6475" s="3" t="e">
        <f ca="1"/>
        <v>#NAME?</v>
      </c>
      <c r="B6475" s="2" t="s">
        <v>12</v>
      </c>
      <c r="C6475" s="2" t="s">
        <v>12</v>
      </c>
      <c r="D6475" s="2" t="s">
        <v>12</v>
      </c>
      <c r="E6475" s="2" t="s">
        <v>12</v>
      </c>
      <c r="F6475" s="2" t="s">
        <v>12</v>
      </c>
      <c r="G6475" s="2" t="s">
        <v>12</v>
      </c>
      <c r="H6475" s="2" t="s">
        <v>12</v>
      </c>
      <c r="I6475" s="2" t="s">
        <v>12</v>
      </c>
      <c r="J6475" s="2" t="s">
        <v>12</v>
      </c>
      <c r="K6475" s="2" t="s">
        <v>12</v>
      </c>
    </row>
    <row r="6476" spans="1:11" ht="12.5" x14ac:dyDescent="0.25">
      <c r="A6476" s="3" t="e">
        <f ca="1"/>
        <v>#NAME?</v>
      </c>
      <c r="B6476" s="2" t="s">
        <v>12</v>
      </c>
      <c r="C6476" s="2" t="s">
        <v>12</v>
      </c>
      <c r="D6476" s="2" t="s">
        <v>12</v>
      </c>
      <c r="E6476" s="2" t="s">
        <v>12</v>
      </c>
      <c r="F6476" s="2" t="s">
        <v>12</v>
      </c>
      <c r="G6476" s="2" t="s">
        <v>12</v>
      </c>
      <c r="H6476" s="2" t="s">
        <v>12</v>
      </c>
      <c r="I6476" s="2" t="s">
        <v>12</v>
      </c>
      <c r="J6476" s="2" t="s">
        <v>12</v>
      </c>
      <c r="K6476" s="2" t="s">
        <v>12</v>
      </c>
    </row>
    <row r="6477" spans="1:11" ht="12.5" x14ac:dyDescent="0.25">
      <c r="A6477" s="3" t="e">
        <f ca="1"/>
        <v>#NAME?</v>
      </c>
      <c r="B6477" s="2" t="s">
        <v>12</v>
      </c>
      <c r="C6477" s="2" t="s">
        <v>12</v>
      </c>
      <c r="D6477" s="2" t="s">
        <v>12</v>
      </c>
      <c r="E6477" s="2" t="s">
        <v>12</v>
      </c>
      <c r="F6477" s="2" t="s">
        <v>12</v>
      </c>
      <c r="G6477" s="2" t="s">
        <v>12</v>
      </c>
      <c r="H6477" s="2" t="s">
        <v>12</v>
      </c>
      <c r="I6477" s="2" t="s">
        <v>12</v>
      </c>
      <c r="J6477" s="2" t="s">
        <v>12</v>
      </c>
      <c r="K6477" s="2" t="s">
        <v>12</v>
      </c>
    </row>
    <row r="6478" spans="1:11" ht="12.5" x14ac:dyDescent="0.25">
      <c r="A6478" s="3" t="e">
        <f ca="1"/>
        <v>#NAME?</v>
      </c>
      <c r="B6478" s="2" t="s">
        <v>12</v>
      </c>
      <c r="C6478" s="2" t="s">
        <v>12</v>
      </c>
      <c r="D6478" s="2" t="s">
        <v>12</v>
      </c>
      <c r="E6478" s="2" t="s">
        <v>12</v>
      </c>
      <c r="F6478" s="2" t="s">
        <v>12</v>
      </c>
      <c r="G6478" s="2" t="s">
        <v>12</v>
      </c>
      <c r="H6478" s="2" t="s">
        <v>12</v>
      </c>
      <c r="I6478" s="2" t="s">
        <v>12</v>
      </c>
      <c r="J6478" s="2" t="s">
        <v>12</v>
      </c>
      <c r="K6478" s="2" t="s">
        <v>12</v>
      </c>
    </row>
    <row r="6479" spans="1:11" ht="12.5" x14ac:dyDescent="0.25">
      <c r="A6479" s="3" t="e">
        <f ca="1"/>
        <v>#NAME?</v>
      </c>
      <c r="B6479" s="2" t="s">
        <v>12</v>
      </c>
      <c r="C6479" s="2" t="s">
        <v>12</v>
      </c>
      <c r="D6479" s="2" t="s">
        <v>12</v>
      </c>
      <c r="E6479" s="2" t="s">
        <v>12</v>
      </c>
      <c r="F6479" s="2" t="s">
        <v>12</v>
      </c>
      <c r="G6479" s="2" t="s">
        <v>12</v>
      </c>
      <c r="H6479" s="2" t="s">
        <v>12</v>
      </c>
      <c r="I6479" s="2" t="s">
        <v>12</v>
      </c>
      <c r="J6479" s="2" t="s">
        <v>12</v>
      </c>
      <c r="K6479" s="2" t="s">
        <v>12</v>
      </c>
    </row>
    <row r="6480" spans="1:11" ht="12.5" x14ac:dyDescent="0.25">
      <c r="A6480" s="3" t="e">
        <f ca="1"/>
        <v>#NAME?</v>
      </c>
      <c r="B6480" s="2" t="s">
        <v>12</v>
      </c>
      <c r="C6480" s="2" t="s">
        <v>12</v>
      </c>
      <c r="D6480" s="2" t="s">
        <v>12</v>
      </c>
      <c r="E6480" s="2" t="s">
        <v>12</v>
      </c>
      <c r="F6480" s="2" t="s">
        <v>12</v>
      </c>
      <c r="G6480" s="2" t="s">
        <v>12</v>
      </c>
      <c r="H6480" s="2" t="s">
        <v>12</v>
      </c>
      <c r="I6480" s="2" t="s">
        <v>12</v>
      </c>
      <c r="J6480" s="2" t="s">
        <v>12</v>
      </c>
      <c r="K6480" s="2" t="s">
        <v>12</v>
      </c>
    </row>
    <row r="6481" spans="1:11" ht="12.5" x14ac:dyDescent="0.25">
      <c r="A6481" s="3" t="e">
        <f ca="1"/>
        <v>#NAME?</v>
      </c>
      <c r="B6481" s="2" t="s">
        <v>12</v>
      </c>
      <c r="C6481" s="2" t="s">
        <v>12</v>
      </c>
      <c r="D6481" s="2" t="s">
        <v>12</v>
      </c>
      <c r="E6481" s="2" t="s">
        <v>12</v>
      </c>
      <c r="F6481" s="2" t="s">
        <v>12</v>
      </c>
      <c r="G6481" s="2" t="s">
        <v>12</v>
      </c>
      <c r="H6481" s="2" t="s">
        <v>12</v>
      </c>
      <c r="I6481" s="2" t="s">
        <v>12</v>
      </c>
      <c r="J6481" s="2" t="s">
        <v>12</v>
      </c>
      <c r="K6481" s="2" t="s">
        <v>12</v>
      </c>
    </row>
    <row r="6482" spans="1:11" ht="12.5" x14ac:dyDescent="0.25">
      <c r="A6482" s="3" t="e">
        <f ca="1"/>
        <v>#NAME?</v>
      </c>
      <c r="B6482" s="2" t="s">
        <v>12</v>
      </c>
      <c r="C6482" s="2" t="s">
        <v>12</v>
      </c>
      <c r="D6482" s="2" t="s">
        <v>12</v>
      </c>
      <c r="E6482" s="2" t="s">
        <v>12</v>
      </c>
      <c r="F6482" s="2" t="s">
        <v>12</v>
      </c>
      <c r="G6482" s="2" t="s">
        <v>12</v>
      </c>
      <c r="H6482" s="2" t="s">
        <v>12</v>
      </c>
      <c r="I6482" s="2" t="s">
        <v>12</v>
      </c>
      <c r="J6482" s="2" t="s">
        <v>12</v>
      </c>
      <c r="K6482" s="2" t="s">
        <v>12</v>
      </c>
    </row>
    <row r="6483" spans="1:11" ht="12.5" x14ac:dyDescent="0.25">
      <c r="A6483" s="3" t="e">
        <f ca="1"/>
        <v>#NAME?</v>
      </c>
      <c r="B6483" s="2" t="s">
        <v>12</v>
      </c>
      <c r="C6483" s="2" t="s">
        <v>12</v>
      </c>
      <c r="D6483" s="2" t="s">
        <v>12</v>
      </c>
      <c r="E6483" s="2" t="s">
        <v>12</v>
      </c>
      <c r="F6483" s="2" t="s">
        <v>12</v>
      </c>
      <c r="G6483" s="2" t="s">
        <v>12</v>
      </c>
      <c r="H6483" s="2" t="s">
        <v>12</v>
      </c>
      <c r="I6483" s="2" t="s">
        <v>12</v>
      </c>
      <c r="J6483" s="2" t="s">
        <v>12</v>
      </c>
      <c r="K6483" s="2" t="s">
        <v>12</v>
      </c>
    </row>
    <row r="6484" spans="1:11" ht="12.5" x14ac:dyDescent="0.25">
      <c r="A6484" s="3" t="e">
        <f ca="1"/>
        <v>#NAME?</v>
      </c>
      <c r="B6484" s="2" t="s">
        <v>12</v>
      </c>
      <c r="C6484" s="2" t="s">
        <v>12</v>
      </c>
      <c r="D6484" s="2" t="s">
        <v>12</v>
      </c>
      <c r="E6484" s="2" t="s">
        <v>12</v>
      </c>
      <c r="F6484" s="2" t="s">
        <v>12</v>
      </c>
      <c r="G6484" s="2" t="s">
        <v>12</v>
      </c>
      <c r="H6484" s="2" t="s">
        <v>12</v>
      </c>
      <c r="I6484" s="2" t="s">
        <v>12</v>
      </c>
      <c r="J6484" s="2" t="s">
        <v>12</v>
      </c>
      <c r="K6484" s="2" t="s">
        <v>12</v>
      </c>
    </row>
    <row r="6485" spans="1:11" ht="12.5" x14ac:dyDescent="0.25">
      <c r="A6485" s="3" t="e">
        <f ca="1"/>
        <v>#NAME?</v>
      </c>
      <c r="B6485" s="2" t="s">
        <v>12</v>
      </c>
      <c r="C6485" s="2" t="s">
        <v>12</v>
      </c>
      <c r="D6485" s="2" t="s">
        <v>12</v>
      </c>
      <c r="E6485" s="2" t="s">
        <v>12</v>
      </c>
      <c r="F6485" s="2" t="s">
        <v>12</v>
      </c>
      <c r="G6485" s="2" t="s">
        <v>12</v>
      </c>
      <c r="H6485" s="2" t="s">
        <v>12</v>
      </c>
      <c r="I6485" s="2" t="s">
        <v>12</v>
      </c>
      <c r="J6485" s="2" t="s">
        <v>12</v>
      </c>
      <c r="K6485" s="2" t="s">
        <v>12</v>
      </c>
    </row>
    <row r="6486" spans="1:11" ht="12.5" x14ac:dyDescent="0.25">
      <c r="A6486" s="3" t="e">
        <f ca="1"/>
        <v>#NAME?</v>
      </c>
      <c r="B6486" s="2" t="s">
        <v>12</v>
      </c>
      <c r="C6486" s="2" t="s">
        <v>12</v>
      </c>
      <c r="D6486" s="2" t="s">
        <v>12</v>
      </c>
      <c r="E6486" s="2" t="s">
        <v>12</v>
      </c>
      <c r="F6486" s="2" t="s">
        <v>12</v>
      </c>
      <c r="G6486" s="2" t="s">
        <v>12</v>
      </c>
      <c r="H6486" s="2" t="s">
        <v>12</v>
      </c>
      <c r="I6486" s="2" t="s">
        <v>12</v>
      </c>
      <c r="J6486" s="2" t="s">
        <v>12</v>
      </c>
      <c r="K6486" s="2" t="s">
        <v>12</v>
      </c>
    </row>
    <row r="6487" spans="1:11" ht="12.5" x14ac:dyDescent="0.25">
      <c r="A6487" s="3" t="e">
        <f ca="1"/>
        <v>#NAME?</v>
      </c>
      <c r="B6487" s="2" t="s">
        <v>12</v>
      </c>
      <c r="C6487" s="2" t="s">
        <v>12</v>
      </c>
      <c r="D6487" s="2" t="s">
        <v>12</v>
      </c>
      <c r="E6487" s="2" t="s">
        <v>12</v>
      </c>
      <c r="F6487" s="2" t="s">
        <v>12</v>
      </c>
      <c r="G6487" s="2" t="s">
        <v>12</v>
      </c>
      <c r="H6487" s="2" t="s">
        <v>12</v>
      </c>
      <c r="I6487" s="2" t="s">
        <v>12</v>
      </c>
      <c r="J6487" s="2" t="s">
        <v>12</v>
      </c>
      <c r="K6487" s="2" t="s">
        <v>12</v>
      </c>
    </row>
    <row r="6488" spans="1:11" ht="12.5" x14ac:dyDescent="0.25">
      <c r="A6488" s="3" t="e">
        <f ca="1"/>
        <v>#NAME?</v>
      </c>
      <c r="B6488" s="2" t="s">
        <v>12</v>
      </c>
      <c r="C6488" s="2" t="s">
        <v>12</v>
      </c>
      <c r="D6488" s="2" t="s">
        <v>12</v>
      </c>
      <c r="E6488" s="2" t="s">
        <v>12</v>
      </c>
      <c r="F6488" s="2" t="s">
        <v>12</v>
      </c>
      <c r="G6488" s="2" t="s">
        <v>12</v>
      </c>
      <c r="H6488" s="2" t="s">
        <v>12</v>
      </c>
      <c r="I6488" s="2" t="s">
        <v>12</v>
      </c>
      <c r="J6488" s="2" t="s">
        <v>12</v>
      </c>
      <c r="K6488" s="2" t="s">
        <v>12</v>
      </c>
    </row>
    <row r="6489" spans="1:11" ht="12.5" x14ac:dyDescent="0.25">
      <c r="A6489" s="3" t="e">
        <f ca="1"/>
        <v>#NAME?</v>
      </c>
      <c r="B6489" s="2" t="s">
        <v>12</v>
      </c>
      <c r="C6489" s="2" t="s">
        <v>12</v>
      </c>
      <c r="D6489" s="2" t="s">
        <v>12</v>
      </c>
      <c r="E6489" s="2" t="s">
        <v>12</v>
      </c>
      <c r="F6489" s="2" t="s">
        <v>12</v>
      </c>
      <c r="G6489" s="2" t="s">
        <v>12</v>
      </c>
      <c r="H6489" s="2" t="s">
        <v>12</v>
      </c>
      <c r="I6489" s="2" t="s">
        <v>12</v>
      </c>
      <c r="J6489" s="2" t="s">
        <v>12</v>
      </c>
      <c r="K6489" s="2" t="s">
        <v>12</v>
      </c>
    </row>
    <row r="6490" spans="1:11" ht="12.5" x14ac:dyDescent="0.25">
      <c r="A6490" s="3" t="e">
        <f ca="1"/>
        <v>#NAME?</v>
      </c>
      <c r="B6490" s="2" t="s">
        <v>12</v>
      </c>
      <c r="C6490" s="2" t="s">
        <v>12</v>
      </c>
      <c r="D6490" s="2" t="s">
        <v>12</v>
      </c>
      <c r="E6490" s="2" t="s">
        <v>12</v>
      </c>
      <c r="F6490" s="2" t="s">
        <v>12</v>
      </c>
      <c r="G6490" s="2" t="s">
        <v>12</v>
      </c>
      <c r="H6490" s="2" t="s">
        <v>12</v>
      </c>
      <c r="I6490" s="2" t="s">
        <v>12</v>
      </c>
      <c r="J6490" s="2" t="s">
        <v>12</v>
      </c>
      <c r="K6490" s="2" t="s">
        <v>12</v>
      </c>
    </row>
    <row r="6491" spans="1:11" ht="12.5" x14ac:dyDescent="0.25">
      <c r="A6491" s="3" t="e">
        <f ca="1"/>
        <v>#NAME?</v>
      </c>
      <c r="B6491" s="2" t="s">
        <v>12</v>
      </c>
      <c r="C6491" s="2" t="s">
        <v>12</v>
      </c>
      <c r="D6491" s="2" t="s">
        <v>12</v>
      </c>
      <c r="E6491" s="2" t="s">
        <v>12</v>
      </c>
      <c r="F6491" s="2" t="s">
        <v>12</v>
      </c>
      <c r="G6491" s="2" t="s">
        <v>12</v>
      </c>
      <c r="H6491" s="2" t="s">
        <v>12</v>
      </c>
      <c r="I6491" s="2" t="s">
        <v>12</v>
      </c>
      <c r="J6491" s="2" t="s">
        <v>12</v>
      </c>
      <c r="K6491" s="2" t="s">
        <v>12</v>
      </c>
    </row>
    <row r="6492" spans="1:11" ht="12.5" x14ac:dyDescent="0.25">
      <c r="A6492" s="3" t="e">
        <f ca="1"/>
        <v>#NAME?</v>
      </c>
      <c r="B6492" s="2" t="s">
        <v>12</v>
      </c>
      <c r="C6492" s="2" t="s">
        <v>12</v>
      </c>
      <c r="D6492" s="2" t="s">
        <v>12</v>
      </c>
      <c r="E6492" s="2" t="s">
        <v>12</v>
      </c>
      <c r="F6492" s="2" t="s">
        <v>12</v>
      </c>
      <c r="G6492" s="2" t="s">
        <v>12</v>
      </c>
      <c r="H6492" s="2" t="s">
        <v>12</v>
      </c>
      <c r="I6492" s="2" t="s">
        <v>12</v>
      </c>
      <c r="J6492" s="2" t="s">
        <v>12</v>
      </c>
      <c r="K6492" s="2" t="s">
        <v>12</v>
      </c>
    </row>
    <row r="6493" spans="1:11" ht="12.5" x14ac:dyDescent="0.25">
      <c r="A6493" s="3" t="e">
        <f ca="1"/>
        <v>#NAME?</v>
      </c>
      <c r="B6493" s="2" t="s">
        <v>12</v>
      </c>
      <c r="C6493" s="2" t="s">
        <v>12</v>
      </c>
      <c r="D6493" s="2" t="s">
        <v>12</v>
      </c>
      <c r="E6493" s="2" t="s">
        <v>12</v>
      </c>
      <c r="F6493" s="2" t="s">
        <v>12</v>
      </c>
      <c r="G6493" s="2" t="s">
        <v>12</v>
      </c>
      <c r="H6493" s="2" t="s">
        <v>12</v>
      </c>
      <c r="I6493" s="2" t="s">
        <v>12</v>
      </c>
      <c r="J6493" s="2" t="s">
        <v>12</v>
      </c>
      <c r="K6493" s="2" t="s">
        <v>12</v>
      </c>
    </row>
    <row r="6494" spans="1:11" ht="12.5" x14ac:dyDescent="0.25">
      <c r="A6494" s="3" t="e">
        <f ca="1"/>
        <v>#NAME?</v>
      </c>
      <c r="B6494" s="2" t="s">
        <v>12</v>
      </c>
      <c r="C6494" s="2" t="s">
        <v>12</v>
      </c>
      <c r="D6494" s="2" t="s">
        <v>12</v>
      </c>
      <c r="E6494" s="2" t="s">
        <v>12</v>
      </c>
      <c r="F6494" s="2" t="s">
        <v>12</v>
      </c>
      <c r="G6494" s="2" t="s">
        <v>12</v>
      </c>
      <c r="H6494" s="2" t="s">
        <v>12</v>
      </c>
      <c r="I6494" s="2" t="s">
        <v>12</v>
      </c>
      <c r="J6494" s="2" t="s">
        <v>12</v>
      </c>
      <c r="K6494" s="2" t="s">
        <v>12</v>
      </c>
    </row>
    <row r="6495" spans="1:11" ht="12.5" x14ac:dyDescent="0.25">
      <c r="A6495" s="3" t="e">
        <f ca="1"/>
        <v>#NAME?</v>
      </c>
      <c r="B6495" s="2" t="s">
        <v>12</v>
      </c>
      <c r="C6495" s="2" t="s">
        <v>12</v>
      </c>
      <c r="D6495" s="2" t="s">
        <v>12</v>
      </c>
      <c r="E6495" s="2" t="s">
        <v>12</v>
      </c>
      <c r="F6495" s="2" t="s">
        <v>12</v>
      </c>
      <c r="G6495" s="2" t="s">
        <v>12</v>
      </c>
      <c r="H6495" s="2" t="s">
        <v>12</v>
      </c>
      <c r="I6495" s="2" t="s">
        <v>12</v>
      </c>
      <c r="J6495" s="2" t="s">
        <v>12</v>
      </c>
      <c r="K6495" s="2" t="s">
        <v>12</v>
      </c>
    </row>
    <row r="6496" spans="1:11" ht="12.5" x14ac:dyDescent="0.25">
      <c r="A6496" s="3" t="e">
        <f ca="1"/>
        <v>#NAME?</v>
      </c>
      <c r="B6496" s="2" t="s">
        <v>12</v>
      </c>
      <c r="C6496" s="2" t="s">
        <v>12</v>
      </c>
      <c r="D6496" s="2" t="s">
        <v>12</v>
      </c>
      <c r="E6496" s="2" t="s">
        <v>12</v>
      </c>
      <c r="F6496" s="2" t="s">
        <v>12</v>
      </c>
      <c r="G6496" s="2" t="s">
        <v>12</v>
      </c>
      <c r="H6496" s="2" t="s">
        <v>12</v>
      </c>
      <c r="I6496" s="2" t="s">
        <v>12</v>
      </c>
      <c r="J6496" s="2" t="s">
        <v>12</v>
      </c>
      <c r="K6496" s="2" t="s">
        <v>12</v>
      </c>
    </row>
    <row r="6497" spans="1:11" ht="12.5" x14ac:dyDescent="0.25">
      <c r="A6497" s="3" t="e">
        <f ca="1"/>
        <v>#NAME?</v>
      </c>
      <c r="B6497" s="2" t="s">
        <v>12</v>
      </c>
      <c r="C6497" s="2" t="s">
        <v>12</v>
      </c>
      <c r="D6497" s="2" t="s">
        <v>12</v>
      </c>
      <c r="E6497" s="2" t="s">
        <v>12</v>
      </c>
      <c r="F6497" s="2" t="s">
        <v>12</v>
      </c>
      <c r="G6497" s="2" t="s">
        <v>12</v>
      </c>
      <c r="H6497" s="2" t="s">
        <v>12</v>
      </c>
      <c r="I6497" s="2" t="s">
        <v>12</v>
      </c>
      <c r="J6497" s="2" t="s">
        <v>12</v>
      </c>
      <c r="K6497" s="2" t="s">
        <v>12</v>
      </c>
    </row>
    <row r="6498" spans="1:11" ht="12.5" x14ac:dyDescent="0.25">
      <c r="A6498" s="3" t="e">
        <f ca="1"/>
        <v>#NAME?</v>
      </c>
      <c r="B6498" s="2" t="s">
        <v>12</v>
      </c>
      <c r="C6498" s="2" t="s">
        <v>12</v>
      </c>
      <c r="D6498" s="2" t="s">
        <v>12</v>
      </c>
      <c r="E6498" s="2" t="s">
        <v>12</v>
      </c>
      <c r="F6498" s="2" t="s">
        <v>12</v>
      </c>
      <c r="G6498" s="2" t="s">
        <v>12</v>
      </c>
      <c r="H6498" s="2" t="s">
        <v>12</v>
      </c>
      <c r="I6498" s="2" t="s">
        <v>12</v>
      </c>
      <c r="J6498" s="2" t="s">
        <v>12</v>
      </c>
      <c r="K6498" s="2" t="s">
        <v>12</v>
      </c>
    </row>
    <row r="6499" spans="1:11" ht="12.5" x14ac:dyDescent="0.25">
      <c r="A6499" s="3" t="e">
        <f ca="1"/>
        <v>#NAME?</v>
      </c>
      <c r="B6499" s="2" t="s">
        <v>12</v>
      </c>
      <c r="C6499" s="2" t="s">
        <v>12</v>
      </c>
      <c r="D6499" s="2" t="s">
        <v>12</v>
      </c>
      <c r="E6499" s="2" t="s">
        <v>12</v>
      </c>
      <c r="F6499" s="2" t="s">
        <v>12</v>
      </c>
      <c r="G6499" s="2" t="s">
        <v>12</v>
      </c>
      <c r="H6499" s="2" t="s">
        <v>12</v>
      </c>
      <c r="I6499" s="2" t="s">
        <v>12</v>
      </c>
      <c r="J6499" s="2" t="s">
        <v>12</v>
      </c>
      <c r="K6499" s="2" t="s">
        <v>12</v>
      </c>
    </row>
    <row r="6500" spans="1:11" ht="12.5" x14ac:dyDescent="0.25">
      <c r="A6500" s="3" t="e">
        <f ca="1"/>
        <v>#NAME?</v>
      </c>
      <c r="B6500" s="2" t="s">
        <v>12</v>
      </c>
      <c r="C6500" s="2" t="s">
        <v>12</v>
      </c>
      <c r="D6500" s="2" t="s">
        <v>12</v>
      </c>
      <c r="E6500" s="2" t="s">
        <v>12</v>
      </c>
      <c r="F6500" s="2" t="s">
        <v>12</v>
      </c>
      <c r="G6500" s="2" t="s">
        <v>12</v>
      </c>
      <c r="H6500" s="2" t="s">
        <v>12</v>
      </c>
      <c r="I6500" s="2" t="s">
        <v>12</v>
      </c>
      <c r="J6500" s="2" t="s">
        <v>12</v>
      </c>
      <c r="K6500" s="2" t="s">
        <v>12</v>
      </c>
    </row>
    <row r="6501" spans="1:11" ht="12.5" x14ac:dyDescent="0.25">
      <c r="A6501" s="3" t="e">
        <f ca="1"/>
        <v>#NAME?</v>
      </c>
      <c r="B6501" s="2" t="s">
        <v>12</v>
      </c>
      <c r="C6501" s="2" t="s">
        <v>12</v>
      </c>
      <c r="D6501" s="2" t="s">
        <v>12</v>
      </c>
      <c r="E6501" s="2" t="s">
        <v>12</v>
      </c>
      <c r="F6501" s="2" t="s">
        <v>12</v>
      </c>
      <c r="G6501" s="2" t="s">
        <v>12</v>
      </c>
      <c r="H6501" s="2" t="s">
        <v>12</v>
      </c>
      <c r="I6501" s="2" t="s">
        <v>12</v>
      </c>
      <c r="J6501" s="2" t="s">
        <v>12</v>
      </c>
      <c r="K6501" s="2" t="s">
        <v>12</v>
      </c>
    </row>
    <row r="6502" spans="1:11" ht="12.5" x14ac:dyDescent="0.25">
      <c r="A6502" s="3" t="e">
        <f ca="1"/>
        <v>#NAME?</v>
      </c>
      <c r="B6502" s="2" t="s">
        <v>12</v>
      </c>
      <c r="C6502" s="2" t="s">
        <v>12</v>
      </c>
      <c r="D6502" s="2" t="s">
        <v>12</v>
      </c>
      <c r="E6502" s="2" t="s">
        <v>12</v>
      </c>
      <c r="F6502" s="2" t="s">
        <v>12</v>
      </c>
      <c r="G6502" s="2" t="s">
        <v>12</v>
      </c>
      <c r="H6502" s="2" t="s">
        <v>12</v>
      </c>
      <c r="I6502" s="2" t="s">
        <v>12</v>
      </c>
      <c r="J6502" s="2" t="s">
        <v>12</v>
      </c>
      <c r="K6502" s="2" t="s">
        <v>12</v>
      </c>
    </row>
    <row r="6503" spans="1:11" ht="12.5" x14ac:dyDescent="0.25">
      <c r="A6503" s="3" t="e">
        <f ca="1"/>
        <v>#NAME?</v>
      </c>
      <c r="B6503" s="2" t="s">
        <v>12</v>
      </c>
      <c r="C6503" s="2" t="s">
        <v>12</v>
      </c>
      <c r="D6503" s="2" t="s">
        <v>12</v>
      </c>
      <c r="E6503" s="2" t="s">
        <v>12</v>
      </c>
      <c r="F6503" s="2" t="s">
        <v>12</v>
      </c>
      <c r="G6503" s="2" t="s">
        <v>12</v>
      </c>
      <c r="H6503" s="2" t="s">
        <v>12</v>
      </c>
      <c r="I6503" s="2" t="s">
        <v>12</v>
      </c>
      <c r="J6503" s="2" t="s">
        <v>12</v>
      </c>
      <c r="K6503" s="2" t="s">
        <v>12</v>
      </c>
    </row>
    <row r="6504" spans="1:11" ht="12.5" x14ac:dyDescent="0.25">
      <c r="A6504" s="3" t="e">
        <f ca="1"/>
        <v>#NAME?</v>
      </c>
      <c r="B6504" s="2" t="s">
        <v>12</v>
      </c>
      <c r="C6504" s="2" t="s">
        <v>12</v>
      </c>
      <c r="D6504" s="2" t="s">
        <v>12</v>
      </c>
      <c r="E6504" s="2" t="s">
        <v>12</v>
      </c>
      <c r="F6504" s="2" t="s">
        <v>12</v>
      </c>
      <c r="G6504" s="2" t="s">
        <v>12</v>
      </c>
      <c r="H6504" s="2" t="s">
        <v>12</v>
      </c>
      <c r="I6504" s="2" t="s">
        <v>12</v>
      </c>
      <c r="J6504" s="2" t="s">
        <v>12</v>
      </c>
      <c r="K6504" s="2" t="s">
        <v>12</v>
      </c>
    </row>
    <row r="6505" spans="1:11" ht="12.5" x14ac:dyDescent="0.25">
      <c r="A6505" s="3" t="e">
        <f ca="1"/>
        <v>#NAME?</v>
      </c>
      <c r="B6505" s="2" t="s">
        <v>12</v>
      </c>
      <c r="C6505" s="2" t="s">
        <v>12</v>
      </c>
      <c r="D6505" s="2" t="s">
        <v>12</v>
      </c>
      <c r="E6505" s="2" t="s">
        <v>12</v>
      </c>
      <c r="F6505" s="2" t="s">
        <v>12</v>
      </c>
      <c r="G6505" s="2" t="s">
        <v>12</v>
      </c>
      <c r="H6505" s="2" t="s">
        <v>12</v>
      </c>
      <c r="I6505" s="2" t="s">
        <v>12</v>
      </c>
      <c r="J6505" s="2" t="s">
        <v>12</v>
      </c>
      <c r="K6505" s="2" t="s">
        <v>12</v>
      </c>
    </row>
    <row r="6506" spans="1:11" ht="12.5" x14ac:dyDescent="0.25">
      <c r="A6506" s="3" t="e">
        <f ca="1"/>
        <v>#NAME?</v>
      </c>
      <c r="B6506" s="2" t="s">
        <v>12</v>
      </c>
      <c r="C6506" s="2" t="s">
        <v>12</v>
      </c>
      <c r="D6506" s="2" t="s">
        <v>12</v>
      </c>
      <c r="E6506" s="2" t="s">
        <v>12</v>
      </c>
      <c r="F6506" s="2" t="s">
        <v>12</v>
      </c>
      <c r="G6506" s="2" t="s">
        <v>12</v>
      </c>
      <c r="H6506" s="2" t="s">
        <v>12</v>
      </c>
      <c r="I6506" s="2" t="s">
        <v>12</v>
      </c>
      <c r="J6506" s="2" t="s">
        <v>12</v>
      </c>
      <c r="K6506" s="2" t="s">
        <v>12</v>
      </c>
    </row>
    <row r="6507" spans="1:11" ht="12.5" x14ac:dyDescent="0.25">
      <c r="A6507" s="3" t="e">
        <f ca="1"/>
        <v>#NAME?</v>
      </c>
      <c r="B6507" s="2" t="s">
        <v>12</v>
      </c>
      <c r="C6507" s="2" t="s">
        <v>12</v>
      </c>
      <c r="D6507" s="2" t="s">
        <v>12</v>
      </c>
      <c r="E6507" s="2" t="s">
        <v>12</v>
      </c>
      <c r="F6507" s="2" t="s">
        <v>12</v>
      </c>
      <c r="G6507" s="2" t="s">
        <v>12</v>
      </c>
      <c r="H6507" s="2" t="s">
        <v>12</v>
      </c>
      <c r="I6507" s="2" t="s">
        <v>12</v>
      </c>
      <c r="J6507" s="2" t="s">
        <v>12</v>
      </c>
      <c r="K6507" s="2" t="s">
        <v>12</v>
      </c>
    </row>
    <row r="6508" spans="1:11" ht="12.5" x14ac:dyDescent="0.25">
      <c r="A6508" s="3" t="e">
        <f ca="1"/>
        <v>#NAME?</v>
      </c>
      <c r="B6508" s="2" t="s">
        <v>12</v>
      </c>
      <c r="C6508" s="2" t="s">
        <v>12</v>
      </c>
      <c r="D6508" s="2" t="s">
        <v>12</v>
      </c>
      <c r="E6508" s="2" t="s">
        <v>12</v>
      </c>
      <c r="F6508" s="2" t="s">
        <v>12</v>
      </c>
      <c r="G6508" s="2" t="s">
        <v>12</v>
      </c>
      <c r="H6508" s="2" t="s">
        <v>12</v>
      </c>
      <c r="I6508" s="2" t="s">
        <v>12</v>
      </c>
      <c r="J6508" s="2" t="s">
        <v>12</v>
      </c>
      <c r="K6508" s="2" t="s">
        <v>12</v>
      </c>
    </row>
    <row r="6509" spans="1:11" ht="12.5" x14ac:dyDescent="0.25">
      <c r="A6509" s="3" t="e">
        <f ca="1"/>
        <v>#NAME?</v>
      </c>
      <c r="B6509" s="2" t="s">
        <v>12</v>
      </c>
      <c r="C6509" s="2" t="s">
        <v>12</v>
      </c>
      <c r="D6509" s="2" t="s">
        <v>12</v>
      </c>
      <c r="E6509" s="2" t="s">
        <v>12</v>
      </c>
      <c r="F6509" s="2" t="s">
        <v>12</v>
      </c>
      <c r="G6509" s="2" t="s">
        <v>12</v>
      </c>
      <c r="H6509" s="2" t="s">
        <v>12</v>
      </c>
      <c r="I6509" s="2" t="s">
        <v>12</v>
      </c>
      <c r="J6509" s="2" t="s">
        <v>12</v>
      </c>
      <c r="K6509" s="2" t="s">
        <v>12</v>
      </c>
    </row>
    <row r="6510" spans="1:11" ht="12.5" x14ac:dyDescent="0.25">
      <c r="A6510" s="3" t="e">
        <f ca="1"/>
        <v>#NAME?</v>
      </c>
      <c r="B6510" s="2" t="s">
        <v>12</v>
      </c>
      <c r="C6510" s="2" t="s">
        <v>12</v>
      </c>
      <c r="D6510" s="2" t="s">
        <v>12</v>
      </c>
      <c r="E6510" s="2" t="s">
        <v>12</v>
      </c>
      <c r="F6510" s="2" t="s">
        <v>12</v>
      </c>
      <c r="G6510" s="2" t="s">
        <v>12</v>
      </c>
      <c r="H6510" s="2" t="s">
        <v>12</v>
      </c>
      <c r="I6510" s="2" t="s">
        <v>12</v>
      </c>
      <c r="J6510" s="2" t="s">
        <v>12</v>
      </c>
      <c r="K6510" s="2" t="s">
        <v>12</v>
      </c>
    </row>
    <row r="6511" spans="1:11" ht="12.5" x14ac:dyDescent="0.25">
      <c r="A6511" s="3" t="e">
        <f ca="1"/>
        <v>#NAME?</v>
      </c>
      <c r="B6511" s="2" t="s">
        <v>12</v>
      </c>
      <c r="C6511" s="2" t="s">
        <v>12</v>
      </c>
      <c r="D6511" s="2" t="s">
        <v>12</v>
      </c>
      <c r="E6511" s="2" t="s">
        <v>12</v>
      </c>
      <c r="F6511" s="2" t="s">
        <v>12</v>
      </c>
      <c r="G6511" s="2" t="s">
        <v>12</v>
      </c>
      <c r="H6511" s="2" t="s">
        <v>12</v>
      </c>
      <c r="I6511" s="2" t="s">
        <v>12</v>
      </c>
      <c r="J6511" s="2" t="s">
        <v>12</v>
      </c>
      <c r="K6511" s="2" t="s">
        <v>12</v>
      </c>
    </row>
    <row r="6512" spans="1:11" ht="12.5" x14ac:dyDescent="0.25">
      <c r="A6512" s="3" t="e">
        <f ca="1"/>
        <v>#NAME?</v>
      </c>
      <c r="B6512" s="2" t="s">
        <v>12</v>
      </c>
      <c r="C6512" s="2" t="s">
        <v>12</v>
      </c>
      <c r="D6512" s="2" t="s">
        <v>12</v>
      </c>
      <c r="E6512" s="2" t="s">
        <v>12</v>
      </c>
      <c r="F6512" s="2" t="s">
        <v>12</v>
      </c>
      <c r="G6512" s="2" t="s">
        <v>12</v>
      </c>
      <c r="H6512" s="2" t="s">
        <v>12</v>
      </c>
      <c r="I6512" s="2" t="s">
        <v>12</v>
      </c>
      <c r="J6512" s="2" t="s">
        <v>12</v>
      </c>
      <c r="K6512" s="2" t="s">
        <v>12</v>
      </c>
    </row>
    <row r="6513" spans="1:11" ht="12.5" x14ac:dyDescent="0.25">
      <c r="A6513" s="3" t="e">
        <f ca="1"/>
        <v>#NAME?</v>
      </c>
      <c r="B6513" s="2" t="s">
        <v>12</v>
      </c>
      <c r="C6513" s="2" t="s">
        <v>12</v>
      </c>
      <c r="D6513" s="2" t="s">
        <v>12</v>
      </c>
      <c r="E6513" s="2" t="s">
        <v>12</v>
      </c>
      <c r="F6513" s="2" t="s">
        <v>12</v>
      </c>
      <c r="G6513" s="2" t="s">
        <v>12</v>
      </c>
      <c r="H6513" s="2" t="s">
        <v>12</v>
      </c>
      <c r="I6513" s="2" t="s">
        <v>12</v>
      </c>
      <c r="J6513" s="2" t="s">
        <v>12</v>
      </c>
      <c r="K6513" s="2" t="s">
        <v>12</v>
      </c>
    </row>
    <row r="6514" spans="1:11" ht="12.5" x14ac:dyDescent="0.25">
      <c r="A6514" s="3" t="e">
        <f ca="1"/>
        <v>#NAME?</v>
      </c>
      <c r="B6514" s="2" t="s">
        <v>12</v>
      </c>
      <c r="C6514" s="2" t="s">
        <v>12</v>
      </c>
      <c r="D6514" s="2" t="s">
        <v>12</v>
      </c>
      <c r="E6514" s="2" t="s">
        <v>12</v>
      </c>
      <c r="F6514" s="2" t="s">
        <v>12</v>
      </c>
      <c r="G6514" s="2" t="s">
        <v>12</v>
      </c>
      <c r="H6514" s="2" t="s">
        <v>12</v>
      </c>
      <c r="I6514" s="2" t="s">
        <v>12</v>
      </c>
      <c r="J6514" s="2" t="s">
        <v>12</v>
      </c>
      <c r="K6514" s="2" t="s">
        <v>12</v>
      </c>
    </row>
    <row r="6515" spans="1:11" ht="12.5" x14ac:dyDescent="0.25">
      <c r="A6515" s="3" t="e">
        <f ca="1"/>
        <v>#NAME?</v>
      </c>
      <c r="B6515" s="2" t="s">
        <v>12</v>
      </c>
      <c r="C6515" s="2" t="s">
        <v>12</v>
      </c>
      <c r="D6515" s="2" t="s">
        <v>12</v>
      </c>
      <c r="E6515" s="2" t="s">
        <v>12</v>
      </c>
      <c r="F6515" s="2" t="s">
        <v>12</v>
      </c>
      <c r="G6515" s="2" t="s">
        <v>12</v>
      </c>
      <c r="H6515" s="2" t="s">
        <v>12</v>
      </c>
      <c r="I6515" s="2" t="s">
        <v>12</v>
      </c>
      <c r="J6515" s="2" t="s">
        <v>12</v>
      </c>
      <c r="K6515" s="2" t="s">
        <v>12</v>
      </c>
    </row>
    <row r="6516" spans="1:11" ht="12.5" x14ac:dyDescent="0.25">
      <c r="A6516" s="3" t="e">
        <f ca="1"/>
        <v>#NAME?</v>
      </c>
      <c r="B6516" s="2" t="s">
        <v>12</v>
      </c>
      <c r="C6516" s="2" t="s">
        <v>12</v>
      </c>
      <c r="D6516" s="2" t="s">
        <v>12</v>
      </c>
      <c r="E6516" s="2" t="s">
        <v>12</v>
      </c>
      <c r="F6516" s="2" t="s">
        <v>12</v>
      </c>
      <c r="G6516" s="2" t="s">
        <v>12</v>
      </c>
      <c r="H6516" s="2" t="s">
        <v>12</v>
      </c>
      <c r="I6516" s="2" t="s">
        <v>12</v>
      </c>
      <c r="J6516" s="2" t="s">
        <v>12</v>
      </c>
      <c r="K6516" s="2" t="s">
        <v>12</v>
      </c>
    </row>
    <row r="6517" spans="1:11" ht="12.5" x14ac:dyDescent="0.25">
      <c r="A6517" s="3" t="e">
        <f ca="1"/>
        <v>#NAME?</v>
      </c>
      <c r="B6517" s="2" t="s">
        <v>12</v>
      </c>
      <c r="C6517" s="2" t="s">
        <v>12</v>
      </c>
      <c r="D6517" s="2" t="s">
        <v>12</v>
      </c>
      <c r="E6517" s="2" t="s">
        <v>12</v>
      </c>
      <c r="F6517" s="2" t="s">
        <v>12</v>
      </c>
      <c r="G6517" s="2" t="s">
        <v>12</v>
      </c>
      <c r="H6517" s="2" t="s">
        <v>12</v>
      </c>
      <c r="I6517" s="2" t="s">
        <v>12</v>
      </c>
      <c r="J6517" s="2" t="s">
        <v>12</v>
      </c>
      <c r="K6517" s="2" t="s">
        <v>12</v>
      </c>
    </row>
    <row r="6518" spans="1:11" ht="12.5" x14ac:dyDescent="0.25">
      <c r="A6518" s="3" t="e">
        <f ca="1"/>
        <v>#NAME?</v>
      </c>
      <c r="B6518" s="2" t="s">
        <v>12</v>
      </c>
      <c r="C6518" s="2" t="s">
        <v>12</v>
      </c>
      <c r="D6518" s="2" t="s">
        <v>12</v>
      </c>
      <c r="E6518" s="2" t="s">
        <v>12</v>
      </c>
      <c r="F6518" s="2" t="s">
        <v>12</v>
      </c>
      <c r="G6518" s="2" t="s">
        <v>12</v>
      </c>
      <c r="H6518" s="2" t="s">
        <v>12</v>
      </c>
      <c r="I6518" s="2" t="s">
        <v>12</v>
      </c>
      <c r="J6518" s="2" t="s">
        <v>12</v>
      </c>
      <c r="K6518" s="2" t="s">
        <v>12</v>
      </c>
    </row>
    <row r="6519" spans="1:11" ht="12.5" x14ac:dyDescent="0.25">
      <c r="A6519" s="3" t="e">
        <f ca="1"/>
        <v>#NAME?</v>
      </c>
      <c r="B6519" s="2" t="s">
        <v>12</v>
      </c>
      <c r="C6519" s="2" t="s">
        <v>12</v>
      </c>
      <c r="D6519" s="2" t="s">
        <v>12</v>
      </c>
      <c r="E6519" s="2" t="s">
        <v>12</v>
      </c>
      <c r="F6519" s="2" t="s">
        <v>12</v>
      </c>
      <c r="G6519" s="2" t="s">
        <v>12</v>
      </c>
      <c r="H6519" s="2" t="s">
        <v>12</v>
      </c>
      <c r="I6519" s="2" t="s">
        <v>12</v>
      </c>
      <c r="J6519" s="2" t="s">
        <v>12</v>
      </c>
      <c r="K6519" s="2" t="s">
        <v>12</v>
      </c>
    </row>
    <row r="6520" spans="1:11" ht="12.5" x14ac:dyDescent="0.25">
      <c r="A6520" s="3" t="e">
        <f ca="1"/>
        <v>#NAME?</v>
      </c>
      <c r="B6520" s="2" t="s">
        <v>12</v>
      </c>
      <c r="C6520" s="2" t="s">
        <v>12</v>
      </c>
      <c r="D6520" s="2" t="s">
        <v>12</v>
      </c>
      <c r="E6520" s="2" t="s">
        <v>12</v>
      </c>
      <c r="F6520" s="2" t="s">
        <v>12</v>
      </c>
      <c r="G6520" s="2" t="s">
        <v>12</v>
      </c>
      <c r="H6520" s="2" t="s">
        <v>12</v>
      </c>
      <c r="I6520" s="2" t="s">
        <v>12</v>
      </c>
      <c r="J6520" s="2" t="s">
        <v>12</v>
      </c>
      <c r="K6520" s="2" t="s">
        <v>12</v>
      </c>
    </row>
    <row r="6521" spans="1:11" ht="12.5" x14ac:dyDescent="0.25">
      <c r="A6521" s="3" t="e">
        <f ca="1"/>
        <v>#NAME?</v>
      </c>
      <c r="B6521" s="2" t="s">
        <v>12</v>
      </c>
      <c r="C6521" s="2" t="s">
        <v>12</v>
      </c>
      <c r="D6521" s="2" t="s">
        <v>12</v>
      </c>
      <c r="E6521" s="2" t="s">
        <v>12</v>
      </c>
      <c r="F6521" s="2" t="s">
        <v>12</v>
      </c>
      <c r="G6521" s="2" t="s">
        <v>12</v>
      </c>
      <c r="H6521" s="2" t="s">
        <v>12</v>
      </c>
      <c r="I6521" s="2" t="s">
        <v>12</v>
      </c>
      <c r="J6521" s="2" t="s">
        <v>12</v>
      </c>
      <c r="K6521" s="2" t="s">
        <v>12</v>
      </c>
    </row>
    <row r="6522" spans="1:11" ht="12.5" x14ac:dyDescent="0.25">
      <c r="A6522" s="3" t="e">
        <f ca="1"/>
        <v>#NAME?</v>
      </c>
      <c r="B6522" s="2" t="s">
        <v>12</v>
      </c>
      <c r="C6522" s="2" t="s">
        <v>12</v>
      </c>
      <c r="D6522" s="2" t="s">
        <v>12</v>
      </c>
      <c r="E6522" s="2" t="s">
        <v>12</v>
      </c>
      <c r="F6522" s="2" t="s">
        <v>12</v>
      </c>
      <c r="G6522" s="2" t="s">
        <v>12</v>
      </c>
      <c r="H6522" s="2" t="s">
        <v>12</v>
      </c>
      <c r="I6522" s="2" t="s">
        <v>12</v>
      </c>
      <c r="J6522" s="2" t="s">
        <v>12</v>
      </c>
      <c r="K6522" s="2" t="s">
        <v>12</v>
      </c>
    </row>
    <row r="6523" spans="1:11" ht="12.5" x14ac:dyDescent="0.25">
      <c r="A6523" s="3" t="e">
        <f ca="1"/>
        <v>#NAME?</v>
      </c>
      <c r="B6523" s="2" t="s">
        <v>12</v>
      </c>
      <c r="C6523" s="2" t="s">
        <v>12</v>
      </c>
      <c r="D6523" s="2" t="s">
        <v>12</v>
      </c>
      <c r="E6523" s="2" t="s">
        <v>12</v>
      </c>
      <c r="F6523" s="2" t="s">
        <v>12</v>
      </c>
      <c r="G6523" s="2" t="s">
        <v>12</v>
      </c>
      <c r="H6523" s="2" t="s">
        <v>12</v>
      </c>
      <c r="I6523" s="2" t="s">
        <v>12</v>
      </c>
      <c r="J6523" s="2" t="s">
        <v>12</v>
      </c>
      <c r="K6523" s="2" t="s">
        <v>12</v>
      </c>
    </row>
    <row r="6524" spans="1:11" ht="12.5" x14ac:dyDescent="0.25">
      <c r="A6524" s="3" t="e">
        <f ca="1"/>
        <v>#NAME?</v>
      </c>
      <c r="B6524" s="2" t="s">
        <v>12</v>
      </c>
      <c r="C6524" s="2" t="s">
        <v>12</v>
      </c>
      <c r="D6524" s="2" t="s">
        <v>12</v>
      </c>
      <c r="E6524" s="2" t="s">
        <v>12</v>
      </c>
      <c r="F6524" s="2" t="s">
        <v>12</v>
      </c>
      <c r="G6524" s="2" t="s">
        <v>12</v>
      </c>
      <c r="H6524" s="2" t="s">
        <v>12</v>
      </c>
      <c r="I6524" s="2" t="s">
        <v>12</v>
      </c>
      <c r="J6524" s="2" t="s">
        <v>12</v>
      </c>
      <c r="K6524" s="2" t="s">
        <v>12</v>
      </c>
    </row>
    <row r="6525" spans="1:11" ht="12.5" x14ac:dyDescent="0.25">
      <c r="A6525" s="3" t="e">
        <f ca="1"/>
        <v>#NAME?</v>
      </c>
      <c r="B6525" s="2" t="s">
        <v>12</v>
      </c>
      <c r="C6525" s="2" t="s">
        <v>12</v>
      </c>
      <c r="D6525" s="2" t="s">
        <v>12</v>
      </c>
      <c r="E6525" s="2" t="s">
        <v>12</v>
      </c>
      <c r="F6525" s="2" t="s">
        <v>12</v>
      </c>
      <c r="G6525" s="2" t="s">
        <v>12</v>
      </c>
      <c r="H6525" s="2" t="s">
        <v>12</v>
      </c>
      <c r="I6525" s="2" t="s">
        <v>12</v>
      </c>
      <c r="J6525" s="2" t="s">
        <v>12</v>
      </c>
      <c r="K6525" s="2" t="s">
        <v>12</v>
      </c>
    </row>
    <row r="6526" spans="1:11" ht="12.5" x14ac:dyDescent="0.25">
      <c r="A6526" s="3" t="e">
        <f ca="1"/>
        <v>#NAME?</v>
      </c>
      <c r="B6526" s="2" t="s">
        <v>12</v>
      </c>
      <c r="C6526" s="2" t="s">
        <v>12</v>
      </c>
      <c r="D6526" s="2" t="s">
        <v>12</v>
      </c>
      <c r="E6526" s="2" t="s">
        <v>12</v>
      </c>
      <c r="F6526" s="2" t="s">
        <v>12</v>
      </c>
      <c r="G6526" s="2" t="s">
        <v>12</v>
      </c>
      <c r="H6526" s="2" t="s">
        <v>12</v>
      </c>
      <c r="I6526" s="2" t="s">
        <v>12</v>
      </c>
      <c r="J6526" s="2" t="s">
        <v>12</v>
      </c>
      <c r="K6526" s="2" t="s">
        <v>12</v>
      </c>
    </row>
    <row r="6527" spans="1:11" ht="12.5" x14ac:dyDescent="0.25">
      <c r="A6527" s="3" t="e">
        <f ca="1"/>
        <v>#NAME?</v>
      </c>
      <c r="B6527" s="2" t="s">
        <v>12</v>
      </c>
      <c r="C6527" s="2" t="s">
        <v>12</v>
      </c>
      <c r="D6527" s="2" t="s">
        <v>12</v>
      </c>
      <c r="E6527" s="2" t="s">
        <v>12</v>
      </c>
      <c r="F6527" s="2" t="s">
        <v>12</v>
      </c>
      <c r="G6527" s="2" t="s">
        <v>12</v>
      </c>
      <c r="H6527" s="2" t="s">
        <v>12</v>
      </c>
      <c r="I6527" s="2" t="s">
        <v>12</v>
      </c>
      <c r="J6527" s="2" t="s">
        <v>12</v>
      </c>
      <c r="K6527" s="2" t="s">
        <v>12</v>
      </c>
    </row>
    <row r="6528" spans="1:11" ht="12.5" x14ac:dyDescent="0.25">
      <c r="A6528" s="3" t="e">
        <f ca="1"/>
        <v>#NAME?</v>
      </c>
      <c r="B6528" s="2" t="s">
        <v>12</v>
      </c>
      <c r="C6528" s="2" t="s">
        <v>12</v>
      </c>
      <c r="D6528" s="2" t="s">
        <v>12</v>
      </c>
      <c r="E6528" s="2" t="s">
        <v>12</v>
      </c>
      <c r="F6528" s="2" t="s">
        <v>12</v>
      </c>
      <c r="G6528" s="2" t="s">
        <v>12</v>
      </c>
      <c r="H6528" s="2" t="s">
        <v>12</v>
      </c>
      <c r="I6528" s="2" t="s">
        <v>12</v>
      </c>
      <c r="J6528" s="2" t="s">
        <v>12</v>
      </c>
      <c r="K6528" s="2" t="s">
        <v>12</v>
      </c>
    </row>
    <row r="6529" spans="1:11" ht="12.5" x14ac:dyDescent="0.25">
      <c r="A6529" s="3" t="e">
        <f ca="1"/>
        <v>#NAME?</v>
      </c>
      <c r="B6529" s="2" t="s">
        <v>12</v>
      </c>
      <c r="C6529" s="2" t="s">
        <v>12</v>
      </c>
      <c r="D6529" s="2" t="s">
        <v>12</v>
      </c>
      <c r="E6529" s="2" t="s">
        <v>12</v>
      </c>
      <c r="F6529" s="2" t="s">
        <v>12</v>
      </c>
      <c r="G6529" s="2" t="s">
        <v>12</v>
      </c>
      <c r="H6529" s="2" t="s">
        <v>12</v>
      </c>
      <c r="I6529" s="2" t="s">
        <v>12</v>
      </c>
      <c r="J6529" s="2" t="s">
        <v>12</v>
      </c>
      <c r="K6529" s="2" t="s">
        <v>12</v>
      </c>
    </row>
    <row r="6530" spans="1:11" ht="12.5" x14ac:dyDescent="0.25">
      <c r="A6530" s="3" t="e">
        <f ca="1"/>
        <v>#NAME?</v>
      </c>
      <c r="B6530" s="2" t="s">
        <v>12</v>
      </c>
      <c r="C6530" s="2" t="s">
        <v>12</v>
      </c>
      <c r="D6530" s="2" t="s">
        <v>12</v>
      </c>
      <c r="E6530" s="2" t="s">
        <v>12</v>
      </c>
      <c r="F6530" s="2" t="s">
        <v>12</v>
      </c>
      <c r="G6530" s="2" t="s">
        <v>12</v>
      </c>
      <c r="H6530" s="2" t="s">
        <v>12</v>
      </c>
      <c r="I6530" s="2" t="s">
        <v>12</v>
      </c>
      <c r="J6530" s="2" t="s">
        <v>12</v>
      </c>
      <c r="K6530" s="2" t="s">
        <v>12</v>
      </c>
    </row>
    <row r="6531" spans="1:11" ht="12.5" x14ac:dyDescent="0.25">
      <c r="A6531" s="3" t="e">
        <f ca="1"/>
        <v>#NAME?</v>
      </c>
      <c r="B6531" s="2" t="s">
        <v>12</v>
      </c>
      <c r="C6531" s="2" t="s">
        <v>12</v>
      </c>
      <c r="D6531" s="2" t="s">
        <v>12</v>
      </c>
      <c r="E6531" s="2" t="s">
        <v>12</v>
      </c>
      <c r="F6531" s="2" t="s">
        <v>12</v>
      </c>
      <c r="G6531" s="2" t="s">
        <v>12</v>
      </c>
      <c r="H6531" s="2" t="s">
        <v>12</v>
      </c>
      <c r="I6531" s="2" t="s">
        <v>12</v>
      </c>
      <c r="J6531" s="2" t="s">
        <v>12</v>
      </c>
      <c r="K6531" s="2" t="s">
        <v>12</v>
      </c>
    </row>
    <row r="6532" spans="1:11" ht="12.5" x14ac:dyDescent="0.25">
      <c r="A6532" s="3" t="e">
        <f ca="1"/>
        <v>#NAME?</v>
      </c>
      <c r="B6532" s="2" t="s">
        <v>12</v>
      </c>
      <c r="C6532" s="2" t="s">
        <v>12</v>
      </c>
      <c r="D6532" s="2" t="s">
        <v>12</v>
      </c>
      <c r="E6532" s="2" t="s">
        <v>12</v>
      </c>
      <c r="F6532" s="2" t="s">
        <v>12</v>
      </c>
      <c r="G6532" s="2" t="s">
        <v>12</v>
      </c>
      <c r="H6532" s="2" t="s">
        <v>12</v>
      </c>
      <c r="I6532" s="2" t="s">
        <v>12</v>
      </c>
      <c r="J6532" s="2" t="s">
        <v>12</v>
      </c>
      <c r="K6532" s="2" t="s">
        <v>12</v>
      </c>
    </row>
    <row r="6533" spans="1:11" ht="12.5" x14ac:dyDescent="0.25">
      <c r="A6533" s="3" t="e">
        <f ca="1"/>
        <v>#NAME?</v>
      </c>
      <c r="B6533" s="2" t="s">
        <v>12</v>
      </c>
      <c r="C6533" s="2" t="s">
        <v>12</v>
      </c>
      <c r="D6533" s="2" t="s">
        <v>12</v>
      </c>
      <c r="E6533" s="2" t="s">
        <v>12</v>
      </c>
      <c r="F6533" s="2" t="s">
        <v>12</v>
      </c>
      <c r="G6533" s="2" t="s">
        <v>12</v>
      </c>
      <c r="H6533" s="2" t="s">
        <v>12</v>
      </c>
      <c r="I6533" s="2" t="s">
        <v>12</v>
      </c>
      <c r="J6533" s="2" t="s">
        <v>12</v>
      </c>
      <c r="K6533" s="2" t="s">
        <v>12</v>
      </c>
    </row>
    <row r="6534" spans="1:11" ht="12.5" x14ac:dyDescent="0.25">
      <c r="A6534" s="3" t="e">
        <f ca="1"/>
        <v>#NAME?</v>
      </c>
      <c r="B6534" s="2" t="s">
        <v>12</v>
      </c>
      <c r="C6534" s="2" t="s">
        <v>12</v>
      </c>
      <c r="D6534" s="2" t="s">
        <v>12</v>
      </c>
      <c r="E6534" s="2" t="s">
        <v>12</v>
      </c>
      <c r="F6534" s="2" t="s">
        <v>12</v>
      </c>
      <c r="G6534" s="2" t="s">
        <v>12</v>
      </c>
      <c r="H6534" s="2" t="s">
        <v>12</v>
      </c>
      <c r="I6534" s="2" t="s">
        <v>12</v>
      </c>
      <c r="J6534" s="2" t="s">
        <v>12</v>
      </c>
      <c r="K6534" s="2" t="s">
        <v>12</v>
      </c>
    </row>
    <row r="6535" spans="1:11" ht="12.5" x14ac:dyDescent="0.25">
      <c r="A6535" s="3" t="e">
        <f ca="1"/>
        <v>#NAME?</v>
      </c>
      <c r="B6535" s="2" t="s">
        <v>12</v>
      </c>
      <c r="C6535" s="2" t="s">
        <v>12</v>
      </c>
      <c r="D6535" s="2" t="s">
        <v>12</v>
      </c>
      <c r="E6535" s="2" t="s">
        <v>12</v>
      </c>
      <c r="F6535" s="2" t="s">
        <v>12</v>
      </c>
      <c r="G6535" s="2" t="s">
        <v>12</v>
      </c>
      <c r="H6535" s="2" t="s">
        <v>12</v>
      </c>
      <c r="I6535" s="2" t="s">
        <v>12</v>
      </c>
      <c r="J6535" s="2" t="s">
        <v>12</v>
      </c>
      <c r="K6535" s="2" t="s">
        <v>12</v>
      </c>
    </row>
    <row r="6536" spans="1:11" ht="12.5" x14ac:dyDescent="0.25">
      <c r="A6536" s="3" t="e">
        <f ca="1"/>
        <v>#NAME?</v>
      </c>
      <c r="B6536" s="2" t="s">
        <v>12</v>
      </c>
      <c r="C6536" s="2" t="s">
        <v>12</v>
      </c>
      <c r="D6536" s="2" t="s">
        <v>12</v>
      </c>
      <c r="E6536" s="2" t="s">
        <v>12</v>
      </c>
      <c r="F6536" s="2" t="s">
        <v>12</v>
      </c>
      <c r="G6536" s="2" t="s">
        <v>12</v>
      </c>
      <c r="H6536" s="2" t="s">
        <v>12</v>
      </c>
      <c r="I6536" s="2" t="s">
        <v>12</v>
      </c>
      <c r="J6536" s="2" t="s">
        <v>12</v>
      </c>
      <c r="K6536" s="2" t="s">
        <v>12</v>
      </c>
    </row>
    <row r="6537" spans="1:11" ht="12.5" x14ac:dyDescent="0.25">
      <c r="A6537" s="3" t="e">
        <f ca="1"/>
        <v>#NAME?</v>
      </c>
      <c r="B6537" s="2" t="s">
        <v>12</v>
      </c>
      <c r="C6537" s="2" t="s">
        <v>12</v>
      </c>
      <c r="D6537" s="2" t="s">
        <v>12</v>
      </c>
      <c r="E6537" s="2" t="s">
        <v>12</v>
      </c>
      <c r="F6537" s="2" t="s">
        <v>12</v>
      </c>
      <c r="G6537" s="2" t="s">
        <v>12</v>
      </c>
      <c r="H6537" s="2" t="s">
        <v>12</v>
      </c>
      <c r="I6537" s="2" t="s">
        <v>12</v>
      </c>
      <c r="J6537" s="2" t="s">
        <v>12</v>
      </c>
      <c r="K6537" s="2" t="s">
        <v>12</v>
      </c>
    </row>
    <row r="6538" spans="1:11" ht="12.5" x14ac:dyDescent="0.25">
      <c r="A6538" s="3" t="e">
        <f ca="1"/>
        <v>#NAME?</v>
      </c>
      <c r="B6538" s="2" t="s">
        <v>12</v>
      </c>
      <c r="C6538" s="2" t="s">
        <v>12</v>
      </c>
      <c r="D6538" s="2" t="s">
        <v>12</v>
      </c>
      <c r="E6538" s="2" t="s">
        <v>12</v>
      </c>
      <c r="F6538" s="2" t="s">
        <v>12</v>
      </c>
      <c r="G6538" s="2" t="s">
        <v>12</v>
      </c>
      <c r="H6538" s="2" t="s">
        <v>12</v>
      </c>
      <c r="I6538" s="2" t="s">
        <v>12</v>
      </c>
      <c r="J6538" s="2" t="s">
        <v>12</v>
      </c>
      <c r="K6538" s="2" t="s">
        <v>12</v>
      </c>
    </row>
    <row r="6539" spans="1:11" ht="12.5" x14ac:dyDescent="0.25">
      <c r="A6539" s="3" t="e">
        <f ca="1"/>
        <v>#NAME?</v>
      </c>
      <c r="B6539" s="2" t="s">
        <v>12</v>
      </c>
      <c r="C6539" s="2" t="s">
        <v>12</v>
      </c>
      <c r="D6539" s="2" t="s">
        <v>12</v>
      </c>
      <c r="E6539" s="2" t="s">
        <v>12</v>
      </c>
      <c r="F6539" s="2" t="s">
        <v>12</v>
      </c>
      <c r="G6539" s="2" t="s">
        <v>12</v>
      </c>
      <c r="H6539" s="2" t="s">
        <v>12</v>
      </c>
      <c r="I6539" s="2" t="s">
        <v>12</v>
      </c>
      <c r="J6539" s="2" t="s">
        <v>12</v>
      </c>
      <c r="K6539" s="2" t="s">
        <v>12</v>
      </c>
    </row>
    <row r="6540" spans="1:11" ht="12.5" x14ac:dyDescent="0.25">
      <c r="A6540" s="3" t="e">
        <f ca="1"/>
        <v>#NAME?</v>
      </c>
      <c r="B6540" s="2" t="s">
        <v>12</v>
      </c>
      <c r="C6540" s="2" t="s">
        <v>12</v>
      </c>
      <c r="D6540" s="2" t="s">
        <v>12</v>
      </c>
      <c r="E6540" s="2" t="s">
        <v>12</v>
      </c>
      <c r="F6540" s="2" t="s">
        <v>12</v>
      </c>
      <c r="G6540" s="2" t="s">
        <v>12</v>
      </c>
      <c r="H6540" s="2" t="s">
        <v>12</v>
      </c>
      <c r="I6540" s="2" t="s">
        <v>12</v>
      </c>
      <c r="J6540" s="2" t="s">
        <v>12</v>
      </c>
      <c r="K6540" s="2" t="s">
        <v>12</v>
      </c>
    </row>
    <row r="6541" spans="1:11" ht="12.5" x14ac:dyDescent="0.25">
      <c r="A6541" s="3" t="e">
        <f ca="1"/>
        <v>#NAME?</v>
      </c>
      <c r="B6541" s="2" t="s">
        <v>12</v>
      </c>
      <c r="C6541" s="2" t="s">
        <v>12</v>
      </c>
      <c r="D6541" s="2" t="s">
        <v>12</v>
      </c>
      <c r="E6541" s="2" t="s">
        <v>12</v>
      </c>
      <c r="F6541" s="2" t="s">
        <v>12</v>
      </c>
      <c r="G6541" s="2" t="s">
        <v>12</v>
      </c>
      <c r="H6541" s="2" t="s">
        <v>12</v>
      </c>
      <c r="I6541" s="2" t="s">
        <v>12</v>
      </c>
      <c r="J6541" s="2" t="s">
        <v>12</v>
      </c>
      <c r="K6541" s="2" t="s">
        <v>12</v>
      </c>
    </row>
    <row r="6542" spans="1:11" ht="12.5" x14ac:dyDescent="0.25">
      <c r="A6542" s="3" t="e">
        <f ca="1"/>
        <v>#NAME?</v>
      </c>
      <c r="B6542" s="2" t="s">
        <v>12</v>
      </c>
      <c r="C6542" s="2" t="s">
        <v>12</v>
      </c>
      <c r="D6542" s="2" t="s">
        <v>12</v>
      </c>
      <c r="E6542" s="2" t="s">
        <v>12</v>
      </c>
      <c r="F6542" s="2" t="s">
        <v>12</v>
      </c>
      <c r="G6542" s="2" t="s">
        <v>12</v>
      </c>
      <c r="H6542" s="2" t="s">
        <v>12</v>
      </c>
      <c r="I6542" s="2" t="s">
        <v>12</v>
      </c>
      <c r="J6542" s="2" t="s">
        <v>12</v>
      </c>
      <c r="K6542" s="2" t="s">
        <v>12</v>
      </c>
    </row>
    <row r="6543" spans="1:11" ht="12.5" x14ac:dyDescent="0.25">
      <c r="A6543" s="3" t="e">
        <f ca="1"/>
        <v>#NAME?</v>
      </c>
      <c r="B6543" s="2" t="s">
        <v>12</v>
      </c>
      <c r="C6543" s="2" t="s">
        <v>12</v>
      </c>
      <c r="D6543" s="2" t="s">
        <v>12</v>
      </c>
      <c r="E6543" s="2" t="s">
        <v>12</v>
      </c>
      <c r="F6543" s="2" t="s">
        <v>12</v>
      </c>
      <c r="G6543" s="2" t="s">
        <v>12</v>
      </c>
      <c r="H6543" s="2" t="s">
        <v>12</v>
      </c>
      <c r="I6543" s="2" t="s">
        <v>12</v>
      </c>
      <c r="J6543" s="2" t="s">
        <v>12</v>
      </c>
      <c r="K6543" s="2" t="s">
        <v>12</v>
      </c>
    </row>
    <row r="6544" spans="1:11" ht="12.5" x14ac:dyDescent="0.25">
      <c r="A6544" s="3" t="e">
        <f ca="1"/>
        <v>#NAME?</v>
      </c>
      <c r="B6544" s="2" t="s">
        <v>12</v>
      </c>
      <c r="C6544" s="2" t="s">
        <v>12</v>
      </c>
      <c r="D6544" s="2" t="s">
        <v>12</v>
      </c>
      <c r="E6544" s="2" t="s">
        <v>12</v>
      </c>
      <c r="F6544" s="2" t="s">
        <v>12</v>
      </c>
      <c r="G6544" s="2" t="s">
        <v>12</v>
      </c>
      <c r="H6544" s="2" t="s">
        <v>12</v>
      </c>
      <c r="I6544" s="2" t="s">
        <v>12</v>
      </c>
      <c r="J6544" s="2" t="s">
        <v>12</v>
      </c>
      <c r="K6544" s="2" t="s">
        <v>12</v>
      </c>
    </row>
    <row r="6545" spans="1:11" ht="12.5" x14ac:dyDescent="0.25">
      <c r="A6545" s="3" t="e">
        <f ca="1"/>
        <v>#NAME?</v>
      </c>
      <c r="B6545" s="2" t="s">
        <v>12</v>
      </c>
      <c r="C6545" s="2" t="s">
        <v>12</v>
      </c>
      <c r="D6545" s="2" t="s">
        <v>12</v>
      </c>
      <c r="E6545" s="2" t="s">
        <v>12</v>
      </c>
      <c r="F6545" s="2" t="s">
        <v>12</v>
      </c>
      <c r="G6545" s="2" t="s">
        <v>12</v>
      </c>
      <c r="H6545" s="2" t="s">
        <v>12</v>
      </c>
      <c r="I6545" s="2" t="s">
        <v>12</v>
      </c>
      <c r="J6545" s="2" t="s">
        <v>12</v>
      </c>
      <c r="K6545" s="2" t="s">
        <v>12</v>
      </c>
    </row>
    <row r="6546" spans="1:11" ht="12.5" x14ac:dyDescent="0.25">
      <c r="A6546" s="3" t="e">
        <f ca="1"/>
        <v>#NAME?</v>
      </c>
      <c r="B6546" s="2" t="s">
        <v>12</v>
      </c>
      <c r="C6546" s="2" t="s">
        <v>12</v>
      </c>
      <c r="D6546" s="2" t="s">
        <v>12</v>
      </c>
      <c r="E6546" s="2" t="s">
        <v>12</v>
      </c>
      <c r="F6546" s="2" t="s">
        <v>12</v>
      </c>
      <c r="G6546" s="2" t="s">
        <v>12</v>
      </c>
      <c r="H6546" s="2" t="s">
        <v>12</v>
      </c>
      <c r="I6546" s="2" t="s">
        <v>12</v>
      </c>
      <c r="J6546" s="2" t="s">
        <v>12</v>
      </c>
      <c r="K6546" s="2" t="s">
        <v>12</v>
      </c>
    </row>
    <row r="6547" spans="1:11" ht="12.5" x14ac:dyDescent="0.25">
      <c r="A6547" s="3" t="e">
        <f ca="1"/>
        <v>#NAME?</v>
      </c>
      <c r="B6547" s="2" t="s">
        <v>12</v>
      </c>
      <c r="C6547" s="2" t="s">
        <v>12</v>
      </c>
      <c r="D6547" s="2" t="s">
        <v>12</v>
      </c>
      <c r="E6547" s="2" t="s">
        <v>12</v>
      </c>
      <c r="F6547" s="2" t="s">
        <v>12</v>
      </c>
      <c r="G6547" s="2" t="s">
        <v>12</v>
      </c>
      <c r="H6547" s="2" t="s">
        <v>12</v>
      </c>
      <c r="I6547" s="2" t="s">
        <v>12</v>
      </c>
      <c r="J6547" s="2" t="s">
        <v>12</v>
      </c>
      <c r="K6547" s="2" t="s">
        <v>12</v>
      </c>
    </row>
    <row r="6548" spans="1:11" ht="12.5" x14ac:dyDescent="0.25">
      <c r="A6548" s="3" t="e">
        <f ca="1"/>
        <v>#NAME?</v>
      </c>
      <c r="B6548" s="2" t="s">
        <v>12</v>
      </c>
      <c r="C6548" s="2" t="s">
        <v>12</v>
      </c>
      <c r="D6548" s="2" t="s">
        <v>12</v>
      </c>
      <c r="E6548" s="2" t="s">
        <v>12</v>
      </c>
      <c r="F6548" s="2" t="s">
        <v>12</v>
      </c>
      <c r="G6548" s="2" t="s">
        <v>12</v>
      </c>
      <c r="H6548" s="2" t="s">
        <v>12</v>
      </c>
      <c r="I6548" s="2" t="s">
        <v>12</v>
      </c>
      <c r="J6548" s="2" t="s">
        <v>12</v>
      </c>
      <c r="K6548" s="2" t="s">
        <v>12</v>
      </c>
    </row>
    <row r="6549" spans="1:11" ht="12.5" x14ac:dyDescent="0.25">
      <c r="A6549" s="3" t="e">
        <f ca="1"/>
        <v>#NAME?</v>
      </c>
      <c r="B6549" s="2" t="s">
        <v>12</v>
      </c>
      <c r="C6549" s="2" t="s">
        <v>12</v>
      </c>
      <c r="D6549" s="2" t="s">
        <v>12</v>
      </c>
      <c r="E6549" s="2" t="s">
        <v>12</v>
      </c>
      <c r="F6549" s="2" t="s">
        <v>12</v>
      </c>
      <c r="G6549" s="2" t="s">
        <v>12</v>
      </c>
      <c r="H6549" s="2" t="s">
        <v>12</v>
      </c>
      <c r="I6549" s="2" t="s">
        <v>12</v>
      </c>
      <c r="J6549" s="2" t="s">
        <v>12</v>
      </c>
      <c r="K6549" s="2" t="s">
        <v>12</v>
      </c>
    </row>
    <row r="6550" spans="1:11" ht="12.5" x14ac:dyDescent="0.25">
      <c r="A6550" s="3" t="e">
        <f ca="1"/>
        <v>#NAME?</v>
      </c>
      <c r="B6550" s="2" t="s">
        <v>12</v>
      </c>
      <c r="C6550" s="2" t="s">
        <v>12</v>
      </c>
      <c r="D6550" s="2" t="s">
        <v>12</v>
      </c>
      <c r="E6550" s="2" t="s">
        <v>12</v>
      </c>
      <c r="F6550" s="2" t="s">
        <v>12</v>
      </c>
      <c r="G6550" s="2" t="s">
        <v>12</v>
      </c>
      <c r="H6550" s="2" t="s">
        <v>12</v>
      </c>
      <c r="I6550" s="2" t="s">
        <v>12</v>
      </c>
      <c r="J6550" s="2" t="s">
        <v>12</v>
      </c>
      <c r="K6550" s="2" t="s">
        <v>12</v>
      </c>
    </row>
    <row r="6551" spans="1:11" ht="12.5" x14ac:dyDescent="0.25">
      <c r="A6551" s="3" t="e">
        <f ca="1"/>
        <v>#NAME?</v>
      </c>
      <c r="B6551" s="2" t="s">
        <v>12</v>
      </c>
      <c r="C6551" s="2" t="s">
        <v>12</v>
      </c>
      <c r="D6551" s="2" t="s">
        <v>12</v>
      </c>
      <c r="E6551" s="2" t="s">
        <v>12</v>
      </c>
      <c r="F6551" s="2" t="s">
        <v>12</v>
      </c>
      <c r="G6551" s="2" t="s">
        <v>12</v>
      </c>
      <c r="H6551" s="2" t="s">
        <v>12</v>
      </c>
      <c r="I6551" s="2" t="s">
        <v>12</v>
      </c>
      <c r="J6551" s="2" t="s">
        <v>12</v>
      </c>
      <c r="K6551" s="2" t="s">
        <v>12</v>
      </c>
    </row>
    <row r="6552" spans="1:11" ht="12.5" x14ac:dyDescent="0.25">
      <c r="A6552" s="3" t="e">
        <f ca="1"/>
        <v>#NAME?</v>
      </c>
      <c r="B6552" s="2" t="s">
        <v>12</v>
      </c>
      <c r="C6552" s="2" t="s">
        <v>12</v>
      </c>
      <c r="D6552" s="2" t="s">
        <v>12</v>
      </c>
      <c r="E6552" s="2" t="s">
        <v>12</v>
      </c>
      <c r="F6552" s="2" t="s">
        <v>12</v>
      </c>
      <c r="G6552" s="2" t="s">
        <v>12</v>
      </c>
      <c r="H6552" s="2" t="s">
        <v>12</v>
      </c>
      <c r="I6552" s="2" t="s">
        <v>12</v>
      </c>
      <c r="J6552" s="2" t="s">
        <v>12</v>
      </c>
      <c r="K6552" s="2" t="s">
        <v>12</v>
      </c>
    </row>
    <row r="6553" spans="1:11" ht="12.5" x14ac:dyDescent="0.25">
      <c r="A6553" s="3" t="e">
        <f ca="1"/>
        <v>#NAME?</v>
      </c>
      <c r="B6553" s="2" t="s">
        <v>12</v>
      </c>
      <c r="C6553" s="2" t="s">
        <v>12</v>
      </c>
      <c r="D6553" s="2" t="s">
        <v>12</v>
      </c>
      <c r="E6553" s="2" t="s">
        <v>12</v>
      </c>
      <c r="F6553" s="2" t="s">
        <v>12</v>
      </c>
      <c r="G6553" s="2" t="s">
        <v>12</v>
      </c>
      <c r="H6553" s="2" t="s">
        <v>12</v>
      </c>
      <c r="I6553" s="2" t="s">
        <v>12</v>
      </c>
      <c r="J6553" s="2" t="s">
        <v>12</v>
      </c>
      <c r="K6553" s="2" t="s">
        <v>12</v>
      </c>
    </row>
    <row r="6554" spans="1:11" ht="12.5" x14ac:dyDescent="0.25">
      <c r="A6554" s="3" t="e">
        <f ca="1"/>
        <v>#NAME?</v>
      </c>
      <c r="B6554" s="2" t="s">
        <v>12</v>
      </c>
      <c r="C6554" s="2" t="s">
        <v>12</v>
      </c>
      <c r="D6554" s="2" t="s">
        <v>12</v>
      </c>
      <c r="E6554" s="2" t="s">
        <v>12</v>
      </c>
      <c r="F6554" s="2" t="s">
        <v>12</v>
      </c>
      <c r="G6554" s="2" t="s">
        <v>12</v>
      </c>
      <c r="H6554" s="2" t="s">
        <v>12</v>
      </c>
      <c r="I6554" s="2" t="s">
        <v>12</v>
      </c>
      <c r="J6554" s="2" t="s">
        <v>12</v>
      </c>
      <c r="K6554" s="2" t="s">
        <v>12</v>
      </c>
    </row>
    <row r="6555" spans="1:11" ht="12.5" x14ac:dyDescent="0.25">
      <c r="A6555" s="3" t="e">
        <f ca="1"/>
        <v>#NAME?</v>
      </c>
      <c r="B6555" s="2" t="s">
        <v>12</v>
      </c>
      <c r="C6555" s="2" t="s">
        <v>12</v>
      </c>
      <c r="D6555" s="2" t="s">
        <v>12</v>
      </c>
      <c r="E6555" s="2" t="s">
        <v>12</v>
      </c>
      <c r="F6555" s="2" t="s">
        <v>12</v>
      </c>
      <c r="G6555" s="2" t="s">
        <v>12</v>
      </c>
      <c r="H6555" s="2" t="s">
        <v>12</v>
      </c>
      <c r="I6555" s="2" t="s">
        <v>12</v>
      </c>
      <c r="J6555" s="2" t="s">
        <v>12</v>
      </c>
      <c r="K6555" s="2" t="s">
        <v>12</v>
      </c>
    </row>
    <row r="6556" spans="1:11" ht="12.5" x14ac:dyDescent="0.25">
      <c r="A6556" s="3" t="e">
        <f ca="1"/>
        <v>#NAME?</v>
      </c>
      <c r="B6556" s="2" t="s">
        <v>12</v>
      </c>
      <c r="C6556" s="2" t="s">
        <v>12</v>
      </c>
      <c r="D6556" s="2" t="s">
        <v>12</v>
      </c>
      <c r="E6556" s="2" t="s">
        <v>12</v>
      </c>
      <c r="F6556" s="2" t="s">
        <v>12</v>
      </c>
      <c r="G6556" s="2" t="s">
        <v>12</v>
      </c>
      <c r="H6556" s="2" t="s">
        <v>12</v>
      </c>
      <c r="I6556" s="2" t="s">
        <v>12</v>
      </c>
      <c r="J6556" s="2" t="s">
        <v>12</v>
      </c>
      <c r="K6556" s="2" t="s">
        <v>12</v>
      </c>
    </row>
    <row r="6557" spans="1:11" ht="12.5" x14ac:dyDescent="0.25">
      <c r="A6557" s="3" t="e">
        <f ca="1"/>
        <v>#NAME?</v>
      </c>
      <c r="B6557" s="2" t="s">
        <v>12</v>
      </c>
      <c r="C6557" s="2" t="s">
        <v>12</v>
      </c>
      <c r="D6557" s="2" t="s">
        <v>12</v>
      </c>
      <c r="E6557" s="2" t="s">
        <v>12</v>
      </c>
      <c r="F6557" s="2" t="s">
        <v>12</v>
      </c>
      <c r="G6557" s="2" t="s">
        <v>12</v>
      </c>
      <c r="H6557" s="2" t="s">
        <v>12</v>
      </c>
      <c r="I6557" s="2" t="s">
        <v>12</v>
      </c>
      <c r="J6557" s="2" t="s">
        <v>12</v>
      </c>
      <c r="K6557" s="2" t="s">
        <v>12</v>
      </c>
    </row>
    <row r="6558" spans="1:11" ht="12.5" x14ac:dyDescent="0.25">
      <c r="A6558" s="3" t="e">
        <f ca="1"/>
        <v>#NAME?</v>
      </c>
      <c r="B6558" s="2" t="s">
        <v>12</v>
      </c>
      <c r="C6558" s="2" t="s">
        <v>12</v>
      </c>
      <c r="D6558" s="2" t="s">
        <v>12</v>
      </c>
      <c r="E6558" s="2" t="s">
        <v>12</v>
      </c>
      <c r="F6558" s="2" t="s">
        <v>12</v>
      </c>
      <c r="G6558" s="2" t="s">
        <v>12</v>
      </c>
      <c r="H6558" s="2" t="s">
        <v>12</v>
      </c>
      <c r="I6558" s="2" t="s">
        <v>12</v>
      </c>
      <c r="J6558" s="2" t="s">
        <v>12</v>
      </c>
      <c r="K6558" s="2" t="s">
        <v>12</v>
      </c>
    </row>
    <row r="6559" spans="1:11" ht="12.5" x14ac:dyDescent="0.25">
      <c r="A6559" s="3" t="e">
        <f ca="1"/>
        <v>#NAME?</v>
      </c>
      <c r="B6559" s="2" t="s">
        <v>12</v>
      </c>
      <c r="C6559" s="2" t="s">
        <v>12</v>
      </c>
      <c r="D6559" s="2" t="s">
        <v>12</v>
      </c>
      <c r="E6559" s="2" t="s">
        <v>12</v>
      </c>
      <c r="F6559" s="2" t="s">
        <v>12</v>
      </c>
      <c r="G6559" s="2" t="s">
        <v>12</v>
      </c>
      <c r="H6559" s="2" t="s">
        <v>12</v>
      </c>
      <c r="I6559" s="2" t="s">
        <v>12</v>
      </c>
      <c r="J6559" s="2" t="s">
        <v>12</v>
      </c>
      <c r="K6559" s="2" t="s">
        <v>12</v>
      </c>
    </row>
    <row r="6560" spans="1:11" ht="12.5" x14ac:dyDescent="0.25">
      <c r="A6560" s="3" t="e">
        <f ca="1"/>
        <v>#NAME?</v>
      </c>
      <c r="B6560" s="2" t="s">
        <v>12</v>
      </c>
      <c r="C6560" s="2" t="s">
        <v>12</v>
      </c>
      <c r="D6560" s="2" t="s">
        <v>12</v>
      </c>
      <c r="E6560" s="2" t="s">
        <v>12</v>
      </c>
      <c r="F6560" s="2" t="s">
        <v>12</v>
      </c>
      <c r="G6560" s="2" t="s">
        <v>12</v>
      </c>
      <c r="H6560" s="2" t="s">
        <v>12</v>
      </c>
      <c r="I6560" s="2" t="s">
        <v>12</v>
      </c>
      <c r="J6560" s="2" t="s">
        <v>12</v>
      </c>
      <c r="K6560" s="2" t="s">
        <v>12</v>
      </c>
    </row>
    <row r="6561" spans="1:11" ht="12.5" x14ac:dyDescent="0.25">
      <c r="A6561" s="3" t="e">
        <f ca="1"/>
        <v>#NAME?</v>
      </c>
      <c r="B6561" s="2" t="s">
        <v>12</v>
      </c>
      <c r="C6561" s="2" t="s">
        <v>12</v>
      </c>
      <c r="D6561" s="2" t="s">
        <v>12</v>
      </c>
      <c r="E6561" s="2" t="s">
        <v>12</v>
      </c>
      <c r="F6561" s="2" t="s">
        <v>12</v>
      </c>
      <c r="G6561" s="2" t="s">
        <v>12</v>
      </c>
      <c r="H6561" s="2" t="s">
        <v>12</v>
      </c>
      <c r="I6561" s="2" t="s">
        <v>12</v>
      </c>
      <c r="J6561" s="2" t="s">
        <v>12</v>
      </c>
      <c r="K6561" s="2" t="s">
        <v>12</v>
      </c>
    </row>
    <row r="6562" spans="1:11" ht="12.5" x14ac:dyDescent="0.25">
      <c r="A6562" s="3" t="e">
        <f ca="1"/>
        <v>#NAME?</v>
      </c>
      <c r="B6562" s="2" t="s">
        <v>12</v>
      </c>
      <c r="C6562" s="2" t="s">
        <v>12</v>
      </c>
      <c r="D6562" s="2" t="s">
        <v>12</v>
      </c>
      <c r="E6562" s="2" t="s">
        <v>12</v>
      </c>
      <c r="F6562" s="2" t="s">
        <v>12</v>
      </c>
      <c r="G6562" s="2" t="s">
        <v>12</v>
      </c>
      <c r="H6562" s="2" t="s">
        <v>12</v>
      </c>
      <c r="I6562" s="2" t="s">
        <v>12</v>
      </c>
      <c r="J6562" s="2" t="s">
        <v>12</v>
      </c>
      <c r="K6562" s="2" t="s">
        <v>12</v>
      </c>
    </row>
    <row r="6563" spans="1:11" ht="12.5" x14ac:dyDescent="0.25">
      <c r="A6563" s="3" t="e">
        <f ca="1"/>
        <v>#NAME?</v>
      </c>
      <c r="B6563" s="2" t="s">
        <v>12</v>
      </c>
      <c r="C6563" s="2" t="s">
        <v>12</v>
      </c>
      <c r="D6563" s="2" t="s">
        <v>12</v>
      </c>
      <c r="E6563" s="2" t="s">
        <v>12</v>
      </c>
      <c r="F6563" s="2" t="s">
        <v>12</v>
      </c>
      <c r="G6563" s="2" t="s">
        <v>12</v>
      </c>
      <c r="H6563" s="2" t="s">
        <v>12</v>
      </c>
      <c r="I6563" s="2" t="s">
        <v>12</v>
      </c>
      <c r="J6563" s="2" t="s">
        <v>12</v>
      </c>
      <c r="K6563" s="2" t="s">
        <v>12</v>
      </c>
    </row>
    <row r="6564" spans="1:11" ht="12.5" x14ac:dyDescent="0.25">
      <c r="A6564" s="3" t="e">
        <f ca="1"/>
        <v>#NAME?</v>
      </c>
      <c r="B6564" s="2" t="s">
        <v>12</v>
      </c>
      <c r="C6564" s="2" t="s">
        <v>12</v>
      </c>
      <c r="D6564" s="2" t="s">
        <v>12</v>
      </c>
      <c r="E6564" s="2" t="s">
        <v>12</v>
      </c>
      <c r="F6564" s="2" t="s">
        <v>12</v>
      </c>
      <c r="G6564" s="2" t="s">
        <v>12</v>
      </c>
      <c r="H6564" s="2" t="s">
        <v>12</v>
      </c>
      <c r="I6564" s="2" t="s">
        <v>12</v>
      </c>
      <c r="J6564" s="2" t="s">
        <v>12</v>
      </c>
      <c r="K6564" s="2" t="s">
        <v>12</v>
      </c>
    </row>
    <row r="6565" spans="1:11" ht="12.5" x14ac:dyDescent="0.25">
      <c r="A6565" s="3" t="e">
        <f ca="1"/>
        <v>#NAME?</v>
      </c>
      <c r="B6565" s="2" t="s">
        <v>12</v>
      </c>
      <c r="C6565" s="2" t="s">
        <v>12</v>
      </c>
      <c r="D6565" s="2" t="s">
        <v>12</v>
      </c>
      <c r="E6565" s="2" t="s">
        <v>12</v>
      </c>
      <c r="F6565" s="2" t="s">
        <v>12</v>
      </c>
      <c r="G6565" s="2" t="s">
        <v>12</v>
      </c>
      <c r="H6565" s="2" t="s">
        <v>12</v>
      </c>
      <c r="I6565" s="2" t="s">
        <v>12</v>
      </c>
      <c r="J6565" s="2" t="s">
        <v>12</v>
      </c>
      <c r="K6565" s="2" t="s">
        <v>12</v>
      </c>
    </row>
    <row r="6566" spans="1:11" ht="12.5" x14ac:dyDescent="0.25">
      <c r="A6566" s="3" t="e">
        <f ca="1"/>
        <v>#NAME?</v>
      </c>
      <c r="B6566" s="2" t="s">
        <v>12</v>
      </c>
      <c r="C6566" s="2" t="s">
        <v>12</v>
      </c>
      <c r="D6566" s="2" t="s">
        <v>12</v>
      </c>
      <c r="E6566" s="2" t="s">
        <v>12</v>
      </c>
      <c r="F6566" s="2" t="s">
        <v>12</v>
      </c>
      <c r="G6566" s="2" t="s">
        <v>12</v>
      </c>
      <c r="H6566" s="2" t="s">
        <v>12</v>
      </c>
      <c r="I6566" s="2" t="s">
        <v>12</v>
      </c>
      <c r="J6566" s="2" t="s">
        <v>12</v>
      </c>
      <c r="K6566" s="2" t="s">
        <v>12</v>
      </c>
    </row>
    <row r="6567" spans="1:11" ht="12.5" x14ac:dyDescent="0.25">
      <c r="A6567" s="3" t="e">
        <f ca="1"/>
        <v>#NAME?</v>
      </c>
      <c r="B6567" s="2" t="s">
        <v>12</v>
      </c>
      <c r="C6567" s="2" t="s">
        <v>12</v>
      </c>
      <c r="D6567" s="2" t="s">
        <v>12</v>
      </c>
      <c r="E6567" s="2" t="s">
        <v>12</v>
      </c>
      <c r="F6567" s="2" t="s">
        <v>12</v>
      </c>
      <c r="G6567" s="2" t="s">
        <v>12</v>
      </c>
      <c r="H6567" s="2" t="s">
        <v>12</v>
      </c>
      <c r="I6567" s="2" t="s">
        <v>12</v>
      </c>
      <c r="J6567" s="2" t="s">
        <v>12</v>
      </c>
      <c r="K6567" s="2" t="s">
        <v>12</v>
      </c>
    </row>
    <row r="6568" spans="1:11" ht="12.5" x14ac:dyDescent="0.25">
      <c r="A6568" s="3" t="e">
        <f ca="1"/>
        <v>#NAME?</v>
      </c>
      <c r="B6568" s="2" t="s">
        <v>12</v>
      </c>
      <c r="C6568" s="2" t="s">
        <v>12</v>
      </c>
      <c r="D6568" s="2" t="s">
        <v>12</v>
      </c>
      <c r="E6568" s="2" t="s">
        <v>12</v>
      </c>
      <c r="F6568" s="2" t="s">
        <v>12</v>
      </c>
      <c r="G6568" s="2" t="s">
        <v>12</v>
      </c>
      <c r="H6568" s="2" t="s">
        <v>12</v>
      </c>
      <c r="I6568" s="2" t="s">
        <v>12</v>
      </c>
      <c r="J6568" s="2" t="s">
        <v>12</v>
      </c>
      <c r="K6568" s="2" t="s">
        <v>12</v>
      </c>
    </row>
    <row r="6569" spans="1:11" ht="12.5" x14ac:dyDescent="0.25">
      <c r="A6569" s="3" t="e">
        <f ca="1"/>
        <v>#NAME?</v>
      </c>
      <c r="B6569" s="2" t="s">
        <v>12</v>
      </c>
      <c r="C6569" s="2" t="s">
        <v>12</v>
      </c>
      <c r="D6569" s="2" t="s">
        <v>12</v>
      </c>
      <c r="E6569" s="2" t="s">
        <v>12</v>
      </c>
      <c r="F6569" s="2" t="s">
        <v>12</v>
      </c>
      <c r="G6569" s="2" t="s">
        <v>12</v>
      </c>
      <c r="H6569" s="2" t="s">
        <v>12</v>
      </c>
      <c r="I6569" s="2" t="s">
        <v>12</v>
      </c>
      <c r="J6569" s="2" t="s">
        <v>12</v>
      </c>
      <c r="K6569" s="2" t="s">
        <v>12</v>
      </c>
    </row>
    <row r="6570" spans="1:11" ht="12.5" x14ac:dyDescent="0.25">
      <c r="A6570" s="3" t="e">
        <f ca="1"/>
        <v>#NAME?</v>
      </c>
      <c r="B6570" s="2" t="s">
        <v>12</v>
      </c>
      <c r="C6570" s="2" t="s">
        <v>12</v>
      </c>
      <c r="D6570" s="2" t="s">
        <v>12</v>
      </c>
      <c r="E6570" s="2" t="s">
        <v>12</v>
      </c>
      <c r="F6570" s="2" t="s">
        <v>12</v>
      </c>
      <c r="G6570" s="2" t="s">
        <v>12</v>
      </c>
      <c r="H6570" s="2" t="s">
        <v>12</v>
      </c>
      <c r="I6570" s="2" t="s">
        <v>12</v>
      </c>
      <c r="J6570" s="2" t="s">
        <v>12</v>
      </c>
      <c r="K6570" s="2" t="s">
        <v>12</v>
      </c>
    </row>
    <row r="6571" spans="1:11" ht="12.5" x14ac:dyDescent="0.25">
      <c r="A6571" s="3" t="e">
        <f ca="1"/>
        <v>#NAME?</v>
      </c>
      <c r="B6571" s="2" t="s">
        <v>12</v>
      </c>
      <c r="C6571" s="2" t="s">
        <v>12</v>
      </c>
      <c r="D6571" s="2" t="s">
        <v>12</v>
      </c>
      <c r="E6571" s="2" t="s">
        <v>12</v>
      </c>
      <c r="F6571" s="2" t="s">
        <v>12</v>
      </c>
      <c r="G6571" s="2" t="s">
        <v>12</v>
      </c>
      <c r="H6571" s="2" t="s">
        <v>12</v>
      </c>
      <c r="I6571" s="2" t="s">
        <v>12</v>
      </c>
      <c r="J6571" s="2" t="s">
        <v>12</v>
      </c>
      <c r="K6571" s="2" t="s">
        <v>12</v>
      </c>
    </row>
    <row r="6572" spans="1:11" ht="12.5" x14ac:dyDescent="0.25">
      <c r="A6572" s="3" t="e">
        <f ca="1"/>
        <v>#NAME?</v>
      </c>
      <c r="B6572" s="2" t="s">
        <v>12</v>
      </c>
      <c r="C6572" s="2" t="s">
        <v>12</v>
      </c>
      <c r="D6572" s="2" t="s">
        <v>12</v>
      </c>
      <c r="E6572" s="2" t="s">
        <v>12</v>
      </c>
      <c r="F6572" s="2" t="s">
        <v>12</v>
      </c>
      <c r="G6572" s="2" t="s">
        <v>12</v>
      </c>
      <c r="H6572" s="2" t="s">
        <v>12</v>
      </c>
      <c r="I6572" s="2" t="s">
        <v>12</v>
      </c>
      <c r="J6572" s="2" t="s">
        <v>12</v>
      </c>
      <c r="K6572" s="2" t="s">
        <v>12</v>
      </c>
    </row>
    <row r="6573" spans="1:11" ht="12.5" x14ac:dyDescent="0.25">
      <c r="A6573" s="3" t="e">
        <f ca="1"/>
        <v>#NAME?</v>
      </c>
      <c r="B6573" s="2" t="s">
        <v>12</v>
      </c>
      <c r="C6573" s="2" t="s">
        <v>12</v>
      </c>
      <c r="D6573" s="2" t="s">
        <v>12</v>
      </c>
      <c r="E6573" s="2" t="s">
        <v>12</v>
      </c>
      <c r="F6573" s="2" t="s">
        <v>12</v>
      </c>
      <c r="G6573" s="2" t="s">
        <v>12</v>
      </c>
      <c r="H6573" s="2" t="s">
        <v>12</v>
      </c>
      <c r="I6573" s="2" t="s">
        <v>12</v>
      </c>
      <c r="J6573" s="2" t="s">
        <v>12</v>
      </c>
      <c r="K6573" s="2" t="s">
        <v>12</v>
      </c>
    </row>
    <row r="6574" spans="1:11" ht="12.5" x14ac:dyDescent="0.25">
      <c r="A6574" s="3" t="e">
        <f ca="1"/>
        <v>#NAME?</v>
      </c>
      <c r="B6574" s="2" t="s">
        <v>12</v>
      </c>
      <c r="C6574" s="2" t="s">
        <v>12</v>
      </c>
      <c r="D6574" s="2" t="s">
        <v>12</v>
      </c>
      <c r="E6574" s="2" t="s">
        <v>12</v>
      </c>
      <c r="F6574" s="2" t="s">
        <v>12</v>
      </c>
      <c r="G6574" s="2" t="s">
        <v>12</v>
      </c>
      <c r="H6574" s="2" t="s">
        <v>12</v>
      </c>
      <c r="I6574" s="2" t="s">
        <v>12</v>
      </c>
      <c r="J6574" s="2" t="s">
        <v>12</v>
      </c>
      <c r="K6574" s="2" t="s">
        <v>12</v>
      </c>
    </row>
    <row r="6575" spans="1:11" ht="12.5" x14ac:dyDescent="0.25">
      <c r="A6575" s="3" t="e">
        <f ca="1"/>
        <v>#NAME?</v>
      </c>
      <c r="B6575" s="2" t="s">
        <v>12</v>
      </c>
      <c r="C6575" s="2" t="s">
        <v>12</v>
      </c>
      <c r="D6575" s="2" t="s">
        <v>12</v>
      </c>
      <c r="E6575" s="2" t="s">
        <v>12</v>
      </c>
      <c r="F6575" s="2" t="s">
        <v>12</v>
      </c>
      <c r="G6575" s="2" t="s">
        <v>12</v>
      </c>
      <c r="H6575" s="2" t="s">
        <v>12</v>
      </c>
      <c r="I6575" s="2" t="s">
        <v>12</v>
      </c>
      <c r="J6575" s="2" t="s">
        <v>12</v>
      </c>
      <c r="K6575" s="2" t="s">
        <v>12</v>
      </c>
    </row>
    <row r="6576" spans="1:11" ht="12.5" x14ac:dyDescent="0.25">
      <c r="A6576" s="3" t="e">
        <f ca="1"/>
        <v>#NAME?</v>
      </c>
      <c r="B6576" s="2" t="s">
        <v>12</v>
      </c>
      <c r="C6576" s="2" t="s">
        <v>12</v>
      </c>
      <c r="D6576" s="2" t="s">
        <v>12</v>
      </c>
      <c r="E6576" s="2" t="s">
        <v>12</v>
      </c>
      <c r="F6576" s="2" t="s">
        <v>12</v>
      </c>
      <c r="G6576" s="2" t="s">
        <v>12</v>
      </c>
      <c r="H6576" s="2" t="s">
        <v>12</v>
      </c>
      <c r="I6576" s="2" t="s">
        <v>12</v>
      </c>
      <c r="J6576" s="2" t="s">
        <v>12</v>
      </c>
      <c r="K6576" s="2" t="s">
        <v>12</v>
      </c>
    </row>
    <row r="6577" spans="1:11" ht="12.5" x14ac:dyDescent="0.25">
      <c r="A6577" s="3" t="e">
        <f ca="1"/>
        <v>#NAME?</v>
      </c>
      <c r="B6577" s="2" t="s">
        <v>12</v>
      </c>
      <c r="C6577" s="2" t="s">
        <v>12</v>
      </c>
      <c r="D6577" s="2" t="s">
        <v>12</v>
      </c>
      <c r="E6577" s="2" t="s">
        <v>12</v>
      </c>
      <c r="F6577" s="2" t="s">
        <v>12</v>
      </c>
      <c r="G6577" s="2" t="s">
        <v>12</v>
      </c>
      <c r="H6577" s="2" t="s">
        <v>12</v>
      </c>
      <c r="I6577" s="2" t="s">
        <v>12</v>
      </c>
      <c r="J6577" s="2" t="s">
        <v>12</v>
      </c>
      <c r="K6577" s="2" t="s">
        <v>12</v>
      </c>
    </row>
    <row r="6578" spans="1:11" ht="12.5" x14ac:dyDescent="0.25">
      <c r="A6578" s="3" t="e">
        <f ca="1"/>
        <v>#NAME?</v>
      </c>
      <c r="B6578" s="2" t="s">
        <v>12</v>
      </c>
      <c r="C6578" s="2" t="s">
        <v>12</v>
      </c>
      <c r="D6578" s="2" t="s">
        <v>12</v>
      </c>
      <c r="E6578" s="2" t="s">
        <v>12</v>
      </c>
      <c r="F6578" s="2" t="s">
        <v>12</v>
      </c>
      <c r="G6578" s="2" t="s">
        <v>12</v>
      </c>
      <c r="H6578" s="2" t="s">
        <v>12</v>
      </c>
      <c r="I6578" s="2" t="s">
        <v>12</v>
      </c>
      <c r="J6578" s="2" t="s">
        <v>12</v>
      </c>
      <c r="K6578" s="2" t="s">
        <v>12</v>
      </c>
    </row>
    <row r="6579" spans="1:11" ht="12.5" x14ac:dyDescent="0.25">
      <c r="A6579" s="3" t="e">
        <f ca="1"/>
        <v>#NAME?</v>
      </c>
      <c r="B6579" s="2" t="s">
        <v>12</v>
      </c>
      <c r="C6579" s="2" t="s">
        <v>12</v>
      </c>
      <c r="D6579" s="2" t="s">
        <v>12</v>
      </c>
      <c r="E6579" s="2" t="s">
        <v>12</v>
      </c>
      <c r="F6579" s="2" t="s">
        <v>12</v>
      </c>
      <c r="G6579" s="2" t="s">
        <v>12</v>
      </c>
      <c r="H6579" s="2" t="s">
        <v>12</v>
      </c>
      <c r="I6579" s="2" t="s">
        <v>12</v>
      </c>
      <c r="J6579" s="2" t="s">
        <v>12</v>
      </c>
      <c r="K6579" s="2" t="s">
        <v>12</v>
      </c>
    </row>
    <row r="6580" spans="1:11" ht="12.5" x14ac:dyDescent="0.25">
      <c r="A6580" s="3" t="e">
        <f ca="1"/>
        <v>#NAME?</v>
      </c>
      <c r="B6580" s="2" t="s">
        <v>12</v>
      </c>
      <c r="C6580" s="2" t="s">
        <v>12</v>
      </c>
      <c r="D6580" s="2" t="s">
        <v>12</v>
      </c>
      <c r="E6580" s="2" t="s">
        <v>12</v>
      </c>
      <c r="F6580" s="2" t="s">
        <v>12</v>
      </c>
      <c r="G6580" s="2" t="s">
        <v>12</v>
      </c>
      <c r="H6580" s="2" t="s">
        <v>12</v>
      </c>
      <c r="I6580" s="2" t="s">
        <v>12</v>
      </c>
      <c r="J6580" s="2" t="s">
        <v>12</v>
      </c>
      <c r="K6580" s="2" t="s">
        <v>12</v>
      </c>
    </row>
    <row r="6581" spans="1:11" ht="12.5" x14ac:dyDescent="0.25">
      <c r="A6581" s="3" t="e">
        <f ca="1"/>
        <v>#NAME?</v>
      </c>
      <c r="B6581" s="2" t="s">
        <v>12</v>
      </c>
      <c r="C6581" s="2" t="s">
        <v>12</v>
      </c>
      <c r="D6581" s="2" t="s">
        <v>12</v>
      </c>
      <c r="E6581" s="2" t="s">
        <v>12</v>
      </c>
      <c r="F6581" s="2" t="s">
        <v>12</v>
      </c>
      <c r="G6581" s="2" t="s">
        <v>12</v>
      </c>
      <c r="H6581" s="2" t="s">
        <v>12</v>
      </c>
      <c r="I6581" s="2" t="s">
        <v>12</v>
      </c>
      <c r="J6581" s="2" t="s">
        <v>12</v>
      </c>
      <c r="K6581" s="2" t="s">
        <v>12</v>
      </c>
    </row>
    <row r="6582" spans="1:11" ht="12.5" x14ac:dyDescent="0.25">
      <c r="A6582" s="3" t="e">
        <f ca="1"/>
        <v>#NAME?</v>
      </c>
      <c r="B6582" s="2" t="s">
        <v>12</v>
      </c>
      <c r="C6582" s="2" t="s">
        <v>12</v>
      </c>
      <c r="D6582" s="2" t="s">
        <v>12</v>
      </c>
      <c r="E6582" s="2" t="s">
        <v>12</v>
      </c>
      <c r="F6582" s="2" t="s">
        <v>12</v>
      </c>
      <c r="G6582" s="2" t="s">
        <v>12</v>
      </c>
      <c r="H6582" s="2" t="s">
        <v>12</v>
      </c>
      <c r="I6582" s="2" t="s">
        <v>12</v>
      </c>
      <c r="J6582" s="2" t="s">
        <v>12</v>
      </c>
      <c r="K6582" s="2" t="s">
        <v>12</v>
      </c>
    </row>
    <row r="6583" spans="1:11" ht="12.5" x14ac:dyDescent="0.25">
      <c r="A6583" s="3" t="e">
        <f ca="1"/>
        <v>#NAME?</v>
      </c>
      <c r="B6583" s="2" t="s">
        <v>12</v>
      </c>
      <c r="C6583" s="2" t="s">
        <v>12</v>
      </c>
      <c r="D6583" s="2" t="s">
        <v>12</v>
      </c>
      <c r="E6583" s="2" t="s">
        <v>12</v>
      </c>
      <c r="F6583" s="2" t="s">
        <v>12</v>
      </c>
      <c r="G6583" s="2" t="s">
        <v>12</v>
      </c>
      <c r="H6583" s="2" t="s">
        <v>12</v>
      </c>
      <c r="I6583" s="2" t="s">
        <v>12</v>
      </c>
      <c r="J6583" s="2" t="s">
        <v>12</v>
      </c>
      <c r="K6583" s="2" t="s">
        <v>12</v>
      </c>
    </row>
    <row r="6584" spans="1:11" ht="12.5" x14ac:dyDescent="0.25">
      <c r="A6584" s="3" t="e">
        <f ca="1"/>
        <v>#NAME?</v>
      </c>
      <c r="B6584" s="2" t="s">
        <v>12</v>
      </c>
      <c r="C6584" s="2" t="s">
        <v>12</v>
      </c>
      <c r="D6584" s="2" t="s">
        <v>12</v>
      </c>
      <c r="E6584" s="2" t="s">
        <v>12</v>
      </c>
      <c r="F6584" s="2" t="s">
        <v>12</v>
      </c>
      <c r="G6584" s="2" t="s">
        <v>12</v>
      </c>
      <c r="H6584" s="2" t="s">
        <v>12</v>
      </c>
      <c r="I6584" s="2" t="s">
        <v>12</v>
      </c>
      <c r="J6584" s="2" t="s">
        <v>12</v>
      </c>
      <c r="K6584" s="2" t="s">
        <v>12</v>
      </c>
    </row>
    <row r="6585" spans="1:11" ht="12.5" x14ac:dyDescent="0.25">
      <c r="A6585" s="3" t="e">
        <f ca="1"/>
        <v>#NAME?</v>
      </c>
      <c r="B6585" s="2" t="s">
        <v>12</v>
      </c>
      <c r="C6585" s="2" t="s">
        <v>12</v>
      </c>
      <c r="D6585" s="2" t="s">
        <v>12</v>
      </c>
      <c r="E6585" s="2" t="s">
        <v>12</v>
      </c>
      <c r="F6585" s="2" t="s">
        <v>12</v>
      </c>
      <c r="G6585" s="2" t="s">
        <v>12</v>
      </c>
      <c r="H6585" s="2" t="s">
        <v>12</v>
      </c>
      <c r="I6585" s="2" t="s">
        <v>12</v>
      </c>
      <c r="J6585" s="2" t="s">
        <v>12</v>
      </c>
      <c r="K6585" s="2" t="s">
        <v>12</v>
      </c>
    </row>
    <row r="6586" spans="1:11" ht="12.5" x14ac:dyDescent="0.25">
      <c r="A6586" s="3" t="e">
        <f ca="1"/>
        <v>#NAME?</v>
      </c>
      <c r="B6586" s="2" t="s">
        <v>12</v>
      </c>
      <c r="C6586" s="2" t="s">
        <v>12</v>
      </c>
      <c r="D6586" s="2" t="s">
        <v>12</v>
      </c>
      <c r="E6586" s="2" t="s">
        <v>12</v>
      </c>
      <c r="F6586" s="2" t="s">
        <v>12</v>
      </c>
      <c r="G6586" s="2" t="s">
        <v>12</v>
      </c>
      <c r="H6586" s="2" t="s">
        <v>12</v>
      </c>
      <c r="I6586" s="2" t="s">
        <v>12</v>
      </c>
      <c r="J6586" s="2" t="s">
        <v>12</v>
      </c>
      <c r="K6586" s="2" t="s">
        <v>12</v>
      </c>
    </row>
    <row r="6587" spans="1:11" ht="12.5" x14ac:dyDescent="0.25">
      <c r="A6587" s="3" t="e">
        <f ca="1"/>
        <v>#NAME?</v>
      </c>
      <c r="B6587" s="2" t="s">
        <v>12</v>
      </c>
      <c r="C6587" s="2" t="s">
        <v>12</v>
      </c>
      <c r="D6587" s="2" t="s">
        <v>12</v>
      </c>
      <c r="E6587" s="2" t="s">
        <v>12</v>
      </c>
      <c r="F6587" s="2" t="s">
        <v>12</v>
      </c>
      <c r="G6587" s="2" t="s">
        <v>12</v>
      </c>
      <c r="H6587" s="2" t="s">
        <v>12</v>
      </c>
      <c r="I6587" s="2" t="s">
        <v>12</v>
      </c>
      <c r="J6587" s="2" t="s">
        <v>12</v>
      </c>
      <c r="K6587" s="2" t="s">
        <v>12</v>
      </c>
    </row>
    <row r="6588" spans="1:11" ht="12.5" x14ac:dyDescent="0.25">
      <c r="A6588" s="3" t="e">
        <f ca="1"/>
        <v>#NAME?</v>
      </c>
      <c r="B6588" s="2" t="s">
        <v>12</v>
      </c>
      <c r="C6588" s="2" t="s">
        <v>12</v>
      </c>
      <c r="D6588" s="2" t="s">
        <v>12</v>
      </c>
      <c r="E6588" s="2" t="s">
        <v>12</v>
      </c>
      <c r="F6588" s="2" t="s">
        <v>12</v>
      </c>
      <c r="G6588" s="2" t="s">
        <v>12</v>
      </c>
      <c r="H6588" s="2" t="s">
        <v>12</v>
      </c>
      <c r="I6588" s="2" t="s">
        <v>12</v>
      </c>
      <c r="J6588" s="2" t="s">
        <v>12</v>
      </c>
      <c r="K6588" s="2" t="s">
        <v>12</v>
      </c>
    </row>
    <row r="6589" spans="1:11" ht="12.5" x14ac:dyDescent="0.25">
      <c r="A6589" s="3" t="e">
        <f ca="1"/>
        <v>#NAME?</v>
      </c>
      <c r="B6589" s="2" t="s">
        <v>12</v>
      </c>
      <c r="C6589" s="2" t="s">
        <v>12</v>
      </c>
      <c r="D6589" s="2" t="s">
        <v>12</v>
      </c>
      <c r="E6589" s="2" t="s">
        <v>12</v>
      </c>
      <c r="F6589" s="2" t="s">
        <v>12</v>
      </c>
      <c r="G6589" s="2" t="s">
        <v>12</v>
      </c>
      <c r="H6589" s="2" t="s">
        <v>12</v>
      </c>
      <c r="I6589" s="2" t="s">
        <v>12</v>
      </c>
      <c r="J6589" s="2" t="s">
        <v>12</v>
      </c>
      <c r="K6589" s="2" t="s">
        <v>12</v>
      </c>
    </row>
    <row r="6590" spans="1:11" ht="12.5" x14ac:dyDescent="0.25">
      <c r="A6590" s="3" t="e">
        <f ca="1"/>
        <v>#NAME?</v>
      </c>
      <c r="B6590" s="2" t="s">
        <v>12</v>
      </c>
      <c r="C6590" s="2" t="s">
        <v>12</v>
      </c>
      <c r="D6590" s="2" t="s">
        <v>12</v>
      </c>
      <c r="E6590" s="2" t="s">
        <v>12</v>
      </c>
      <c r="F6590" s="2" t="s">
        <v>12</v>
      </c>
      <c r="G6590" s="2" t="s">
        <v>12</v>
      </c>
      <c r="H6590" s="2" t="s">
        <v>12</v>
      </c>
      <c r="I6590" s="2" t="s">
        <v>12</v>
      </c>
      <c r="J6590" s="2" t="s">
        <v>12</v>
      </c>
      <c r="K6590" s="2" t="s">
        <v>12</v>
      </c>
    </row>
    <row r="6591" spans="1:11" ht="12.5" x14ac:dyDescent="0.25">
      <c r="A6591" s="3" t="e">
        <f ca="1"/>
        <v>#NAME?</v>
      </c>
      <c r="B6591" s="2" t="s">
        <v>12</v>
      </c>
      <c r="C6591" s="2" t="s">
        <v>12</v>
      </c>
      <c r="D6591" s="2" t="s">
        <v>12</v>
      </c>
      <c r="E6591" s="2" t="s">
        <v>12</v>
      </c>
      <c r="F6591" s="2" t="s">
        <v>12</v>
      </c>
      <c r="G6591" s="2" t="s">
        <v>12</v>
      </c>
      <c r="H6591" s="2" t="s">
        <v>12</v>
      </c>
      <c r="I6591" s="2" t="s">
        <v>12</v>
      </c>
      <c r="J6591" s="2" t="s">
        <v>12</v>
      </c>
      <c r="K6591" s="2" t="s">
        <v>12</v>
      </c>
    </row>
    <row r="6592" spans="1:11" ht="12.5" x14ac:dyDescent="0.25">
      <c r="A6592" s="3" t="e">
        <f ca="1"/>
        <v>#NAME?</v>
      </c>
      <c r="B6592" s="2" t="s">
        <v>12</v>
      </c>
      <c r="C6592" s="2" t="s">
        <v>12</v>
      </c>
      <c r="D6592" s="2" t="s">
        <v>12</v>
      </c>
      <c r="E6592" s="2" t="s">
        <v>12</v>
      </c>
      <c r="F6592" s="2" t="s">
        <v>12</v>
      </c>
      <c r="G6592" s="2" t="s">
        <v>12</v>
      </c>
      <c r="H6592" s="2" t="s">
        <v>12</v>
      </c>
      <c r="I6592" s="2" t="s">
        <v>12</v>
      </c>
      <c r="J6592" s="2" t="s">
        <v>12</v>
      </c>
      <c r="K6592" s="2" t="s">
        <v>12</v>
      </c>
    </row>
    <row r="6593" spans="1:11" ht="12.5" x14ac:dyDescent="0.25">
      <c r="A6593" s="3" t="e">
        <f ca="1"/>
        <v>#NAME?</v>
      </c>
      <c r="B6593" s="2" t="s">
        <v>12</v>
      </c>
      <c r="C6593" s="2" t="s">
        <v>12</v>
      </c>
      <c r="D6593" s="2" t="s">
        <v>12</v>
      </c>
      <c r="E6593" s="2" t="s">
        <v>12</v>
      </c>
      <c r="F6593" s="2" t="s">
        <v>12</v>
      </c>
      <c r="G6593" s="2" t="s">
        <v>12</v>
      </c>
      <c r="H6593" s="2" t="s">
        <v>12</v>
      </c>
      <c r="I6593" s="2" t="s">
        <v>12</v>
      </c>
      <c r="J6593" s="2" t="s">
        <v>12</v>
      </c>
      <c r="K6593" s="2" t="s">
        <v>12</v>
      </c>
    </row>
    <row r="6594" spans="1:11" ht="12.5" x14ac:dyDescent="0.25">
      <c r="A6594" s="3" t="e">
        <f ca="1"/>
        <v>#NAME?</v>
      </c>
      <c r="B6594" s="2" t="s">
        <v>12</v>
      </c>
      <c r="C6594" s="2" t="s">
        <v>12</v>
      </c>
      <c r="D6594" s="2" t="s">
        <v>12</v>
      </c>
      <c r="E6594" s="2" t="s">
        <v>12</v>
      </c>
      <c r="F6594" s="2" t="s">
        <v>12</v>
      </c>
      <c r="G6594" s="2" t="s">
        <v>12</v>
      </c>
      <c r="H6594" s="2" t="s">
        <v>12</v>
      </c>
      <c r="I6594" s="2" t="s">
        <v>12</v>
      </c>
      <c r="J6594" s="2" t="s">
        <v>12</v>
      </c>
      <c r="K6594" s="2" t="s">
        <v>12</v>
      </c>
    </row>
    <row r="6595" spans="1:11" ht="12.5" x14ac:dyDescent="0.25">
      <c r="A6595" s="3" t="e">
        <f ca="1"/>
        <v>#NAME?</v>
      </c>
      <c r="B6595" s="2" t="s">
        <v>12</v>
      </c>
      <c r="C6595" s="2" t="s">
        <v>12</v>
      </c>
      <c r="D6595" s="2" t="s">
        <v>12</v>
      </c>
      <c r="E6595" s="2" t="s">
        <v>12</v>
      </c>
      <c r="F6595" s="2" t="s">
        <v>12</v>
      </c>
      <c r="G6595" s="2" t="s">
        <v>12</v>
      </c>
      <c r="H6595" s="2" t="s">
        <v>12</v>
      </c>
      <c r="I6595" s="2" t="s">
        <v>12</v>
      </c>
      <c r="J6595" s="2" t="s">
        <v>12</v>
      </c>
      <c r="K6595" s="2" t="s">
        <v>12</v>
      </c>
    </row>
    <row r="6596" spans="1:11" ht="12.5" x14ac:dyDescent="0.25">
      <c r="A6596" s="3" t="e">
        <f ca="1"/>
        <v>#NAME?</v>
      </c>
      <c r="B6596" s="2" t="s">
        <v>12</v>
      </c>
      <c r="C6596" s="2" t="s">
        <v>12</v>
      </c>
      <c r="D6596" s="2" t="s">
        <v>12</v>
      </c>
      <c r="E6596" s="2" t="s">
        <v>12</v>
      </c>
      <c r="F6596" s="2" t="s">
        <v>12</v>
      </c>
      <c r="G6596" s="2" t="s">
        <v>12</v>
      </c>
      <c r="H6596" s="2" t="s">
        <v>12</v>
      </c>
      <c r="I6596" s="2" t="s">
        <v>12</v>
      </c>
      <c r="J6596" s="2" t="s">
        <v>12</v>
      </c>
      <c r="K6596" s="2" t="s">
        <v>12</v>
      </c>
    </row>
    <row r="6597" spans="1:11" ht="12.5" x14ac:dyDescent="0.25">
      <c r="A6597" s="3" t="e">
        <f ca="1"/>
        <v>#NAME?</v>
      </c>
      <c r="B6597" s="2" t="s">
        <v>12</v>
      </c>
      <c r="C6597" s="2" t="s">
        <v>12</v>
      </c>
      <c r="D6597" s="2" t="s">
        <v>12</v>
      </c>
      <c r="E6597" s="2" t="s">
        <v>12</v>
      </c>
      <c r="F6597" s="2" t="s">
        <v>12</v>
      </c>
      <c r="G6597" s="2" t="s">
        <v>12</v>
      </c>
      <c r="H6597" s="2" t="s">
        <v>12</v>
      </c>
      <c r="I6597" s="2" t="s">
        <v>12</v>
      </c>
      <c r="J6597" s="2" t="s">
        <v>12</v>
      </c>
      <c r="K6597" s="2" t="s">
        <v>12</v>
      </c>
    </row>
    <row r="6598" spans="1:11" ht="12.5" x14ac:dyDescent="0.25">
      <c r="A6598" s="3" t="e">
        <f ca="1"/>
        <v>#NAME?</v>
      </c>
      <c r="B6598" s="2" t="s">
        <v>12</v>
      </c>
      <c r="C6598" s="2" t="s">
        <v>12</v>
      </c>
      <c r="D6598" s="2" t="s">
        <v>12</v>
      </c>
      <c r="E6598" s="2" t="s">
        <v>12</v>
      </c>
      <c r="F6598" s="2" t="s">
        <v>12</v>
      </c>
      <c r="G6598" s="2" t="s">
        <v>12</v>
      </c>
      <c r="H6598" s="2" t="s">
        <v>12</v>
      </c>
      <c r="I6598" s="2" t="s">
        <v>12</v>
      </c>
      <c r="J6598" s="2" t="s">
        <v>12</v>
      </c>
      <c r="K6598" s="2" t="s">
        <v>12</v>
      </c>
    </row>
    <row r="6599" spans="1:11" ht="12.5" x14ac:dyDescent="0.25">
      <c r="A6599" s="3" t="e">
        <f ca="1"/>
        <v>#NAME?</v>
      </c>
      <c r="B6599" s="2" t="s">
        <v>12</v>
      </c>
      <c r="C6599" s="2" t="s">
        <v>12</v>
      </c>
      <c r="D6599" s="2" t="s">
        <v>12</v>
      </c>
      <c r="E6599" s="2" t="s">
        <v>12</v>
      </c>
      <c r="F6599" s="2" t="s">
        <v>12</v>
      </c>
      <c r="G6599" s="2" t="s">
        <v>12</v>
      </c>
      <c r="H6599" s="2" t="s">
        <v>12</v>
      </c>
      <c r="I6599" s="2" t="s">
        <v>12</v>
      </c>
      <c r="J6599" s="2" t="s">
        <v>12</v>
      </c>
      <c r="K6599" s="2" t="s">
        <v>12</v>
      </c>
    </row>
    <row r="6600" spans="1:11" ht="12.5" x14ac:dyDescent="0.25">
      <c r="A6600" s="3" t="e">
        <f ca="1"/>
        <v>#NAME?</v>
      </c>
      <c r="B6600" s="2" t="s">
        <v>12</v>
      </c>
      <c r="C6600" s="2" t="s">
        <v>12</v>
      </c>
      <c r="D6600" s="2" t="s">
        <v>12</v>
      </c>
      <c r="E6600" s="2" t="s">
        <v>12</v>
      </c>
      <c r="F6600" s="2" t="s">
        <v>12</v>
      </c>
      <c r="G6600" s="2" t="s">
        <v>12</v>
      </c>
      <c r="H6600" s="2" t="s">
        <v>12</v>
      </c>
      <c r="I6600" s="2" t="s">
        <v>12</v>
      </c>
      <c r="J6600" s="2" t="s">
        <v>12</v>
      </c>
      <c r="K6600" s="2" t="s">
        <v>12</v>
      </c>
    </row>
    <row r="6601" spans="1:11" ht="12.5" x14ac:dyDescent="0.25">
      <c r="A6601" s="3" t="e">
        <f ca="1"/>
        <v>#NAME?</v>
      </c>
      <c r="B6601" s="2" t="s">
        <v>12</v>
      </c>
      <c r="C6601" s="2" t="s">
        <v>12</v>
      </c>
      <c r="D6601" s="2" t="s">
        <v>12</v>
      </c>
      <c r="E6601" s="2" t="s">
        <v>12</v>
      </c>
      <c r="F6601" s="2" t="s">
        <v>12</v>
      </c>
      <c r="G6601" s="2" t="s">
        <v>12</v>
      </c>
      <c r="H6601" s="2" t="s">
        <v>12</v>
      </c>
      <c r="I6601" s="2" t="s">
        <v>12</v>
      </c>
      <c r="J6601" s="2" t="s">
        <v>12</v>
      </c>
      <c r="K6601" s="2" t="s">
        <v>12</v>
      </c>
    </row>
    <row r="6602" spans="1:11" ht="12.5" x14ac:dyDescent="0.25">
      <c r="A6602" s="3" t="e">
        <f ca="1"/>
        <v>#NAME?</v>
      </c>
      <c r="B6602" s="2" t="s">
        <v>12</v>
      </c>
      <c r="C6602" s="2" t="s">
        <v>12</v>
      </c>
      <c r="D6602" s="2" t="s">
        <v>12</v>
      </c>
      <c r="E6602" s="2" t="s">
        <v>12</v>
      </c>
      <c r="F6602" s="2" t="s">
        <v>12</v>
      </c>
      <c r="G6602" s="2" t="s">
        <v>12</v>
      </c>
      <c r="H6602" s="2" t="s">
        <v>12</v>
      </c>
      <c r="I6602" s="2" t="s">
        <v>12</v>
      </c>
      <c r="J6602" s="2" t="s">
        <v>12</v>
      </c>
      <c r="K6602" s="2" t="s">
        <v>12</v>
      </c>
    </row>
    <row r="6603" spans="1:11" ht="12.5" x14ac:dyDescent="0.25">
      <c r="A6603" s="3" t="e">
        <f ca="1"/>
        <v>#NAME?</v>
      </c>
      <c r="B6603" s="2" t="s">
        <v>12</v>
      </c>
      <c r="C6603" s="2" t="s">
        <v>12</v>
      </c>
      <c r="D6603" s="2" t="s">
        <v>12</v>
      </c>
      <c r="E6603" s="2" t="s">
        <v>12</v>
      </c>
      <c r="F6603" s="2" t="s">
        <v>12</v>
      </c>
      <c r="G6603" s="2" t="s">
        <v>12</v>
      </c>
      <c r="H6603" s="2" t="s">
        <v>12</v>
      </c>
      <c r="I6603" s="2" t="s">
        <v>12</v>
      </c>
      <c r="J6603" s="2" t="s">
        <v>12</v>
      </c>
      <c r="K6603" s="2" t="s">
        <v>12</v>
      </c>
    </row>
    <row r="6604" spans="1:11" ht="12.5" x14ac:dyDescent="0.25">
      <c r="A6604" s="3" t="e">
        <f ca="1"/>
        <v>#NAME?</v>
      </c>
      <c r="B6604" s="2" t="s">
        <v>12</v>
      </c>
      <c r="C6604" s="2" t="s">
        <v>12</v>
      </c>
      <c r="D6604" s="2" t="s">
        <v>12</v>
      </c>
      <c r="E6604" s="2" t="s">
        <v>12</v>
      </c>
      <c r="F6604" s="2" t="s">
        <v>12</v>
      </c>
      <c r="G6604" s="2" t="s">
        <v>12</v>
      </c>
      <c r="H6604" s="2" t="s">
        <v>12</v>
      </c>
      <c r="I6604" s="2" t="s">
        <v>12</v>
      </c>
      <c r="J6604" s="2" t="s">
        <v>12</v>
      </c>
      <c r="K6604" s="2" t="s">
        <v>12</v>
      </c>
    </row>
    <row r="6605" spans="1:11" ht="12.5" x14ac:dyDescent="0.25">
      <c r="A6605" s="3" t="e">
        <f ca="1"/>
        <v>#NAME?</v>
      </c>
      <c r="B6605" s="2" t="s">
        <v>12</v>
      </c>
      <c r="C6605" s="2" t="s">
        <v>12</v>
      </c>
      <c r="D6605" s="2" t="s">
        <v>12</v>
      </c>
      <c r="E6605" s="2" t="s">
        <v>12</v>
      </c>
      <c r="F6605" s="2" t="s">
        <v>12</v>
      </c>
      <c r="G6605" s="2" t="s">
        <v>12</v>
      </c>
      <c r="H6605" s="2" t="s">
        <v>12</v>
      </c>
      <c r="I6605" s="2" t="s">
        <v>12</v>
      </c>
      <c r="J6605" s="2" t="s">
        <v>12</v>
      </c>
      <c r="K6605" s="2" t="s">
        <v>12</v>
      </c>
    </row>
    <row r="6606" spans="1:11" ht="12.5" x14ac:dyDescent="0.25">
      <c r="A6606" s="3" t="e">
        <f ca="1"/>
        <v>#NAME?</v>
      </c>
      <c r="B6606" s="2" t="s">
        <v>12</v>
      </c>
      <c r="C6606" s="2" t="s">
        <v>12</v>
      </c>
      <c r="D6606" s="2" t="s">
        <v>12</v>
      </c>
      <c r="E6606" s="2" t="s">
        <v>12</v>
      </c>
      <c r="F6606" s="2" t="s">
        <v>12</v>
      </c>
      <c r="G6606" s="2" t="s">
        <v>12</v>
      </c>
      <c r="H6606" s="2" t="s">
        <v>12</v>
      </c>
      <c r="I6606" s="2" t="s">
        <v>12</v>
      </c>
      <c r="J6606" s="2" t="s">
        <v>12</v>
      </c>
      <c r="K6606" s="2" t="s">
        <v>12</v>
      </c>
    </row>
    <row r="6607" spans="1:11" ht="12.5" x14ac:dyDescent="0.25">
      <c r="A6607" s="3" t="e">
        <f ca="1"/>
        <v>#NAME?</v>
      </c>
      <c r="B6607" s="2" t="s">
        <v>12</v>
      </c>
      <c r="C6607" s="2" t="s">
        <v>12</v>
      </c>
      <c r="D6607" s="2" t="s">
        <v>12</v>
      </c>
      <c r="E6607" s="2" t="s">
        <v>12</v>
      </c>
      <c r="F6607" s="2" t="s">
        <v>12</v>
      </c>
      <c r="G6607" s="2" t="s">
        <v>12</v>
      </c>
      <c r="H6607" s="2" t="s">
        <v>12</v>
      </c>
      <c r="I6607" s="2" t="s">
        <v>12</v>
      </c>
      <c r="J6607" s="2" t="s">
        <v>12</v>
      </c>
      <c r="K6607" s="2" t="s">
        <v>12</v>
      </c>
    </row>
    <row r="6608" spans="1:11" ht="12.5" x14ac:dyDescent="0.25">
      <c r="A6608" s="3" t="e">
        <f ca="1"/>
        <v>#NAME?</v>
      </c>
      <c r="B6608" s="2" t="s">
        <v>12</v>
      </c>
      <c r="C6608" s="2" t="s">
        <v>12</v>
      </c>
      <c r="D6608" s="2" t="s">
        <v>12</v>
      </c>
      <c r="E6608" s="2" t="s">
        <v>12</v>
      </c>
      <c r="F6608" s="2" t="s">
        <v>12</v>
      </c>
      <c r="G6608" s="2" t="s">
        <v>12</v>
      </c>
      <c r="H6608" s="2" t="s">
        <v>12</v>
      </c>
      <c r="I6608" s="2" t="s">
        <v>12</v>
      </c>
      <c r="J6608" s="2" t="s">
        <v>12</v>
      </c>
      <c r="K6608" s="2" t="s">
        <v>12</v>
      </c>
    </row>
    <row r="6609" spans="1:11" ht="12.5" x14ac:dyDescent="0.25">
      <c r="A6609" s="3" t="e">
        <f ca="1"/>
        <v>#NAME?</v>
      </c>
      <c r="B6609" s="2" t="s">
        <v>12</v>
      </c>
      <c r="C6609" s="2" t="s">
        <v>12</v>
      </c>
      <c r="D6609" s="2" t="s">
        <v>12</v>
      </c>
      <c r="E6609" s="2" t="s">
        <v>12</v>
      </c>
      <c r="F6609" s="2" t="s">
        <v>12</v>
      </c>
      <c r="G6609" s="2" t="s">
        <v>12</v>
      </c>
      <c r="H6609" s="2" t="s">
        <v>12</v>
      </c>
      <c r="I6609" s="2" t="s">
        <v>12</v>
      </c>
      <c r="J6609" s="2" t="s">
        <v>12</v>
      </c>
      <c r="K6609" s="2" t="s">
        <v>12</v>
      </c>
    </row>
    <row r="6610" spans="1:11" ht="12.5" x14ac:dyDescent="0.25">
      <c r="A6610" s="3" t="e">
        <f ca="1"/>
        <v>#NAME?</v>
      </c>
      <c r="B6610" s="2" t="s">
        <v>12</v>
      </c>
      <c r="C6610" s="2" t="s">
        <v>12</v>
      </c>
      <c r="D6610" s="2" t="s">
        <v>12</v>
      </c>
      <c r="E6610" s="2" t="s">
        <v>12</v>
      </c>
      <c r="F6610" s="2" t="s">
        <v>12</v>
      </c>
      <c r="G6610" s="2" t="s">
        <v>12</v>
      </c>
      <c r="H6610" s="2" t="s">
        <v>12</v>
      </c>
      <c r="I6610" s="2" t="s">
        <v>12</v>
      </c>
      <c r="J6610" s="2" t="s">
        <v>12</v>
      </c>
      <c r="K6610" s="2" t="s">
        <v>12</v>
      </c>
    </row>
    <row r="6611" spans="1:11" ht="12.5" x14ac:dyDescent="0.25">
      <c r="A6611" s="3" t="e">
        <f ca="1"/>
        <v>#NAME?</v>
      </c>
      <c r="B6611" s="2" t="s">
        <v>12</v>
      </c>
      <c r="C6611" s="2" t="s">
        <v>12</v>
      </c>
      <c r="D6611" s="2" t="s">
        <v>12</v>
      </c>
      <c r="E6611" s="2" t="s">
        <v>12</v>
      </c>
      <c r="F6611" s="2" t="s">
        <v>12</v>
      </c>
      <c r="G6611" s="2" t="s">
        <v>12</v>
      </c>
      <c r="H6611" s="2" t="s">
        <v>12</v>
      </c>
      <c r="I6611" s="2" t="s">
        <v>12</v>
      </c>
      <c r="J6611" s="2" t="s">
        <v>12</v>
      </c>
      <c r="K6611" s="2" t="s">
        <v>12</v>
      </c>
    </row>
    <row r="6612" spans="1:11" ht="12.5" x14ac:dyDescent="0.25">
      <c r="A6612" s="3" t="e">
        <f ca="1"/>
        <v>#NAME?</v>
      </c>
      <c r="B6612" s="2" t="s">
        <v>12</v>
      </c>
      <c r="C6612" s="2" t="s">
        <v>12</v>
      </c>
      <c r="D6612" s="2" t="s">
        <v>12</v>
      </c>
      <c r="E6612" s="2" t="s">
        <v>12</v>
      </c>
      <c r="F6612" s="2" t="s">
        <v>12</v>
      </c>
      <c r="G6612" s="2" t="s">
        <v>12</v>
      </c>
      <c r="H6612" s="2" t="s">
        <v>12</v>
      </c>
      <c r="I6612" s="2" t="s">
        <v>12</v>
      </c>
      <c r="J6612" s="2" t="s">
        <v>12</v>
      </c>
      <c r="K6612" s="2" t="s">
        <v>12</v>
      </c>
    </row>
    <row r="6613" spans="1:11" ht="12.5" x14ac:dyDescent="0.25">
      <c r="A6613" s="3" t="e">
        <f ca="1"/>
        <v>#NAME?</v>
      </c>
      <c r="B6613" s="2" t="s">
        <v>12</v>
      </c>
      <c r="C6613" s="2" t="s">
        <v>12</v>
      </c>
      <c r="D6613" s="2" t="s">
        <v>12</v>
      </c>
      <c r="E6613" s="2" t="s">
        <v>12</v>
      </c>
      <c r="F6613" s="2" t="s">
        <v>12</v>
      </c>
      <c r="G6613" s="2" t="s">
        <v>12</v>
      </c>
      <c r="H6613" s="2" t="s">
        <v>12</v>
      </c>
      <c r="I6613" s="2" t="s">
        <v>12</v>
      </c>
      <c r="J6613" s="2" t="s">
        <v>12</v>
      </c>
      <c r="K6613" s="2" t="s">
        <v>12</v>
      </c>
    </row>
    <row r="6614" spans="1:11" ht="12.5" x14ac:dyDescent="0.25">
      <c r="A6614" s="3" t="e">
        <f ca="1"/>
        <v>#NAME?</v>
      </c>
      <c r="B6614" s="2" t="s">
        <v>12</v>
      </c>
      <c r="C6614" s="2" t="s">
        <v>12</v>
      </c>
      <c r="D6614" s="2" t="s">
        <v>12</v>
      </c>
      <c r="E6614" s="2" t="s">
        <v>12</v>
      </c>
      <c r="F6614" s="2" t="s">
        <v>12</v>
      </c>
      <c r="G6614" s="2" t="s">
        <v>12</v>
      </c>
      <c r="H6614" s="2" t="s">
        <v>12</v>
      </c>
      <c r="I6614" s="2" t="s">
        <v>12</v>
      </c>
      <c r="J6614" s="2" t="s">
        <v>12</v>
      </c>
      <c r="K6614" s="2" t="s">
        <v>12</v>
      </c>
    </row>
    <row r="6615" spans="1:11" ht="12.5" x14ac:dyDescent="0.25">
      <c r="A6615" s="3" t="e">
        <f ca="1"/>
        <v>#NAME?</v>
      </c>
      <c r="B6615" s="2" t="s">
        <v>12</v>
      </c>
      <c r="C6615" s="2" t="s">
        <v>12</v>
      </c>
      <c r="D6615" s="2" t="s">
        <v>12</v>
      </c>
      <c r="E6615" s="2" t="s">
        <v>12</v>
      </c>
      <c r="F6615" s="2" t="s">
        <v>12</v>
      </c>
      <c r="G6615" s="2" t="s">
        <v>12</v>
      </c>
      <c r="H6615" s="2" t="s">
        <v>12</v>
      </c>
      <c r="I6615" s="2" t="s">
        <v>12</v>
      </c>
      <c r="J6615" s="2" t="s">
        <v>12</v>
      </c>
      <c r="K6615" s="2" t="s">
        <v>12</v>
      </c>
    </row>
    <row r="6616" spans="1:11" ht="12.5" x14ac:dyDescent="0.25">
      <c r="A6616" s="3" t="e">
        <f ca="1"/>
        <v>#NAME?</v>
      </c>
      <c r="B6616" s="2" t="s">
        <v>12</v>
      </c>
      <c r="C6616" s="2" t="s">
        <v>12</v>
      </c>
      <c r="D6616" s="2" t="s">
        <v>12</v>
      </c>
      <c r="E6616" s="2" t="s">
        <v>12</v>
      </c>
      <c r="F6616" s="2" t="s">
        <v>12</v>
      </c>
      <c r="G6616" s="2" t="s">
        <v>12</v>
      </c>
      <c r="H6616" s="2" t="s">
        <v>12</v>
      </c>
      <c r="I6616" s="2" t="s">
        <v>12</v>
      </c>
      <c r="J6616" s="2" t="s">
        <v>12</v>
      </c>
      <c r="K6616" s="2" t="s">
        <v>12</v>
      </c>
    </row>
    <row r="6617" spans="1:11" ht="12.5" x14ac:dyDescent="0.25">
      <c r="A6617" s="3" t="e">
        <f ca="1"/>
        <v>#NAME?</v>
      </c>
      <c r="B6617" s="2" t="s">
        <v>12</v>
      </c>
      <c r="C6617" s="2" t="s">
        <v>12</v>
      </c>
      <c r="D6617" s="2" t="s">
        <v>12</v>
      </c>
      <c r="E6617" s="2" t="s">
        <v>12</v>
      </c>
      <c r="F6617" s="2" t="s">
        <v>12</v>
      </c>
      <c r="G6617" s="2" t="s">
        <v>12</v>
      </c>
      <c r="H6617" s="2" t="s">
        <v>12</v>
      </c>
      <c r="I6617" s="2" t="s">
        <v>12</v>
      </c>
      <c r="J6617" s="2" t="s">
        <v>12</v>
      </c>
      <c r="K6617" s="2" t="s">
        <v>12</v>
      </c>
    </row>
    <row r="6618" spans="1:11" ht="12.5" x14ac:dyDescent="0.25">
      <c r="A6618" s="3" t="e">
        <f ca="1"/>
        <v>#NAME?</v>
      </c>
      <c r="B6618" s="2" t="s">
        <v>12</v>
      </c>
      <c r="C6618" s="2" t="s">
        <v>12</v>
      </c>
      <c r="D6618" s="2" t="s">
        <v>12</v>
      </c>
      <c r="E6618" s="2" t="s">
        <v>12</v>
      </c>
      <c r="F6618" s="2" t="s">
        <v>12</v>
      </c>
      <c r="G6618" s="2" t="s">
        <v>12</v>
      </c>
      <c r="H6618" s="2" t="s">
        <v>12</v>
      </c>
      <c r="I6618" s="2" t="s">
        <v>12</v>
      </c>
      <c r="J6618" s="2" t="s">
        <v>12</v>
      </c>
      <c r="K6618" s="2" t="s">
        <v>12</v>
      </c>
    </row>
    <row r="6619" spans="1:11" ht="12.5" x14ac:dyDescent="0.25">
      <c r="A6619" s="3" t="e">
        <f ca="1"/>
        <v>#NAME?</v>
      </c>
      <c r="B6619" s="2" t="s">
        <v>12</v>
      </c>
      <c r="C6619" s="2" t="s">
        <v>12</v>
      </c>
      <c r="D6619" s="2" t="s">
        <v>12</v>
      </c>
      <c r="E6619" s="2" t="s">
        <v>12</v>
      </c>
      <c r="F6619" s="2" t="s">
        <v>12</v>
      </c>
      <c r="G6619" s="2" t="s">
        <v>12</v>
      </c>
      <c r="H6619" s="2" t="s">
        <v>12</v>
      </c>
      <c r="I6619" s="2" t="s">
        <v>12</v>
      </c>
      <c r="J6619" s="2" t="s">
        <v>12</v>
      </c>
      <c r="K6619" s="2" t="s">
        <v>12</v>
      </c>
    </row>
    <row r="6620" spans="1:11" ht="12.5" x14ac:dyDescent="0.25">
      <c r="A6620" s="3" t="e">
        <f ca="1"/>
        <v>#NAME?</v>
      </c>
      <c r="B6620" s="2" t="s">
        <v>12</v>
      </c>
      <c r="C6620" s="2" t="s">
        <v>12</v>
      </c>
      <c r="D6620" s="2" t="s">
        <v>12</v>
      </c>
      <c r="E6620" s="2" t="s">
        <v>12</v>
      </c>
      <c r="F6620" s="2" t="s">
        <v>12</v>
      </c>
      <c r="G6620" s="2" t="s">
        <v>12</v>
      </c>
      <c r="H6620" s="2" t="s">
        <v>12</v>
      </c>
      <c r="I6620" s="2" t="s">
        <v>12</v>
      </c>
      <c r="J6620" s="2" t="s">
        <v>12</v>
      </c>
      <c r="K6620" s="2" t="s">
        <v>12</v>
      </c>
    </row>
    <row r="6621" spans="1:11" ht="12.5" x14ac:dyDescent="0.25">
      <c r="A6621" s="3" t="e">
        <f ca="1"/>
        <v>#NAME?</v>
      </c>
      <c r="B6621" s="2" t="s">
        <v>12</v>
      </c>
      <c r="C6621" s="2" t="s">
        <v>12</v>
      </c>
      <c r="D6621" s="2" t="s">
        <v>12</v>
      </c>
      <c r="E6621" s="2" t="s">
        <v>12</v>
      </c>
      <c r="F6621" s="2" t="s">
        <v>12</v>
      </c>
      <c r="G6621" s="2" t="s">
        <v>12</v>
      </c>
      <c r="H6621" s="2" t="s">
        <v>12</v>
      </c>
      <c r="I6621" s="2" t="s">
        <v>12</v>
      </c>
      <c r="J6621" s="2" t="s">
        <v>12</v>
      </c>
      <c r="K6621" s="2" t="s">
        <v>12</v>
      </c>
    </row>
    <row r="6622" spans="1:11" ht="12.5" x14ac:dyDescent="0.25">
      <c r="A6622" s="3" t="e">
        <f ca="1"/>
        <v>#NAME?</v>
      </c>
      <c r="B6622" s="2" t="s">
        <v>12</v>
      </c>
      <c r="C6622" s="2" t="s">
        <v>12</v>
      </c>
      <c r="D6622" s="2" t="s">
        <v>12</v>
      </c>
      <c r="E6622" s="2" t="s">
        <v>12</v>
      </c>
      <c r="F6622" s="2" t="s">
        <v>12</v>
      </c>
      <c r="G6622" s="2" t="s">
        <v>12</v>
      </c>
      <c r="H6622" s="2" t="s">
        <v>12</v>
      </c>
      <c r="I6622" s="2" t="s">
        <v>12</v>
      </c>
      <c r="J6622" s="2" t="s">
        <v>12</v>
      </c>
      <c r="K6622" s="2" t="s">
        <v>12</v>
      </c>
    </row>
    <row r="6623" spans="1:11" ht="12.5" x14ac:dyDescent="0.25">
      <c r="A6623" s="3" t="e">
        <f ca="1"/>
        <v>#NAME?</v>
      </c>
      <c r="B6623" s="2" t="s">
        <v>12</v>
      </c>
      <c r="C6623" s="2" t="s">
        <v>12</v>
      </c>
      <c r="D6623" s="2" t="s">
        <v>12</v>
      </c>
      <c r="E6623" s="2" t="s">
        <v>12</v>
      </c>
      <c r="F6623" s="2" t="s">
        <v>12</v>
      </c>
      <c r="G6623" s="2" t="s">
        <v>12</v>
      </c>
      <c r="H6623" s="2" t="s">
        <v>12</v>
      </c>
      <c r="I6623" s="2" t="s">
        <v>12</v>
      </c>
      <c r="J6623" s="2" t="s">
        <v>12</v>
      </c>
      <c r="K6623" s="2" t="s">
        <v>12</v>
      </c>
    </row>
    <row r="6624" spans="1:11" ht="12.5" x14ac:dyDescent="0.25">
      <c r="A6624" s="3" t="e">
        <f ca="1"/>
        <v>#NAME?</v>
      </c>
      <c r="B6624" s="2" t="s">
        <v>12</v>
      </c>
      <c r="C6624" s="2" t="s">
        <v>12</v>
      </c>
      <c r="D6624" s="2" t="s">
        <v>12</v>
      </c>
      <c r="E6624" s="2" t="s">
        <v>12</v>
      </c>
      <c r="F6624" s="2" t="s">
        <v>12</v>
      </c>
      <c r="G6624" s="2" t="s">
        <v>12</v>
      </c>
      <c r="H6624" s="2" t="s">
        <v>12</v>
      </c>
      <c r="I6624" s="2" t="s">
        <v>12</v>
      </c>
      <c r="J6624" s="2" t="s">
        <v>12</v>
      </c>
      <c r="K6624" s="2" t="s">
        <v>12</v>
      </c>
    </row>
    <row r="6625" spans="1:11" ht="12.5" x14ac:dyDescent="0.25">
      <c r="A6625" s="3" t="e">
        <f ca="1"/>
        <v>#NAME?</v>
      </c>
      <c r="B6625" s="2" t="s">
        <v>12</v>
      </c>
      <c r="C6625" s="2" t="s">
        <v>12</v>
      </c>
      <c r="D6625" s="2" t="s">
        <v>12</v>
      </c>
      <c r="E6625" s="2" t="s">
        <v>12</v>
      </c>
      <c r="F6625" s="2" t="s">
        <v>12</v>
      </c>
      <c r="G6625" s="2" t="s">
        <v>12</v>
      </c>
      <c r="H6625" s="2" t="s">
        <v>12</v>
      </c>
      <c r="I6625" s="2" t="s">
        <v>12</v>
      </c>
      <c r="J6625" s="2" t="s">
        <v>12</v>
      </c>
      <c r="K6625" s="2" t="s">
        <v>12</v>
      </c>
    </row>
    <row r="6626" spans="1:11" ht="12.5" x14ac:dyDescent="0.25">
      <c r="A6626" s="3" t="e">
        <f ca="1"/>
        <v>#NAME?</v>
      </c>
      <c r="B6626" s="2" t="s">
        <v>12</v>
      </c>
      <c r="C6626" s="2" t="s">
        <v>12</v>
      </c>
      <c r="D6626" s="2" t="s">
        <v>12</v>
      </c>
      <c r="E6626" s="2" t="s">
        <v>12</v>
      </c>
      <c r="F6626" s="2" t="s">
        <v>12</v>
      </c>
      <c r="G6626" s="2" t="s">
        <v>12</v>
      </c>
      <c r="H6626" s="2" t="s">
        <v>12</v>
      </c>
      <c r="I6626" s="2" t="s">
        <v>12</v>
      </c>
      <c r="J6626" s="2" t="s">
        <v>12</v>
      </c>
      <c r="K6626" s="2" t="s">
        <v>12</v>
      </c>
    </row>
    <row r="6627" spans="1:11" ht="12.5" x14ac:dyDescent="0.25">
      <c r="A6627" s="3" t="e">
        <f ca="1"/>
        <v>#NAME?</v>
      </c>
      <c r="B6627" s="2" t="s">
        <v>12</v>
      </c>
      <c r="C6627" s="2" t="s">
        <v>12</v>
      </c>
      <c r="D6627" s="2" t="s">
        <v>12</v>
      </c>
      <c r="E6627" s="2" t="s">
        <v>12</v>
      </c>
      <c r="F6627" s="2" t="s">
        <v>12</v>
      </c>
      <c r="G6627" s="2" t="s">
        <v>12</v>
      </c>
      <c r="H6627" s="2" t="s">
        <v>12</v>
      </c>
      <c r="I6627" s="2" t="s">
        <v>12</v>
      </c>
      <c r="J6627" s="2" t="s">
        <v>12</v>
      </c>
      <c r="K6627" s="2" t="s">
        <v>12</v>
      </c>
    </row>
    <row r="6628" spans="1:11" ht="12.5" x14ac:dyDescent="0.25">
      <c r="A6628" s="3" t="e">
        <f ca="1"/>
        <v>#NAME?</v>
      </c>
      <c r="B6628" s="2" t="s">
        <v>12</v>
      </c>
      <c r="C6628" s="2" t="s">
        <v>12</v>
      </c>
      <c r="D6628" s="2" t="s">
        <v>12</v>
      </c>
      <c r="E6628" s="2" t="s">
        <v>12</v>
      </c>
      <c r="F6628" s="2" t="s">
        <v>12</v>
      </c>
      <c r="G6628" s="2" t="s">
        <v>12</v>
      </c>
      <c r="H6628" s="2" t="s">
        <v>12</v>
      </c>
      <c r="I6628" s="2" t="s">
        <v>12</v>
      </c>
      <c r="J6628" s="2" t="s">
        <v>12</v>
      </c>
      <c r="K6628" s="2" t="s">
        <v>12</v>
      </c>
    </row>
    <row r="6629" spans="1:11" ht="12.5" x14ac:dyDescent="0.25">
      <c r="A6629" s="3" t="e">
        <f ca="1"/>
        <v>#NAME?</v>
      </c>
      <c r="B6629" s="2" t="s">
        <v>12</v>
      </c>
      <c r="C6629" s="2" t="s">
        <v>12</v>
      </c>
      <c r="D6629" s="2" t="s">
        <v>12</v>
      </c>
      <c r="E6629" s="2" t="s">
        <v>12</v>
      </c>
      <c r="F6629" s="2" t="s">
        <v>12</v>
      </c>
      <c r="G6629" s="2" t="s">
        <v>12</v>
      </c>
      <c r="H6629" s="2" t="s">
        <v>12</v>
      </c>
      <c r="I6629" s="2" t="s">
        <v>12</v>
      </c>
      <c r="J6629" s="2" t="s">
        <v>12</v>
      </c>
      <c r="K6629" s="2" t="s">
        <v>12</v>
      </c>
    </row>
    <row r="6630" spans="1:11" ht="12.5" x14ac:dyDescent="0.25">
      <c r="A6630" s="3" t="e">
        <f ca="1"/>
        <v>#NAME?</v>
      </c>
      <c r="B6630" s="2" t="s">
        <v>12</v>
      </c>
      <c r="C6630" s="2" t="s">
        <v>12</v>
      </c>
      <c r="D6630" s="2" t="s">
        <v>12</v>
      </c>
      <c r="E6630" s="2" t="s">
        <v>12</v>
      </c>
      <c r="F6630" s="2" t="s">
        <v>12</v>
      </c>
      <c r="G6630" s="2" t="s">
        <v>12</v>
      </c>
      <c r="H6630" s="2" t="s">
        <v>12</v>
      </c>
      <c r="I6630" s="2" t="s">
        <v>12</v>
      </c>
      <c r="J6630" s="2" t="s">
        <v>12</v>
      </c>
      <c r="K6630" s="2" t="s">
        <v>12</v>
      </c>
    </row>
    <row r="6631" spans="1:11" ht="12.5" x14ac:dyDescent="0.25">
      <c r="A6631" s="3" t="e">
        <f ca="1"/>
        <v>#NAME?</v>
      </c>
      <c r="B6631" s="2" t="s">
        <v>12</v>
      </c>
      <c r="C6631" s="2" t="s">
        <v>12</v>
      </c>
      <c r="D6631" s="2" t="s">
        <v>12</v>
      </c>
      <c r="E6631" s="2" t="s">
        <v>12</v>
      </c>
      <c r="F6631" s="2" t="s">
        <v>12</v>
      </c>
      <c r="G6631" s="2" t="s">
        <v>12</v>
      </c>
      <c r="H6631" s="2" t="s">
        <v>12</v>
      </c>
      <c r="I6631" s="2" t="s">
        <v>12</v>
      </c>
      <c r="J6631" s="2" t="s">
        <v>12</v>
      </c>
      <c r="K6631" s="2" t="s">
        <v>12</v>
      </c>
    </row>
    <row r="6632" spans="1:11" ht="12.5" x14ac:dyDescent="0.25">
      <c r="A6632" s="3" t="e">
        <f ca="1"/>
        <v>#NAME?</v>
      </c>
      <c r="B6632" s="2" t="s">
        <v>12</v>
      </c>
      <c r="C6632" s="2" t="s">
        <v>12</v>
      </c>
      <c r="D6632" s="2" t="s">
        <v>12</v>
      </c>
      <c r="E6632" s="2" t="s">
        <v>12</v>
      </c>
      <c r="F6632" s="2" t="s">
        <v>12</v>
      </c>
      <c r="G6632" s="2" t="s">
        <v>12</v>
      </c>
      <c r="H6632" s="2" t="s">
        <v>12</v>
      </c>
      <c r="I6632" s="2" t="s">
        <v>12</v>
      </c>
      <c r="J6632" s="2" t="s">
        <v>12</v>
      </c>
      <c r="K6632" s="2" t="s">
        <v>12</v>
      </c>
    </row>
    <row r="6633" spans="1:11" ht="12.5" x14ac:dyDescent="0.25">
      <c r="A6633" s="3" t="e">
        <f ca="1"/>
        <v>#NAME?</v>
      </c>
      <c r="B6633" s="2" t="s">
        <v>12</v>
      </c>
      <c r="C6633" s="2" t="s">
        <v>12</v>
      </c>
      <c r="D6633" s="2" t="s">
        <v>12</v>
      </c>
      <c r="E6633" s="2" t="s">
        <v>12</v>
      </c>
      <c r="F6633" s="2" t="s">
        <v>12</v>
      </c>
      <c r="G6633" s="2" t="s">
        <v>12</v>
      </c>
      <c r="H6633" s="2" t="s">
        <v>12</v>
      </c>
      <c r="I6633" s="2" t="s">
        <v>12</v>
      </c>
      <c r="J6633" s="2" t="s">
        <v>12</v>
      </c>
      <c r="K6633" s="2" t="s">
        <v>12</v>
      </c>
    </row>
    <row r="6634" spans="1:11" ht="12.5" x14ac:dyDescent="0.25">
      <c r="A6634" s="3" t="e">
        <f ca="1"/>
        <v>#NAME?</v>
      </c>
      <c r="B6634" s="2" t="s">
        <v>12</v>
      </c>
      <c r="C6634" s="2" t="s">
        <v>12</v>
      </c>
      <c r="D6634" s="2" t="s">
        <v>12</v>
      </c>
      <c r="E6634" s="2" t="s">
        <v>12</v>
      </c>
      <c r="F6634" s="2" t="s">
        <v>12</v>
      </c>
      <c r="G6634" s="2" t="s">
        <v>12</v>
      </c>
      <c r="H6634" s="2" t="s">
        <v>12</v>
      </c>
      <c r="I6634" s="2" t="s">
        <v>12</v>
      </c>
      <c r="J6634" s="2" t="s">
        <v>12</v>
      </c>
      <c r="K6634" s="2" t="s">
        <v>12</v>
      </c>
    </row>
    <row r="6635" spans="1:11" ht="12.5" x14ac:dyDescent="0.25">
      <c r="A6635" s="3" t="e">
        <f ca="1"/>
        <v>#NAME?</v>
      </c>
      <c r="B6635" s="2" t="s">
        <v>12</v>
      </c>
      <c r="C6635" s="2" t="s">
        <v>12</v>
      </c>
      <c r="D6635" s="2" t="s">
        <v>12</v>
      </c>
      <c r="E6635" s="2" t="s">
        <v>12</v>
      </c>
      <c r="F6635" s="2" t="s">
        <v>12</v>
      </c>
      <c r="G6635" s="2" t="s">
        <v>12</v>
      </c>
      <c r="H6635" s="2" t="s">
        <v>12</v>
      </c>
      <c r="I6635" s="2" t="s">
        <v>12</v>
      </c>
      <c r="J6635" s="2" t="s">
        <v>12</v>
      </c>
      <c r="K6635" s="2" t="s">
        <v>12</v>
      </c>
    </row>
    <row r="6636" spans="1:11" ht="12.5" x14ac:dyDescent="0.25">
      <c r="A6636" s="3" t="e">
        <f ca="1"/>
        <v>#NAME?</v>
      </c>
      <c r="B6636" s="2" t="s">
        <v>12</v>
      </c>
      <c r="C6636" s="2" t="s">
        <v>12</v>
      </c>
      <c r="D6636" s="2" t="s">
        <v>12</v>
      </c>
      <c r="E6636" s="2" t="s">
        <v>12</v>
      </c>
      <c r="F6636" s="2" t="s">
        <v>12</v>
      </c>
      <c r="G6636" s="2" t="s">
        <v>12</v>
      </c>
      <c r="H6636" s="2" t="s">
        <v>12</v>
      </c>
      <c r="I6636" s="2" t="s">
        <v>12</v>
      </c>
      <c r="J6636" s="2" t="s">
        <v>12</v>
      </c>
      <c r="K6636" s="2" t="s">
        <v>12</v>
      </c>
    </row>
    <row r="6637" spans="1:11" ht="12.5" x14ac:dyDescent="0.25">
      <c r="A6637" s="3" t="e">
        <f ca="1"/>
        <v>#NAME?</v>
      </c>
      <c r="B6637" s="2" t="s">
        <v>12</v>
      </c>
      <c r="C6637" s="2" t="s">
        <v>12</v>
      </c>
      <c r="D6637" s="2" t="s">
        <v>12</v>
      </c>
      <c r="E6637" s="2" t="s">
        <v>12</v>
      </c>
      <c r="F6637" s="2" t="s">
        <v>12</v>
      </c>
      <c r="G6637" s="2" t="s">
        <v>12</v>
      </c>
      <c r="H6637" s="2" t="s">
        <v>12</v>
      </c>
      <c r="I6637" s="2" t="s">
        <v>12</v>
      </c>
      <c r="J6637" s="2" t="s">
        <v>12</v>
      </c>
      <c r="K6637" s="2" t="s">
        <v>12</v>
      </c>
    </row>
    <row r="6638" spans="1:11" ht="12.5" x14ac:dyDescent="0.25">
      <c r="A6638" s="3" t="e">
        <f ca="1"/>
        <v>#NAME?</v>
      </c>
      <c r="B6638" s="2" t="s">
        <v>12</v>
      </c>
      <c r="C6638" s="2" t="s">
        <v>12</v>
      </c>
      <c r="D6638" s="2" t="s">
        <v>12</v>
      </c>
      <c r="E6638" s="2" t="s">
        <v>12</v>
      </c>
      <c r="F6638" s="2" t="s">
        <v>12</v>
      </c>
      <c r="G6638" s="2" t="s">
        <v>12</v>
      </c>
      <c r="H6638" s="2" t="s">
        <v>12</v>
      </c>
      <c r="I6638" s="2" t="s">
        <v>12</v>
      </c>
      <c r="J6638" s="2" t="s">
        <v>12</v>
      </c>
      <c r="K6638" s="2" t="s">
        <v>12</v>
      </c>
    </row>
    <row r="6639" spans="1:11" ht="12.5" x14ac:dyDescent="0.25">
      <c r="A6639" s="3" t="e">
        <f ca="1"/>
        <v>#NAME?</v>
      </c>
      <c r="B6639" s="2" t="s">
        <v>12</v>
      </c>
      <c r="C6639" s="2" t="s">
        <v>12</v>
      </c>
      <c r="D6639" s="2" t="s">
        <v>12</v>
      </c>
      <c r="E6639" s="2" t="s">
        <v>12</v>
      </c>
      <c r="F6639" s="2" t="s">
        <v>12</v>
      </c>
      <c r="G6639" s="2" t="s">
        <v>12</v>
      </c>
      <c r="H6639" s="2" t="s">
        <v>12</v>
      </c>
      <c r="I6639" s="2" t="s">
        <v>12</v>
      </c>
      <c r="J6639" s="2" t="s">
        <v>12</v>
      </c>
      <c r="K6639" s="2" t="s">
        <v>12</v>
      </c>
    </row>
    <row r="6640" spans="1:11" ht="12.5" x14ac:dyDescent="0.25">
      <c r="A6640" s="3" t="e">
        <f ca="1"/>
        <v>#NAME?</v>
      </c>
      <c r="B6640" s="2" t="s">
        <v>12</v>
      </c>
      <c r="C6640" s="2" t="s">
        <v>12</v>
      </c>
      <c r="D6640" s="2" t="s">
        <v>12</v>
      </c>
      <c r="E6640" s="2" t="s">
        <v>12</v>
      </c>
      <c r="F6640" s="2" t="s">
        <v>12</v>
      </c>
      <c r="G6640" s="2" t="s">
        <v>12</v>
      </c>
      <c r="H6640" s="2" t="s">
        <v>12</v>
      </c>
      <c r="I6640" s="2" t="s">
        <v>12</v>
      </c>
      <c r="J6640" s="2" t="s">
        <v>12</v>
      </c>
      <c r="K6640" s="2" t="s">
        <v>12</v>
      </c>
    </row>
    <row r="6641" spans="1:11" ht="12.5" x14ac:dyDescent="0.25">
      <c r="A6641" s="3" t="e">
        <f ca="1"/>
        <v>#NAME?</v>
      </c>
      <c r="B6641" s="2" t="s">
        <v>12</v>
      </c>
      <c r="C6641" s="2" t="s">
        <v>12</v>
      </c>
      <c r="D6641" s="2" t="s">
        <v>12</v>
      </c>
      <c r="E6641" s="2" t="s">
        <v>12</v>
      </c>
      <c r="F6641" s="2" t="s">
        <v>12</v>
      </c>
      <c r="G6641" s="2" t="s">
        <v>12</v>
      </c>
      <c r="H6641" s="2" t="s">
        <v>12</v>
      </c>
      <c r="I6641" s="2" t="s">
        <v>12</v>
      </c>
      <c r="J6641" s="2" t="s">
        <v>12</v>
      </c>
      <c r="K6641" s="2" t="s">
        <v>12</v>
      </c>
    </row>
    <row r="6642" spans="1:11" ht="12.5" x14ac:dyDescent="0.25">
      <c r="A6642" s="3" t="e">
        <f ca="1"/>
        <v>#NAME?</v>
      </c>
      <c r="B6642" s="2" t="s">
        <v>12</v>
      </c>
      <c r="C6642" s="2" t="s">
        <v>12</v>
      </c>
      <c r="D6642" s="2" t="s">
        <v>12</v>
      </c>
      <c r="E6642" s="2" t="s">
        <v>12</v>
      </c>
      <c r="F6642" s="2" t="s">
        <v>12</v>
      </c>
      <c r="G6642" s="2" t="s">
        <v>12</v>
      </c>
      <c r="H6642" s="2" t="s">
        <v>12</v>
      </c>
      <c r="I6642" s="2" t="s">
        <v>12</v>
      </c>
      <c r="J6642" s="2" t="s">
        <v>12</v>
      </c>
      <c r="K6642" s="2" t="s">
        <v>12</v>
      </c>
    </row>
    <row r="6643" spans="1:11" ht="12.5" x14ac:dyDescent="0.25">
      <c r="A6643" s="3" t="e">
        <f ca="1"/>
        <v>#NAME?</v>
      </c>
      <c r="B6643" s="2" t="s">
        <v>12</v>
      </c>
      <c r="C6643" s="2" t="s">
        <v>12</v>
      </c>
      <c r="D6643" s="2" t="s">
        <v>12</v>
      </c>
      <c r="E6643" s="2" t="s">
        <v>12</v>
      </c>
      <c r="F6643" s="2" t="s">
        <v>12</v>
      </c>
      <c r="G6643" s="2" t="s">
        <v>12</v>
      </c>
      <c r="H6643" s="2" t="s">
        <v>12</v>
      </c>
      <c r="I6643" s="2" t="s">
        <v>12</v>
      </c>
      <c r="J6643" s="2" t="s">
        <v>12</v>
      </c>
      <c r="K6643" s="2" t="s">
        <v>12</v>
      </c>
    </row>
    <row r="6644" spans="1:11" ht="12.5" x14ac:dyDescent="0.25">
      <c r="A6644" s="3" t="e">
        <f ca="1"/>
        <v>#NAME?</v>
      </c>
      <c r="B6644" s="2" t="s">
        <v>12</v>
      </c>
      <c r="C6644" s="2" t="s">
        <v>12</v>
      </c>
      <c r="D6644" s="2" t="s">
        <v>12</v>
      </c>
      <c r="E6644" s="2" t="s">
        <v>12</v>
      </c>
      <c r="F6644" s="2" t="s">
        <v>12</v>
      </c>
      <c r="G6644" s="2" t="s">
        <v>12</v>
      </c>
      <c r="H6644" s="2" t="s">
        <v>12</v>
      </c>
      <c r="I6644" s="2" t="s">
        <v>12</v>
      </c>
      <c r="J6644" s="2" t="s">
        <v>12</v>
      </c>
      <c r="K6644" s="2" t="s">
        <v>12</v>
      </c>
    </row>
    <row r="6645" spans="1:11" ht="12.5" x14ac:dyDescent="0.25">
      <c r="A6645" s="3" t="e">
        <f ca="1"/>
        <v>#NAME?</v>
      </c>
      <c r="B6645" s="2" t="s">
        <v>12</v>
      </c>
      <c r="C6645" s="2" t="s">
        <v>12</v>
      </c>
      <c r="D6645" s="2" t="s">
        <v>12</v>
      </c>
      <c r="E6645" s="2" t="s">
        <v>12</v>
      </c>
      <c r="F6645" s="2" t="s">
        <v>12</v>
      </c>
      <c r="G6645" s="2" t="s">
        <v>12</v>
      </c>
      <c r="H6645" s="2" t="s">
        <v>12</v>
      </c>
      <c r="I6645" s="2" t="s">
        <v>12</v>
      </c>
      <c r="J6645" s="2" t="s">
        <v>12</v>
      </c>
      <c r="K6645" s="2" t="s">
        <v>12</v>
      </c>
    </row>
    <row r="6646" spans="1:11" ht="12.5" x14ac:dyDescent="0.25">
      <c r="A6646" s="3" t="e">
        <f ca="1"/>
        <v>#NAME?</v>
      </c>
      <c r="B6646" s="2" t="s">
        <v>12</v>
      </c>
      <c r="C6646" s="2" t="s">
        <v>12</v>
      </c>
      <c r="D6646" s="2" t="s">
        <v>12</v>
      </c>
      <c r="E6646" s="2" t="s">
        <v>12</v>
      </c>
      <c r="F6646" s="2" t="s">
        <v>12</v>
      </c>
      <c r="G6646" s="2" t="s">
        <v>12</v>
      </c>
      <c r="H6646" s="2" t="s">
        <v>12</v>
      </c>
      <c r="I6646" s="2" t="s">
        <v>12</v>
      </c>
      <c r="J6646" s="2" t="s">
        <v>12</v>
      </c>
      <c r="K6646" s="2" t="s">
        <v>12</v>
      </c>
    </row>
    <row r="6647" spans="1:11" ht="12.5" x14ac:dyDescent="0.25">
      <c r="A6647" s="3" t="e">
        <f ca="1"/>
        <v>#NAME?</v>
      </c>
      <c r="B6647" s="2" t="s">
        <v>12</v>
      </c>
      <c r="C6647" s="2" t="s">
        <v>12</v>
      </c>
      <c r="D6647" s="2" t="s">
        <v>12</v>
      </c>
      <c r="E6647" s="2" t="s">
        <v>12</v>
      </c>
      <c r="F6647" s="2" t="s">
        <v>12</v>
      </c>
      <c r="G6647" s="2" t="s">
        <v>12</v>
      </c>
      <c r="H6647" s="2" t="s">
        <v>12</v>
      </c>
      <c r="I6647" s="2" t="s">
        <v>12</v>
      </c>
      <c r="J6647" s="2" t="s">
        <v>12</v>
      </c>
      <c r="K6647" s="2" t="s">
        <v>12</v>
      </c>
    </row>
    <row r="6648" spans="1:11" ht="12.5" x14ac:dyDescent="0.25">
      <c r="A6648" s="3" t="e">
        <f ca="1"/>
        <v>#NAME?</v>
      </c>
      <c r="B6648" s="2" t="s">
        <v>12</v>
      </c>
      <c r="C6648" s="2" t="s">
        <v>12</v>
      </c>
      <c r="D6648" s="2" t="s">
        <v>12</v>
      </c>
      <c r="E6648" s="2" t="s">
        <v>12</v>
      </c>
      <c r="F6648" s="2" t="s">
        <v>12</v>
      </c>
      <c r="G6648" s="2" t="s">
        <v>12</v>
      </c>
      <c r="H6648" s="2" t="s">
        <v>12</v>
      </c>
      <c r="I6648" s="2" t="s">
        <v>12</v>
      </c>
      <c r="J6648" s="2" t="s">
        <v>12</v>
      </c>
      <c r="K6648" s="2" t="s">
        <v>12</v>
      </c>
    </row>
    <row r="6649" spans="1:11" ht="12.5" x14ac:dyDescent="0.25">
      <c r="A6649" s="3" t="e">
        <f ca="1"/>
        <v>#NAME?</v>
      </c>
      <c r="B6649" s="2" t="s">
        <v>12</v>
      </c>
      <c r="C6649" s="2" t="s">
        <v>12</v>
      </c>
      <c r="D6649" s="2" t="s">
        <v>12</v>
      </c>
      <c r="E6649" s="2" t="s">
        <v>12</v>
      </c>
      <c r="F6649" s="2" t="s">
        <v>12</v>
      </c>
      <c r="G6649" s="2" t="s">
        <v>12</v>
      </c>
      <c r="H6649" s="2" t="s">
        <v>12</v>
      </c>
      <c r="I6649" s="2" t="s">
        <v>12</v>
      </c>
      <c r="J6649" s="2" t="s">
        <v>12</v>
      </c>
      <c r="K6649" s="2" t="s">
        <v>12</v>
      </c>
    </row>
    <row r="6650" spans="1:11" ht="12.5" x14ac:dyDescent="0.25">
      <c r="A6650" s="3" t="e">
        <f ca="1"/>
        <v>#NAME?</v>
      </c>
      <c r="B6650" s="2" t="s">
        <v>12</v>
      </c>
      <c r="C6650" s="2" t="s">
        <v>12</v>
      </c>
      <c r="D6650" s="2" t="s">
        <v>12</v>
      </c>
      <c r="E6650" s="2" t="s">
        <v>12</v>
      </c>
      <c r="F6650" s="2" t="s">
        <v>12</v>
      </c>
      <c r="G6650" s="2" t="s">
        <v>12</v>
      </c>
      <c r="H6650" s="2" t="s">
        <v>12</v>
      </c>
      <c r="I6650" s="2" t="s">
        <v>12</v>
      </c>
      <c r="J6650" s="2" t="s">
        <v>12</v>
      </c>
      <c r="K6650" s="2" t="s">
        <v>12</v>
      </c>
    </row>
    <row r="6651" spans="1:11" ht="12.5" x14ac:dyDescent="0.25">
      <c r="A6651" s="3" t="e">
        <f ca="1"/>
        <v>#NAME?</v>
      </c>
      <c r="B6651" s="2" t="s">
        <v>12</v>
      </c>
      <c r="C6651" s="2" t="s">
        <v>12</v>
      </c>
      <c r="D6651" s="2" t="s">
        <v>12</v>
      </c>
      <c r="E6651" s="2" t="s">
        <v>12</v>
      </c>
      <c r="F6651" s="2" t="s">
        <v>12</v>
      </c>
      <c r="G6651" s="2" t="s">
        <v>12</v>
      </c>
      <c r="H6651" s="2" t="s">
        <v>12</v>
      </c>
      <c r="I6651" s="2" t="s">
        <v>12</v>
      </c>
      <c r="J6651" s="2" t="s">
        <v>12</v>
      </c>
      <c r="K6651" s="2" t="s">
        <v>12</v>
      </c>
    </row>
    <row r="6652" spans="1:11" ht="12.5" x14ac:dyDescent="0.25">
      <c r="A6652" s="3" t="e">
        <f ca="1"/>
        <v>#NAME?</v>
      </c>
      <c r="B6652" s="2" t="s">
        <v>12</v>
      </c>
      <c r="C6652" s="2" t="s">
        <v>12</v>
      </c>
      <c r="D6652" s="2" t="s">
        <v>12</v>
      </c>
      <c r="E6652" s="2" t="s">
        <v>12</v>
      </c>
      <c r="F6652" s="2" t="s">
        <v>12</v>
      </c>
      <c r="G6652" s="2" t="s">
        <v>12</v>
      </c>
      <c r="H6652" s="2" t="s">
        <v>12</v>
      </c>
      <c r="I6652" s="2" t="s">
        <v>12</v>
      </c>
      <c r="J6652" s="2" t="s">
        <v>12</v>
      </c>
      <c r="K6652" s="2" t="s">
        <v>12</v>
      </c>
    </row>
    <row r="6653" spans="1:11" ht="12.5" x14ac:dyDescent="0.25">
      <c r="A6653" s="3" t="e">
        <f ca="1"/>
        <v>#NAME?</v>
      </c>
      <c r="B6653" s="2" t="s">
        <v>12</v>
      </c>
      <c r="C6653" s="2" t="s">
        <v>12</v>
      </c>
      <c r="D6653" s="2" t="s">
        <v>12</v>
      </c>
      <c r="E6653" s="2" t="s">
        <v>12</v>
      </c>
      <c r="F6653" s="2" t="s">
        <v>12</v>
      </c>
      <c r="G6653" s="2" t="s">
        <v>12</v>
      </c>
      <c r="H6653" s="2" t="s">
        <v>12</v>
      </c>
      <c r="I6653" s="2" t="s">
        <v>12</v>
      </c>
      <c r="J6653" s="2" t="s">
        <v>12</v>
      </c>
      <c r="K6653" s="2" t="s">
        <v>12</v>
      </c>
    </row>
    <row r="6654" spans="1:11" ht="12.5" x14ac:dyDescent="0.25">
      <c r="A6654" s="3" t="e">
        <f ca="1"/>
        <v>#NAME?</v>
      </c>
      <c r="B6654" s="2" t="s">
        <v>12</v>
      </c>
      <c r="C6654" s="2" t="s">
        <v>12</v>
      </c>
      <c r="D6654" s="2" t="s">
        <v>12</v>
      </c>
      <c r="E6654" s="2" t="s">
        <v>12</v>
      </c>
      <c r="F6654" s="2" t="s">
        <v>12</v>
      </c>
      <c r="G6654" s="2" t="s">
        <v>12</v>
      </c>
      <c r="H6654" s="2" t="s">
        <v>12</v>
      </c>
      <c r="I6654" s="2" t="s">
        <v>12</v>
      </c>
      <c r="J6654" s="2" t="s">
        <v>12</v>
      </c>
      <c r="K6654" s="2" t="s">
        <v>12</v>
      </c>
    </row>
    <row r="6655" spans="1:11" ht="12.5" x14ac:dyDescent="0.25">
      <c r="A6655" s="3" t="e">
        <f ca="1"/>
        <v>#NAME?</v>
      </c>
      <c r="B6655" s="2" t="s">
        <v>12</v>
      </c>
      <c r="C6655" s="2" t="s">
        <v>12</v>
      </c>
      <c r="D6655" s="2" t="s">
        <v>12</v>
      </c>
      <c r="E6655" s="2" t="s">
        <v>12</v>
      </c>
      <c r="F6655" s="2" t="s">
        <v>12</v>
      </c>
      <c r="G6655" s="2" t="s">
        <v>12</v>
      </c>
      <c r="H6655" s="2" t="s">
        <v>12</v>
      </c>
      <c r="I6655" s="2" t="s">
        <v>12</v>
      </c>
      <c r="J6655" s="2" t="s">
        <v>12</v>
      </c>
      <c r="K6655" s="2" t="s">
        <v>12</v>
      </c>
    </row>
    <row r="6656" spans="1:11" ht="12.5" x14ac:dyDescent="0.25">
      <c r="A6656" s="3" t="e">
        <f ca="1"/>
        <v>#NAME?</v>
      </c>
      <c r="B6656" s="2" t="s">
        <v>12</v>
      </c>
      <c r="C6656" s="2" t="s">
        <v>12</v>
      </c>
      <c r="D6656" s="2" t="s">
        <v>12</v>
      </c>
      <c r="E6656" s="2" t="s">
        <v>12</v>
      </c>
      <c r="F6656" s="2" t="s">
        <v>12</v>
      </c>
      <c r="G6656" s="2" t="s">
        <v>12</v>
      </c>
      <c r="H6656" s="2" t="s">
        <v>12</v>
      </c>
      <c r="I6656" s="2" t="s">
        <v>12</v>
      </c>
      <c r="J6656" s="2" t="s">
        <v>12</v>
      </c>
      <c r="K6656" s="2" t="s">
        <v>12</v>
      </c>
    </row>
    <row r="6657" spans="1:11" ht="12.5" x14ac:dyDescent="0.25">
      <c r="A6657" s="3" t="e">
        <f ca="1"/>
        <v>#NAME?</v>
      </c>
      <c r="B6657" s="2" t="s">
        <v>12</v>
      </c>
      <c r="C6657" s="2" t="s">
        <v>12</v>
      </c>
      <c r="D6657" s="2" t="s">
        <v>12</v>
      </c>
      <c r="E6657" s="2" t="s">
        <v>12</v>
      </c>
      <c r="F6657" s="2" t="s">
        <v>12</v>
      </c>
      <c r="G6657" s="2" t="s">
        <v>12</v>
      </c>
      <c r="H6657" s="2" t="s">
        <v>12</v>
      </c>
      <c r="I6657" s="2" t="s">
        <v>12</v>
      </c>
      <c r="J6657" s="2" t="s">
        <v>12</v>
      </c>
      <c r="K6657" s="2" t="s">
        <v>12</v>
      </c>
    </row>
    <row r="6658" spans="1:11" ht="12.5" x14ac:dyDescent="0.25">
      <c r="A6658" s="3" t="e">
        <f ca="1"/>
        <v>#NAME?</v>
      </c>
      <c r="B6658" s="2" t="s">
        <v>12</v>
      </c>
      <c r="C6658" s="2" t="s">
        <v>12</v>
      </c>
      <c r="D6658" s="2" t="s">
        <v>12</v>
      </c>
      <c r="E6658" s="2" t="s">
        <v>12</v>
      </c>
      <c r="F6658" s="2" t="s">
        <v>12</v>
      </c>
      <c r="G6658" s="2" t="s">
        <v>12</v>
      </c>
      <c r="H6658" s="2" t="s">
        <v>12</v>
      </c>
      <c r="I6658" s="2" t="s">
        <v>12</v>
      </c>
      <c r="J6658" s="2" t="s">
        <v>12</v>
      </c>
      <c r="K6658" s="2" t="s">
        <v>12</v>
      </c>
    </row>
    <row r="6659" spans="1:11" ht="12.5" x14ac:dyDescent="0.25">
      <c r="A6659" s="3" t="e">
        <f ca="1"/>
        <v>#NAME?</v>
      </c>
      <c r="B6659" s="2" t="s">
        <v>12</v>
      </c>
      <c r="C6659" s="2" t="s">
        <v>12</v>
      </c>
      <c r="D6659" s="2" t="s">
        <v>12</v>
      </c>
      <c r="E6659" s="2" t="s">
        <v>12</v>
      </c>
      <c r="F6659" s="2" t="s">
        <v>12</v>
      </c>
      <c r="G6659" s="2" t="s">
        <v>12</v>
      </c>
      <c r="H6659" s="2" t="s">
        <v>12</v>
      </c>
      <c r="I6659" s="2" t="s">
        <v>12</v>
      </c>
      <c r="J6659" s="2" t="s">
        <v>12</v>
      </c>
      <c r="K6659" s="2" t="s">
        <v>12</v>
      </c>
    </row>
    <row r="6660" spans="1:11" ht="12.5" x14ac:dyDescent="0.25">
      <c r="A6660" s="3" t="e">
        <f ca="1"/>
        <v>#NAME?</v>
      </c>
      <c r="B6660" s="2" t="s">
        <v>12</v>
      </c>
      <c r="C6660" s="2" t="s">
        <v>12</v>
      </c>
      <c r="D6660" s="2" t="s">
        <v>12</v>
      </c>
      <c r="E6660" s="2" t="s">
        <v>12</v>
      </c>
      <c r="F6660" s="2" t="s">
        <v>12</v>
      </c>
      <c r="G6660" s="2" t="s">
        <v>12</v>
      </c>
      <c r="H6660" s="2" t="s">
        <v>12</v>
      </c>
      <c r="I6660" s="2" t="s">
        <v>12</v>
      </c>
      <c r="J6660" s="2" t="s">
        <v>12</v>
      </c>
      <c r="K6660" s="2" t="s">
        <v>12</v>
      </c>
    </row>
    <row r="6661" spans="1:11" ht="12.5" x14ac:dyDescent="0.25">
      <c r="A6661" s="3" t="e">
        <f ca="1"/>
        <v>#NAME?</v>
      </c>
      <c r="B6661" s="2" t="s">
        <v>12</v>
      </c>
      <c r="C6661" s="2" t="s">
        <v>12</v>
      </c>
      <c r="D6661" s="2" t="s">
        <v>12</v>
      </c>
      <c r="E6661" s="2" t="s">
        <v>12</v>
      </c>
      <c r="F6661" s="2" t="s">
        <v>12</v>
      </c>
      <c r="G6661" s="2" t="s">
        <v>12</v>
      </c>
      <c r="H6661" s="2" t="s">
        <v>12</v>
      </c>
      <c r="I6661" s="2" t="s">
        <v>12</v>
      </c>
      <c r="J6661" s="2" t="s">
        <v>12</v>
      </c>
      <c r="K6661" s="2" t="s">
        <v>12</v>
      </c>
    </row>
    <row r="6662" spans="1:11" ht="12.5" x14ac:dyDescent="0.25">
      <c r="A6662" s="3" t="e">
        <f ca="1"/>
        <v>#NAME?</v>
      </c>
      <c r="B6662" s="2" t="s">
        <v>12</v>
      </c>
      <c r="C6662" s="2" t="s">
        <v>12</v>
      </c>
      <c r="D6662" s="2" t="s">
        <v>12</v>
      </c>
      <c r="E6662" s="2" t="s">
        <v>12</v>
      </c>
      <c r="F6662" s="2" t="s">
        <v>12</v>
      </c>
      <c r="G6662" s="2" t="s">
        <v>12</v>
      </c>
      <c r="H6662" s="2" t="s">
        <v>12</v>
      </c>
      <c r="I6662" s="2" t="s">
        <v>12</v>
      </c>
      <c r="J6662" s="2" t="s">
        <v>12</v>
      </c>
      <c r="K6662" s="2" t="s">
        <v>12</v>
      </c>
    </row>
    <row r="6663" spans="1:11" ht="12.5" x14ac:dyDescent="0.25">
      <c r="A6663" s="3" t="e">
        <f ca="1"/>
        <v>#NAME?</v>
      </c>
      <c r="B6663" s="2" t="s">
        <v>12</v>
      </c>
      <c r="C6663" s="2" t="s">
        <v>12</v>
      </c>
      <c r="D6663" s="2" t="s">
        <v>12</v>
      </c>
      <c r="E6663" s="2" t="s">
        <v>12</v>
      </c>
      <c r="F6663" s="2" t="s">
        <v>12</v>
      </c>
      <c r="G6663" s="2" t="s">
        <v>12</v>
      </c>
      <c r="H6663" s="2" t="s">
        <v>12</v>
      </c>
      <c r="I6663" s="2" t="s">
        <v>12</v>
      </c>
      <c r="J6663" s="2" t="s">
        <v>12</v>
      </c>
      <c r="K6663" s="2" t="s">
        <v>12</v>
      </c>
    </row>
    <row r="6664" spans="1:11" ht="12.5" x14ac:dyDescent="0.25">
      <c r="A6664" s="3" t="e">
        <f ca="1"/>
        <v>#NAME?</v>
      </c>
      <c r="B6664" s="2" t="s">
        <v>12</v>
      </c>
      <c r="C6664" s="2" t="s">
        <v>12</v>
      </c>
      <c r="D6664" s="2" t="s">
        <v>12</v>
      </c>
      <c r="E6664" s="2" t="s">
        <v>12</v>
      </c>
      <c r="F6664" s="2" t="s">
        <v>12</v>
      </c>
      <c r="G6664" s="2" t="s">
        <v>12</v>
      </c>
      <c r="H6664" s="2" t="s">
        <v>12</v>
      </c>
      <c r="I6664" s="2" t="s">
        <v>12</v>
      </c>
      <c r="J6664" s="2" t="s">
        <v>12</v>
      </c>
      <c r="K6664" s="2" t="s">
        <v>12</v>
      </c>
    </row>
    <row r="6665" spans="1:11" ht="12.5" x14ac:dyDescent="0.25">
      <c r="A6665" s="3" t="e">
        <f ca="1"/>
        <v>#NAME?</v>
      </c>
      <c r="B6665" s="2" t="s">
        <v>12</v>
      </c>
      <c r="C6665" s="2" t="s">
        <v>12</v>
      </c>
      <c r="D6665" s="2" t="s">
        <v>12</v>
      </c>
      <c r="E6665" s="2" t="s">
        <v>12</v>
      </c>
      <c r="F6665" s="2" t="s">
        <v>12</v>
      </c>
      <c r="G6665" s="2" t="s">
        <v>12</v>
      </c>
      <c r="H6665" s="2" t="s">
        <v>12</v>
      </c>
      <c r="I6665" s="2" t="s">
        <v>12</v>
      </c>
      <c r="J6665" s="2" t="s">
        <v>12</v>
      </c>
      <c r="K6665" s="2" t="s">
        <v>12</v>
      </c>
    </row>
    <row r="6666" spans="1:11" ht="12.5" x14ac:dyDescent="0.25">
      <c r="A6666" s="3" t="e">
        <f ca="1"/>
        <v>#NAME?</v>
      </c>
      <c r="B6666" s="2" t="s">
        <v>12</v>
      </c>
      <c r="C6666" s="2" t="s">
        <v>12</v>
      </c>
      <c r="D6666" s="2" t="s">
        <v>12</v>
      </c>
      <c r="E6666" s="2" t="s">
        <v>12</v>
      </c>
      <c r="F6666" s="2" t="s">
        <v>12</v>
      </c>
      <c r="G6666" s="2" t="s">
        <v>12</v>
      </c>
      <c r="H6666" s="2" t="s">
        <v>12</v>
      </c>
      <c r="I6666" s="2" t="s">
        <v>12</v>
      </c>
      <c r="J6666" s="2" t="s">
        <v>12</v>
      </c>
      <c r="K6666" s="2" t="s">
        <v>12</v>
      </c>
    </row>
    <row r="6667" spans="1:11" ht="12.5" x14ac:dyDescent="0.25">
      <c r="A6667" s="3" t="e">
        <f ca="1"/>
        <v>#NAME?</v>
      </c>
      <c r="B6667" s="2" t="s">
        <v>12</v>
      </c>
      <c r="C6667" s="2" t="s">
        <v>12</v>
      </c>
      <c r="D6667" s="2" t="s">
        <v>12</v>
      </c>
      <c r="E6667" s="2" t="s">
        <v>12</v>
      </c>
      <c r="F6667" s="2" t="s">
        <v>12</v>
      </c>
      <c r="G6667" s="2" t="s">
        <v>12</v>
      </c>
      <c r="H6667" s="2" t="s">
        <v>12</v>
      </c>
      <c r="I6667" s="2" t="s">
        <v>12</v>
      </c>
      <c r="J6667" s="2" t="s">
        <v>12</v>
      </c>
      <c r="K6667" s="2" t="s">
        <v>12</v>
      </c>
    </row>
    <row r="6668" spans="1:11" ht="12.5" x14ac:dyDescent="0.25">
      <c r="A6668" s="3" t="e">
        <f ca="1"/>
        <v>#NAME?</v>
      </c>
      <c r="B6668" s="2" t="s">
        <v>12</v>
      </c>
      <c r="C6668" s="2" t="s">
        <v>12</v>
      </c>
      <c r="D6668" s="2" t="s">
        <v>12</v>
      </c>
      <c r="E6668" s="2" t="s">
        <v>12</v>
      </c>
      <c r="F6668" s="2" t="s">
        <v>12</v>
      </c>
      <c r="G6668" s="2" t="s">
        <v>12</v>
      </c>
      <c r="H6668" s="2" t="s">
        <v>12</v>
      </c>
      <c r="I6668" s="2" t="s">
        <v>12</v>
      </c>
      <c r="J6668" s="2" t="s">
        <v>12</v>
      </c>
      <c r="K6668" s="2" t="s">
        <v>12</v>
      </c>
    </row>
    <row r="6669" spans="1:11" ht="12.5" x14ac:dyDescent="0.25">
      <c r="A6669" s="3" t="e">
        <f ca="1"/>
        <v>#NAME?</v>
      </c>
      <c r="B6669" s="2" t="s">
        <v>12</v>
      </c>
      <c r="C6669" s="2" t="s">
        <v>12</v>
      </c>
      <c r="D6669" s="2" t="s">
        <v>12</v>
      </c>
      <c r="E6669" s="2" t="s">
        <v>12</v>
      </c>
      <c r="F6669" s="2" t="s">
        <v>12</v>
      </c>
      <c r="G6669" s="2" t="s">
        <v>12</v>
      </c>
      <c r="H6669" s="2" t="s">
        <v>12</v>
      </c>
      <c r="I6669" s="2" t="s">
        <v>12</v>
      </c>
      <c r="J6669" s="2" t="s">
        <v>12</v>
      </c>
      <c r="K6669" s="2" t="s">
        <v>12</v>
      </c>
    </row>
    <row r="6670" spans="1:11" ht="12.5" x14ac:dyDescent="0.25">
      <c r="A6670" s="3" t="e">
        <f ca="1"/>
        <v>#NAME?</v>
      </c>
      <c r="B6670" s="2" t="s">
        <v>12</v>
      </c>
      <c r="C6670" s="2" t="s">
        <v>12</v>
      </c>
      <c r="D6670" s="2" t="s">
        <v>12</v>
      </c>
      <c r="E6670" s="2" t="s">
        <v>12</v>
      </c>
      <c r="F6670" s="2" t="s">
        <v>12</v>
      </c>
      <c r="G6670" s="2" t="s">
        <v>12</v>
      </c>
      <c r="H6670" s="2" t="s">
        <v>12</v>
      </c>
      <c r="I6670" s="2" t="s">
        <v>12</v>
      </c>
      <c r="J6670" s="2" t="s">
        <v>12</v>
      </c>
      <c r="K6670" s="2" t="s">
        <v>12</v>
      </c>
    </row>
    <row r="6671" spans="1:11" ht="12.5" x14ac:dyDescent="0.25">
      <c r="A6671" s="3" t="e">
        <f ca="1"/>
        <v>#NAME?</v>
      </c>
      <c r="B6671" s="2" t="s">
        <v>12</v>
      </c>
      <c r="C6671" s="2" t="s">
        <v>12</v>
      </c>
      <c r="D6671" s="2" t="s">
        <v>12</v>
      </c>
      <c r="E6671" s="2" t="s">
        <v>12</v>
      </c>
      <c r="F6671" s="2" t="s">
        <v>12</v>
      </c>
      <c r="G6671" s="2" t="s">
        <v>12</v>
      </c>
      <c r="H6671" s="2" t="s">
        <v>12</v>
      </c>
      <c r="I6671" s="2" t="s">
        <v>12</v>
      </c>
      <c r="J6671" s="2" t="s">
        <v>12</v>
      </c>
      <c r="K6671" s="2" t="s">
        <v>12</v>
      </c>
    </row>
    <row r="6672" spans="1:11" ht="12.5" x14ac:dyDescent="0.25">
      <c r="A6672" s="3" t="e">
        <f ca="1"/>
        <v>#NAME?</v>
      </c>
      <c r="B6672" s="2" t="s">
        <v>12</v>
      </c>
      <c r="C6672" s="2" t="s">
        <v>12</v>
      </c>
      <c r="D6672" s="2" t="s">
        <v>12</v>
      </c>
      <c r="E6672" s="2" t="s">
        <v>12</v>
      </c>
      <c r="F6672" s="2" t="s">
        <v>12</v>
      </c>
      <c r="G6672" s="2" t="s">
        <v>12</v>
      </c>
      <c r="H6672" s="2" t="s">
        <v>12</v>
      </c>
      <c r="I6672" s="2" t="s">
        <v>12</v>
      </c>
      <c r="J6672" s="2" t="s">
        <v>12</v>
      </c>
      <c r="K6672" s="2" t="s">
        <v>12</v>
      </c>
    </row>
    <row r="6673" spans="1:11" ht="12.5" x14ac:dyDescent="0.25">
      <c r="A6673" s="3" t="e">
        <f ca="1"/>
        <v>#NAME?</v>
      </c>
      <c r="B6673" s="2" t="s">
        <v>12</v>
      </c>
      <c r="C6673" s="2" t="s">
        <v>12</v>
      </c>
      <c r="D6673" s="2" t="s">
        <v>12</v>
      </c>
      <c r="E6673" s="2" t="s">
        <v>12</v>
      </c>
      <c r="F6673" s="2" t="s">
        <v>12</v>
      </c>
      <c r="G6673" s="2" t="s">
        <v>12</v>
      </c>
      <c r="H6673" s="2" t="s">
        <v>12</v>
      </c>
      <c r="I6673" s="2" t="s">
        <v>12</v>
      </c>
      <c r="J6673" s="2" t="s">
        <v>12</v>
      </c>
      <c r="K6673" s="2" t="s">
        <v>12</v>
      </c>
    </row>
    <row r="6674" spans="1:11" ht="12.5" x14ac:dyDescent="0.25">
      <c r="A6674" s="3" t="e">
        <f ca="1"/>
        <v>#NAME?</v>
      </c>
      <c r="B6674" s="2" t="s">
        <v>12</v>
      </c>
      <c r="C6674" s="2" t="s">
        <v>12</v>
      </c>
      <c r="D6674" s="2" t="s">
        <v>12</v>
      </c>
      <c r="E6674" s="2" t="s">
        <v>12</v>
      </c>
      <c r="F6674" s="2" t="s">
        <v>12</v>
      </c>
      <c r="G6674" s="2" t="s">
        <v>12</v>
      </c>
      <c r="H6674" s="2" t="s">
        <v>12</v>
      </c>
      <c r="I6674" s="2" t="s">
        <v>12</v>
      </c>
      <c r="J6674" s="2" t="s">
        <v>12</v>
      </c>
      <c r="K6674" s="2" t="s">
        <v>12</v>
      </c>
    </row>
    <row r="6675" spans="1:11" ht="12.5" x14ac:dyDescent="0.25">
      <c r="A6675" s="3" t="e">
        <f ca="1"/>
        <v>#NAME?</v>
      </c>
      <c r="B6675" s="2" t="s">
        <v>12</v>
      </c>
      <c r="C6675" s="2" t="s">
        <v>12</v>
      </c>
      <c r="D6675" s="2" t="s">
        <v>12</v>
      </c>
      <c r="E6675" s="2" t="s">
        <v>12</v>
      </c>
      <c r="F6675" s="2" t="s">
        <v>12</v>
      </c>
      <c r="G6675" s="2" t="s">
        <v>12</v>
      </c>
      <c r="H6675" s="2" t="s">
        <v>12</v>
      </c>
      <c r="I6675" s="2" t="s">
        <v>12</v>
      </c>
      <c r="J6675" s="2" t="s">
        <v>12</v>
      </c>
      <c r="K6675" s="2" t="s">
        <v>12</v>
      </c>
    </row>
    <row r="6676" spans="1:11" ht="12.5" x14ac:dyDescent="0.25">
      <c r="A6676" s="3" t="e">
        <f ca="1"/>
        <v>#NAME?</v>
      </c>
      <c r="B6676" s="2" t="s">
        <v>12</v>
      </c>
      <c r="C6676" s="2" t="s">
        <v>12</v>
      </c>
      <c r="D6676" s="2" t="s">
        <v>12</v>
      </c>
      <c r="E6676" s="2" t="s">
        <v>12</v>
      </c>
      <c r="F6676" s="2" t="s">
        <v>12</v>
      </c>
      <c r="G6676" s="2" t="s">
        <v>12</v>
      </c>
      <c r="H6676" s="2" t="s">
        <v>12</v>
      </c>
      <c r="I6676" s="2" t="s">
        <v>12</v>
      </c>
      <c r="J6676" s="2" t="s">
        <v>12</v>
      </c>
      <c r="K6676" s="2" t="s">
        <v>12</v>
      </c>
    </row>
    <row r="6677" spans="1:11" ht="12.5" x14ac:dyDescent="0.25">
      <c r="A6677" s="3" t="e">
        <f ca="1"/>
        <v>#NAME?</v>
      </c>
      <c r="B6677" s="2" t="s">
        <v>12</v>
      </c>
      <c r="C6677" s="2" t="s">
        <v>12</v>
      </c>
      <c r="D6677" s="2" t="s">
        <v>12</v>
      </c>
      <c r="E6677" s="2" t="s">
        <v>12</v>
      </c>
      <c r="F6677" s="2" t="s">
        <v>12</v>
      </c>
      <c r="G6677" s="2" t="s">
        <v>12</v>
      </c>
      <c r="H6677" s="2" t="s">
        <v>12</v>
      </c>
      <c r="I6677" s="2" t="s">
        <v>12</v>
      </c>
      <c r="J6677" s="2" t="s">
        <v>12</v>
      </c>
      <c r="K6677" s="2" t="s">
        <v>12</v>
      </c>
    </row>
    <row r="6678" spans="1:11" ht="12.5" x14ac:dyDescent="0.25">
      <c r="A6678" s="3" t="e">
        <f ca="1"/>
        <v>#NAME?</v>
      </c>
      <c r="B6678" s="2" t="s">
        <v>12</v>
      </c>
      <c r="C6678" s="2" t="s">
        <v>12</v>
      </c>
      <c r="D6678" s="2" t="s">
        <v>12</v>
      </c>
      <c r="E6678" s="2" t="s">
        <v>12</v>
      </c>
      <c r="F6678" s="2" t="s">
        <v>12</v>
      </c>
      <c r="G6678" s="2" t="s">
        <v>12</v>
      </c>
      <c r="H6678" s="2" t="s">
        <v>12</v>
      </c>
      <c r="I6678" s="2" t="s">
        <v>12</v>
      </c>
      <c r="J6678" s="2" t="s">
        <v>12</v>
      </c>
      <c r="K6678" s="2" t="s">
        <v>12</v>
      </c>
    </row>
    <row r="6679" spans="1:11" ht="12.5" x14ac:dyDescent="0.25">
      <c r="A6679" s="3" t="e">
        <f ca="1"/>
        <v>#NAME?</v>
      </c>
      <c r="B6679" s="2" t="s">
        <v>12</v>
      </c>
      <c r="C6679" s="2" t="s">
        <v>12</v>
      </c>
      <c r="D6679" s="2" t="s">
        <v>12</v>
      </c>
      <c r="E6679" s="2" t="s">
        <v>12</v>
      </c>
      <c r="F6679" s="2" t="s">
        <v>12</v>
      </c>
      <c r="G6679" s="2" t="s">
        <v>12</v>
      </c>
      <c r="H6679" s="2" t="s">
        <v>12</v>
      </c>
      <c r="I6679" s="2" t="s">
        <v>12</v>
      </c>
      <c r="J6679" s="2" t="s">
        <v>12</v>
      </c>
      <c r="K6679" s="2" t="s">
        <v>12</v>
      </c>
    </row>
    <row r="6680" spans="1:11" ht="12.5" x14ac:dyDescent="0.25">
      <c r="A6680" s="3" t="e">
        <f ca="1"/>
        <v>#NAME?</v>
      </c>
      <c r="B6680" s="2" t="s">
        <v>12</v>
      </c>
      <c r="C6680" s="2" t="s">
        <v>12</v>
      </c>
      <c r="D6680" s="2" t="s">
        <v>12</v>
      </c>
      <c r="E6680" s="2" t="s">
        <v>12</v>
      </c>
      <c r="F6680" s="2" t="s">
        <v>12</v>
      </c>
      <c r="G6680" s="2" t="s">
        <v>12</v>
      </c>
      <c r="H6680" s="2" t="s">
        <v>12</v>
      </c>
      <c r="I6680" s="2" t="s">
        <v>12</v>
      </c>
      <c r="J6680" s="2" t="s">
        <v>12</v>
      </c>
      <c r="K6680" s="2" t="s">
        <v>12</v>
      </c>
    </row>
    <row r="6681" spans="1:11" ht="12.5" x14ac:dyDescent="0.25">
      <c r="A6681" s="3" t="e">
        <f ca="1"/>
        <v>#NAME?</v>
      </c>
      <c r="B6681" s="2" t="s">
        <v>12</v>
      </c>
      <c r="C6681" s="2" t="s">
        <v>12</v>
      </c>
      <c r="D6681" s="2" t="s">
        <v>12</v>
      </c>
      <c r="E6681" s="2" t="s">
        <v>12</v>
      </c>
      <c r="F6681" s="2" t="s">
        <v>12</v>
      </c>
      <c r="G6681" s="2" t="s">
        <v>12</v>
      </c>
      <c r="H6681" s="2" t="s">
        <v>12</v>
      </c>
      <c r="I6681" s="2" t="s">
        <v>12</v>
      </c>
      <c r="J6681" s="2" t="s">
        <v>12</v>
      </c>
      <c r="K6681" s="2" t="s">
        <v>12</v>
      </c>
    </row>
    <row r="6682" spans="1:11" ht="12.5" x14ac:dyDescent="0.25">
      <c r="A6682" s="3" t="e">
        <f ca="1"/>
        <v>#NAME?</v>
      </c>
      <c r="B6682" s="2" t="s">
        <v>12</v>
      </c>
      <c r="C6682" s="2" t="s">
        <v>12</v>
      </c>
      <c r="D6682" s="2" t="s">
        <v>12</v>
      </c>
      <c r="E6682" s="2" t="s">
        <v>12</v>
      </c>
      <c r="F6682" s="2" t="s">
        <v>12</v>
      </c>
      <c r="G6682" s="2" t="s">
        <v>12</v>
      </c>
      <c r="H6682" s="2" t="s">
        <v>12</v>
      </c>
      <c r="I6682" s="2" t="s">
        <v>12</v>
      </c>
      <c r="J6682" s="2" t="s">
        <v>12</v>
      </c>
      <c r="K6682" s="2" t="s">
        <v>12</v>
      </c>
    </row>
    <row r="6683" spans="1:11" ht="12.5" x14ac:dyDescent="0.25">
      <c r="A6683" s="3" t="e">
        <f ca="1"/>
        <v>#NAME?</v>
      </c>
      <c r="B6683" s="2" t="s">
        <v>12</v>
      </c>
      <c r="C6683" s="2" t="s">
        <v>12</v>
      </c>
      <c r="D6683" s="2" t="s">
        <v>12</v>
      </c>
      <c r="E6683" s="2" t="s">
        <v>12</v>
      </c>
      <c r="F6683" s="2" t="s">
        <v>12</v>
      </c>
      <c r="G6683" s="2" t="s">
        <v>12</v>
      </c>
      <c r="H6683" s="2" t="s">
        <v>12</v>
      </c>
      <c r="I6683" s="2" t="s">
        <v>12</v>
      </c>
      <c r="J6683" s="2" t="s">
        <v>12</v>
      </c>
      <c r="K6683" s="2" t="s">
        <v>12</v>
      </c>
    </row>
    <row r="6684" spans="1:11" ht="12.5" x14ac:dyDescent="0.25">
      <c r="A6684" s="3" t="e">
        <f ca="1"/>
        <v>#NAME?</v>
      </c>
      <c r="B6684" s="2" t="s">
        <v>12</v>
      </c>
      <c r="C6684" s="2" t="s">
        <v>12</v>
      </c>
      <c r="D6684" s="2" t="s">
        <v>12</v>
      </c>
      <c r="E6684" s="2" t="s">
        <v>12</v>
      </c>
      <c r="F6684" s="2" t="s">
        <v>12</v>
      </c>
      <c r="G6684" s="2" t="s">
        <v>12</v>
      </c>
      <c r="H6684" s="2" t="s">
        <v>12</v>
      </c>
      <c r="I6684" s="2" t="s">
        <v>12</v>
      </c>
      <c r="J6684" s="2" t="s">
        <v>12</v>
      </c>
      <c r="K6684" s="2" t="s">
        <v>12</v>
      </c>
    </row>
    <row r="6685" spans="1:11" ht="12.5" x14ac:dyDescent="0.25">
      <c r="A6685" s="3" t="e">
        <f ca="1"/>
        <v>#NAME?</v>
      </c>
      <c r="B6685" s="2" t="s">
        <v>12</v>
      </c>
      <c r="C6685" s="2" t="s">
        <v>12</v>
      </c>
      <c r="D6685" s="2" t="s">
        <v>12</v>
      </c>
      <c r="E6685" s="2" t="s">
        <v>12</v>
      </c>
      <c r="F6685" s="2" t="s">
        <v>12</v>
      </c>
      <c r="G6685" s="2" t="s">
        <v>12</v>
      </c>
      <c r="H6685" s="2" t="s">
        <v>12</v>
      </c>
      <c r="I6685" s="2" t="s">
        <v>12</v>
      </c>
      <c r="J6685" s="2" t="s">
        <v>12</v>
      </c>
      <c r="K6685" s="2" t="s">
        <v>12</v>
      </c>
    </row>
    <row r="6686" spans="1:11" ht="12.5" x14ac:dyDescent="0.25">
      <c r="A6686" s="3" t="e">
        <f ca="1"/>
        <v>#NAME?</v>
      </c>
      <c r="B6686" s="2" t="s">
        <v>12</v>
      </c>
      <c r="C6686" s="2" t="s">
        <v>12</v>
      </c>
      <c r="D6686" s="2" t="s">
        <v>12</v>
      </c>
      <c r="E6686" s="2" t="s">
        <v>12</v>
      </c>
      <c r="F6686" s="2" t="s">
        <v>12</v>
      </c>
      <c r="G6686" s="2" t="s">
        <v>12</v>
      </c>
      <c r="H6686" s="2" t="s">
        <v>12</v>
      </c>
      <c r="I6686" s="2" t="s">
        <v>12</v>
      </c>
      <c r="J6686" s="2" t="s">
        <v>12</v>
      </c>
      <c r="K6686" s="2" t="s">
        <v>12</v>
      </c>
    </row>
    <row r="6687" spans="1:11" ht="12.5" x14ac:dyDescent="0.25">
      <c r="A6687" s="3" t="e">
        <f ca="1"/>
        <v>#NAME?</v>
      </c>
      <c r="B6687" s="2" t="s">
        <v>12</v>
      </c>
      <c r="C6687" s="2" t="s">
        <v>12</v>
      </c>
      <c r="D6687" s="2" t="s">
        <v>12</v>
      </c>
      <c r="E6687" s="2" t="s">
        <v>12</v>
      </c>
      <c r="F6687" s="2" t="s">
        <v>12</v>
      </c>
      <c r="G6687" s="2" t="s">
        <v>12</v>
      </c>
      <c r="H6687" s="2" t="s">
        <v>12</v>
      </c>
      <c r="I6687" s="2" t="s">
        <v>12</v>
      </c>
      <c r="J6687" s="2" t="s">
        <v>12</v>
      </c>
      <c r="K6687" s="2" t="s">
        <v>12</v>
      </c>
    </row>
    <row r="6688" spans="1:11" ht="12.5" x14ac:dyDescent="0.25">
      <c r="A6688" s="3" t="e">
        <f ca="1"/>
        <v>#NAME?</v>
      </c>
      <c r="B6688" s="2" t="s">
        <v>12</v>
      </c>
      <c r="C6688" s="2" t="s">
        <v>12</v>
      </c>
      <c r="D6688" s="2" t="s">
        <v>12</v>
      </c>
      <c r="E6688" s="2" t="s">
        <v>12</v>
      </c>
      <c r="F6688" s="2" t="s">
        <v>12</v>
      </c>
      <c r="G6688" s="2" t="s">
        <v>12</v>
      </c>
      <c r="H6688" s="2" t="s">
        <v>12</v>
      </c>
      <c r="I6688" s="2" t="s">
        <v>12</v>
      </c>
      <c r="J6688" s="2" t="s">
        <v>12</v>
      </c>
      <c r="K6688" s="2" t="s">
        <v>12</v>
      </c>
    </row>
    <row r="6689" spans="1:11" ht="12.5" x14ac:dyDescent="0.25">
      <c r="A6689" s="3" t="e">
        <f ca="1"/>
        <v>#NAME?</v>
      </c>
      <c r="B6689" s="2" t="s">
        <v>12</v>
      </c>
      <c r="C6689" s="2" t="s">
        <v>12</v>
      </c>
      <c r="D6689" s="2" t="s">
        <v>12</v>
      </c>
      <c r="E6689" s="2" t="s">
        <v>12</v>
      </c>
      <c r="F6689" s="2" t="s">
        <v>12</v>
      </c>
      <c r="G6689" s="2" t="s">
        <v>12</v>
      </c>
      <c r="H6689" s="2" t="s">
        <v>12</v>
      </c>
      <c r="I6689" s="2" t="s">
        <v>12</v>
      </c>
      <c r="J6689" s="2" t="s">
        <v>12</v>
      </c>
      <c r="K6689" s="2" t="s">
        <v>12</v>
      </c>
    </row>
    <row r="6690" spans="1:11" ht="12.5" x14ac:dyDescent="0.25">
      <c r="A6690" s="3" t="e">
        <f ca="1"/>
        <v>#NAME?</v>
      </c>
      <c r="B6690" s="2" t="s">
        <v>12</v>
      </c>
      <c r="C6690" s="2" t="s">
        <v>12</v>
      </c>
      <c r="D6690" s="2" t="s">
        <v>12</v>
      </c>
      <c r="E6690" s="2" t="s">
        <v>12</v>
      </c>
      <c r="F6690" s="2" t="s">
        <v>12</v>
      </c>
      <c r="G6690" s="2" t="s">
        <v>12</v>
      </c>
      <c r="H6690" s="2" t="s">
        <v>12</v>
      </c>
      <c r="I6690" s="2" t="s">
        <v>12</v>
      </c>
      <c r="J6690" s="2" t="s">
        <v>12</v>
      </c>
      <c r="K6690" s="2" t="s">
        <v>12</v>
      </c>
    </row>
    <row r="6691" spans="1:11" ht="12.5" x14ac:dyDescent="0.25">
      <c r="A6691" s="3" t="e">
        <f ca="1"/>
        <v>#NAME?</v>
      </c>
      <c r="B6691" s="2" t="s">
        <v>12</v>
      </c>
      <c r="C6691" s="2" t="s">
        <v>12</v>
      </c>
      <c r="D6691" s="2" t="s">
        <v>12</v>
      </c>
      <c r="E6691" s="2" t="s">
        <v>12</v>
      </c>
      <c r="F6691" s="2" t="s">
        <v>12</v>
      </c>
      <c r="G6691" s="2" t="s">
        <v>12</v>
      </c>
      <c r="H6691" s="2" t="s">
        <v>12</v>
      </c>
      <c r="I6691" s="2" t="s">
        <v>12</v>
      </c>
      <c r="J6691" s="2" t="s">
        <v>12</v>
      </c>
      <c r="K6691" s="2" t="s">
        <v>12</v>
      </c>
    </row>
    <row r="6692" spans="1:11" ht="12.5" x14ac:dyDescent="0.25">
      <c r="A6692" s="3" t="e">
        <f ca="1"/>
        <v>#NAME?</v>
      </c>
      <c r="B6692" s="2" t="s">
        <v>12</v>
      </c>
      <c r="C6692" s="2" t="s">
        <v>12</v>
      </c>
      <c r="D6692" s="2" t="s">
        <v>12</v>
      </c>
      <c r="E6692" s="2" t="s">
        <v>12</v>
      </c>
      <c r="F6692" s="2" t="s">
        <v>12</v>
      </c>
      <c r="G6692" s="2" t="s">
        <v>12</v>
      </c>
      <c r="H6692" s="2" t="s">
        <v>12</v>
      </c>
      <c r="I6692" s="2" t="s">
        <v>12</v>
      </c>
      <c r="J6692" s="2" t="s">
        <v>12</v>
      </c>
      <c r="K6692" s="2" t="s">
        <v>12</v>
      </c>
    </row>
    <row r="6693" spans="1:11" ht="12.5" x14ac:dyDescent="0.25">
      <c r="A6693" s="3" t="e">
        <f ca="1"/>
        <v>#NAME?</v>
      </c>
      <c r="B6693" s="2" t="s">
        <v>12</v>
      </c>
      <c r="C6693" s="2" t="s">
        <v>12</v>
      </c>
      <c r="D6693" s="2" t="s">
        <v>12</v>
      </c>
      <c r="E6693" s="2" t="s">
        <v>12</v>
      </c>
      <c r="F6693" s="2" t="s">
        <v>12</v>
      </c>
      <c r="G6693" s="2" t="s">
        <v>12</v>
      </c>
      <c r="H6693" s="2" t="s">
        <v>12</v>
      </c>
      <c r="I6693" s="2" t="s">
        <v>12</v>
      </c>
      <c r="J6693" s="2" t="s">
        <v>12</v>
      </c>
      <c r="K6693" s="2" t="s">
        <v>12</v>
      </c>
    </row>
    <row r="6694" spans="1:11" ht="12.5" x14ac:dyDescent="0.25">
      <c r="A6694" s="3" t="e">
        <f ca="1"/>
        <v>#NAME?</v>
      </c>
      <c r="B6694" s="2" t="s">
        <v>12</v>
      </c>
      <c r="C6694" s="2" t="s">
        <v>12</v>
      </c>
      <c r="D6694" s="2" t="s">
        <v>12</v>
      </c>
      <c r="E6694" s="2" t="s">
        <v>12</v>
      </c>
      <c r="F6694" s="2" t="s">
        <v>12</v>
      </c>
      <c r="G6694" s="2" t="s">
        <v>12</v>
      </c>
      <c r="H6694" s="2" t="s">
        <v>12</v>
      </c>
      <c r="I6694" s="2" t="s">
        <v>12</v>
      </c>
      <c r="J6694" s="2" t="s">
        <v>12</v>
      </c>
      <c r="K6694" s="2" t="s">
        <v>12</v>
      </c>
    </row>
    <row r="6695" spans="1:11" ht="12.5" x14ac:dyDescent="0.25">
      <c r="A6695" s="3" t="e">
        <f ca="1"/>
        <v>#NAME?</v>
      </c>
      <c r="B6695" s="2" t="s">
        <v>12</v>
      </c>
      <c r="C6695" s="2" t="s">
        <v>12</v>
      </c>
      <c r="D6695" s="2" t="s">
        <v>12</v>
      </c>
      <c r="E6695" s="2" t="s">
        <v>12</v>
      </c>
      <c r="F6695" s="2" t="s">
        <v>12</v>
      </c>
      <c r="G6695" s="2" t="s">
        <v>12</v>
      </c>
      <c r="H6695" s="2" t="s">
        <v>12</v>
      </c>
      <c r="I6695" s="2" t="s">
        <v>12</v>
      </c>
      <c r="J6695" s="2" t="s">
        <v>12</v>
      </c>
      <c r="K6695" s="2" t="s">
        <v>12</v>
      </c>
    </row>
    <row r="6696" spans="1:11" ht="12.5" x14ac:dyDescent="0.25">
      <c r="A6696" s="3" t="e">
        <f ca="1"/>
        <v>#NAME?</v>
      </c>
      <c r="B6696" s="2" t="s">
        <v>12</v>
      </c>
      <c r="C6696" s="2" t="s">
        <v>12</v>
      </c>
      <c r="D6696" s="2" t="s">
        <v>12</v>
      </c>
      <c r="E6696" s="2" t="s">
        <v>12</v>
      </c>
      <c r="F6696" s="2" t="s">
        <v>12</v>
      </c>
      <c r="G6696" s="2" t="s">
        <v>12</v>
      </c>
      <c r="H6696" s="2" t="s">
        <v>12</v>
      </c>
      <c r="I6696" s="2" t="s">
        <v>12</v>
      </c>
      <c r="J6696" s="2" t="s">
        <v>12</v>
      </c>
      <c r="K6696" s="2" t="s">
        <v>12</v>
      </c>
    </row>
    <row r="6697" spans="1:11" ht="12.5" x14ac:dyDescent="0.25">
      <c r="A6697" s="3" t="e">
        <f ca="1"/>
        <v>#NAME?</v>
      </c>
      <c r="B6697" s="2" t="s">
        <v>12</v>
      </c>
      <c r="C6697" s="2" t="s">
        <v>12</v>
      </c>
      <c r="D6697" s="2" t="s">
        <v>12</v>
      </c>
      <c r="E6697" s="2" t="s">
        <v>12</v>
      </c>
      <c r="F6697" s="2" t="s">
        <v>12</v>
      </c>
      <c r="G6697" s="2" t="s">
        <v>12</v>
      </c>
      <c r="H6697" s="2" t="s">
        <v>12</v>
      </c>
      <c r="I6697" s="2" t="s">
        <v>12</v>
      </c>
      <c r="J6697" s="2" t="s">
        <v>12</v>
      </c>
      <c r="K6697" s="2" t="s">
        <v>12</v>
      </c>
    </row>
    <row r="6698" spans="1:11" ht="12.5" x14ac:dyDescent="0.25">
      <c r="A6698" s="3" t="e">
        <f ca="1"/>
        <v>#NAME?</v>
      </c>
      <c r="B6698" s="2" t="s">
        <v>12</v>
      </c>
      <c r="C6698" s="2" t="s">
        <v>12</v>
      </c>
      <c r="D6698" s="2" t="s">
        <v>12</v>
      </c>
      <c r="E6698" s="2" t="s">
        <v>12</v>
      </c>
      <c r="F6698" s="2" t="s">
        <v>12</v>
      </c>
      <c r="G6698" s="2" t="s">
        <v>12</v>
      </c>
      <c r="H6698" s="2" t="s">
        <v>12</v>
      </c>
      <c r="I6698" s="2" t="s">
        <v>12</v>
      </c>
      <c r="J6698" s="2" t="s">
        <v>12</v>
      </c>
      <c r="K6698" s="2" t="s">
        <v>12</v>
      </c>
    </row>
    <row r="6699" spans="1:11" ht="12.5" x14ac:dyDescent="0.25">
      <c r="A6699" s="3" t="e">
        <f ca="1"/>
        <v>#NAME?</v>
      </c>
      <c r="B6699" s="2" t="s">
        <v>12</v>
      </c>
      <c r="C6699" s="2" t="s">
        <v>12</v>
      </c>
      <c r="D6699" s="2" t="s">
        <v>12</v>
      </c>
      <c r="E6699" s="2" t="s">
        <v>12</v>
      </c>
      <c r="F6699" s="2" t="s">
        <v>12</v>
      </c>
      <c r="G6699" s="2" t="s">
        <v>12</v>
      </c>
      <c r="H6699" s="2" t="s">
        <v>12</v>
      </c>
      <c r="I6699" s="2" t="s">
        <v>12</v>
      </c>
      <c r="J6699" s="2" t="s">
        <v>12</v>
      </c>
      <c r="K6699" s="2" t="s">
        <v>12</v>
      </c>
    </row>
    <row r="6700" spans="1:11" ht="12.5" x14ac:dyDescent="0.25">
      <c r="A6700" s="3" t="e">
        <f ca="1"/>
        <v>#NAME?</v>
      </c>
      <c r="B6700" s="2" t="s">
        <v>12</v>
      </c>
      <c r="C6700" s="2" t="s">
        <v>12</v>
      </c>
      <c r="D6700" s="2" t="s">
        <v>12</v>
      </c>
      <c r="E6700" s="2" t="s">
        <v>12</v>
      </c>
      <c r="F6700" s="2" t="s">
        <v>12</v>
      </c>
      <c r="G6700" s="2" t="s">
        <v>12</v>
      </c>
      <c r="H6700" s="2" t="s">
        <v>12</v>
      </c>
      <c r="I6700" s="2" t="s">
        <v>12</v>
      </c>
      <c r="J6700" s="2" t="s">
        <v>12</v>
      </c>
      <c r="K6700" s="2" t="s">
        <v>12</v>
      </c>
    </row>
    <row r="6701" spans="1:11" ht="12.5" x14ac:dyDescent="0.25">
      <c r="A6701" s="3" t="e">
        <f ca="1"/>
        <v>#NAME?</v>
      </c>
      <c r="B6701" s="2" t="s">
        <v>12</v>
      </c>
      <c r="C6701" s="2" t="s">
        <v>12</v>
      </c>
      <c r="D6701" s="2" t="s">
        <v>12</v>
      </c>
      <c r="E6701" s="2" t="s">
        <v>12</v>
      </c>
      <c r="F6701" s="2" t="s">
        <v>12</v>
      </c>
      <c r="G6701" s="2" t="s">
        <v>12</v>
      </c>
      <c r="H6701" s="2" t="s">
        <v>12</v>
      </c>
      <c r="I6701" s="2" t="s">
        <v>12</v>
      </c>
      <c r="J6701" s="2" t="s">
        <v>12</v>
      </c>
      <c r="K6701" s="2" t="s">
        <v>12</v>
      </c>
    </row>
    <row r="6702" spans="1:11" ht="12.5" x14ac:dyDescent="0.25">
      <c r="A6702" s="3" t="e">
        <f ca="1"/>
        <v>#NAME?</v>
      </c>
      <c r="B6702" s="2" t="s">
        <v>12</v>
      </c>
      <c r="C6702" s="2" t="s">
        <v>12</v>
      </c>
      <c r="D6702" s="2" t="s">
        <v>12</v>
      </c>
      <c r="E6702" s="2" t="s">
        <v>12</v>
      </c>
      <c r="F6702" s="2" t="s">
        <v>12</v>
      </c>
      <c r="G6702" s="2" t="s">
        <v>12</v>
      </c>
      <c r="H6702" s="2" t="s">
        <v>12</v>
      </c>
      <c r="I6702" s="2" t="s">
        <v>12</v>
      </c>
      <c r="J6702" s="2" t="s">
        <v>12</v>
      </c>
      <c r="K6702" s="2" t="s">
        <v>12</v>
      </c>
    </row>
    <row r="6703" spans="1:11" ht="12.5" x14ac:dyDescent="0.25">
      <c r="A6703" s="3" t="e">
        <f ca="1"/>
        <v>#NAME?</v>
      </c>
      <c r="B6703" s="2" t="s">
        <v>12</v>
      </c>
      <c r="C6703" s="2" t="s">
        <v>12</v>
      </c>
      <c r="D6703" s="2" t="s">
        <v>12</v>
      </c>
      <c r="E6703" s="2" t="s">
        <v>12</v>
      </c>
      <c r="F6703" s="2" t="s">
        <v>12</v>
      </c>
      <c r="G6703" s="2" t="s">
        <v>12</v>
      </c>
      <c r="H6703" s="2" t="s">
        <v>12</v>
      </c>
      <c r="I6703" s="2" t="s">
        <v>12</v>
      </c>
      <c r="J6703" s="2" t="s">
        <v>12</v>
      </c>
      <c r="K6703" s="2" t="s">
        <v>12</v>
      </c>
    </row>
    <row r="6704" spans="1:11" ht="12.5" x14ac:dyDescent="0.25">
      <c r="A6704" s="3" t="e">
        <f ca="1"/>
        <v>#NAME?</v>
      </c>
      <c r="B6704" s="2" t="s">
        <v>12</v>
      </c>
      <c r="C6704" s="2" t="s">
        <v>12</v>
      </c>
      <c r="D6704" s="2" t="s">
        <v>12</v>
      </c>
      <c r="E6704" s="2" t="s">
        <v>12</v>
      </c>
      <c r="F6704" s="2" t="s">
        <v>12</v>
      </c>
      <c r="G6704" s="2" t="s">
        <v>12</v>
      </c>
      <c r="H6704" s="2" t="s">
        <v>12</v>
      </c>
      <c r="I6704" s="2" t="s">
        <v>12</v>
      </c>
      <c r="J6704" s="2" t="s">
        <v>12</v>
      </c>
      <c r="K6704" s="2" t="s">
        <v>12</v>
      </c>
    </row>
    <row r="6705" spans="1:11" ht="12.5" x14ac:dyDescent="0.25">
      <c r="A6705" s="3" t="e">
        <f ca="1"/>
        <v>#NAME?</v>
      </c>
      <c r="B6705" s="2" t="s">
        <v>12</v>
      </c>
      <c r="C6705" s="2" t="s">
        <v>12</v>
      </c>
      <c r="D6705" s="2" t="s">
        <v>12</v>
      </c>
      <c r="E6705" s="2" t="s">
        <v>12</v>
      </c>
      <c r="F6705" s="2" t="s">
        <v>12</v>
      </c>
      <c r="G6705" s="2" t="s">
        <v>12</v>
      </c>
      <c r="H6705" s="2" t="s">
        <v>12</v>
      </c>
      <c r="I6705" s="2" t="s">
        <v>12</v>
      </c>
      <c r="J6705" s="2" t="s">
        <v>12</v>
      </c>
      <c r="K6705" s="2" t="s">
        <v>12</v>
      </c>
    </row>
    <row r="6706" spans="1:11" ht="12.5" x14ac:dyDescent="0.25">
      <c r="A6706" s="3" t="e">
        <f ca="1"/>
        <v>#NAME?</v>
      </c>
      <c r="B6706" s="2" t="s">
        <v>12</v>
      </c>
      <c r="C6706" s="2" t="s">
        <v>12</v>
      </c>
      <c r="D6706" s="2" t="s">
        <v>12</v>
      </c>
      <c r="E6706" s="2" t="s">
        <v>12</v>
      </c>
      <c r="F6706" s="2" t="s">
        <v>12</v>
      </c>
      <c r="G6706" s="2" t="s">
        <v>12</v>
      </c>
      <c r="H6706" s="2" t="s">
        <v>12</v>
      </c>
      <c r="I6706" s="2" t="s">
        <v>12</v>
      </c>
      <c r="J6706" s="2" t="s">
        <v>12</v>
      </c>
      <c r="K6706" s="2" t="s">
        <v>12</v>
      </c>
    </row>
    <row r="6707" spans="1:11" ht="12.5" x14ac:dyDescent="0.25">
      <c r="A6707" s="3" t="e">
        <f ca="1"/>
        <v>#NAME?</v>
      </c>
      <c r="B6707" s="2" t="s">
        <v>12</v>
      </c>
      <c r="C6707" s="2" t="s">
        <v>12</v>
      </c>
      <c r="D6707" s="2" t="s">
        <v>12</v>
      </c>
      <c r="E6707" s="2" t="s">
        <v>12</v>
      </c>
      <c r="F6707" s="2" t="s">
        <v>12</v>
      </c>
      <c r="G6707" s="2" t="s">
        <v>12</v>
      </c>
      <c r="H6707" s="2" t="s">
        <v>12</v>
      </c>
      <c r="I6707" s="2" t="s">
        <v>12</v>
      </c>
      <c r="J6707" s="2" t="s">
        <v>12</v>
      </c>
      <c r="K6707" s="2" t="s">
        <v>12</v>
      </c>
    </row>
    <row r="6708" spans="1:11" ht="12.5" x14ac:dyDescent="0.25">
      <c r="A6708" s="3" t="e">
        <f ca="1"/>
        <v>#NAME?</v>
      </c>
      <c r="B6708" s="2" t="s">
        <v>12</v>
      </c>
      <c r="C6708" s="2" t="s">
        <v>12</v>
      </c>
      <c r="D6708" s="2" t="s">
        <v>12</v>
      </c>
      <c r="E6708" s="2" t="s">
        <v>12</v>
      </c>
      <c r="F6708" s="2" t="s">
        <v>12</v>
      </c>
      <c r="G6708" s="2" t="s">
        <v>12</v>
      </c>
      <c r="H6708" s="2" t="s">
        <v>12</v>
      </c>
      <c r="I6708" s="2" t="s">
        <v>12</v>
      </c>
      <c r="J6708" s="2" t="s">
        <v>12</v>
      </c>
      <c r="K6708" s="2" t="s">
        <v>12</v>
      </c>
    </row>
    <row r="6709" spans="1:11" ht="12.5" x14ac:dyDescent="0.25">
      <c r="A6709" s="3" t="e">
        <f ca="1"/>
        <v>#NAME?</v>
      </c>
      <c r="B6709" s="2" t="s">
        <v>12</v>
      </c>
      <c r="C6709" s="2" t="s">
        <v>12</v>
      </c>
      <c r="D6709" s="2" t="s">
        <v>12</v>
      </c>
      <c r="E6709" s="2" t="s">
        <v>12</v>
      </c>
      <c r="F6709" s="2" t="s">
        <v>12</v>
      </c>
      <c r="G6709" s="2" t="s">
        <v>12</v>
      </c>
      <c r="H6709" s="2" t="s">
        <v>12</v>
      </c>
      <c r="I6709" s="2" t="s">
        <v>12</v>
      </c>
      <c r="J6709" s="2" t="s">
        <v>12</v>
      </c>
      <c r="K6709" s="2" t="s">
        <v>12</v>
      </c>
    </row>
    <row r="6710" spans="1:11" ht="12.5" x14ac:dyDescent="0.25">
      <c r="A6710" s="3" t="e">
        <f ca="1"/>
        <v>#NAME?</v>
      </c>
      <c r="B6710" s="2" t="s">
        <v>12</v>
      </c>
      <c r="C6710" s="2" t="s">
        <v>12</v>
      </c>
      <c r="D6710" s="2" t="s">
        <v>12</v>
      </c>
      <c r="E6710" s="2" t="s">
        <v>12</v>
      </c>
      <c r="F6710" s="2" t="s">
        <v>12</v>
      </c>
      <c r="G6710" s="2" t="s">
        <v>12</v>
      </c>
      <c r="H6710" s="2" t="s">
        <v>12</v>
      </c>
      <c r="I6710" s="2" t="s">
        <v>12</v>
      </c>
      <c r="J6710" s="2" t="s">
        <v>12</v>
      </c>
      <c r="K6710" s="2" t="s">
        <v>12</v>
      </c>
    </row>
    <row r="6711" spans="1:11" ht="12.5" x14ac:dyDescent="0.25">
      <c r="A6711" s="3" t="e">
        <f ca="1"/>
        <v>#NAME?</v>
      </c>
      <c r="B6711" s="2" t="s">
        <v>12</v>
      </c>
      <c r="C6711" s="2" t="s">
        <v>12</v>
      </c>
      <c r="D6711" s="2" t="s">
        <v>12</v>
      </c>
      <c r="E6711" s="2" t="s">
        <v>12</v>
      </c>
      <c r="F6711" s="2" t="s">
        <v>12</v>
      </c>
      <c r="G6711" s="2" t="s">
        <v>12</v>
      </c>
      <c r="H6711" s="2" t="s">
        <v>12</v>
      </c>
      <c r="I6711" s="2" t="s">
        <v>12</v>
      </c>
      <c r="J6711" s="2" t="s">
        <v>12</v>
      </c>
      <c r="K6711" s="2" t="s">
        <v>12</v>
      </c>
    </row>
    <row r="6712" spans="1:11" ht="12.5" x14ac:dyDescent="0.25">
      <c r="A6712" s="3" t="e">
        <f ca="1"/>
        <v>#NAME?</v>
      </c>
      <c r="B6712" s="2" t="s">
        <v>12</v>
      </c>
      <c r="C6712" s="2" t="s">
        <v>12</v>
      </c>
      <c r="D6712" s="2" t="s">
        <v>12</v>
      </c>
      <c r="E6712" s="2" t="s">
        <v>12</v>
      </c>
      <c r="F6712" s="2" t="s">
        <v>12</v>
      </c>
      <c r="G6712" s="2" t="s">
        <v>12</v>
      </c>
      <c r="H6712" s="2" t="s">
        <v>12</v>
      </c>
      <c r="I6712" s="2" t="s">
        <v>12</v>
      </c>
      <c r="J6712" s="2" t="s">
        <v>12</v>
      </c>
      <c r="K6712" s="2" t="s">
        <v>12</v>
      </c>
    </row>
    <row r="6713" spans="1:11" ht="12.5" x14ac:dyDescent="0.25">
      <c r="A6713" s="3" t="e">
        <f ca="1"/>
        <v>#NAME?</v>
      </c>
      <c r="B6713" s="2" t="s">
        <v>12</v>
      </c>
      <c r="C6713" s="2" t="s">
        <v>12</v>
      </c>
      <c r="D6713" s="2" t="s">
        <v>12</v>
      </c>
      <c r="E6713" s="2" t="s">
        <v>12</v>
      </c>
      <c r="F6713" s="2" t="s">
        <v>12</v>
      </c>
      <c r="G6713" s="2" t="s">
        <v>12</v>
      </c>
      <c r="H6713" s="2" t="s">
        <v>12</v>
      </c>
      <c r="I6713" s="2" t="s">
        <v>12</v>
      </c>
      <c r="J6713" s="2" t="s">
        <v>12</v>
      </c>
      <c r="K6713" s="2" t="s">
        <v>12</v>
      </c>
    </row>
    <row r="6714" spans="1:11" ht="12.5" x14ac:dyDescent="0.25">
      <c r="A6714" s="3" t="e">
        <f ca="1"/>
        <v>#NAME?</v>
      </c>
      <c r="B6714" s="2" t="s">
        <v>12</v>
      </c>
      <c r="C6714" s="2" t="s">
        <v>12</v>
      </c>
      <c r="D6714" s="2" t="s">
        <v>12</v>
      </c>
      <c r="E6714" s="2" t="s">
        <v>12</v>
      </c>
      <c r="F6714" s="2" t="s">
        <v>12</v>
      </c>
      <c r="G6714" s="2" t="s">
        <v>12</v>
      </c>
      <c r="H6714" s="2" t="s">
        <v>12</v>
      </c>
      <c r="I6714" s="2" t="s">
        <v>12</v>
      </c>
      <c r="J6714" s="2" t="s">
        <v>12</v>
      </c>
      <c r="K6714" s="2" t="s">
        <v>12</v>
      </c>
    </row>
    <row r="6715" spans="1:11" ht="12.5" x14ac:dyDescent="0.25">
      <c r="A6715" s="3" t="e">
        <f ca="1"/>
        <v>#NAME?</v>
      </c>
      <c r="B6715" s="2" t="s">
        <v>12</v>
      </c>
      <c r="C6715" s="2" t="s">
        <v>12</v>
      </c>
      <c r="D6715" s="2" t="s">
        <v>12</v>
      </c>
      <c r="E6715" s="2" t="s">
        <v>12</v>
      </c>
      <c r="F6715" s="2" t="s">
        <v>12</v>
      </c>
      <c r="G6715" s="2" t="s">
        <v>12</v>
      </c>
      <c r="H6715" s="2" t="s">
        <v>12</v>
      </c>
      <c r="I6715" s="2" t="s">
        <v>12</v>
      </c>
      <c r="J6715" s="2" t="s">
        <v>12</v>
      </c>
      <c r="K6715" s="2" t="s">
        <v>12</v>
      </c>
    </row>
    <row r="6716" spans="1:11" ht="12.5" x14ac:dyDescent="0.25">
      <c r="A6716" s="3" t="e">
        <f ca="1"/>
        <v>#NAME?</v>
      </c>
      <c r="B6716" s="2" t="s">
        <v>12</v>
      </c>
      <c r="C6716" s="2" t="s">
        <v>12</v>
      </c>
      <c r="D6716" s="2" t="s">
        <v>12</v>
      </c>
      <c r="E6716" s="2" t="s">
        <v>12</v>
      </c>
      <c r="F6716" s="2" t="s">
        <v>12</v>
      </c>
      <c r="G6716" s="2" t="s">
        <v>12</v>
      </c>
      <c r="H6716" s="2" t="s">
        <v>12</v>
      </c>
      <c r="I6716" s="2" t="s">
        <v>12</v>
      </c>
      <c r="J6716" s="2" t="s">
        <v>12</v>
      </c>
      <c r="K6716" s="2" t="s">
        <v>12</v>
      </c>
    </row>
    <row r="6717" spans="1:11" ht="12.5" x14ac:dyDescent="0.25">
      <c r="A6717" s="3" t="e">
        <f ca="1"/>
        <v>#NAME?</v>
      </c>
      <c r="B6717" s="2" t="s">
        <v>12</v>
      </c>
      <c r="C6717" s="2" t="s">
        <v>12</v>
      </c>
      <c r="D6717" s="2" t="s">
        <v>12</v>
      </c>
      <c r="E6717" s="2" t="s">
        <v>12</v>
      </c>
      <c r="F6717" s="2" t="s">
        <v>12</v>
      </c>
      <c r="G6717" s="2" t="s">
        <v>12</v>
      </c>
      <c r="H6717" s="2" t="s">
        <v>12</v>
      </c>
      <c r="I6717" s="2" t="s">
        <v>12</v>
      </c>
      <c r="J6717" s="2" t="s">
        <v>12</v>
      </c>
      <c r="K6717" s="2" t="s">
        <v>12</v>
      </c>
    </row>
    <row r="6718" spans="1:11" ht="12.5" x14ac:dyDescent="0.25">
      <c r="A6718" s="3" t="e">
        <f ca="1"/>
        <v>#NAME?</v>
      </c>
      <c r="B6718" s="2" t="s">
        <v>12</v>
      </c>
      <c r="C6718" s="2" t="s">
        <v>12</v>
      </c>
      <c r="D6718" s="2" t="s">
        <v>12</v>
      </c>
      <c r="E6718" s="2" t="s">
        <v>12</v>
      </c>
      <c r="F6718" s="2" t="s">
        <v>12</v>
      </c>
      <c r="G6718" s="2" t="s">
        <v>12</v>
      </c>
      <c r="H6718" s="2" t="s">
        <v>12</v>
      </c>
      <c r="I6718" s="2" t="s">
        <v>12</v>
      </c>
      <c r="J6718" s="2" t="s">
        <v>12</v>
      </c>
      <c r="K6718" s="2" t="s">
        <v>12</v>
      </c>
    </row>
    <row r="6719" spans="1:11" ht="12.5" x14ac:dyDescent="0.25">
      <c r="A6719" s="3" t="e">
        <f ca="1"/>
        <v>#NAME?</v>
      </c>
      <c r="B6719" s="2" t="s">
        <v>12</v>
      </c>
      <c r="C6719" s="2" t="s">
        <v>12</v>
      </c>
      <c r="D6719" s="2" t="s">
        <v>12</v>
      </c>
      <c r="E6719" s="2" t="s">
        <v>12</v>
      </c>
      <c r="F6719" s="2" t="s">
        <v>12</v>
      </c>
      <c r="G6719" s="2" t="s">
        <v>12</v>
      </c>
      <c r="H6719" s="2" t="s">
        <v>12</v>
      </c>
      <c r="I6719" s="2" t="s">
        <v>12</v>
      </c>
      <c r="J6719" s="2" t="s">
        <v>12</v>
      </c>
      <c r="K6719" s="2" t="s">
        <v>12</v>
      </c>
    </row>
    <row r="6720" spans="1:11" ht="12.5" x14ac:dyDescent="0.25">
      <c r="A6720" s="3" t="e">
        <f ca="1"/>
        <v>#NAME?</v>
      </c>
      <c r="B6720" s="2" t="s">
        <v>12</v>
      </c>
      <c r="C6720" s="2" t="s">
        <v>12</v>
      </c>
      <c r="D6720" s="2" t="s">
        <v>12</v>
      </c>
      <c r="E6720" s="2" t="s">
        <v>12</v>
      </c>
      <c r="F6720" s="2" t="s">
        <v>12</v>
      </c>
      <c r="G6720" s="2" t="s">
        <v>12</v>
      </c>
      <c r="H6720" s="2" t="s">
        <v>12</v>
      </c>
      <c r="I6720" s="2" t="s">
        <v>12</v>
      </c>
      <c r="J6720" s="2" t="s">
        <v>12</v>
      </c>
      <c r="K6720" s="2" t="s">
        <v>12</v>
      </c>
    </row>
    <row r="6721" spans="1:11" ht="12.5" x14ac:dyDescent="0.25">
      <c r="A6721" s="3" t="e">
        <f ca="1"/>
        <v>#NAME?</v>
      </c>
      <c r="B6721" s="2" t="s">
        <v>12</v>
      </c>
      <c r="C6721" s="2" t="s">
        <v>12</v>
      </c>
      <c r="D6721" s="2" t="s">
        <v>12</v>
      </c>
      <c r="E6721" s="2" t="s">
        <v>12</v>
      </c>
      <c r="F6721" s="2" t="s">
        <v>12</v>
      </c>
      <c r="G6721" s="2" t="s">
        <v>12</v>
      </c>
      <c r="H6721" s="2" t="s">
        <v>12</v>
      </c>
      <c r="I6721" s="2" t="s">
        <v>12</v>
      </c>
      <c r="J6721" s="2" t="s">
        <v>12</v>
      </c>
      <c r="K6721" s="2" t="s">
        <v>12</v>
      </c>
    </row>
    <row r="6722" spans="1:11" ht="12.5" x14ac:dyDescent="0.25">
      <c r="A6722" s="3" t="e">
        <f ca="1"/>
        <v>#NAME?</v>
      </c>
      <c r="B6722" s="2" t="s">
        <v>12</v>
      </c>
      <c r="C6722" s="2" t="s">
        <v>12</v>
      </c>
      <c r="D6722" s="2" t="s">
        <v>12</v>
      </c>
      <c r="E6722" s="2" t="s">
        <v>12</v>
      </c>
      <c r="F6722" s="2" t="s">
        <v>12</v>
      </c>
      <c r="G6722" s="2" t="s">
        <v>12</v>
      </c>
      <c r="H6722" s="2" t="s">
        <v>12</v>
      </c>
      <c r="I6722" s="2" t="s">
        <v>12</v>
      </c>
      <c r="J6722" s="2" t="s">
        <v>12</v>
      </c>
      <c r="K6722" s="2" t="s">
        <v>12</v>
      </c>
    </row>
    <row r="6723" spans="1:11" ht="12.5" x14ac:dyDescent="0.25">
      <c r="A6723" s="3" t="e">
        <f ca="1"/>
        <v>#NAME?</v>
      </c>
      <c r="B6723" s="2" t="s">
        <v>12</v>
      </c>
      <c r="C6723" s="2" t="s">
        <v>12</v>
      </c>
      <c r="D6723" s="2" t="s">
        <v>12</v>
      </c>
      <c r="E6723" s="2" t="s">
        <v>12</v>
      </c>
      <c r="F6723" s="2" t="s">
        <v>12</v>
      </c>
      <c r="G6723" s="2" t="s">
        <v>12</v>
      </c>
      <c r="H6723" s="2" t="s">
        <v>12</v>
      </c>
      <c r="I6723" s="2" t="s">
        <v>12</v>
      </c>
      <c r="J6723" s="2" t="s">
        <v>12</v>
      </c>
      <c r="K6723" s="2" t="s">
        <v>12</v>
      </c>
    </row>
    <row r="6724" spans="1:11" ht="12.5" x14ac:dyDescent="0.25">
      <c r="A6724" s="3" t="e">
        <f ca="1"/>
        <v>#NAME?</v>
      </c>
      <c r="B6724" s="2" t="s">
        <v>12</v>
      </c>
      <c r="C6724" s="2" t="s">
        <v>12</v>
      </c>
      <c r="D6724" s="2" t="s">
        <v>12</v>
      </c>
      <c r="E6724" s="2" t="s">
        <v>12</v>
      </c>
      <c r="F6724" s="2" t="s">
        <v>12</v>
      </c>
      <c r="G6724" s="2" t="s">
        <v>12</v>
      </c>
      <c r="H6724" s="2" t="s">
        <v>12</v>
      </c>
      <c r="I6724" s="2" t="s">
        <v>12</v>
      </c>
      <c r="J6724" s="2" t="s">
        <v>12</v>
      </c>
      <c r="K6724" s="2" t="s">
        <v>12</v>
      </c>
    </row>
    <row r="6725" spans="1:11" ht="12.5" x14ac:dyDescent="0.25">
      <c r="A6725" s="3" t="e">
        <f ca="1"/>
        <v>#NAME?</v>
      </c>
      <c r="B6725" s="2" t="s">
        <v>12</v>
      </c>
      <c r="C6725" s="2" t="s">
        <v>12</v>
      </c>
      <c r="D6725" s="2" t="s">
        <v>12</v>
      </c>
      <c r="E6725" s="2" t="s">
        <v>12</v>
      </c>
      <c r="F6725" s="2" t="s">
        <v>12</v>
      </c>
      <c r="G6725" s="2" t="s">
        <v>12</v>
      </c>
      <c r="H6725" s="2" t="s">
        <v>12</v>
      </c>
      <c r="I6725" s="2" t="s">
        <v>12</v>
      </c>
      <c r="J6725" s="2" t="s">
        <v>12</v>
      </c>
      <c r="K6725" s="2" t="s">
        <v>12</v>
      </c>
    </row>
    <row r="6726" spans="1:11" ht="12.5" x14ac:dyDescent="0.25">
      <c r="A6726" s="3" t="e">
        <f ca="1"/>
        <v>#NAME?</v>
      </c>
      <c r="B6726" s="2" t="s">
        <v>12</v>
      </c>
      <c r="C6726" s="2" t="s">
        <v>12</v>
      </c>
      <c r="D6726" s="2" t="s">
        <v>12</v>
      </c>
      <c r="E6726" s="2" t="s">
        <v>12</v>
      </c>
      <c r="F6726" s="2" t="s">
        <v>12</v>
      </c>
      <c r="G6726" s="2" t="s">
        <v>12</v>
      </c>
      <c r="H6726" s="2" t="s">
        <v>12</v>
      </c>
      <c r="I6726" s="2" t="s">
        <v>12</v>
      </c>
      <c r="J6726" s="2" t="s">
        <v>12</v>
      </c>
      <c r="K6726" s="2" t="s">
        <v>12</v>
      </c>
    </row>
    <row r="6727" spans="1:11" ht="12.5" x14ac:dyDescent="0.25">
      <c r="A6727" s="3" t="e">
        <f ca="1"/>
        <v>#NAME?</v>
      </c>
      <c r="B6727" s="2" t="s">
        <v>12</v>
      </c>
      <c r="C6727" s="2" t="s">
        <v>12</v>
      </c>
      <c r="D6727" s="2" t="s">
        <v>12</v>
      </c>
      <c r="E6727" s="2" t="s">
        <v>12</v>
      </c>
      <c r="F6727" s="2" t="s">
        <v>12</v>
      </c>
      <c r="G6727" s="2" t="s">
        <v>12</v>
      </c>
      <c r="H6727" s="2" t="s">
        <v>12</v>
      </c>
      <c r="I6727" s="2" t="s">
        <v>12</v>
      </c>
      <c r="J6727" s="2" t="s">
        <v>12</v>
      </c>
      <c r="K6727" s="2" t="s">
        <v>12</v>
      </c>
    </row>
    <row r="6728" spans="1:11" ht="12.5" x14ac:dyDescent="0.25">
      <c r="A6728" s="3" t="e">
        <f ca="1"/>
        <v>#NAME?</v>
      </c>
      <c r="B6728" s="2" t="s">
        <v>12</v>
      </c>
      <c r="C6728" s="2" t="s">
        <v>12</v>
      </c>
      <c r="D6728" s="2" t="s">
        <v>12</v>
      </c>
      <c r="E6728" s="2" t="s">
        <v>12</v>
      </c>
      <c r="F6728" s="2" t="s">
        <v>12</v>
      </c>
      <c r="G6728" s="2" t="s">
        <v>12</v>
      </c>
      <c r="H6728" s="2" t="s">
        <v>12</v>
      </c>
      <c r="I6728" s="2" t="s">
        <v>12</v>
      </c>
      <c r="J6728" s="2" t="s">
        <v>12</v>
      </c>
      <c r="K6728" s="2" t="s">
        <v>12</v>
      </c>
    </row>
    <row r="6729" spans="1:11" ht="12.5" x14ac:dyDescent="0.25">
      <c r="A6729" s="3" t="e">
        <f ca="1"/>
        <v>#NAME?</v>
      </c>
      <c r="B6729" s="2" t="s">
        <v>12</v>
      </c>
      <c r="C6729" s="2" t="s">
        <v>12</v>
      </c>
      <c r="D6729" s="2" t="s">
        <v>12</v>
      </c>
      <c r="E6729" s="2" t="s">
        <v>12</v>
      </c>
      <c r="F6729" s="2" t="s">
        <v>12</v>
      </c>
      <c r="G6729" s="2" t="s">
        <v>12</v>
      </c>
      <c r="H6729" s="2" t="s">
        <v>12</v>
      </c>
      <c r="I6729" s="2" t="s">
        <v>12</v>
      </c>
      <c r="J6729" s="2" t="s">
        <v>12</v>
      </c>
      <c r="K6729" s="2" t="s">
        <v>12</v>
      </c>
    </row>
    <row r="6730" spans="1:11" ht="12.5" x14ac:dyDescent="0.25">
      <c r="A6730" s="3" t="e">
        <f ca="1"/>
        <v>#NAME?</v>
      </c>
      <c r="B6730" s="2" t="s">
        <v>12</v>
      </c>
      <c r="C6730" s="2" t="s">
        <v>12</v>
      </c>
      <c r="D6730" s="2" t="s">
        <v>12</v>
      </c>
      <c r="E6730" s="2" t="s">
        <v>12</v>
      </c>
      <c r="F6730" s="2" t="s">
        <v>12</v>
      </c>
      <c r="G6730" s="2" t="s">
        <v>12</v>
      </c>
      <c r="H6730" s="2" t="s">
        <v>12</v>
      </c>
      <c r="I6730" s="2" t="s">
        <v>12</v>
      </c>
      <c r="J6730" s="2" t="s">
        <v>12</v>
      </c>
      <c r="K6730" s="2" t="s">
        <v>12</v>
      </c>
    </row>
    <row r="6731" spans="1:11" ht="12.5" x14ac:dyDescent="0.25">
      <c r="A6731" s="3" t="e">
        <f ca="1"/>
        <v>#NAME?</v>
      </c>
      <c r="B6731" s="2" t="s">
        <v>12</v>
      </c>
      <c r="C6731" s="2" t="s">
        <v>12</v>
      </c>
      <c r="D6731" s="2" t="s">
        <v>12</v>
      </c>
      <c r="E6731" s="2" t="s">
        <v>12</v>
      </c>
      <c r="F6731" s="2" t="s">
        <v>12</v>
      </c>
      <c r="G6731" s="2" t="s">
        <v>12</v>
      </c>
      <c r="H6731" s="2" t="s">
        <v>12</v>
      </c>
      <c r="I6731" s="2" t="s">
        <v>12</v>
      </c>
      <c r="J6731" s="2" t="s">
        <v>12</v>
      </c>
      <c r="K6731" s="2" t="s">
        <v>12</v>
      </c>
    </row>
    <row r="6732" spans="1:11" ht="12.5" x14ac:dyDescent="0.25">
      <c r="A6732" s="3" t="e">
        <f ca="1"/>
        <v>#NAME?</v>
      </c>
      <c r="B6732" s="2" t="s">
        <v>12</v>
      </c>
      <c r="C6732" s="2" t="s">
        <v>12</v>
      </c>
      <c r="D6732" s="2" t="s">
        <v>12</v>
      </c>
      <c r="E6732" s="2" t="s">
        <v>12</v>
      </c>
      <c r="F6732" s="2" t="s">
        <v>12</v>
      </c>
      <c r="G6732" s="2" t="s">
        <v>12</v>
      </c>
      <c r="H6732" s="2" t="s">
        <v>12</v>
      </c>
      <c r="I6732" s="2" t="s">
        <v>12</v>
      </c>
      <c r="J6732" s="2" t="s">
        <v>12</v>
      </c>
      <c r="K6732" s="2" t="s">
        <v>12</v>
      </c>
    </row>
    <row r="6733" spans="1:11" ht="12.5" x14ac:dyDescent="0.25">
      <c r="A6733" s="3" t="e">
        <f ca="1"/>
        <v>#NAME?</v>
      </c>
      <c r="B6733" s="2" t="s">
        <v>12</v>
      </c>
      <c r="C6733" s="2" t="s">
        <v>12</v>
      </c>
      <c r="D6733" s="2" t="s">
        <v>12</v>
      </c>
      <c r="E6733" s="2" t="s">
        <v>12</v>
      </c>
      <c r="F6733" s="2" t="s">
        <v>12</v>
      </c>
      <c r="G6733" s="2" t="s">
        <v>12</v>
      </c>
      <c r="H6733" s="2" t="s">
        <v>12</v>
      </c>
      <c r="I6733" s="2" t="s">
        <v>12</v>
      </c>
      <c r="J6733" s="2" t="s">
        <v>12</v>
      </c>
      <c r="K6733" s="2" t="s">
        <v>12</v>
      </c>
    </row>
    <row r="6734" spans="1:11" ht="12.5" x14ac:dyDescent="0.25">
      <c r="A6734" s="3" t="e">
        <f ca="1"/>
        <v>#NAME?</v>
      </c>
      <c r="B6734" s="2" t="s">
        <v>12</v>
      </c>
      <c r="C6734" s="2" t="s">
        <v>12</v>
      </c>
      <c r="D6734" s="2" t="s">
        <v>12</v>
      </c>
      <c r="E6734" s="2" t="s">
        <v>12</v>
      </c>
      <c r="F6734" s="2" t="s">
        <v>12</v>
      </c>
      <c r="G6734" s="2" t="s">
        <v>12</v>
      </c>
      <c r="H6734" s="2" t="s">
        <v>12</v>
      </c>
      <c r="I6734" s="2" t="s">
        <v>12</v>
      </c>
      <c r="J6734" s="2" t="s">
        <v>12</v>
      </c>
      <c r="K6734" s="2" t="s">
        <v>12</v>
      </c>
    </row>
    <row r="6735" spans="1:11" ht="12.5" x14ac:dyDescent="0.25">
      <c r="A6735" s="3" t="e">
        <f ca="1"/>
        <v>#NAME?</v>
      </c>
      <c r="B6735" s="2" t="s">
        <v>12</v>
      </c>
      <c r="C6735" s="2" t="s">
        <v>12</v>
      </c>
      <c r="D6735" s="2" t="s">
        <v>12</v>
      </c>
      <c r="E6735" s="2" t="s">
        <v>12</v>
      </c>
      <c r="F6735" s="2" t="s">
        <v>12</v>
      </c>
      <c r="G6735" s="2" t="s">
        <v>12</v>
      </c>
      <c r="H6735" s="2" t="s">
        <v>12</v>
      </c>
      <c r="I6735" s="2" t="s">
        <v>12</v>
      </c>
      <c r="J6735" s="2" t="s">
        <v>12</v>
      </c>
      <c r="K6735" s="2" t="s">
        <v>12</v>
      </c>
    </row>
    <row r="6736" spans="1:11" ht="12.5" x14ac:dyDescent="0.25">
      <c r="A6736" s="3" t="e">
        <f ca="1"/>
        <v>#NAME?</v>
      </c>
      <c r="B6736" s="2" t="s">
        <v>12</v>
      </c>
      <c r="C6736" s="2" t="s">
        <v>12</v>
      </c>
      <c r="D6736" s="2" t="s">
        <v>12</v>
      </c>
      <c r="E6736" s="2" t="s">
        <v>12</v>
      </c>
      <c r="F6736" s="2" t="s">
        <v>12</v>
      </c>
      <c r="G6736" s="2" t="s">
        <v>12</v>
      </c>
      <c r="H6736" s="2" t="s">
        <v>12</v>
      </c>
      <c r="I6736" s="2" t="s">
        <v>12</v>
      </c>
      <c r="J6736" s="2" t="s">
        <v>12</v>
      </c>
      <c r="K6736" s="2" t="s">
        <v>12</v>
      </c>
    </row>
    <row r="6737" spans="1:11" ht="12.5" x14ac:dyDescent="0.25">
      <c r="A6737" s="3" t="e">
        <f ca="1"/>
        <v>#NAME?</v>
      </c>
      <c r="B6737" s="2" t="s">
        <v>12</v>
      </c>
      <c r="C6737" s="2" t="s">
        <v>12</v>
      </c>
      <c r="D6737" s="2" t="s">
        <v>12</v>
      </c>
      <c r="E6737" s="2" t="s">
        <v>12</v>
      </c>
      <c r="F6737" s="2" t="s">
        <v>12</v>
      </c>
      <c r="G6737" s="2" t="s">
        <v>12</v>
      </c>
      <c r="H6737" s="2" t="s">
        <v>12</v>
      </c>
      <c r="I6737" s="2" t="s">
        <v>12</v>
      </c>
      <c r="J6737" s="2" t="s">
        <v>12</v>
      </c>
      <c r="K6737" s="2" t="s">
        <v>12</v>
      </c>
    </row>
    <row r="6738" spans="1:11" ht="12.5" x14ac:dyDescent="0.25">
      <c r="A6738" s="3" t="e">
        <f ca="1"/>
        <v>#NAME?</v>
      </c>
      <c r="B6738" s="2" t="s">
        <v>12</v>
      </c>
      <c r="C6738" s="2" t="s">
        <v>12</v>
      </c>
      <c r="D6738" s="2" t="s">
        <v>12</v>
      </c>
      <c r="E6738" s="2" t="s">
        <v>12</v>
      </c>
      <c r="F6738" s="2" t="s">
        <v>12</v>
      </c>
      <c r="G6738" s="2" t="s">
        <v>12</v>
      </c>
      <c r="H6738" s="2" t="s">
        <v>12</v>
      </c>
      <c r="I6738" s="2" t="s">
        <v>12</v>
      </c>
      <c r="J6738" s="2" t="s">
        <v>12</v>
      </c>
      <c r="K6738" s="2" t="s">
        <v>12</v>
      </c>
    </row>
    <row r="6739" spans="1:11" ht="12.5" x14ac:dyDescent="0.25">
      <c r="A6739" s="3" t="e">
        <f ca="1"/>
        <v>#NAME?</v>
      </c>
      <c r="B6739" s="2" t="s">
        <v>12</v>
      </c>
      <c r="C6739" s="2" t="s">
        <v>12</v>
      </c>
      <c r="D6739" s="2" t="s">
        <v>12</v>
      </c>
      <c r="E6739" s="2" t="s">
        <v>12</v>
      </c>
      <c r="F6739" s="2" t="s">
        <v>12</v>
      </c>
      <c r="G6739" s="2" t="s">
        <v>12</v>
      </c>
      <c r="H6739" s="2" t="s">
        <v>12</v>
      </c>
      <c r="I6739" s="2" t="s">
        <v>12</v>
      </c>
      <c r="J6739" s="2" t="s">
        <v>12</v>
      </c>
      <c r="K6739" s="2" t="s">
        <v>12</v>
      </c>
    </row>
    <row r="6740" spans="1:11" ht="12.5" x14ac:dyDescent="0.25">
      <c r="A6740" s="3" t="e">
        <f ca="1"/>
        <v>#NAME?</v>
      </c>
      <c r="B6740" s="2" t="s">
        <v>12</v>
      </c>
      <c r="C6740" s="2" t="s">
        <v>12</v>
      </c>
      <c r="D6740" s="2" t="s">
        <v>12</v>
      </c>
      <c r="E6740" s="2" t="s">
        <v>12</v>
      </c>
      <c r="F6740" s="2" t="s">
        <v>12</v>
      </c>
      <c r="G6740" s="2" t="s">
        <v>12</v>
      </c>
      <c r="H6740" s="2" t="s">
        <v>12</v>
      </c>
      <c r="I6740" s="2" t="s">
        <v>12</v>
      </c>
      <c r="J6740" s="2" t="s">
        <v>12</v>
      </c>
      <c r="K6740" s="2" t="s">
        <v>12</v>
      </c>
    </row>
    <row r="6741" spans="1:11" ht="12.5" x14ac:dyDescent="0.25">
      <c r="A6741" s="3" t="e">
        <f ca="1"/>
        <v>#NAME?</v>
      </c>
      <c r="B6741" s="2" t="s">
        <v>12</v>
      </c>
      <c r="C6741" s="2" t="s">
        <v>12</v>
      </c>
      <c r="D6741" s="2" t="s">
        <v>12</v>
      </c>
      <c r="E6741" s="2" t="s">
        <v>12</v>
      </c>
      <c r="F6741" s="2" t="s">
        <v>12</v>
      </c>
      <c r="G6741" s="2" t="s">
        <v>12</v>
      </c>
      <c r="H6741" s="2" t="s">
        <v>12</v>
      </c>
      <c r="I6741" s="2" t="s">
        <v>12</v>
      </c>
      <c r="J6741" s="2" t="s">
        <v>12</v>
      </c>
      <c r="K6741" s="2" t="s">
        <v>12</v>
      </c>
    </row>
    <row r="6742" spans="1:11" ht="12.5" x14ac:dyDescent="0.25">
      <c r="A6742" s="3" t="e">
        <f ca="1"/>
        <v>#NAME?</v>
      </c>
      <c r="B6742" s="2" t="s">
        <v>12</v>
      </c>
      <c r="C6742" s="2" t="s">
        <v>12</v>
      </c>
      <c r="D6742" s="2" t="s">
        <v>12</v>
      </c>
      <c r="E6742" s="2" t="s">
        <v>12</v>
      </c>
      <c r="F6742" s="2" t="s">
        <v>12</v>
      </c>
      <c r="G6742" s="2" t="s">
        <v>12</v>
      </c>
      <c r="H6742" s="2" t="s">
        <v>12</v>
      </c>
      <c r="I6742" s="2" t="s">
        <v>12</v>
      </c>
      <c r="J6742" s="2" t="s">
        <v>12</v>
      </c>
      <c r="K6742" s="2" t="s">
        <v>12</v>
      </c>
    </row>
    <row r="6743" spans="1:11" ht="12.5" x14ac:dyDescent="0.25">
      <c r="A6743" s="3" t="e">
        <f ca="1"/>
        <v>#NAME?</v>
      </c>
      <c r="B6743" s="2" t="s">
        <v>12</v>
      </c>
      <c r="C6743" s="2" t="s">
        <v>12</v>
      </c>
      <c r="D6743" s="2" t="s">
        <v>12</v>
      </c>
      <c r="E6743" s="2" t="s">
        <v>12</v>
      </c>
      <c r="F6743" s="2" t="s">
        <v>12</v>
      </c>
      <c r="G6743" s="2" t="s">
        <v>12</v>
      </c>
      <c r="H6743" s="2" t="s">
        <v>12</v>
      </c>
      <c r="I6743" s="2" t="s">
        <v>12</v>
      </c>
      <c r="J6743" s="2" t="s">
        <v>12</v>
      </c>
      <c r="K6743" s="2" t="s">
        <v>12</v>
      </c>
    </row>
    <row r="6744" spans="1:11" ht="12.5" x14ac:dyDescent="0.25">
      <c r="A6744" s="3" t="e">
        <f ca="1"/>
        <v>#NAME?</v>
      </c>
      <c r="B6744" s="2" t="s">
        <v>12</v>
      </c>
      <c r="C6744" s="2" t="s">
        <v>12</v>
      </c>
      <c r="D6744" s="2" t="s">
        <v>12</v>
      </c>
      <c r="E6744" s="2" t="s">
        <v>12</v>
      </c>
      <c r="F6744" s="2" t="s">
        <v>12</v>
      </c>
      <c r="G6744" s="2" t="s">
        <v>12</v>
      </c>
      <c r="H6744" s="2" t="s">
        <v>12</v>
      </c>
      <c r="I6744" s="2" t="s">
        <v>12</v>
      </c>
      <c r="J6744" s="2" t="s">
        <v>12</v>
      </c>
      <c r="K6744" s="2" t="s">
        <v>12</v>
      </c>
    </row>
    <row r="6745" spans="1:11" ht="12.5" x14ac:dyDescent="0.25">
      <c r="A6745" s="3" t="e">
        <f ca="1"/>
        <v>#NAME?</v>
      </c>
      <c r="B6745" s="2" t="s">
        <v>12</v>
      </c>
      <c r="C6745" s="2" t="s">
        <v>12</v>
      </c>
      <c r="D6745" s="2" t="s">
        <v>12</v>
      </c>
      <c r="E6745" s="2" t="s">
        <v>12</v>
      </c>
      <c r="F6745" s="2" t="s">
        <v>12</v>
      </c>
      <c r="G6745" s="2" t="s">
        <v>12</v>
      </c>
      <c r="H6745" s="2" t="s">
        <v>12</v>
      </c>
      <c r="I6745" s="2" t="s">
        <v>12</v>
      </c>
      <c r="J6745" s="2" t="s">
        <v>12</v>
      </c>
      <c r="K6745" s="2" t="s">
        <v>12</v>
      </c>
    </row>
    <row r="6746" spans="1:11" ht="12.5" x14ac:dyDescent="0.25">
      <c r="A6746" s="3" t="e">
        <f ca="1"/>
        <v>#NAME?</v>
      </c>
      <c r="B6746" s="2" t="s">
        <v>12</v>
      </c>
      <c r="C6746" s="2" t="s">
        <v>12</v>
      </c>
      <c r="D6746" s="2" t="s">
        <v>12</v>
      </c>
      <c r="E6746" s="2" t="s">
        <v>12</v>
      </c>
      <c r="F6746" s="2" t="s">
        <v>12</v>
      </c>
      <c r="G6746" s="2" t="s">
        <v>12</v>
      </c>
      <c r="H6746" s="2" t="s">
        <v>12</v>
      </c>
      <c r="I6746" s="2" t="s">
        <v>12</v>
      </c>
      <c r="J6746" s="2" t="s">
        <v>12</v>
      </c>
      <c r="K6746" s="2" t="s">
        <v>12</v>
      </c>
    </row>
    <row r="6747" spans="1:11" ht="12.5" x14ac:dyDescent="0.25">
      <c r="A6747" s="3" t="e">
        <f ca="1"/>
        <v>#NAME?</v>
      </c>
      <c r="B6747" s="2" t="s">
        <v>12</v>
      </c>
      <c r="C6747" s="2" t="s">
        <v>12</v>
      </c>
      <c r="D6747" s="2" t="s">
        <v>12</v>
      </c>
      <c r="E6747" s="2" t="s">
        <v>12</v>
      </c>
      <c r="F6747" s="2" t="s">
        <v>12</v>
      </c>
      <c r="G6747" s="2" t="s">
        <v>12</v>
      </c>
      <c r="H6747" s="2" t="s">
        <v>12</v>
      </c>
      <c r="I6747" s="2" t="s">
        <v>12</v>
      </c>
      <c r="J6747" s="2" t="s">
        <v>12</v>
      </c>
      <c r="K6747" s="2" t="s">
        <v>12</v>
      </c>
    </row>
    <row r="6748" spans="1:11" ht="12.5" x14ac:dyDescent="0.25">
      <c r="A6748" s="3" t="e">
        <f ca="1"/>
        <v>#NAME?</v>
      </c>
      <c r="B6748" s="2" t="s">
        <v>12</v>
      </c>
      <c r="C6748" s="2" t="s">
        <v>12</v>
      </c>
      <c r="D6748" s="2" t="s">
        <v>12</v>
      </c>
      <c r="E6748" s="2" t="s">
        <v>12</v>
      </c>
      <c r="F6748" s="2" t="s">
        <v>12</v>
      </c>
      <c r="G6748" s="2" t="s">
        <v>12</v>
      </c>
      <c r="H6748" s="2" t="s">
        <v>12</v>
      </c>
      <c r="I6748" s="2" t="s">
        <v>12</v>
      </c>
      <c r="J6748" s="2" t="s">
        <v>12</v>
      </c>
      <c r="K6748" s="2" t="s">
        <v>12</v>
      </c>
    </row>
    <row r="6749" spans="1:11" ht="12.5" x14ac:dyDescent="0.25">
      <c r="A6749" s="3" t="e">
        <f ca="1"/>
        <v>#NAME?</v>
      </c>
      <c r="B6749" s="2" t="s">
        <v>12</v>
      </c>
      <c r="C6749" s="2" t="s">
        <v>12</v>
      </c>
      <c r="D6749" s="2" t="s">
        <v>12</v>
      </c>
      <c r="E6749" s="2" t="s">
        <v>12</v>
      </c>
      <c r="F6749" s="2" t="s">
        <v>12</v>
      </c>
      <c r="G6749" s="2" t="s">
        <v>12</v>
      </c>
      <c r="H6749" s="2" t="s">
        <v>12</v>
      </c>
      <c r="I6749" s="2" t="s">
        <v>12</v>
      </c>
      <c r="J6749" s="2" t="s">
        <v>12</v>
      </c>
      <c r="K6749" s="2" t="s">
        <v>12</v>
      </c>
    </row>
    <row r="6750" spans="1:11" ht="12.5" x14ac:dyDescent="0.25">
      <c r="A6750" s="3" t="e">
        <f ca="1"/>
        <v>#NAME?</v>
      </c>
      <c r="B6750" s="2" t="s">
        <v>12</v>
      </c>
      <c r="C6750" s="2" t="s">
        <v>12</v>
      </c>
      <c r="D6750" s="2" t="s">
        <v>12</v>
      </c>
      <c r="E6750" s="2" t="s">
        <v>12</v>
      </c>
      <c r="F6750" s="2" t="s">
        <v>12</v>
      </c>
      <c r="G6750" s="2" t="s">
        <v>12</v>
      </c>
      <c r="H6750" s="2" t="s">
        <v>12</v>
      </c>
      <c r="I6750" s="2" t="s">
        <v>12</v>
      </c>
      <c r="J6750" s="2" t="s">
        <v>12</v>
      </c>
      <c r="K6750" s="2" t="s">
        <v>12</v>
      </c>
    </row>
    <row r="6751" spans="1:11" ht="12.5" x14ac:dyDescent="0.25">
      <c r="A6751" s="3" t="e">
        <f ca="1"/>
        <v>#NAME?</v>
      </c>
      <c r="B6751" s="2" t="s">
        <v>12</v>
      </c>
      <c r="C6751" s="2" t="s">
        <v>12</v>
      </c>
      <c r="D6751" s="2" t="s">
        <v>12</v>
      </c>
      <c r="E6751" s="2" t="s">
        <v>12</v>
      </c>
      <c r="F6751" s="2" t="s">
        <v>12</v>
      </c>
      <c r="G6751" s="2" t="s">
        <v>12</v>
      </c>
      <c r="H6751" s="2" t="s">
        <v>12</v>
      </c>
      <c r="I6751" s="2" t="s">
        <v>12</v>
      </c>
      <c r="J6751" s="2" t="s">
        <v>12</v>
      </c>
      <c r="K6751" s="2" t="s">
        <v>12</v>
      </c>
    </row>
    <row r="6752" spans="1:11" ht="12.5" x14ac:dyDescent="0.25">
      <c r="A6752" s="3" t="e">
        <f ca="1"/>
        <v>#NAME?</v>
      </c>
      <c r="B6752" s="2" t="s">
        <v>12</v>
      </c>
      <c r="C6752" s="2" t="s">
        <v>12</v>
      </c>
      <c r="D6752" s="2" t="s">
        <v>12</v>
      </c>
      <c r="E6752" s="2" t="s">
        <v>12</v>
      </c>
      <c r="F6752" s="2" t="s">
        <v>12</v>
      </c>
      <c r="G6752" s="2" t="s">
        <v>12</v>
      </c>
      <c r="H6752" s="2" t="s">
        <v>12</v>
      </c>
      <c r="I6752" s="2" t="s">
        <v>12</v>
      </c>
      <c r="J6752" s="2" t="s">
        <v>12</v>
      </c>
      <c r="K6752" s="2" t="s">
        <v>12</v>
      </c>
    </row>
    <row r="6753" spans="1:11" ht="12.5" x14ac:dyDescent="0.25">
      <c r="A6753" s="3" t="e">
        <f ca="1"/>
        <v>#NAME?</v>
      </c>
      <c r="B6753" s="2" t="s">
        <v>12</v>
      </c>
      <c r="C6753" s="2" t="s">
        <v>12</v>
      </c>
      <c r="D6753" s="2" t="s">
        <v>12</v>
      </c>
      <c r="E6753" s="2" t="s">
        <v>12</v>
      </c>
      <c r="F6753" s="2" t="s">
        <v>12</v>
      </c>
      <c r="G6753" s="2" t="s">
        <v>12</v>
      </c>
      <c r="H6753" s="2" t="s">
        <v>12</v>
      </c>
      <c r="I6753" s="2" t="s">
        <v>12</v>
      </c>
      <c r="J6753" s="2" t="s">
        <v>12</v>
      </c>
      <c r="K6753" s="2" t="s">
        <v>12</v>
      </c>
    </row>
    <row r="6754" spans="1:11" ht="12.5" x14ac:dyDescent="0.25">
      <c r="A6754" s="3" t="e">
        <f ca="1"/>
        <v>#NAME?</v>
      </c>
      <c r="B6754" s="2" t="s">
        <v>12</v>
      </c>
      <c r="C6754" s="2" t="s">
        <v>12</v>
      </c>
      <c r="D6754" s="2" t="s">
        <v>12</v>
      </c>
      <c r="E6754" s="2" t="s">
        <v>12</v>
      </c>
      <c r="F6754" s="2" t="s">
        <v>12</v>
      </c>
      <c r="G6754" s="2" t="s">
        <v>12</v>
      </c>
      <c r="H6754" s="2" t="s">
        <v>12</v>
      </c>
      <c r="I6754" s="2" t="s">
        <v>12</v>
      </c>
      <c r="J6754" s="2" t="s">
        <v>12</v>
      </c>
      <c r="K6754" s="2" t="s">
        <v>12</v>
      </c>
    </row>
    <row r="6755" spans="1:11" ht="12.5" x14ac:dyDescent="0.25">
      <c r="A6755" s="3" t="e">
        <f ca="1"/>
        <v>#NAME?</v>
      </c>
      <c r="B6755" s="2" t="s">
        <v>12</v>
      </c>
      <c r="C6755" s="2" t="s">
        <v>12</v>
      </c>
      <c r="D6755" s="2" t="s">
        <v>12</v>
      </c>
      <c r="E6755" s="2" t="s">
        <v>12</v>
      </c>
      <c r="F6755" s="2" t="s">
        <v>12</v>
      </c>
      <c r="G6755" s="2" t="s">
        <v>12</v>
      </c>
      <c r="H6755" s="2" t="s">
        <v>12</v>
      </c>
      <c r="I6755" s="2" t="s">
        <v>12</v>
      </c>
      <c r="J6755" s="2" t="s">
        <v>12</v>
      </c>
      <c r="K6755" s="2" t="s">
        <v>12</v>
      </c>
    </row>
    <row r="6756" spans="1:11" ht="12.5" x14ac:dyDescent="0.25">
      <c r="A6756" s="3" t="e">
        <f ca="1"/>
        <v>#NAME?</v>
      </c>
      <c r="B6756" s="2" t="s">
        <v>12</v>
      </c>
      <c r="C6756" s="2" t="s">
        <v>12</v>
      </c>
      <c r="D6756" s="2" t="s">
        <v>12</v>
      </c>
      <c r="E6756" s="2" t="s">
        <v>12</v>
      </c>
      <c r="F6756" s="2" t="s">
        <v>12</v>
      </c>
      <c r="G6756" s="2" t="s">
        <v>12</v>
      </c>
      <c r="H6756" s="2" t="s">
        <v>12</v>
      </c>
      <c r="I6756" s="2" t="s">
        <v>12</v>
      </c>
      <c r="J6756" s="2" t="s">
        <v>12</v>
      </c>
      <c r="K6756" s="2" t="s">
        <v>12</v>
      </c>
    </row>
    <row r="6757" spans="1:11" ht="12.5" x14ac:dyDescent="0.25">
      <c r="A6757" s="3" t="e">
        <f ca="1"/>
        <v>#NAME?</v>
      </c>
      <c r="B6757" s="2" t="s">
        <v>12</v>
      </c>
      <c r="C6757" s="2" t="s">
        <v>12</v>
      </c>
      <c r="D6757" s="2" t="s">
        <v>12</v>
      </c>
      <c r="E6757" s="2" t="s">
        <v>12</v>
      </c>
      <c r="F6757" s="2" t="s">
        <v>12</v>
      </c>
      <c r="G6757" s="2" t="s">
        <v>12</v>
      </c>
      <c r="H6757" s="2" t="s">
        <v>12</v>
      </c>
      <c r="I6757" s="2" t="s">
        <v>12</v>
      </c>
      <c r="J6757" s="2" t="s">
        <v>12</v>
      </c>
      <c r="K6757" s="2" t="s">
        <v>12</v>
      </c>
    </row>
    <row r="6758" spans="1:11" ht="12.5" x14ac:dyDescent="0.25">
      <c r="A6758" s="3" t="e">
        <f ca="1"/>
        <v>#NAME?</v>
      </c>
      <c r="B6758" s="2" t="s">
        <v>12</v>
      </c>
      <c r="C6758" s="2" t="s">
        <v>12</v>
      </c>
      <c r="D6758" s="2" t="s">
        <v>12</v>
      </c>
      <c r="E6758" s="2" t="s">
        <v>12</v>
      </c>
      <c r="F6758" s="2" t="s">
        <v>12</v>
      </c>
      <c r="G6758" s="2" t="s">
        <v>12</v>
      </c>
      <c r="H6758" s="2" t="s">
        <v>12</v>
      </c>
      <c r="I6758" s="2" t="s">
        <v>12</v>
      </c>
      <c r="J6758" s="2" t="s">
        <v>12</v>
      </c>
      <c r="K6758" s="2" t="s">
        <v>12</v>
      </c>
    </row>
    <row r="6759" spans="1:11" ht="12.5" x14ac:dyDescent="0.25">
      <c r="A6759" s="3" t="e">
        <f ca="1"/>
        <v>#NAME?</v>
      </c>
      <c r="B6759" s="2" t="s">
        <v>12</v>
      </c>
      <c r="C6759" s="2" t="s">
        <v>12</v>
      </c>
      <c r="D6759" s="2" t="s">
        <v>12</v>
      </c>
      <c r="E6759" s="2" t="s">
        <v>12</v>
      </c>
      <c r="F6759" s="2" t="s">
        <v>12</v>
      </c>
      <c r="G6759" s="2" t="s">
        <v>12</v>
      </c>
      <c r="H6759" s="2" t="s">
        <v>12</v>
      </c>
      <c r="I6759" s="2" t="s">
        <v>12</v>
      </c>
      <c r="J6759" s="2" t="s">
        <v>12</v>
      </c>
      <c r="K6759" s="2" t="s">
        <v>12</v>
      </c>
    </row>
    <row r="6760" spans="1:11" ht="12.5" x14ac:dyDescent="0.25">
      <c r="A6760" s="3" t="e">
        <f ca="1"/>
        <v>#NAME?</v>
      </c>
      <c r="B6760" s="2" t="s">
        <v>12</v>
      </c>
      <c r="C6760" s="2" t="s">
        <v>12</v>
      </c>
      <c r="D6760" s="2" t="s">
        <v>12</v>
      </c>
      <c r="E6760" s="2" t="s">
        <v>12</v>
      </c>
      <c r="F6760" s="2" t="s">
        <v>12</v>
      </c>
      <c r="G6760" s="2" t="s">
        <v>12</v>
      </c>
      <c r="H6760" s="2" t="s">
        <v>12</v>
      </c>
      <c r="I6760" s="2" t="s">
        <v>12</v>
      </c>
      <c r="J6760" s="2" t="s">
        <v>12</v>
      </c>
      <c r="K6760" s="2" t="s">
        <v>12</v>
      </c>
    </row>
    <row r="6761" spans="1:11" ht="12.5" x14ac:dyDescent="0.25">
      <c r="A6761" s="3" t="e">
        <f ca="1"/>
        <v>#NAME?</v>
      </c>
      <c r="B6761" s="2" t="s">
        <v>12</v>
      </c>
      <c r="C6761" s="2" t="s">
        <v>12</v>
      </c>
      <c r="D6761" s="2" t="s">
        <v>12</v>
      </c>
      <c r="E6761" s="2" t="s">
        <v>12</v>
      </c>
      <c r="F6761" s="2" t="s">
        <v>12</v>
      </c>
      <c r="G6761" s="2" t="s">
        <v>12</v>
      </c>
      <c r="H6761" s="2" t="s">
        <v>12</v>
      </c>
      <c r="I6761" s="2" t="s">
        <v>12</v>
      </c>
      <c r="J6761" s="2" t="s">
        <v>12</v>
      </c>
      <c r="K6761" s="2" t="s">
        <v>12</v>
      </c>
    </row>
    <row r="6762" spans="1:11" ht="12.5" x14ac:dyDescent="0.25">
      <c r="A6762" s="3" t="e">
        <f ca="1"/>
        <v>#NAME?</v>
      </c>
      <c r="B6762" s="2" t="s">
        <v>12</v>
      </c>
      <c r="C6762" s="2" t="s">
        <v>12</v>
      </c>
      <c r="D6762" s="2" t="s">
        <v>12</v>
      </c>
      <c r="E6762" s="2" t="s">
        <v>12</v>
      </c>
      <c r="F6762" s="2" t="s">
        <v>12</v>
      </c>
      <c r="G6762" s="2" t="s">
        <v>12</v>
      </c>
      <c r="H6762" s="2" t="s">
        <v>12</v>
      </c>
      <c r="I6762" s="2" t="s">
        <v>12</v>
      </c>
      <c r="J6762" s="2" t="s">
        <v>12</v>
      </c>
      <c r="K6762" s="2" t="s">
        <v>12</v>
      </c>
    </row>
    <row r="6763" spans="1:11" ht="12.5" x14ac:dyDescent="0.25">
      <c r="A6763" s="3" t="e">
        <f ca="1"/>
        <v>#NAME?</v>
      </c>
      <c r="B6763" s="2" t="s">
        <v>12</v>
      </c>
      <c r="C6763" s="2" t="s">
        <v>12</v>
      </c>
      <c r="D6763" s="2" t="s">
        <v>12</v>
      </c>
      <c r="E6763" s="2" t="s">
        <v>12</v>
      </c>
      <c r="F6763" s="2" t="s">
        <v>12</v>
      </c>
      <c r="G6763" s="2" t="s">
        <v>12</v>
      </c>
      <c r="H6763" s="2" t="s">
        <v>12</v>
      </c>
      <c r="I6763" s="2" t="s">
        <v>12</v>
      </c>
      <c r="J6763" s="2" t="s">
        <v>12</v>
      </c>
      <c r="K6763" s="2" t="s">
        <v>12</v>
      </c>
    </row>
    <row r="6764" spans="1:11" ht="12.5" x14ac:dyDescent="0.25">
      <c r="A6764" s="3" t="e">
        <f ca="1"/>
        <v>#NAME?</v>
      </c>
      <c r="B6764" s="2" t="s">
        <v>12</v>
      </c>
      <c r="C6764" s="2" t="s">
        <v>12</v>
      </c>
      <c r="D6764" s="2" t="s">
        <v>12</v>
      </c>
      <c r="E6764" s="2" t="s">
        <v>12</v>
      </c>
      <c r="F6764" s="2" t="s">
        <v>12</v>
      </c>
      <c r="G6764" s="2" t="s">
        <v>12</v>
      </c>
      <c r="H6764" s="2" t="s">
        <v>12</v>
      </c>
      <c r="I6764" s="2" t="s">
        <v>12</v>
      </c>
      <c r="J6764" s="2" t="s">
        <v>12</v>
      </c>
      <c r="K6764" s="2" t="s">
        <v>12</v>
      </c>
    </row>
    <row r="6765" spans="1:11" ht="12.5" x14ac:dyDescent="0.25">
      <c r="A6765" s="3" t="e">
        <f ca="1"/>
        <v>#NAME?</v>
      </c>
      <c r="B6765" s="2" t="s">
        <v>12</v>
      </c>
      <c r="C6765" s="2" t="s">
        <v>12</v>
      </c>
      <c r="D6765" s="2" t="s">
        <v>12</v>
      </c>
      <c r="E6765" s="2" t="s">
        <v>12</v>
      </c>
      <c r="F6765" s="2" t="s">
        <v>12</v>
      </c>
      <c r="G6765" s="2" t="s">
        <v>12</v>
      </c>
      <c r="H6765" s="2" t="s">
        <v>12</v>
      </c>
      <c r="I6765" s="2" t="s">
        <v>12</v>
      </c>
      <c r="J6765" s="2" t="s">
        <v>12</v>
      </c>
      <c r="K6765" s="2" t="s">
        <v>12</v>
      </c>
    </row>
    <row r="6766" spans="1:11" ht="12.5" x14ac:dyDescent="0.25">
      <c r="A6766" s="3" t="e">
        <f ca="1"/>
        <v>#NAME?</v>
      </c>
      <c r="B6766" s="2" t="s">
        <v>12</v>
      </c>
      <c r="C6766" s="2" t="s">
        <v>12</v>
      </c>
      <c r="D6766" s="2" t="s">
        <v>12</v>
      </c>
      <c r="E6766" s="2" t="s">
        <v>12</v>
      </c>
      <c r="F6766" s="2" t="s">
        <v>12</v>
      </c>
      <c r="G6766" s="2" t="s">
        <v>12</v>
      </c>
      <c r="H6766" s="2" t="s">
        <v>12</v>
      </c>
      <c r="I6766" s="2" t="s">
        <v>12</v>
      </c>
      <c r="J6766" s="2" t="s">
        <v>12</v>
      </c>
      <c r="K6766" s="2" t="s">
        <v>12</v>
      </c>
    </row>
    <row r="6767" spans="1:11" ht="12.5" x14ac:dyDescent="0.25">
      <c r="A6767" s="3" t="e">
        <f ca="1"/>
        <v>#NAME?</v>
      </c>
      <c r="B6767" s="2" t="s">
        <v>12</v>
      </c>
      <c r="C6767" s="2" t="s">
        <v>12</v>
      </c>
      <c r="D6767" s="2" t="s">
        <v>12</v>
      </c>
      <c r="E6767" s="2" t="s">
        <v>12</v>
      </c>
      <c r="F6767" s="2" t="s">
        <v>12</v>
      </c>
      <c r="G6767" s="2" t="s">
        <v>12</v>
      </c>
      <c r="H6767" s="2" t="s">
        <v>12</v>
      </c>
      <c r="I6767" s="2" t="s">
        <v>12</v>
      </c>
      <c r="J6767" s="2" t="s">
        <v>12</v>
      </c>
      <c r="K6767" s="2" t="s">
        <v>12</v>
      </c>
    </row>
    <row r="6768" spans="1:11" ht="12.5" x14ac:dyDescent="0.25">
      <c r="A6768" s="3" t="e">
        <f ca="1"/>
        <v>#NAME?</v>
      </c>
      <c r="B6768" s="2" t="s">
        <v>12</v>
      </c>
      <c r="C6768" s="2" t="s">
        <v>12</v>
      </c>
      <c r="D6768" s="2" t="s">
        <v>12</v>
      </c>
      <c r="E6768" s="2" t="s">
        <v>12</v>
      </c>
      <c r="F6768" s="2" t="s">
        <v>12</v>
      </c>
      <c r="G6768" s="2" t="s">
        <v>12</v>
      </c>
      <c r="H6768" s="2" t="s">
        <v>12</v>
      </c>
      <c r="I6768" s="2" t="s">
        <v>12</v>
      </c>
      <c r="J6768" s="2" t="s">
        <v>12</v>
      </c>
      <c r="K6768" s="2" t="s">
        <v>12</v>
      </c>
    </row>
    <row r="6769" spans="1:11" ht="12.5" x14ac:dyDescent="0.25">
      <c r="A6769" s="3" t="e">
        <f ca="1"/>
        <v>#NAME?</v>
      </c>
      <c r="B6769" s="2" t="s">
        <v>12</v>
      </c>
      <c r="C6769" s="2" t="s">
        <v>12</v>
      </c>
      <c r="D6769" s="2" t="s">
        <v>12</v>
      </c>
      <c r="E6769" s="2" t="s">
        <v>12</v>
      </c>
      <c r="F6769" s="2" t="s">
        <v>12</v>
      </c>
      <c r="G6769" s="2" t="s">
        <v>12</v>
      </c>
      <c r="H6769" s="2" t="s">
        <v>12</v>
      </c>
      <c r="I6769" s="2" t="s">
        <v>12</v>
      </c>
      <c r="J6769" s="2" t="s">
        <v>12</v>
      </c>
      <c r="K6769" s="2" t="s">
        <v>12</v>
      </c>
    </row>
    <row r="6770" spans="1:11" ht="12.5" x14ac:dyDescent="0.25">
      <c r="A6770" s="3" t="e">
        <f ca="1"/>
        <v>#NAME?</v>
      </c>
      <c r="B6770" s="2" t="s">
        <v>12</v>
      </c>
      <c r="C6770" s="2" t="s">
        <v>12</v>
      </c>
      <c r="D6770" s="2" t="s">
        <v>12</v>
      </c>
      <c r="E6770" s="2" t="s">
        <v>12</v>
      </c>
      <c r="F6770" s="2" t="s">
        <v>12</v>
      </c>
      <c r="G6770" s="2" t="s">
        <v>12</v>
      </c>
      <c r="H6770" s="2" t="s">
        <v>12</v>
      </c>
      <c r="I6770" s="2" t="s">
        <v>12</v>
      </c>
      <c r="J6770" s="2" t="s">
        <v>12</v>
      </c>
      <c r="K6770" s="2" t="s">
        <v>12</v>
      </c>
    </row>
    <row r="6771" spans="1:11" ht="12.5" x14ac:dyDescent="0.25">
      <c r="A6771" s="3" t="e">
        <f ca="1"/>
        <v>#NAME?</v>
      </c>
      <c r="B6771" s="2" t="s">
        <v>12</v>
      </c>
      <c r="C6771" s="2" t="s">
        <v>12</v>
      </c>
      <c r="D6771" s="2" t="s">
        <v>12</v>
      </c>
      <c r="E6771" s="2" t="s">
        <v>12</v>
      </c>
      <c r="F6771" s="2" t="s">
        <v>12</v>
      </c>
      <c r="G6771" s="2" t="s">
        <v>12</v>
      </c>
      <c r="H6771" s="2" t="s">
        <v>12</v>
      </c>
      <c r="I6771" s="2" t="s">
        <v>12</v>
      </c>
      <c r="J6771" s="2" t="s">
        <v>12</v>
      </c>
      <c r="K6771" s="2" t="s">
        <v>12</v>
      </c>
    </row>
    <row r="6772" spans="1:11" ht="12.5" x14ac:dyDescent="0.25">
      <c r="A6772" s="3" t="e">
        <f ca="1"/>
        <v>#NAME?</v>
      </c>
      <c r="B6772" s="2" t="s">
        <v>12</v>
      </c>
      <c r="C6772" s="2" t="s">
        <v>12</v>
      </c>
      <c r="D6772" s="2" t="s">
        <v>12</v>
      </c>
      <c r="E6772" s="2" t="s">
        <v>12</v>
      </c>
      <c r="F6772" s="2" t="s">
        <v>12</v>
      </c>
      <c r="G6772" s="2" t="s">
        <v>12</v>
      </c>
      <c r="H6772" s="2" t="s">
        <v>12</v>
      </c>
      <c r="I6772" s="2" t="s">
        <v>12</v>
      </c>
      <c r="J6772" s="2" t="s">
        <v>12</v>
      </c>
      <c r="K6772" s="2" t="s">
        <v>12</v>
      </c>
    </row>
    <row r="6773" spans="1:11" ht="12.5" x14ac:dyDescent="0.25">
      <c r="A6773" s="3" t="e">
        <f ca="1"/>
        <v>#NAME?</v>
      </c>
      <c r="B6773" s="2" t="s">
        <v>12</v>
      </c>
      <c r="C6773" s="2" t="s">
        <v>12</v>
      </c>
      <c r="D6773" s="2" t="s">
        <v>12</v>
      </c>
      <c r="E6773" s="2" t="s">
        <v>12</v>
      </c>
      <c r="F6773" s="2" t="s">
        <v>12</v>
      </c>
      <c r="G6773" s="2" t="s">
        <v>12</v>
      </c>
      <c r="H6773" s="2" t="s">
        <v>12</v>
      </c>
      <c r="I6773" s="2" t="s">
        <v>12</v>
      </c>
      <c r="J6773" s="2" t="s">
        <v>12</v>
      </c>
      <c r="K6773" s="2" t="s">
        <v>12</v>
      </c>
    </row>
    <row r="6774" spans="1:11" ht="12.5" x14ac:dyDescent="0.25">
      <c r="A6774" s="3" t="e">
        <f ca="1"/>
        <v>#NAME?</v>
      </c>
      <c r="B6774" s="2" t="s">
        <v>12</v>
      </c>
      <c r="C6774" s="2" t="s">
        <v>12</v>
      </c>
      <c r="D6774" s="2" t="s">
        <v>12</v>
      </c>
      <c r="E6774" s="2" t="s">
        <v>12</v>
      </c>
      <c r="F6774" s="2" t="s">
        <v>12</v>
      </c>
      <c r="G6774" s="2" t="s">
        <v>12</v>
      </c>
      <c r="H6774" s="2" t="s">
        <v>12</v>
      </c>
      <c r="I6774" s="2" t="s">
        <v>12</v>
      </c>
      <c r="J6774" s="2" t="s">
        <v>12</v>
      </c>
      <c r="K6774" s="2" t="s">
        <v>12</v>
      </c>
    </row>
    <row r="6775" spans="1:11" ht="12.5" x14ac:dyDescent="0.25">
      <c r="A6775" s="3" t="e">
        <f ca="1"/>
        <v>#NAME?</v>
      </c>
      <c r="B6775" s="2" t="s">
        <v>12</v>
      </c>
      <c r="C6775" s="2" t="s">
        <v>12</v>
      </c>
      <c r="D6775" s="2" t="s">
        <v>12</v>
      </c>
      <c r="E6775" s="2" t="s">
        <v>12</v>
      </c>
      <c r="F6775" s="2" t="s">
        <v>12</v>
      </c>
      <c r="G6775" s="2" t="s">
        <v>12</v>
      </c>
      <c r="H6775" s="2" t="s">
        <v>12</v>
      </c>
      <c r="I6775" s="2" t="s">
        <v>12</v>
      </c>
      <c r="J6775" s="2" t="s">
        <v>12</v>
      </c>
      <c r="K6775" s="2" t="s">
        <v>12</v>
      </c>
    </row>
    <row r="6776" spans="1:11" ht="12.5" x14ac:dyDescent="0.25">
      <c r="A6776" s="3" t="e">
        <f ca="1"/>
        <v>#NAME?</v>
      </c>
      <c r="B6776" s="2" t="s">
        <v>12</v>
      </c>
      <c r="C6776" s="2" t="s">
        <v>12</v>
      </c>
      <c r="D6776" s="2" t="s">
        <v>12</v>
      </c>
      <c r="E6776" s="2" t="s">
        <v>12</v>
      </c>
      <c r="F6776" s="2" t="s">
        <v>12</v>
      </c>
      <c r="G6776" s="2" t="s">
        <v>12</v>
      </c>
      <c r="H6776" s="2" t="s">
        <v>12</v>
      </c>
      <c r="I6776" s="2" t="s">
        <v>12</v>
      </c>
      <c r="J6776" s="2" t="s">
        <v>12</v>
      </c>
      <c r="K6776" s="2" t="s">
        <v>12</v>
      </c>
    </row>
    <row r="6777" spans="1:11" ht="12.5" x14ac:dyDescent="0.25">
      <c r="A6777" s="3" t="e">
        <f ca="1"/>
        <v>#NAME?</v>
      </c>
      <c r="B6777" s="2" t="s">
        <v>12</v>
      </c>
      <c r="C6777" s="2" t="s">
        <v>12</v>
      </c>
      <c r="D6777" s="2" t="s">
        <v>12</v>
      </c>
      <c r="E6777" s="2" t="s">
        <v>12</v>
      </c>
      <c r="F6777" s="2" t="s">
        <v>12</v>
      </c>
      <c r="G6777" s="2" t="s">
        <v>12</v>
      </c>
      <c r="H6777" s="2" t="s">
        <v>12</v>
      </c>
      <c r="I6777" s="2" t="s">
        <v>12</v>
      </c>
      <c r="J6777" s="2" t="s">
        <v>12</v>
      </c>
      <c r="K6777" s="2" t="s">
        <v>12</v>
      </c>
    </row>
    <row r="6778" spans="1:11" ht="12.5" x14ac:dyDescent="0.25">
      <c r="A6778" s="3" t="e">
        <f ca="1"/>
        <v>#NAME?</v>
      </c>
      <c r="B6778" s="2" t="s">
        <v>12</v>
      </c>
      <c r="C6778" s="2" t="s">
        <v>12</v>
      </c>
      <c r="D6778" s="2" t="s">
        <v>12</v>
      </c>
      <c r="E6778" s="2" t="s">
        <v>12</v>
      </c>
      <c r="F6778" s="2" t="s">
        <v>12</v>
      </c>
      <c r="G6778" s="2" t="s">
        <v>12</v>
      </c>
      <c r="H6778" s="2" t="s">
        <v>12</v>
      </c>
      <c r="I6778" s="2" t="s">
        <v>12</v>
      </c>
      <c r="J6778" s="2" t="s">
        <v>12</v>
      </c>
      <c r="K6778" s="2" t="s">
        <v>12</v>
      </c>
    </row>
    <row r="6779" spans="1:11" ht="12.5" x14ac:dyDescent="0.25">
      <c r="A6779" s="3" t="e">
        <f ca="1"/>
        <v>#NAME?</v>
      </c>
      <c r="B6779" s="2" t="s">
        <v>12</v>
      </c>
      <c r="C6779" s="2" t="s">
        <v>12</v>
      </c>
      <c r="D6779" s="2" t="s">
        <v>12</v>
      </c>
      <c r="E6779" s="2" t="s">
        <v>12</v>
      </c>
      <c r="F6779" s="2" t="s">
        <v>12</v>
      </c>
      <c r="G6779" s="2" t="s">
        <v>12</v>
      </c>
      <c r="H6779" s="2" t="s">
        <v>12</v>
      </c>
      <c r="I6779" s="2" t="s">
        <v>12</v>
      </c>
      <c r="J6779" s="2" t="s">
        <v>12</v>
      </c>
      <c r="K6779" s="2" t="s">
        <v>12</v>
      </c>
    </row>
    <row r="6780" spans="1:11" ht="12.5" x14ac:dyDescent="0.25">
      <c r="A6780" s="3" t="e">
        <f ca="1"/>
        <v>#NAME?</v>
      </c>
      <c r="B6780" s="2" t="s">
        <v>12</v>
      </c>
      <c r="C6780" s="2" t="s">
        <v>12</v>
      </c>
      <c r="D6780" s="2" t="s">
        <v>12</v>
      </c>
      <c r="E6780" s="2" t="s">
        <v>12</v>
      </c>
      <c r="F6780" s="2" t="s">
        <v>12</v>
      </c>
      <c r="G6780" s="2" t="s">
        <v>12</v>
      </c>
      <c r="H6780" s="2" t="s">
        <v>12</v>
      </c>
      <c r="I6780" s="2" t="s">
        <v>12</v>
      </c>
      <c r="J6780" s="2" t="s">
        <v>12</v>
      </c>
      <c r="K6780" s="2" t="s">
        <v>12</v>
      </c>
    </row>
    <row r="6781" spans="1:11" ht="12.5" x14ac:dyDescent="0.25">
      <c r="A6781" s="3" t="e">
        <f ca="1"/>
        <v>#NAME?</v>
      </c>
      <c r="B6781" s="2" t="s">
        <v>12</v>
      </c>
      <c r="C6781" s="2" t="s">
        <v>12</v>
      </c>
      <c r="D6781" s="2" t="s">
        <v>12</v>
      </c>
      <c r="E6781" s="2" t="s">
        <v>12</v>
      </c>
      <c r="F6781" s="2" t="s">
        <v>12</v>
      </c>
      <c r="G6781" s="2" t="s">
        <v>12</v>
      </c>
      <c r="H6781" s="2" t="s">
        <v>12</v>
      </c>
      <c r="I6781" s="2" t="s">
        <v>12</v>
      </c>
      <c r="J6781" s="2" t="s">
        <v>12</v>
      </c>
      <c r="K6781" s="2" t="s">
        <v>12</v>
      </c>
    </row>
    <row r="6782" spans="1:11" ht="12.5" x14ac:dyDescent="0.25">
      <c r="A6782" s="3" t="e">
        <f ca="1"/>
        <v>#NAME?</v>
      </c>
      <c r="B6782" s="2" t="s">
        <v>12</v>
      </c>
      <c r="C6782" s="2" t="s">
        <v>12</v>
      </c>
      <c r="D6782" s="2" t="s">
        <v>12</v>
      </c>
      <c r="E6782" s="2" t="s">
        <v>12</v>
      </c>
      <c r="F6782" s="2" t="s">
        <v>12</v>
      </c>
      <c r="G6782" s="2" t="s">
        <v>12</v>
      </c>
      <c r="H6782" s="2" t="s">
        <v>12</v>
      </c>
      <c r="I6782" s="2" t="s">
        <v>12</v>
      </c>
      <c r="J6782" s="2" t="s">
        <v>12</v>
      </c>
      <c r="K6782" s="2" t="s">
        <v>12</v>
      </c>
    </row>
    <row r="6783" spans="1:11" ht="12.5" x14ac:dyDescent="0.25">
      <c r="A6783" s="3" t="e">
        <f ca="1"/>
        <v>#NAME?</v>
      </c>
      <c r="B6783" s="2" t="s">
        <v>12</v>
      </c>
      <c r="C6783" s="2" t="s">
        <v>12</v>
      </c>
      <c r="D6783" s="2" t="s">
        <v>12</v>
      </c>
      <c r="E6783" s="2" t="s">
        <v>12</v>
      </c>
      <c r="F6783" s="2" t="s">
        <v>12</v>
      </c>
      <c r="G6783" s="2" t="s">
        <v>12</v>
      </c>
      <c r="H6783" s="2" t="s">
        <v>12</v>
      </c>
      <c r="I6783" s="2" t="s">
        <v>12</v>
      </c>
      <c r="J6783" s="2" t="s">
        <v>12</v>
      </c>
      <c r="K6783" s="2" t="s">
        <v>12</v>
      </c>
    </row>
    <row r="6784" spans="1:11" ht="12.5" x14ac:dyDescent="0.25">
      <c r="A6784" s="3" t="e">
        <f ca="1"/>
        <v>#NAME?</v>
      </c>
      <c r="B6784" s="2" t="s">
        <v>12</v>
      </c>
      <c r="C6784" s="2" t="s">
        <v>12</v>
      </c>
      <c r="D6784" s="2" t="s">
        <v>12</v>
      </c>
      <c r="E6784" s="2" t="s">
        <v>12</v>
      </c>
      <c r="F6784" s="2" t="s">
        <v>12</v>
      </c>
      <c r="G6784" s="2" t="s">
        <v>12</v>
      </c>
      <c r="H6784" s="2" t="s">
        <v>12</v>
      </c>
      <c r="I6784" s="2" t="s">
        <v>12</v>
      </c>
      <c r="J6784" s="2" t="s">
        <v>12</v>
      </c>
      <c r="K6784" s="2" t="s">
        <v>12</v>
      </c>
    </row>
    <row r="6785" spans="1:11" ht="12.5" x14ac:dyDescent="0.25">
      <c r="A6785" s="3" t="e">
        <f ca="1"/>
        <v>#NAME?</v>
      </c>
      <c r="B6785" s="2" t="s">
        <v>12</v>
      </c>
      <c r="C6785" s="2" t="s">
        <v>12</v>
      </c>
      <c r="D6785" s="2" t="s">
        <v>12</v>
      </c>
      <c r="E6785" s="2" t="s">
        <v>12</v>
      </c>
      <c r="F6785" s="2" t="s">
        <v>12</v>
      </c>
      <c r="G6785" s="2" t="s">
        <v>12</v>
      </c>
      <c r="H6785" s="2" t="s">
        <v>12</v>
      </c>
      <c r="I6785" s="2" t="s">
        <v>12</v>
      </c>
      <c r="J6785" s="2" t="s">
        <v>12</v>
      </c>
      <c r="K6785" s="2" t="s">
        <v>12</v>
      </c>
    </row>
    <row r="6786" spans="1:11" ht="12.5" x14ac:dyDescent="0.25">
      <c r="A6786" s="3" t="e">
        <f ca="1"/>
        <v>#NAME?</v>
      </c>
      <c r="B6786" s="2" t="s">
        <v>12</v>
      </c>
      <c r="C6786" s="2" t="s">
        <v>12</v>
      </c>
      <c r="D6786" s="2" t="s">
        <v>12</v>
      </c>
      <c r="E6786" s="2" t="s">
        <v>12</v>
      </c>
      <c r="F6786" s="2" t="s">
        <v>12</v>
      </c>
      <c r="G6786" s="2" t="s">
        <v>12</v>
      </c>
      <c r="H6786" s="2" t="s">
        <v>12</v>
      </c>
      <c r="I6786" s="2" t="s">
        <v>12</v>
      </c>
      <c r="J6786" s="2" t="s">
        <v>12</v>
      </c>
      <c r="K6786" s="2" t="s">
        <v>12</v>
      </c>
    </row>
    <row r="6787" spans="1:11" ht="12.5" x14ac:dyDescent="0.25">
      <c r="A6787" s="3" t="e">
        <f ca="1"/>
        <v>#NAME?</v>
      </c>
      <c r="B6787" s="2" t="s">
        <v>12</v>
      </c>
      <c r="C6787" s="2" t="s">
        <v>12</v>
      </c>
      <c r="D6787" s="2" t="s">
        <v>12</v>
      </c>
      <c r="E6787" s="2" t="s">
        <v>12</v>
      </c>
      <c r="F6787" s="2" t="s">
        <v>12</v>
      </c>
      <c r="G6787" s="2" t="s">
        <v>12</v>
      </c>
      <c r="H6787" s="2" t="s">
        <v>12</v>
      </c>
      <c r="I6787" s="2" t="s">
        <v>12</v>
      </c>
      <c r="J6787" s="2" t="s">
        <v>12</v>
      </c>
      <c r="K6787" s="2" t="s">
        <v>12</v>
      </c>
    </row>
    <row r="6788" spans="1:11" ht="12.5" x14ac:dyDescent="0.25">
      <c r="A6788" s="3" t="e">
        <f ca="1"/>
        <v>#NAME?</v>
      </c>
      <c r="B6788" s="2" t="s">
        <v>12</v>
      </c>
      <c r="C6788" s="2" t="s">
        <v>12</v>
      </c>
      <c r="D6788" s="2" t="s">
        <v>12</v>
      </c>
      <c r="E6788" s="2" t="s">
        <v>12</v>
      </c>
      <c r="F6788" s="2" t="s">
        <v>12</v>
      </c>
      <c r="G6788" s="2" t="s">
        <v>12</v>
      </c>
      <c r="H6788" s="2" t="s">
        <v>12</v>
      </c>
      <c r="I6788" s="2" t="s">
        <v>12</v>
      </c>
      <c r="J6788" s="2" t="s">
        <v>12</v>
      </c>
      <c r="K6788" s="2" t="s">
        <v>12</v>
      </c>
    </row>
    <row r="6789" spans="1:11" ht="12.5" x14ac:dyDescent="0.25">
      <c r="A6789" s="3" t="e">
        <f ca="1"/>
        <v>#NAME?</v>
      </c>
      <c r="B6789" s="2" t="s">
        <v>12</v>
      </c>
      <c r="C6789" s="2" t="s">
        <v>12</v>
      </c>
      <c r="D6789" s="2" t="s">
        <v>12</v>
      </c>
      <c r="E6789" s="2" t="s">
        <v>12</v>
      </c>
      <c r="F6789" s="2" t="s">
        <v>12</v>
      </c>
      <c r="G6789" s="2" t="s">
        <v>12</v>
      </c>
      <c r="H6789" s="2" t="s">
        <v>12</v>
      </c>
      <c r="I6789" s="2" t="s">
        <v>12</v>
      </c>
      <c r="J6789" s="2" t="s">
        <v>12</v>
      </c>
      <c r="K6789" s="2" t="s">
        <v>12</v>
      </c>
    </row>
    <row r="6790" spans="1:11" ht="12.5" x14ac:dyDescent="0.25">
      <c r="A6790" s="3" t="e">
        <f ca="1"/>
        <v>#NAME?</v>
      </c>
      <c r="B6790" s="2" t="s">
        <v>12</v>
      </c>
      <c r="C6790" s="2" t="s">
        <v>12</v>
      </c>
      <c r="D6790" s="2" t="s">
        <v>12</v>
      </c>
      <c r="E6790" s="2" t="s">
        <v>12</v>
      </c>
      <c r="F6790" s="2" t="s">
        <v>12</v>
      </c>
      <c r="G6790" s="2" t="s">
        <v>12</v>
      </c>
      <c r="H6790" s="2" t="s">
        <v>12</v>
      </c>
      <c r="I6790" s="2" t="s">
        <v>12</v>
      </c>
      <c r="J6790" s="2" t="s">
        <v>12</v>
      </c>
      <c r="K6790" s="2" t="s">
        <v>12</v>
      </c>
    </row>
    <row r="6791" spans="1:11" ht="12.5" x14ac:dyDescent="0.25">
      <c r="A6791" s="3" t="e">
        <f ca="1"/>
        <v>#NAME?</v>
      </c>
      <c r="B6791" s="2" t="s">
        <v>12</v>
      </c>
      <c r="C6791" s="2" t="s">
        <v>12</v>
      </c>
      <c r="D6791" s="2" t="s">
        <v>12</v>
      </c>
      <c r="E6791" s="2" t="s">
        <v>12</v>
      </c>
      <c r="F6791" s="2" t="s">
        <v>12</v>
      </c>
      <c r="G6791" s="2" t="s">
        <v>12</v>
      </c>
      <c r="H6791" s="2" t="s">
        <v>12</v>
      </c>
      <c r="I6791" s="2" t="s">
        <v>12</v>
      </c>
      <c r="J6791" s="2" t="s">
        <v>12</v>
      </c>
      <c r="K6791" s="2" t="s">
        <v>12</v>
      </c>
    </row>
    <row r="6792" spans="1:11" ht="12.5" x14ac:dyDescent="0.25">
      <c r="A6792" s="3" t="e">
        <f ca="1"/>
        <v>#NAME?</v>
      </c>
      <c r="B6792" s="2" t="s">
        <v>12</v>
      </c>
      <c r="C6792" s="2" t="s">
        <v>12</v>
      </c>
      <c r="D6792" s="2" t="s">
        <v>12</v>
      </c>
      <c r="E6792" s="2" t="s">
        <v>12</v>
      </c>
      <c r="F6792" s="2" t="s">
        <v>12</v>
      </c>
      <c r="G6792" s="2" t="s">
        <v>12</v>
      </c>
      <c r="H6792" s="2" t="s">
        <v>12</v>
      </c>
      <c r="I6792" s="2" t="s">
        <v>12</v>
      </c>
      <c r="J6792" s="2" t="s">
        <v>12</v>
      </c>
      <c r="K6792" s="2" t="s">
        <v>12</v>
      </c>
    </row>
    <row r="6793" spans="1:11" ht="12.5" x14ac:dyDescent="0.25">
      <c r="A6793" s="3" t="e">
        <f ca="1"/>
        <v>#NAME?</v>
      </c>
      <c r="B6793" s="2" t="s">
        <v>12</v>
      </c>
      <c r="C6793" s="2" t="s">
        <v>12</v>
      </c>
      <c r="D6793" s="2" t="s">
        <v>12</v>
      </c>
      <c r="E6793" s="2" t="s">
        <v>12</v>
      </c>
      <c r="F6793" s="2" t="s">
        <v>12</v>
      </c>
      <c r="G6793" s="2" t="s">
        <v>12</v>
      </c>
      <c r="H6793" s="2" t="s">
        <v>12</v>
      </c>
      <c r="I6793" s="2" t="s">
        <v>12</v>
      </c>
      <c r="J6793" s="2" t="s">
        <v>12</v>
      </c>
      <c r="K6793" s="2" t="s">
        <v>12</v>
      </c>
    </row>
    <row r="6794" spans="1:11" ht="12.5" x14ac:dyDescent="0.25">
      <c r="A6794" s="3" t="e">
        <f ca="1"/>
        <v>#NAME?</v>
      </c>
      <c r="B6794" s="2" t="s">
        <v>12</v>
      </c>
      <c r="C6794" s="2" t="s">
        <v>12</v>
      </c>
      <c r="D6794" s="2" t="s">
        <v>12</v>
      </c>
      <c r="E6794" s="2" t="s">
        <v>12</v>
      </c>
      <c r="F6794" s="2" t="s">
        <v>12</v>
      </c>
      <c r="G6794" s="2" t="s">
        <v>12</v>
      </c>
      <c r="H6794" s="2" t="s">
        <v>12</v>
      </c>
      <c r="I6794" s="2" t="s">
        <v>12</v>
      </c>
      <c r="J6794" s="2" t="s">
        <v>12</v>
      </c>
      <c r="K6794" s="2" t="s">
        <v>12</v>
      </c>
    </row>
    <row r="6795" spans="1:11" ht="12.5" x14ac:dyDescent="0.25">
      <c r="A6795" s="3" t="e">
        <f ca="1"/>
        <v>#NAME?</v>
      </c>
      <c r="B6795" s="2" t="s">
        <v>12</v>
      </c>
      <c r="C6795" s="2" t="s">
        <v>12</v>
      </c>
      <c r="D6795" s="2" t="s">
        <v>12</v>
      </c>
      <c r="E6795" s="2" t="s">
        <v>12</v>
      </c>
      <c r="F6795" s="2" t="s">
        <v>12</v>
      </c>
      <c r="G6795" s="2" t="s">
        <v>12</v>
      </c>
      <c r="H6795" s="2" t="s">
        <v>12</v>
      </c>
      <c r="I6795" s="2" t="s">
        <v>12</v>
      </c>
      <c r="J6795" s="2" t="s">
        <v>12</v>
      </c>
      <c r="K6795" s="2" t="s">
        <v>12</v>
      </c>
    </row>
    <row r="6796" spans="1:11" ht="12.5" x14ac:dyDescent="0.25">
      <c r="A6796" s="3" t="e">
        <f ca="1"/>
        <v>#NAME?</v>
      </c>
      <c r="B6796" s="2" t="s">
        <v>12</v>
      </c>
      <c r="C6796" s="2" t="s">
        <v>12</v>
      </c>
      <c r="D6796" s="2" t="s">
        <v>12</v>
      </c>
      <c r="E6796" s="2" t="s">
        <v>12</v>
      </c>
      <c r="F6796" s="2" t="s">
        <v>12</v>
      </c>
      <c r="G6796" s="2" t="s">
        <v>12</v>
      </c>
      <c r="H6796" s="2" t="s">
        <v>12</v>
      </c>
      <c r="I6796" s="2" t="s">
        <v>12</v>
      </c>
      <c r="J6796" s="2" t="s">
        <v>12</v>
      </c>
      <c r="K6796" s="2" t="s">
        <v>12</v>
      </c>
    </row>
    <row r="6797" spans="1:11" ht="12.5" x14ac:dyDescent="0.25">
      <c r="A6797" s="3" t="e">
        <f ca="1"/>
        <v>#NAME?</v>
      </c>
      <c r="B6797" s="2" t="s">
        <v>12</v>
      </c>
      <c r="C6797" s="2" t="s">
        <v>12</v>
      </c>
      <c r="D6797" s="2" t="s">
        <v>12</v>
      </c>
      <c r="E6797" s="2" t="s">
        <v>12</v>
      </c>
      <c r="F6797" s="2" t="s">
        <v>12</v>
      </c>
      <c r="G6797" s="2" t="s">
        <v>12</v>
      </c>
      <c r="H6797" s="2" t="s">
        <v>12</v>
      </c>
      <c r="I6797" s="2" t="s">
        <v>12</v>
      </c>
      <c r="J6797" s="2" t="s">
        <v>12</v>
      </c>
      <c r="K6797" s="2" t="s">
        <v>12</v>
      </c>
    </row>
    <row r="6798" spans="1:11" ht="12.5" x14ac:dyDescent="0.25">
      <c r="A6798" s="3" t="e">
        <f ca="1"/>
        <v>#NAME?</v>
      </c>
      <c r="B6798" s="2" t="s">
        <v>12</v>
      </c>
      <c r="C6798" s="2" t="s">
        <v>12</v>
      </c>
      <c r="D6798" s="2" t="s">
        <v>12</v>
      </c>
      <c r="E6798" s="2" t="s">
        <v>12</v>
      </c>
      <c r="F6798" s="2" t="s">
        <v>12</v>
      </c>
      <c r="G6798" s="2" t="s">
        <v>12</v>
      </c>
      <c r="H6798" s="2" t="s">
        <v>12</v>
      </c>
      <c r="I6798" s="2" t="s">
        <v>12</v>
      </c>
      <c r="J6798" s="2" t="s">
        <v>12</v>
      </c>
      <c r="K6798" s="2" t="s">
        <v>12</v>
      </c>
    </row>
    <row r="6799" spans="1:11" ht="12.5" x14ac:dyDescent="0.25">
      <c r="A6799" s="3" t="e">
        <f ca="1"/>
        <v>#NAME?</v>
      </c>
      <c r="B6799" s="2" t="s">
        <v>12</v>
      </c>
      <c r="C6799" s="2" t="s">
        <v>12</v>
      </c>
      <c r="D6799" s="2" t="s">
        <v>12</v>
      </c>
      <c r="E6799" s="2" t="s">
        <v>12</v>
      </c>
      <c r="F6799" s="2" t="s">
        <v>12</v>
      </c>
      <c r="G6799" s="2" t="s">
        <v>12</v>
      </c>
      <c r="H6799" s="2" t="s">
        <v>12</v>
      </c>
      <c r="I6799" s="2" t="s">
        <v>12</v>
      </c>
      <c r="J6799" s="2" t="s">
        <v>12</v>
      </c>
      <c r="K6799" s="2" t="s">
        <v>12</v>
      </c>
    </row>
    <row r="6800" spans="1:11" ht="12.5" x14ac:dyDescent="0.25">
      <c r="A6800" s="3" t="e">
        <f ca="1"/>
        <v>#NAME?</v>
      </c>
      <c r="B6800" s="2" t="s">
        <v>12</v>
      </c>
      <c r="C6800" s="2" t="s">
        <v>12</v>
      </c>
      <c r="D6800" s="2" t="s">
        <v>12</v>
      </c>
      <c r="E6800" s="2" t="s">
        <v>12</v>
      </c>
      <c r="F6800" s="2" t="s">
        <v>12</v>
      </c>
      <c r="G6800" s="2" t="s">
        <v>12</v>
      </c>
      <c r="H6800" s="2" t="s">
        <v>12</v>
      </c>
      <c r="I6800" s="2" t="s">
        <v>12</v>
      </c>
      <c r="J6800" s="2" t="s">
        <v>12</v>
      </c>
      <c r="K6800" s="2" t="s">
        <v>12</v>
      </c>
    </row>
    <row r="6801" spans="1:11" ht="12.5" x14ac:dyDescent="0.25">
      <c r="A6801" s="3" t="e">
        <f ca="1"/>
        <v>#NAME?</v>
      </c>
      <c r="B6801" s="2" t="s">
        <v>12</v>
      </c>
      <c r="C6801" s="2" t="s">
        <v>12</v>
      </c>
      <c r="D6801" s="2" t="s">
        <v>12</v>
      </c>
      <c r="E6801" s="2" t="s">
        <v>12</v>
      </c>
      <c r="F6801" s="2" t="s">
        <v>12</v>
      </c>
      <c r="G6801" s="2" t="s">
        <v>12</v>
      </c>
      <c r="H6801" s="2" t="s">
        <v>12</v>
      </c>
      <c r="I6801" s="2" t="s">
        <v>12</v>
      </c>
      <c r="J6801" s="2" t="s">
        <v>12</v>
      </c>
      <c r="K6801" s="2" t="s">
        <v>12</v>
      </c>
    </row>
    <row r="6802" spans="1:11" ht="12.5" x14ac:dyDescent="0.25">
      <c r="A6802" s="3" t="e">
        <f ca="1"/>
        <v>#NAME?</v>
      </c>
      <c r="B6802" s="2" t="s">
        <v>12</v>
      </c>
      <c r="C6802" s="2" t="s">
        <v>12</v>
      </c>
      <c r="D6802" s="2" t="s">
        <v>12</v>
      </c>
      <c r="E6802" s="2" t="s">
        <v>12</v>
      </c>
      <c r="F6802" s="2" t="s">
        <v>12</v>
      </c>
      <c r="G6802" s="2" t="s">
        <v>12</v>
      </c>
      <c r="H6802" s="2" t="s">
        <v>12</v>
      </c>
      <c r="I6802" s="2" t="s">
        <v>12</v>
      </c>
      <c r="J6802" s="2" t="s">
        <v>12</v>
      </c>
      <c r="K6802" s="2" t="s">
        <v>12</v>
      </c>
    </row>
    <row r="6803" spans="1:11" ht="12.5" x14ac:dyDescent="0.25">
      <c r="A6803" s="3" t="e">
        <f ca="1"/>
        <v>#NAME?</v>
      </c>
      <c r="B6803" s="2" t="s">
        <v>12</v>
      </c>
      <c r="C6803" s="2" t="s">
        <v>12</v>
      </c>
      <c r="D6803" s="2" t="s">
        <v>12</v>
      </c>
      <c r="E6803" s="2" t="s">
        <v>12</v>
      </c>
      <c r="F6803" s="2" t="s">
        <v>12</v>
      </c>
      <c r="G6803" s="2" t="s">
        <v>12</v>
      </c>
      <c r="H6803" s="2" t="s">
        <v>12</v>
      </c>
      <c r="I6803" s="2" t="s">
        <v>12</v>
      </c>
      <c r="J6803" s="2" t="s">
        <v>12</v>
      </c>
      <c r="K6803" s="2" t="s">
        <v>12</v>
      </c>
    </row>
    <row r="6804" spans="1:11" ht="12.5" x14ac:dyDescent="0.25">
      <c r="A6804" s="3" t="e">
        <f ca="1"/>
        <v>#NAME?</v>
      </c>
      <c r="B6804" s="2" t="s">
        <v>12</v>
      </c>
      <c r="C6804" s="2" t="s">
        <v>12</v>
      </c>
      <c r="D6804" s="2" t="s">
        <v>12</v>
      </c>
      <c r="E6804" s="2" t="s">
        <v>12</v>
      </c>
      <c r="F6804" s="2" t="s">
        <v>12</v>
      </c>
      <c r="G6804" s="2" t="s">
        <v>12</v>
      </c>
      <c r="H6804" s="2" t="s">
        <v>12</v>
      </c>
      <c r="I6804" s="2" t="s">
        <v>12</v>
      </c>
      <c r="J6804" s="2" t="s">
        <v>12</v>
      </c>
      <c r="K6804" s="2" t="s">
        <v>12</v>
      </c>
    </row>
    <row r="6805" spans="1:11" ht="12.5" x14ac:dyDescent="0.25">
      <c r="A6805" s="3" t="e">
        <f ca="1"/>
        <v>#NAME?</v>
      </c>
      <c r="B6805" s="2" t="s">
        <v>12</v>
      </c>
      <c r="C6805" s="2" t="s">
        <v>12</v>
      </c>
      <c r="D6805" s="2" t="s">
        <v>12</v>
      </c>
      <c r="E6805" s="2" t="s">
        <v>12</v>
      </c>
      <c r="F6805" s="2" t="s">
        <v>12</v>
      </c>
      <c r="G6805" s="2" t="s">
        <v>12</v>
      </c>
      <c r="H6805" s="2" t="s">
        <v>12</v>
      </c>
      <c r="I6805" s="2" t="s">
        <v>12</v>
      </c>
      <c r="J6805" s="2" t="s">
        <v>12</v>
      </c>
      <c r="K6805" s="2" t="s">
        <v>12</v>
      </c>
    </row>
    <row r="6806" spans="1:11" ht="12.5" x14ac:dyDescent="0.25">
      <c r="A6806" s="3" t="e">
        <f ca="1"/>
        <v>#NAME?</v>
      </c>
      <c r="B6806" s="2" t="s">
        <v>12</v>
      </c>
      <c r="C6806" s="2" t="s">
        <v>12</v>
      </c>
      <c r="D6806" s="2" t="s">
        <v>12</v>
      </c>
      <c r="E6806" s="2" t="s">
        <v>12</v>
      </c>
      <c r="F6806" s="2" t="s">
        <v>12</v>
      </c>
      <c r="G6806" s="2" t="s">
        <v>12</v>
      </c>
      <c r="H6806" s="2" t="s">
        <v>12</v>
      </c>
      <c r="I6806" s="2" t="s">
        <v>12</v>
      </c>
      <c r="J6806" s="2" t="s">
        <v>12</v>
      </c>
      <c r="K6806" s="2" t="s">
        <v>12</v>
      </c>
    </row>
    <row r="6807" spans="1:11" ht="12.5" x14ac:dyDescent="0.25">
      <c r="A6807" s="3" t="e">
        <f ca="1"/>
        <v>#NAME?</v>
      </c>
      <c r="B6807" s="2" t="s">
        <v>12</v>
      </c>
      <c r="C6807" s="2" t="s">
        <v>12</v>
      </c>
      <c r="D6807" s="2" t="s">
        <v>12</v>
      </c>
      <c r="E6807" s="2" t="s">
        <v>12</v>
      </c>
      <c r="F6807" s="2" t="s">
        <v>12</v>
      </c>
      <c r="G6807" s="2" t="s">
        <v>12</v>
      </c>
      <c r="H6807" s="2" t="s">
        <v>12</v>
      </c>
      <c r="I6807" s="2" t="s">
        <v>12</v>
      </c>
      <c r="J6807" s="2" t="s">
        <v>12</v>
      </c>
      <c r="K6807" s="2" t="s">
        <v>12</v>
      </c>
    </row>
    <row r="6808" spans="1:11" ht="12.5" x14ac:dyDescent="0.25">
      <c r="A6808" s="3" t="e">
        <f ca="1"/>
        <v>#NAME?</v>
      </c>
      <c r="B6808" s="2" t="s">
        <v>12</v>
      </c>
      <c r="C6808" s="2" t="s">
        <v>12</v>
      </c>
      <c r="D6808" s="2" t="s">
        <v>12</v>
      </c>
      <c r="E6808" s="2" t="s">
        <v>12</v>
      </c>
      <c r="F6808" s="2" t="s">
        <v>12</v>
      </c>
      <c r="G6808" s="2" t="s">
        <v>12</v>
      </c>
      <c r="H6808" s="2" t="s">
        <v>12</v>
      </c>
      <c r="I6808" s="2" t="s">
        <v>12</v>
      </c>
      <c r="J6808" s="2" t="s">
        <v>12</v>
      </c>
      <c r="K6808" s="2" t="s">
        <v>12</v>
      </c>
    </row>
    <row r="6809" spans="1:11" ht="12.5" x14ac:dyDescent="0.25">
      <c r="A6809" s="3" t="e">
        <f ca="1"/>
        <v>#NAME?</v>
      </c>
      <c r="B6809" s="2" t="s">
        <v>12</v>
      </c>
      <c r="C6809" s="2" t="s">
        <v>12</v>
      </c>
      <c r="D6809" s="2" t="s">
        <v>12</v>
      </c>
      <c r="E6809" s="2" t="s">
        <v>12</v>
      </c>
      <c r="F6809" s="2" t="s">
        <v>12</v>
      </c>
      <c r="G6809" s="2" t="s">
        <v>12</v>
      </c>
      <c r="H6809" s="2" t="s">
        <v>12</v>
      </c>
      <c r="I6809" s="2" t="s">
        <v>12</v>
      </c>
      <c r="J6809" s="2" t="s">
        <v>12</v>
      </c>
      <c r="K6809" s="2" t="s">
        <v>12</v>
      </c>
    </row>
    <row r="6810" spans="1:11" ht="12.5" x14ac:dyDescent="0.25">
      <c r="A6810" s="3" t="e">
        <f ca="1"/>
        <v>#NAME?</v>
      </c>
      <c r="B6810" s="2" t="s">
        <v>12</v>
      </c>
      <c r="C6810" s="2" t="s">
        <v>12</v>
      </c>
      <c r="D6810" s="2" t="s">
        <v>12</v>
      </c>
      <c r="E6810" s="2" t="s">
        <v>12</v>
      </c>
      <c r="F6810" s="2" t="s">
        <v>12</v>
      </c>
      <c r="G6810" s="2" t="s">
        <v>12</v>
      </c>
      <c r="H6810" s="2" t="s">
        <v>12</v>
      </c>
      <c r="I6810" s="2" t="s">
        <v>12</v>
      </c>
      <c r="J6810" s="2" t="s">
        <v>12</v>
      </c>
      <c r="K6810" s="2" t="s">
        <v>12</v>
      </c>
    </row>
    <row r="6811" spans="1:11" ht="12.5" x14ac:dyDescent="0.25">
      <c r="A6811" s="3" t="e">
        <f ca="1"/>
        <v>#NAME?</v>
      </c>
      <c r="B6811" s="2" t="s">
        <v>12</v>
      </c>
      <c r="C6811" s="2" t="s">
        <v>12</v>
      </c>
      <c r="D6811" s="2" t="s">
        <v>12</v>
      </c>
      <c r="E6811" s="2" t="s">
        <v>12</v>
      </c>
      <c r="F6811" s="2" t="s">
        <v>12</v>
      </c>
      <c r="G6811" s="2" t="s">
        <v>12</v>
      </c>
      <c r="H6811" s="2" t="s">
        <v>12</v>
      </c>
      <c r="I6811" s="2" t="s">
        <v>12</v>
      </c>
      <c r="J6811" s="2" t="s">
        <v>12</v>
      </c>
      <c r="K6811" s="2" t="s">
        <v>12</v>
      </c>
    </row>
    <row r="6812" spans="1:11" ht="12.5" x14ac:dyDescent="0.25">
      <c r="A6812" s="3" t="e">
        <f ca="1"/>
        <v>#NAME?</v>
      </c>
      <c r="B6812" s="2" t="s">
        <v>12</v>
      </c>
      <c r="C6812" s="2" t="s">
        <v>12</v>
      </c>
      <c r="D6812" s="2" t="s">
        <v>12</v>
      </c>
      <c r="E6812" s="2" t="s">
        <v>12</v>
      </c>
      <c r="F6812" s="2" t="s">
        <v>12</v>
      </c>
      <c r="G6812" s="2" t="s">
        <v>12</v>
      </c>
      <c r="H6812" s="2" t="s">
        <v>12</v>
      </c>
      <c r="I6812" s="2" t="s">
        <v>12</v>
      </c>
      <c r="J6812" s="2" t="s">
        <v>12</v>
      </c>
      <c r="K6812" s="2" t="s">
        <v>12</v>
      </c>
    </row>
    <row r="6813" spans="1:11" ht="12.5" x14ac:dyDescent="0.25">
      <c r="A6813" s="3" t="e">
        <f ca="1"/>
        <v>#NAME?</v>
      </c>
      <c r="B6813" s="2" t="s">
        <v>12</v>
      </c>
      <c r="C6813" s="2" t="s">
        <v>12</v>
      </c>
      <c r="D6813" s="2" t="s">
        <v>12</v>
      </c>
      <c r="E6813" s="2" t="s">
        <v>12</v>
      </c>
      <c r="F6813" s="2" t="s">
        <v>12</v>
      </c>
      <c r="G6813" s="2" t="s">
        <v>12</v>
      </c>
      <c r="H6813" s="2" t="s">
        <v>12</v>
      </c>
      <c r="I6813" s="2" t="s">
        <v>12</v>
      </c>
      <c r="J6813" s="2" t="s">
        <v>12</v>
      </c>
      <c r="K6813" s="2" t="s">
        <v>12</v>
      </c>
    </row>
    <row r="6814" spans="1:11" ht="12.5" x14ac:dyDescent="0.25">
      <c r="A6814" s="3" t="e">
        <f ca="1"/>
        <v>#NAME?</v>
      </c>
      <c r="B6814" s="2" t="s">
        <v>12</v>
      </c>
      <c r="C6814" s="2" t="s">
        <v>12</v>
      </c>
      <c r="D6814" s="2" t="s">
        <v>12</v>
      </c>
      <c r="E6814" s="2" t="s">
        <v>12</v>
      </c>
      <c r="F6814" s="2" t="s">
        <v>12</v>
      </c>
      <c r="G6814" s="2" t="s">
        <v>12</v>
      </c>
      <c r="H6814" s="2" t="s">
        <v>12</v>
      </c>
      <c r="I6814" s="2" t="s">
        <v>12</v>
      </c>
      <c r="J6814" s="2" t="s">
        <v>12</v>
      </c>
      <c r="K6814" s="2" t="s">
        <v>12</v>
      </c>
    </row>
    <row r="6815" spans="1:11" ht="12.5" x14ac:dyDescent="0.25">
      <c r="A6815" s="3" t="e">
        <f ca="1"/>
        <v>#NAME?</v>
      </c>
      <c r="B6815" s="2" t="s">
        <v>12</v>
      </c>
      <c r="C6815" s="2" t="s">
        <v>12</v>
      </c>
      <c r="D6815" s="2" t="s">
        <v>12</v>
      </c>
      <c r="E6815" s="2" t="s">
        <v>12</v>
      </c>
      <c r="F6815" s="2" t="s">
        <v>12</v>
      </c>
      <c r="G6815" s="2" t="s">
        <v>12</v>
      </c>
      <c r="H6815" s="2" t="s">
        <v>12</v>
      </c>
      <c r="I6815" s="2" t="s">
        <v>12</v>
      </c>
      <c r="J6815" s="2" t="s">
        <v>12</v>
      </c>
      <c r="K6815" s="2" t="s">
        <v>12</v>
      </c>
    </row>
    <row r="6816" spans="1:11" ht="12.5" x14ac:dyDescent="0.25">
      <c r="A6816" s="3" t="e">
        <f ca="1"/>
        <v>#NAME?</v>
      </c>
      <c r="B6816" s="2" t="s">
        <v>12</v>
      </c>
      <c r="C6816" s="2" t="s">
        <v>12</v>
      </c>
      <c r="D6816" s="2" t="s">
        <v>12</v>
      </c>
      <c r="E6816" s="2" t="s">
        <v>12</v>
      </c>
      <c r="F6816" s="2" t="s">
        <v>12</v>
      </c>
      <c r="G6816" s="2" t="s">
        <v>12</v>
      </c>
      <c r="H6816" s="2" t="s">
        <v>12</v>
      </c>
      <c r="I6816" s="2" t="s">
        <v>12</v>
      </c>
      <c r="J6816" s="2" t="s">
        <v>12</v>
      </c>
      <c r="K6816" s="2" t="s">
        <v>12</v>
      </c>
    </row>
    <row r="6817" spans="1:11" ht="12.5" x14ac:dyDescent="0.25">
      <c r="A6817" s="3" t="e">
        <f ca="1"/>
        <v>#NAME?</v>
      </c>
      <c r="B6817" s="2" t="s">
        <v>12</v>
      </c>
      <c r="C6817" s="2" t="s">
        <v>12</v>
      </c>
      <c r="D6817" s="2" t="s">
        <v>12</v>
      </c>
      <c r="E6817" s="2" t="s">
        <v>12</v>
      </c>
      <c r="F6817" s="2" t="s">
        <v>12</v>
      </c>
      <c r="G6817" s="2" t="s">
        <v>12</v>
      </c>
      <c r="H6817" s="2" t="s">
        <v>12</v>
      </c>
      <c r="I6817" s="2" t="s">
        <v>12</v>
      </c>
      <c r="J6817" s="2" t="s">
        <v>12</v>
      </c>
      <c r="K6817" s="2" t="s">
        <v>12</v>
      </c>
    </row>
    <row r="6818" spans="1:11" ht="12.5" x14ac:dyDescent="0.25">
      <c r="A6818" s="3" t="e">
        <f ca="1"/>
        <v>#NAME?</v>
      </c>
      <c r="B6818" s="2" t="s">
        <v>12</v>
      </c>
      <c r="C6818" s="2" t="s">
        <v>12</v>
      </c>
      <c r="D6818" s="2" t="s">
        <v>12</v>
      </c>
      <c r="E6818" s="2" t="s">
        <v>12</v>
      </c>
      <c r="F6818" s="2" t="s">
        <v>12</v>
      </c>
      <c r="G6818" s="2" t="s">
        <v>12</v>
      </c>
      <c r="H6818" s="2" t="s">
        <v>12</v>
      </c>
      <c r="I6818" s="2" t="s">
        <v>12</v>
      </c>
      <c r="J6818" s="2" t="s">
        <v>12</v>
      </c>
      <c r="K6818" s="2" t="s">
        <v>12</v>
      </c>
    </row>
    <row r="6819" spans="1:11" ht="12.5" x14ac:dyDescent="0.25">
      <c r="A6819" s="3" t="e">
        <f ca="1"/>
        <v>#NAME?</v>
      </c>
      <c r="B6819" s="2" t="s">
        <v>12</v>
      </c>
      <c r="C6819" s="2" t="s">
        <v>12</v>
      </c>
      <c r="D6819" s="2" t="s">
        <v>12</v>
      </c>
      <c r="E6819" s="2" t="s">
        <v>12</v>
      </c>
      <c r="F6819" s="2" t="s">
        <v>12</v>
      </c>
      <c r="G6819" s="2" t="s">
        <v>12</v>
      </c>
      <c r="H6819" s="2" t="s">
        <v>12</v>
      </c>
      <c r="I6819" s="2" t="s">
        <v>12</v>
      </c>
      <c r="J6819" s="2" t="s">
        <v>12</v>
      </c>
      <c r="K6819" s="2" t="s">
        <v>12</v>
      </c>
    </row>
    <row r="6820" spans="1:11" ht="12.5" x14ac:dyDescent="0.25">
      <c r="A6820" s="3" t="e">
        <f ca="1"/>
        <v>#NAME?</v>
      </c>
      <c r="B6820" s="2" t="s">
        <v>12</v>
      </c>
      <c r="C6820" s="2" t="s">
        <v>12</v>
      </c>
      <c r="D6820" s="2" t="s">
        <v>12</v>
      </c>
      <c r="E6820" s="2" t="s">
        <v>12</v>
      </c>
      <c r="F6820" s="2" t="s">
        <v>12</v>
      </c>
      <c r="G6820" s="2" t="s">
        <v>12</v>
      </c>
      <c r="H6820" s="2" t="s">
        <v>12</v>
      </c>
      <c r="I6820" s="2" t="s">
        <v>12</v>
      </c>
      <c r="J6820" s="2" t="s">
        <v>12</v>
      </c>
      <c r="K6820" s="2" t="s">
        <v>12</v>
      </c>
    </row>
    <row r="6821" spans="1:11" ht="12.5" x14ac:dyDescent="0.25">
      <c r="A6821" s="3" t="e">
        <f ca="1"/>
        <v>#NAME?</v>
      </c>
      <c r="B6821" s="2" t="s">
        <v>12</v>
      </c>
      <c r="C6821" s="2" t="s">
        <v>12</v>
      </c>
      <c r="D6821" s="2" t="s">
        <v>12</v>
      </c>
      <c r="E6821" s="2" t="s">
        <v>12</v>
      </c>
      <c r="F6821" s="2" t="s">
        <v>12</v>
      </c>
      <c r="G6821" s="2" t="s">
        <v>12</v>
      </c>
      <c r="H6821" s="2" t="s">
        <v>12</v>
      </c>
      <c r="I6821" s="2" t="s">
        <v>12</v>
      </c>
      <c r="J6821" s="2" t="s">
        <v>12</v>
      </c>
      <c r="K6821" s="2" t="s">
        <v>12</v>
      </c>
    </row>
    <row r="6822" spans="1:11" ht="12.5" x14ac:dyDescent="0.25">
      <c r="A6822" s="3" t="e">
        <f ca="1"/>
        <v>#NAME?</v>
      </c>
      <c r="B6822" s="2" t="s">
        <v>12</v>
      </c>
      <c r="C6822" s="2" t="s">
        <v>12</v>
      </c>
      <c r="D6822" s="2" t="s">
        <v>12</v>
      </c>
      <c r="E6822" s="2" t="s">
        <v>12</v>
      </c>
      <c r="F6822" s="2" t="s">
        <v>12</v>
      </c>
      <c r="G6822" s="2" t="s">
        <v>12</v>
      </c>
      <c r="H6822" s="2" t="s">
        <v>12</v>
      </c>
      <c r="I6822" s="2" t="s">
        <v>12</v>
      </c>
      <c r="J6822" s="2" t="s">
        <v>12</v>
      </c>
      <c r="K6822" s="2" t="s">
        <v>12</v>
      </c>
    </row>
    <row r="6823" spans="1:11" ht="12.5" x14ac:dyDescent="0.25">
      <c r="A6823" s="3" t="e">
        <f ca="1"/>
        <v>#NAME?</v>
      </c>
      <c r="B6823" s="2" t="s">
        <v>12</v>
      </c>
      <c r="C6823" s="2" t="s">
        <v>12</v>
      </c>
      <c r="D6823" s="2" t="s">
        <v>12</v>
      </c>
      <c r="E6823" s="2" t="s">
        <v>12</v>
      </c>
      <c r="F6823" s="2" t="s">
        <v>12</v>
      </c>
      <c r="G6823" s="2" t="s">
        <v>12</v>
      </c>
      <c r="H6823" s="2" t="s">
        <v>12</v>
      </c>
      <c r="I6823" s="2" t="s">
        <v>12</v>
      </c>
      <c r="J6823" s="2" t="s">
        <v>12</v>
      </c>
      <c r="K6823" s="2" t="s">
        <v>12</v>
      </c>
    </row>
    <row r="6824" spans="1:11" ht="12.5" x14ac:dyDescent="0.25">
      <c r="A6824" s="3" t="e">
        <f ca="1"/>
        <v>#NAME?</v>
      </c>
      <c r="B6824" s="2" t="s">
        <v>12</v>
      </c>
      <c r="C6824" s="2" t="s">
        <v>12</v>
      </c>
      <c r="D6824" s="2" t="s">
        <v>12</v>
      </c>
      <c r="E6824" s="2" t="s">
        <v>12</v>
      </c>
      <c r="F6824" s="2" t="s">
        <v>12</v>
      </c>
      <c r="G6824" s="2" t="s">
        <v>12</v>
      </c>
      <c r="H6824" s="2" t="s">
        <v>12</v>
      </c>
      <c r="I6824" s="2" t="s">
        <v>12</v>
      </c>
      <c r="J6824" s="2" t="s">
        <v>12</v>
      </c>
      <c r="K6824" s="2" t="s">
        <v>12</v>
      </c>
    </row>
    <row r="6825" spans="1:11" ht="12.5" x14ac:dyDescent="0.25">
      <c r="A6825" s="3" t="e">
        <f ca="1"/>
        <v>#NAME?</v>
      </c>
      <c r="B6825" s="2" t="s">
        <v>12</v>
      </c>
      <c r="C6825" s="2" t="s">
        <v>12</v>
      </c>
      <c r="D6825" s="2" t="s">
        <v>12</v>
      </c>
      <c r="E6825" s="2" t="s">
        <v>12</v>
      </c>
      <c r="F6825" s="2" t="s">
        <v>12</v>
      </c>
      <c r="G6825" s="2" t="s">
        <v>12</v>
      </c>
      <c r="H6825" s="2" t="s">
        <v>12</v>
      </c>
      <c r="I6825" s="2" t="s">
        <v>12</v>
      </c>
      <c r="J6825" s="2" t="s">
        <v>12</v>
      </c>
      <c r="K6825" s="2" t="s">
        <v>12</v>
      </c>
    </row>
    <row r="6826" spans="1:11" ht="12.5" x14ac:dyDescent="0.25">
      <c r="A6826" s="3" t="e">
        <f ca="1"/>
        <v>#NAME?</v>
      </c>
      <c r="B6826" s="2" t="s">
        <v>12</v>
      </c>
      <c r="C6826" s="2" t="s">
        <v>12</v>
      </c>
      <c r="D6826" s="2" t="s">
        <v>12</v>
      </c>
      <c r="E6826" s="2" t="s">
        <v>12</v>
      </c>
      <c r="F6826" s="2" t="s">
        <v>12</v>
      </c>
      <c r="G6826" s="2" t="s">
        <v>12</v>
      </c>
      <c r="H6826" s="2" t="s">
        <v>12</v>
      </c>
      <c r="I6826" s="2" t="s">
        <v>12</v>
      </c>
      <c r="J6826" s="2" t="s">
        <v>12</v>
      </c>
      <c r="K6826" s="2" t="s">
        <v>12</v>
      </c>
    </row>
    <row r="6827" spans="1:11" ht="12.5" x14ac:dyDescent="0.25">
      <c r="A6827" s="3" t="e">
        <f ca="1"/>
        <v>#NAME?</v>
      </c>
      <c r="B6827" s="2" t="s">
        <v>12</v>
      </c>
      <c r="C6827" s="2" t="s">
        <v>12</v>
      </c>
      <c r="D6827" s="2" t="s">
        <v>12</v>
      </c>
      <c r="E6827" s="2" t="s">
        <v>12</v>
      </c>
      <c r="F6827" s="2" t="s">
        <v>12</v>
      </c>
      <c r="G6827" s="2" t="s">
        <v>12</v>
      </c>
      <c r="H6827" s="2" t="s">
        <v>12</v>
      </c>
      <c r="I6827" s="2" t="s">
        <v>12</v>
      </c>
      <c r="J6827" s="2" t="s">
        <v>12</v>
      </c>
      <c r="K6827" s="2" t="s">
        <v>12</v>
      </c>
    </row>
    <row r="6828" spans="1:11" ht="12.5" x14ac:dyDescent="0.25">
      <c r="A6828" s="3" t="e">
        <f ca="1"/>
        <v>#NAME?</v>
      </c>
      <c r="B6828" s="2" t="s">
        <v>12</v>
      </c>
      <c r="C6828" s="2" t="s">
        <v>12</v>
      </c>
      <c r="D6828" s="2" t="s">
        <v>12</v>
      </c>
      <c r="E6828" s="2" t="s">
        <v>12</v>
      </c>
      <c r="F6828" s="2" t="s">
        <v>12</v>
      </c>
      <c r="G6828" s="2" t="s">
        <v>12</v>
      </c>
      <c r="H6828" s="2" t="s">
        <v>12</v>
      </c>
      <c r="I6828" s="2" t="s">
        <v>12</v>
      </c>
      <c r="J6828" s="2" t="s">
        <v>12</v>
      </c>
      <c r="K6828" s="2" t="s">
        <v>12</v>
      </c>
    </row>
    <row r="6829" spans="1:11" ht="12.5" x14ac:dyDescent="0.25">
      <c r="A6829" s="3" t="e">
        <f ca="1"/>
        <v>#NAME?</v>
      </c>
      <c r="B6829" s="2" t="s">
        <v>12</v>
      </c>
      <c r="C6829" s="2" t="s">
        <v>12</v>
      </c>
      <c r="D6829" s="2" t="s">
        <v>12</v>
      </c>
      <c r="E6829" s="2" t="s">
        <v>12</v>
      </c>
      <c r="F6829" s="2" t="s">
        <v>12</v>
      </c>
      <c r="G6829" s="2" t="s">
        <v>12</v>
      </c>
      <c r="H6829" s="2" t="s">
        <v>12</v>
      </c>
      <c r="I6829" s="2" t="s">
        <v>12</v>
      </c>
      <c r="J6829" s="2" t="s">
        <v>12</v>
      </c>
      <c r="K6829" s="2" t="s">
        <v>12</v>
      </c>
    </row>
    <row r="6830" spans="1:11" ht="12.5" x14ac:dyDescent="0.25">
      <c r="A6830" s="3" t="e">
        <f ca="1"/>
        <v>#NAME?</v>
      </c>
      <c r="B6830" s="2" t="s">
        <v>12</v>
      </c>
      <c r="C6830" s="2" t="s">
        <v>12</v>
      </c>
      <c r="D6830" s="2" t="s">
        <v>12</v>
      </c>
      <c r="E6830" s="2" t="s">
        <v>12</v>
      </c>
      <c r="F6830" s="2" t="s">
        <v>12</v>
      </c>
      <c r="G6830" s="2" t="s">
        <v>12</v>
      </c>
      <c r="H6830" s="2" t="s">
        <v>12</v>
      </c>
      <c r="I6830" s="2" t="s">
        <v>12</v>
      </c>
      <c r="J6830" s="2" t="s">
        <v>12</v>
      </c>
      <c r="K6830" s="2" t="s">
        <v>12</v>
      </c>
    </row>
    <row r="6831" spans="1:11" ht="12.5" x14ac:dyDescent="0.25">
      <c r="A6831" s="3" t="e">
        <f ca="1"/>
        <v>#NAME?</v>
      </c>
      <c r="B6831" s="2" t="s">
        <v>12</v>
      </c>
      <c r="C6831" s="2" t="s">
        <v>12</v>
      </c>
      <c r="D6831" s="2" t="s">
        <v>12</v>
      </c>
      <c r="E6831" s="2" t="s">
        <v>12</v>
      </c>
      <c r="F6831" s="2" t="s">
        <v>12</v>
      </c>
      <c r="G6831" s="2" t="s">
        <v>12</v>
      </c>
      <c r="H6831" s="2" t="s">
        <v>12</v>
      </c>
      <c r="I6831" s="2" t="s">
        <v>12</v>
      </c>
      <c r="J6831" s="2" t="s">
        <v>12</v>
      </c>
      <c r="K6831" s="2" t="s">
        <v>12</v>
      </c>
    </row>
    <row r="6832" spans="1:11" ht="12.5" x14ac:dyDescent="0.25">
      <c r="A6832" s="3" t="e">
        <f ca="1"/>
        <v>#NAME?</v>
      </c>
      <c r="B6832" s="2" t="s">
        <v>12</v>
      </c>
      <c r="C6832" s="2" t="s">
        <v>12</v>
      </c>
      <c r="D6832" s="2" t="s">
        <v>12</v>
      </c>
      <c r="E6832" s="2" t="s">
        <v>12</v>
      </c>
      <c r="F6832" s="2" t="s">
        <v>12</v>
      </c>
      <c r="G6832" s="2" t="s">
        <v>12</v>
      </c>
      <c r="H6832" s="2" t="s">
        <v>12</v>
      </c>
      <c r="I6832" s="2" t="s">
        <v>12</v>
      </c>
      <c r="J6832" s="2" t="s">
        <v>12</v>
      </c>
      <c r="K6832" s="2" t="s">
        <v>12</v>
      </c>
    </row>
    <row r="6833" spans="1:11" ht="12.5" x14ac:dyDescent="0.25">
      <c r="A6833" s="3" t="e">
        <f ca="1"/>
        <v>#NAME?</v>
      </c>
      <c r="B6833" s="2" t="s">
        <v>12</v>
      </c>
      <c r="C6833" s="2" t="s">
        <v>12</v>
      </c>
      <c r="D6833" s="2" t="s">
        <v>12</v>
      </c>
      <c r="E6833" s="2" t="s">
        <v>12</v>
      </c>
      <c r="F6833" s="2" t="s">
        <v>12</v>
      </c>
      <c r="G6833" s="2" t="s">
        <v>12</v>
      </c>
      <c r="H6833" s="2" t="s">
        <v>12</v>
      </c>
      <c r="I6833" s="2" t="s">
        <v>12</v>
      </c>
      <c r="J6833" s="2" t="s">
        <v>12</v>
      </c>
      <c r="K6833" s="2" t="s">
        <v>12</v>
      </c>
    </row>
    <row r="6834" spans="1:11" ht="12.5" x14ac:dyDescent="0.25">
      <c r="A6834" s="3" t="e">
        <f ca="1"/>
        <v>#NAME?</v>
      </c>
      <c r="B6834" s="2" t="s">
        <v>12</v>
      </c>
      <c r="C6834" s="2" t="s">
        <v>12</v>
      </c>
      <c r="D6834" s="2" t="s">
        <v>12</v>
      </c>
      <c r="E6834" s="2" t="s">
        <v>12</v>
      </c>
      <c r="F6834" s="2" t="s">
        <v>12</v>
      </c>
      <c r="G6834" s="2" t="s">
        <v>12</v>
      </c>
      <c r="H6834" s="2" t="s">
        <v>12</v>
      </c>
      <c r="I6834" s="2" t="s">
        <v>12</v>
      </c>
      <c r="J6834" s="2" t="s">
        <v>12</v>
      </c>
      <c r="K6834" s="2" t="s">
        <v>12</v>
      </c>
    </row>
    <row r="6835" spans="1:11" ht="12.5" x14ac:dyDescent="0.25">
      <c r="A6835" s="3" t="e">
        <f ca="1"/>
        <v>#NAME?</v>
      </c>
      <c r="B6835" s="2" t="s">
        <v>12</v>
      </c>
      <c r="C6835" s="2" t="s">
        <v>12</v>
      </c>
      <c r="D6835" s="2" t="s">
        <v>12</v>
      </c>
      <c r="E6835" s="2" t="s">
        <v>12</v>
      </c>
      <c r="F6835" s="2" t="s">
        <v>12</v>
      </c>
      <c r="G6835" s="2" t="s">
        <v>12</v>
      </c>
      <c r="H6835" s="2" t="s">
        <v>12</v>
      </c>
      <c r="I6835" s="2" t="s">
        <v>12</v>
      </c>
      <c r="J6835" s="2" t="s">
        <v>12</v>
      </c>
      <c r="K6835" s="2" t="s">
        <v>12</v>
      </c>
    </row>
    <row r="6836" spans="1:11" ht="12.5" x14ac:dyDescent="0.25">
      <c r="A6836" s="3" t="e">
        <f ca="1"/>
        <v>#NAME?</v>
      </c>
      <c r="B6836" s="2" t="s">
        <v>12</v>
      </c>
      <c r="C6836" s="2" t="s">
        <v>12</v>
      </c>
      <c r="D6836" s="2" t="s">
        <v>12</v>
      </c>
      <c r="E6836" s="2" t="s">
        <v>12</v>
      </c>
      <c r="F6836" s="2" t="s">
        <v>12</v>
      </c>
      <c r="G6836" s="2" t="s">
        <v>12</v>
      </c>
      <c r="H6836" s="2" t="s">
        <v>12</v>
      </c>
      <c r="I6836" s="2" t="s">
        <v>12</v>
      </c>
      <c r="J6836" s="2" t="s">
        <v>12</v>
      </c>
      <c r="K6836" s="2" t="s">
        <v>12</v>
      </c>
    </row>
    <row r="6837" spans="1:11" ht="12.5" x14ac:dyDescent="0.25">
      <c r="A6837" s="3" t="e">
        <f ca="1"/>
        <v>#NAME?</v>
      </c>
      <c r="B6837" s="2" t="s">
        <v>12</v>
      </c>
      <c r="C6837" s="2" t="s">
        <v>12</v>
      </c>
      <c r="D6837" s="2" t="s">
        <v>12</v>
      </c>
      <c r="E6837" s="2" t="s">
        <v>12</v>
      </c>
      <c r="F6837" s="2" t="s">
        <v>12</v>
      </c>
      <c r="G6837" s="2" t="s">
        <v>12</v>
      </c>
      <c r="H6837" s="2" t="s">
        <v>12</v>
      </c>
      <c r="I6837" s="2" t="s">
        <v>12</v>
      </c>
      <c r="J6837" s="2" t="s">
        <v>12</v>
      </c>
      <c r="K6837" s="2" t="s">
        <v>12</v>
      </c>
    </row>
    <row r="6838" spans="1:11" ht="12.5" x14ac:dyDescent="0.25">
      <c r="A6838" s="3" t="e">
        <f ca="1"/>
        <v>#NAME?</v>
      </c>
      <c r="B6838" s="2" t="s">
        <v>12</v>
      </c>
      <c r="C6838" s="2" t="s">
        <v>12</v>
      </c>
      <c r="D6838" s="2" t="s">
        <v>12</v>
      </c>
      <c r="E6838" s="2" t="s">
        <v>12</v>
      </c>
      <c r="F6838" s="2" t="s">
        <v>12</v>
      </c>
      <c r="G6838" s="2" t="s">
        <v>12</v>
      </c>
      <c r="H6838" s="2" t="s">
        <v>12</v>
      </c>
      <c r="I6838" s="2" t="s">
        <v>12</v>
      </c>
      <c r="J6838" s="2" t="s">
        <v>12</v>
      </c>
      <c r="K6838" s="2" t="s">
        <v>12</v>
      </c>
    </row>
    <row r="6839" spans="1:11" ht="12.5" x14ac:dyDescent="0.25">
      <c r="A6839" s="3" t="e">
        <f ca="1"/>
        <v>#NAME?</v>
      </c>
      <c r="B6839" s="2" t="s">
        <v>12</v>
      </c>
      <c r="C6839" s="2" t="s">
        <v>12</v>
      </c>
      <c r="D6839" s="2" t="s">
        <v>12</v>
      </c>
      <c r="E6839" s="2" t="s">
        <v>12</v>
      </c>
      <c r="F6839" s="2" t="s">
        <v>12</v>
      </c>
      <c r="G6839" s="2" t="s">
        <v>12</v>
      </c>
      <c r="H6839" s="2" t="s">
        <v>12</v>
      </c>
      <c r="I6839" s="2" t="s">
        <v>12</v>
      </c>
      <c r="J6839" s="2" t="s">
        <v>12</v>
      </c>
      <c r="K6839" s="2" t="s">
        <v>12</v>
      </c>
    </row>
    <row r="6840" spans="1:11" ht="12.5" x14ac:dyDescent="0.25">
      <c r="A6840" s="3" t="e">
        <f ca="1"/>
        <v>#NAME?</v>
      </c>
      <c r="B6840" s="2" t="s">
        <v>12</v>
      </c>
      <c r="C6840" s="2" t="s">
        <v>12</v>
      </c>
      <c r="D6840" s="2" t="s">
        <v>12</v>
      </c>
      <c r="E6840" s="2" t="s">
        <v>12</v>
      </c>
      <c r="F6840" s="2" t="s">
        <v>12</v>
      </c>
      <c r="G6840" s="2" t="s">
        <v>12</v>
      </c>
      <c r="H6840" s="2" t="s">
        <v>12</v>
      </c>
      <c r="I6840" s="2" t="s">
        <v>12</v>
      </c>
      <c r="J6840" s="2" t="s">
        <v>12</v>
      </c>
      <c r="K6840" s="2" t="s">
        <v>12</v>
      </c>
    </row>
    <row r="6841" spans="1:11" ht="12.5" x14ac:dyDescent="0.25">
      <c r="A6841" s="3" t="e">
        <f ca="1"/>
        <v>#NAME?</v>
      </c>
      <c r="B6841" s="2" t="s">
        <v>12</v>
      </c>
      <c r="C6841" s="2" t="s">
        <v>12</v>
      </c>
      <c r="D6841" s="2" t="s">
        <v>12</v>
      </c>
      <c r="E6841" s="2" t="s">
        <v>12</v>
      </c>
      <c r="F6841" s="2" t="s">
        <v>12</v>
      </c>
      <c r="G6841" s="2" t="s">
        <v>12</v>
      </c>
      <c r="H6841" s="2" t="s">
        <v>12</v>
      </c>
      <c r="I6841" s="2" t="s">
        <v>12</v>
      </c>
      <c r="J6841" s="2" t="s">
        <v>12</v>
      </c>
      <c r="K6841" s="2" t="s">
        <v>12</v>
      </c>
    </row>
    <row r="6842" spans="1:11" ht="12.5" x14ac:dyDescent="0.25">
      <c r="A6842" s="3" t="e">
        <f ca="1"/>
        <v>#NAME?</v>
      </c>
      <c r="B6842" s="2" t="s">
        <v>12</v>
      </c>
      <c r="C6842" s="2" t="s">
        <v>12</v>
      </c>
      <c r="D6842" s="2" t="s">
        <v>12</v>
      </c>
      <c r="E6842" s="2" t="s">
        <v>12</v>
      </c>
      <c r="F6842" s="2" t="s">
        <v>12</v>
      </c>
      <c r="G6842" s="2" t="s">
        <v>12</v>
      </c>
      <c r="H6842" s="2" t="s">
        <v>12</v>
      </c>
      <c r="I6842" s="2" t="s">
        <v>12</v>
      </c>
      <c r="J6842" s="2" t="s">
        <v>12</v>
      </c>
      <c r="K6842" s="2" t="s">
        <v>12</v>
      </c>
    </row>
    <row r="6843" spans="1:11" ht="12.5" x14ac:dyDescent="0.25">
      <c r="A6843" s="3" t="e">
        <f ca="1"/>
        <v>#NAME?</v>
      </c>
      <c r="B6843" s="2" t="s">
        <v>12</v>
      </c>
      <c r="C6843" s="2" t="s">
        <v>12</v>
      </c>
      <c r="D6843" s="2" t="s">
        <v>12</v>
      </c>
      <c r="E6843" s="2" t="s">
        <v>12</v>
      </c>
      <c r="F6843" s="2" t="s">
        <v>12</v>
      </c>
      <c r="G6843" s="2" t="s">
        <v>12</v>
      </c>
      <c r="H6843" s="2" t="s">
        <v>12</v>
      </c>
      <c r="I6843" s="2" t="s">
        <v>12</v>
      </c>
      <c r="J6843" s="2" t="s">
        <v>12</v>
      </c>
      <c r="K6843" s="2" t="s">
        <v>12</v>
      </c>
    </row>
    <row r="6844" spans="1:11" ht="12.5" x14ac:dyDescent="0.25">
      <c r="A6844" s="3" t="e">
        <f ca="1"/>
        <v>#NAME?</v>
      </c>
      <c r="B6844" s="2" t="s">
        <v>12</v>
      </c>
      <c r="C6844" s="2" t="s">
        <v>12</v>
      </c>
      <c r="D6844" s="2" t="s">
        <v>12</v>
      </c>
      <c r="E6844" s="2" t="s">
        <v>12</v>
      </c>
      <c r="F6844" s="2" t="s">
        <v>12</v>
      </c>
      <c r="G6844" s="2" t="s">
        <v>12</v>
      </c>
      <c r="H6844" s="2" t="s">
        <v>12</v>
      </c>
      <c r="I6844" s="2" t="s">
        <v>12</v>
      </c>
      <c r="J6844" s="2" t="s">
        <v>12</v>
      </c>
      <c r="K6844" s="2" t="s">
        <v>12</v>
      </c>
    </row>
    <row r="6845" spans="1:11" ht="12.5" x14ac:dyDescent="0.25">
      <c r="A6845" s="3" t="e">
        <f ca="1"/>
        <v>#NAME?</v>
      </c>
      <c r="B6845" s="2" t="s">
        <v>12</v>
      </c>
      <c r="C6845" s="2" t="s">
        <v>12</v>
      </c>
      <c r="D6845" s="2" t="s">
        <v>12</v>
      </c>
      <c r="E6845" s="2" t="s">
        <v>12</v>
      </c>
      <c r="F6845" s="2" t="s">
        <v>12</v>
      </c>
      <c r="G6845" s="2" t="s">
        <v>12</v>
      </c>
      <c r="H6845" s="2" t="s">
        <v>12</v>
      </c>
      <c r="I6845" s="2" t="s">
        <v>12</v>
      </c>
      <c r="J6845" s="2" t="s">
        <v>12</v>
      </c>
      <c r="K6845" s="2" t="s">
        <v>12</v>
      </c>
    </row>
    <row r="6846" spans="1:11" ht="12.5" x14ac:dyDescent="0.25">
      <c r="A6846" s="3" t="e">
        <f ca="1"/>
        <v>#NAME?</v>
      </c>
      <c r="B6846" s="2" t="s">
        <v>12</v>
      </c>
      <c r="C6846" s="2" t="s">
        <v>12</v>
      </c>
      <c r="D6846" s="2" t="s">
        <v>12</v>
      </c>
      <c r="E6846" s="2" t="s">
        <v>12</v>
      </c>
      <c r="F6846" s="2" t="s">
        <v>12</v>
      </c>
      <c r="G6846" s="2" t="s">
        <v>12</v>
      </c>
      <c r="H6846" s="2" t="s">
        <v>12</v>
      </c>
      <c r="I6846" s="2" t="s">
        <v>12</v>
      </c>
      <c r="J6846" s="2" t="s">
        <v>12</v>
      </c>
      <c r="K6846" s="2" t="s">
        <v>12</v>
      </c>
    </row>
    <row r="6847" spans="1:11" ht="12.5" x14ac:dyDescent="0.25">
      <c r="A6847" s="3" t="e">
        <f ca="1"/>
        <v>#NAME?</v>
      </c>
      <c r="B6847" s="2" t="s">
        <v>12</v>
      </c>
      <c r="C6847" s="2" t="s">
        <v>12</v>
      </c>
      <c r="D6847" s="2" t="s">
        <v>12</v>
      </c>
      <c r="E6847" s="2" t="s">
        <v>12</v>
      </c>
      <c r="F6847" s="2" t="s">
        <v>12</v>
      </c>
      <c r="G6847" s="2" t="s">
        <v>12</v>
      </c>
      <c r="H6847" s="2" t="s">
        <v>12</v>
      </c>
      <c r="I6847" s="2" t="s">
        <v>12</v>
      </c>
      <c r="J6847" s="2" t="s">
        <v>12</v>
      </c>
      <c r="K6847" s="2" t="s">
        <v>12</v>
      </c>
    </row>
    <row r="6848" spans="1:11" ht="12.5" x14ac:dyDescent="0.25">
      <c r="A6848" s="3" t="e">
        <f ca="1"/>
        <v>#NAME?</v>
      </c>
      <c r="B6848" s="2" t="s">
        <v>12</v>
      </c>
      <c r="C6848" s="2" t="s">
        <v>12</v>
      </c>
      <c r="D6848" s="2" t="s">
        <v>12</v>
      </c>
      <c r="E6848" s="2" t="s">
        <v>12</v>
      </c>
      <c r="F6848" s="2" t="s">
        <v>12</v>
      </c>
      <c r="G6848" s="2" t="s">
        <v>12</v>
      </c>
      <c r="H6848" s="2" t="s">
        <v>12</v>
      </c>
      <c r="I6848" s="2" t="s">
        <v>12</v>
      </c>
      <c r="J6848" s="2" t="s">
        <v>12</v>
      </c>
      <c r="K6848" s="2" t="s">
        <v>12</v>
      </c>
    </row>
    <row r="6849" spans="1:11" ht="12.5" x14ac:dyDescent="0.25">
      <c r="A6849" s="3" t="e">
        <f ca="1"/>
        <v>#NAME?</v>
      </c>
      <c r="B6849" s="2" t="s">
        <v>12</v>
      </c>
      <c r="C6849" s="2" t="s">
        <v>12</v>
      </c>
      <c r="D6849" s="2" t="s">
        <v>12</v>
      </c>
      <c r="E6849" s="2" t="s">
        <v>12</v>
      </c>
      <c r="F6849" s="2" t="s">
        <v>12</v>
      </c>
      <c r="G6849" s="2" t="s">
        <v>12</v>
      </c>
      <c r="H6849" s="2" t="s">
        <v>12</v>
      </c>
      <c r="I6849" s="2" t="s">
        <v>12</v>
      </c>
      <c r="J6849" s="2" t="s">
        <v>12</v>
      </c>
      <c r="K6849" s="2" t="s">
        <v>12</v>
      </c>
    </row>
    <row r="6850" spans="1:11" ht="12.5" x14ac:dyDescent="0.25">
      <c r="A6850" s="3" t="e">
        <f ca="1"/>
        <v>#NAME?</v>
      </c>
      <c r="B6850" s="2" t="s">
        <v>12</v>
      </c>
      <c r="C6850" s="2" t="s">
        <v>12</v>
      </c>
      <c r="D6850" s="2" t="s">
        <v>12</v>
      </c>
      <c r="E6850" s="2" t="s">
        <v>12</v>
      </c>
      <c r="F6850" s="2" t="s">
        <v>12</v>
      </c>
      <c r="G6850" s="2" t="s">
        <v>12</v>
      </c>
      <c r="H6850" s="2" t="s">
        <v>12</v>
      </c>
      <c r="I6850" s="2" t="s">
        <v>12</v>
      </c>
      <c r="J6850" s="2" t="s">
        <v>12</v>
      </c>
      <c r="K6850" s="2" t="s">
        <v>12</v>
      </c>
    </row>
    <row r="6851" spans="1:11" ht="12.5" x14ac:dyDescent="0.25">
      <c r="A6851" s="3" t="e">
        <f ca="1"/>
        <v>#NAME?</v>
      </c>
      <c r="B6851" s="2" t="s">
        <v>12</v>
      </c>
      <c r="C6851" s="2" t="s">
        <v>12</v>
      </c>
      <c r="D6851" s="2" t="s">
        <v>12</v>
      </c>
      <c r="E6851" s="2" t="s">
        <v>12</v>
      </c>
      <c r="F6851" s="2" t="s">
        <v>12</v>
      </c>
      <c r="G6851" s="2" t="s">
        <v>12</v>
      </c>
      <c r="H6851" s="2" t="s">
        <v>12</v>
      </c>
      <c r="I6851" s="2" t="s">
        <v>12</v>
      </c>
      <c r="J6851" s="2" t="s">
        <v>12</v>
      </c>
      <c r="K6851" s="2" t="s">
        <v>12</v>
      </c>
    </row>
    <row r="6852" spans="1:11" ht="12.5" x14ac:dyDescent="0.25">
      <c r="A6852" s="3" t="e">
        <f ca="1"/>
        <v>#NAME?</v>
      </c>
      <c r="B6852" s="2" t="s">
        <v>12</v>
      </c>
      <c r="C6852" s="2" t="s">
        <v>12</v>
      </c>
      <c r="D6852" s="2" t="s">
        <v>12</v>
      </c>
      <c r="E6852" s="2" t="s">
        <v>12</v>
      </c>
      <c r="F6852" s="2" t="s">
        <v>12</v>
      </c>
      <c r="G6852" s="2" t="s">
        <v>12</v>
      </c>
      <c r="H6852" s="2" t="s">
        <v>12</v>
      </c>
      <c r="I6852" s="2" t="s">
        <v>12</v>
      </c>
      <c r="J6852" s="2" t="s">
        <v>12</v>
      </c>
      <c r="K6852" s="2" t="s">
        <v>12</v>
      </c>
    </row>
    <row r="6853" spans="1:11" ht="12.5" x14ac:dyDescent="0.25">
      <c r="A6853" s="3" t="e">
        <f ca="1"/>
        <v>#NAME?</v>
      </c>
      <c r="B6853" s="2" t="s">
        <v>12</v>
      </c>
      <c r="C6853" s="2" t="s">
        <v>12</v>
      </c>
      <c r="D6853" s="2" t="s">
        <v>12</v>
      </c>
      <c r="E6853" s="2" t="s">
        <v>12</v>
      </c>
      <c r="F6853" s="2" t="s">
        <v>12</v>
      </c>
      <c r="G6853" s="2" t="s">
        <v>12</v>
      </c>
      <c r="H6853" s="2" t="s">
        <v>12</v>
      </c>
      <c r="I6853" s="2" t="s">
        <v>12</v>
      </c>
      <c r="J6853" s="2" t="s">
        <v>12</v>
      </c>
      <c r="K6853" s="2" t="s">
        <v>12</v>
      </c>
    </row>
    <row r="6854" spans="1:11" ht="12.5" x14ac:dyDescent="0.25">
      <c r="A6854" s="3" t="e">
        <f ca="1"/>
        <v>#NAME?</v>
      </c>
      <c r="B6854" s="2" t="s">
        <v>12</v>
      </c>
      <c r="C6854" s="2" t="s">
        <v>12</v>
      </c>
      <c r="D6854" s="2" t="s">
        <v>12</v>
      </c>
      <c r="E6854" s="2" t="s">
        <v>12</v>
      </c>
      <c r="F6854" s="2" t="s">
        <v>12</v>
      </c>
      <c r="G6854" s="2" t="s">
        <v>12</v>
      </c>
      <c r="H6854" s="2" t="s">
        <v>12</v>
      </c>
      <c r="I6854" s="2" t="s">
        <v>12</v>
      </c>
      <c r="J6854" s="2" t="s">
        <v>12</v>
      </c>
      <c r="K6854" s="2" t="s">
        <v>12</v>
      </c>
    </row>
    <row r="6855" spans="1:11" ht="12.5" x14ac:dyDescent="0.25">
      <c r="A6855" s="3" t="e">
        <f ca="1"/>
        <v>#NAME?</v>
      </c>
      <c r="B6855" s="2" t="s">
        <v>12</v>
      </c>
      <c r="C6855" s="2" t="s">
        <v>12</v>
      </c>
      <c r="D6855" s="2" t="s">
        <v>12</v>
      </c>
      <c r="E6855" s="2" t="s">
        <v>12</v>
      </c>
      <c r="F6855" s="2" t="s">
        <v>12</v>
      </c>
      <c r="G6855" s="2" t="s">
        <v>12</v>
      </c>
      <c r="H6855" s="2" t="s">
        <v>12</v>
      </c>
      <c r="I6855" s="2" t="s">
        <v>12</v>
      </c>
      <c r="J6855" s="2" t="s">
        <v>12</v>
      </c>
      <c r="K6855" s="2" t="s">
        <v>12</v>
      </c>
    </row>
    <row r="6856" spans="1:11" ht="12.5" x14ac:dyDescent="0.25">
      <c r="A6856" s="3" t="e">
        <f ca="1"/>
        <v>#NAME?</v>
      </c>
      <c r="B6856" s="2" t="s">
        <v>12</v>
      </c>
      <c r="C6856" s="2" t="s">
        <v>12</v>
      </c>
      <c r="D6856" s="2" t="s">
        <v>12</v>
      </c>
      <c r="E6856" s="2" t="s">
        <v>12</v>
      </c>
      <c r="F6856" s="2" t="s">
        <v>12</v>
      </c>
      <c r="G6856" s="2" t="s">
        <v>12</v>
      </c>
      <c r="H6856" s="2" t="s">
        <v>12</v>
      </c>
      <c r="I6856" s="2" t="s">
        <v>12</v>
      </c>
      <c r="J6856" s="2" t="s">
        <v>12</v>
      </c>
      <c r="K6856" s="2" t="s">
        <v>12</v>
      </c>
    </row>
    <row r="6857" spans="1:11" ht="12.5" x14ac:dyDescent="0.25">
      <c r="A6857" s="3" t="e">
        <f ca="1"/>
        <v>#NAME?</v>
      </c>
      <c r="B6857" s="2" t="s">
        <v>12</v>
      </c>
      <c r="C6857" s="2" t="s">
        <v>12</v>
      </c>
      <c r="D6857" s="2" t="s">
        <v>12</v>
      </c>
      <c r="E6857" s="2" t="s">
        <v>12</v>
      </c>
      <c r="F6857" s="2" t="s">
        <v>12</v>
      </c>
      <c r="G6857" s="2" t="s">
        <v>12</v>
      </c>
      <c r="H6857" s="2" t="s">
        <v>12</v>
      </c>
      <c r="I6857" s="2" t="s">
        <v>12</v>
      </c>
      <c r="J6857" s="2" t="s">
        <v>12</v>
      </c>
      <c r="K6857" s="2" t="s">
        <v>12</v>
      </c>
    </row>
    <row r="6858" spans="1:11" ht="12.5" x14ac:dyDescent="0.25">
      <c r="A6858" s="3" t="e">
        <f ca="1"/>
        <v>#NAME?</v>
      </c>
      <c r="B6858" s="2" t="s">
        <v>12</v>
      </c>
      <c r="C6858" s="2" t="s">
        <v>12</v>
      </c>
      <c r="D6858" s="2" t="s">
        <v>12</v>
      </c>
      <c r="E6858" s="2" t="s">
        <v>12</v>
      </c>
      <c r="F6858" s="2" t="s">
        <v>12</v>
      </c>
      <c r="G6858" s="2" t="s">
        <v>12</v>
      </c>
      <c r="H6858" s="2" t="s">
        <v>12</v>
      </c>
      <c r="I6858" s="2" t="s">
        <v>12</v>
      </c>
      <c r="J6858" s="2" t="s">
        <v>12</v>
      </c>
      <c r="K6858" s="2" t="s">
        <v>12</v>
      </c>
    </row>
    <row r="6859" spans="1:11" ht="12.5" x14ac:dyDescent="0.25">
      <c r="A6859" s="3" t="e">
        <f ca="1"/>
        <v>#NAME?</v>
      </c>
      <c r="B6859" s="2" t="s">
        <v>12</v>
      </c>
      <c r="C6859" s="2" t="s">
        <v>12</v>
      </c>
      <c r="D6859" s="2" t="s">
        <v>12</v>
      </c>
      <c r="E6859" s="2" t="s">
        <v>12</v>
      </c>
      <c r="F6859" s="2" t="s">
        <v>12</v>
      </c>
      <c r="G6859" s="2" t="s">
        <v>12</v>
      </c>
      <c r="H6859" s="2" t="s">
        <v>12</v>
      </c>
      <c r="I6859" s="2" t="s">
        <v>12</v>
      </c>
      <c r="J6859" s="2" t="s">
        <v>12</v>
      </c>
      <c r="K6859" s="2" t="s">
        <v>12</v>
      </c>
    </row>
    <row r="6860" spans="1:11" ht="12.5" x14ac:dyDescent="0.25">
      <c r="A6860" s="3" t="e">
        <f ca="1"/>
        <v>#NAME?</v>
      </c>
      <c r="B6860" s="2" t="s">
        <v>12</v>
      </c>
      <c r="C6860" s="2" t="s">
        <v>12</v>
      </c>
      <c r="D6860" s="2" t="s">
        <v>12</v>
      </c>
      <c r="E6860" s="2" t="s">
        <v>12</v>
      </c>
      <c r="F6860" s="2" t="s">
        <v>12</v>
      </c>
      <c r="G6860" s="2" t="s">
        <v>12</v>
      </c>
      <c r="H6860" s="2" t="s">
        <v>12</v>
      </c>
      <c r="I6860" s="2" t="s">
        <v>12</v>
      </c>
      <c r="J6860" s="2" t="s">
        <v>12</v>
      </c>
      <c r="K6860" s="2" t="s">
        <v>12</v>
      </c>
    </row>
    <row r="6861" spans="1:11" ht="12.5" x14ac:dyDescent="0.25">
      <c r="A6861" s="3" t="e">
        <f ca="1"/>
        <v>#NAME?</v>
      </c>
      <c r="B6861" s="2" t="s">
        <v>12</v>
      </c>
      <c r="C6861" s="2" t="s">
        <v>12</v>
      </c>
      <c r="D6861" s="2" t="s">
        <v>12</v>
      </c>
      <c r="E6861" s="2" t="s">
        <v>12</v>
      </c>
      <c r="F6861" s="2" t="s">
        <v>12</v>
      </c>
      <c r="G6861" s="2" t="s">
        <v>12</v>
      </c>
      <c r="H6861" s="2" t="s">
        <v>12</v>
      </c>
      <c r="I6861" s="2" t="s">
        <v>12</v>
      </c>
      <c r="J6861" s="2" t="s">
        <v>12</v>
      </c>
      <c r="K6861" s="2" t="s">
        <v>12</v>
      </c>
    </row>
    <row r="6862" spans="1:11" ht="12.5" x14ac:dyDescent="0.25">
      <c r="A6862" s="3" t="e">
        <f ca="1"/>
        <v>#NAME?</v>
      </c>
      <c r="B6862" s="2" t="s">
        <v>12</v>
      </c>
      <c r="C6862" s="2" t="s">
        <v>12</v>
      </c>
      <c r="D6862" s="2" t="s">
        <v>12</v>
      </c>
      <c r="E6862" s="2" t="s">
        <v>12</v>
      </c>
      <c r="F6862" s="2" t="s">
        <v>12</v>
      </c>
      <c r="G6862" s="2" t="s">
        <v>12</v>
      </c>
      <c r="H6862" s="2" t="s">
        <v>12</v>
      </c>
      <c r="I6862" s="2" t="s">
        <v>12</v>
      </c>
      <c r="J6862" s="2" t="s">
        <v>12</v>
      </c>
      <c r="K6862" s="2" t="s">
        <v>12</v>
      </c>
    </row>
    <row r="6863" spans="1:11" ht="12.5" x14ac:dyDescent="0.25">
      <c r="A6863" s="3" t="e">
        <f ca="1"/>
        <v>#NAME?</v>
      </c>
      <c r="B6863" s="2" t="s">
        <v>12</v>
      </c>
      <c r="C6863" s="2" t="s">
        <v>12</v>
      </c>
      <c r="D6863" s="2" t="s">
        <v>12</v>
      </c>
      <c r="E6863" s="2" t="s">
        <v>12</v>
      </c>
      <c r="F6863" s="2" t="s">
        <v>12</v>
      </c>
      <c r="G6863" s="2" t="s">
        <v>12</v>
      </c>
      <c r="H6863" s="2" t="s">
        <v>12</v>
      </c>
      <c r="I6863" s="2" t="s">
        <v>12</v>
      </c>
      <c r="J6863" s="2" t="s">
        <v>12</v>
      </c>
      <c r="K6863" s="2" t="s">
        <v>12</v>
      </c>
    </row>
    <row r="6864" spans="1:11" ht="12.5" x14ac:dyDescent="0.25">
      <c r="A6864" s="3" t="e">
        <f ca="1"/>
        <v>#NAME?</v>
      </c>
      <c r="B6864" s="2" t="s">
        <v>12</v>
      </c>
      <c r="C6864" s="2" t="s">
        <v>12</v>
      </c>
      <c r="D6864" s="2" t="s">
        <v>12</v>
      </c>
      <c r="E6864" s="2" t="s">
        <v>12</v>
      </c>
      <c r="F6864" s="2" t="s">
        <v>12</v>
      </c>
      <c r="G6864" s="2" t="s">
        <v>12</v>
      </c>
      <c r="H6864" s="2" t="s">
        <v>12</v>
      </c>
      <c r="I6864" s="2" t="s">
        <v>12</v>
      </c>
      <c r="J6864" s="2" t="s">
        <v>12</v>
      </c>
      <c r="K6864" s="2" t="s">
        <v>12</v>
      </c>
    </row>
    <row r="6865" spans="1:11" ht="12.5" x14ac:dyDescent="0.25">
      <c r="A6865" s="3" t="e">
        <f ca="1"/>
        <v>#NAME?</v>
      </c>
      <c r="B6865" s="2" t="s">
        <v>12</v>
      </c>
      <c r="C6865" s="2" t="s">
        <v>12</v>
      </c>
      <c r="D6865" s="2" t="s">
        <v>12</v>
      </c>
      <c r="E6865" s="2" t="s">
        <v>12</v>
      </c>
      <c r="F6865" s="2" t="s">
        <v>12</v>
      </c>
      <c r="G6865" s="2" t="s">
        <v>12</v>
      </c>
      <c r="H6865" s="2" t="s">
        <v>12</v>
      </c>
      <c r="I6865" s="2" t="s">
        <v>12</v>
      </c>
      <c r="J6865" s="2" t="s">
        <v>12</v>
      </c>
      <c r="K6865" s="2" t="s">
        <v>12</v>
      </c>
    </row>
    <row r="6866" spans="1:11" ht="12.5" x14ac:dyDescent="0.25">
      <c r="A6866" s="3" t="e">
        <f ca="1"/>
        <v>#NAME?</v>
      </c>
      <c r="B6866" s="2" t="s">
        <v>12</v>
      </c>
      <c r="C6866" s="2" t="s">
        <v>12</v>
      </c>
      <c r="D6866" s="2" t="s">
        <v>12</v>
      </c>
      <c r="E6866" s="2" t="s">
        <v>12</v>
      </c>
      <c r="F6866" s="2" t="s">
        <v>12</v>
      </c>
      <c r="G6866" s="2" t="s">
        <v>12</v>
      </c>
      <c r="H6866" s="2" t="s">
        <v>12</v>
      </c>
      <c r="I6866" s="2" t="s">
        <v>12</v>
      </c>
      <c r="J6866" s="2" t="s">
        <v>12</v>
      </c>
      <c r="K6866" s="2" t="s">
        <v>12</v>
      </c>
    </row>
    <row r="6867" spans="1:11" ht="12.5" x14ac:dyDescent="0.25">
      <c r="A6867" s="3" t="e">
        <f ca="1"/>
        <v>#NAME?</v>
      </c>
      <c r="B6867" s="2" t="s">
        <v>12</v>
      </c>
      <c r="C6867" s="2" t="s">
        <v>12</v>
      </c>
      <c r="D6867" s="2" t="s">
        <v>12</v>
      </c>
      <c r="E6867" s="2" t="s">
        <v>12</v>
      </c>
      <c r="F6867" s="2" t="s">
        <v>12</v>
      </c>
      <c r="G6867" s="2" t="s">
        <v>12</v>
      </c>
      <c r="H6867" s="2" t="s">
        <v>12</v>
      </c>
      <c r="I6867" s="2" t="s">
        <v>12</v>
      </c>
      <c r="J6867" s="2" t="s">
        <v>12</v>
      </c>
      <c r="K6867" s="2" t="s">
        <v>12</v>
      </c>
    </row>
    <row r="6868" spans="1:11" ht="12.5" x14ac:dyDescent="0.25">
      <c r="A6868" s="3" t="e">
        <f ca="1"/>
        <v>#NAME?</v>
      </c>
      <c r="B6868" s="2" t="s">
        <v>12</v>
      </c>
      <c r="C6868" s="2" t="s">
        <v>12</v>
      </c>
      <c r="D6868" s="2" t="s">
        <v>12</v>
      </c>
      <c r="E6868" s="2" t="s">
        <v>12</v>
      </c>
      <c r="F6868" s="2" t="s">
        <v>12</v>
      </c>
      <c r="G6868" s="2" t="s">
        <v>12</v>
      </c>
      <c r="H6868" s="2" t="s">
        <v>12</v>
      </c>
      <c r="I6868" s="2" t="s">
        <v>12</v>
      </c>
      <c r="J6868" s="2" t="s">
        <v>12</v>
      </c>
      <c r="K6868" s="2" t="s">
        <v>12</v>
      </c>
    </row>
    <row r="6869" spans="1:11" ht="12.5" x14ac:dyDescent="0.25">
      <c r="A6869" s="3" t="e">
        <f ca="1"/>
        <v>#NAME?</v>
      </c>
      <c r="B6869" s="2" t="s">
        <v>12</v>
      </c>
      <c r="C6869" s="2" t="s">
        <v>12</v>
      </c>
      <c r="D6869" s="2" t="s">
        <v>12</v>
      </c>
      <c r="E6869" s="2" t="s">
        <v>12</v>
      </c>
      <c r="F6869" s="2" t="s">
        <v>12</v>
      </c>
      <c r="G6869" s="2" t="s">
        <v>12</v>
      </c>
      <c r="H6869" s="2" t="s">
        <v>12</v>
      </c>
      <c r="I6869" s="2" t="s">
        <v>12</v>
      </c>
      <c r="J6869" s="2" t="s">
        <v>12</v>
      </c>
      <c r="K6869" s="2" t="s">
        <v>12</v>
      </c>
    </row>
    <row r="6870" spans="1:11" ht="12.5" x14ac:dyDescent="0.25">
      <c r="A6870" s="3" t="e">
        <f ca="1"/>
        <v>#NAME?</v>
      </c>
      <c r="B6870" s="2" t="s">
        <v>12</v>
      </c>
      <c r="C6870" s="2" t="s">
        <v>12</v>
      </c>
      <c r="D6870" s="2" t="s">
        <v>12</v>
      </c>
      <c r="E6870" s="2" t="s">
        <v>12</v>
      </c>
      <c r="F6870" s="2" t="s">
        <v>12</v>
      </c>
      <c r="G6870" s="2" t="s">
        <v>12</v>
      </c>
      <c r="H6870" s="2" t="s">
        <v>12</v>
      </c>
      <c r="I6870" s="2" t="s">
        <v>12</v>
      </c>
      <c r="J6870" s="2" t="s">
        <v>12</v>
      </c>
      <c r="K6870" s="2" t="s">
        <v>12</v>
      </c>
    </row>
    <row r="6871" spans="1:11" ht="12.5" x14ac:dyDescent="0.25">
      <c r="A6871" s="3" t="e">
        <f ca="1"/>
        <v>#NAME?</v>
      </c>
      <c r="B6871" s="2" t="s">
        <v>12</v>
      </c>
      <c r="C6871" s="2" t="s">
        <v>12</v>
      </c>
      <c r="D6871" s="2" t="s">
        <v>12</v>
      </c>
      <c r="E6871" s="2" t="s">
        <v>12</v>
      </c>
      <c r="F6871" s="2" t="s">
        <v>12</v>
      </c>
      <c r="G6871" s="2" t="s">
        <v>12</v>
      </c>
      <c r="H6871" s="2" t="s">
        <v>12</v>
      </c>
      <c r="I6871" s="2" t="s">
        <v>12</v>
      </c>
      <c r="J6871" s="2" t="s">
        <v>12</v>
      </c>
      <c r="K6871" s="2" t="s">
        <v>12</v>
      </c>
    </row>
    <row r="6872" spans="1:11" ht="12.5" x14ac:dyDescent="0.25">
      <c r="A6872" s="3" t="e">
        <f ca="1"/>
        <v>#NAME?</v>
      </c>
      <c r="B6872" s="2" t="s">
        <v>12</v>
      </c>
      <c r="C6872" s="2" t="s">
        <v>12</v>
      </c>
      <c r="D6872" s="2" t="s">
        <v>12</v>
      </c>
      <c r="E6872" s="2" t="s">
        <v>12</v>
      </c>
      <c r="F6872" s="2" t="s">
        <v>12</v>
      </c>
      <c r="G6872" s="2" t="s">
        <v>12</v>
      </c>
      <c r="H6872" s="2" t="s">
        <v>12</v>
      </c>
      <c r="I6872" s="2" t="s">
        <v>12</v>
      </c>
      <c r="J6872" s="2" t="s">
        <v>12</v>
      </c>
      <c r="K6872" s="2" t="s">
        <v>12</v>
      </c>
    </row>
    <row r="6873" spans="1:11" ht="12.5" x14ac:dyDescent="0.25">
      <c r="A6873" s="3" t="e">
        <f ca="1"/>
        <v>#NAME?</v>
      </c>
      <c r="B6873" s="2" t="s">
        <v>12</v>
      </c>
      <c r="C6873" s="2" t="s">
        <v>12</v>
      </c>
      <c r="D6873" s="2" t="s">
        <v>12</v>
      </c>
      <c r="E6873" s="2" t="s">
        <v>12</v>
      </c>
      <c r="F6873" s="2" t="s">
        <v>12</v>
      </c>
      <c r="G6873" s="2" t="s">
        <v>12</v>
      </c>
      <c r="H6873" s="2" t="s">
        <v>12</v>
      </c>
      <c r="I6873" s="2" t="s">
        <v>12</v>
      </c>
      <c r="J6873" s="2" t="s">
        <v>12</v>
      </c>
      <c r="K6873" s="2" t="s">
        <v>12</v>
      </c>
    </row>
    <row r="6874" spans="1:11" ht="12.5" x14ac:dyDescent="0.25">
      <c r="A6874" s="3" t="e">
        <f ca="1"/>
        <v>#NAME?</v>
      </c>
      <c r="B6874" s="2" t="s">
        <v>12</v>
      </c>
      <c r="C6874" s="2" t="s">
        <v>12</v>
      </c>
      <c r="D6874" s="2" t="s">
        <v>12</v>
      </c>
      <c r="E6874" s="2" t="s">
        <v>12</v>
      </c>
      <c r="F6874" s="2" t="s">
        <v>12</v>
      </c>
      <c r="G6874" s="2" t="s">
        <v>12</v>
      </c>
      <c r="H6874" s="2" t="s">
        <v>12</v>
      </c>
      <c r="I6874" s="2" t="s">
        <v>12</v>
      </c>
      <c r="J6874" s="2" t="s">
        <v>12</v>
      </c>
      <c r="K6874" s="2" t="s">
        <v>12</v>
      </c>
    </row>
    <row r="6875" spans="1:11" ht="12.5" x14ac:dyDescent="0.25">
      <c r="A6875" s="3" t="e">
        <f ca="1"/>
        <v>#NAME?</v>
      </c>
      <c r="B6875" s="2" t="s">
        <v>12</v>
      </c>
      <c r="C6875" s="2" t="s">
        <v>12</v>
      </c>
      <c r="D6875" s="2" t="s">
        <v>12</v>
      </c>
      <c r="E6875" s="2" t="s">
        <v>12</v>
      </c>
      <c r="F6875" s="2" t="s">
        <v>12</v>
      </c>
      <c r="G6875" s="2" t="s">
        <v>12</v>
      </c>
      <c r="H6875" s="2" t="s">
        <v>12</v>
      </c>
      <c r="I6875" s="2" t="s">
        <v>12</v>
      </c>
      <c r="J6875" s="2" t="s">
        <v>12</v>
      </c>
      <c r="K6875" s="2" t="s">
        <v>12</v>
      </c>
    </row>
    <row r="6876" spans="1:11" ht="12.5" x14ac:dyDescent="0.25">
      <c r="A6876" s="3" t="e">
        <f ca="1"/>
        <v>#NAME?</v>
      </c>
      <c r="B6876" s="2" t="s">
        <v>12</v>
      </c>
      <c r="C6876" s="2" t="s">
        <v>12</v>
      </c>
      <c r="D6876" s="2" t="s">
        <v>12</v>
      </c>
      <c r="E6876" s="2" t="s">
        <v>12</v>
      </c>
      <c r="F6876" s="2" t="s">
        <v>12</v>
      </c>
      <c r="G6876" s="2" t="s">
        <v>12</v>
      </c>
      <c r="H6876" s="2" t="s">
        <v>12</v>
      </c>
      <c r="I6876" s="2" t="s">
        <v>12</v>
      </c>
      <c r="J6876" s="2" t="s">
        <v>12</v>
      </c>
      <c r="K6876" s="2" t="s">
        <v>12</v>
      </c>
    </row>
    <row r="6877" spans="1:11" ht="12.5" x14ac:dyDescent="0.25">
      <c r="A6877" s="3" t="e">
        <f ca="1"/>
        <v>#NAME?</v>
      </c>
      <c r="B6877" s="2" t="s">
        <v>12</v>
      </c>
      <c r="C6877" s="2" t="s">
        <v>12</v>
      </c>
      <c r="D6877" s="2" t="s">
        <v>12</v>
      </c>
      <c r="E6877" s="2" t="s">
        <v>12</v>
      </c>
      <c r="F6877" s="2" t="s">
        <v>12</v>
      </c>
      <c r="G6877" s="2" t="s">
        <v>12</v>
      </c>
      <c r="H6877" s="2" t="s">
        <v>12</v>
      </c>
      <c r="I6877" s="2" t="s">
        <v>12</v>
      </c>
      <c r="J6877" s="2" t="s">
        <v>12</v>
      </c>
      <c r="K6877" s="2" t="s">
        <v>12</v>
      </c>
    </row>
    <row r="6878" spans="1:11" ht="12.5" x14ac:dyDescent="0.25">
      <c r="A6878" s="3" t="e">
        <f ca="1"/>
        <v>#NAME?</v>
      </c>
      <c r="B6878" s="2" t="s">
        <v>12</v>
      </c>
      <c r="C6878" s="2" t="s">
        <v>12</v>
      </c>
      <c r="D6878" s="2" t="s">
        <v>12</v>
      </c>
      <c r="E6878" s="2" t="s">
        <v>12</v>
      </c>
      <c r="F6878" s="2" t="s">
        <v>12</v>
      </c>
      <c r="G6878" s="2" t="s">
        <v>12</v>
      </c>
      <c r="H6878" s="2" t="s">
        <v>12</v>
      </c>
      <c r="I6878" s="2" t="s">
        <v>12</v>
      </c>
      <c r="J6878" s="2" t="s">
        <v>12</v>
      </c>
      <c r="K6878" s="2" t="s">
        <v>12</v>
      </c>
    </row>
    <row r="6879" spans="1:11" ht="12.5" x14ac:dyDescent="0.25">
      <c r="A6879" s="3" t="e">
        <f ca="1"/>
        <v>#NAME?</v>
      </c>
      <c r="B6879" s="2" t="s">
        <v>12</v>
      </c>
      <c r="C6879" s="2" t="s">
        <v>12</v>
      </c>
      <c r="D6879" s="2" t="s">
        <v>12</v>
      </c>
      <c r="E6879" s="2" t="s">
        <v>12</v>
      </c>
      <c r="F6879" s="2" t="s">
        <v>12</v>
      </c>
      <c r="G6879" s="2" t="s">
        <v>12</v>
      </c>
      <c r="H6879" s="2" t="s">
        <v>12</v>
      </c>
      <c r="I6879" s="2" t="s">
        <v>12</v>
      </c>
      <c r="J6879" s="2" t="s">
        <v>12</v>
      </c>
      <c r="K6879" s="2" t="s">
        <v>12</v>
      </c>
    </row>
    <row r="6880" spans="1:11" ht="12.5" x14ac:dyDescent="0.25">
      <c r="A6880" s="3" t="e">
        <f ca="1"/>
        <v>#NAME?</v>
      </c>
      <c r="B6880" s="2" t="s">
        <v>12</v>
      </c>
      <c r="C6880" s="2" t="s">
        <v>12</v>
      </c>
      <c r="D6880" s="2" t="s">
        <v>12</v>
      </c>
      <c r="E6880" s="2" t="s">
        <v>12</v>
      </c>
      <c r="F6880" s="2" t="s">
        <v>12</v>
      </c>
      <c r="G6880" s="2" t="s">
        <v>12</v>
      </c>
      <c r="H6880" s="2" t="s">
        <v>12</v>
      </c>
      <c r="I6880" s="2" t="s">
        <v>12</v>
      </c>
      <c r="J6880" s="2" t="s">
        <v>12</v>
      </c>
      <c r="K6880" s="2" t="s">
        <v>12</v>
      </c>
    </row>
    <row r="6881" spans="1:11" ht="12.5" x14ac:dyDescent="0.25">
      <c r="A6881" s="3" t="e">
        <f ca="1"/>
        <v>#NAME?</v>
      </c>
      <c r="B6881" s="2" t="s">
        <v>12</v>
      </c>
      <c r="C6881" s="2" t="s">
        <v>12</v>
      </c>
      <c r="D6881" s="2" t="s">
        <v>12</v>
      </c>
      <c r="E6881" s="2" t="s">
        <v>12</v>
      </c>
      <c r="F6881" s="2" t="s">
        <v>12</v>
      </c>
      <c r="G6881" s="2" t="s">
        <v>12</v>
      </c>
      <c r="H6881" s="2" t="s">
        <v>12</v>
      </c>
      <c r="I6881" s="2" t="s">
        <v>12</v>
      </c>
      <c r="J6881" s="2" t="s">
        <v>12</v>
      </c>
      <c r="K6881" s="2" t="s">
        <v>12</v>
      </c>
    </row>
    <row r="6882" spans="1:11" ht="12.5" x14ac:dyDescent="0.25">
      <c r="A6882" s="3" t="e">
        <f ca="1"/>
        <v>#NAME?</v>
      </c>
      <c r="B6882" s="2" t="s">
        <v>12</v>
      </c>
      <c r="C6882" s="2" t="s">
        <v>12</v>
      </c>
      <c r="D6882" s="2" t="s">
        <v>12</v>
      </c>
      <c r="E6882" s="2" t="s">
        <v>12</v>
      </c>
      <c r="F6882" s="2" t="s">
        <v>12</v>
      </c>
      <c r="G6882" s="2" t="s">
        <v>12</v>
      </c>
      <c r="H6882" s="2" t="s">
        <v>12</v>
      </c>
      <c r="I6882" s="2" t="s">
        <v>12</v>
      </c>
      <c r="J6882" s="2" t="s">
        <v>12</v>
      </c>
      <c r="K6882" s="2" t="s">
        <v>12</v>
      </c>
    </row>
    <row r="6883" spans="1:11" ht="12.5" x14ac:dyDescent="0.25">
      <c r="A6883" s="3" t="e">
        <f ca="1"/>
        <v>#NAME?</v>
      </c>
      <c r="B6883" s="2" t="s">
        <v>12</v>
      </c>
      <c r="C6883" s="2" t="s">
        <v>12</v>
      </c>
      <c r="D6883" s="2" t="s">
        <v>12</v>
      </c>
      <c r="E6883" s="2" t="s">
        <v>12</v>
      </c>
      <c r="F6883" s="2" t="s">
        <v>12</v>
      </c>
      <c r="G6883" s="2" t="s">
        <v>12</v>
      </c>
      <c r="H6883" s="2" t="s">
        <v>12</v>
      </c>
      <c r="I6883" s="2" t="s">
        <v>12</v>
      </c>
      <c r="J6883" s="2" t="s">
        <v>12</v>
      </c>
      <c r="K6883" s="2" t="s">
        <v>12</v>
      </c>
    </row>
    <row r="6884" spans="1:11" ht="12.5" x14ac:dyDescent="0.25">
      <c r="A6884" s="3" t="e">
        <f ca="1"/>
        <v>#NAME?</v>
      </c>
      <c r="B6884" s="2" t="s">
        <v>12</v>
      </c>
      <c r="C6884" s="2" t="s">
        <v>12</v>
      </c>
      <c r="D6884" s="2" t="s">
        <v>12</v>
      </c>
      <c r="E6884" s="2" t="s">
        <v>12</v>
      </c>
      <c r="F6884" s="2" t="s">
        <v>12</v>
      </c>
      <c r="G6884" s="2" t="s">
        <v>12</v>
      </c>
      <c r="H6884" s="2" t="s">
        <v>12</v>
      </c>
      <c r="I6884" s="2" t="s">
        <v>12</v>
      </c>
      <c r="J6884" s="2" t="s">
        <v>12</v>
      </c>
      <c r="K6884" s="2" t="s">
        <v>12</v>
      </c>
    </row>
    <row r="6885" spans="1:11" ht="12.5" x14ac:dyDescent="0.25">
      <c r="A6885" s="3" t="e">
        <f ca="1"/>
        <v>#NAME?</v>
      </c>
      <c r="B6885" s="2" t="s">
        <v>12</v>
      </c>
      <c r="C6885" s="2" t="s">
        <v>12</v>
      </c>
      <c r="D6885" s="2" t="s">
        <v>12</v>
      </c>
      <c r="E6885" s="2" t="s">
        <v>12</v>
      </c>
      <c r="F6885" s="2" t="s">
        <v>12</v>
      </c>
      <c r="G6885" s="2" t="s">
        <v>12</v>
      </c>
      <c r="H6885" s="2" t="s">
        <v>12</v>
      </c>
      <c r="I6885" s="2" t="s">
        <v>12</v>
      </c>
      <c r="J6885" s="2" t="s">
        <v>12</v>
      </c>
      <c r="K6885" s="2" t="s">
        <v>12</v>
      </c>
    </row>
    <row r="6886" spans="1:11" ht="12.5" x14ac:dyDescent="0.25">
      <c r="A6886" s="3" t="e">
        <f ca="1"/>
        <v>#NAME?</v>
      </c>
      <c r="B6886" s="2" t="s">
        <v>12</v>
      </c>
      <c r="C6886" s="2" t="s">
        <v>12</v>
      </c>
      <c r="D6886" s="2" t="s">
        <v>12</v>
      </c>
      <c r="E6886" s="2" t="s">
        <v>12</v>
      </c>
      <c r="F6886" s="2" t="s">
        <v>12</v>
      </c>
      <c r="G6886" s="2" t="s">
        <v>12</v>
      </c>
      <c r="H6886" s="2" t="s">
        <v>12</v>
      </c>
      <c r="I6886" s="2" t="s">
        <v>12</v>
      </c>
      <c r="J6886" s="2" t="s">
        <v>12</v>
      </c>
      <c r="K6886" s="2" t="s">
        <v>12</v>
      </c>
    </row>
    <row r="6887" spans="1:11" ht="12.5" x14ac:dyDescent="0.25">
      <c r="A6887" s="3" t="e">
        <f ca="1"/>
        <v>#NAME?</v>
      </c>
      <c r="B6887" s="2" t="s">
        <v>12</v>
      </c>
      <c r="C6887" s="2" t="s">
        <v>12</v>
      </c>
      <c r="D6887" s="2" t="s">
        <v>12</v>
      </c>
      <c r="E6887" s="2" t="s">
        <v>12</v>
      </c>
      <c r="F6887" s="2" t="s">
        <v>12</v>
      </c>
      <c r="G6887" s="2" t="s">
        <v>12</v>
      </c>
      <c r="H6887" s="2" t="s">
        <v>12</v>
      </c>
      <c r="I6887" s="2" t="s">
        <v>12</v>
      </c>
      <c r="J6887" s="2" t="s">
        <v>12</v>
      </c>
      <c r="K6887" s="2" t="s">
        <v>12</v>
      </c>
    </row>
    <row r="6888" spans="1:11" ht="12.5" x14ac:dyDescent="0.25">
      <c r="A6888" s="3" t="e">
        <f ca="1"/>
        <v>#NAME?</v>
      </c>
      <c r="B6888" s="2" t="s">
        <v>12</v>
      </c>
      <c r="C6888" s="2" t="s">
        <v>12</v>
      </c>
      <c r="D6888" s="2" t="s">
        <v>12</v>
      </c>
      <c r="E6888" s="2" t="s">
        <v>12</v>
      </c>
      <c r="F6888" s="2" t="s">
        <v>12</v>
      </c>
      <c r="G6888" s="2" t="s">
        <v>12</v>
      </c>
      <c r="H6888" s="2" t="s">
        <v>12</v>
      </c>
      <c r="I6888" s="2" t="s">
        <v>12</v>
      </c>
      <c r="J6888" s="2" t="s">
        <v>12</v>
      </c>
      <c r="K6888" s="2" t="s">
        <v>12</v>
      </c>
    </row>
    <row r="6889" spans="1:11" ht="12.5" x14ac:dyDescent="0.25">
      <c r="A6889" s="3" t="e">
        <f ca="1"/>
        <v>#NAME?</v>
      </c>
      <c r="B6889" s="2" t="s">
        <v>12</v>
      </c>
      <c r="C6889" s="2" t="s">
        <v>12</v>
      </c>
      <c r="D6889" s="2" t="s">
        <v>12</v>
      </c>
      <c r="E6889" s="2" t="s">
        <v>12</v>
      </c>
      <c r="F6889" s="2" t="s">
        <v>12</v>
      </c>
      <c r="G6889" s="2" t="s">
        <v>12</v>
      </c>
      <c r="H6889" s="2" t="s">
        <v>12</v>
      </c>
      <c r="I6889" s="2" t="s">
        <v>12</v>
      </c>
      <c r="J6889" s="2" t="s">
        <v>12</v>
      </c>
      <c r="K6889" s="2" t="s">
        <v>12</v>
      </c>
    </row>
    <row r="6890" spans="1:11" ht="12.5" x14ac:dyDescent="0.25">
      <c r="A6890" s="3" t="e">
        <f ca="1"/>
        <v>#NAME?</v>
      </c>
      <c r="B6890" s="2" t="s">
        <v>12</v>
      </c>
      <c r="C6890" s="2" t="s">
        <v>12</v>
      </c>
      <c r="D6890" s="2" t="s">
        <v>12</v>
      </c>
      <c r="E6890" s="2" t="s">
        <v>12</v>
      </c>
      <c r="F6890" s="2" t="s">
        <v>12</v>
      </c>
      <c r="G6890" s="2" t="s">
        <v>12</v>
      </c>
      <c r="H6890" s="2" t="s">
        <v>12</v>
      </c>
      <c r="I6890" s="2" t="s">
        <v>12</v>
      </c>
      <c r="J6890" s="2" t="s">
        <v>12</v>
      </c>
      <c r="K6890" s="2" t="s">
        <v>12</v>
      </c>
    </row>
    <row r="6891" spans="1:11" ht="12.5" x14ac:dyDescent="0.25">
      <c r="A6891" s="3" t="e">
        <f ca="1"/>
        <v>#NAME?</v>
      </c>
      <c r="B6891" s="2" t="s">
        <v>12</v>
      </c>
      <c r="C6891" s="2" t="s">
        <v>12</v>
      </c>
      <c r="D6891" s="2" t="s">
        <v>12</v>
      </c>
      <c r="E6891" s="2" t="s">
        <v>12</v>
      </c>
      <c r="F6891" s="2" t="s">
        <v>12</v>
      </c>
      <c r="G6891" s="2" t="s">
        <v>12</v>
      </c>
      <c r="H6891" s="2" t="s">
        <v>12</v>
      </c>
      <c r="I6891" s="2" t="s">
        <v>12</v>
      </c>
      <c r="J6891" s="2" t="s">
        <v>12</v>
      </c>
      <c r="K6891" s="2" t="s">
        <v>12</v>
      </c>
    </row>
    <row r="6892" spans="1:11" ht="12.5" x14ac:dyDescent="0.25">
      <c r="A6892" s="3" t="e">
        <f ca="1"/>
        <v>#NAME?</v>
      </c>
      <c r="B6892" s="2" t="s">
        <v>12</v>
      </c>
      <c r="C6892" s="2" t="s">
        <v>12</v>
      </c>
      <c r="D6892" s="2" t="s">
        <v>12</v>
      </c>
      <c r="E6892" s="2" t="s">
        <v>12</v>
      </c>
      <c r="F6892" s="2" t="s">
        <v>12</v>
      </c>
      <c r="G6892" s="2" t="s">
        <v>12</v>
      </c>
      <c r="H6892" s="2" t="s">
        <v>12</v>
      </c>
      <c r="I6892" s="2" t="s">
        <v>12</v>
      </c>
      <c r="J6892" s="2" t="s">
        <v>12</v>
      </c>
      <c r="K6892" s="2" t="s">
        <v>12</v>
      </c>
    </row>
    <row r="6893" spans="1:11" ht="12.5" x14ac:dyDescent="0.25">
      <c r="A6893" s="3" t="e">
        <f ca="1"/>
        <v>#NAME?</v>
      </c>
      <c r="B6893" s="2" t="s">
        <v>12</v>
      </c>
      <c r="C6893" s="2" t="s">
        <v>12</v>
      </c>
      <c r="D6893" s="2" t="s">
        <v>12</v>
      </c>
      <c r="E6893" s="2" t="s">
        <v>12</v>
      </c>
      <c r="F6893" s="2" t="s">
        <v>12</v>
      </c>
      <c r="G6893" s="2" t="s">
        <v>12</v>
      </c>
      <c r="H6893" s="2" t="s">
        <v>12</v>
      </c>
      <c r="I6893" s="2" t="s">
        <v>12</v>
      </c>
      <c r="J6893" s="2" t="s">
        <v>12</v>
      </c>
      <c r="K6893" s="2" t="s">
        <v>12</v>
      </c>
    </row>
    <row r="6894" spans="1:11" ht="12.5" x14ac:dyDescent="0.25">
      <c r="A6894" s="3" t="e">
        <f ca="1"/>
        <v>#NAME?</v>
      </c>
      <c r="B6894" s="2" t="s">
        <v>12</v>
      </c>
      <c r="C6894" s="2" t="s">
        <v>12</v>
      </c>
      <c r="D6894" s="2" t="s">
        <v>12</v>
      </c>
      <c r="E6894" s="2" t="s">
        <v>12</v>
      </c>
      <c r="F6894" s="2" t="s">
        <v>12</v>
      </c>
      <c r="G6894" s="2" t="s">
        <v>12</v>
      </c>
      <c r="H6894" s="2" t="s">
        <v>12</v>
      </c>
      <c r="I6894" s="2" t="s">
        <v>12</v>
      </c>
      <c r="J6894" s="2" t="s">
        <v>12</v>
      </c>
      <c r="K6894" s="2" t="s">
        <v>12</v>
      </c>
    </row>
    <row r="6895" spans="1:11" ht="12.5" x14ac:dyDescent="0.25">
      <c r="A6895" s="3" t="e">
        <f ca="1"/>
        <v>#NAME?</v>
      </c>
      <c r="B6895" s="2" t="s">
        <v>12</v>
      </c>
      <c r="C6895" s="2" t="s">
        <v>12</v>
      </c>
      <c r="D6895" s="2" t="s">
        <v>12</v>
      </c>
      <c r="E6895" s="2" t="s">
        <v>12</v>
      </c>
      <c r="F6895" s="2" t="s">
        <v>12</v>
      </c>
      <c r="G6895" s="2" t="s">
        <v>12</v>
      </c>
      <c r="H6895" s="2" t="s">
        <v>12</v>
      </c>
      <c r="I6895" s="2" t="s">
        <v>12</v>
      </c>
      <c r="J6895" s="2" t="s">
        <v>12</v>
      </c>
      <c r="K6895" s="2" t="s">
        <v>12</v>
      </c>
    </row>
    <row r="6896" spans="1:11" ht="12.5" x14ac:dyDescent="0.25">
      <c r="A6896" s="3" t="e">
        <f ca="1"/>
        <v>#NAME?</v>
      </c>
      <c r="B6896" s="2" t="s">
        <v>12</v>
      </c>
      <c r="C6896" s="2" t="s">
        <v>12</v>
      </c>
      <c r="D6896" s="2" t="s">
        <v>12</v>
      </c>
      <c r="E6896" s="2" t="s">
        <v>12</v>
      </c>
      <c r="F6896" s="2" t="s">
        <v>12</v>
      </c>
      <c r="G6896" s="2" t="s">
        <v>12</v>
      </c>
      <c r="H6896" s="2" t="s">
        <v>12</v>
      </c>
      <c r="I6896" s="2" t="s">
        <v>12</v>
      </c>
      <c r="J6896" s="2" t="s">
        <v>12</v>
      </c>
      <c r="K6896" s="2" t="s">
        <v>12</v>
      </c>
    </row>
    <row r="6897" spans="1:11" ht="12.5" x14ac:dyDescent="0.25">
      <c r="A6897" s="3" t="e">
        <f ca="1"/>
        <v>#NAME?</v>
      </c>
      <c r="B6897" s="2" t="s">
        <v>12</v>
      </c>
      <c r="C6897" s="2" t="s">
        <v>12</v>
      </c>
      <c r="D6897" s="2" t="s">
        <v>12</v>
      </c>
      <c r="E6897" s="2" t="s">
        <v>12</v>
      </c>
      <c r="F6897" s="2" t="s">
        <v>12</v>
      </c>
      <c r="G6897" s="2" t="s">
        <v>12</v>
      </c>
      <c r="H6897" s="2" t="s">
        <v>12</v>
      </c>
      <c r="I6897" s="2" t="s">
        <v>12</v>
      </c>
      <c r="J6897" s="2" t="s">
        <v>12</v>
      </c>
      <c r="K6897" s="2" t="s">
        <v>12</v>
      </c>
    </row>
    <row r="6898" spans="1:11" ht="12.5" x14ac:dyDescent="0.25">
      <c r="A6898" s="3" t="e">
        <f ca="1"/>
        <v>#NAME?</v>
      </c>
      <c r="B6898" s="2" t="s">
        <v>12</v>
      </c>
      <c r="C6898" s="2" t="s">
        <v>12</v>
      </c>
      <c r="D6898" s="2" t="s">
        <v>12</v>
      </c>
      <c r="E6898" s="2" t="s">
        <v>12</v>
      </c>
      <c r="F6898" s="2" t="s">
        <v>12</v>
      </c>
      <c r="G6898" s="2" t="s">
        <v>12</v>
      </c>
      <c r="H6898" s="2" t="s">
        <v>12</v>
      </c>
      <c r="I6898" s="2" t="s">
        <v>12</v>
      </c>
      <c r="J6898" s="2" t="s">
        <v>12</v>
      </c>
      <c r="K6898" s="2" t="s">
        <v>12</v>
      </c>
    </row>
    <row r="6899" spans="1:11" ht="12.5" x14ac:dyDescent="0.25">
      <c r="A6899" s="3" t="e">
        <f ca="1"/>
        <v>#NAME?</v>
      </c>
      <c r="B6899" s="2" t="s">
        <v>12</v>
      </c>
      <c r="C6899" s="2" t="s">
        <v>12</v>
      </c>
      <c r="D6899" s="2" t="s">
        <v>12</v>
      </c>
      <c r="E6899" s="2" t="s">
        <v>12</v>
      </c>
      <c r="F6899" s="2" t="s">
        <v>12</v>
      </c>
      <c r="G6899" s="2" t="s">
        <v>12</v>
      </c>
      <c r="H6899" s="2" t="s">
        <v>12</v>
      </c>
      <c r="I6899" s="2" t="s">
        <v>12</v>
      </c>
      <c r="J6899" s="2" t="s">
        <v>12</v>
      </c>
      <c r="K6899" s="2" t="s">
        <v>12</v>
      </c>
    </row>
    <row r="6900" spans="1:11" ht="12.5" x14ac:dyDescent="0.25">
      <c r="A6900" s="3" t="e">
        <f ca="1"/>
        <v>#NAME?</v>
      </c>
      <c r="B6900" s="2" t="s">
        <v>12</v>
      </c>
      <c r="C6900" s="2" t="s">
        <v>12</v>
      </c>
      <c r="D6900" s="2" t="s">
        <v>12</v>
      </c>
      <c r="E6900" s="2" t="s">
        <v>12</v>
      </c>
      <c r="F6900" s="2" t="s">
        <v>12</v>
      </c>
      <c r="G6900" s="2" t="s">
        <v>12</v>
      </c>
      <c r="H6900" s="2" t="s">
        <v>12</v>
      </c>
      <c r="I6900" s="2" t="s">
        <v>12</v>
      </c>
      <c r="J6900" s="2" t="s">
        <v>12</v>
      </c>
      <c r="K6900" s="2" t="s">
        <v>12</v>
      </c>
    </row>
    <row r="6901" spans="1:11" ht="12.5" x14ac:dyDescent="0.25">
      <c r="A6901" s="3" t="e">
        <f ca="1"/>
        <v>#NAME?</v>
      </c>
      <c r="B6901" s="2" t="s">
        <v>12</v>
      </c>
      <c r="C6901" s="2" t="s">
        <v>12</v>
      </c>
      <c r="D6901" s="2" t="s">
        <v>12</v>
      </c>
      <c r="E6901" s="2" t="s">
        <v>12</v>
      </c>
      <c r="F6901" s="2" t="s">
        <v>12</v>
      </c>
      <c r="G6901" s="2" t="s">
        <v>12</v>
      </c>
      <c r="H6901" s="2" t="s">
        <v>12</v>
      </c>
      <c r="I6901" s="2" t="s">
        <v>12</v>
      </c>
      <c r="J6901" s="2" t="s">
        <v>12</v>
      </c>
      <c r="K6901" s="2" t="s">
        <v>12</v>
      </c>
    </row>
    <row r="6902" spans="1:11" ht="12.5" x14ac:dyDescent="0.25">
      <c r="A6902" s="3" t="e">
        <f ca="1"/>
        <v>#NAME?</v>
      </c>
      <c r="B6902" s="2" t="s">
        <v>12</v>
      </c>
      <c r="C6902" s="2" t="s">
        <v>12</v>
      </c>
      <c r="D6902" s="2" t="s">
        <v>12</v>
      </c>
      <c r="E6902" s="2" t="s">
        <v>12</v>
      </c>
      <c r="F6902" s="2" t="s">
        <v>12</v>
      </c>
      <c r="G6902" s="2" t="s">
        <v>12</v>
      </c>
      <c r="H6902" s="2" t="s">
        <v>12</v>
      </c>
      <c r="I6902" s="2" t="s">
        <v>12</v>
      </c>
      <c r="J6902" s="2" t="s">
        <v>12</v>
      </c>
      <c r="K6902" s="2" t="s">
        <v>12</v>
      </c>
    </row>
    <row r="6903" spans="1:11" ht="12.5" x14ac:dyDescent="0.25">
      <c r="A6903" s="3" t="e">
        <f ca="1"/>
        <v>#NAME?</v>
      </c>
      <c r="B6903" s="2" t="s">
        <v>12</v>
      </c>
      <c r="C6903" s="2" t="s">
        <v>12</v>
      </c>
      <c r="D6903" s="2" t="s">
        <v>12</v>
      </c>
      <c r="E6903" s="2" t="s">
        <v>12</v>
      </c>
      <c r="F6903" s="2" t="s">
        <v>12</v>
      </c>
      <c r="G6903" s="2" t="s">
        <v>12</v>
      </c>
      <c r="H6903" s="2" t="s">
        <v>12</v>
      </c>
      <c r="I6903" s="2" t="s">
        <v>12</v>
      </c>
      <c r="J6903" s="2" t="s">
        <v>12</v>
      </c>
      <c r="K6903" s="2" t="s">
        <v>12</v>
      </c>
    </row>
    <row r="6904" spans="1:11" ht="12.5" x14ac:dyDescent="0.25">
      <c r="A6904" s="3" t="e">
        <f ca="1"/>
        <v>#NAME?</v>
      </c>
      <c r="B6904" s="2" t="s">
        <v>12</v>
      </c>
      <c r="C6904" s="2" t="s">
        <v>12</v>
      </c>
      <c r="D6904" s="2" t="s">
        <v>12</v>
      </c>
      <c r="E6904" s="2" t="s">
        <v>12</v>
      </c>
      <c r="F6904" s="2" t="s">
        <v>12</v>
      </c>
      <c r="G6904" s="2" t="s">
        <v>12</v>
      </c>
      <c r="H6904" s="2" t="s">
        <v>12</v>
      </c>
      <c r="I6904" s="2" t="s">
        <v>12</v>
      </c>
      <c r="J6904" s="2" t="s">
        <v>12</v>
      </c>
      <c r="K6904" s="2" t="s">
        <v>12</v>
      </c>
    </row>
    <row r="6905" spans="1:11" ht="12.5" x14ac:dyDescent="0.25">
      <c r="A6905" s="3" t="e">
        <f ca="1"/>
        <v>#NAME?</v>
      </c>
      <c r="B6905" s="2" t="s">
        <v>12</v>
      </c>
      <c r="C6905" s="2" t="s">
        <v>12</v>
      </c>
      <c r="D6905" s="2" t="s">
        <v>12</v>
      </c>
      <c r="E6905" s="2" t="s">
        <v>12</v>
      </c>
      <c r="F6905" s="2" t="s">
        <v>12</v>
      </c>
      <c r="G6905" s="2" t="s">
        <v>12</v>
      </c>
      <c r="H6905" s="2" t="s">
        <v>12</v>
      </c>
      <c r="I6905" s="2" t="s">
        <v>12</v>
      </c>
      <c r="J6905" s="2" t="s">
        <v>12</v>
      </c>
      <c r="K6905" s="2" t="s">
        <v>12</v>
      </c>
    </row>
    <row r="6906" spans="1:11" ht="12.5" x14ac:dyDescent="0.25">
      <c r="A6906" s="3" t="e">
        <f ca="1"/>
        <v>#NAME?</v>
      </c>
      <c r="B6906" s="2" t="s">
        <v>12</v>
      </c>
      <c r="C6906" s="2" t="s">
        <v>12</v>
      </c>
      <c r="D6906" s="2" t="s">
        <v>12</v>
      </c>
      <c r="E6906" s="2" t="s">
        <v>12</v>
      </c>
      <c r="F6906" s="2" t="s">
        <v>12</v>
      </c>
      <c r="G6906" s="2" t="s">
        <v>12</v>
      </c>
      <c r="H6906" s="2" t="s">
        <v>12</v>
      </c>
      <c r="I6906" s="2" t="s">
        <v>12</v>
      </c>
      <c r="J6906" s="2" t="s">
        <v>12</v>
      </c>
      <c r="K6906" s="2" t="s">
        <v>12</v>
      </c>
    </row>
    <row r="6907" spans="1:11" ht="12.5" x14ac:dyDescent="0.25">
      <c r="A6907" s="3" t="e">
        <f ca="1"/>
        <v>#NAME?</v>
      </c>
      <c r="B6907" s="2" t="s">
        <v>12</v>
      </c>
      <c r="C6907" s="2" t="s">
        <v>12</v>
      </c>
      <c r="D6907" s="2" t="s">
        <v>12</v>
      </c>
      <c r="E6907" s="2" t="s">
        <v>12</v>
      </c>
      <c r="F6907" s="2" t="s">
        <v>12</v>
      </c>
      <c r="G6907" s="2" t="s">
        <v>12</v>
      </c>
      <c r="H6907" s="2" t="s">
        <v>12</v>
      </c>
      <c r="I6907" s="2" t="s">
        <v>12</v>
      </c>
      <c r="J6907" s="2" t="s">
        <v>12</v>
      </c>
      <c r="K6907" s="2" t="s">
        <v>12</v>
      </c>
    </row>
    <row r="6908" spans="1:11" ht="12.5" x14ac:dyDescent="0.25">
      <c r="A6908" s="3" t="e">
        <f ca="1"/>
        <v>#NAME?</v>
      </c>
      <c r="B6908" s="2" t="s">
        <v>12</v>
      </c>
      <c r="C6908" s="2" t="s">
        <v>12</v>
      </c>
      <c r="D6908" s="2" t="s">
        <v>12</v>
      </c>
      <c r="E6908" s="2" t="s">
        <v>12</v>
      </c>
      <c r="F6908" s="2" t="s">
        <v>12</v>
      </c>
      <c r="G6908" s="2" t="s">
        <v>12</v>
      </c>
      <c r="H6908" s="2" t="s">
        <v>12</v>
      </c>
      <c r="I6908" s="2" t="s">
        <v>12</v>
      </c>
      <c r="J6908" s="2" t="s">
        <v>12</v>
      </c>
      <c r="K6908" s="2" t="s">
        <v>12</v>
      </c>
    </row>
    <row r="6909" spans="1:11" ht="12.5" x14ac:dyDescent="0.25">
      <c r="A6909" s="3" t="e">
        <f ca="1"/>
        <v>#NAME?</v>
      </c>
      <c r="B6909" s="2" t="s">
        <v>12</v>
      </c>
      <c r="C6909" s="2" t="s">
        <v>12</v>
      </c>
      <c r="D6909" s="2" t="s">
        <v>12</v>
      </c>
      <c r="E6909" s="2" t="s">
        <v>12</v>
      </c>
      <c r="F6909" s="2" t="s">
        <v>12</v>
      </c>
      <c r="G6909" s="2" t="s">
        <v>12</v>
      </c>
      <c r="H6909" s="2" t="s">
        <v>12</v>
      </c>
      <c r="I6909" s="2" t="s">
        <v>12</v>
      </c>
      <c r="J6909" s="2" t="s">
        <v>12</v>
      </c>
      <c r="K6909" s="2" t="s">
        <v>12</v>
      </c>
    </row>
    <row r="6910" spans="1:11" ht="12.5" x14ac:dyDescent="0.25">
      <c r="A6910" s="3" t="e">
        <f ca="1"/>
        <v>#NAME?</v>
      </c>
      <c r="B6910" s="2" t="s">
        <v>12</v>
      </c>
      <c r="C6910" s="2" t="s">
        <v>12</v>
      </c>
      <c r="D6910" s="2" t="s">
        <v>12</v>
      </c>
      <c r="E6910" s="2" t="s">
        <v>12</v>
      </c>
      <c r="F6910" s="2" t="s">
        <v>12</v>
      </c>
      <c r="G6910" s="2" t="s">
        <v>12</v>
      </c>
      <c r="H6910" s="2" t="s">
        <v>12</v>
      </c>
      <c r="I6910" s="2" t="s">
        <v>12</v>
      </c>
      <c r="J6910" s="2" t="s">
        <v>12</v>
      </c>
      <c r="K6910" s="2" t="s">
        <v>12</v>
      </c>
    </row>
    <row r="6911" spans="1:11" ht="12.5" x14ac:dyDescent="0.25">
      <c r="A6911" s="3" t="e">
        <f ca="1"/>
        <v>#NAME?</v>
      </c>
      <c r="B6911" s="2" t="s">
        <v>12</v>
      </c>
      <c r="C6911" s="2" t="s">
        <v>12</v>
      </c>
      <c r="D6911" s="2" t="s">
        <v>12</v>
      </c>
      <c r="E6911" s="2" t="s">
        <v>12</v>
      </c>
      <c r="F6911" s="2" t="s">
        <v>12</v>
      </c>
      <c r="G6911" s="2" t="s">
        <v>12</v>
      </c>
      <c r="H6911" s="2" t="s">
        <v>12</v>
      </c>
      <c r="I6911" s="2" t="s">
        <v>12</v>
      </c>
      <c r="J6911" s="2" t="s">
        <v>12</v>
      </c>
      <c r="K6911" s="2" t="s">
        <v>12</v>
      </c>
    </row>
    <row r="6912" spans="1:11" ht="12.5" x14ac:dyDescent="0.25">
      <c r="A6912" s="3" t="e">
        <f ca="1"/>
        <v>#NAME?</v>
      </c>
      <c r="B6912" s="2" t="s">
        <v>12</v>
      </c>
      <c r="C6912" s="2" t="s">
        <v>12</v>
      </c>
      <c r="D6912" s="2" t="s">
        <v>12</v>
      </c>
      <c r="E6912" s="2" t="s">
        <v>12</v>
      </c>
      <c r="F6912" s="2" t="s">
        <v>12</v>
      </c>
      <c r="G6912" s="2" t="s">
        <v>12</v>
      </c>
      <c r="H6912" s="2" t="s">
        <v>12</v>
      </c>
      <c r="I6912" s="2" t="s">
        <v>12</v>
      </c>
      <c r="J6912" s="2" t="s">
        <v>12</v>
      </c>
      <c r="K6912" s="2" t="s">
        <v>12</v>
      </c>
    </row>
    <row r="6913" spans="1:11" ht="12.5" x14ac:dyDescent="0.25">
      <c r="A6913" s="3" t="e">
        <f ca="1"/>
        <v>#NAME?</v>
      </c>
      <c r="B6913" s="2" t="s">
        <v>12</v>
      </c>
      <c r="C6913" s="2" t="s">
        <v>12</v>
      </c>
      <c r="D6913" s="2" t="s">
        <v>12</v>
      </c>
      <c r="E6913" s="2" t="s">
        <v>12</v>
      </c>
      <c r="F6913" s="2" t="s">
        <v>12</v>
      </c>
      <c r="G6913" s="2" t="s">
        <v>12</v>
      </c>
      <c r="H6913" s="2" t="s">
        <v>12</v>
      </c>
      <c r="I6913" s="2" t="s">
        <v>12</v>
      </c>
      <c r="J6913" s="2" t="s">
        <v>12</v>
      </c>
      <c r="K6913" s="2" t="s">
        <v>12</v>
      </c>
    </row>
    <row r="6914" spans="1:11" ht="12.5" x14ac:dyDescent="0.25">
      <c r="A6914" s="3" t="e">
        <f ca="1"/>
        <v>#NAME?</v>
      </c>
      <c r="B6914" s="2" t="s">
        <v>12</v>
      </c>
      <c r="C6914" s="2" t="s">
        <v>12</v>
      </c>
      <c r="D6914" s="2" t="s">
        <v>12</v>
      </c>
      <c r="E6914" s="2" t="s">
        <v>12</v>
      </c>
      <c r="F6914" s="2" t="s">
        <v>12</v>
      </c>
      <c r="G6914" s="2" t="s">
        <v>12</v>
      </c>
      <c r="H6914" s="2" t="s">
        <v>12</v>
      </c>
      <c r="I6914" s="2" t="s">
        <v>12</v>
      </c>
      <c r="J6914" s="2" t="s">
        <v>12</v>
      </c>
      <c r="K6914" s="2" t="s">
        <v>12</v>
      </c>
    </row>
    <row r="6915" spans="1:11" ht="12.5" x14ac:dyDescent="0.25">
      <c r="A6915" s="3" t="e">
        <f ca="1"/>
        <v>#NAME?</v>
      </c>
      <c r="B6915" s="2" t="s">
        <v>12</v>
      </c>
      <c r="C6915" s="2" t="s">
        <v>12</v>
      </c>
      <c r="D6915" s="2" t="s">
        <v>12</v>
      </c>
      <c r="E6915" s="2" t="s">
        <v>12</v>
      </c>
      <c r="F6915" s="2" t="s">
        <v>12</v>
      </c>
      <c r="G6915" s="2" t="s">
        <v>12</v>
      </c>
      <c r="H6915" s="2" t="s">
        <v>12</v>
      </c>
      <c r="I6915" s="2" t="s">
        <v>12</v>
      </c>
      <c r="J6915" s="2" t="s">
        <v>12</v>
      </c>
      <c r="K6915" s="2" t="s">
        <v>12</v>
      </c>
    </row>
    <row r="6916" spans="1:11" ht="12.5" x14ac:dyDescent="0.25">
      <c r="A6916" s="3" t="e">
        <f ca="1"/>
        <v>#NAME?</v>
      </c>
      <c r="B6916" s="2" t="s">
        <v>12</v>
      </c>
      <c r="C6916" s="2" t="s">
        <v>12</v>
      </c>
      <c r="D6916" s="2" t="s">
        <v>12</v>
      </c>
      <c r="E6916" s="2" t="s">
        <v>12</v>
      </c>
      <c r="F6916" s="2" t="s">
        <v>12</v>
      </c>
      <c r="G6916" s="2" t="s">
        <v>12</v>
      </c>
      <c r="H6916" s="2" t="s">
        <v>12</v>
      </c>
      <c r="I6916" s="2" t="s">
        <v>12</v>
      </c>
      <c r="J6916" s="2" t="s">
        <v>12</v>
      </c>
      <c r="K6916" s="2" t="s">
        <v>12</v>
      </c>
    </row>
    <row r="6917" spans="1:11" ht="12.5" x14ac:dyDescent="0.25">
      <c r="A6917" s="3" t="e">
        <f ca="1"/>
        <v>#NAME?</v>
      </c>
      <c r="B6917" s="2" t="s">
        <v>12</v>
      </c>
      <c r="C6917" s="2" t="s">
        <v>12</v>
      </c>
      <c r="D6917" s="2" t="s">
        <v>12</v>
      </c>
      <c r="E6917" s="2" t="s">
        <v>12</v>
      </c>
      <c r="F6917" s="2" t="s">
        <v>12</v>
      </c>
      <c r="G6917" s="2" t="s">
        <v>12</v>
      </c>
      <c r="H6917" s="2" t="s">
        <v>12</v>
      </c>
      <c r="I6917" s="2" t="s">
        <v>12</v>
      </c>
      <c r="J6917" s="2" t="s">
        <v>12</v>
      </c>
      <c r="K6917" s="2" t="s">
        <v>12</v>
      </c>
    </row>
    <row r="6918" spans="1:11" ht="12.5" x14ac:dyDescent="0.25">
      <c r="A6918" s="3" t="e">
        <f ca="1"/>
        <v>#NAME?</v>
      </c>
      <c r="B6918" s="2" t="s">
        <v>12</v>
      </c>
      <c r="C6918" s="2" t="s">
        <v>12</v>
      </c>
      <c r="D6918" s="2" t="s">
        <v>12</v>
      </c>
      <c r="E6918" s="2" t="s">
        <v>12</v>
      </c>
      <c r="F6918" s="2" t="s">
        <v>12</v>
      </c>
      <c r="G6918" s="2" t="s">
        <v>12</v>
      </c>
      <c r="H6918" s="2" t="s">
        <v>12</v>
      </c>
      <c r="I6918" s="2" t="s">
        <v>12</v>
      </c>
      <c r="J6918" s="2" t="s">
        <v>12</v>
      </c>
      <c r="K6918" s="2" t="s">
        <v>12</v>
      </c>
    </row>
    <row r="6919" spans="1:11" ht="12.5" x14ac:dyDescent="0.25">
      <c r="A6919" s="3" t="e">
        <f ca="1"/>
        <v>#NAME?</v>
      </c>
      <c r="B6919" s="2" t="s">
        <v>12</v>
      </c>
      <c r="C6919" s="2" t="s">
        <v>12</v>
      </c>
      <c r="D6919" s="2" t="s">
        <v>12</v>
      </c>
      <c r="E6919" s="2" t="s">
        <v>12</v>
      </c>
      <c r="F6919" s="2" t="s">
        <v>12</v>
      </c>
      <c r="G6919" s="2" t="s">
        <v>12</v>
      </c>
      <c r="H6919" s="2" t="s">
        <v>12</v>
      </c>
      <c r="I6919" s="2" t="s">
        <v>12</v>
      </c>
      <c r="J6919" s="2" t="s">
        <v>12</v>
      </c>
      <c r="K6919" s="2" t="s">
        <v>12</v>
      </c>
    </row>
    <row r="6920" spans="1:11" ht="12.5" x14ac:dyDescent="0.25">
      <c r="A6920" s="3" t="e">
        <f ca="1"/>
        <v>#NAME?</v>
      </c>
      <c r="B6920" s="2" t="s">
        <v>12</v>
      </c>
      <c r="C6920" s="2" t="s">
        <v>12</v>
      </c>
      <c r="D6920" s="2" t="s">
        <v>12</v>
      </c>
      <c r="E6920" s="2" t="s">
        <v>12</v>
      </c>
      <c r="F6920" s="2" t="s">
        <v>12</v>
      </c>
      <c r="G6920" s="2" t="s">
        <v>12</v>
      </c>
      <c r="H6920" s="2" t="s">
        <v>12</v>
      </c>
      <c r="I6920" s="2" t="s">
        <v>12</v>
      </c>
      <c r="J6920" s="2" t="s">
        <v>12</v>
      </c>
      <c r="K6920" s="2" t="s">
        <v>12</v>
      </c>
    </row>
    <row r="6921" spans="1:11" ht="12.5" x14ac:dyDescent="0.25">
      <c r="A6921" s="3" t="e">
        <f ca="1"/>
        <v>#NAME?</v>
      </c>
      <c r="B6921" s="2" t="s">
        <v>12</v>
      </c>
      <c r="C6921" s="2" t="s">
        <v>12</v>
      </c>
      <c r="D6921" s="2" t="s">
        <v>12</v>
      </c>
      <c r="E6921" s="2" t="s">
        <v>12</v>
      </c>
      <c r="F6921" s="2" t="s">
        <v>12</v>
      </c>
      <c r="G6921" s="2" t="s">
        <v>12</v>
      </c>
      <c r="H6921" s="2" t="s">
        <v>12</v>
      </c>
      <c r="I6921" s="2" t="s">
        <v>12</v>
      </c>
      <c r="J6921" s="2" t="s">
        <v>12</v>
      </c>
      <c r="K6921" s="2" t="s">
        <v>12</v>
      </c>
    </row>
    <row r="6922" spans="1:11" ht="12.5" x14ac:dyDescent="0.25">
      <c r="A6922" s="3" t="e">
        <f ca="1"/>
        <v>#NAME?</v>
      </c>
      <c r="B6922" s="2" t="s">
        <v>12</v>
      </c>
      <c r="C6922" s="2" t="s">
        <v>12</v>
      </c>
      <c r="D6922" s="2" t="s">
        <v>12</v>
      </c>
      <c r="E6922" s="2" t="s">
        <v>12</v>
      </c>
      <c r="F6922" s="2" t="s">
        <v>12</v>
      </c>
      <c r="G6922" s="2" t="s">
        <v>12</v>
      </c>
      <c r="H6922" s="2" t="s">
        <v>12</v>
      </c>
      <c r="I6922" s="2" t="s">
        <v>12</v>
      </c>
      <c r="J6922" s="2" t="s">
        <v>12</v>
      </c>
      <c r="K6922" s="2" t="s">
        <v>12</v>
      </c>
    </row>
    <row r="6923" spans="1:11" ht="12.5" x14ac:dyDescent="0.25">
      <c r="A6923" s="3" t="e">
        <f ca="1"/>
        <v>#NAME?</v>
      </c>
      <c r="B6923" s="2" t="s">
        <v>12</v>
      </c>
      <c r="C6923" s="2" t="s">
        <v>12</v>
      </c>
      <c r="D6923" s="2" t="s">
        <v>12</v>
      </c>
      <c r="E6923" s="2" t="s">
        <v>12</v>
      </c>
      <c r="F6923" s="2" t="s">
        <v>12</v>
      </c>
      <c r="G6923" s="2" t="s">
        <v>12</v>
      </c>
      <c r="H6923" s="2" t="s">
        <v>12</v>
      </c>
      <c r="I6923" s="2" t="s">
        <v>12</v>
      </c>
      <c r="J6923" s="2" t="s">
        <v>12</v>
      </c>
      <c r="K6923" s="2" t="s">
        <v>12</v>
      </c>
    </row>
    <row r="6924" spans="1:11" ht="12.5" x14ac:dyDescent="0.25">
      <c r="A6924" s="3" t="e">
        <f ca="1"/>
        <v>#NAME?</v>
      </c>
      <c r="B6924" s="2" t="s">
        <v>12</v>
      </c>
      <c r="C6924" s="2" t="s">
        <v>12</v>
      </c>
      <c r="D6924" s="2" t="s">
        <v>12</v>
      </c>
      <c r="E6924" s="2" t="s">
        <v>12</v>
      </c>
      <c r="F6924" s="2" t="s">
        <v>12</v>
      </c>
      <c r="G6924" s="2" t="s">
        <v>12</v>
      </c>
      <c r="H6924" s="2" t="s">
        <v>12</v>
      </c>
      <c r="I6924" s="2" t="s">
        <v>12</v>
      </c>
      <c r="J6924" s="2" t="s">
        <v>12</v>
      </c>
      <c r="K6924" s="2" t="s">
        <v>12</v>
      </c>
    </row>
    <row r="6925" spans="1:11" ht="12.5" x14ac:dyDescent="0.25">
      <c r="A6925" s="3" t="e">
        <f ca="1"/>
        <v>#NAME?</v>
      </c>
      <c r="B6925" s="2" t="s">
        <v>12</v>
      </c>
      <c r="C6925" s="2" t="s">
        <v>12</v>
      </c>
      <c r="D6925" s="2" t="s">
        <v>12</v>
      </c>
      <c r="E6925" s="2" t="s">
        <v>12</v>
      </c>
      <c r="F6925" s="2" t="s">
        <v>12</v>
      </c>
      <c r="G6925" s="2" t="s">
        <v>12</v>
      </c>
      <c r="H6925" s="2" t="s">
        <v>12</v>
      </c>
      <c r="I6925" s="2" t="s">
        <v>12</v>
      </c>
      <c r="J6925" s="2" t="s">
        <v>12</v>
      </c>
      <c r="K6925" s="2" t="s">
        <v>12</v>
      </c>
    </row>
    <row r="6926" spans="1:11" ht="12.5" x14ac:dyDescent="0.25">
      <c r="A6926" s="3" t="e">
        <f ca="1"/>
        <v>#NAME?</v>
      </c>
      <c r="B6926" s="2" t="s">
        <v>12</v>
      </c>
      <c r="C6926" s="2" t="s">
        <v>12</v>
      </c>
      <c r="D6926" s="2" t="s">
        <v>12</v>
      </c>
      <c r="E6926" s="2" t="s">
        <v>12</v>
      </c>
      <c r="F6926" s="2" t="s">
        <v>12</v>
      </c>
      <c r="G6926" s="2" t="s">
        <v>12</v>
      </c>
      <c r="H6926" s="2" t="s">
        <v>12</v>
      </c>
      <c r="I6926" s="2" t="s">
        <v>12</v>
      </c>
      <c r="J6926" s="2" t="s">
        <v>12</v>
      </c>
      <c r="K6926" s="2" t="s">
        <v>12</v>
      </c>
    </row>
    <row r="6927" spans="1:11" ht="12.5" x14ac:dyDescent="0.25">
      <c r="A6927" s="3" t="e">
        <f ca="1"/>
        <v>#NAME?</v>
      </c>
      <c r="B6927" s="2" t="s">
        <v>12</v>
      </c>
      <c r="C6927" s="2" t="s">
        <v>12</v>
      </c>
      <c r="D6927" s="2" t="s">
        <v>12</v>
      </c>
      <c r="E6927" s="2" t="s">
        <v>12</v>
      </c>
      <c r="F6927" s="2" t="s">
        <v>12</v>
      </c>
      <c r="G6927" s="2" t="s">
        <v>12</v>
      </c>
      <c r="H6927" s="2" t="s">
        <v>12</v>
      </c>
      <c r="I6927" s="2" t="s">
        <v>12</v>
      </c>
      <c r="J6927" s="2" t="s">
        <v>12</v>
      </c>
      <c r="K6927" s="2" t="s">
        <v>12</v>
      </c>
    </row>
    <row r="6928" spans="1:11" ht="12.5" x14ac:dyDescent="0.25">
      <c r="A6928" s="3" t="e">
        <f ca="1"/>
        <v>#NAME?</v>
      </c>
      <c r="B6928" s="2" t="s">
        <v>12</v>
      </c>
      <c r="C6928" s="2" t="s">
        <v>12</v>
      </c>
      <c r="D6928" s="2" t="s">
        <v>12</v>
      </c>
      <c r="E6928" s="2" t="s">
        <v>12</v>
      </c>
      <c r="F6928" s="2" t="s">
        <v>12</v>
      </c>
      <c r="G6928" s="2" t="s">
        <v>12</v>
      </c>
      <c r="H6928" s="2" t="s">
        <v>12</v>
      </c>
      <c r="I6928" s="2" t="s">
        <v>12</v>
      </c>
      <c r="J6928" s="2" t="s">
        <v>12</v>
      </c>
      <c r="K6928" s="2" t="s">
        <v>12</v>
      </c>
    </row>
    <row r="6929" spans="1:11" ht="12.5" x14ac:dyDescent="0.25">
      <c r="A6929" s="3" t="e">
        <f ca="1"/>
        <v>#NAME?</v>
      </c>
      <c r="B6929" s="2" t="s">
        <v>12</v>
      </c>
      <c r="C6929" s="2" t="s">
        <v>12</v>
      </c>
      <c r="D6929" s="2" t="s">
        <v>12</v>
      </c>
      <c r="E6929" s="2" t="s">
        <v>12</v>
      </c>
      <c r="F6929" s="2" t="s">
        <v>12</v>
      </c>
      <c r="G6929" s="2" t="s">
        <v>12</v>
      </c>
      <c r="H6929" s="2" t="s">
        <v>12</v>
      </c>
      <c r="I6929" s="2" t="s">
        <v>12</v>
      </c>
      <c r="J6929" s="2" t="s">
        <v>12</v>
      </c>
      <c r="K6929" s="2" t="s">
        <v>12</v>
      </c>
    </row>
    <row r="6930" spans="1:11" ht="12.5" x14ac:dyDescent="0.25">
      <c r="A6930" s="3" t="e">
        <f ca="1"/>
        <v>#NAME?</v>
      </c>
      <c r="B6930" s="2" t="s">
        <v>12</v>
      </c>
      <c r="C6930" s="2" t="s">
        <v>12</v>
      </c>
      <c r="D6930" s="2" t="s">
        <v>12</v>
      </c>
      <c r="E6930" s="2" t="s">
        <v>12</v>
      </c>
      <c r="F6930" s="2" t="s">
        <v>12</v>
      </c>
      <c r="G6930" s="2" t="s">
        <v>12</v>
      </c>
      <c r="H6930" s="2" t="s">
        <v>12</v>
      </c>
      <c r="I6930" s="2" t="s">
        <v>12</v>
      </c>
      <c r="J6930" s="2" t="s">
        <v>12</v>
      </c>
      <c r="K6930" s="2" t="s">
        <v>12</v>
      </c>
    </row>
    <row r="6931" spans="1:11" ht="12.5" x14ac:dyDescent="0.25">
      <c r="A6931" s="3" t="e">
        <f ca="1"/>
        <v>#NAME?</v>
      </c>
      <c r="B6931" s="2" t="s">
        <v>12</v>
      </c>
      <c r="C6931" s="2" t="s">
        <v>12</v>
      </c>
      <c r="D6931" s="2" t="s">
        <v>12</v>
      </c>
      <c r="E6931" s="2" t="s">
        <v>12</v>
      </c>
      <c r="F6931" s="2" t="s">
        <v>12</v>
      </c>
      <c r="G6931" s="2" t="s">
        <v>12</v>
      </c>
      <c r="H6931" s="2" t="s">
        <v>12</v>
      </c>
      <c r="I6931" s="2" t="s">
        <v>12</v>
      </c>
      <c r="J6931" s="2" t="s">
        <v>12</v>
      </c>
      <c r="K6931" s="2" t="s">
        <v>12</v>
      </c>
    </row>
    <row r="6932" spans="1:11" ht="12.5" x14ac:dyDescent="0.25">
      <c r="A6932" s="3" t="e">
        <f ca="1"/>
        <v>#NAME?</v>
      </c>
      <c r="B6932" s="2" t="s">
        <v>12</v>
      </c>
      <c r="C6932" s="2" t="s">
        <v>12</v>
      </c>
      <c r="D6932" s="2" t="s">
        <v>12</v>
      </c>
      <c r="E6932" s="2" t="s">
        <v>12</v>
      </c>
      <c r="F6932" s="2" t="s">
        <v>12</v>
      </c>
      <c r="G6932" s="2" t="s">
        <v>12</v>
      </c>
      <c r="H6932" s="2" t="s">
        <v>12</v>
      </c>
      <c r="I6932" s="2" t="s">
        <v>12</v>
      </c>
      <c r="J6932" s="2" t="s">
        <v>12</v>
      </c>
      <c r="K6932" s="2" t="s">
        <v>12</v>
      </c>
    </row>
    <row r="6933" spans="1:11" ht="12.5" x14ac:dyDescent="0.25">
      <c r="A6933" s="3" t="e">
        <f ca="1"/>
        <v>#NAME?</v>
      </c>
      <c r="B6933" s="2" t="s">
        <v>12</v>
      </c>
      <c r="C6933" s="2" t="s">
        <v>12</v>
      </c>
      <c r="D6933" s="2" t="s">
        <v>12</v>
      </c>
      <c r="E6933" s="2" t="s">
        <v>12</v>
      </c>
      <c r="F6933" s="2" t="s">
        <v>12</v>
      </c>
      <c r="G6933" s="2" t="s">
        <v>12</v>
      </c>
      <c r="H6933" s="2" t="s">
        <v>12</v>
      </c>
      <c r="I6933" s="2" t="s">
        <v>12</v>
      </c>
      <c r="J6933" s="2" t="s">
        <v>12</v>
      </c>
      <c r="K6933" s="2" t="s">
        <v>12</v>
      </c>
    </row>
    <row r="6934" spans="1:11" ht="12.5" x14ac:dyDescent="0.25">
      <c r="A6934" s="3" t="e">
        <f ca="1"/>
        <v>#NAME?</v>
      </c>
      <c r="B6934" s="2" t="s">
        <v>12</v>
      </c>
      <c r="C6934" s="2" t="s">
        <v>12</v>
      </c>
      <c r="D6934" s="2" t="s">
        <v>12</v>
      </c>
      <c r="E6934" s="2" t="s">
        <v>12</v>
      </c>
      <c r="F6934" s="2" t="s">
        <v>12</v>
      </c>
      <c r="G6934" s="2" t="s">
        <v>12</v>
      </c>
      <c r="H6934" s="2" t="s">
        <v>12</v>
      </c>
      <c r="I6934" s="2" t="s">
        <v>12</v>
      </c>
      <c r="J6934" s="2" t="s">
        <v>12</v>
      </c>
      <c r="K6934" s="2" t="s">
        <v>12</v>
      </c>
    </row>
    <row r="6935" spans="1:11" ht="12.5" x14ac:dyDescent="0.25">
      <c r="A6935" s="3" t="e">
        <f ca="1"/>
        <v>#NAME?</v>
      </c>
      <c r="B6935" s="2" t="s">
        <v>12</v>
      </c>
      <c r="C6935" s="2" t="s">
        <v>12</v>
      </c>
      <c r="D6935" s="2" t="s">
        <v>12</v>
      </c>
      <c r="E6935" s="2" t="s">
        <v>12</v>
      </c>
      <c r="F6935" s="2" t="s">
        <v>12</v>
      </c>
      <c r="G6935" s="2" t="s">
        <v>12</v>
      </c>
      <c r="H6935" s="2" t="s">
        <v>12</v>
      </c>
      <c r="I6935" s="2" t="s">
        <v>12</v>
      </c>
      <c r="J6935" s="2" t="s">
        <v>12</v>
      </c>
      <c r="K6935" s="2" t="s">
        <v>12</v>
      </c>
    </row>
    <row r="6936" spans="1:11" ht="12.5" x14ac:dyDescent="0.25">
      <c r="A6936" s="3" t="e">
        <f ca="1"/>
        <v>#NAME?</v>
      </c>
      <c r="B6936" s="2" t="s">
        <v>12</v>
      </c>
      <c r="C6936" s="2" t="s">
        <v>12</v>
      </c>
      <c r="D6936" s="2" t="s">
        <v>12</v>
      </c>
      <c r="E6936" s="2" t="s">
        <v>12</v>
      </c>
      <c r="F6936" s="2" t="s">
        <v>12</v>
      </c>
      <c r="G6936" s="2" t="s">
        <v>12</v>
      </c>
      <c r="H6936" s="2" t="s">
        <v>12</v>
      </c>
      <c r="I6936" s="2" t="s">
        <v>12</v>
      </c>
      <c r="J6936" s="2" t="s">
        <v>12</v>
      </c>
      <c r="K6936" s="2" t="s">
        <v>12</v>
      </c>
    </row>
    <row r="6937" spans="1:11" ht="12.5" x14ac:dyDescent="0.25">
      <c r="A6937" s="3" t="e">
        <f ca="1"/>
        <v>#NAME?</v>
      </c>
      <c r="B6937" s="2" t="s">
        <v>12</v>
      </c>
      <c r="C6937" s="2" t="s">
        <v>12</v>
      </c>
      <c r="D6937" s="2" t="s">
        <v>12</v>
      </c>
      <c r="E6937" s="2" t="s">
        <v>12</v>
      </c>
      <c r="F6937" s="2" t="s">
        <v>12</v>
      </c>
      <c r="G6937" s="2" t="s">
        <v>12</v>
      </c>
      <c r="H6937" s="2" t="s">
        <v>12</v>
      </c>
      <c r="I6937" s="2" t="s">
        <v>12</v>
      </c>
      <c r="J6937" s="2" t="s">
        <v>12</v>
      </c>
      <c r="K6937" s="2" t="s">
        <v>12</v>
      </c>
    </row>
    <row r="6938" spans="1:11" ht="12.5" x14ac:dyDescent="0.25">
      <c r="A6938" s="3" t="e">
        <f ca="1"/>
        <v>#NAME?</v>
      </c>
      <c r="B6938" s="2" t="s">
        <v>12</v>
      </c>
      <c r="C6938" s="2" t="s">
        <v>12</v>
      </c>
      <c r="D6938" s="2" t="s">
        <v>12</v>
      </c>
      <c r="E6938" s="2" t="s">
        <v>12</v>
      </c>
      <c r="F6938" s="2" t="s">
        <v>12</v>
      </c>
      <c r="G6938" s="2" t="s">
        <v>12</v>
      </c>
      <c r="H6938" s="2" t="s">
        <v>12</v>
      </c>
      <c r="I6938" s="2" t="s">
        <v>12</v>
      </c>
      <c r="J6938" s="2" t="s">
        <v>12</v>
      </c>
      <c r="K6938" s="2" t="s">
        <v>12</v>
      </c>
    </row>
    <row r="6939" spans="1:11" ht="12.5" x14ac:dyDescent="0.25">
      <c r="A6939" s="3" t="e">
        <f ca="1"/>
        <v>#NAME?</v>
      </c>
      <c r="B6939" s="2" t="s">
        <v>12</v>
      </c>
      <c r="C6939" s="2" t="s">
        <v>12</v>
      </c>
      <c r="D6939" s="2" t="s">
        <v>12</v>
      </c>
      <c r="E6939" s="2" t="s">
        <v>12</v>
      </c>
      <c r="F6939" s="2" t="s">
        <v>12</v>
      </c>
      <c r="G6939" s="2" t="s">
        <v>12</v>
      </c>
      <c r="H6939" s="2" t="s">
        <v>12</v>
      </c>
      <c r="I6939" s="2" t="s">
        <v>12</v>
      </c>
      <c r="J6939" s="2" t="s">
        <v>12</v>
      </c>
      <c r="K6939" s="2" t="s">
        <v>12</v>
      </c>
    </row>
    <row r="6940" spans="1:11" ht="12.5" x14ac:dyDescent="0.25">
      <c r="A6940" s="3" t="e">
        <f ca="1"/>
        <v>#NAME?</v>
      </c>
      <c r="B6940" s="2" t="s">
        <v>12</v>
      </c>
      <c r="C6940" s="2" t="s">
        <v>12</v>
      </c>
      <c r="D6940" s="2" t="s">
        <v>12</v>
      </c>
      <c r="E6940" s="2" t="s">
        <v>12</v>
      </c>
      <c r="F6940" s="2" t="s">
        <v>12</v>
      </c>
      <c r="G6940" s="2" t="s">
        <v>12</v>
      </c>
      <c r="H6940" s="2" t="s">
        <v>12</v>
      </c>
      <c r="I6940" s="2" t="s">
        <v>12</v>
      </c>
      <c r="J6940" s="2" t="s">
        <v>12</v>
      </c>
      <c r="K6940" s="2" t="s">
        <v>12</v>
      </c>
    </row>
    <row r="6941" spans="1:11" ht="12.5" x14ac:dyDescent="0.25">
      <c r="A6941" s="3" t="e">
        <f ca="1"/>
        <v>#NAME?</v>
      </c>
      <c r="B6941" s="2" t="s">
        <v>12</v>
      </c>
      <c r="C6941" s="2" t="s">
        <v>12</v>
      </c>
      <c r="D6941" s="2" t="s">
        <v>12</v>
      </c>
      <c r="E6941" s="2" t="s">
        <v>12</v>
      </c>
      <c r="F6941" s="2" t="s">
        <v>12</v>
      </c>
      <c r="G6941" s="2" t="s">
        <v>12</v>
      </c>
      <c r="H6941" s="2" t="s">
        <v>12</v>
      </c>
      <c r="I6941" s="2" t="s">
        <v>12</v>
      </c>
      <c r="J6941" s="2" t="s">
        <v>12</v>
      </c>
      <c r="K6941" s="2" t="s">
        <v>12</v>
      </c>
    </row>
    <row r="6942" spans="1:11" ht="12.5" x14ac:dyDescent="0.25">
      <c r="A6942" s="3" t="e">
        <f ca="1"/>
        <v>#NAME?</v>
      </c>
      <c r="B6942" s="2" t="s">
        <v>12</v>
      </c>
      <c r="C6942" s="2" t="s">
        <v>12</v>
      </c>
      <c r="D6942" s="2" t="s">
        <v>12</v>
      </c>
      <c r="E6942" s="2" t="s">
        <v>12</v>
      </c>
      <c r="F6942" s="2" t="s">
        <v>12</v>
      </c>
      <c r="G6942" s="2" t="s">
        <v>12</v>
      </c>
      <c r="H6942" s="2" t="s">
        <v>12</v>
      </c>
      <c r="I6942" s="2" t="s">
        <v>12</v>
      </c>
      <c r="J6942" s="2" t="s">
        <v>12</v>
      </c>
      <c r="K6942" s="2" t="s">
        <v>12</v>
      </c>
    </row>
    <row r="6943" spans="1:11" ht="12.5" x14ac:dyDescent="0.25">
      <c r="A6943" s="3" t="e">
        <f ca="1"/>
        <v>#NAME?</v>
      </c>
      <c r="B6943" s="2" t="s">
        <v>12</v>
      </c>
      <c r="C6943" s="2" t="s">
        <v>12</v>
      </c>
      <c r="D6943" s="2" t="s">
        <v>12</v>
      </c>
      <c r="E6943" s="2" t="s">
        <v>12</v>
      </c>
      <c r="F6943" s="2" t="s">
        <v>12</v>
      </c>
      <c r="G6943" s="2" t="s">
        <v>12</v>
      </c>
      <c r="H6943" s="2" t="s">
        <v>12</v>
      </c>
      <c r="I6943" s="2" t="s">
        <v>12</v>
      </c>
      <c r="J6943" s="2" t="s">
        <v>12</v>
      </c>
      <c r="K6943" s="2" t="s">
        <v>12</v>
      </c>
    </row>
    <row r="6944" spans="1:11" ht="12.5" x14ac:dyDescent="0.25">
      <c r="A6944" s="3" t="e">
        <f ca="1"/>
        <v>#NAME?</v>
      </c>
      <c r="B6944" s="2" t="s">
        <v>12</v>
      </c>
      <c r="C6944" s="2" t="s">
        <v>12</v>
      </c>
      <c r="D6944" s="2" t="s">
        <v>12</v>
      </c>
      <c r="E6944" s="2" t="s">
        <v>12</v>
      </c>
      <c r="F6944" s="2" t="s">
        <v>12</v>
      </c>
      <c r="G6944" s="2" t="s">
        <v>12</v>
      </c>
      <c r="H6944" s="2" t="s">
        <v>12</v>
      </c>
      <c r="I6944" s="2" t="s">
        <v>12</v>
      </c>
      <c r="J6944" s="2" t="s">
        <v>12</v>
      </c>
      <c r="K6944" s="2" t="s">
        <v>12</v>
      </c>
    </row>
    <row r="6945" spans="1:11" ht="12.5" x14ac:dyDescent="0.25">
      <c r="A6945" s="3" t="e">
        <f ca="1"/>
        <v>#NAME?</v>
      </c>
      <c r="B6945" s="2" t="s">
        <v>12</v>
      </c>
      <c r="C6945" s="2" t="s">
        <v>12</v>
      </c>
      <c r="D6945" s="2" t="s">
        <v>12</v>
      </c>
      <c r="E6945" s="2" t="s">
        <v>12</v>
      </c>
      <c r="F6945" s="2" t="s">
        <v>12</v>
      </c>
      <c r="G6945" s="2" t="s">
        <v>12</v>
      </c>
      <c r="H6945" s="2" t="s">
        <v>12</v>
      </c>
      <c r="I6945" s="2" t="s">
        <v>12</v>
      </c>
      <c r="J6945" s="2" t="s">
        <v>12</v>
      </c>
      <c r="K6945" s="2" t="s">
        <v>12</v>
      </c>
    </row>
    <row r="6946" spans="1:11" ht="12.5" x14ac:dyDescent="0.25">
      <c r="A6946" s="3" t="e">
        <f ca="1"/>
        <v>#NAME?</v>
      </c>
      <c r="B6946" s="2" t="s">
        <v>12</v>
      </c>
      <c r="C6946" s="2" t="s">
        <v>12</v>
      </c>
      <c r="D6946" s="2" t="s">
        <v>12</v>
      </c>
      <c r="E6946" s="2" t="s">
        <v>12</v>
      </c>
      <c r="F6946" s="2" t="s">
        <v>12</v>
      </c>
      <c r="G6946" s="2" t="s">
        <v>12</v>
      </c>
      <c r="H6946" s="2" t="s">
        <v>12</v>
      </c>
      <c r="I6946" s="2" t="s">
        <v>12</v>
      </c>
      <c r="J6946" s="2" t="s">
        <v>12</v>
      </c>
      <c r="K6946" s="2" t="s">
        <v>12</v>
      </c>
    </row>
    <row r="6947" spans="1:11" ht="12.5" x14ac:dyDescent="0.25">
      <c r="A6947" s="3" t="e">
        <f ca="1"/>
        <v>#NAME?</v>
      </c>
      <c r="B6947" s="2" t="s">
        <v>12</v>
      </c>
      <c r="C6947" s="2" t="s">
        <v>12</v>
      </c>
      <c r="D6947" s="2" t="s">
        <v>12</v>
      </c>
      <c r="E6947" s="2" t="s">
        <v>12</v>
      </c>
      <c r="F6947" s="2" t="s">
        <v>12</v>
      </c>
      <c r="G6947" s="2" t="s">
        <v>12</v>
      </c>
      <c r="H6947" s="2" t="s">
        <v>12</v>
      </c>
      <c r="I6947" s="2" t="s">
        <v>12</v>
      </c>
      <c r="J6947" s="2" t="s">
        <v>12</v>
      </c>
      <c r="K6947" s="2" t="s">
        <v>12</v>
      </c>
    </row>
    <row r="6948" spans="1:11" ht="12.5" x14ac:dyDescent="0.25">
      <c r="A6948" s="3" t="e">
        <f ca="1"/>
        <v>#NAME?</v>
      </c>
      <c r="B6948" s="2" t="s">
        <v>12</v>
      </c>
      <c r="C6948" s="2" t="s">
        <v>12</v>
      </c>
      <c r="D6948" s="2" t="s">
        <v>12</v>
      </c>
      <c r="E6948" s="2" t="s">
        <v>12</v>
      </c>
      <c r="F6948" s="2" t="s">
        <v>12</v>
      </c>
      <c r="G6948" s="2" t="s">
        <v>12</v>
      </c>
      <c r="H6948" s="2" t="s">
        <v>12</v>
      </c>
      <c r="I6948" s="2" t="s">
        <v>12</v>
      </c>
      <c r="J6948" s="2" t="s">
        <v>12</v>
      </c>
      <c r="K6948" s="2" t="s">
        <v>12</v>
      </c>
    </row>
    <row r="6949" spans="1:11" ht="12.5" x14ac:dyDescent="0.25">
      <c r="A6949" s="3" t="e">
        <f ca="1"/>
        <v>#NAME?</v>
      </c>
      <c r="B6949" s="2" t="s">
        <v>12</v>
      </c>
      <c r="C6949" s="2" t="s">
        <v>12</v>
      </c>
      <c r="D6949" s="2" t="s">
        <v>12</v>
      </c>
      <c r="E6949" s="2" t="s">
        <v>12</v>
      </c>
      <c r="F6949" s="2" t="s">
        <v>12</v>
      </c>
      <c r="G6949" s="2" t="s">
        <v>12</v>
      </c>
      <c r="H6949" s="2" t="s">
        <v>12</v>
      </c>
      <c r="I6949" s="2" t="s">
        <v>12</v>
      </c>
      <c r="J6949" s="2" t="s">
        <v>12</v>
      </c>
      <c r="K6949" s="2" t="s">
        <v>12</v>
      </c>
    </row>
    <row r="6950" spans="1:11" ht="12.5" x14ac:dyDescent="0.25">
      <c r="A6950" s="3" t="e">
        <f ca="1"/>
        <v>#NAME?</v>
      </c>
      <c r="B6950" s="2" t="s">
        <v>12</v>
      </c>
      <c r="C6950" s="2" t="s">
        <v>12</v>
      </c>
      <c r="D6950" s="2" t="s">
        <v>12</v>
      </c>
      <c r="E6950" s="2" t="s">
        <v>12</v>
      </c>
      <c r="F6950" s="2" t="s">
        <v>12</v>
      </c>
      <c r="G6950" s="2" t="s">
        <v>12</v>
      </c>
      <c r="H6950" s="2" t="s">
        <v>12</v>
      </c>
      <c r="I6950" s="2" t="s">
        <v>12</v>
      </c>
      <c r="J6950" s="2" t="s">
        <v>12</v>
      </c>
      <c r="K6950" s="2" t="s">
        <v>12</v>
      </c>
    </row>
    <row r="6951" spans="1:11" ht="12.5" x14ac:dyDescent="0.25">
      <c r="A6951" s="3" t="e">
        <f ca="1"/>
        <v>#NAME?</v>
      </c>
      <c r="B6951" s="2" t="s">
        <v>12</v>
      </c>
      <c r="C6951" s="2" t="s">
        <v>12</v>
      </c>
      <c r="D6951" s="2" t="s">
        <v>12</v>
      </c>
      <c r="E6951" s="2" t="s">
        <v>12</v>
      </c>
      <c r="F6951" s="2" t="s">
        <v>12</v>
      </c>
      <c r="G6951" s="2" t="s">
        <v>12</v>
      </c>
      <c r="H6951" s="2" t="s">
        <v>12</v>
      </c>
      <c r="I6951" s="2" t="s">
        <v>12</v>
      </c>
      <c r="J6951" s="2" t="s">
        <v>12</v>
      </c>
      <c r="K6951" s="2" t="s">
        <v>12</v>
      </c>
    </row>
    <row r="6952" spans="1:11" ht="12.5" x14ac:dyDescent="0.25">
      <c r="A6952" s="3" t="e">
        <f ca="1"/>
        <v>#NAME?</v>
      </c>
      <c r="B6952" s="2" t="s">
        <v>12</v>
      </c>
      <c r="C6952" s="2" t="s">
        <v>12</v>
      </c>
      <c r="D6952" s="2" t="s">
        <v>12</v>
      </c>
      <c r="E6952" s="2" t="s">
        <v>12</v>
      </c>
      <c r="F6952" s="2" t="s">
        <v>12</v>
      </c>
      <c r="G6952" s="2" t="s">
        <v>12</v>
      </c>
      <c r="H6952" s="2" t="s">
        <v>12</v>
      </c>
      <c r="I6952" s="2" t="s">
        <v>12</v>
      </c>
      <c r="J6952" s="2" t="s">
        <v>12</v>
      </c>
      <c r="K6952" s="2" t="s">
        <v>12</v>
      </c>
    </row>
    <row r="6953" spans="1:11" ht="12.5" x14ac:dyDescent="0.25">
      <c r="A6953" s="3" t="e">
        <f ca="1"/>
        <v>#NAME?</v>
      </c>
      <c r="B6953" s="2" t="s">
        <v>12</v>
      </c>
      <c r="C6953" s="2" t="s">
        <v>12</v>
      </c>
      <c r="D6953" s="2" t="s">
        <v>12</v>
      </c>
      <c r="E6953" s="2" t="s">
        <v>12</v>
      </c>
      <c r="F6953" s="2" t="s">
        <v>12</v>
      </c>
      <c r="G6953" s="2" t="s">
        <v>12</v>
      </c>
      <c r="H6953" s="2" t="s">
        <v>12</v>
      </c>
      <c r="I6953" s="2" t="s">
        <v>12</v>
      </c>
      <c r="J6953" s="2" t="s">
        <v>12</v>
      </c>
      <c r="K6953" s="2" t="s">
        <v>12</v>
      </c>
    </row>
    <row r="6954" spans="1:11" ht="12.5" x14ac:dyDescent="0.25">
      <c r="A6954" s="3" t="e">
        <f ca="1"/>
        <v>#NAME?</v>
      </c>
      <c r="B6954" s="2" t="s">
        <v>12</v>
      </c>
      <c r="C6954" s="2" t="s">
        <v>12</v>
      </c>
      <c r="D6954" s="2" t="s">
        <v>12</v>
      </c>
      <c r="E6954" s="2" t="s">
        <v>12</v>
      </c>
      <c r="F6954" s="2" t="s">
        <v>12</v>
      </c>
      <c r="G6954" s="2" t="s">
        <v>12</v>
      </c>
      <c r="H6954" s="2" t="s">
        <v>12</v>
      </c>
      <c r="I6954" s="2" t="s">
        <v>12</v>
      </c>
      <c r="J6954" s="2" t="s">
        <v>12</v>
      </c>
      <c r="K6954" s="2" t="s">
        <v>12</v>
      </c>
    </row>
    <row r="6955" spans="1:11" ht="12.5" x14ac:dyDescent="0.25">
      <c r="A6955" s="3" t="e">
        <f ca="1"/>
        <v>#NAME?</v>
      </c>
      <c r="B6955" s="2" t="s">
        <v>12</v>
      </c>
      <c r="C6955" s="2" t="s">
        <v>12</v>
      </c>
      <c r="D6955" s="2" t="s">
        <v>12</v>
      </c>
      <c r="E6955" s="2" t="s">
        <v>12</v>
      </c>
      <c r="F6955" s="2" t="s">
        <v>12</v>
      </c>
      <c r="G6955" s="2" t="s">
        <v>12</v>
      </c>
      <c r="H6955" s="2" t="s">
        <v>12</v>
      </c>
      <c r="I6955" s="2" t="s">
        <v>12</v>
      </c>
      <c r="J6955" s="2" t="s">
        <v>12</v>
      </c>
      <c r="K6955" s="2" t="s">
        <v>12</v>
      </c>
    </row>
    <row r="6956" spans="1:11" ht="12.5" x14ac:dyDescent="0.25">
      <c r="A6956" s="3" t="e">
        <f ca="1"/>
        <v>#NAME?</v>
      </c>
      <c r="B6956" s="2" t="s">
        <v>12</v>
      </c>
      <c r="C6956" s="2" t="s">
        <v>12</v>
      </c>
      <c r="D6956" s="2" t="s">
        <v>12</v>
      </c>
      <c r="E6956" s="2" t="s">
        <v>12</v>
      </c>
      <c r="F6956" s="2" t="s">
        <v>12</v>
      </c>
      <c r="G6956" s="2" t="s">
        <v>12</v>
      </c>
      <c r="H6956" s="2" t="s">
        <v>12</v>
      </c>
      <c r="I6956" s="2" t="s">
        <v>12</v>
      </c>
      <c r="J6956" s="2" t="s">
        <v>12</v>
      </c>
      <c r="K6956" s="2" t="s">
        <v>12</v>
      </c>
    </row>
    <row r="6957" spans="1:11" ht="12.5" x14ac:dyDescent="0.25">
      <c r="A6957" s="3" t="e">
        <f ca="1"/>
        <v>#NAME?</v>
      </c>
      <c r="B6957" s="2" t="s">
        <v>12</v>
      </c>
      <c r="C6957" s="2" t="s">
        <v>12</v>
      </c>
      <c r="D6957" s="2" t="s">
        <v>12</v>
      </c>
      <c r="E6957" s="2" t="s">
        <v>12</v>
      </c>
      <c r="F6957" s="2" t="s">
        <v>12</v>
      </c>
      <c r="G6957" s="2" t="s">
        <v>12</v>
      </c>
      <c r="H6957" s="2" t="s">
        <v>12</v>
      </c>
      <c r="I6957" s="2" t="s">
        <v>12</v>
      </c>
      <c r="J6957" s="2" t="s">
        <v>12</v>
      </c>
      <c r="K6957" s="2" t="s">
        <v>12</v>
      </c>
    </row>
    <row r="6958" spans="1:11" ht="12.5" x14ac:dyDescent="0.25">
      <c r="A6958" s="3" t="e">
        <f ca="1"/>
        <v>#NAME?</v>
      </c>
      <c r="B6958" s="2" t="s">
        <v>12</v>
      </c>
      <c r="C6958" s="2" t="s">
        <v>12</v>
      </c>
      <c r="D6958" s="2" t="s">
        <v>12</v>
      </c>
      <c r="E6958" s="2" t="s">
        <v>12</v>
      </c>
      <c r="F6958" s="2" t="s">
        <v>12</v>
      </c>
      <c r="G6958" s="2" t="s">
        <v>12</v>
      </c>
      <c r="H6958" s="2" t="s">
        <v>12</v>
      </c>
      <c r="I6958" s="2" t="s">
        <v>12</v>
      </c>
      <c r="J6958" s="2" t="s">
        <v>12</v>
      </c>
      <c r="K6958" s="2" t="s">
        <v>12</v>
      </c>
    </row>
    <row r="6959" spans="1:11" ht="12.5" x14ac:dyDescent="0.25">
      <c r="A6959" s="3" t="e">
        <f ca="1"/>
        <v>#NAME?</v>
      </c>
      <c r="B6959" s="2" t="s">
        <v>12</v>
      </c>
      <c r="C6959" s="2" t="s">
        <v>12</v>
      </c>
      <c r="D6959" s="2" t="s">
        <v>12</v>
      </c>
      <c r="E6959" s="2" t="s">
        <v>12</v>
      </c>
      <c r="F6959" s="2" t="s">
        <v>12</v>
      </c>
      <c r="G6959" s="2" t="s">
        <v>12</v>
      </c>
      <c r="H6959" s="2" t="s">
        <v>12</v>
      </c>
      <c r="I6959" s="2" t="s">
        <v>12</v>
      </c>
      <c r="J6959" s="2" t="s">
        <v>12</v>
      </c>
      <c r="K6959" s="2" t="s">
        <v>12</v>
      </c>
    </row>
    <row r="6960" spans="1:11" ht="12.5" x14ac:dyDescent="0.25">
      <c r="A6960" s="3" t="e">
        <f ca="1"/>
        <v>#NAME?</v>
      </c>
      <c r="B6960" s="2" t="s">
        <v>12</v>
      </c>
      <c r="C6960" s="2" t="s">
        <v>12</v>
      </c>
      <c r="D6960" s="2" t="s">
        <v>12</v>
      </c>
      <c r="E6960" s="2" t="s">
        <v>12</v>
      </c>
      <c r="F6960" s="2" t="s">
        <v>12</v>
      </c>
      <c r="G6960" s="2" t="s">
        <v>12</v>
      </c>
      <c r="H6960" s="2" t="s">
        <v>12</v>
      </c>
      <c r="I6960" s="2" t="s">
        <v>12</v>
      </c>
      <c r="J6960" s="2" t="s">
        <v>12</v>
      </c>
      <c r="K6960" s="2" t="s">
        <v>12</v>
      </c>
    </row>
    <row r="6961" spans="1:11" ht="12.5" x14ac:dyDescent="0.25">
      <c r="A6961" s="3" t="e">
        <f ca="1"/>
        <v>#NAME?</v>
      </c>
      <c r="B6961" s="2" t="s">
        <v>12</v>
      </c>
      <c r="C6961" s="2" t="s">
        <v>12</v>
      </c>
      <c r="D6961" s="2" t="s">
        <v>12</v>
      </c>
      <c r="E6961" s="2" t="s">
        <v>12</v>
      </c>
      <c r="F6961" s="2" t="s">
        <v>12</v>
      </c>
      <c r="G6961" s="2" t="s">
        <v>12</v>
      </c>
      <c r="H6961" s="2" t="s">
        <v>12</v>
      </c>
      <c r="I6961" s="2" t="s">
        <v>12</v>
      </c>
      <c r="J6961" s="2" t="s">
        <v>12</v>
      </c>
      <c r="K6961" s="2" t="s">
        <v>12</v>
      </c>
    </row>
    <row r="6962" spans="1:11" ht="12.5" x14ac:dyDescent="0.25">
      <c r="A6962" s="3" t="e">
        <f ca="1"/>
        <v>#NAME?</v>
      </c>
      <c r="B6962" s="2" t="s">
        <v>12</v>
      </c>
      <c r="C6962" s="2" t="s">
        <v>12</v>
      </c>
      <c r="D6962" s="2" t="s">
        <v>12</v>
      </c>
      <c r="E6962" s="2" t="s">
        <v>12</v>
      </c>
      <c r="F6962" s="2" t="s">
        <v>12</v>
      </c>
      <c r="G6962" s="2" t="s">
        <v>12</v>
      </c>
      <c r="H6962" s="2" t="s">
        <v>12</v>
      </c>
      <c r="I6962" s="2" t="s">
        <v>12</v>
      </c>
      <c r="J6962" s="2" t="s">
        <v>12</v>
      </c>
      <c r="K6962" s="2" t="s">
        <v>12</v>
      </c>
    </row>
    <row r="6963" spans="1:11" ht="12.5" x14ac:dyDescent="0.25">
      <c r="A6963" s="3" t="e">
        <f ca="1"/>
        <v>#NAME?</v>
      </c>
      <c r="B6963" s="2" t="s">
        <v>12</v>
      </c>
      <c r="C6963" s="2" t="s">
        <v>12</v>
      </c>
      <c r="D6963" s="2" t="s">
        <v>12</v>
      </c>
      <c r="E6963" s="2" t="s">
        <v>12</v>
      </c>
      <c r="F6963" s="2" t="s">
        <v>12</v>
      </c>
      <c r="G6963" s="2" t="s">
        <v>12</v>
      </c>
      <c r="H6963" s="2" t="s">
        <v>12</v>
      </c>
      <c r="I6963" s="2" t="s">
        <v>12</v>
      </c>
      <c r="J6963" s="2" t="s">
        <v>12</v>
      </c>
      <c r="K6963" s="2" t="s">
        <v>12</v>
      </c>
    </row>
    <row r="6964" spans="1:11" ht="12.5" x14ac:dyDescent="0.25">
      <c r="A6964" s="3" t="e">
        <f ca="1"/>
        <v>#NAME?</v>
      </c>
      <c r="B6964" s="2" t="s">
        <v>12</v>
      </c>
      <c r="C6964" s="2" t="s">
        <v>12</v>
      </c>
      <c r="D6964" s="2" t="s">
        <v>12</v>
      </c>
      <c r="E6964" s="2" t="s">
        <v>12</v>
      </c>
      <c r="F6964" s="2" t="s">
        <v>12</v>
      </c>
      <c r="G6964" s="2" t="s">
        <v>12</v>
      </c>
      <c r="H6964" s="2" t="s">
        <v>12</v>
      </c>
      <c r="I6964" s="2" t="s">
        <v>12</v>
      </c>
      <c r="J6964" s="2" t="s">
        <v>12</v>
      </c>
      <c r="K6964" s="2" t="s">
        <v>12</v>
      </c>
    </row>
    <row r="6965" spans="1:11" ht="12.5" x14ac:dyDescent="0.25">
      <c r="A6965" s="3" t="e">
        <f ca="1"/>
        <v>#NAME?</v>
      </c>
      <c r="B6965" s="2" t="s">
        <v>12</v>
      </c>
      <c r="C6965" s="2" t="s">
        <v>12</v>
      </c>
      <c r="D6965" s="2" t="s">
        <v>12</v>
      </c>
      <c r="E6965" s="2" t="s">
        <v>12</v>
      </c>
      <c r="F6965" s="2" t="s">
        <v>12</v>
      </c>
      <c r="G6965" s="2" t="s">
        <v>12</v>
      </c>
      <c r="H6965" s="2" t="s">
        <v>12</v>
      </c>
      <c r="I6965" s="2" t="s">
        <v>12</v>
      </c>
      <c r="J6965" s="2" t="s">
        <v>12</v>
      </c>
      <c r="K6965" s="2" t="s">
        <v>12</v>
      </c>
    </row>
    <row r="6966" spans="1:11" ht="12.5" x14ac:dyDescent="0.25">
      <c r="A6966" s="3" t="e">
        <f ca="1"/>
        <v>#NAME?</v>
      </c>
      <c r="B6966" s="2" t="s">
        <v>12</v>
      </c>
      <c r="C6966" s="2" t="s">
        <v>12</v>
      </c>
      <c r="D6966" s="2" t="s">
        <v>12</v>
      </c>
      <c r="E6966" s="2" t="s">
        <v>12</v>
      </c>
      <c r="F6966" s="2" t="s">
        <v>12</v>
      </c>
      <c r="G6966" s="2" t="s">
        <v>12</v>
      </c>
      <c r="H6966" s="2" t="s">
        <v>12</v>
      </c>
      <c r="I6966" s="2" t="s">
        <v>12</v>
      </c>
      <c r="J6966" s="2" t="s">
        <v>12</v>
      </c>
      <c r="K6966" s="2" t="s">
        <v>12</v>
      </c>
    </row>
    <row r="6967" spans="1:11" ht="12.5" x14ac:dyDescent="0.25">
      <c r="A6967" s="3" t="e">
        <f ca="1"/>
        <v>#NAME?</v>
      </c>
      <c r="B6967" s="2" t="s">
        <v>12</v>
      </c>
      <c r="C6967" s="2" t="s">
        <v>12</v>
      </c>
      <c r="D6967" s="2" t="s">
        <v>12</v>
      </c>
      <c r="E6967" s="2" t="s">
        <v>12</v>
      </c>
      <c r="F6967" s="2" t="s">
        <v>12</v>
      </c>
      <c r="G6967" s="2" t="s">
        <v>12</v>
      </c>
      <c r="H6967" s="2" t="s">
        <v>12</v>
      </c>
      <c r="I6967" s="2" t="s">
        <v>12</v>
      </c>
      <c r="J6967" s="2" t="s">
        <v>12</v>
      </c>
      <c r="K6967" s="2" t="s">
        <v>12</v>
      </c>
    </row>
    <row r="6968" spans="1:11" ht="12.5" x14ac:dyDescent="0.25">
      <c r="A6968" s="3" t="e">
        <f ca="1"/>
        <v>#NAME?</v>
      </c>
      <c r="B6968" s="2" t="s">
        <v>12</v>
      </c>
      <c r="C6968" s="2" t="s">
        <v>12</v>
      </c>
      <c r="D6968" s="2" t="s">
        <v>12</v>
      </c>
      <c r="E6968" s="2" t="s">
        <v>12</v>
      </c>
      <c r="F6968" s="2" t="s">
        <v>12</v>
      </c>
      <c r="G6968" s="2" t="s">
        <v>12</v>
      </c>
      <c r="H6968" s="2" t="s">
        <v>12</v>
      </c>
      <c r="I6968" s="2" t="s">
        <v>12</v>
      </c>
      <c r="J6968" s="2" t="s">
        <v>12</v>
      </c>
      <c r="K6968" s="2" t="s">
        <v>12</v>
      </c>
    </row>
    <row r="6969" spans="1:11" ht="12.5" x14ac:dyDescent="0.25">
      <c r="A6969" s="3" t="e">
        <f ca="1"/>
        <v>#NAME?</v>
      </c>
      <c r="B6969" s="2" t="s">
        <v>12</v>
      </c>
      <c r="C6969" s="2" t="s">
        <v>12</v>
      </c>
      <c r="D6969" s="2" t="s">
        <v>12</v>
      </c>
      <c r="E6969" s="2" t="s">
        <v>12</v>
      </c>
      <c r="F6969" s="2" t="s">
        <v>12</v>
      </c>
      <c r="G6969" s="2" t="s">
        <v>12</v>
      </c>
      <c r="H6969" s="2" t="s">
        <v>12</v>
      </c>
      <c r="I6969" s="2" t="s">
        <v>12</v>
      </c>
      <c r="J6969" s="2" t="s">
        <v>12</v>
      </c>
      <c r="K6969" s="2" t="s">
        <v>12</v>
      </c>
    </row>
    <row r="6970" spans="1:11" ht="12.5" x14ac:dyDescent="0.25">
      <c r="A6970" s="3" t="e">
        <f ca="1"/>
        <v>#NAME?</v>
      </c>
      <c r="B6970" s="2" t="s">
        <v>12</v>
      </c>
      <c r="C6970" s="2" t="s">
        <v>12</v>
      </c>
      <c r="D6970" s="2" t="s">
        <v>12</v>
      </c>
      <c r="E6970" s="2" t="s">
        <v>12</v>
      </c>
      <c r="F6970" s="2" t="s">
        <v>12</v>
      </c>
      <c r="G6970" s="2" t="s">
        <v>12</v>
      </c>
      <c r="H6970" s="2" t="s">
        <v>12</v>
      </c>
      <c r="I6970" s="2" t="s">
        <v>12</v>
      </c>
      <c r="J6970" s="2" t="s">
        <v>12</v>
      </c>
      <c r="K6970" s="2" t="s">
        <v>12</v>
      </c>
    </row>
    <row r="6971" spans="1:11" ht="12.5" x14ac:dyDescent="0.25">
      <c r="A6971" s="3" t="e">
        <f ca="1"/>
        <v>#NAME?</v>
      </c>
      <c r="B6971" s="2" t="s">
        <v>12</v>
      </c>
      <c r="C6971" s="2" t="s">
        <v>12</v>
      </c>
      <c r="D6971" s="2" t="s">
        <v>12</v>
      </c>
      <c r="E6971" s="2" t="s">
        <v>12</v>
      </c>
      <c r="F6971" s="2" t="s">
        <v>12</v>
      </c>
      <c r="G6971" s="2" t="s">
        <v>12</v>
      </c>
      <c r="H6971" s="2" t="s">
        <v>12</v>
      </c>
      <c r="I6971" s="2" t="s">
        <v>12</v>
      </c>
      <c r="J6971" s="2" t="s">
        <v>12</v>
      </c>
      <c r="K6971" s="2" t="s">
        <v>12</v>
      </c>
    </row>
    <row r="6972" spans="1:11" ht="12.5" x14ac:dyDescent="0.25">
      <c r="A6972" s="3" t="e">
        <f ca="1"/>
        <v>#NAME?</v>
      </c>
      <c r="B6972" s="2" t="s">
        <v>12</v>
      </c>
      <c r="C6972" s="2" t="s">
        <v>12</v>
      </c>
      <c r="D6972" s="2" t="s">
        <v>12</v>
      </c>
      <c r="E6972" s="2" t="s">
        <v>12</v>
      </c>
      <c r="F6972" s="2" t="s">
        <v>12</v>
      </c>
      <c r="G6972" s="2" t="s">
        <v>12</v>
      </c>
      <c r="H6972" s="2" t="s">
        <v>12</v>
      </c>
      <c r="I6972" s="2" t="s">
        <v>12</v>
      </c>
      <c r="J6972" s="2" t="s">
        <v>12</v>
      </c>
      <c r="K6972" s="2" t="s">
        <v>12</v>
      </c>
    </row>
    <row r="6973" spans="1:11" ht="12.5" x14ac:dyDescent="0.25">
      <c r="A6973" s="3" t="e">
        <f ca="1"/>
        <v>#NAME?</v>
      </c>
      <c r="B6973" s="2" t="s">
        <v>12</v>
      </c>
      <c r="C6973" s="2" t="s">
        <v>12</v>
      </c>
      <c r="D6973" s="2" t="s">
        <v>12</v>
      </c>
      <c r="E6973" s="2" t="s">
        <v>12</v>
      </c>
      <c r="F6973" s="2" t="s">
        <v>12</v>
      </c>
      <c r="G6973" s="2" t="s">
        <v>12</v>
      </c>
      <c r="H6973" s="2" t="s">
        <v>12</v>
      </c>
      <c r="I6973" s="2" t="s">
        <v>12</v>
      </c>
      <c r="J6973" s="2" t="s">
        <v>12</v>
      </c>
      <c r="K6973" s="2" t="s">
        <v>12</v>
      </c>
    </row>
    <row r="6974" spans="1:11" ht="12.5" x14ac:dyDescent="0.25">
      <c r="A6974" s="3" t="e">
        <f ca="1"/>
        <v>#NAME?</v>
      </c>
      <c r="B6974" s="2" t="s">
        <v>12</v>
      </c>
      <c r="C6974" s="2" t="s">
        <v>12</v>
      </c>
      <c r="D6974" s="2" t="s">
        <v>12</v>
      </c>
      <c r="E6974" s="2" t="s">
        <v>12</v>
      </c>
      <c r="F6974" s="2" t="s">
        <v>12</v>
      </c>
      <c r="G6974" s="2" t="s">
        <v>12</v>
      </c>
      <c r="H6974" s="2" t="s">
        <v>12</v>
      </c>
      <c r="I6974" s="2" t="s">
        <v>12</v>
      </c>
      <c r="J6974" s="2" t="s">
        <v>12</v>
      </c>
      <c r="K6974" s="2" t="s">
        <v>12</v>
      </c>
    </row>
    <row r="6975" spans="1:11" ht="12.5" x14ac:dyDescent="0.25">
      <c r="A6975" s="3" t="e">
        <f ca="1"/>
        <v>#NAME?</v>
      </c>
      <c r="B6975" s="2" t="s">
        <v>12</v>
      </c>
      <c r="C6975" s="2" t="s">
        <v>12</v>
      </c>
      <c r="D6975" s="2" t="s">
        <v>12</v>
      </c>
      <c r="E6975" s="2" t="s">
        <v>12</v>
      </c>
      <c r="F6975" s="2" t="s">
        <v>12</v>
      </c>
      <c r="G6975" s="2" t="s">
        <v>12</v>
      </c>
      <c r="H6975" s="2" t="s">
        <v>12</v>
      </c>
      <c r="I6975" s="2" t="s">
        <v>12</v>
      </c>
      <c r="J6975" s="2" t="s">
        <v>12</v>
      </c>
      <c r="K6975" s="2" t="s">
        <v>12</v>
      </c>
    </row>
    <row r="6976" spans="1:11" ht="12.5" x14ac:dyDescent="0.25">
      <c r="A6976" s="3" t="e">
        <f ca="1"/>
        <v>#NAME?</v>
      </c>
      <c r="B6976" s="2" t="s">
        <v>12</v>
      </c>
      <c r="C6976" s="2" t="s">
        <v>12</v>
      </c>
      <c r="D6976" s="2" t="s">
        <v>12</v>
      </c>
      <c r="E6976" s="2" t="s">
        <v>12</v>
      </c>
      <c r="F6976" s="2" t="s">
        <v>12</v>
      </c>
      <c r="G6976" s="2" t="s">
        <v>12</v>
      </c>
      <c r="H6976" s="2" t="s">
        <v>12</v>
      </c>
      <c r="I6976" s="2" t="s">
        <v>12</v>
      </c>
      <c r="J6976" s="2" t="s">
        <v>12</v>
      </c>
      <c r="K6976" s="2" t="s">
        <v>12</v>
      </c>
    </row>
    <row r="6977" spans="1:11" ht="12.5" x14ac:dyDescent="0.25">
      <c r="A6977" s="3" t="e">
        <f ca="1"/>
        <v>#NAME?</v>
      </c>
      <c r="B6977" s="2" t="s">
        <v>12</v>
      </c>
      <c r="C6977" s="2" t="s">
        <v>12</v>
      </c>
      <c r="D6977" s="2" t="s">
        <v>12</v>
      </c>
      <c r="E6977" s="2" t="s">
        <v>12</v>
      </c>
      <c r="F6977" s="2" t="s">
        <v>12</v>
      </c>
      <c r="G6977" s="2" t="s">
        <v>12</v>
      </c>
      <c r="H6977" s="2" t="s">
        <v>12</v>
      </c>
      <c r="I6977" s="2" t="s">
        <v>12</v>
      </c>
      <c r="J6977" s="2" t="s">
        <v>12</v>
      </c>
      <c r="K6977" s="2" t="s">
        <v>12</v>
      </c>
    </row>
    <row r="6978" spans="1:11" ht="12.5" x14ac:dyDescent="0.25">
      <c r="A6978" s="3" t="e">
        <f ca="1"/>
        <v>#NAME?</v>
      </c>
      <c r="B6978" s="2" t="s">
        <v>12</v>
      </c>
      <c r="C6978" s="2" t="s">
        <v>12</v>
      </c>
      <c r="D6978" s="2" t="s">
        <v>12</v>
      </c>
      <c r="E6978" s="2" t="s">
        <v>12</v>
      </c>
      <c r="F6978" s="2" t="s">
        <v>12</v>
      </c>
      <c r="G6978" s="2" t="s">
        <v>12</v>
      </c>
      <c r="H6978" s="2" t="s">
        <v>12</v>
      </c>
      <c r="I6978" s="2" t="s">
        <v>12</v>
      </c>
      <c r="J6978" s="2" t="s">
        <v>12</v>
      </c>
      <c r="K6978" s="2" t="s">
        <v>12</v>
      </c>
    </row>
    <row r="6979" spans="1:11" ht="12.5" x14ac:dyDescent="0.25">
      <c r="A6979" s="3" t="e">
        <f ca="1"/>
        <v>#NAME?</v>
      </c>
      <c r="B6979" s="2" t="s">
        <v>12</v>
      </c>
      <c r="C6979" s="2" t="s">
        <v>12</v>
      </c>
      <c r="D6979" s="2" t="s">
        <v>12</v>
      </c>
      <c r="E6979" s="2" t="s">
        <v>12</v>
      </c>
      <c r="F6979" s="2" t="s">
        <v>12</v>
      </c>
      <c r="G6979" s="2" t="s">
        <v>12</v>
      </c>
      <c r="H6979" s="2" t="s">
        <v>12</v>
      </c>
      <c r="I6979" s="2" t="s">
        <v>12</v>
      </c>
      <c r="J6979" s="2" t="s">
        <v>12</v>
      </c>
      <c r="K6979" s="2" t="s">
        <v>12</v>
      </c>
    </row>
    <row r="6980" spans="1:11" ht="12.5" x14ac:dyDescent="0.25">
      <c r="A6980" s="3" t="e">
        <f ca="1"/>
        <v>#NAME?</v>
      </c>
      <c r="B6980" s="2" t="s">
        <v>12</v>
      </c>
      <c r="C6980" s="2" t="s">
        <v>12</v>
      </c>
      <c r="D6980" s="2" t="s">
        <v>12</v>
      </c>
      <c r="E6980" s="2" t="s">
        <v>12</v>
      </c>
      <c r="F6980" s="2" t="s">
        <v>12</v>
      </c>
      <c r="G6980" s="2" t="s">
        <v>12</v>
      </c>
      <c r="H6980" s="2" t="s">
        <v>12</v>
      </c>
      <c r="I6980" s="2" t="s">
        <v>12</v>
      </c>
      <c r="J6980" s="2" t="s">
        <v>12</v>
      </c>
      <c r="K6980" s="2" t="s">
        <v>12</v>
      </c>
    </row>
    <row r="6981" spans="1:11" ht="12.5" x14ac:dyDescent="0.25">
      <c r="A6981" s="3" t="e">
        <f ca="1"/>
        <v>#NAME?</v>
      </c>
      <c r="B6981" s="2" t="s">
        <v>12</v>
      </c>
      <c r="C6981" s="2" t="s">
        <v>12</v>
      </c>
      <c r="D6981" s="2" t="s">
        <v>12</v>
      </c>
      <c r="E6981" s="2" t="s">
        <v>12</v>
      </c>
      <c r="F6981" s="2" t="s">
        <v>12</v>
      </c>
      <c r="G6981" s="2" t="s">
        <v>12</v>
      </c>
      <c r="H6981" s="2" t="s">
        <v>12</v>
      </c>
      <c r="I6981" s="2" t="s">
        <v>12</v>
      </c>
      <c r="J6981" s="2" t="s">
        <v>12</v>
      </c>
      <c r="K6981" s="2" t="s">
        <v>12</v>
      </c>
    </row>
    <row r="6982" spans="1:11" ht="12.5" x14ac:dyDescent="0.25">
      <c r="A6982" s="3" t="e">
        <f ca="1"/>
        <v>#NAME?</v>
      </c>
      <c r="B6982" s="2" t="s">
        <v>12</v>
      </c>
      <c r="C6982" s="2" t="s">
        <v>12</v>
      </c>
      <c r="D6982" s="2" t="s">
        <v>12</v>
      </c>
      <c r="E6982" s="2" t="s">
        <v>12</v>
      </c>
      <c r="F6982" s="2" t="s">
        <v>12</v>
      </c>
      <c r="G6982" s="2" t="s">
        <v>12</v>
      </c>
      <c r="H6982" s="2" t="s">
        <v>12</v>
      </c>
      <c r="I6982" s="2" t="s">
        <v>12</v>
      </c>
      <c r="J6982" s="2" t="s">
        <v>12</v>
      </c>
      <c r="K6982" s="2" t="s">
        <v>12</v>
      </c>
    </row>
    <row r="6983" spans="1:11" ht="12.5" x14ac:dyDescent="0.25">
      <c r="A6983" s="3" t="e">
        <f ca="1"/>
        <v>#NAME?</v>
      </c>
      <c r="B6983" s="2" t="s">
        <v>12</v>
      </c>
      <c r="C6983" s="2" t="s">
        <v>12</v>
      </c>
      <c r="D6983" s="2" t="s">
        <v>12</v>
      </c>
      <c r="E6983" s="2" t="s">
        <v>12</v>
      </c>
      <c r="F6983" s="2" t="s">
        <v>12</v>
      </c>
      <c r="G6983" s="2" t="s">
        <v>12</v>
      </c>
      <c r="H6983" s="2" t="s">
        <v>12</v>
      </c>
      <c r="I6983" s="2" t="s">
        <v>12</v>
      </c>
      <c r="J6983" s="2" t="s">
        <v>12</v>
      </c>
      <c r="K6983" s="2" t="s">
        <v>12</v>
      </c>
    </row>
    <row r="6984" spans="1:11" ht="12.5" x14ac:dyDescent="0.25">
      <c r="A6984" s="3" t="e">
        <f ca="1"/>
        <v>#NAME?</v>
      </c>
      <c r="B6984" s="2" t="s">
        <v>12</v>
      </c>
      <c r="C6984" s="2" t="s">
        <v>12</v>
      </c>
      <c r="D6984" s="2" t="s">
        <v>12</v>
      </c>
      <c r="E6984" s="2" t="s">
        <v>12</v>
      </c>
      <c r="F6984" s="2" t="s">
        <v>12</v>
      </c>
      <c r="G6984" s="2" t="s">
        <v>12</v>
      </c>
      <c r="H6984" s="2" t="s">
        <v>12</v>
      </c>
      <c r="I6984" s="2" t="s">
        <v>12</v>
      </c>
      <c r="J6984" s="2" t="s">
        <v>12</v>
      </c>
      <c r="K6984" s="2" t="s">
        <v>12</v>
      </c>
    </row>
    <row r="6985" spans="1:11" ht="12.5" x14ac:dyDescent="0.25">
      <c r="A6985" s="3" t="e">
        <f ca="1"/>
        <v>#NAME?</v>
      </c>
      <c r="B6985" s="2" t="s">
        <v>12</v>
      </c>
      <c r="C6985" s="2" t="s">
        <v>12</v>
      </c>
      <c r="D6985" s="2" t="s">
        <v>12</v>
      </c>
      <c r="E6985" s="2" t="s">
        <v>12</v>
      </c>
      <c r="F6985" s="2" t="s">
        <v>12</v>
      </c>
      <c r="G6985" s="2" t="s">
        <v>12</v>
      </c>
      <c r="H6985" s="2" t="s">
        <v>12</v>
      </c>
      <c r="I6985" s="2" t="s">
        <v>12</v>
      </c>
      <c r="J6985" s="2" t="s">
        <v>12</v>
      </c>
      <c r="K6985" s="2" t="s">
        <v>12</v>
      </c>
    </row>
    <row r="6986" spans="1:11" ht="12.5" x14ac:dyDescent="0.25">
      <c r="A6986" s="3" t="e">
        <f ca="1"/>
        <v>#NAME?</v>
      </c>
      <c r="B6986" s="2" t="s">
        <v>12</v>
      </c>
      <c r="C6986" s="2" t="s">
        <v>12</v>
      </c>
      <c r="D6986" s="2" t="s">
        <v>12</v>
      </c>
      <c r="E6986" s="2" t="s">
        <v>12</v>
      </c>
      <c r="F6986" s="2" t="s">
        <v>12</v>
      </c>
      <c r="G6986" s="2" t="s">
        <v>12</v>
      </c>
      <c r="H6986" s="2" t="s">
        <v>12</v>
      </c>
      <c r="I6986" s="2" t="s">
        <v>12</v>
      </c>
      <c r="J6986" s="2" t="s">
        <v>12</v>
      </c>
      <c r="K6986" s="2" t="s">
        <v>12</v>
      </c>
    </row>
    <row r="6987" spans="1:11" ht="12.5" x14ac:dyDescent="0.25">
      <c r="A6987" s="3" t="e">
        <f ca="1"/>
        <v>#NAME?</v>
      </c>
      <c r="B6987" s="2" t="s">
        <v>12</v>
      </c>
      <c r="C6987" s="2" t="s">
        <v>12</v>
      </c>
      <c r="D6987" s="2" t="s">
        <v>12</v>
      </c>
      <c r="E6987" s="2" t="s">
        <v>12</v>
      </c>
      <c r="F6987" s="2" t="s">
        <v>12</v>
      </c>
      <c r="G6987" s="2" t="s">
        <v>12</v>
      </c>
      <c r="H6987" s="2" t="s">
        <v>12</v>
      </c>
      <c r="I6987" s="2" t="s">
        <v>12</v>
      </c>
      <c r="J6987" s="2" t="s">
        <v>12</v>
      </c>
      <c r="K6987" s="2" t="s">
        <v>12</v>
      </c>
    </row>
    <row r="6988" spans="1:11" ht="12.5" x14ac:dyDescent="0.25">
      <c r="A6988" s="3" t="e">
        <f ca="1"/>
        <v>#NAME?</v>
      </c>
      <c r="B6988" s="2" t="s">
        <v>12</v>
      </c>
      <c r="C6988" s="2" t="s">
        <v>12</v>
      </c>
      <c r="D6988" s="2" t="s">
        <v>12</v>
      </c>
      <c r="E6988" s="2" t="s">
        <v>12</v>
      </c>
      <c r="F6988" s="2" t="s">
        <v>12</v>
      </c>
      <c r="G6988" s="2" t="s">
        <v>12</v>
      </c>
      <c r="H6988" s="2" t="s">
        <v>12</v>
      </c>
      <c r="I6988" s="2" t="s">
        <v>12</v>
      </c>
      <c r="J6988" s="2" t="s">
        <v>12</v>
      </c>
      <c r="K6988" s="2" t="s">
        <v>12</v>
      </c>
    </row>
    <row r="6989" spans="1:11" ht="12.5" x14ac:dyDescent="0.25">
      <c r="A6989" s="3" t="e">
        <f ca="1"/>
        <v>#NAME?</v>
      </c>
      <c r="B6989" s="2" t="s">
        <v>12</v>
      </c>
      <c r="C6989" s="2" t="s">
        <v>12</v>
      </c>
      <c r="D6989" s="2" t="s">
        <v>12</v>
      </c>
      <c r="E6989" s="2" t="s">
        <v>12</v>
      </c>
      <c r="F6989" s="2" t="s">
        <v>12</v>
      </c>
      <c r="G6989" s="2" t="s">
        <v>12</v>
      </c>
      <c r="H6989" s="2" t="s">
        <v>12</v>
      </c>
      <c r="I6989" s="2" t="s">
        <v>12</v>
      </c>
      <c r="J6989" s="2" t="s">
        <v>12</v>
      </c>
      <c r="K6989" s="2" t="s">
        <v>12</v>
      </c>
    </row>
    <row r="6990" spans="1:11" ht="12.5" x14ac:dyDescent="0.25">
      <c r="A6990" s="3" t="e">
        <f ca="1"/>
        <v>#NAME?</v>
      </c>
      <c r="B6990" s="2" t="s">
        <v>12</v>
      </c>
      <c r="C6990" s="2" t="s">
        <v>12</v>
      </c>
      <c r="D6990" s="2" t="s">
        <v>12</v>
      </c>
      <c r="E6990" s="2" t="s">
        <v>12</v>
      </c>
      <c r="F6990" s="2" t="s">
        <v>12</v>
      </c>
      <c r="G6990" s="2" t="s">
        <v>12</v>
      </c>
      <c r="H6990" s="2" t="s">
        <v>12</v>
      </c>
      <c r="I6990" s="2" t="s">
        <v>12</v>
      </c>
      <c r="J6990" s="2" t="s">
        <v>12</v>
      </c>
      <c r="K6990" s="2" t="s">
        <v>12</v>
      </c>
    </row>
    <row r="6991" spans="1:11" ht="12.5" x14ac:dyDescent="0.25">
      <c r="A6991" s="3" t="e">
        <f ca="1"/>
        <v>#NAME?</v>
      </c>
      <c r="B6991" s="2" t="s">
        <v>12</v>
      </c>
      <c r="C6991" s="2" t="s">
        <v>12</v>
      </c>
      <c r="D6991" s="2" t="s">
        <v>12</v>
      </c>
      <c r="E6991" s="2" t="s">
        <v>12</v>
      </c>
      <c r="F6991" s="2" t="s">
        <v>12</v>
      </c>
      <c r="G6991" s="2" t="s">
        <v>12</v>
      </c>
      <c r="H6991" s="2" t="s">
        <v>12</v>
      </c>
      <c r="I6991" s="2" t="s">
        <v>12</v>
      </c>
      <c r="J6991" s="2" t="s">
        <v>12</v>
      </c>
      <c r="K6991" s="2" t="s">
        <v>12</v>
      </c>
    </row>
    <row r="6992" spans="1:11" ht="12.5" x14ac:dyDescent="0.25">
      <c r="A6992" s="3" t="e">
        <f ca="1"/>
        <v>#NAME?</v>
      </c>
      <c r="B6992" s="2" t="s">
        <v>12</v>
      </c>
      <c r="C6992" s="2" t="s">
        <v>12</v>
      </c>
      <c r="D6992" s="2" t="s">
        <v>12</v>
      </c>
      <c r="E6992" s="2" t="s">
        <v>12</v>
      </c>
      <c r="F6992" s="2" t="s">
        <v>12</v>
      </c>
      <c r="G6992" s="2" t="s">
        <v>12</v>
      </c>
      <c r="H6992" s="2" t="s">
        <v>12</v>
      </c>
      <c r="I6992" s="2" t="s">
        <v>12</v>
      </c>
      <c r="J6992" s="2" t="s">
        <v>12</v>
      </c>
      <c r="K6992" s="2" t="s">
        <v>12</v>
      </c>
    </row>
    <row r="6993" spans="1:11" ht="12.5" x14ac:dyDescent="0.25">
      <c r="A6993" s="3" t="e">
        <f ca="1"/>
        <v>#NAME?</v>
      </c>
      <c r="B6993" s="2" t="s">
        <v>12</v>
      </c>
      <c r="C6993" s="2" t="s">
        <v>12</v>
      </c>
      <c r="D6993" s="2" t="s">
        <v>12</v>
      </c>
      <c r="E6993" s="2" t="s">
        <v>12</v>
      </c>
      <c r="F6993" s="2" t="s">
        <v>12</v>
      </c>
      <c r="G6993" s="2" t="s">
        <v>12</v>
      </c>
      <c r="H6993" s="2" t="s">
        <v>12</v>
      </c>
      <c r="I6993" s="2" t="s">
        <v>12</v>
      </c>
      <c r="J6993" s="2" t="s">
        <v>12</v>
      </c>
      <c r="K6993" s="2" t="s">
        <v>12</v>
      </c>
    </row>
    <row r="6994" spans="1:11" ht="12.5" x14ac:dyDescent="0.25">
      <c r="A6994" s="3" t="e">
        <f ca="1"/>
        <v>#NAME?</v>
      </c>
      <c r="B6994" s="2" t="s">
        <v>12</v>
      </c>
      <c r="C6994" s="2" t="s">
        <v>12</v>
      </c>
      <c r="D6994" s="2" t="s">
        <v>12</v>
      </c>
      <c r="E6994" s="2" t="s">
        <v>12</v>
      </c>
      <c r="F6994" s="2" t="s">
        <v>12</v>
      </c>
      <c r="G6994" s="2" t="s">
        <v>12</v>
      </c>
      <c r="H6994" s="2" t="s">
        <v>12</v>
      </c>
      <c r="I6994" s="2" t="s">
        <v>12</v>
      </c>
      <c r="J6994" s="2" t="s">
        <v>12</v>
      </c>
      <c r="K6994" s="2" t="s">
        <v>12</v>
      </c>
    </row>
    <row r="6995" spans="1:11" ht="12.5" x14ac:dyDescent="0.25">
      <c r="A6995" s="3" t="e">
        <f ca="1"/>
        <v>#NAME?</v>
      </c>
      <c r="B6995" s="2" t="s">
        <v>12</v>
      </c>
      <c r="C6995" s="2" t="s">
        <v>12</v>
      </c>
      <c r="D6995" s="2" t="s">
        <v>12</v>
      </c>
      <c r="E6995" s="2" t="s">
        <v>12</v>
      </c>
      <c r="F6995" s="2" t="s">
        <v>12</v>
      </c>
      <c r="G6995" s="2" t="s">
        <v>12</v>
      </c>
      <c r="H6995" s="2" t="s">
        <v>12</v>
      </c>
      <c r="I6995" s="2" t="s">
        <v>12</v>
      </c>
      <c r="J6995" s="2" t="s">
        <v>12</v>
      </c>
      <c r="K6995" s="2" t="s">
        <v>12</v>
      </c>
    </row>
    <row r="6996" spans="1:11" ht="12.5" x14ac:dyDescent="0.25">
      <c r="A6996" s="3" t="e">
        <f ca="1"/>
        <v>#NAME?</v>
      </c>
      <c r="B6996" s="2" t="s">
        <v>12</v>
      </c>
      <c r="C6996" s="2" t="s">
        <v>12</v>
      </c>
      <c r="D6996" s="2" t="s">
        <v>12</v>
      </c>
      <c r="E6996" s="2" t="s">
        <v>12</v>
      </c>
      <c r="F6996" s="2" t="s">
        <v>12</v>
      </c>
      <c r="G6996" s="2" t="s">
        <v>12</v>
      </c>
      <c r="H6996" s="2" t="s">
        <v>12</v>
      </c>
      <c r="I6996" s="2" t="s">
        <v>12</v>
      </c>
      <c r="J6996" s="2" t="s">
        <v>12</v>
      </c>
      <c r="K6996" s="2" t="s">
        <v>12</v>
      </c>
    </row>
    <row r="6997" spans="1:11" ht="12.5" x14ac:dyDescent="0.25">
      <c r="A6997" s="3" t="e">
        <f ca="1"/>
        <v>#NAME?</v>
      </c>
      <c r="B6997" s="2" t="s">
        <v>12</v>
      </c>
      <c r="C6997" s="2" t="s">
        <v>12</v>
      </c>
      <c r="D6997" s="2" t="s">
        <v>12</v>
      </c>
      <c r="E6997" s="2" t="s">
        <v>12</v>
      </c>
      <c r="F6997" s="2" t="s">
        <v>12</v>
      </c>
      <c r="G6997" s="2" t="s">
        <v>12</v>
      </c>
      <c r="H6997" s="2" t="s">
        <v>12</v>
      </c>
      <c r="I6997" s="2" t="s">
        <v>12</v>
      </c>
      <c r="J6997" s="2" t="s">
        <v>12</v>
      </c>
      <c r="K6997" s="2" t="s">
        <v>12</v>
      </c>
    </row>
    <row r="6998" spans="1:11" ht="12.5" x14ac:dyDescent="0.25">
      <c r="A6998" s="3" t="e">
        <f ca="1"/>
        <v>#NAME?</v>
      </c>
      <c r="B6998" s="2" t="s">
        <v>12</v>
      </c>
      <c r="C6998" s="2" t="s">
        <v>12</v>
      </c>
      <c r="D6998" s="2" t="s">
        <v>12</v>
      </c>
      <c r="E6998" s="2" t="s">
        <v>12</v>
      </c>
      <c r="F6998" s="2" t="s">
        <v>12</v>
      </c>
      <c r="G6998" s="2" t="s">
        <v>12</v>
      </c>
      <c r="H6998" s="2" t="s">
        <v>12</v>
      </c>
      <c r="I6998" s="2" t="s">
        <v>12</v>
      </c>
      <c r="J6998" s="2" t="s">
        <v>12</v>
      </c>
      <c r="K6998" s="2" t="s">
        <v>12</v>
      </c>
    </row>
    <row r="6999" spans="1:11" ht="12.5" x14ac:dyDescent="0.25">
      <c r="A6999" s="3" t="e">
        <f ca="1"/>
        <v>#NAME?</v>
      </c>
      <c r="B6999" s="2" t="s">
        <v>12</v>
      </c>
      <c r="C6999" s="2" t="s">
        <v>12</v>
      </c>
      <c r="D6999" s="2" t="s">
        <v>12</v>
      </c>
      <c r="E6999" s="2" t="s">
        <v>12</v>
      </c>
      <c r="F6999" s="2" t="s">
        <v>12</v>
      </c>
      <c r="G6999" s="2" t="s">
        <v>12</v>
      </c>
      <c r="H6999" s="2" t="s">
        <v>12</v>
      </c>
      <c r="I6999" s="2" t="s">
        <v>12</v>
      </c>
      <c r="J6999" s="2" t="s">
        <v>12</v>
      </c>
      <c r="K6999" s="2" t="s">
        <v>12</v>
      </c>
    </row>
    <row r="7000" spans="1:11" ht="12.5" x14ac:dyDescent="0.25">
      <c r="A7000" s="3" t="e">
        <f ca="1"/>
        <v>#NAME?</v>
      </c>
      <c r="B7000" s="2" t="s">
        <v>12</v>
      </c>
      <c r="C7000" s="2" t="s">
        <v>12</v>
      </c>
      <c r="D7000" s="2" t="s">
        <v>12</v>
      </c>
      <c r="E7000" s="2" t="s">
        <v>12</v>
      </c>
      <c r="F7000" s="2" t="s">
        <v>12</v>
      </c>
      <c r="G7000" s="2" t="s">
        <v>12</v>
      </c>
      <c r="H7000" s="2" t="s">
        <v>12</v>
      </c>
      <c r="I7000" s="2" t="s">
        <v>12</v>
      </c>
      <c r="J7000" s="2" t="s">
        <v>12</v>
      </c>
      <c r="K7000" s="2" t="s">
        <v>12</v>
      </c>
    </row>
    <row r="7001" spans="1:11" ht="12.5" x14ac:dyDescent="0.25">
      <c r="A7001" s="3" t="e">
        <f ca="1"/>
        <v>#NAME?</v>
      </c>
      <c r="B7001" s="2" t="s">
        <v>12</v>
      </c>
      <c r="C7001" s="2" t="s">
        <v>12</v>
      </c>
      <c r="D7001" s="2" t="s">
        <v>12</v>
      </c>
      <c r="E7001" s="2" t="s">
        <v>12</v>
      </c>
      <c r="F7001" s="2" t="s">
        <v>12</v>
      </c>
      <c r="G7001" s="2" t="s">
        <v>12</v>
      </c>
      <c r="H7001" s="2" t="s">
        <v>12</v>
      </c>
      <c r="I7001" s="2" t="s">
        <v>12</v>
      </c>
      <c r="J7001" s="2" t="s">
        <v>12</v>
      </c>
      <c r="K7001" s="2" t="s">
        <v>12</v>
      </c>
    </row>
    <row r="7002" spans="1:11" ht="12.5" x14ac:dyDescent="0.25">
      <c r="A7002" s="3" t="e">
        <f ca="1"/>
        <v>#NAME?</v>
      </c>
      <c r="B7002" s="2" t="s">
        <v>12</v>
      </c>
      <c r="C7002" s="2" t="s">
        <v>12</v>
      </c>
      <c r="D7002" s="2" t="s">
        <v>12</v>
      </c>
      <c r="E7002" s="2" t="s">
        <v>12</v>
      </c>
      <c r="F7002" s="2" t="s">
        <v>12</v>
      </c>
      <c r="G7002" s="2" t="s">
        <v>12</v>
      </c>
      <c r="H7002" s="2" t="s">
        <v>12</v>
      </c>
      <c r="I7002" s="2" t="s">
        <v>12</v>
      </c>
      <c r="J7002" s="2" t="s">
        <v>12</v>
      </c>
      <c r="K7002" s="2" t="s">
        <v>12</v>
      </c>
    </row>
    <row r="7003" spans="1:11" ht="12.5" x14ac:dyDescent="0.25">
      <c r="A7003" s="3" t="e">
        <f ca="1"/>
        <v>#NAME?</v>
      </c>
      <c r="B7003" s="2" t="s">
        <v>12</v>
      </c>
      <c r="C7003" s="2" t="s">
        <v>12</v>
      </c>
      <c r="D7003" s="2" t="s">
        <v>12</v>
      </c>
      <c r="E7003" s="2" t="s">
        <v>12</v>
      </c>
      <c r="F7003" s="2" t="s">
        <v>12</v>
      </c>
      <c r="G7003" s="2" t="s">
        <v>12</v>
      </c>
      <c r="H7003" s="2" t="s">
        <v>12</v>
      </c>
      <c r="I7003" s="2" t="s">
        <v>12</v>
      </c>
      <c r="J7003" s="2" t="s">
        <v>12</v>
      </c>
      <c r="K7003" s="2" t="s">
        <v>12</v>
      </c>
    </row>
    <row r="7004" spans="1:11" ht="12.5" x14ac:dyDescent="0.25">
      <c r="A7004" s="3" t="e">
        <f ca="1"/>
        <v>#NAME?</v>
      </c>
      <c r="B7004" s="2" t="s">
        <v>12</v>
      </c>
      <c r="C7004" s="2" t="s">
        <v>12</v>
      </c>
      <c r="D7004" s="2" t="s">
        <v>12</v>
      </c>
      <c r="E7004" s="2" t="s">
        <v>12</v>
      </c>
      <c r="F7004" s="2" t="s">
        <v>12</v>
      </c>
      <c r="G7004" s="2" t="s">
        <v>12</v>
      </c>
      <c r="H7004" s="2" t="s">
        <v>12</v>
      </c>
      <c r="I7004" s="2" t="s">
        <v>12</v>
      </c>
      <c r="J7004" s="2" t="s">
        <v>12</v>
      </c>
      <c r="K7004" s="2" t="s">
        <v>12</v>
      </c>
    </row>
    <row r="7005" spans="1:11" ht="12.5" x14ac:dyDescent="0.25">
      <c r="A7005" s="3" t="e">
        <f ca="1"/>
        <v>#NAME?</v>
      </c>
      <c r="B7005" s="2" t="s">
        <v>12</v>
      </c>
      <c r="C7005" s="2" t="s">
        <v>12</v>
      </c>
      <c r="D7005" s="2" t="s">
        <v>12</v>
      </c>
      <c r="E7005" s="2" t="s">
        <v>12</v>
      </c>
      <c r="F7005" s="2" t="s">
        <v>12</v>
      </c>
      <c r="G7005" s="2" t="s">
        <v>12</v>
      </c>
      <c r="H7005" s="2" t="s">
        <v>12</v>
      </c>
      <c r="I7005" s="2" t="s">
        <v>12</v>
      </c>
      <c r="J7005" s="2" t="s">
        <v>12</v>
      </c>
      <c r="K7005" s="2" t="s">
        <v>12</v>
      </c>
    </row>
    <row r="7006" spans="1:11" ht="12.5" x14ac:dyDescent="0.25">
      <c r="A7006" s="3" t="e">
        <f ca="1"/>
        <v>#NAME?</v>
      </c>
      <c r="B7006" s="2" t="s">
        <v>12</v>
      </c>
      <c r="C7006" s="2" t="s">
        <v>12</v>
      </c>
      <c r="D7006" s="2" t="s">
        <v>12</v>
      </c>
      <c r="E7006" s="2" t="s">
        <v>12</v>
      </c>
      <c r="F7006" s="2" t="s">
        <v>12</v>
      </c>
      <c r="G7006" s="2" t="s">
        <v>12</v>
      </c>
      <c r="H7006" s="2" t="s">
        <v>12</v>
      </c>
      <c r="I7006" s="2" t="s">
        <v>12</v>
      </c>
      <c r="J7006" s="2" t="s">
        <v>12</v>
      </c>
      <c r="K7006" s="2" t="s">
        <v>12</v>
      </c>
    </row>
    <row r="7007" spans="1:11" ht="12.5" x14ac:dyDescent="0.25">
      <c r="A7007" s="3" t="e">
        <f ca="1"/>
        <v>#NAME?</v>
      </c>
      <c r="B7007" s="2" t="s">
        <v>12</v>
      </c>
      <c r="C7007" s="2" t="s">
        <v>12</v>
      </c>
      <c r="D7007" s="2" t="s">
        <v>12</v>
      </c>
      <c r="E7007" s="2" t="s">
        <v>12</v>
      </c>
      <c r="F7007" s="2" t="s">
        <v>12</v>
      </c>
      <c r="G7007" s="2" t="s">
        <v>12</v>
      </c>
      <c r="H7007" s="2" t="s">
        <v>12</v>
      </c>
      <c r="I7007" s="2" t="s">
        <v>12</v>
      </c>
      <c r="J7007" s="2" t="s">
        <v>12</v>
      </c>
      <c r="K7007" s="2" t="s">
        <v>12</v>
      </c>
    </row>
    <row r="7008" spans="1:11" ht="12.5" x14ac:dyDescent="0.25">
      <c r="A7008" s="3" t="e">
        <f ca="1"/>
        <v>#NAME?</v>
      </c>
      <c r="B7008" s="2" t="s">
        <v>12</v>
      </c>
      <c r="C7008" s="2" t="s">
        <v>12</v>
      </c>
      <c r="D7008" s="2" t="s">
        <v>12</v>
      </c>
      <c r="E7008" s="2" t="s">
        <v>12</v>
      </c>
      <c r="F7008" s="2" t="s">
        <v>12</v>
      </c>
      <c r="G7008" s="2" t="s">
        <v>12</v>
      </c>
      <c r="H7008" s="2" t="s">
        <v>12</v>
      </c>
      <c r="I7008" s="2" t="s">
        <v>12</v>
      </c>
      <c r="J7008" s="2" t="s">
        <v>12</v>
      </c>
      <c r="K7008" s="2" t="s">
        <v>12</v>
      </c>
    </row>
    <row r="7009" spans="1:11" ht="12.5" x14ac:dyDescent="0.25">
      <c r="A7009" s="3" t="e">
        <f ca="1"/>
        <v>#NAME?</v>
      </c>
      <c r="B7009" s="2" t="s">
        <v>12</v>
      </c>
      <c r="C7009" s="2" t="s">
        <v>12</v>
      </c>
      <c r="D7009" s="2" t="s">
        <v>12</v>
      </c>
      <c r="E7009" s="2" t="s">
        <v>12</v>
      </c>
      <c r="F7009" s="2" t="s">
        <v>12</v>
      </c>
      <c r="G7009" s="2" t="s">
        <v>12</v>
      </c>
      <c r="H7009" s="2" t="s">
        <v>12</v>
      </c>
      <c r="I7009" s="2" t="s">
        <v>12</v>
      </c>
      <c r="J7009" s="2" t="s">
        <v>12</v>
      </c>
      <c r="K7009" s="2" t="s">
        <v>12</v>
      </c>
    </row>
    <row r="7010" spans="1:11" ht="12.5" x14ac:dyDescent="0.25">
      <c r="A7010" s="3" t="e">
        <f ca="1"/>
        <v>#NAME?</v>
      </c>
      <c r="B7010" s="2" t="s">
        <v>12</v>
      </c>
      <c r="C7010" s="2" t="s">
        <v>12</v>
      </c>
      <c r="D7010" s="2" t="s">
        <v>12</v>
      </c>
      <c r="E7010" s="2" t="s">
        <v>12</v>
      </c>
      <c r="F7010" s="2" t="s">
        <v>12</v>
      </c>
      <c r="G7010" s="2" t="s">
        <v>12</v>
      </c>
      <c r="H7010" s="2" t="s">
        <v>12</v>
      </c>
      <c r="I7010" s="2" t="s">
        <v>12</v>
      </c>
      <c r="J7010" s="2" t="s">
        <v>12</v>
      </c>
      <c r="K7010" s="2" t="s">
        <v>12</v>
      </c>
    </row>
    <row r="7011" spans="1:11" ht="12.5" x14ac:dyDescent="0.25">
      <c r="A7011" s="3" t="e">
        <f ca="1"/>
        <v>#NAME?</v>
      </c>
      <c r="B7011" s="2" t="s">
        <v>12</v>
      </c>
      <c r="C7011" s="2" t="s">
        <v>12</v>
      </c>
      <c r="D7011" s="2" t="s">
        <v>12</v>
      </c>
      <c r="E7011" s="2" t="s">
        <v>12</v>
      </c>
      <c r="F7011" s="2" t="s">
        <v>12</v>
      </c>
      <c r="G7011" s="2" t="s">
        <v>12</v>
      </c>
      <c r="H7011" s="2" t="s">
        <v>12</v>
      </c>
      <c r="I7011" s="2" t="s">
        <v>12</v>
      </c>
      <c r="J7011" s="2" t="s">
        <v>12</v>
      </c>
      <c r="K7011" s="2" t="s">
        <v>12</v>
      </c>
    </row>
    <row r="7012" spans="1:11" ht="12.5" x14ac:dyDescent="0.25">
      <c r="A7012" s="3" t="e">
        <f ca="1"/>
        <v>#NAME?</v>
      </c>
      <c r="B7012" s="2" t="s">
        <v>12</v>
      </c>
      <c r="C7012" s="2" t="s">
        <v>12</v>
      </c>
      <c r="D7012" s="2" t="s">
        <v>12</v>
      </c>
      <c r="E7012" s="2" t="s">
        <v>12</v>
      </c>
      <c r="F7012" s="2" t="s">
        <v>12</v>
      </c>
      <c r="G7012" s="2" t="s">
        <v>12</v>
      </c>
      <c r="H7012" s="2" t="s">
        <v>12</v>
      </c>
      <c r="I7012" s="2" t="s">
        <v>12</v>
      </c>
      <c r="J7012" s="2" t="s">
        <v>12</v>
      </c>
      <c r="K7012" s="2" t="s">
        <v>12</v>
      </c>
    </row>
    <row r="7013" spans="1:11" ht="12.5" x14ac:dyDescent="0.25">
      <c r="A7013" s="3" t="e">
        <f ca="1"/>
        <v>#NAME?</v>
      </c>
      <c r="B7013" s="2" t="s">
        <v>12</v>
      </c>
      <c r="C7013" s="2" t="s">
        <v>12</v>
      </c>
      <c r="D7013" s="2" t="s">
        <v>12</v>
      </c>
      <c r="E7013" s="2" t="s">
        <v>12</v>
      </c>
      <c r="F7013" s="2" t="s">
        <v>12</v>
      </c>
      <c r="G7013" s="2" t="s">
        <v>12</v>
      </c>
      <c r="H7013" s="2" t="s">
        <v>12</v>
      </c>
      <c r="I7013" s="2" t="s">
        <v>12</v>
      </c>
      <c r="J7013" s="2" t="s">
        <v>12</v>
      </c>
      <c r="K7013" s="2" t="s">
        <v>12</v>
      </c>
    </row>
    <row r="7014" spans="1:11" ht="12.5" x14ac:dyDescent="0.25">
      <c r="A7014" s="3" t="e">
        <f ca="1"/>
        <v>#NAME?</v>
      </c>
      <c r="B7014" s="2" t="s">
        <v>12</v>
      </c>
      <c r="C7014" s="2" t="s">
        <v>12</v>
      </c>
      <c r="D7014" s="2" t="s">
        <v>12</v>
      </c>
      <c r="E7014" s="2" t="s">
        <v>12</v>
      </c>
      <c r="F7014" s="2" t="s">
        <v>12</v>
      </c>
      <c r="G7014" s="2" t="s">
        <v>12</v>
      </c>
      <c r="H7014" s="2" t="s">
        <v>12</v>
      </c>
      <c r="I7014" s="2" t="s">
        <v>12</v>
      </c>
      <c r="J7014" s="2" t="s">
        <v>12</v>
      </c>
      <c r="K7014" s="2" t="s">
        <v>12</v>
      </c>
    </row>
    <row r="7015" spans="1:11" ht="12.5" x14ac:dyDescent="0.25">
      <c r="A7015" s="3" t="e">
        <f ca="1"/>
        <v>#NAME?</v>
      </c>
      <c r="B7015" s="2" t="s">
        <v>12</v>
      </c>
      <c r="C7015" s="2" t="s">
        <v>12</v>
      </c>
      <c r="D7015" s="2" t="s">
        <v>12</v>
      </c>
      <c r="E7015" s="2" t="s">
        <v>12</v>
      </c>
      <c r="F7015" s="2" t="s">
        <v>12</v>
      </c>
      <c r="G7015" s="2" t="s">
        <v>12</v>
      </c>
      <c r="H7015" s="2" t="s">
        <v>12</v>
      </c>
      <c r="I7015" s="2" t="s">
        <v>12</v>
      </c>
      <c r="J7015" s="2" t="s">
        <v>12</v>
      </c>
      <c r="K7015" s="2" t="s">
        <v>12</v>
      </c>
    </row>
    <row r="7016" spans="1:11" ht="12.5" x14ac:dyDescent="0.25">
      <c r="A7016" s="3" t="e">
        <f ca="1"/>
        <v>#NAME?</v>
      </c>
      <c r="B7016" s="2" t="s">
        <v>12</v>
      </c>
      <c r="C7016" s="2" t="s">
        <v>12</v>
      </c>
      <c r="D7016" s="2" t="s">
        <v>12</v>
      </c>
      <c r="E7016" s="2" t="s">
        <v>12</v>
      </c>
      <c r="F7016" s="2" t="s">
        <v>12</v>
      </c>
      <c r="G7016" s="2" t="s">
        <v>12</v>
      </c>
      <c r="H7016" s="2" t="s">
        <v>12</v>
      </c>
      <c r="I7016" s="2" t="s">
        <v>12</v>
      </c>
      <c r="J7016" s="2" t="s">
        <v>12</v>
      </c>
      <c r="K7016" s="2" t="s">
        <v>12</v>
      </c>
    </row>
    <row r="7017" spans="1:11" ht="12.5" x14ac:dyDescent="0.25">
      <c r="A7017" s="3" t="e">
        <f ca="1"/>
        <v>#NAME?</v>
      </c>
      <c r="B7017" s="2" t="s">
        <v>12</v>
      </c>
      <c r="C7017" s="2" t="s">
        <v>12</v>
      </c>
      <c r="D7017" s="2" t="s">
        <v>12</v>
      </c>
      <c r="E7017" s="2" t="s">
        <v>12</v>
      </c>
      <c r="F7017" s="2" t="s">
        <v>12</v>
      </c>
      <c r="G7017" s="2" t="s">
        <v>12</v>
      </c>
      <c r="H7017" s="2" t="s">
        <v>12</v>
      </c>
      <c r="I7017" s="2" t="s">
        <v>12</v>
      </c>
      <c r="J7017" s="2" t="s">
        <v>12</v>
      </c>
      <c r="K7017" s="2" t="s">
        <v>12</v>
      </c>
    </row>
    <row r="7018" spans="1:11" ht="12.5" x14ac:dyDescent="0.25">
      <c r="A7018" s="3" t="e">
        <f ca="1"/>
        <v>#NAME?</v>
      </c>
      <c r="B7018" s="2" t="s">
        <v>12</v>
      </c>
      <c r="C7018" s="2" t="s">
        <v>12</v>
      </c>
      <c r="D7018" s="2" t="s">
        <v>12</v>
      </c>
      <c r="E7018" s="2" t="s">
        <v>12</v>
      </c>
      <c r="F7018" s="2" t="s">
        <v>12</v>
      </c>
      <c r="G7018" s="2" t="s">
        <v>12</v>
      </c>
      <c r="H7018" s="2" t="s">
        <v>12</v>
      </c>
      <c r="I7018" s="2" t="s">
        <v>12</v>
      </c>
      <c r="J7018" s="2" t="s">
        <v>12</v>
      </c>
      <c r="K7018" s="2" t="s">
        <v>12</v>
      </c>
    </row>
    <row r="7019" spans="1:11" ht="12.5" x14ac:dyDescent="0.25">
      <c r="A7019" s="3" t="e">
        <f ca="1"/>
        <v>#NAME?</v>
      </c>
      <c r="B7019" s="2" t="s">
        <v>12</v>
      </c>
      <c r="C7019" s="2" t="s">
        <v>12</v>
      </c>
      <c r="D7019" s="2" t="s">
        <v>12</v>
      </c>
      <c r="E7019" s="2" t="s">
        <v>12</v>
      </c>
      <c r="F7019" s="2" t="s">
        <v>12</v>
      </c>
      <c r="G7019" s="2" t="s">
        <v>12</v>
      </c>
      <c r="H7019" s="2" t="s">
        <v>12</v>
      </c>
      <c r="I7019" s="2" t="s">
        <v>12</v>
      </c>
      <c r="J7019" s="2" t="s">
        <v>12</v>
      </c>
      <c r="K7019" s="2" t="s">
        <v>12</v>
      </c>
    </row>
    <row r="7020" spans="1:11" ht="12.5" x14ac:dyDescent="0.25">
      <c r="A7020" s="3" t="e">
        <f ca="1"/>
        <v>#NAME?</v>
      </c>
      <c r="B7020" s="2" t="s">
        <v>12</v>
      </c>
      <c r="C7020" s="2" t="s">
        <v>12</v>
      </c>
      <c r="D7020" s="2" t="s">
        <v>12</v>
      </c>
      <c r="E7020" s="2" t="s">
        <v>12</v>
      </c>
      <c r="F7020" s="2" t="s">
        <v>12</v>
      </c>
      <c r="G7020" s="2" t="s">
        <v>12</v>
      </c>
      <c r="H7020" s="2" t="s">
        <v>12</v>
      </c>
      <c r="I7020" s="2" t="s">
        <v>12</v>
      </c>
      <c r="J7020" s="2" t="s">
        <v>12</v>
      </c>
      <c r="K7020" s="2" t="s">
        <v>12</v>
      </c>
    </row>
    <row r="7021" spans="1:11" ht="12.5" x14ac:dyDescent="0.25">
      <c r="A7021" s="3" t="e">
        <f ca="1"/>
        <v>#NAME?</v>
      </c>
      <c r="B7021" s="2" t="s">
        <v>12</v>
      </c>
      <c r="C7021" s="2" t="s">
        <v>12</v>
      </c>
      <c r="D7021" s="2" t="s">
        <v>12</v>
      </c>
      <c r="E7021" s="2" t="s">
        <v>12</v>
      </c>
      <c r="F7021" s="2" t="s">
        <v>12</v>
      </c>
      <c r="G7021" s="2" t="s">
        <v>12</v>
      </c>
      <c r="H7021" s="2" t="s">
        <v>12</v>
      </c>
      <c r="I7021" s="2" t="s">
        <v>12</v>
      </c>
      <c r="J7021" s="2" t="s">
        <v>12</v>
      </c>
      <c r="K7021" s="2" t="s">
        <v>12</v>
      </c>
    </row>
    <row r="7022" spans="1:11" ht="12.5" x14ac:dyDescent="0.25">
      <c r="A7022" s="3" t="e">
        <f ca="1"/>
        <v>#NAME?</v>
      </c>
      <c r="B7022" s="2" t="s">
        <v>12</v>
      </c>
      <c r="C7022" s="2" t="s">
        <v>12</v>
      </c>
      <c r="D7022" s="2" t="s">
        <v>12</v>
      </c>
      <c r="E7022" s="2" t="s">
        <v>12</v>
      </c>
      <c r="F7022" s="2" t="s">
        <v>12</v>
      </c>
      <c r="G7022" s="2" t="s">
        <v>12</v>
      </c>
      <c r="H7022" s="2" t="s">
        <v>12</v>
      </c>
      <c r="I7022" s="2" t="s">
        <v>12</v>
      </c>
      <c r="J7022" s="2" t="s">
        <v>12</v>
      </c>
      <c r="K7022" s="2" t="s">
        <v>12</v>
      </c>
    </row>
    <row r="7023" spans="1:11" ht="12.5" x14ac:dyDescent="0.25">
      <c r="A7023" s="3" t="e">
        <f ca="1"/>
        <v>#NAME?</v>
      </c>
      <c r="B7023" s="2" t="s">
        <v>12</v>
      </c>
      <c r="C7023" s="2" t="s">
        <v>12</v>
      </c>
      <c r="D7023" s="2" t="s">
        <v>12</v>
      </c>
      <c r="E7023" s="2" t="s">
        <v>12</v>
      </c>
      <c r="F7023" s="2" t="s">
        <v>12</v>
      </c>
      <c r="G7023" s="2" t="s">
        <v>12</v>
      </c>
      <c r="H7023" s="2" t="s">
        <v>12</v>
      </c>
      <c r="I7023" s="2" t="s">
        <v>12</v>
      </c>
      <c r="J7023" s="2" t="s">
        <v>12</v>
      </c>
      <c r="K7023" s="2" t="s">
        <v>12</v>
      </c>
    </row>
    <row r="7024" spans="1:11" ht="12.5" x14ac:dyDescent="0.25">
      <c r="A7024" s="3" t="e">
        <f ca="1"/>
        <v>#NAME?</v>
      </c>
      <c r="B7024" s="2" t="s">
        <v>12</v>
      </c>
      <c r="C7024" s="2" t="s">
        <v>12</v>
      </c>
      <c r="D7024" s="2" t="s">
        <v>12</v>
      </c>
      <c r="E7024" s="2" t="s">
        <v>12</v>
      </c>
      <c r="F7024" s="2" t="s">
        <v>12</v>
      </c>
      <c r="G7024" s="2" t="s">
        <v>12</v>
      </c>
      <c r="H7024" s="2" t="s">
        <v>12</v>
      </c>
      <c r="I7024" s="2" t="s">
        <v>12</v>
      </c>
      <c r="J7024" s="2" t="s">
        <v>12</v>
      </c>
      <c r="K7024" s="2" t="s">
        <v>12</v>
      </c>
    </row>
    <row r="7025" spans="1:11" ht="12.5" x14ac:dyDescent="0.25">
      <c r="A7025" s="3" t="e">
        <f ca="1"/>
        <v>#NAME?</v>
      </c>
      <c r="B7025" s="2" t="s">
        <v>12</v>
      </c>
      <c r="C7025" s="2" t="s">
        <v>12</v>
      </c>
      <c r="D7025" s="2" t="s">
        <v>12</v>
      </c>
      <c r="E7025" s="2" t="s">
        <v>12</v>
      </c>
      <c r="F7025" s="2" t="s">
        <v>12</v>
      </c>
      <c r="G7025" s="2" t="s">
        <v>12</v>
      </c>
      <c r="H7025" s="2" t="s">
        <v>12</v>
      </c>
      <c r="I7025" s="2" t="s">
        <v>12</v>
      </c>
      <c r="J7025" s="2" t="s">
        <v>12</v>
      </c>
      <c r="K7025" s="2" t="s">
        <v>12</v>
      </c>
    </row>
    <row r="7026" spans="1:11" ht="12.5" x14ac:dyDescent="0.25">
      <c r="A7026" s="3" t="e">
        <f ca="1"/>
        <v>#NAME?</v>
      </c>
      <c r="B7026" s="2" t="s">
        <v>12</v>
      </c>
      <c r="C7026" s="2" t="s">
        <v>12</v>
      </c>
      <c r="D7026" s="2" t="s">
        <v>12</v>
      </c>
      <c r="E7026" s="2" t="s">
        <v>12</v>
      </c>
      <c r="F7026" s="2" t="s">
        <v>12</v>
      </c>
      <c r="G7026" s="2" t="s">
        <v>12</v>
      </c>
      <c r="H7026" s="2" t="s">
        <v>12</v>
      </c>
      <c r="I7026" s="2" t="s">
        <v>12</v>
      </c>
      <c r="J7026" s="2" t="s">
        <v>12</v>
      </c>
      <c r="K7026" s="2" t="s">
        <v>12</v>
      </c>
    </row>
    <row r="7027" spans="1:11" ht="12.5" x14ac:dyDescent="0.25">
      <c r="A7027" s="3" t="e">
        <f ca="1"/>
        <v>#NAME?</v>
      </c>
      <c r="B7027" s="2" t="s">
        <v>12</v>
      </c>
      <c r="C7027" s="2" t="s">
        <v>12</v>
      </c>
      <c r="D7027" s="2" t="s">
        <v>12</v>
      </c>
      <c r="E7027" s="2" t="s">
        <v>12</v>
      </c>
      <c r="F7027" s="2" t="s">
        <v>12</v>
      </c>
      <c r="G7027" s="2" t="s">
        <v>12</v>
      </c>
      <c r="H7027" s="2" t="s">
        <v>12</v>
      </c>
      <c r="I7027" s="2" t="s">
        <v>12</v>
      </c>
      <c r="J7027" s="2" t="s">
        <v>12</v>
      </c>
      <c r="K7027" s="2" t="s">
        <v>12</v>
      </c>
    </row>
    <row r="7028" spans="1:11" ht="12.5" x14ac:dyDescent="0.25">
      <c r="A7028" s="3" t="e">
        <f ca="1"/>
        <v>#NAME?</v>
      </c>
      <c r="B7028" s="2" t="s">
        <v>12</v>
      </c>
      <c r="C7028" s="2" t="s">
        <v>12</v>
      </c>
      <c r="D7028" s="2" t="s">
        <v>12</v>
      </c>
      <c r="E7028" s="2" t="s">
        <v>12</v>
      </c>
      <c r="F7028" s="2" t="s">
        <v>12</v>
      </c>
      <c r="G7028" s="2" t="s">
        <v>12</v>
      </c>
      <c r="H7028" s="2" t="s">
        <v>12</v>
      </c>
      <c r="I7028" s="2" t="s">
        <v>12</v>
      </c>
      <c r="J7028" s="2" t="s">
        <v>12</v>
      </c>
      <c r="K7028" s="2" t="s">
        <v>12</v>
      </c>
    </row>
    <row r="7029" spans="1:11" ht="12.5" x14ac:dyDescent="0.25">
      <c r="A7029" s="3" t="e">
        <f ca="1"/>
        <v>#NAME?</v>
      </c>
      <c r="B7029" s="2" t="s">
        <v>12</v>
      </c>
      <c r="C7029" s="2" t="s">
        <v>12</v>
      </c>
      <c r="D7029" s="2" t="s">
        <v>12</v>
      </c>
      <c r="E7029" s="2" t="s">
        <v>12</v>
      </c>
      <c r="F7029" s="2" t="s">
        <v>12</v>
      </c>
      <c r="G7029" s="2" t="s">
        <v>12</v>
      </c>
      <c r="H7029" s="2" t="s">
        <v>12</v>
      </c>
      <c r="I7029" s="2" t="s">
        <v>12</v>
      </c>
      <c r="J7029" s="2" t="s">
        <v>12</v>
      </c>
      <c r="K7029" s="2" t="s">
        <v>12</v>
      </c>
    </row>
    <row r="7030" spans="1:11" ht="12.5" x14ac:dyDescent="0.25">
      <c r="A7030" s="3" t="e">
        <f ca="1"/>
        <v>#NAME?</v>
      </c>
      <c r="B7030" s="2" t="s">
        <v>12</v>
      </c>
      <c r="C7030" s="2" t="s">
        <v>12</v>
      </c>
      <c r="D7030" s="2" t="s">
        <v>12</v>
      </c>
      <c r="E7030" s="2" t="s">
        <v>12</v>
      </c>
      <c r="F7030" s="2" t="s">
        <v>12</v>
      </c>
      <c r="G7030" s="2" t="s">
        <v>12</v>
      </c>
      <c r="H7030" s="2" t="s">
        <v>12</v>
      </c>
      <c r="I7030" s="2" t="s">
        <v>12</v>
      </c>
      <c r="J7030" s="2" t="s">
        <v>12</v>
      </c>
      <c r="K7030" s="2" t="s">
        <v>12</v>
      </c>
    </row>
    <row r="7031" spans="1:11" ht="12.5" x14ac:dyDescent="0.25">
      <c r="A7031" s="3" t="e">
        <f ca="1"/>
        <v>#NAME?</v>
      </c>
      <c r="B7031" s="2" t="s">
        <v>12</v>
      </c>
      <c r="C7031" s="2" t="s">
        <v>12</v>
      </c>
      <c r="D7031" s="2" t="s">
        <v>12</v>
      </c>
      <c r="E7031" s="2" t="s">
        <v>12</v>
      </c>
      <c r="F7031" s="2" t="s">
        <v>12</v>
      </c>
      <c r="G7031" s="2" t="s">
        <v>12</v>
      </c>
      <c r="H7031" s="2" t="s">
        <v>12</v>
      </c>
      <c r="I7031" s="2" t="s">
        <v>12</v>
      </c>
      <c r="J7031" s="2" t="s">
        <v>12</v>
      </c>
      <c r="K7031" s="2" t="s">
        <v>12</v>
      </c>
    </row>
    <row r="7032" spans="1:11" ht="12.5" x14ac:dyDescent="0.25">
      <c r="A7032" s="3" t="e">
        <f ca="1"/>
        <v>#NAME?</v>
      </c>
      <c r="B7032" s="2" t="s">
        <v>12</v>
      </c>
      <c r="C7032" s="2" t="s">
        <v>12</v>
      </c>
      <c r="D7032" s="2" t="s">
        <v>12</v>
      </c>
      <c r="E7032" s="2" t="s">
        <v>12</v>
      </c>
      <c r="F7032" s="2" t="s">
        <v>12</v>
      </c>
      <c r="G7032" s="2" t="s">
        <v>12</v>
      </c>
      <c r="H7032" s="2" t="s">
        <v>12</v>
      </c>
      <c r="I7032" s="2" t="s">
        <v>12</v>
      </c>
      <c r="J7032" s="2" t="s">
        <v>12</v>
      </c>
      <c r="K7032" s="2" t="s">
        <v>12</v>
      </c>
    </row>
    <row r="7033" spans="1:11" ht="12.5" x14ac:dyDescent="0.25">
      <c r="A7033" s="3" t="e">
        <f ca="1"/>
        <v>#NAME?</v>
      </c>
      <c r="B7033" s="2" t="s">
        <v>12</v>
      </c>
      <c r="C7033" s="2" t="s">
        <v>12</v>
      </c>
      <c r="D7033" s="2" t="s">
        <v>12</v>
      </c>
      <c r="E7033" s="2" t="s">
        <v>12</v>
      </c>
      <c r="F7033" s="2" t="s">
        <v>12</v>
      </c>
      <c r="G7033" s="2" t="s">
        <v>12</v>
      </c>
      <c r="H7033" s="2" t="s">
        <v>12</v>
      </c>
      <c r="I7033" s="2" t="s">
        <v>12</v>
      </c>
      <c r="J7033" s="2" t="s">
        <v>12</v>
      </c>
      <c r="K7033" s="2" t="s">
        <v>12</v>
      </c>
    </row>
    <row r="7034" spans="1:11" ht="12.5" x14ac:dyDescent="0.25">
      <c r="A7034" s="3" t="e">
        <f ca="1"/>
        <v>#NAME?</v>
      </c>
      <c r="B7034" s="2" t="s">
        <v>12</v>
      </c>
      <c r="C7034" s="2" t="s">
        <v>12</v>
      </c>
      <c r="D7034" s="2" t="s">
        <v>12</v>
      </c>
      <c r="E7034" s="2" t="s">
        <v>12</v>
      </c>
      <c r="F7034" s="2" t="s">
        <v>12</v>
      </c>
      <c r="G7034" s="2" t="s">
        <v>12</v>
      </c>
      <c r="H7034" s="2" t="s">
        <v>12</v>
      </c>
      <c r="I7034" s="2" t="s">
        <v>12</v>
      </c>
      <c r="J7034" s="2" t="s">
        <v>12</v>
      </c>
      <c r="K7034" s="2" t="s">
        <v>12</v>
      </c>
    </row>
    <row r="7035" spans="1:11" ht="12.5" x14ac:dyDescent="0.25">
      <c r="A7035" s="3" t="e">
        <f ca="1"/>
        <v>#NAME?</v>
      </c>
      <c r="B7035" s="2" t="s">
        <v>12</v>
      </c>
      <c r="C7035" s="2" t="s">
        <v>12</v>
      </c>
      <c r="D7035" s="2" t="s">
        <v>12</v>
      </c>
      <c r="E7035" s="2" t="s">
        <v>12</v>
      </c>
      <c r="F7035" s="2" t="s">
        <v>12</v>
      </c>
      <c r="G7035" s="2" t="s">
        <v>12</v>
      </c>
      <c r="H7035" s="2" t="s">
        <v>12</v>
      </c>
      <c r="I7035" s="2" t="s">
        <v>12</v>
      </c>
      <c r="J7035" s="2" t="s">
        <v>12</v>
      </c>
      <c r="K7035" s="2" t="s">
        <v>12</v>
      </c>
    </row>
    <row r="7036" spans="1:11" ht="12.5" x14ac:dyDescent="0.25">
      <c r="A7036" s="3" t="e">
        <f ca="1"/>
        <v>#NAME?</v>
      </c>
      <c r="B7036" s="2" t="s">
        <v>12</v>
      </c>
      <c r="C7036" s="2" t="s">
        <v>12</v>
      </c>
      <c r="D7036" s="2" t="s">
        <v>12</v>
      </c>
      <c r="E7036" s="2" t="s">
        <v>12</v>
      </c>
      <c r="F7036" s="2" t="s">
        <v>12</v>
      </c>
      <c r="G7036" s="2" t="s">
        <v>12</v>
      </c>
      <c r="H7036" s="2" t="s">
        <v>12</v>
      </c>
      <c r="I7036" s="2" t="s">
        <v>12</v>
      </c>
      <c r="J7036" s="2" t="s">
        <v>12</v>
      </c>
      <c r="K7036" s="2" t="s">
        <v>12</v>
      </c>
    </row>
    <row r="7037" spans="1:11" ht="12.5" x14ac:dyDescent="0.25">
      <c r="A7037" s="3" t="e">
        <f ca="1"/>
        <v>#NAME?</v>
      </c>
      <c r="B7037" s="2" t="s">
        <v>12</v>
      </c>
      <c r="C7037" s="2" t="s">
        <v>12</v>
      </c>
      <c r="D7037" s="2" t="s">
        <v>12</v>
      </c>
      <c r="E7037" s="2" t="s">
        <v>12</v>
      </c>
      <c r="F7037" s="2" t="s">
        <v>12</v>
      </c>
      <c r="G7037" s="2" t="s">
        <v>12</v>
      </c>
      <c r="H7037" s="2" t="s">
        <v>12</v>
      </c>
      <c r="I7037" s="2" t="s">
        <v>12</v>
      </c>
      <c r="J7037" s="2" t="s">
        <v>12</v>
      </c>
      <c r="K7037" s="2" t="s">
        <v>12</v>
      </c>
    </row>
    <row r="7038" spans="1:11" ht="12.5" x14ac:dyDescent="0.25">
      <c r="A7038" s="3" t="e">
        <f ca="1"/>
        <v>#NAME?</v>
      </c>
      <c r="B7038" s="2" t="s">
        <v>12</v>
      </c>
      <c r="C7038" s="2" t="s">
        <v>12</v>
      </c>
      <c r="D7038" s="2" t="s">
        <v>12</v>
      </c>
      <c r="E7038" s="2" t="s">
        <v>12</v>
      </c>
      <c r="F7038" s="2" t="s">
        <v>12</v>
      </c>
      <c r="G7038" s="2" t="s">
        <v>12</v>
      </c>
      <c r="H7038" s="2" t="s">
        <v>12</v>
      </c>
      <c r="I7038" s="2" t="s">
        <v>12</v>
      </c>
      <c r="J7038" s="2" t="s">
        <v>12</v>
      </c>
      <c r="K7038" s="2" t="s">
        <v>12</v>
      </c>
    </row>
    <row r="7039" spans="1:11" ht="12.5" x14ac:dyDescent="0.25">
      <c r="A7039" s="3" t="e">
        <f ca="1"/>
        <v>#NAME?</v>
      </c>
      <c r="B7039" s="2" t="s">
        <v>12</v>
      </c>
      <c r="C7039" s="2" t="s">
        <v>12</v>
      </c>
      <c r="D7039" s="2" t="s">
        <v>12</v>
      </c>
      <c r="E7039" s="2" t="s">
        <v>12</v>
      </c>
      <c r="F7039" s="2" t="s">
        <v>12</v>
      </c>
      <c r="G7039" s="2" t="s">
        <v>12</v>
      </c>
      <c r="H7039" s="2" t="s">
        <v>12</v>
      </c>
      <c r="I7039" s="2" t="s">
        <v>12</v>
      </c>
      <c r="J7039" s="2" t="s">
        <v>12</v>
      </c>
      <c r="K7039" s="2" t="s">
        <v>12</v>
      </c>
    </row>
    <row r="7040" spans="1:11" ht="12.5" x14ac:dyDescent="0.25">
      <c r="A7040" s="3" t="e">
        <f ca="1"/>
        <v>#NAME?</v>
      </c>
      <c r="B7040" s="2" t="s">
        <v>12</v>
      </c>
      <c r="C7040" s="2" t="s">
        <v>12</v>
      </c>
      <c r="D7040" s="2" t="s">
        <v>12</v>
      </c>
      <c r="E7040" s="2" t="s">
        <v>12</v>
      </c>
      <c r="F7040" s="2" t="s">
        <v>12</v>
      </c>
      <c r="G7040" s="2" t="s">
        <v>12</v>
      </c>
      <c r="H7040" s="2" t="s">
        <v>12</v>
      </c>
      <c r="I7040" s="2" t="s">
        <v>12</v>
      </c>
      <c r="J7040" s="2" t="s">
        <v>12</v>
      </c>
      <c r="K7040" s="2" t="s">
        <v>12</v>
      </c>
    </row>
    <row r="7041" spans="1:11" ht="12.5" x14ac:dyDescent="0.25">
      <c r="A7041" s="3" t="e">
        <f ca="1"/>
        <v>#NAME?</v>
      </c>
      <c r="B7041" s="2" t="s">
        <v>12</v>
      </c>
      <c r="C7041" s="2" t="s">
        <v>12</v>
      </c>
      <c r="D7041" s="2" t="s">
        <v>12</v>
      </c>
      <c r="E7041" s="2" t="s">
        <v>12</v>
      </c>
      <c r="F7041" s="2" t="s">
        <v>12</v>
      </c>
      <c r="G7041" s="2" t="s">
        <v>12</v>
      </c>
      <c r="H7041" s="2" t="s">
        <v>12</v>
      </c>
      <c r="I7041" s="2" t="s">
        <v>12</v>
      </c>
      <c r="J7041" s="2" t="s">
        <v>12</v>
      </c>
      <c r="K7041" s="2" t="s">
        <v>12</v>
      </c>
    </row>
    <row r="7042" spans="1:11" ht="12.5" x14ac:dyDescent="0.25">
      <c r="A7042" s="3" t="e">
        <f ca="1"/>
        <v>#NAME?</v>
      </c>
      <c r="B7042" s="2" t="s">
        <v>12</v>
      </c>
      <c r="C7042" s="2" t="s">
        <v>12</v>
      </c>
      <c r="D7042" s="2" t="s">
        <v>12</v>
      </c>
      <c r="E7042" s="2" t="s">
        <v>12</v>
      </c>
      <c r="F7042" s="2" t="s">
        <v>12</v>
      </c>
      <c r="G7042" s="2" t="s">
        <v>12</v>
      </c>
      <c r="H7042" s="2" t="s">
        <v>12</v>
      </c>
      <c r="I7042" s="2" t="s">
        <v>12</v>
      </c>
      <c r="J7042" s="2" t="s">
        <v>12</v>
      </c>
      <c r="K7042" s="2" t="s">
        <v>12</v>
      </c>
    </row>
    <row r="7043" spans="1:11" ht="12.5" x14ac:dyDescent="0.25">
      <c r="A7043" s="3" t="e">
        <f ca="1"/>
        <v>#NAME?</v>
      </c>
      <c r="B7043" s="2" t="s">
        <v>12</v>
      </c>
      <c r="C7043" s="2" t="s">
        <v>12</v>
      </c>
      <c r="D7043" s="2" t="s">
        <v>12</v>
      </c>
      <c r="E7043" s="2" t="s">
        <v>12</v>
      </c>
      <c r="F7043" s="2" t="s">
        <v>12</v>
      </c>
      <c r="G7043" s="2" t="s">
        <v>12</v>
      </c>
      <c r="H7043" s="2" t="s">
        <v>12</v>
      </c>
      <c r="I7043" s="2" t="s">
        <v>12</v>
      </c>
      <c r="J7043" s="2" t="s">
        <v>12</v>
      </c>
      <c r="K7043" s="2" t="s">
        <v>12</v>
      </c>
    </row>
    <row r="7044" spans="1:11" ht="12.5" x14ac:dyDescent="0.25">
      <c r="A7044" s="3" t="e">
        <f ca="1"/>
        <v>#NAME?</v>
      </c>
      <c r="B7044" s="2" t="s">
        <v>12</v>
      </c>
      <c r="C7044" s="2" t="s">
        <v>12</v>
      </c>
      <c r="D7044" s="2" t="s">
        <v>12</v>
      </c>
      <c r="E7044" s="2" t="s">
        <v>12</v>
      </c>
      <c r="F7044" s="2" t="s">
        <v>12</v>
      </c>
      <c r="G7044" s="2" t="s">
        <v>12</v>
      </c>
      <c r="H7044" s="2" t="s">
        <v>12</v>
      </c>
      <c r="I7044" s="2" t="s">
        <v>12</v>
      </c>
      <c r="J7044" s="2" t="s">
        <v>12</v>
      </c>
      <c r="K7044" s="2" t="s">
        <v>12</v>
      </c>
    </row>
    <row r="7045" spans="1:11" ht="12.5" x14ac:dyDescent="0.25">
      <c r="A7045" s="3" t="e">
        <f ca="1"/>
        <v>#NAME?</v>
      </c>
      <c r="B7045" s="2" t="s">
        <v>12</v>
      </c>
      <c r="C7045" s="2" t="s">
        <v>12</v>
      </c>
      <c r="D7045" s="2" t="s">
        <v>12</v>
      </c>
      <c r="E7045" s="2" t="s">
        <v>12</v>
      </c>
      <c r="F7045" s="2" t="s">
        <v>12</v>
      </c>
      <c r="G7045" s="2" t="s">
        <v>12</v>
      </c>
      <c r="H7045" s="2" t="s">
        <v>12</v>
      </c>
      <c r="I7045" s="2" t="s">
        <v>12</v>
      </c>
      <c r="J7045" s="2" t="s">
        <v>12</v>
      </c>
      <c r="K7045" s="2" t="s">
        <v>12</v>
      </c>
    </row>
    <row r="7046" spans="1:11" ht="12.5" x14ac:dyDescent="0.25">
      <c r="A7046" s="3" t="e">
        <f ca="1"/>
        <v>#NAME?</v>
      </c>
      <c r="B7046" s="2" t="s">
        <v>12</v>
      </c>
      <c r="C7046" s="2" t="s">
        <v>12</v>
      </c>
      <c r="D7046" s="2" t="s">
        <v>12</v>
      </c>
      <c r="E7046" s="2" t="s">
        <v>12</v>
      </c>
      <c r="F7046" s="2" t="s">
        <v>12</v>
      </c>
      <c r="G7046" s="2" t="s">
        <v>12</v>
      </c>
      <c r="H7046" s="2" t="s">
        <v>12</v>
      </c>
      <c r="I7046" s="2" t="s">
        <v>12</v>
      </c>
      <c r="J7046" s="2" t="s">
        <v>12</v>
      </c>
      <c r="K7046" s="2" t="s">
        <v>12</v>
      </c>
    </row>
    <row r="7047" spans="1:11" ht="12.5" x14ac:dyDescent="0.25">
      <c r="A7047" s="3" t="e">
        <f ca="1"/>
        <v>#NAME?</v>
      </c>
      <c r="B7047" s="2" t="s">
        <v>12</v>
      </c>
      <c r="C7047" s="2" t="s">
        <v>12</v>
      </c>
      <c r="D7047" s="2" t="s">
        <v>12</v>
      </c>
      <c r="E7047" s="2" t="s">
        <v>12</v>
      </c>
      <c r="F7047" s="2" t="s">
        <v>12</v>
      </c>
      <c r="G7047" s="2" t="s">
        <v>12</v>
      </c>
      <c r="H7047" s="2" t="s">
        <v>12</v>
      </c>
      <c r="I7047" s="2" t="s">
        <v>12</v>
      </c>
      <c r="J7047" s="2" t="s">
        <v>12</v>
      </c>
      <c r="K7047" s="2" t="s">
        <v>12</v>
      </c>
    </row>
    <row r="7048" spans="1:11" ht="12.5" x14ac:dyDescent="0.25">
      <c r="A7048" s="3" t="e">
        <f ca="1"/>
        <v>#NAME?</v>
      </c>
      <c r="B7048" s="2" t="s">
        <v>12</v>
      </c>
      <c r="C7048" s="2" t="s">
        <v>12</v>
      </c>
      <c r="D7048" s="2" t="s">
        <v>12</v>
      </c>
      <c r="E7048" s="2" t="s">
        <v>12</v>
      </c>
      <c r="F7048" s="2" t="s">
        <v>12</v>
      </c>
      <c r="G7048" s="2" t="s">
        <v>12</v>
      </c>
      <c r="H7048" s="2" t="s">
        <v>12</v>
      </c>
      <c r="I7048" s="2" t="s">
        <v>12</v>
      </c>
      <c r="J7048" s="2" t="s">
        <v>12</v>
      </c>
      <c r="K7048" s="2" t="s">
        <v>12</v>
      </c>
    </row>
    <row r="7049" spans="1:11" ht="12.5" x14ac:dyDescent="0.25">
      <c r="A7049" s="3" t="e">
        <f ca="1"/>
        <v>#NAME?</v>
      </c>
      <c r="B7049" s="2" t="s">
        <v>12</v>
      </c>
      <c r="C7049" s="2" t="s">
        <v>12</v>
      </c>
      <c r="D7049" s="2" t="s">
        <v>12</v>
      </c>
      <c r="E7049" s="2" t="s">
        <v>12</v>
      </c>
      <c r="F7049" s="2" t="s">
        <v>12</v>
      </c>
      <c r="G7049" s="2" t="s">
        <v>12</v>
      </c>
      <c r="H7049" s="2" t="s">
        <v>12</v>
      </c>
      <c r="I7049" s="2" t="s">
        <v>12</v>
      </c>
      <c r="J7049" s="2" t="s">
        <v>12</v>
      </c>
      <c r="K7049" s="2" t="s">
        <v>12</v>
      </c>
    </row>
    <row r="7050" spans="1:11" ht="12.5" x14ac:dyDescent="0.25">
      <c r="A7050" s="3" t="e">
        <f ca="1"/>
        <v>#NAME?</v>
      </c>
      <c r="B7050" s="2" t="s">
        <v>12</v>
      </c>
      <c r="C7050" s="2" t="s">
        <v>12</v>
      </c>
      <c r="D7050" s="2" t="s">
        <v>12</v>
      </c>
      <c r="E7050" s="2" t="s">
        <v>12</v>
      </c>
      <c r="F7050" s="2" t="s">
        <v>12</v>
      </c>
      <c r="G7050" s="2" t="s">
        <v>12</v>
      </c>
      <c r="H7050" s="2" t="s">
        <v>12</v>
      </c>
      <c r="I7050" s="2" t="s">
        <v>12</v>
      </c>
      <c r="J7050" s="2" t="s">
        <v>12</v>
      </c>
      <c r="K7050" s="2" t="s">
        <v>12</v>
      </c>
    </row>
    <row r="7051" spans="1:11" ht="12.5" x14ac:dyDescent="0.25">
      <c r="A7051" s="3" t="e">
        <f ca="1"/>
        <v>#NAME?</v>
      </c>
      <c r="B7051" s="2" t="s">
        <v>12</v>
      </c>
      <c r="C7051" s="2" t="s">
        <v>12</v>
      </c>
      <c r="D7051" s="2" t="s">
        <v>12</v>
      </c>
      <c r="E7051" s="2" t="s">
        <v>12</v>
      </c>
      <c r="F7051" s="2" t="s">
        <v>12</v>
      </c>
      <c r="G7051" s="2" t="s">
        <v>12</v>
      </c>
      <c r="H7051" s="2" t="s">
        <v>12</v>
      </c>
      <c r="I7051" s="2" t="s">
        <v>12</v>
      </c>
      <c r="J7051" s="2" t="s">
        <v>12</v>
      </c>
      <c r="K7051" s="2" t="s">
        <v>12</v>
      </c>
    </row>
    <row r="7052" spans="1:11" ht="12.5" x14ac:dyDescent="0.25">
      <c r="A7052" s="3" t="e">
        <f ca="1"/>
        <v>#NAME?</v>
      </c>
      <c r="B7052" s="2" t="s">
        <v>12</v>
      </c>
      <c r="C7052" s="2" t="s">
        <v>12</v>
      </c>
      <c r="D7052" s="2" t="s">
        <v>12</v>
      </c>
      <c r="E7052" s="2" t="s">
        <v>12</v>
      </c>
      <c r="F7052" s="2" t="s">
        <v>12</v>
      </c>
      <c r="G7052" s="2" t="s">
        <v>12</v>
      </c>
      <c r="H7052" s="2" t="s">
        <v>12</v>
      </c>
      <c r="I7052" s="2" t="s">
        <v>12</v>
      </c>
      <c r="J7052" s="2" t="s">
        <v>12</v>
      </c>
      <c r="K7052" s="2" t="s">
        <v>12</v>
      </c>
    </row>
    <row r="7053" spans="1:11" ht="12.5" x14ac:dyDescent="0.25">
      <c r="A7053" s="3" t="e">
        <f ca="1"/>
        <v>#NAME?</v>
      </c>
      <c r="B7053" s="2" t="s">
        <v>12</v>
      </c>
      <c r="C7053" s="2" t="s">
        <v>12</v>
      </c>
      <c r="D7053" s="2" t="s">
        <v>12</v>
      </c>
      <c r="E7053" s="2" t="s">
        <v>12</v>
      </c>
      <c r="F7053" s="2" t="s">
        <v>12</v>
      </c>
      <c r="G7053" s="2" t="s">
        <v>12</v>
      </c>
      <c r="H7053" s="2" t="s">
        <v>12</v>
      </c>
      <c r="I7053" s="2" t="s">
        <v>12</v>
      </c>
      <c r="J7053" s="2" t="s">
        <v>12</v>
      </c>
      <c r="K7053" s="2" t="s">
        <v>12</v>
      </c>
    </row>
    <row r="7054" spans="1:11" ht="12.5" x14ac:dyDescent="0.25">
      <c r="A7054" s="3" t="e">
        <f ca="1"/>
        <v>#NAME?</v>
      </c>
      <c r="B7054" s="2" t="s">
        <v>12</v>
      </c>
      <c r="C7054" s="2" t="s">
        <v>12</v>
      </c>
      <c r="D7054" s="2" t="s">
        <v>12</v>
      </c>
      <c r="E7054" s="2" t="s">
        <v>12</v>
      </c>
      <c r="F7054" s="2" t="s">
        <v>12</v>
      </c>
      <c r="G7054" s="2" t="s">
        <v>12</v>
      </c>
      <c r="H7054" s="2" t="s">
        <v>12</v>
      </c>
      <c r="I7054" s="2" t="s">
        <v>12</v>
      </c>
      <c r="J7054" s="2" t="s">
        <v>12</v>
      </c>
      <c r="K7054" s="2" t="s">
        <v>12</v>
      </c>
    </row>
    <row r="7055" spans="1:11" ht="12.5" x14ac:dyDescent="0.25">
      <c r="A7055" s="3" t="e">
        <f ca="1"/>
        <v>#NAME?</v>
      </c>
      <c r="B7055" s="2" t="s">
        <v>12</v>
      </c>
      <c r="C7055" s="2" t="s">
        <v>12</v>
      </c>
      <c r="D7055" s="2" t="s">
        <v>12</v>
      </c>
      <c r="E7055" s="2" t="s">
        <v>12</v>
      </c>
      <c r="F7055" s="2" t="s">
        <v>12</v>
      </c>
      <c r="G7055" s="2" t="s">
        <v>12</v>
      </c>
      <c r="H7055" s="2" t="s">
        <v>12</v>
      </c>
      <c r="I7055" s="2" t="s">
        <v>12</v>
      </c>
      <c r="J7055" s="2" t="s">
        <v>12</v>
      </c>
      <c r="K7055" s="2" t="s">
        <v>12</v>
      </c>
    </row>
    <row r="7056" spans="1:11" ht="12.5" x14ac:dyDescent="0.25">
      <c r="A7056" s="3" t="e">
        <f ca="1"/>
        <v>#NAME?</v>
      </c>
      <c r="B7056" s="2" t="s">
        <v>12</v>
      </c>
      <c r="C7056" s="2" t="s">
        <v>12</v>
      </c>
      <c r="D7056" s="2" t="s">
        <v>12</v>
      </c>
      <c r="E7056" s="2" t="s">
        <v>12</v>
      </c>
      <c r="F7056" s="2" t="s">
        <v>12</v>
      </c>
      <c r="G7056" s="2" t="s">
        <v>12</v>
      </c>
      <c r="H7056" s="2" t="s">
        <v>12</v>
      </c>
      <c r="I7056" s="2" t="s">
        <v>12</v>
      </c>
      <c r="J7056" s="2" t="s">
        <v>12</v>
      </c>
      <c r="K7056" s="2" t="s">
        <v>12</v>
      </c>
    </row>
    <row r="7057" spans="1:11" ht="12.5" x14ac:dyDescent="0.25">
      <c r="A7057" s="3" t="e">
        <f ca="1"/>
        <v>#NAME?</v>
      </c>
      <c r="B7057" s="2" t="s">
        <v>12</v>
      </c>
      <c r="C7057" s="2" t="s">
        <v>12</v>
      </c>
      <c r="D7057" s="2" t="s">
        <v>12</v>
      </c>
      <c r="E7057" s="2" t="s">
        <v>12</v>
      </c>
      <c r="F7057" s="2" t="s">
        <v>12</v>
      </c>
      <c r="G7057" s="2" t="s">
        <v>12</v>
      </c>
      <c r="H7057" s="2" t="s">
        <v>12</v>
      </c>
      <c r="I7057" s="2" t="s">
        <v>12</v>
      </c>
      <c r="J7057" s="2" t="s">
        <v>12</v>
      </c>
      <c r="K7057" s="2" t="s">
        <v>12</v>
      </c>
    </row>
    <row r="7058" spans="1:11" ht="12.5" x14ac:dyDescent="0.25">
      <c r="A7058" s="3" t="e">
        <f ca="1"/>
        <v>#NAME?</v>
      </c>
      <c r="B7058" s="2" t="s">
        <v>12</v>
      </c>
      <c r="C7058" s="2" t="s">
        <v>12</v>
      </c>
      <c r="D7058" s="2" t="s">
        <v>12</v>
      </c>
      <c r="E7058" s="2" t="s">
        <v>12</v>
      </c>
      <c r="F7058" s="2" t="s">
        <v>12</v>
      </c>
      <c r="G7058" s="2" t="s">
        <v>12</v>
      </c>
      <c r="H7058" s="2" t="s">
        <v>12</v>
      </c>
      <c r="I7058" s="2" t="s">
        <v>12</v>
      </c>
      <c r="J7058" s="2" t="s">
        <v>12</v>
      </c>
      <c r="K7058" s="2" t="s">
        <v>12</v>
      </c>
    </row>
    <row r="7059" spans="1:11" ht="12.5" x14ac:dyDescent="0.25">
      <c r="A7059" s="3" t="e">
        <f ca="1"/>
        <v>#NAME?</v>
      </c>
      <c r="B7059" s="2" t="s">
        <v>12</v>
      </c>
      <c r="C7059" s="2" t="s">
        <v>12</v>
      </c>
      <c r="D7059" s="2" t="s">
        <v>12</v>
      </c>
      <c r="E7059" s="2" t="s">
        <v>12</v>
      </c>
      <c r="F7059" s="2" t="s">
        <v>12</v>
      </c>
      <c r="G7059" s="2" t="s">
        <v>12</v>
      </c>
      <c r="H7059" s="2" t="s">
        <v>12</v>
      </c>
      <c r="I7059" s="2" t="s">
        <v>12</v>
      </c>
      <c r="J7059" s="2" t="s">
        <v>12</v>
      </c>
      <c r="K7059" s="2" t="s">
        <v>12</v>
      </c>
    </row>
    <row r="7060" spans="1:11" ht="12.5" x14ac:dyDescent="0.25">
      <c r="A7060" s="3" t="e">
        <f ca="1"/>
        <v>#NAME?</v>
      </c>
      <c r="B7060" s="2" t="s">
        <v>12</v>
      </c>
      <c r="C7060" s="2" t="s">
        <v>12</v>
      </c>
      <c r="D7060" s="2" t="s">
        <v>12</v>
      </c>
      <c r="E7060" s="2" t="s">
        <v>12</v>
      </c>
      <c r="F7060" s="2" t="s">
        <v>12</v>
      </c>
      <c r="G7060" s="2" t="s">
        <v>12</v>
      </c>
      <c r="H7060" s="2" t="s">
        <v>12</v>
      </c>
      <c r="I7060" s="2" t="s">
        <v>12</v>
      </c>
      <c r="J7060" s="2" t="s">
        <v>12</v>
      </c>
      <c r="K7060" s="2" t="s">
        <v>12</v>
      </c>
    </row>
    <row r="7061" spans="1:11" ht="12.5" x14ac:dyDescent="0.25">
      <c r="A7061" s="3" t="e">
        <f ca="1"/>
        <v>#NAME?</v>
      </c>
      <c r="B7061" s="2" t="s">
        <v>12</v>
      </c>
      <c r="C7061" s="2" t="s">
        <v>12</v>
      </c>
      <c r="D7061" s="2" t="s">
        <v>12</v>
      </c>
      <c r="E7061" s="2" t="s">
        <v>12</v>
      </c>
      <c r="F7061" s="2" t="s">
        <v>12</v>
      </c>
      <c r="G7061" s="2" t="s">
        <v>12</v>
      </c>
      <c r="H7061" s="2" t="s">
        <v>12</v>
      </c>
      <c r="I7061" s="2" t="s">
        <v>12</v>
      </c>
      <c r="J7061" s="2" t="s">
        <v>12</v>
      </c>
      <c r="K7061" s="2" t="s">
        <v>12</v>
      </c>
    </row>
    <row r="7062" spans="1:11" ht="12.5" x14ac:dyDescent="0.25">
      <c r="A7062" s="3" t="e">
        <f ca="1"/>
        <v>#NAME?</v>
      </c>
      <c r="B7062" s="2" t="s">
        <v>12</v>
      </c>
      <c r="C7062" s="2" t="s">
        <v>12</v>
      </c>
      <c r="D7062" s="2" t="s">
        <v>12</v>
      </c>
      <c r="E7062" s="2" t="s">
        <v>12</v>
      </c>
      <c r="F7062" s="2" t="s">
        <v>12</v>
      </c>
      <c r="G7062" s="2" t="s">
        <v>12</v>
      </c>
      <c r="H7062" s="2" t="s">
        <v>12</v>
      </c>
      <c r="I7062" s="2" t="s">
        <v>12</v>
      </c>
      <c r="J7062" s="2" t="s">
        <v>12</v>
      </c>
      <c r="K7062" s="2" t="s">
        <v>12</v>
      </c>
    </row>
    <row r="7063" spans="1:11" ht="12.5" x14ac:dyDescent="0.25">
      <c r="A7063" s="3" t="e">
        <f ca="1"/>
        <v>#NAME?</v>
      </c>
      <c r="B7063" s="2" t="s">
        <v>12</v>
      </c>
      <c r="C7063" s="2" t="s">
        <v>12</v>
      </c>
      <c r="D7063" s="2" t="s">
        <v>12</v>
      </c>
      <c r="E7063" s="2" t="s">
        <v>12</v>
      </c>
      <c r="F7063" s="2" t="s">
        <v>12</v>
      </c>
      <c r="G7063" s="2" t="s">
        <v>12</v>
      </c>
      <c r="H7063" s="2" t="s">
        <v>12</v>
      </c>
      <c r="I7063" s="2" t="s">
        <v>12</v>
      </c>
      <c r="J7063" s="2" t="s">
        <v>12</v>
      </c>
      <c r="K7063" s="2" t="s">
        <v>12</v>
      </c>
    </row>
    <row r="7064" spans="1:11" ht="12.5" x14ac:dyDescent="0.25">
      <c r="A7064" s="3" t="e">
        <f ca="1"/>
        <v>#NAME?</v>
      </c>
      <c r="B7064" s="2" t="s">
        <v>12</v>
      </c>
      <c r="C7064" s="2" t="s">
        <v>12</v>
      </c>
      <c r="D7064" s="2" t="s">
        <v>12</v>
      </c>
      <c r="E7064" s="2" t="s">
        <v>12</v>
      </c>
      <c r="F7064" s="2" t="s">
        <v>12</v>
      </c>
      <c r="G7064" s="2" t="s">
        <v>12</v>
      </c>
      <c r="H7064" s="2" t="s">
        <v>12</v>
      </c>
      <c r="I7064" s="2" t="s">
        <v>12</v>
      </c>
      <c r="J7064" s="2" t="s">
        <v>12</v>
      </c>
      <c r="K7064" s="2" t="s">
        <v>12</v>
      </c>
    </row>
    <row r="7065" spans="1:11" ht="12.5" x14ac:dyDescent="0.25">
      <c r="A7065" s="3" t="e">
        <f ca="1"/>
        <v>#NAME?</v>
      </c>
      <c r="B7065" s="2" t="s">
        <v>12</v>
      </c>
      <c r="C7065" s="2" t="s">
        <v>12</v>
      </c>
      <c r="D7065" s="2" t="s">
        <v>12</v>
      </c>
      <c r="E7065" s="2" t="s">
        <v>12</v>
      </c>
      <c r="F7065" s="2" t="s">
        <v>12</v>
      </c>
      <c r="G7065" s="2" t="s">
        <v>12</v>
      </c>
      <c r="H7065" s="2" t="s">
        <v>12</v>
      </c>
      <c r="I7065" s="2" t="s">
        <v>12</v>
      </c>
      <c r="J7065" s="2" t="s">
        <v>12</v>
      </c>
      <c r="K7065" s="2" t="s">
        <v>12</v>
      </c>
    </row>
    <row r="7066" spans="1:11" ht="12.5" x14ac:dyDescent="0.25">
      <c r="A7066" s="3" t="e">
        <f ca="1"/>
        <v>#NAME?</v>
      </c>
      <c r="B7066" s="2" t="s">
        <v>12</v>
      </c>
      <c r="C7066" s="2" t="s">
        <v>12</v>
      </c>
      <c r="D7066" s="2" t="s">
        <v>12</v>
      </c>
      <c r="E7066" s="2" t="s">
        <v>12</v>
      </c>
      <c r="F7066" s="2" t="s">
        <v>12</v>
      </c>
      <c r="G7066" s="2" t="s">
        <v>12</v>
      </c>
      <c r="H7066" s="2" t="s">
        <v>12</v>
      </c>
      <c r="I7066" s="2" t="s">
        <v>12</v>
      </c>
      <c r="J7066" s="2" t="s">
        <v>12</v>
      </c>
      <c r="K7066" s="2" t="s">
        <v>12</v>
      </c>
    </row>
    <row r="7067" spans="1:11" ht="12.5" x14ac:dyDescent="0.25">
      <c r="A7067" s="3" t="e">
        <f ca="1"/>
        <v>#NAME?</v>
      </c>
      <c r="B7067" s="2" t="s">
        <v>12</v>
      </c>
      <c r="C7067" s="2" t="s">
        <v>12</v>
      </c>
      <c r="D7067" s="2" t="s">
        <v>12</v>
      </c>
      <c r="E7067" s="2" t="s">
        <v>12</v>
      </c>
      <c r="F7067" s="2" t="s">
        <v>12</v>
      </c>
      <c r="G7067" s="2" t="s">
        <v>12</v>
      </c>
      <c r="H7067" s="2" t="s">
        <v>12</v>
      </c>
      <c r="I7067" s="2" t="s">
        <v>12</v>
      </c>
      <c r="J7067" s="2" t="s">
        <v>12</v>
      </c>
      <c r="K7067" s="2" t="s">
        <v>12</v>
      </c>
    </row>
    <row r="7068" spans="1:11" ht="12.5" x14ac:dyDescent="0.25">
      <c r="A7068" s="3" t="e">
        <f ca="1"/>
        <v>#NAME?</v>
      </c>
      <c r="B7068" s="2" t="s">
        <v>12</v>
      </c>
      <c r="C7068" s="2" t="s">
        <v>12</v>
      </c>
      <c r="D7068" s="2" t="s">
        <v>12</v>
      </c>
      <c r="E7068" s="2" t="s">
        <v>12</v>
      </c>
      <c r="F7068" s="2" t="s">
        <v>12</v>
      </c>
      <c r="G7068" s="2" t="s">
        <v>12</v>
      </c>
      <c r="H7068" s="2" t="s">
        <v>12</v>
      </c>
      <c r="I7068" s="2" t="s">
        <v>12</v>
      </c>
      <c r="J7068" s="2" t="s">
        <v>12</v>
      </c>
      <c r="K7068" s="2" t="s">
        <v>12</v>
      </c>
    </row>
    <row r="7069" spans="1:11" ht="12.5" x14ac:dyDescent="0.25">
      <c r="A7069" s="3" t="e">
        <f ca="1"/>
        <v>#NAME?</v>
      </c>
      <c r="B7069" s="2" t="s">
        <v>12</v>
      </c>
      <c r="C7069" s="2" t="s">
        <v>12</v>
      </c>
      <c r="D7069" s="2" t="s">
        <v>12</v>
      </c>
      <c r="E7069" s="2" t="s">
        <v>12</v>
      </c>
      <c r="F7069" s="2" t="s">
        <v>12</v>
      </c>
      <c r="G7069" s="2" t="s">
        <v>12</v>
      </c>
      <c r="H7069" s="2" t="s">
        <v>12</v>
      </c>
      <c r="I7069" s="2" t="s">
        <v>12</v>
      </c>
      <c r="J7069" s="2" t="s">
        <v>12</v>
      </c>
      <c r="K7069" s="2" t="s">
        <v>12</v>
      </c>
    </row>
    <row r="7070" spans="1:11" ht="12.5" x14ac:dyDescent="0.25">
      <c r="A7070" s="3" t="e">
        <f ca="1"/>
        <v>#NAME?</v>
      </c>
      <c r="B7070" s="2" t="s">
        <v>12</v>
      </c>
      <c r="C7070" s="2" t="s">
        <v>12</v>
      </c>
      <c r="D7070" s="2" t="s">
        <v>12</v>
      </c>
      <c r="E7070" s="2" t="s">
        <v>12</v>
      </c>
      <c r="F7070" s="2" t="s">
        <v>12</v>
      </c>
      <c r="G7070" s="2" t="s">
        <v>12</v>
      </c>
      <c r="H7070" s="2" t="s">
        <v>12</v>
      </c>
      <c r="I7070" s="2" t="s">
        <v>12</v>
      </c>
      <c r="J7070" s="2" t="s">
        <v>12</v>
      </c>
      <c r="K7070" s="2" t="s">
        <v>12</v>
      </c>
    </row>
    <row r="7071" spans="1:11" ht="12.5" x14ac:dyDescent="0.25">
      <c r="A7071" s="3" t="e">
        <f ca="1"/>
        <v>#NAME?</v>
      </c>
      <c r="B7071" s="2" t="s">
        <v>12</v>
      </c>
      <c r="C7071" s="2" t="s">
        <v>12</v>
      </c>
      <c r="D7071" s="2" t="s">
        <v>12</v>
      </c>
      <c r="E7071" s="2" t="s">
        <v>12</v>
      </c>
      <c r="F7071" s="2" t="s">
        <v>12</v>
      </c>
      <c r="G7071" s="2" t="s">
        <v>12</v>
      </c>
      <c r="H7071" s="2" t="s">
        <v>12</v>
      </c>
      <c r="I7071" s="2" t="s">
        <v>12</v>
      </c>
      <c r="J7071" s="2" t="s">
        <v>12</v>
      </c>
      <c r="K7071" s="2" t="s">
        <v>12</v>
      </c>
    </row>
    <row r="7072" spans="1:11" ht="12.5" x14ac:dyDescent="0.25">
      <c r="A7072" s="3" t="e">
        <f ca="1"/>
        <v>#NAME?</v>
      </c>
      <c r="B7072" s="2" t="s">
        <v>12</v>
      </c>
      <c r="C7072" s="2" t="s">
        <v>12</v>
      </c>
      <c r="D7072" s="2" t="s">
        <v>12</v>
      </c>
      <c r="E7072" s="2" t="s">
        <v>12</v>
      </c>
      <c r="F7072" s="2" t="s">
        <v>12</v>
      </c>
      <c r="G7072" s="2" t="s">
        <v>12</v>
      </c>
      <c r="H7072" s="2" t="s">
        <v>12</v>
      </c>
      <c r="I7072" s="2" t="s">
        <v>12</v>
      </c>
      <c r="J7072" s="2" t="s">
        <v>12</v>
      </c>
      <c r="K7072" s="2" t="s">
        <v>12</v>
      </c>
    </row>
    <row r="7073" spans="1:11" ht="12.5" x14ac:dyDescent="0.25">
      <c r="A7073" s="3" t="e">
        <f ca="1"/>
        <v>#NAME?</v>
      </c>
      <c r="B7073" s="2" t="s">
        <v>12</v>
      </c>
      <c r="C7073" s="2" t="s">
        <v>12</v>
      </c>
      <c r="D7073" s="2" t="s">
        <v>12</v>
      </c>
      <c r="E7073" s="2" t="s">
        <v>12</v>
      </c>
      <c r="F7073" s="2" t="s">
        <v>12</v>
      </c>
      <c r="G7073" s="2" t="s">
        <v>12</v>
      </c>
      <c r="H7073" s="2" t="s">
        <v>12</v>
      </c>
      <c r="I7073" s="2" t="s">
        <v>12</v>
      </c>
      <c r="J7073" s="2" t="s">
        <v>12</v>
      </c>
      <c r="K7073" s="2" t="s">
        <v>12</v>
      </c>
    </row>
    <row r="7074" spans="1:11" ht="12.5" x14ac:dyDescent="0.25">
      <c r="A7074" s="3" t="e">
        <f ca="1"/>
        <v>#NAME?</v>
      </c>
      <c r="B7074" s="2" t="s">
        <v>12</v>
      </c>
      <c r="C7074" s="2" t="s">
        <v>12</v>
      </c>
      <c r="D7074" s="2" t="s">
        <v>12</v>
      </c>
      <c r="E7074" s="2" t="s">
        <v>12</v>
      </c>
      <c r="F7074" s="2" t="s">
        <v>12</v>
      </c>
      <c r="G7074" s="2" t="s">
        <v>12</v>
      </c>
      <c r="H7074" s="2" t="s">
        <v>12</v>
      </c>
      <c r="I7074" s="2" t="s">
        <v>12</v>
      </c>
      <c r="J7074" s="2" t="s">
        <v>12</v>
      </c>
      <c r="K7074" s="2" t="s">
        <v>12</v>
      </c>
    </row>
    <row r="7075" spans="1:11" ht="12.5" x14ac:dyDescent="0.25">
      <c r="A7075" s="3" t="e">
        <f ca="1"/>
        <v>#NAME?</v>
      </c>
      <c r="B7075" s="2" t="s">
        <v>12</v>
      </c>
      <c r="C7075" s="2" t="s">
        <v>12</v>
      </c>
      <c r="D7075" s="2" t="s">
        <v>12</v>
      </c>
      <c r="E7075" s="2" t="s">
        <v>12</v>
      </c>
      <c r="F7075" s="2" t="s">
        <v>12</v>
      </c>
      <c r="G7075" s="2" t="s">
        <v>12</v>
      </c>
      <c r="H7075" s="2" t="s">
        <v>12</v>
      </c>
      <c r="I7075" s="2" t="s">
        <v>12</v>
      </c>
      <c r="J7075" s="2" t="s">
        <v>12</v>
      </c>
      <c r="K7075" s="2" t="s">
        <v>12</v>
      </c>
    </row>
    <row r="7076" spans="1:11" ht="12.5" x14ac:dyDescent="0.25">
      <c r="A7076" s="3" t="e">
        <f ca="1"/>
        <v>#NAME?</v>
      </c>
      <c r="B7076" s="2" t="s">
        <v>12</v>
      </c>
      <c r="C7076" s="2" t="s">
        <v>12</v>
      </c>
      <c r="D7076" s="2" t="s">
        <v>12</v>
      </c>
      <c r="E7076" s="2" t="s">
        <v>12</v>
      </c>
      <c r="F7076" s="2" t="s">
        <v>12</v>
      </c>
      <c r="G7076" s="2" t="s">
        <v>12</v>
      </c>
      <c r="H7076" s="2" t="s">
        <v>12</v>
      </c>
      <c r="I7076" s="2" t="s">
        <v>12</v>
      </c>
      <c r="J7076" s="2" t="s">
        <v>12</v>
      </c>
      <c r="K7076" s="2" t="s">
        <v>12</v>
      </c>
    </row>
    <row r="7077" spans="1:11" ht="12.5" x14ac:dyDescent="0.25">
      <c r="A7077" s="3" t="e">
        <f ca="1"/>
        <v>#NAME?</v>
      </c>
      <c r="B7077" s="2" t="s">
        <v>12</v>
      </c>
      <c r="C7077" s="2" t="s">
        <v>12</v>
      </c>
      <c r="D7077" s="2" t="s">
        <v>12</v>
      </c>
      <c r="E7077" s="2" t="s">
        <v>12</v>
      </c>
      <c r="F7077" s="2" t="s">
        <v>12</v>
      </c>
      <c r="G7077" s="2" t="s">
        <v>12</v>
      </c>
      <c r="H7077" s="2" t="s">
        <v>12</v>
      </c>
      <c r="I7077" s="2" t="s">
        <v>12</v>
      </c>
      <c r="J7077" s="2" t="s">
        <v>12</v>
      </c>
      <c r="K7077" s="2" t="s">
        <v>12</v>
      </c>
    </row>
    <row r="7078" spans="1:11" ht="12.5" x14ac:dyDescent="0.25">
      <c r="A7078" s="3" t="e">
        <f ca="1"/>
        <v>#NAME?</v>
      </c>
      <c r="B7078" s="2" t="s">
        <v>12</v>
      </c>
      <c r="C7078" s="2" t="s">
        <v>12</v>
      </c>
      <c r="D7078" s="2" t="s">
        <v>12</v>
      </c>
      <c r="E7078" s="2" t="s">
        <v>12</v>
      </c>
      <c r="F7078" s="2" t="s">
        <v>12</v>
      </c>
      <c r="G7078" s="2" t="s">
        <v>12</v>
      </c>
      <c r="H7078" s="2" t="s">
        <v>12</v>
      </c>
      <c r="I7078" s="2" t="s">
        <v>12</v>
      </c>
      <c r="J7078" s="2" t="s">
        <v>12</v>
      </c>
      <c r="K7078" s="2" t="s">
        <v>12</v>
      </c>
    </row>
    <row r="7079" spans="1:11" ht="12.5" x14ac:dyDescent="0.25">
      <c r="A7079" s="3" t="e">
        <f ca="1"/>
        <v>#NAME?</v>
      </c>
      <c r="B7079" s="2" t="s">
        <v>12</v>
      </c>
      <c r="C7079" s="2" t="s">
        <v>12</v>
      </c>
      <c r="D7079" s="2" t="s">
        <v>12</v>
      </c>
      <c r="E7079" s="2" t="s">
        <v>12</v>
      </c>
      <c r="F7079" s="2" t="s">
        <v>12</v>
      </c>
      <c r="G7079" s="2" t="s">
        <v>12</v>
      </c>
      <c r="H7079" s="2" t="s">
        <v>12</v>
      </c>
      <c r="I7079" s="2" t="s">
        <v>12</v>
      </c>
      <c r="J7079" s="2" t="s">
        <v>12</v>
      </c>
      <c r="K7079" s="2" t="s">
        <v>12</v>
      </c>
    </row>
    <row r="7080" spans="1:11" ht="12.5" x14ac:dyDescent="0.25">
      <c r="A7080" s="3" t="e">
        <f ca="1"/>
        <v>#NAME?</v>
      </c>
      <c r="B7080" s="2" t="s">
        <v>12</v>
      </c>
      <c r="C7080" s="2" t="s">
        <v>12</v>
      </c>
      <c r="D7080" s="2" t="s">
        <v>12</v>
      </c>
      <c r="E7080" s="2" t="s">
        <v>12</v>
      </c>
      <c r="F7080" s="2" t="s">
        <v>12</v>
      </c>
      <c r="G7080" s="2" t="s">
        <v>12</v>
      </c>
      <c r="H7080" s="2" t="s">
        <v>12</v>
      </c>
      <c r="I7080" s="2" t="s">
        <v>12</v>
      </c>
      <c r="J7080" s="2" t="s">
        <v>12</v>
      </c>
      <c r="K7080" s="2" t="s">
        <v>12</v>
      </c>
    </row>
    <row r="7081" spans="1:11" ht="12.5" x14ac:dyDescent="0.25">
      <c r="A7081" s="3" t="e">
        <f ca="1"/>
        <v>#NAME?</v>
      </c>
      <c r="B7081" s="2" t="s">
        <v>12</v>
      </c>
      <c r="C7081" s="2" t="s">
        <v>12</v>
      </c>
      <c r="D7081" s="2" t="s">
        <v>12</v>
      </c>
      <c r="E7081" s="2" t="s">
        <v>12</v>
      </c>
      <c r="F7081" s="2" t="s">
        <v>12</v>
      </c>
      <c r="G7081" s="2" t="s">
        <v>12</v>
      </c>
      <c r="H7081" s="2" t="s">
        <v>12</v>
      </c>
      <c r="I7081" s="2" t="s">
        <v>12</v>
      </c>
      <c r="J7081" s="2" t="s">
        <v>12</v>
      </c>
      <c r="K7081" s="2" t="s">
        <v>12</v>
      </c>
    </row>
    <row r="7082" spans="1:11" ht="12.5" x14ac:dyDescent="0.25">
      <c r="A7082" s="3" t="e">
        <f ca="1"/>
        <v>#NAME?</v>
      </c>
      <c r="B7082" s="2" t="s">
        <v>12</v>
      </c>
      <c r="C7082" s="2" t="s">
        <v>12</v>
      </c>
      <c r="D7082" s="2" t="s">
        <v>12</v>
      </c>
      <c r="E7082" s="2" t="s">
        <v>12</v>
      </c>
      <c r="F7082" s="2" t="s">
        <v>12</v>
      </c>
      <c r="G7082" s="2" t="s">
        <v>12</v>
      </c>
      <c r="H7082" s="2" t="s">
        <v>12</v>
      </c>
      <c r="I7082" s="2" t="s">
        <v>12</v>
      </c>
      <c r="J7082" s="2" t="s">
        <v>12</v>
      </c>
      <c r="K7082" s="2" t="s">
        <v>12</v>
      </c>
    </row>
    <row r="7083" spans="1:11" ht="12.5" x14ac:dyDescent="0.25">
      <c r="A7083" s="3" t="e">
        <f ca="1"/>
        <v>#NAME?</v>
      </c>
      <c r="B7083" s="2" t="s">
        <v>12</v>
      </c>
      <c r="C7083" s="2" t="s">
        <v>12</v>
      </c>
      <c r="D7083" s="2" t="s">
        <v>12</v>
      </c>
      <c r="E7083" s="2" t="s">
        <v>12</v>
      </c>
      <c r="F7083" s="2" t="s">
        <v>12</v>
      </c>
      <c r="G7083" s="2" t="s">
        <v>12</v>
      </c>
      <c r="H7083" s="2" t="s">
        <v>12</v>
      </c>
      <c r="I7083" s="2" t="s">
        <v>12</v>
      </c>
      <c r="J7083" s="2" t="s">
        <v>12</v>
      </c>
      <c r="K7083" s="2" t="s">
        <v>12</v>
      </c>
    </row>
    <row r="7084" spans="1:11" ht="12.5" x14ac:dyDescent="0.25">
      <c r="A7084" s="3" t="e">
        <f ca="1"/>
        <v>#NAME?</v>
      </c>
      <c r="B7084" s="2" t="s">
        <v>12</v>
      </c>
      <c r="C7084" s="2" t="s">
        <v>12</v>
      </c>
      <c r="D7084" s="2" t="s">
        <v>12</v>
      </c>
      <c r="E7084" s="2" t="s">
        <v>12</v>
      </c>
      <c r="F7084" s="2" t="s">
        <v>12</v>
      </c>
      <c r="G7084" s="2" t="s">
        <v>12</v>
      </c>
      <c r="H7084" s="2" t="s">
        <v>12</v>
      </c>
      <c r="I7084" s="2" t="s">
        <v>12</v>
      </c>
      <c r="J7084" s="2" t="s">
        <v>12</v>
      </c>
      <c r="K7084" s="2" t="s">
        <v>12</v>
      </c>
    </row>
    <row r="7085" spans="1:11" ht="12.5" x14ac:dyDescent="0.25">
      <c r="A7085" s="3" t="e">
        <f ca="1"/>
        <v>#NAME?</v>
      </c>
      <c r="B7085" s="2" t="s">
        <v>12</v>
      </c>
      <c r="C7085" s="2" t="s">
        <v>12</v>
      </c>
      <c r="D7085" s="2" t="s">
        <v>12</v>
      </c>
      <c r="E7085" s="2" t="s">
        <v>12</v>
      </c>
      <c r="F7085" s="2" t="s">
        <v>12</v>
      </c>
      <c r="G7085" s="2" t="s">
        <v>12</v>
      </c>
      <c r="H7085" s="2" t="s">
        <v>12</v>
      </c>
      <c r="I7085" s="2" t="s">
        <v>12</v>
      </c>
      <c r="J7085" s="2" t="s">
        <v>12</v>
      </c>
      <c r="K7085" s="2" t="s">
        <v>12</v>
      </c>
    </row>
    <row r="7086" spans="1:11" ht="12.5" x14ac:dyDescent="0.25">
      <c r="A7086" s="3" t="e">
        <f ca="1"/>
        <v>#NAME?</v>
      </c>
      <c r="B7086" s="2" t="s">
        <v>12</v>
      </c>
      <c r="C7086" s="2" t="s">
        <v>12</v>
      </c>
      <c r="D7086" s="2" t="s">
        <v>12</v>
      </c>
      <c r="E7086" s="2" t="s">
        <v>12</v>
      </c>
      <c r="F7086" s="2" t="s">
        <v>12</v>
      </c>
      <c r="G7086" s="2" t="s">
        <v>12</v>
      </c>
      <c r="H7086" s="2" t="s">
        <v>12</v>
      </c>
      <c r="I7086" s="2" t="s">
        <v>12</v>
      </c>
      <c r="J7086" s="2" t="s">
        <v>12</v>
      </c>
      <c r="K7086" s="2" t="s">
        <v>12</v>
      </c>
    </row>
    <row r="7087" spans="1:11" ht="12.5" x14ac:dyDescent="0.25">
      <c r="A7087" s="3" t="e">
        <f ca="1"/>
        <v>#NAME?</v>
      </c>
      <c r="B7087" s="2" t="s">
        <v>12</v>
      </c>
      <c r="C7087" s="2" t="s">
        <v>12</v>
      </c>
      <c r="D7087" s="2" t="s">
        <v>12</v>
      </c>
      <c r="E7087" s="2" t="s">
        <v>12</v>
      </c>
      <c r="F7087" s="2" t="s">
        <v>12</v>
      </c>
      <c r="G7087" s="2" t="s">
        <v>12</v>
      </c>
      <c r="H7087" s="2" t="s">
        <v>12</v>
      </c>
      <c r="I7087" s="2" t="s">
        <v>12</v>
      </c>
      <c r="J7087" s="2" t="s">
        <v>12</v>
      </c>
      <c r="K7087" s="2" t="s">
        <v>12</v>
      </c>
    </row>
    <row r="7088" spans="1:11" ht="12.5" x14ac:dyDescent="0.25">
      <c r="A7088" s="3" t="e">
        <f ca="1"/>
        <v>#NAME?</v>
      </c>
      <c r="B7088" s="2" t="s">
        <v>12</v>
      </c>
      <c r="C7088" s="2" t="s">
        <v>12</v>
      </c>
      <c r="D7088" s="2" t="s">
        <v>12</v>
      </c>
      <c r="E7088" s="2" t="s">
        <v>12</v>
      </c>
      <c r="F7088" s="2" t="s">
        <v>12</v>
      </c>
      <c r="G7088" s="2" t="s">
        <v>12</v>
      </c>
      <c r="H7088" s="2" t="s">
        <v>12</v>
      </c>
      <c r="I7088" s="2" t="s">
        <v>12</v>
      </c>
      <c r="J7088" s="2" t="s">
        <v>12</v>
      </c>
      <c r="K7088" s="2" t="s">
        <v>12</v>
      </c>
    </row>
    <row r="7089" spans="1:11" ht="12.5" x14ac:dyDescent="0.25">
      <c r="A7089" s="3" t="e">
        <f ca="1"/>
        <v>#NAME?</v>
      </c>
      <c r="B7089" s="2" t="s">
        <v>12</v>
      </c>
      <c r="C7089" s="2" t="s">
        <v>12</v>
      </c>
      <c r="D7089" s="2" t="s">
        <v>12</v>
      </c>
      <c r="E7089" s="2" t="s">
        <v>12</v>
      </c>
      <c r="F7089" s="2" t="s">
        <v>12</v>
      </c>
      <c r="G7089" s="2" t="s">
        <v>12</v>
      </c>
      <c r="H7089" s="2" t="s">
        <v>12</v>
      </c>
      <c r="I7089" s="2" t="s">
        <v>12</v>
      </c>
      <c r="J7089" s="2" t="s">
        <v>12</v>
      </c>
      <c r="K7089" s="2" t="s">
        <v>12</v>
      </c>
    </row>
    <row r="7090" spans="1:11" ht="12.5" x14ac:dyDescent="0.25">
      <c r="A7090" s="3" t="e">
        <f ca="1"/>
        <v>#NAME?</v>
      </c>
      <c r="B7090" s="2" t="s">
        <v>12</v>
      </c>
      <c r="C7090" s="2" t="s">
        <v>12</v>
      </c>
      <c r="D7090" s="2" t="s">
        <v>12</v>
      </c>
      <c r="E7090" s="2" t="s">
        <v>12</v>
      </c>
      <c r="F7090" s="2" t="s">
        <v>12</v>
      </c>
      <c r="G7090" s="2" t="s">
        <v>12</v>
      </c>
      <c r="H7090" s="2" t="s">
        <v>12</v>
      </c>
      <c r="I7090" s="2" t="s">
        <v>12</v>
      </c>
      <c r="J7090" s="2" t="s">
        <v>12</v>
      </c>
      <c r="K7090" s="2" t="s">
        <v>12</v>
      </c>
    </row>
    <row r="7091" spans="1:11" ht="12.5" x14ac:dyDescent="0.25">
      <c r="A7091" s="3" t="e">
        <f ca="1"/>
        <v>#NAME?</v>
      </c>
      <c r="B7091" s="2" t="s">
        <v>12</v>
      </c>
      <c r="C7091" s="2" t="s">
        <v>12</v>
      </c>
      <c r="D7091" s="2" t="s">
        <v>12</v>
      </c>
      <c r="E7091" s="2" t="s">
        <v>12</v>
      </c>
      <c r="F7091" s="2" t="s">
        <v>12</v>
      </c>
      <c r="G7091" s="2" t="s">
        <v>12</v>
      </c>
      <c r="H7091" s="2" t="s">
        <v>12</v>
      </c>
      <c r="I7091" s="2" t="s">
        <v>12</v>
      </c>
      <c r="J7091" s="2" t="s">
        <v>12</v>
      </c>
      <c r="K7091" s="2" t="s">
        <v>12</v>
      </c>
    </row>
    <row r="7092" spans="1:11" ht="12.5" x14ac:dyDescent="0.25">
      <c r="A7092" s="3" t="e">
        <f ca="1"/>
        <v>#NAME?</v>
      </c>
      <c r="B7092" s="2" t="s">
        <v>12</v>
      </c>
      <c r="C7092" s="2" t="s">
        <v>12</v>
      </c>
      <c r="D7092" s="2" t="s">
        <v>12</v>
      </c>
      <c r="E7092" s="2" t="s">
        <v>12</v>
      </c>
      <c r="F7092" s="2" t="s">
        <v>12</v>
      </c>
      <c r="G7092" s="2" t="s">
        <v>12</v>
      </c>
      <c r="H7092" s="2" t="s">
        <v>12</v>
      </c>
      <c r="I7092" s="2" t="s">
        <v>12</v>
      </c>
      <c r="J7092" s="2" t="s">
        <v>12</v>
      </c>
      <c r="K7092" s="2" t="s">
        <v>12</v>
      </c>
    </row>
    <row r="7093" spans="1:11" ht="12.5" x14ac:dyDescent="0.25">
      <c r="A7093" s="3" t="e">
        <f ca="1"/>
        <v>#NAME?</v>
      </c>
      <c r="B7093" s="2" t="s">
        <v>12</v>
      </c>
      <c r="C7093" s="2" t="s">
        <v>12</v>
      </c>
      <c r="D7093" s="2" t="s">
        <v>12</v>
      </c>
      <c r="E7093" s="2" t="s">
        <v>12</v>
      </c>
      <c r="F7093" s="2" t="s">
        <v>12</v>
      </c>
      <c r="G7093" s="2" t="s">
        <v>12</v>
      </c>
      <c r="H7093" s="2" t="s">
        <v>12</v>
      </c>
      <c r="I7093" s="2" t="s">
        <v>12</v>
      </c>
      <c r="J7093" s="2" t="s">
        <v>12</v>
      </c>
      <c r="K7093" s="2" t="s">
        <v>12</v>
      </c>
    </row>
    <row r="7094" spans="1:11" ht="12.5" x14ac:dyDescent="0.25">
      <c r="A7094" s="3" t="e">
        <f ca="1"/>
        <v>#NAME?</v>
      </c>
      <c r="B7094" s="2" t="s">
        <v>12</v>
      </c>
      <c r="C7094" s="2" t="s">
        <v>12</v>
      </c>
      <c r="D7094" s="2" t="s">
        <v>12</v>
      </c>
      <c r="E7094" s="2" t="s">
        <v>12</v>
      </c>
      <c r="F7094" s="2" t="s">
        <v>12</v>
      </c>
      <c r="G7094" s="2" t="s">
        <v>12</v>
      </c>
      <c r="H7094" s="2" t="s">
        <v>12</v>
      </c>
      <c r="I7094" s="2" t="s">
        <v>12</v>
      </c>
      <c r="J7094" s="2" t="s">
        <v>12</v>
      </c>
      <c r="K7094" s="2" t="s">
        <v>12</v>
      </c>
    </row>
    <row r="7095" spans="1:11" ht="12.5" x14ac:dyDescent="0.25">
      <c r="A7095" s="3" t="e">
        <f ca="1"/>
        <v>#NAME?</v>
      </c>
      <c r="B7095" s="2" t="s">
        <v>12</v>
      </c>
      <c r="C7095" s="2" t="s">
        <v>12</v>
      </c>
      <c r="D7095" s="2" t="s">
        <v>12</v>
      </c>
      <c r="E7095" s="2" t="s">
        <v>12</v>
      </c>
      <c r="F7095" s="2" t="s">
        <v>12</v>
      </c>
      <c r="G7095" s="2" t="s">
        <v>12</v>
      </c>
      <c r="H7095" s="2" t="s">
        <v>12</v>
      </c>
      <c r="I7095" s="2" t="s">
        <v>12</v>
      </c>
      <c r="J7095" s="2" t="s">
        <v>12</v>
      </c>
      <c r="K7095" s="2" t="s">
        <v>12</v>
      </c>
    </row>
    <row r="7096" spans="1:11" ht="12.5" x14ac:dyDescent="0.25">
      <c r="A7096" s="3" t="e">
        <f ca="1"/>
        <v>#NAME?</v>
      </c>
      <c r="B7096" s="2" t="s">
        <v>12</v>
      </c>
      <c r="C7096" s="2" t="s">
        <v>12</v>
      </c>
      <c r="D7096" s="2" t="s">
        <v>12</v>
      </c>
      <c r="E7096" s="2" t="s">
        <v>12</v>
      </c>
      <c r="F7096" s="2" t="s">
        <v>12</v>
      </c>
      <c r="G7096" s="2" t="s">
        <v>12</v>
      </c>
      <c r="H7096" s="2" t="s">
        <v>12</v>
      </c>
      <c r="I7096" s="2" t="s">
        <v>12</v>
      </c>
      <c r="J7096" s="2" t="s">
        <v>12</v>
      </c>
      <c r="K7096" s="2" t="s">
        <v>12</v>
      </c>
    </row>
    <row r="7097" spans="1:11" ht="12.5" x14ac:dyDescent="0.25">
      <c r="A7097" s="3" t="e">
        <f ca="1"/>
        <v>#NAME?</v>
      </c>
      <c r="B7097" s="2" t="s">
        <v>12</v>
      </c>
      <c r="C7097" s="2" t="s">
        <v>12</v>
      </c>
      <c r="D7097" s="2" t="s">
        <v>12</v>
      </c>
      <c r="E7097" s="2" t="s">
        <v>12</v>
      </c>
      <c r="F7097" s="2" t="s">
        <v>12</v>
      </c>
      <c r="G7097" s="2" t="s">
        <v>12</v>
      </c>
      <c r="H7097" s="2" t="s">
        <v>12</v>
      </c>
      <c r="I7097" s="2" t="s">
        <v>12</v>
      </c>
      <c r="J7097" s="2" t="s">
        <v>12</v>
      </c>
      <c r="K7097" s="2" t="s">
        <v>12</v>
      </c>
    </row>
    <row r="7098" spans="1:11" ht="12.5" x14ac:dyDescent="0.25">
      <c r="A7098" s="3" t="e">
        <f ca="1"/>
        <v>#NAME?</v>
      </c>
      <c r="B7098" s="2" t="s">
        <v>12</v>
      </c>
      <c r="C7098" s="2" t="s">
        <v>12</v>
      </c>
      <c r="D7098" s="2" t="s">
        <v>12</v>
      </c>
      <c r="E7098" s="2" t="s">
        <v>12</v>
      </c>
      <c r="F7098" s="2" t="s">
        <v>12</v>
      </c>
      <c r="G7098" s="2" t="s">
        <v>12</v>
      </c>
      <c r="H7098" s="2" t="s">
        <v>12</v>
      </c>
      <c r="I7098" s="2" t="s">
        <v>12</v>
      </c>
      <c r="J7098" s="2" t="s">
        <v>12</v>
      </c>
      <c r="K7098" s="2" t="s">
        <v>12</v>
      </c>
    </row>
    <row r="7099" spans="1:11" ht="12.5" x14ac:dyDescent="0.25">
      <c r="A7099" s="3" t="e">
        <f ca="1"/>
        <v>#NAME?</v>
      </c>
      <c r="B7099" s="2" t="s">
        <v>12</v>
      </c>
      <c r="C7099" s="2" t="s">
        <v>12</v>
      </c>
      <c r="D7099" s="2" t="s">
        <v>12</v>
      </c>
      <c r="E7099" s="2" t="s">
        <v>12</v>
      </c>
      <c r="F7099" s="2" t="s">
        <v>12</v>
      </c>
      <c r="G7099" s="2" t="s">
        <v>12</v>
      </c>
      <c r="H7099" s="2" t="s">
        <v>12</v>
      </c>
      <c r="I7099" s="2" t="s">
        <v>12</v>
      </c>
      <c r="J7099" s="2" t="s">
        <v>12</v>
      </c>
      <c r="K7099" s="2" t="s">
        <v>12</v>
      </c>
    </row>
    <row r="7100" spans="1:11" ht="12.5" x14ac:dyDescent="0.25">
      <c r="A7100" s="3" t="e">
        <f ca="1"/>
        <v>#NAME?</v>
      </c>
      <c r="B7100" s="2" t="s">
        <v>12</v>
      </c>
      <c r="C7100" s="2" t="s">
        <v>12</v>
      </c>
      <c r="D7100" s="2" t="s">
        <v>12</v>
      </c>
      <c r="E7100" s="2" t="s">
        <v>12</v>
      </c>
      <c r="F7100" s="2" t="s">
        <v>12</v>
      </c>
      <c r="G7100" s="2" t="s">
        <v>12</v>
      </c>
      <c r="H7100" s="2" t="s">
        <v>12</v>
      </c>
      <c r="I7100" s="2" t="s">
        <v>12</v>
      </c>
      <c r="J7100" s="2" t="s">
        <v>12</v>
      </c>
      <c r="K7100" s="2" t="s">
        <v>12</v>
      </c>
    </row>
    <row r="7101" spans="1:11" ht="12.5" x14ac:dyDescent="0.25">
      <c r="A7101" s="3" t="e">
        <f ca="1"/>
        <v>#NAME?</v>
      </c>
      <c r="B7101" s="2" t="s">
        <v>12</v>
      </c>
      <c r="C7101" s="2" t="s">
        <v>12</v>
      </c>
      <c r="D7101" s="2" t="s">
        <v>12</v>
      </c>
      <c r="E7101" s="2" t="s">
        <v>12</v>
      </c>
      <c r="F7101" s="2" t="s">
        <v>12</v>
      </c>
      <c r="G7101" s="2" t="s">
        <v>12</v>
      </c>
      <c r="H7101" s="2" t="s">
        <v>12</v>
      </c>
      <c r="I7101" s="2" t="s">
        <v>12</v>
      </c>
      <c r="J7101" s="2" t="s">
        <v>12</v>
      </c>
      <c r="K7101" s="2" t="s">
        <v>12</v>
      </c>
    </row>
    <row r="7102" spans="1:11" ht="12.5" x14ac:dyDescent="0.25">
      <c r="A7102" s="3" t="e">
        <f ca="1"/>
        <v>#NAME?</v>
      </c>
      <c r="B7102" s="2" t="s">
        <v>12</v>
      </c>
      <c r="C7102" s="2" t="s">
        <v>12</v>
      </c>
      <c r="D7102" s="2" t="s">
        <v>12</v>
      </c>
      <c r="E7102" s="2" t="s">
        <v>12</v>
      </c>
      <c r="F7102" s="2" t="s">
        <v>12</v>
      </c>
      <c r="G7102" s="2" t="s">
        <v>12</v>
      </c>
      <c r="H7102" s="2" t="s">
        <v>12</v>
      </c>
      <c r="I7102" s="2" t="s">
        <v>12</v>
      </c>
      <c r="J7102" s="2" t="s">
        <v>12</v>
      </c>
      <c r="K7102" s="2" t="s">
        <v>12</v>
      </c>
    </row>
    <row r="7103" spans="1:11" ht="12.5" x14ac:dyDescent="0.25">
      <c r="A7103" s="3" t="e">
        <f ca="1"/>
        <v>#NAME?</v>
      </c>
      <c r="B7103" s="2" t="s">
        <v>12</v>
      </c>
      <c r="C7103" s="2" t="s">
        <v>12</v>
      </c>
      <c r="D7103" s="2" t="s">
        <v>12</v>
      </c>
      <c r="E7103" s="2" t="s">
        <v>12</v>
      </c>
      <c r="F7103" s="2" t="s">
        <v>12</v>
      </c>
      <c r="G7103" s="2" t="s">
        <v>12</v>
      </c>
      <c r="H7103" s="2" t="s">
        <v>12</v>
      </c>
      <c r="I7103" s="2" t="s">
        <v>12</v>
      </c>
      <c r="J7103" s="2" t="s">
        <v>12</v>
      </c>
      <c r="K7103" s="2" t="s">
        <v>12</v>
      </c>
    </row>
    <row r="7104" spans="1:11" ht="12.5" x14ac:dyDescent="0.25">
      <c r="A7104" s="3" t="e">
        <f ca="1"/>
        <v>#NAME?</v>
      </c>
      <c r="B7104" s="2" t="s">
        <v>12</v>
      </c>
      <c r="C7104" s="2" t="s">
        <v>12</v>
      </c>
      <c r="D7104" s="2" t="s">
        <v>12</v>
      </c>
      <c r="E7104" s="2" t="s">
        <v>12</v>
      </c>
      <c r="F7104" s="2" t="s">
        <v>12</v>
      </c>
      <c r="G7104" s="2" t="s">
        <v>12</v>
      </c>
      <c r="H7104" s="2" t="s">
        <v>12</v>
      </c>
      <c r="I7104" s="2" t="s">
        <v>12</v>
      </c>
      <c r="J7104" s="2" t="s">
        <v>12</v>
      </c>
      <c r="K7104" s="2" t="s">
        <v>12</v>
      </c>
    </row>
    <row r="7105" spans="1:11" ht="12.5" x14ac:dyDescent="0.25">
      <c r="A7105" s="3" t="e">
        <f ca="1"/>
        <v>#NAME?</v>
      </c>
      <c r="B7105" s="2" t="s">
        <v>12</v>
      </c>
      <c r="C7105" s="2" t="s">
        <v>12</v>
      </c>
      <c r="D7105" s="2" t="s">
        <v>12</v>
      </c>
      <c r="E7105" s="2" t="s">
        <v>12</v>
      </c>
      <c r="F7105" s="2" t="s">
        <v>12</v>
      </c>
      <c r="G7105" s="2" t="s">
        <v>12</v>
      </c>
      <c r="H7105" s="2" t="s">
        <v>12</v>
      </c>
      <c r="I7105" s="2" t="s">
        <v>12</v>
      </c>
      <c r="J7105" s="2" t="s">
        <v>12</v>
      </c>
      <c r="K7105" s="2" t="s">
        <v>12</v>
      </c>
    </row>
    <row r="7106" spans="1:11" ht="12.5" x14ac:dyDescent="0.25">
      <c r="A7106" s="3" t="e">
        <f ca="1"/>
        <v>#NAME?</v>
      </c>
      <c r="B7106" s="2" t="s">
        <v>12</v>
      </c>
      <c r="C7106" s="2" t="s">
        <v>12</v>
      </c>
      <c r="D7106" s="2" t="s">
        <v>12</v>
      </c>
      <c r="E7106" s="2" t="s">
        <v>12</v>
      </c>
      <c r="F7106" s="2" t="s">
        <v>12</v>
      </c>
      <c r="G7106" s="2" t="s">
        <v>12</v>
      </c>
      <c r="H7106" s="2" t="s">
        <v>12</v>
      </c>
      <c r="I7106" s="2" t="s">
        <v>12</v>
      </c>
      <c r="J7106" s="2" t="s">
        <v>12</v>
      </c>
      <c r="K7106" s="2" t="s">
        <v>12</v>
      </c>
    </row>
    <row r="7107" spans="1:11" ht="12.5" x14ac:dyDescent="0.25">
      <c r="A7107" s="3" t="e">
        <f ca="1"/>
        <v>#NAME?</v>
      </c>
      <c r="B7107" s="2" t="s">
        <v>12</v>
      </c>
      <c r="C7107" s="2" t="s">
        <v>12</v>
      </c>
      <c r="D7107" s="2" t="s">
        <v>12</v>
      </c>
      <c r="E7107" s="2" t="s">
        <v>12</v>
      </c>
      <c r="F7107" s="2" t="s">
        <v>12</v>
      </c>
      <c r="G7107" s="2" t="s">
        <v>12</v>
      </c>
      <c r="H7107" s="2" t="s">
        <v>12</v>
      </c>
      <c r="I7107" s="2" t="s">
        <v>12</v>
      </c>
      <c r="J7107" s="2" t="s">
        <v>12</v>
      </c>
      <c r="K7107" s="2" t="s">
        <v>12</v>
      </c>
    </row>
    <row r="7108" spans="1:11" ht="12.5" x14ac:dyDescent="0.25">
      <c r="A7108" s="3" t="e">
        <f ca="1"/>
        <v>#NAME?</v>
      </c>
      <c r="B7108" s="2" t="s">
        <v>12</v>
      </c>
      <c r="C7108" s="2" t="s">
        <v>12</v>
      </c>
      <c r="D7108" s="2" t="s">
        <v>12</v>
      </c>
      <c r="E7108" s="2" t="s">
        <v>12</v>
      </c>
      <c r="F7108" s="2" t="s">
        <v>12</v>
      </c>
      <c r="G7108" s="2" t="s">
        <v>12</v>
      </c>
      <c r="H7108" s="2" t="s">
        <v>12</v>
      </c>
      <c r="I7108" s="2" t="s">
        <v>12</v>
      </c>
      <c r="J7108" s="2" t="s">
        <v>12</v>
      </c>
      <c r="K7108" s="2" t="s">
        <v>12</v>
      </c>
    </row>
    <row r="7109" spans="1:11" ht="12.5" x14ac:dyDescent="0.25">
      <c r="A7109" s="3" t="e">
        <f ca="1"/>
        <v>#NAME?</v>
      </c>
      <c r="B7109" s="2" t="s">
        <v>12</v>
      </c>
      <c r="C7109" s="2" t="s">
        <v>12</v>
      </c>
      <c r="D7109" s="2" t="s">
        <v>12</v>
      </c>
      <c r="E7109" s="2" t="s">
        <v>12</v>
      </c>
      <c r="F7109" s="2" t="s">
        <v>12</v>
      </c>
      <c r="G7109" s="2" t="s">
        <v>12</v>
      </c>
      <c r="H7109" s="2" t="s">
        <v>12</v>
      </c>
      <c r="I7109" s="2" t="s">
        <v>12</v>
      </c>
      <c r="J7109" s="2" t="s">
        <v>12</v>
      </c>
      <c r="K7109" s="2" t="s">
        <v>12</v>
      </c>
    </row>
    <row r="7110" spans="1:11" ht="12.5" x14ac:dyDescent="0.25">
      <c r="A7110" s="3" t="e">
        <f ca="1"/>
        <v>#NAME?</v>
      </c>
      <c r="B7110" s="2" t="s">
        <v>12</v>
      </c>
      <c r="C7110" s="2" t="s">
        <v>12</v>
      </c>
      <c r="D7110" s="2" t="s">
        <v>12</v>
      </c>
      <c r="E7110" s="2" t="s">
        <v>12</v>
      </c>
      <c r="F7110" s="2" t="s">
        <v>12</v>
      </c>
      <c r="G7110" s="2" t="s">
        <v>12</v>
      </c>
      <c r="H7110" s="2" t="s">
        <v>12</v>
      </c>
      <c r="I7110" s="2" t="s">
        <v>12</v>
      </c>
      <c r="J7110" s="2" t="s">
        <v>12</v>
      </c>
      <c r="K7110" s="2" t="s">
        <v>12</v>
      </c>
    </row>
    <row r="7111" spans="1:11" ht="12.5" x14ac:dyDescent="0.25">
      <c r="A7111" s="3" t="e">
        <f ca="1"/>
        <v>#NAME?</v>
      </c>
      <c r="B7111" s="2" t="s">
        <v>12</v>
      </c>
      <c r="C7111" s="2" t="s">
        <v>12</v>
      </c>
      <c r="D7111" s="2" t="s">
        <v>12</v>
      </c>
      <c r="E7111" s="2" t="s">
        <v>12</v>
      </c>
      <c r="F7111" s="2" t="s">
        <v>12</v>
      </c>
      <c r="G7111" s="2" t="s">
        <v>12</v>
      </c>
      <c r="H7111" s="2" t="s">
        <v>12</v>
      </c>
      <c r="I7111" s="2" t="s">
        <v>12</v>
      </c>
      <c r="J7111" s="2" t="s">
        <v>12</v>
      </c>
      <c r="K7111" s="2" t="s">
        <v>12</v>
      </c>
    </row>
    <row r="7112" spans="1:11" ht="12.5" x14ac:dyDescent="0.25">
      <c r="A7112" s="3" t="e">
        <f ca="1"/>
        <v>#NAME?</v>
      </c>
      <c r="B7112" s="2" t="s">
        <v>12</v>
      </c>
      <c r="C7112" s="2" t="s">
        <v>12</v>
      </c>
      <c r="D7112" s="2" t="s">
        <v>12</v>
      </c>
      <c r="E7112" s="2" t="s">
        <v>12</v>
      </c>
      <c r="F7112" s="2" t="s">
        <v>12</v>
      </c>
      <c r="G7112" s="2" t="s">
        <v>12</v>
      </c>
      <c r="H7112" s="2" t="s">
        <v>12</v>
      </c>
      <c r="I7112" s="2" t="s">
        <v>12</v>
      </c>
      <c r="J7112" s="2" t="s">
        <v>12</v>
      </c>
      <c r="K7112" s="2" t="s">
        <v>12</v>
      </c>
    </row>
    <row r="7113" spans="1:11" ht="12.5" x14ac:dyDescent="0.25">
      <c r="A7113" s="3" t="e">
        <f ca="1"/>
        <v>#NAME?</v>
      </c>
      <c r="B7113" s="2" t="s">
        <v>12</v>
      </c>
      <c r="C7113" s="2" t="s">
        <v>12</v>
      </c>
      <c r="D7113" s="2" t="s">
        <v>12</v>
      </c>
      <c r="E7113" s="2" t="s">
        <v>12</v>
      </c>
      <c r="F7113" s="2" t="s">
        <v>12</v>
      </c>
      <c r="G7113" s="2" t="s">
        <v>12</v>
      </c>
      <c r="H7113" s="2" t="s">
        <v>12</v>
      </c>
      <c r="I7113" s="2" t="s">
        <v>12</v>
      </c>
      <c r="J7113" s="2" t="s">
        <v>12</v>
      </c>
      <c r="K7113" s="2" t="s">
        <v>12</v>
      </c>
    </row>
    <row r="7114" spans="1:11" ht="12.5" x14ac:dyDescent="0.25">
      <c r="A7114" s="3" t="e">
        <f ca="1"/>
        <v>#NAME?</v>
      </c>
      <c r="B7114" s="2" t="s">
        <v>12</v>
      </c>
      <c r="C7114" s="2" t="s">
        <v>12</v>
      </c>
      <c r="D7114" s="2" t="s">
        <v>12</v>
      </c>
      <c r="E7114" s="2" t="s">
        <v>12</v>
      </c>
      <c r="F7114" s="2" t="s">
        <v>12</v>
      </c>
      <c r="G7114" s="2" t="s">
        <v>12</v>
      </c>
      <c r="H7114" s="2" t="s">
        <v>12</v>
      </c>
      <c r="I7114" s="2" t="s">
        <v>12</v>
      </c>
      <c r="J7114" s="2" t="s">
        <v>12</v>
      </c>
      <c r="K7114" s="2" t="s">
        <v>12</v>
      </c>
    </row>
    <row r="7115" spans="1:11" ht="12.5" x14ac:dyDescent="0.25">
      <c r="A7115" s="3" t="e">
        <f ca="1"/>
        <v>#NAME?</v>
      </c>
      <c r="B7115" s="2" t="s">
        <v>12</v>
      </c>
      <c r="C7115" s="2" t="s">
        <v>12</v>
      </c>
      <c r="D7115" s="2" t="s">
        <v>12</v>
      </c>
      <c r="E7115" s="2" t="s">
        <v>12</v>
      </c>
      <c r="F7115" s="2" t="s">
        <v>12</v>
      </c>
      <c r="G7115" s="2" t="s">
        <v>12</v>
      </c>
      <c r="H7115" s="2" t="s">
        <v>12</v>
      </c>
      <c r="I7115" s="2" t="s">
        <v>12</v>
      </c>
      <c r="J7115" s="2" t="s">
        <v>12</v>
      </c>
      <c r="K7115" s="2" t="s">
        <v>12</v>
      </c>
    </row>
    <row r="7116" spans="1:11" ht="12.5" x14ac:dyDescent="0.25">
      <c r="A7116" s="3" t="e">
        <f ca="1"/>
        <v>#NAME?</v>
      </c>
      <c r="B7116" s="2" t="s">
        <v>12</v>
      </c>
      <c r="C7116" s="2" t="s">
        <v>12</v>
      </c>
      <c r="D7116" s="2" t="s">
        <v>12</v>
      </c>
      <c r="E7116" s="2" t="s">
        <v>12</v>
      </c>
      <c r="F7116" s="2" t="s">
        <v>12</v>
      </c>
      <c r="G7116" s="2" t="s">
        <v>12</v>
      </c>
      <c r="H7116" s="2" t="s">
        <v>12</v>
      </c>
      <c r="I7116" s="2" t="s">
        <v>12</v>
      </c>
      <c r="J7116" s="2" t="s">
        <v>12</v>
      </c>
      <c r="K7116" s="2" t="s">
        <v>12</v>
      </c>
    </row>
    <row r="7117" spans="1:11" ht="12.5" x14ac:dyDescent="0.25">
      <c r="A7117" s="3" t="e">
        <f ca="1"/>
        <v>#NAME?</v>
      </c>
      <c r="B7117" s="2" t="s">
        <v>12</v>
      </c>
      <c r="C7117" s="2" t="s">
        <v>12</v>
      </c>
      <c r="D7117" s="2" t="s">
        <v>12</v>
      </c>
      <c r="E7117" s="2" t="s">
        <v>12</v>
      </c>
      <c r="F7117" s="2" t="s">
        <v>12</v>
      </c>
      <c r="G7117" s="2" t="s">
        <v>12</v>
      </c>
      <c r="H7117" s="2" t="s">
        <v>12</v>
      </c>
      <c r="I7117" s="2" t="s">
        <v>12</v>
      </c>
      <c r="J7117" s="2" t="s">
        <v>12</v>
      </c>
      <c r="K7117" s="2" t="s">
        <v>12</v>
      </c>
    </row>
    <row r="7118" spans="1:11" ht="12.5" x14ac:dyDescent="0.25">
      <c r="A7118" s="3" t="e">
        <f ca="1"/>
        <v>#NAME?</v>
      </c>
      <c r="B7118" s="2" t="s">
        <v>12</v>
      </c>
      <c r="C7118" s="2" t="s">
        <v>12</v>
      </c>
      <c r="D7118" s="2" t="s">
        <v>12</v>
      </c>
      <c r="E7118" s="2" t="s">
        <v>12</v>
      </c>
      <c r="F7118" s="2" t="s">
        <v>12</v>
      </c>
      <c r="G7118" s="2" t="s">
        <v>12</v>
      </c>
      <c r="H7118" s="2" t="s">
        <v>12</v>
      </c>
      <c r="I7118" s="2" t="s">
        <v>12</v>
      </c>
      <c r="J7118" s="2" t="s">
        <v>12</v>
      </c>
      <c r="K7118" s="2" t="s">
        <v>12</v>
      </c>
    </row>
    <row r="7119" spans="1:11" ht="12.5" x14ac:dyDescent="0.25">
      <c r="A7119" s="3" t="e">
        <f ca="1"/>
        <v>#NAME?</v>
      </c>
      <c r="B7119" s="2" t="s">
        <v>12</v>
      </c>
      <c r="C7119" s="2" t="s">
        <v>12</v>
      </c>
      <c r="D7119" s="2" t="s">
        <v>12</v>
      </c>
      <c r="E7119" s="2" t="s">
        <v>12</v>
      </c>
      <c r="F7119" s="2" t="s">
        <v>12</v>
      </c>
      <c r="G7119" s="2" t="s">
        <v>12</v>
      </c>
      <c r="H7119" s="2" t="s">
        <v>12</v>
      </c>
      <c r="I7119" s="2" t="s">
        <v>12</v>
      </c>
      <c r="J7119" s="2" t="s">
        <v>12</v>
      </c>
      <c r="K7119" s="2" t="s">
        <v>12</v>
      </c>
    </row>
    <row r="7120" spans="1:11" ht="12.5" x14ac:dyDescent="0.25">
      <c r="A7120" s="3" t="e">
        <f ca="1"/>
        <v>#NAME?</v>
      </c>
      <c r="B7120" s="2" t="s">
        <v>12</v>
      </c>
      <c r="C7120" s="2" t="s">
        <v>12</v>
      </c>
      <c r="D7120" s="2" t="s">
        <v>12</v>
      </c>
      <c r="E7120" s="2" t="s">
        <v>12</v>
      </c>
      <c r="F7120" s="2" t="s">
        <v>12</v>
      </c>
      <c r="G7120" s="2" t="s">
        <v>12</v>
      </c>
      <c r="H7120" s="2" t="s">
        <v>12</v>
      </c>
      <c r="I7120" s="2" t="s">
        <v>12</v>
      </c>
      <c r="J7120" s="2" t="s">
        <v>12</v>
      </c>
      <c r="K7120" s="2" t="s">
        <v>12</v>
      </c>
    </row>
    <row r="7121" spans="1:11" ht="12.5" x14ac:dyDescent="0.25">
      <c r="A7121" s="3" t="e">
        <f ca="1"/>
        <v>#NAME?</v>
      </c>
      <c r="B7121" s="2" t="s">
        <v>12</v>
      </c>
      <c r="C7121" s="2" t="s">
        <v>12</v>
      </c>
      <c r="D7121" s="2" t="s">
        <v>12</v>
      </c>
      <c r="E7121" s="2" t="s">
        <v>12</v>
      </c>
      <c r="F7121" s="2" t="s">
        <v>12</v>
      </c>
      <c r="G7121" s="2" t="s">
        <v>12</v>
      </c>
      <c r="H7121" s="2" t="s">
        <v>12</v>
      </c>
      <c r="I7121" s="2" t="s">
        <v>12</v>
      </c>
      <c r="J7121" s="2" t="s">
        <v>12</v>
      </c>
      <c r="K7121" s="2" t="s">
        <v>12</v>
      </c>
    </row>
    <row r="7122" spans="1:11" ht="12.5" x14ac:dyDescent="0.25">
      <c r="A7122" s="3" t="e">
        <f ca="1"/>
        <v>#NAME?</v>
      </c>
      <c r="B7122" s="2" t="s">
        <v>12</v>
      </c>
      <c r="C7122" s="2" t="s">
        <v>12</v>
      </c>
      <c r="D7122" s="2" t="s">
        <v>12</v>
      </c>
      <c r="E7122" s="2" t="s">
        <v>12</v>
      </c>
      <c r="F7122" s="2" t="s">
        <v>12</v>
      </c>
      <c r="G7122" s="2" t="s">
        <v>12</v>
      </c>
      <c r="H7122" s="2" t="s">
        <v>12</v>
      </c>
      <c r="I7122" s="2" t="s">
        <v>12</v>
      </c>
      <c r="J7122" s="2" t="s">
        <v>12</v>
      </c>
      <c r="K7122" s="2" t="s">
        <v>12</v>
      </c>
    </row>
    <row r="7123" spans="1:11" ht="12.5" x14ac:dyDescent="0.25">
      <c r="A7123" s="3" t="e">
        <f ca="1"/>
        <v>#NAME?</v>
      </c>
      <c r="B7123" s="2" t="s">
        <v>12</v>
      </c>
      <c r="C7123" s="2" t="s">
        <v>12</v>
      </c>
      <c r="D7123" s="2" t="s">
        <v>12</v>
      </c>
      <c r="E7123" s="2" t="s">
        <v>12</v>
      </c>
      <c r="F7123" s="2" t="s">
        <v>12</v>
      </c>
      <c r="G7123" s="2" t="s">
        <v>12</v>
      </c>
      <c r="H7123" s="2" t="s">
        <v>12</v>
      </c>
      <c r="I7123" s="2" t="s">
        <v>12</v>
      </c>
      <c r="J7123" s="2" t="s">
        <v>12</v>
      </c>
      <c r="K7123" s="2" t="s">
        <v>12</v>
      </c>
    </row>
    <row r="7124" spans="1:11" ht="12.5" x14ac:dyDescent="0.25">
      <c r="A7124" s="3" t="e">
        <f ca="1"/>
        <v>#NAME?</v>
      </c>
      <c r="B7124" s="2" t="s">
        <v>12</v>
      </c>
      <c r="C7124" s="2" t="s">
        <v>12</v>
      </c>
      <c r="D7124" s="2" t="s">
        <v>12</v>
      </c>
      <c r="E7124" s="2" t="s">
        <v>12</v>
      </c>
      <c r="F7124" s="2" t="s">
        <v>12</v>
      </c>
      <c r="G7124" s="2" t="s">
        <v>12</v>
      </c>
      <c r="H7124" s="2" t="s">
        <v>12</v>
      </c>
      <c r="I7124" s="2" t="s">
        <v>12</v>
      </c>
      <c r="J7124" s="2" t="s">
        <v>12</v>
      </c>
      <c r="K7124" s="2" t="s">
        <v>12</v>
      </c>
    </row>
    <row r="7125" spans="1:11" ht="12.5" x14ac:dyDescent="0.25">
      <c r="A7125" s="3" t="e">
        <f ca="1"/>
        <v>#NAME?</v>
      </c>
      <c r="B7125" s="2" t="s">
        <v>12</v>
      </c>
      <c r="C7125" s="2" t="s">
        <v>12</v>
      </c>
      <c r="D7125" s="2" t="s">
        <v>12</v>
      </c>
      <c r="E7125" s="2" t="s">
        <v>12</v>
      </c>
      <c r="F7125" s="2" t="s">
        <v>12</v>
      </c>
      <c r="G7125" s="2" t="s">
        <v>12</v>
      </c>
      <c r="H7125" s="2" t="s">
        <v>12</v>
      </c>
      <c r="I7125" s="2" t="s">
        <v>12</v>
      </c>
      <c r="J7125" s="2" t="s">
        <v>12</v>
      </c>
      <c r="K7125" s="2" t="s">
        <v>12</v>
      </c>
    </row>
    <row r="7126" spans="1:11" ht="12.5" x14ac:dyDescent="0.25">
      <c r="A7126" s="3" t="e">
        <f ca="1"/>
        <v>#NAME?</v>
      </c>
      <c r="B7126" s="2" t="s">
        <v>12</v>
      </c>
      <c r="C7126" s="2" t="s">
        <v>12</v>
      </c>
      <c r="D7126" s="2" t="s">
        <v>12</v>
      </c>
      <c r="E7126" s="2" t="s">
        <v>12</v>
      </c>
      <c r="F7126" s="2" t="s">
        <v>12</v>
      </c>
      <c r="G7126" s="2" t="s">
        <v>12</v>
      </c>
      <c r="H7126" s="2" t="s">
        <v>12</v>
      </c>
      <c r="I7126" s="2" t="s">
        <v>12</v>
      </c>
      <c r="J7126" s="2" t="s">
        <v>12</v>
      </c>
      <c r="K7126" s="2" t="s">
        <v>12</v>
      </c>
    </row>
    <row r="7127" spans="1:11" ht="12.5" x14ac:dyDescent="0.25">
      <c r="A7127" s="3" t="e">
        <f ca="1"/>
        <v>#NAME?</v>
      </c>
      <c r="B7127" s="2" t="s">
        <v>12</v>
      </c>
      <c r="C7127" s="2" t="s">
        <v>12</v>
      </c>
      <c r="D7127" s="2" t="s">
        <v>12</v>
      </c>
      <c r="E7127" s="2" t="s">
        <v>12</v>
      </c>
      <c r="F7127" s="2" t="s">
        <v>12</v>
      </c>
      <c r="G7127" s="2" t="s">
        <v>12</v>
      </c>
      <c r="H7127" s="2" t="s">
        <v>12</v>
      </c>
      <c r="I7127" s="2" t="s">
        <v>12</v>
      </c>
      <c r="J7127" s="2" t="s">
        <v>12</v>
      </c>
      <c r="K7127" s="2" t="s">
        <v>12</v>
      </c>
    </row>
    <row r="7128" spans="1:11" ht="12.5" x14ac:dyDescent="0.25">
      <c r="A7128" s="3" t="e">
        <f ca="1"/>
        <v>#NAME?</v>
      </c>
      <c r="B7128" s="2" t="s">
        <v>12</v>
      </c>
      <c r="C7128" s="2" t="s">
        <v>12</v>
      </c>
      <c r="D7128" s="2" t="s">
        <v>12</v>
      </c>
      <c r="E7128" s="2" t="s">
        <v>12</v>
      </c>
      <c r="F7128" s="2" t="s">
        <v>12</v>
      </c>
      <c r="G7128" s="2" t="s">
        <v>12</v>
      </c>
      <c r="H7128" s="2" t="s">
        <v>12</v>
      </c>
      <c r="I7128" s="2" t="s">
        <v>12</v>
      </c>
      <c r="J7128" s="2" t="s">
        <v>12</v>
      </c>
      <c r="K7128" s="2" t="s">
        <v>12</v>
      </c>
    </row>
    <row r="7129" spans="1:11" ht="12.5" x14ac:dyDescent="0.25">
      <c r="A7129" s="3" t="e">
        <f ca="1"/>
        <v>#NAME?</v>
      </c>
      <c r="B7129" s="2" t="s">
        <v>12</v>
      </c>
      <c r="C7129" s="2" t="s">
        <v>12</v>
      </c>
      <c r="D7129" s="2" t="s">
        <v>12</v>
      </c>
      <c r="E7129" s="2" t="s">
        <v>12</v>
      </c>
      <c r="F7129" s="2" t="s">
        <v>12</v>
      </c>
      <c r="G7129" s="2" t="s">
        <v>12</v>
      </c>
      <c r="H7129" s="2" t="s">
        <v>12</v>
      </c>
      <c r="I7129" s="2" t="s">
        <v>12</v>
      </c>
      <c r="J7129" s="2" t="s">
        <v>12</v>
      </c>
      <c r="K7129" s="2" t="s">
        <v>12</v>
      </c>
    </row>
    <row r="7130" spans="1:11" ht="12.5" x14ac:dyDescent="0.25">
      <c r="A7130" s="3" t="e">
        <f ca="1"/>
        <v>#NAME?</v>
      </c>
      <c r="B7130" s="2" t="s">
        <v>12</v>
      </c>
      <c r="C7130" s="2" t="s">
        <v>12</v>
      </c>
      <c r="D7130" s="2" t="s">
        <v>12</v>
      </c>
      <c r="E7130" s="2" t="s">
        <v>12</v>
      </c>
      <c r="F7130" s="2" t="s">
        <v>12</v>
      </c>
      <c r="G7130" s="2" t="s">
        <v>12</v>
      </c>
      <c r="H7130" s="2" t="s">
        <v>12</v>
      </c>
      <c r="I7130" s="2" t="s">
        <v>12</v>
      </c>
      <c r="J7130" s="2" t="s">
        <v>12</v>
      </c>
      <c r="K7130" s="2" t="s">
        <v>12</v>
      </c>
    </row>
    <row r="7131" spans="1:11" ht="12.5" x14ac:dyDescent="0.25">
      <c r="A7131" s="3" t="e">
        <f ca="1"/>
        <v>#NAME?</v>
      </c>
      <c r="B7131" s="2" t="s">
        <v>12</v>
      </c>
      <c r="C7131" s="2" t="s">
        <v>12</v>
      </c>
      <c r="D7131" s="2" t="s">
        <v>12</v>
      </c>
      <c r="E7131" s="2" t="s">
        <v>12</v>
      </c>
      <c r="F7131" s="2" t="s">
        <v>12</v>
      </c>
      <c r="G7131" s="2" t="s">
        <v>12</v>
      </c>
      <c r="H7131" s="2" t="s">
        <v>12</v>
      </c>
      <c r="I7131" s="2" t="s">
        <v>12</v>
      </c>
      <c r="J7131" s="2" t="s">
        <v>12</v>
      </c>
      <c r="K7131" s="2" t="s">
        <v>12</v>
      </c>
    </row>
    <row r="7132" spans="1:11" ht="12.5" x14ac:dyDescent="0.25">
      <c r="A7132" s="3" t="e">
        <f ca="1"/>
        <v>#NAME?</v>
      </c>
      <c r="B7132" s="2" t="s">
        <v>12</v>
      </c>
      <c r="C7132" s="2" t="s">
        <v>12</v>
      </c>
      <c r="D7132" s="2" t="s">
        <v>12</v>
      </c>
      <c r="E7132" s="2" t="s">
        <v>12</v>
      </c>
      <c r="F7132" s="2" t="s">
        <v>12</v>
      </c>
      <c r="G7132" s="2" t="s">
        <v>12</v>
      </c>
      <c r="H7132" s="2" t="s">
        <v>12</v>
      </c>
      <c r="I7132" s="2" t="s">
        <v>12</v>
      </c>
      <c r="J7132" s="2" t="s">
        <v>12</v>
      </c>
      <c r="K7132" s="2" t="s">
        <v>12</v>
      </c>
    </row>
    <row r="7133" spans="1:11" ht="12.5" x14ac:dyDescent="0.25">
      <c r="A7133" s="3" t="e">
        <f ca="1"/>
        <v>#NAME?</v>
      </c>
      <c r="B7133" s="2" t="s">
        <v>12</v>
      </c>
      <c r="C7133" s="2" t="s">
        <v>12</v>
      </c>
      <c r="D7133" s="2" t="s">
        <v>12</v>
      </c>
      <c r="E7133" s="2" t="s">
        <v>12</v>
      </c>
      <c r="F7133" s="2" t="s">
        <v>12</v>
      </c>
      <c r="G7133" s="2" t="s">
        <v>12</v>
      </c>
      <c r="H7133" s="2" t="s">
        <v>12</v>
      </c>
      <c r="I7133" s="2" t="s">
        <v>12</v>
      </c>
      <c r="J7133" s="2" t="s">
        <v>12</v>
      </c>
      <c r="K7133" s="2" t="s">
        <v>12</v>
      </c>
    </row>
    <row r="7134" spans="1:11" ht="12.5" x14ac:dyDescent="0.25">
      <c r="A7134" s="3" t="e">
        <f ca="1"/>
        <v>#NAME?</v>
      </c>
      <c r="B7134" s="2" t="s">
        <v>12</v>
      </c>
      <c r="C7134" s="2" t="s">
        <v>12</v>
      </c>
      <c r="D7134" s="2" t="s">
        <v>12</v>
      </c>
      <c r="E7134" s="2" t="s">
        <v>12</v>
      </c>
      <c r="F7134" s="2" t="s">
        <v>12</v>
      </c>
      <c r="G7134" s="2" t="s">
        <v>12</v>
      </c>
      <c r="H7134" s="2" t="s">
        <v>12</v>
      </c>
      <c r="I7134" s="2" t="s">
        <v>12</v>
      </c>
      <c r="J7134" s="2" t="s">
        <v>12</v>
      </c>
      <c r="K7134" s="2" t="s">
        <v>12</v>
      </c>
    </row>
    <row r="7135" spans="1:11" ht="12.5" x14ac:dyDescent="0.25">
      <c r="A7135" s="3" t="e">
        <f ca="1"/>
        <v>#NAME?</v>
      </c>
      <c r="B7135" s="2" t="s">
        <v>12</v>
      </c>
      <c r="C7135" s="2" t="s">
        <v>12</v>
      </c>
      <c r="D7135" s="2" t="s">
        <v>12</v>
      </c>
      <c r="E7135" s="2" t="s">
        <v>12</v>
      </c>
      <c r="F7135" s="2" t="s">
        <v>12</v>
      </c>
      <c r="G7135" s="2" t="s">
        <v>12</v>
      </c>
      <c r="H7135" s="2" t="s">
        <v>12</v>
      </c>
      <c r="I7135" s="2" t="s">
        <v>12</v>
      </c>
      <c r="J7135" s="2" t="s">
        <v>12</v>
      </c>
      <c r="K7135" s="2" t="s">
        <v>12</v>
      </c>
    </row>
    <row r="7136" spans="1:11" ht="12.5" x14ac:dyDescent="0.25">
      <c r="A7136" s="3" t="e">
        <f ca="1"/>
        <v>#NAME?</v>
      </c>
      <c r="B7136" s="2" t="s">
        <v>12</v>
      </c>
      <c r="C7136" s="2" t="s">
        <v>12</v>
      </c>
      <c r="D7136" s="2" t="s">
        <v>12</v>
      </c>
      <c r="E7136" s="2" t="s">
        <v>12</v>
      </c>
      <c r="F7136" s="2" t="s">
        <v>12</v>
      </c>
      <c r="G7136" s="2" t="s">
        <v>12</v>
      </c>
      <c r="H7136" s="2" t="s">
        <v>12</v>
      </c>
      <c r="I7136" s="2" t="s">
        <v>12</v>
      </c>
      <c r="J7136" s="2" t="s">
        <v>12</v>
      </c>
      <c r="K7136" s="2" t="s">
        <v>12</v>
      </c>
    </row>
    <row r="7137" spans="1:11" ht="12.5" x14ac:dyDescent="0.25">
      <c r="A7137" s="3" t="e">
        <f ca="1"/>
        <v>#NAME?</v>
      </c>
      <c r="B7137" s="2" t="s">
        <v>12</v>
      </c>
      <c r="C7137" s="2" t="s">
        <v>12</v>
      </c>
      <c r="D7137" s="2" t="s">
        <v>12</v>
      </c>
      <c r="E7137" s="2" t="s">
        <v>12</v>
      </c>
      <c r="F7137" s="2" t="s">
        <v>12</v>
      </c>
      <c r="G7137" s="2" t="s">
        <v>12</v>
      </c>
      <c r="H7137" s="2" t="s">
        <v>12</v>
      </c>
      <c r="I7137" s="2" t="s">
        <v>12</v>
      </c>
      <c r="J7137" s="2" t="s">
        <v>12</v>
      </c>
      <c r="K7137" s="2" t="s">
        <v>12</v>
      </c>
    </row>
    <row r="7138" spans="1:11" ht="12.5" x14ac:dyDescent="0.25">
      <c r="A7138" s="3" t="e">
        <f ca="1"/>
        <v>#NAME?</v>
      </c>
      <c r="B7138" s="2" t="s">
        <v>12</v>
      </c>
      <c r="C7138" s="2" t="s">
        <v>12</v>
      </c>
      <c r="D7138" s="2" t="s">
        <v>12</v>
      </c>
      <c r="E7138" s="2" t="s">
        <v>12</v>
      </c>
      <c r="F7138" s="2" t="s">
        <v>12</v>
      </c>
      <c r="G7138" s="2" t="s">
        <v>12</v>
      </c>
      <c r="H7138" s="2" t="s">
        <v>12</v>
      </c>
      <c r="I7138" s="2" t="s">
        <v>12</v>
      </c>
      <c r="J7138" s="2" t="s">
        <v>12</v>
      </c>
      <c r="K7138" s="2" t="s">
        <v>12</v>
      </c>
    </row>
    <row r="7139" spans="1:11" ht="12.5" x14ac:dyDescent="0.25">
      <c r="A7139" s="3" t="e">
        <f ca="1"/>
        <v>#NAME?</v>
      </c>
      <c r="B7139" s="2" t="s">
        <v>12</v>
      </c>
      <c r="C7139" s="2" t="s">
        <v>12</v>
      </c>
      <c r="D7139" s="2" t="s">
        <v>12</v>
      </c>
      <c r="E7139" s="2" t="s">
        <v>12</v>
      </c>
      <c r="F7139" s="2" t="s">
        <v>12</v>
      </c>
      <c r="G7139" s="2" t="s">
        <v>12</v>
      </c>
      <c r="H7139" s="2" t="s">
        <v>12</v>
      </c>
      <c r="I7139" s="2" t="s">
        <v>12</v>
      </c>
      <c r="J7139" s="2" t="s">
        <v>12</v>
      </c>
      <c r="K7139" s="2" t="s">
        <v>12</v>
      </c>
    </row>
    <row r="7140" spans="1:11" ht="12.5" x14ac:dyDescent="0.25">
      <c r="A7140" s="3" t="e">
        <f ca="1"/>
        <v>#NAME?</v>
      </c>
      <c r="B7140" s="2" t="s">
        <v>12</v>
      </c>
      <c r="C7140" s="2" t="s">
        <v>12</v>
      </c>
      <c r="D7140" s="2" t="s">
        <v>12</v>
      </c>
      <c r="E7140" s="2" t="s">
        <v>12</v>
      </c>
      <c r="F7140" s="2" t="s">
        <v>12</v>
      </c>
      <c r="G7140" s="2" t="s">
        <v>12</v>
      </c>
      <c r="H7140" s="2" t="s">
        <v>12</v>
      </c>
      <c r="I7140" s="2" t="s">
        <v>12</v>
      </c>
      <c r="J7140" s="2" t="s">
        <v>12</v>
      </c>
      <c r="K7140" s="2" t="s">
        <v>12</v>
      </c>
    </row>
    <row r="7141" spans="1:11" ht="12.5" x14ac:dyDescent="0.25">
      <c r="A7141" s="3" t="e">
        <f ca="1"/>
        <v>#NAME?</v>
      </c>
      <c r="B7141" s="2" t="s">
        <v>12</v>
      </c>
      <c r="C7141" s="2" t="s">
        <v>12</v>
      </c>
      <c r="D7141" s="2" t="s">
        <v>12</v>
      </c>
      <c r="E7141" s="2" t="s">
        <v>12</v>
      </c>
      <c r="F7141" s="2" t="s">
        <v>12</v>
      </c>
      <c r="G7141" s="2" t="s">
        <v>12</v>
      </c>
      <c r="H7141" s="2" t="s">
        <v>12</v>
      </c>
      <c r="I7141" s="2" t="s">
        <v>12</v>
      </c>
      <c r="J7141" s="2" t="s">
        <v>12</v>
      </c>
      <c r="K7141" s="2" t="s">
        <v>12</v>
      </c>
    </row>
    <row r="7142" spans="1:11" ht="12.5" x14ac:dyDescent="0.25">
      <c r="A7142" s="3" t="e">
        <f ca="1"/>
        <v>#NAME?</v>
      </c>
      <c r="B7142" s="2" t="s">
        <v>12</v>
      </c>
      <c r="C7142" s="2" t="s">
        <v>12</v>
      </c>
      <c r="D7142" s="2" t="s">
        <v>12</v>
      </c>
      <c r="E7142" s="2" t="s">
        <v>12</v>
      </c>
      <c r="F7142" s="2" t="s">
        <v>12</v>
      </c>
      <c r="G7142" s="2" t="s">
        <v>12</v>
      </c>
      <c r="H7142" s="2" t="s">
        <v>12</v>
      </c>
      <c r="I7142" s="2" t="s">
        <v>12</v>
      </c>
      <c r="J7142" s="2" t="s">
        <v>12</v>
      </c>
      <c r="K7142" s="2" t="s">
        <v>12</v>
      </c>
    </row>
    <row r="7143" spans="1:11" ht="12.5" x14ac:dyDescent="0.25">
      <c r="A7143" s="3" t="e">
        <f ca="1"/>
        <v>#NAME?</v>
      </c>
      <c r="B7143" s="2" t="s">
        <v>12</v>
      </c>
      <c r="C7143" s="2" t="s">
        <v>12</v>
      </c>
      <c r="D7143" s="2" t="s">
        <v>12</v>
      </c>
      <c r="E7143" s="2" t="s">
        <v>12</v>
      </c>
      <c r="F7143" s="2" t="s">
        <v>12</v>
      </c>
      <c r="G7143" s="2" t="s">
        <v>12</v>
      </c>
      <c r="H7143" s="2" t="s">
        <v>12</v>
      </c>
      <c r="I7143" s="2" t="s">
        <v>12</v>
      </c>
      <c r="J7143" s="2" t="s">
        <v>12</v>
      </c>
      <c r="K7143" s="2" t="s">
        <v>12</v>
      </c>
    </row>
    <row r="7144" spans="1:11" ht="12.5" x14ac:dyDescent="0.25">
      <c r="A7144" s="3" t="e">
        <f ca="1"/>
        <v>#NAME?</v>
      </c>
      <c r="B7144" s="2" t="s">
        <v>12</v>
      </c>
      <c r="C7144" s="2" t="s">
        <v>12</v>
      </c>
      <c r="D7144" s="2" t="s">
        <v>12</v>
      </c>
      <c r="E7144" s="2" t="s">
        <v>12</v>
      </c>
      <c r="F7144" s="2" t="s">
        <v>12</v>
      </c>
      <c r="G7144" s="2" t="s">
        <v>12</v>
      </c>
      <c r="H7144" s="2" t="s">
        <v>12</v>
      </c>
      <c r="I7144" s="2" t="s">
        <v>12</v>
      </c>
      <c r="J7144" s="2" t="s">
        <v>12</v>
      </c>
      <c r="K7144" s="2" t="s">
        <v>12</v>
      </c>
    </row>
    <row r="7145" spans="1:11" ht="12.5" x14ac:dyDescent="0.25">
      <c r="A7145" s="3" t="e">
        <f ca="1"/>
        <v>#NAME?</v>
      </c>
      <c r="B7145" s="2" t="s">
        <v>12</v>
      </c>
      <c r="C7145" s="2" t="s">
        <v>12</v>
      </c>
      <c r="D7145" s="2" t="s">
        <v>12</v>
      </c>
      <c r="E7145" s="2" t="s">
        <v>12</v>
      </c>
      <c r="F7145" s="2" t="s">
        <v>12</v>
      </c>
      <c r="G7145" s="2" t="s">
        <v>12</v>
      </c>
      <c r="H7145" s="2" t="s">
        <v>12</v>
      </c>
      <c r="I7145" s="2" t="s">
        <v>12</v>
      </c>
      <c r="J7145" s="2" t="s">
        <v>12</v>
      </c>
      <c r="K7145" s="2" t="s">
        <v>12</v>
      </c>
    </row>
    <row r="7146" spans="1:11" ht="12.5" x14ac:dyDescent="0.25">
      <c r="A7146" s="3" t="e">
        <f ca="1"/>
        <v>#NAME?</v>
      </c>
      <c r="B7146" s="2" t="s">
        <v>12</v>
      </c>
      <c r="C7146" s="2" t="s">
        <v>12</v>
      </c>
      <c r="D7146" s="2" t="s">
        <v>12</v>
      </c>
      <c r="E7146" s="2" t="s">
        <v>12</v>
      </c>
      <c r="F7146" s="2" t="s">
        <v>12</v>
      </c>
      <c r="G7146" s="2" t="s">
        <v>12</v>
      </c>
      <c r="H7146" s="2" t="s">
        <v>12</v>
      </c>
      <c r="I7146" s="2" t="s">
        <v>12</v>
      </c>
      <c r="J7146" s="2" t="s">
        <v>12</v>
      </c>
      <c r="K7146" s="2" t="s">
        <v>12</v>
      </c>
    </row>
    <row r="7147" spans="1:11" ht="12.5" x14ac:dyDescent="0.25">
      <c r="A7147" s="3" t="e">
        <f ca="1"/>
        <v>#NAME?</v>
      </c>
      <c r="B7147" s="2" t="s">
        <v>12</v>
      </c>
      <c r="C7147" s="2" t="s">
        <v>12</v>
      </c>
      <c r="D7147" s="2" t="s">
        <v>12</v>
      </c>
      <c r="E7147" s="2" t="s">
        <v>12</v>
      </c>
      <c r="F7147" s="2" t="s">
        <v>12</v>
      </c>
      <c r="G7147" s="2" t="s">
        <v>12</v>
      </c>
      <c r="H7147" s="2" t="s">
        <v>12</v>
      </c>
      <c r="I7147" s="2" t="s">
        <v>12</v>
      </c>
      <c r="J7147" s="2" t="s">
        <v>12</v>
      </c>
      <c r="K7147" s="2" t="s">
        <v>12</v>
      </c>
    </row>
    <row r="7148" spans="1:11" ht="12.5" x14ac:dyDescent="0.25">
      <c r="A7148" s="3" t="e">
        <f ca="1"/>
        <v>#NAME?</v>
      </c>
      <c r="B7148" s="2" t="s">
        <v>12</v>
      </c>
      <c r="C7148" s="2" t="s">
        <v>12</v>
      </c>
      <c r="D7148" s="2" t="s">
        <v>12</v>
      </c>
      <c r="E7148" s="2" t="s">
        <v>12</v>
      </c>
      <c r="F7148" s="2" t="s">
        <v>12</v>
      </c>
      <c r="G7148" s="2" t="s">
        <v>12</v>
      </c>
      <c r="H7148" s="2" t="s">
        <v>12</v>
      </c>
      <c r="I7148" s="2" t="s">
        <v>12</v>
      </c>
      <c r="J7148" s="2" t="s">
        <v>12</v>
      </c>
      <c r="K7148" s="2" t="s">
        <v>12</v>
      </c>
    </row>
    <row r="7149" spans="1:11" ht="12.5" x14ac:dyDescent="0.25">
      <c r="A7149" s="3" t="e">
        <f ca="1"/>
        <v>#NAME?</v>
      </c>
      <c r="B7149" s="2" t="s">
        <v>12</v>
      </c>
      <c r="C7149" s="2" t="s">
        <v>12</v>
      </c>
      <c r="D7149" s="2" t="s">
        <v>12</v>
      </c>
      <c r="E7149" s="2" t="s">
        <v>12</v>
      </c>
      <c r="F7149" s="2" t="s">
        <v>12</v>
      </c>
      <c r="G7149" s="2" t="s">
        <v>12</v>
      </c>
      <c r="H7149" s="2" t="s">
        <v>12</v>
      </c>
      <c r="I7149" s="2" t="s">
        <v>12</v>
      </c>
      <c r="J7149" s="2" t="s">
        <v>12</v>
      </c>
      <c r="K7149" s="2" t="s">
        <v>12</v>
      </c>
    </row>
    <row r="7150" spans="1:11" ht="12.5" x14ac:dyDescent="0.25">
      <c r="A7150" s="3" t="e">
        <f ca="1"/>
        <v>#NAME?</v>
      </c>
      <c r="B7150" s="2" t="s">
        <v>12</v>
      </c>
      <c r="C7150" s="2" t="s">
        <v>12</v>
      </c>
      <c r="D7150" s="2" t="s">
        <v>12</v>
      </c>
      <c r="E7150" s="2" t="s">
        <v>12</v>
      </c>
      <c r="F7150" s="2" t="s">
        <v>12</v>
      </c>
      <c r="G7150" s="2" t="s">
        <v>12</v>
      </c>
      <c r="H7150" s="2" t="s">
        <v>12</v>
      </c>
      <c r="I7150" s="2" t="s">
        <v>12</v>
      </c>
      <c r="J7150" s="2" t="s">
        <v>12</v>
      </c>
      <c r="K7150" s="2" t="s">
        <v>12</v>
      </c>
    </row>
    <row r="7151" spans="1:11" ht="12.5" x14ac:dyDescent="0.25">
      <c r="A7151" s="3" t="e">
        <f ca="1"/>
        <v>#NAME?</v>
      </c>
      <c r="B7151" s="2" t="s">
        <v>12</v>
      </c>
      <c r="C7151" s="2" t="s">
        <v>12</v>
      </c>
      <c r="D7151" s="2" t="s">
        <v>12</v>
      </c>
      <c r="E7151" s="2" t="s">
        <v>12</v>
      </c>
      <c r="F7151" s="2" t="s">
        <v>12</v>
      </c>
      <c r="G7151" s="2" t="s">
        <v>12</v>
      </c>
      <c r="H7151" s="2" t="s">
        <v>12</v>
      </c>
      <c r="I7151" s="2" t="s">
        <v>12</v>
      </c>
      <c r="J7151" s="2" t="s">
        <v>12</v>
      </c>
      <c r="K7151" s="2" t="s">
        <v>12</v>
      </c>
    </row>
    <row r="7152" spans="1:11" ht="12.5" x14ac:dyDescent="0.25">
      <c r="A7152" s="3" t="e">
        <f ca="1"/>
        <v>#NAME?</v>
      </c>
      <c r="B7152" s="2" t="s">
        <v>12</v>
      </c>
      <c r="C7152" s="2" t="s">
        <v>12</v>
      </c>
      <c r="D7152" s="2" t="s">
        <v>12</v>
      </c>
      <c r="E7152" s="2" t="s">
        <v>12</v>
      </c>
      <c r="F7152" s="2" t="s">
        <v>12</v>
      </c>
      <c r="G7152" s="2" t="s">
        <v>12</v>
      </c>
      <c r="H7152" s="2" t="s">
        <v>12</v>
      </c>
      <c r="I7152" s="2" t="s">
        <v>12</v>
      </c>
      <c r="J7152" s="2" t="s">
        <v>12</v>
      </c>
      <c r="K7152" s="2" t="s">
        <v>12</v>
      </c>
    </row>
    <row r="7153" spans="1:11" ht="12.5" x14ac:dyDescent="0.25">
      <c r="A7153" s="3" t="e">
        <f ca="1"/>
        <v>#NAME?</v>
      </c>
      <c r="B7153" s="2" t="s">
        <v>12</v>
      </c>
      <c r="C7153" s="2" t="s">
        <v>12</v>
      </c>
      <c r="D7153" s="2" t="s">
        <v>12</v>
      </c>
      <c r="E7153" s="2" t="s">
        <v>12</v>
      </c>
      <c r="F7153" s="2" t="s">
        <v>12</v>
      </c>
      <c r="G7153" s="2" t="s">
        <v>12</v>
      </c>
      <c r="H7153" s="2" t="s">
        <v>12</v>
      </c>
      <c r="I7153" s="2" t="s">
        <v>12</v>
      </c>
      <c r="J7153" s="2" t="s">
        <v>12</v>
      </c>
      <c r="K7153" s="2" t="s">
        <v>12</v>
      </c>
    </row>
    <row r="7154" spans="1:11" ht="12.5" x14ac:dyDescent="0.25">
      <c r="A7154" s="3" t="e">
        <f ca="1"/>
        <v>#NAME?</v>
      </c>
      <c r="B7154" s="2" t="s">
        <v>12</v>
      </c>
      <c r="C7154" s="2" t="s">
        <v>12</v>
      </c>
      <c r="D7154" s="2" t="s">
        <v>12</v>
      </c>
      <c r="E7154" s="2" t="s">
        <v>12</v>
      </c>
      <c r="F7154" s="2" t="s">
        <v>12</v>
      </c>
      <c r="G7154" s="2" t="s">
        <v>12</v>
      </c>
      <c r="H7154" s="2" t="s">
        <v>12</v>
      </c>
      <c r="I7154" s="2" t="s">
        <v>12</v>
      </c>
      <c r="J7154" s="2" t="s">
        <v>12</v>
      </c>
      <c r="K7154" s="2" t="s">
        <v>12</v>
      </c>
    </row>
    <row r="7155" spans="1:11" ht="12.5" x14ac:dyDescent="0.25">
      <c r="A7155" s="3" t="e">
        <f ca="1"/>
        <v>#NAME?</v>
      </c>
      <c r="B7155" s="2" t="s">
        <v>12</v>
      </c>
      <c r="C7155" s="2" t="s">
        <v>12</v>
      </c>
      <c r="D7155" s="2" t="s">
        <v>12</v>
      </c>
      <c r="E7155" s="2" t="s">
        <v>12</v>
      </c>
      <c r="F7155" s="2" t="s">
        <v>12</v>
      </c>
      <c r="G7155" s="2" t="s">
        <v>12</v>
      </c>
      <c r="H7155" s="2" t="s">
        <v>12</v>
      </c>
      <c r="I7155" s="2" t="s">
        <v>12</v>
      </c>
      <c r="J7155" s="2" t="s">
        <v>12</v>
      </c>
      <c r="K7155" s="2" t="s">
        <v>12</v>
      </c>
    </row>
    <row r="7156" spans="1:11" ht="12.5" x14ac:dyDescent="0.25">
      <c r="A7156" s="3" t="e">
        <f ca="1"/>
        <v>#NAME?</v>
      </c>
      <c r="B7156" s="2" t="s">
        <v>12</v>
      </c>
      <c r="C7156" s="2" t="s">
        <v>12</v>
      </c>
      <c r="D7156" s="2" t="s">
        <v>12</v>
      </c>
      <c r="E7156" s="2" t="s">
        <v>12</v>
      </c>
      <c r="F7156" s="2" t="s">
        <v>12</v>
      </c>
      <c r="G7156" s="2" t="s">
        <v>12</v>
      </c>
      <c r="H7156" s="2" t="s">
        <v>12</v>
      </c>
      <c r="I7156" s="2" t="s">
        <v>12</v>
      </c>
      <c r="J7156" s="2" t="s">
        <v>12</v>
      </c>
      <c r="K7156" s="2" t="s">
        <v>12</v>
      </c>
    </row>
    <row r="7157" spans="1:11" ht="12.5" x14ac:dyDescent="0.25">
      <c r="A7157" s="3" t="e">
        <f ca="1"/>
        <v>#NAME?</v>
      </c>
      <c r="B7157" s="2" t="s">
        <v>12</v>
      </c>
      <c r="C7157" s="2" t="s">
        <v>12</v>
      </c>
      <c r="D7157" s="2" t="s">
        <v>12</v>
      </c>
      <c r="E7157" s="2" t="s">
        <v>12</v>
      </c>
      <c r="F7157" s="2" t="s">
        <v>12</v>
      </c>
      <c r="G7157" s="2" t="s">
        <v>12</v>
      </c>
      <c r="H7157" s="2" t="s">
        <v>12</v>
      </c>
      <c r="I7157" s="2" t="s">
        <v>12</v>
      </c>
      <c r="J7157" s="2" t="s">
        <v>12</v>
      </c>
      <c r="K7157" s="2" t="s">
        <v>12</v>
      </c>
    </row>
    <row r="7158" spans="1:11" ht="12.5" x14ac:dyDescent="0.25">
      <c r="A7158" s="3" t="e">
        <f ca="1"/>
        <v>#NAME?</v>
      </c>
      <c r="B7158" s="2" t="s">
        <v>12</v>
      </c>
      <c r="C7158" s="2" t="s">
        <v>12</v>
      </c>
      <c r="D7158" s="2" t="s">
        <v>12</v>
      </c>
      <c r="E7158" s="2" t="s">
        <v>12</v>
      </c>
      <c r="F7158" s="2" t="s">
        <v>12</v>
      </c>
      <c r="G7158" s="2" t="s">
        <v>12</v>
      </c>
      <c r="H7158" s="2" t="s">
        <v>12</v>
      </c>
      <c r="I7158" s="2" t="s">
        <v>12</v>
      </c>
      <c r="J7158" s="2" t="s">
        <v>12</v>
      </c>
      <c r="K7158" s="2" t="s">
        <v>12</v>
      </c>
    </row>
    <row r="7159" spans="1:11" ht="12.5" x14ac:dyDescent="0.25">
      <c r="A7159" s="3" t="e">
        <f ca="1"/>
        <v>#NAME?</v>
      </c>
      <c r="B7159" s="2" t="s">
        <v>12</v>
      </c>
      <c r="C7159" s="2" t="s">
        <v>12</v>
      </c>
      <c r="D7159" s="2" t="s">
        <v>12</v>
      </c>
      <c r="E7159" s="2" t="s">
        <v>12</v>
      </c>
      <c r="F7159" s="2" t="s">
        <v>12</v>
      </c>
      <c r="G7159" s="2" t="s">
        <v>12</v>
      </c>
      <c r="H7159" s="2" t="s">
        <v>12</v>
      </c>
      <c r="I7159" s="2" t="s">
        <v>12</v>
      </c>
      <c r="J7159" s="2" t="s">
        <v>12</v>
      </c>
      <c r="K7159" s="2" t="s">
        <v>12</v>
      </c>
    </row>
    <row r="7160" spans="1:11" ht="12.5" x14ac:dyDescent="0.25">
      <c r="A7160" s="3" t="e">
        <f ca="1"/>
        <v>#NAME?</v>
      </c>
      <c r="B7160" s="2" t="s">
        <v>12</v>
      </c>
      <c r="C7160" s="2" t="s">
        <v>12</v>
      </c>
      <c r="D7160" s="2" t="s">
        <v>12</v>
      </c>
      <c r="E7160" s="2" t="s">
        <v>12</v>
      </c>
      <c r="F7160" s="2" t="s">
        <v>12</v>
      </c>
      <c r="G7160" s="2" t="s">
        <v>12</v>
      </c>
      <c r="H7160" s="2" t="s">
        <v>12</v>
      </c>
      <c r="I7160" s="2" t="s">
        <v>12</v>
      </c>
      <c r="J7160" s="2" t="s">
        <v>12</v>
      </c>
      <c r="K7160" s="2" t="s">
        <v>12</v>
      </c>
    </row>
    <row r="7161" spans="1:11" ht="12.5" x14ac:dyDescent="0.25">
      <c r="A7161" s="3" t="e">
        <f ca="1"/>
        <v>#NAME?</v>
      </c>
      <c r="B7161" s="2" t="s">
        <v>12</v>
      </c>
      <c r="C7161" s="2" t="s">
        <v>12</v>
      </c>
      <c r="D7161" s="2" t="s">
        <v>12</v>
      </c>
      <c r="E7161" s="2" t="s">
        <v>12</v>
      </c>
      <c r="F7161" s="2" t="s">
        <v>12</v>
      </c>
      <c r="G7161" s="2" t="s">
        <v>12</v>
      </c>
      <c r="H7161" s="2" t="s">
        <v>12</v>
      </c>
      <c r="I7161" s="2" t="s">
        <v>12</v>
      </c>
      <c r="J7161" s="2" t="s">
        <v>12</v>
      </c>
      <c r="K7161" s="2" t="s">
        <v>12</v>
      </c>
    </row>
    <row r="7162" spans="1:11" ht="12.5" x14ac:dyDescent="0.25">
      <c r="A7162" s="3" t="e">
        <f ca="1"/>
        <v>#NAME?</v>
      </c>
      <c r="B7162" s="2" t="s">
        <v>12</v>
      </c>
      <c r="C7162" s="2" t="s">
        <v>12</v>
      </c>
      <c r="D7162" s="2" t="s">
        <v>12</v>
      </c>
      <c r="E7162" s="2" t="s">
        <v>12</v>
      </c>
      <c r="F7162" s="2" t="s">
        <v>12</v>
      </c>
      <c r="G7162" s="2" t="s">
        <v>12</v>
      </c>
      <c r="H7162" s="2" t="s">
        <v>12</v>
      </c>
      <c r="I7162" s="2" t="s">
        <v>12</v>
      </c>
      <c r="J7162" s="2" t="s">
        <v>12</v>
      </c>
      <c r="K7162" s="2" t="s">
        <v>12</v>
      </c>
    </row>
    <row r="7163" spans="1:11" ht="12.5" x14ac:dyDescent="0.25">
      <c r="A7163" s="3" t="e">
        <f ca="1"/>
        <v>#NAME?</v>
      </c>
      <c r="B7163" s="2" t="s">
        <v>12</v>
      </c>
      <c r="C7163" s="2" t="s">
        <v>12</v>
      </c>
      <c r="D7163" s="2" t="s">
        <v>12</v>
      </c>
      <c r="E7163" s="2" t="s">
        <v>12</v>
      </c>
      <c r="F7163" s="2" t="s">
        <v>12</v>
      </c>
      <c r="G7163" s="2" t="s">
        <v>12</v>
      </c>
      <c r="H7163" s="2" t="s">
        <v>12</v>
      </c>
      <c r="I7163" s="2" t="s">
        <v>12</v>
      </c>
      <c r="J7163" s="2" t="s">
        <v>12</v>
      </c>
      <c r="K7163" s="2" t="s">
        <v>12</v>
      </c>
    </row>
    <row r="7164" spans="1:11" ht="12.5" x14ac:dyDescent="0.25">
      <c r="A7164" s="3" t="e">
        <f ca="1"/>
        <v>#NAME?</v>
      </c>
      <c r="B7164" s="2" t="s">
        <v>12</v>
      </c>
      <c r="C7164" s="2" t="s">
        <v>12</v>
      </c>
      <c r="D7164" s="2" t="s">
        <v>12</v>
      </c>
      <c r="E7164" s="2" t="s">
        <v>12</v>
      </c>
      <c r="F7164" s="2" t="s">
        <v>12</v>
      </c>
      <c r="G7164" s="2" t="s">
        <v>12</v>
      </c>
      <c r="H7164" s="2" t="s">
        <v>12</v>
      </c>
      <c r="I7164" s="2" t="s">
        <v>12</v>
      </c>
      <c r="J7164" s="2" t="s">
        <v>12</v>
      </c>
      <c r="K7164" s="2" t="s">
        <v>12</v>
      </c>
    </row>
    <row r="7165" spans="1:11" ht="12.5" x14ac:dyDescent="0.25">
      <c r="A7165" s="3" t="e">
        <f ca="1"/>
        <v>#NAME?</v>
      </c>
      <c r="B7165" s="2" t="s">
        <v>12</v>
      </c>
      <c r="C7165" s="2" t="s">
        <v>12</v>
      </c>
      <c r="D7165" s="2" t="s">
        <v>12</v>
      </c>
      <c r="E7165" s="2" t="s">
        <v>12</v>
      </c>
      <c r="F7165" s="2" t="s">
        <v>12</v>
      </c>
      <c r="G7165" s="2" t="s">
        <v>12</v>
      </c>
      <c r="H7165" s="2" t="s">
        <v>12</v>
      </c>
      <c r="I7165" s="2" t="s">
        <v>12</v>
      </c>
      <c r="J7165" s="2" t="s">
        <v>12</v>
      </c>
      <c r="K7165" s="2" t="s">
        <v>12</v>
      </c>
    </row>
    <row r="7166" spans="1:11" ht="12.5" x14ac:dyDescent="0.25">
      <c r="A7166" s="3" t="e">
        <f ca="1"/>
        <v>#NAME?</v>
      </c>
      <c r="B7166" s="2" t="s">
        <v>12</v>
      </c>
      <c r="C7166" s="2" t="s">
        <v>12</v>
      </c>
      <c r="D7166" s="2" t="s">
        <v>12</v>
      </c>
      <c r="E7166" s="2" t="s">
        <v>12</v>
      </c>
      <c r="F7166" s="2" t="s">
        <v>12</v>
      </c>
      <c r="G7166" s="2" t="s">
        <v>12</v>
      </c>
      <c r="H7166" s="2" t="s">
        <v>12</v>
      </c>
      <c r="I7166" s="2" t="s">
        <v>12</v>
      </c>
      <c r="J7166" s="2" t="s">
        <v>12</v>
      </c>
      <c r="K7166" s="2" t="s">
        <v>12</v>
      </c>
    </row>
    <row r="7167" spans="1:11" ht="12.5" x14ac:dyDescent="0.25">
      <c r="A7167" s="3" t="e">
        <f ca="1"/>
        <v>#NAME?</v>
      </c>
      <c r="B7167" s="2" t="s">
        <v>12</v>
      </c>
      <c r="C7167" s="2" t="s">
        <v>12</v>
      </c>
      <c r="D7167" s="2" t="s">
        <v>12</v>
      </c>
      <c r="E7167" s="2" t="s">
        <v>12</v>
      </c>
      <c r="F7167" s="2" t="s">
        <v>12</v>
      </c>
      <c r="G7167" s="2" t="s">
        <v>12</v>
      </c>
      <c r="H7167" s="2" t="s">
        <v>12</v>
      </c>
      <c r="I7167" s="2" t="s">
        <v>12</v>
      </c>
      <c r="J7167" s="2" t="s">
        <v>12</v>
      </c>
      <c r="K7167" s="2" t="s">
        <v>12</v>
      </c>
    </row>
    <row r="7168" spans="1:11" ht="12.5" x14ac:dyDescent="0.25">
      <c r="A7168" s="3" t="e">
        <f ca="1"/>
        <v>#NAME?</v>
      </c>
      <c r="B7168" s="2" t="s">
        <v>12</v>
      </c>
      <c r="C7168" s="2" t="s">
        <v>12</v>
      </c>
      <c r="D7168" s="2" t="s">
        <v>12</v>
      </c>
      <c r="E7168" s="2" t="s">
        <v>12</v>
      </c>
      <c r="F7168" s="2" t="s">
        <v>12</v>
      </c>
      <c r="G7168" s="2" t="s">
        <v>12</v>
      </c>
      <c r="H7168" s="2" t="s">
        <v>12</v>
      </c>
      <c r="I7168" s="2" t="s">
        <v>12</v>
      </c>
      <c r="J7168" s="2" t="s">
        <v>12</v>
      </c>
      <c r="K7168" s="2" t="s">
        <v>12</v>
      </c>
    </row>
    <row r="7169" spans="1:11" ht="12.5" x14ac:dyDescent="0.25">
      <c r="A7169" s="3" t="e">
        <f ca="1"/>
        <v>#NAME?</v>
      </c>
      <c r="B7169" s="2" t="s">
        <v>12</v>
      </c>
      <c r="C7169" s="2" t="s">
        <v>12</v>
      </c>
      <c r="D7169" s="2" t="s">
        <v>12</v>
      </c>
      <c r="E7169" s="2" t="s">
        <v>12</v>
      </c>
      <c r="F7169" s="2" t="s">
        <v>12</v>
      </c>
      <c r="G7169" s="2" t="s">
        <v>12</v>
      </c>
      <c r="H7169" s="2" t="s">
        <v>12</v>
      </c>
      <c r="I7169" s="2" t="s">
        <v>12</v>
      </c>
      <c r="J7169" s="2" t="s">
        <v>12</v>
      </c>
      <c r="K7169" s="2" t="s">
        <v>12</v>
      </c>
    </row>
    <row r="7170" spans="1:11" ht="12.5" x14ac:dyDescent="0.25">
      <c r="A7170" s="3" t="e">
        <f ca="1"/>
        <v>#NAME?</v>
      </c>
      <c r="B7170" s="2" t="s">
        <v>12</v>
      </c>
      <c r="C7170" s="2" t="s">
        <v>12</v>
      </c>
      <c r="D7170" s="2" t="s">
        <v>12</v>
      </c>
      <c r="E7170" s="2" t="s">
        <v>12</v>
      </c>
      <c r="F7170" s="2" t="s">
        <v>12</v>
      </c>
      <c r="G7170" s="2" t="s">
        <v>12</v>
      </c>
      <c r="H7170" s="2" t="s">
        <v>12</v>
      </c>
      <c r="I7170" s="2" t="s">
        <v>12</v>
      </c>
      <c r="J7170" s="2" t="s">
        <v>12</v>
      </c>
      <c r="K7170" s="2" t="s">
        <v>12</v>
      </c>
    </row>
    <row r="7171" spans="1:11" ht="12.5" x14ac:dyDescent="0.25">
      <c r="A7171" s="3" t="e">
        <f ca="1"/>
        <v>#NAME?</v>
      </c>
      <c r="B7171" s="2" t="s">
        <v>12</v>
      </c>
      <c r="C7171" s="2" t="s">
        <v>12</v>
      </c>
      <c r="D7171" s="2" t="s">
        <v>12</v>
      </c>
      <c r="E7171" s="2" t="s">
        <v>12</v>
      </c>
      <c r="F7171" s="2" t="s">
        <v>12</v>
      </c>
      <c r="G7171" s="2" t="s">
        <v>12</v>
      </c>
      <c r="H7171" s="2" t="s">
        <v>12</v>
      </c>
      <c r="I7171" s="2" t="s">
        <v>12</v>
      </c>
      <c r="J7171" s="2" t="s">
        <v>12</v>
      </c>
      <c r="K7171" s="2" t="s">
        <v>12</v>
      </c>
    </row>
    <row r="7172" spans="1:11" ht="12.5" x14ac:dyDescent="0.25">
      <c r="A7172" s="3" t="e">
        <f ca="1"/>
        <v>#NAME?</v>
      </c>
      <c r="B7172" s="2" t="s">
        <v>12</v>
      </c>
      <c r="C7172" s="2" t="s">
        <v>12</v>
      </c>
      <c r="D7172" s="2" t="s">
        <v>12</v>
      </c>
      <c r="E7172" s="2" t="s">
        <v>12</v>
      </c>
      <c r="F7172" s="2" t="s">
        <v>12</v>
      </c>
      <c r="G7172" s="2" t="s">
        <v>12</v>
      </c>
      <c r="H7172" s="2" t="s">
        <v>12</v>
      </c>
      <c r="I7172" s="2" t="s">
        <v>12</v>
      </c>
      <c r="J7172" s="2" t="s">
        <v>12</v>
      </c>
      <c r="K7172" s="2" t="s">
        <v>12</v>
      </c>
    </row>
    <row r="7173" spans="1:11" ht="12.5" x14ac:dyDescent="0.25">
      <c r="A7173" s="3" t="e">
        <f ca="1"/>
        <v>#NAME?</v>
      </c>
      <c r="B7173" s="2" t="s">
        <v>12</v>
      </c>
      <c r="C7173" s="2" t="s">
        <v>12</v>
      </c>
      <c r="D7173" s="2" t="s">
        <v>12</v>
      </c>
      <c r="E7173" s="2" t="s">
        <v>12</v>
      </c>
      <c r="F7173" s="2" t="s">
        <v>12</v>
      </c>
      <c r="G7173" s="2" t="s">
        <v>12</v>
      </c>
      <c r="H7173" s="2" t="s">
        <v>12</v>
      </c>
      <c r="I7173" s="2" t="s">
        <v>12</v>
      </c>
      <c r="J7173" s="2" t="s">
        <v>12</v>
      </c>
      <c r="K7173" s="2" t="s">
        <v>12</v>
      </c>
    </row>
    <row r="7174" spans="1:11" ht="12.5" x14ac:dyDescent="0.25">
      <c r="A7174" s="3" t="e">
        <f ca="1"/>
        <v>#NAME?</v>
      </c>
      <c r="B7174" s="2" t="s">
        <v>12</v>
      </c>
      <c r="C7174" s="2" t="s">
        <v>12</v>
      </c>
      <c r="D7174" s="2" t="s">
        <v>12</v>
      </c>
      <c r="E7174" s="2" t="s">
        <v>12</v>
      </c>
      <c r="F7174" s="2" t="s">
        <v>12</v>
      </c>
      <c r="G7174" s="2" t="s">
        <v>12</v>
      </c>
      <c r="H7174" s="2" t="s">
        <v>12</v>
      </c>
      <c r="I7174" s="2" t="s">
        <v>12</v>
      </c>
      <c r="J7174" s="2" t="s">
        <v>12</v>
      </c>
      <c r="K7174" s="2" t="s">
        <v>12</v>
      </c>
    </row>
    <row r="7175" spans="1:11" ht="12.5" x14ac:dyDescent="0.25">
      <c r="A7175" s="3" t="e">
        <f ca="1"/>
        <v>#NAME?</v>
      </c>
      <c r="B7175" s="2" t="s">
        <v>12</v>
      </c>
      <c r="C7175" s="2" t="s">
        <v>12</v>
      </c>
      <c r="D7175" s="2" t="s">
        <v>12</v>
      </c>
      <c r="E7175" s="2" t="s">
        <v>12</v>
      </c>
      <c r="F7175" s="2" t="s">
        <v>12</v>
      </c>
      <c r="G7175" s="2" t="s">
        <v>12</v>
      </c>
      <c r="H7175" s="2" t="s">
        <v>12</v>
      </c>
      <c r="I7175" s="2" t="s">
        <v>12</v>
      </c>
      <c r="J7175" s="2" t="s">
        <v>12</v>
      </c>
      <c r="K7175" s="2" t="s">
        <v>12</v>
      </c>
    </row>
    <row r="7176" spans="1:11" ht="12.5" x14ac:dyDescent="0.25">
      <c r="A7176" s="3" t="e">
        <f ca="1"/>
        <v>#NAME?</v>
      </c>
      <c r="B7176" s="2" t="s">
        <v>12</v>
      </c>
      <c r="C7176" s="2" t="s">
        <v>12</v>
      </c>
      <c r="D7176" s="2" t="s">
        <v>12</v>
      </c>
      <c r="E7176" s="2" t="s">
        <v>12</v>
      </c>
      <c r="F7176" s="2" t="s">
        <v>12</v>
      </c>
      <c r="G7176" s="2" t="s">
        <v>12</v>
      </c>
      <c r="H7176" s="2" t="s">
        <v>12</v>
      </c>
      <c r="I7176" s="2" t="s">
        <v>12</v>
      </c>
      <c r="J7176" s="2" t="s">
        <v>12</v>
      </c>
      <c r="K7176" s="2" t="s">
        <v>12</v>
      </c>
    </row>
    <row r="7177" spans="1:11" ht="12.5" x14ac:dyDescent="0.25">
      <c r="A7177" s="3" t="e">
        <f ca="1"/>
        <v>#NAME?</v>
      </c>
      <c r="B7177" s="2" t="s">
        <v>12</v>
      </c>
      <c r="C7177" s="2" t="s">
        <v>12</v>
      </c>
      <c r="D7177" s="2" t="s">
        <v>12</v>
      </c>
      <c r="E7177" s="2" t="s">
        <v>12</v>
      </c>
      <c r="F7177" s="2" t="s">
        <v>12</v>
      </c>
      <c r="G7177" s="2" t="s">
        <v>12</v>
      </c>
      <c r="H7177" s="2" t="s">
        <v>12</v>
      </c>
      <c r="I7177" s="2" t="s">
        <v>12</v>
      </c>
      <c r="J7177" s="2" t="s">
        <v>12</v>
      </c>
      <c r="K7177" s="2" t="s">
        <v>12</v>
      </c>
    </row>
    <row r="7178" spans="1:11" ht="12.5" x14ac:dyDescent="0.25">
      <c r="A7178" s="3" t="e">
        <f ca="1"/>
        <v>#NAME?</v>
      </c>
      <c r="B7178" s="2" t="s">
        <v>12</v>
      </c>
      <c r="C7178" s="2" t="s">
        <v>12</v>
      </c>
      <c r="D7178" s="2" t="s">
        <v>12</v>
      </c>
      <c r="E7178" s="2" t="s">
        <v>12</v>
      </c>
      <c r="F7178" s="2" t="s">
        <v>12</v>
      </c>
      <c r="G7178" s="2" t="s">
        <v>12</v>
      </c>
      <c r="H7178" s="2" t="s">
        <v>12</v>
      </c>
      <c r="I7178" s="2" t="s">
        <v>12</v>
      </c>
      <c r="J7178" s="2" t="s">
        <v>12</v>
      </c>
      <c r="K7178" s="2" t="s">
        <v>12</v>
      </c>
    </row>
    <row r="7179" spans="1:11" ht="12.5" x14ac:dyDescent="0.25">
      <c r="A7179" s="3" t="e">
        <f ca="1"/>
        <v>#NAME?</v>
      </c>
      <c r="B7179" s="2" t="s">
        <v>12</v>
      </c>
      <c r="C7179" s="2" t="s">
        <v>12</v>
      </c>
      <c r="D7179" s="2" t="s">
        <v>12</v>
      </c>
      <c r="E7179" s="2" t="s">
        <v>12</v>
      </c>
      <c r="F7179" s="2" t="s">
        <v>12</v>
      </c>
      <c r="G7179" s="2" t="s">
        <v>12</v>
      </c>
      <c r="H7179" s="2" t="s">
        <v>12</v>
      </c>
      <c r="I7179" s="2" t="s">
        <v>12</v>
      </c>
      <c r="J7179" s="2" t="s">
        <v>12</v>
      </c>
      <c r="K7179" s="2" t="s">
        <v>12</v>
      </c>
    </row>
    <row r="7180" spans="1:11" ht="12.5" x14ac:dyDescent="0.25">
      <c r="A7180" s="3" t="e">
        <f ca="1"/>
        <v>#NAME?</v>
      </c>
      <c r="B7180" s="2" t="s">
        <v>12</v>
      </c>
      <c r="C7180" s="2" t="s">
        <v>12</v>
      </c>
      <c r="D7180" s="2" t="s">
        <v>12</v>
      </c>
      <c r="E7180" s="2" t="s">
        <v>12</v>
      </c>
      <c r="F7180" s="2" t="s">
        <v>12</v>
      </c>
      <c r="G7180" s="2" t="s">
        <v>12</v>
      </c>
      <c r="H7180" s="2" t="s">
        <v>12</v>
      </c>
      <c r="I7180" s="2" t="s">
        <v>12</v>
      </c>
      <c r="J7180" s="2" t="s">
        <v>12</v>
      </c>
      <c r="K7180" s="2" t="s">
        <v>12</v>
      </c>
    </row>
    <row r="7181" spans="1:11" ht="12.5" x14ac:dyDescent="0.25">
      <c r="A7181" s="3" t="e">
        <f ca="1"/>
        <v>#NAME?</v>
      </c>
      <c r="B7181" s="2" t="s">
        <v>12</v>
      </c>
      <c r="C7181" s="2" t="s">
        <v>12</v>
      </c>
      <c r="D7181" s="2" t="s">
        <v>12</v>
      </c>
      <c r="E7181" s="2" t="s">
        <v>12</v>
      </c>
      <c r="F7181" s="2" t="s">
        <v>12</v>
      </c>
      <c r="G7181" s="2" t="s">
        <v>12</v>
      </c>
      <c r="H7181" s="2" t="s">
        <v>12</v>
      </c>
      <c r="I7181" s="2" t="s">
        <v>12</v>
      </c>
      <c r="J7181" s="2" t="s">
        <v>12</v>
      </c>
      <c r="K7181" s="2" t="s">
        <v>12</v>
      </c>
    </row>
    <row r="7182" spans="1:11" ht="12.5" x14ac:dyDescent="0.25">
      <c r="A7182" s="3" t="e">
        <f ca="1"/>
        <v>#NAME?</v>
      </c>
      <c r="B7182" s="2" t="s">
        <v>12</v>
      </c>
      <c r="C7182" s="2" t="s">
        <v>12</v>
      </c>
      <c r="D7182" s="2" t="s">
        <v>12</v>
      </c>
      <c r="E7182" s="2" t="s">
        <v>12</v>
      </c>
      <c r="F7182" s="2" t="s">
        <v>12</v>
      </c>
      <c r="G7182" s="2" t="s">
        <v>12</v>
      </c>
      <c r="H7182" s="2" t="s">
        <v>12</v>
      </c>
      <c r="I7182" s="2" t="s">
        <v>12</v>
      </c>
      <c r="J7182" s="2" t="s">
        <v>12</v>
      </c>
      <c r="K7182" s="2" t="s">
        <v>12</v>
      </c>
    </row>
    <row r="7183" spans="1:11" ht="12.5" x14ac:dyDescent="0.25">
      <c r="A7183" s="3" t="e">
        <f ca="1"/>
        <v>#NAME?</v>
      </c>
      <c r="B7183" s="2" t="s">
        <v>12</v>
      </c>
      <c r="C7183" s="2" t="s">
        <v>12</v>
      </c>
      <c r="D7183" s="2" t="s">
        <v>12</v>
      </c>
      <c r="E7183" s="2" t="s">
        <v>12</v>
      </c>
      <c r="F7183" s="2" t="s">
        <v>12</v>
      </c>
      <c r="G7183" s="2" t="s">
        <v>12</v>
      </c>
      <c r="H7183" s="2" t="s">
        <v>12</v>
      </c>
      <c r="I7183" s="2" t="s">
        <v>12</v>
      </c>
      <c r="J7183" s="2" t="s">
        <v>12</v>
      </c>
      <c r="K7183" s="2" t="s">
        <v>12</v>
      </c>
    </row>
    <row r="7184" spans="1:11" ht="12.5" x14ac:dyDescent="0.25">
      <c r="A7184" s="3" t="e">
        <f ca="1"/>
        <v>#NAME?</v>
      </c>
      <c r="B7184" s="2" t="s">
        <v>12</v>
      </c>
      <c r="C7184" s="2" t="s">
        <v>12</v>
      </c>
      <c r="D7184" s="2" t="s">
        <v>12</v>
      </c>
      <c r="E7184" s="2" t="s">
        <v>12</v>
      </c>
      <c r="F7184" s="2" t="s">
        <v>12</v>
      </c>
      <c r="G7184" s="2" t="s">
        <v>12</v>
      </c>
      <c r="H7184" s="2" t="s">
        <v>12</v>
      </c>
      <c r="I7184" s="2" t="s">
        <v>12</v>
      </c>
      <c r="J7184" s="2" t="s">
        <v>12</v>
      </c>
      <c r="K7184" s="2" t="s">
        <v>12</v>
      </c>
    </row>
    <row r="7185" spans="1:11" ht="12.5" x14ac:dyDescent="0.25">
      <c r="A7185" s="3" t="e">
        <f ca="1"/>
        <v>#NAME?</v>
      </c>
      <c r="B7185" s="2" t="s">
        <v>12</v>
      </c>
      <c r="C7185" s="2" t="s">
        <v>12</v>
      </c>
      <c r="D7185" s="2" t="s">
        <v>12</v>
      </c>
      <c r="E7185" s="2" t="s">
        <v>12</v>
      </c>
      <c r="F7185" s="2" t="s">
        <v>12</v>
      </c>
      <c r="G7185" s="2" t="s">
        <v>12</v>
      </c>
      <c r="H7185" s="2" t="s">
        <v>12</v>
      </c>
      <c r="I7185" s="2" t="s">
        <v>12</v>
      </c>
      <c r="J7185" s="2" t="s">
        <v>12</v>
      </c>
      <c r="K7185" s="2" t="s">
        <v>12</v>
      </c>
    </row>
    <row r="7186" spans="1:11" ht="12.5" x14ac:dyDescent="0.25">
      <c r="A7186" s="3" t="e">
        <f ca="1"/>
        <v>#NAME?</v>
      </c>
      <c r="B7186" s="2" t="s">
        <v>12</v>
      </c>
      <c r="C7186" s="2" t="s">
        <v>12</v>
      </c>
      <c r="D7186" s="2" t="s">
        <v>12</v>
      </c>
      <c r="E7186" s="2" t="s">
        <v>12</v>
      </c>
      <c r="F7186" s="2" t="s">
        <v>12</v>
      </c>
      <c r="G7186" s="2" t="s">
        <v>12</v>
      </c>
      <c r="H7186" s="2" t="s">
        <v>12</v>
      </c>
      <c r="I7186" s="2" t="s">
        <v>12</v>
      </c>
      <c r="J7186" s="2" t="s">
        <v>12</v>
      </c>
      <c r="K7186" s="2" t="s">
        <v>12</v>
      </c>
    </row>
    <row r="7187" spans="1:11" ht="12.5" x14ac:dyDescent="0.25">
      <c r="A7187" s="3" t="e">
        <f ca="1"/>
        <v>#NAME?</v>
      </c>
      <c r="B7187" s="2" t="s">
        <v>12</v>
      </c>
      <c r="C7187" s="2" t="s">
        <v>12</v>
      </c>
      <c r="D7187" s="2" t="s">
        <v>12</v>
      </c>
      <c r="E7187" s="2" t="s">
        <v>12</v>
      </c>
      <c r="F7187" s="2" t="s">
        <v>12</v>
      </c>
      <c r="G7187" s="2" t="s">
        <v>12</v>
      </c>
      <c r="H7187" s="2" t="s">
        <v>12</v>
      </c>
      <c r="I7187" s="2" t="s">
        <v>12</v>
      </c>
      <c r="J7187" s="2" t="s">
        <v>12</v>
      </c>
      <c r="K7187" s="2" t="s">
        <v>12</v>
      </c>
    </row>
    <row r="7188" spans="1:11" ht="12.5" x14ac:dyDescent="0.25">
      <c r="A7188" s="3" t="e">
        <f ca="1"/>
        <v>#NAME?</v>
      </c>
      <c r="B7188" s="2" t="s">
        <v>12</v>
      </c>
      <c r="C7188" s="2" t="s">
        <v>12</v>
      </c>
      <c r="D7188" s="2" t="s">
        <v>12</v>
      </c>
      <c r="E7188" s="2" t="s">
        <v>12</v>
      </c>
      <c r="F7188" s="2" t="s">
        <v>12</v>
      </c>
      <c r="G7188" s="2" t="s">
        <v>12</v>
      </c>
      <c r="H7188" s="2" t="s">
        <v>12</v>
      </c>
      <c r="I7188" s="2" t="s">
        <v>12</v>
      </c>
      <c r="J7188" s="2" t="s">
        <v>12</v>
      </c>
      <c r="K7188" s="2" t="s">
        <v>12</v>
      </c>
    </row>
    <row r="7189" spans="1:11" ht="12.5" x14ac:dyDescent="0.25">
      <c r="A7189" s="3" t="e">
        <f ca="1"/>
        <v>#NAME?</v>
      </c>
      <c r="B7189" s="2" t="s">
        <v>12</v>
      </c>
      <c r="C7189" s="2" t="s">
        <v>12</v>
      </c>
      <c r="D7189" s="2" t="s">
        <v>12</v>
      </c>
      <c r="E7189" s="2" t="s">
        <v>12</v>
      </c>
      <c r="F7189" s="2" t="s">
        <v>12</v>
      </c>
      <c r="G7189" s="2" t="s">
        <v>12</v>
      </c>
      <c r="H7189" s="2" t="s">
        <v>12</v>
      </c>
      <c r="I7189" s="2" t="s">
        <v>12</v>
      </c>
      <c r="J7189" s="2" t="s">
        <v>12</v>
      </c>
      <c r="K7189" s="2" t="s">
        <v>12</v>
      </c>
    </row>
    <row r="7190" spans="1:11" ht="12.5" x14ac:dyDescent="0.25">
      <c r="A7190" s="3" t="e">
        <f ca="1"/>
        <v>#NAME?</v>
      </c>
      <c r="B7190" s="2" t="s">
        <v>12</v>
      </c>
      <c r="C7190" s="2" t="s">
        <v>12</v>
      </c>
      <c r="D7190" s="2" t="s">
        <v>12</v>
      </c>
      <c r="E7190" s="2" t="s">
        <v>12</v>
      </c>
      <c r="F7190" s="2" t="s">
        <v>12</v>
      </c>
      <c r="G7190" s="2" t="s">
        <v>12</v>
      </c>
      <c r="H7190" s="2" t="s">
        <v>12</v>
      </c>
      <c r="I7190" s="2" t="s">
        <v>12</v>
      </c>
      <c r="J7190" s="2" t="s">
        <v>12</v>
      </c>
      <c r="K7190" s="2" t="s">
        <v>12</v>
      </c>
    </row>
    <row r="7191" spans="1:11" ht="12.5" x14ac:dyDescent="0.25">
      <c r="A7191" s="3" t="e">
        <f ca="1"/>
        <v>#NAME?</v>
      </c>
      <c r="B7191" s="2" t="s">
        <v>12</v>
      </c>
      <c r="C7191" s="2" t="s">
        <v>12</v>
      </c>
      <c r="D7191" s="2" t="s">
        <v>12</v>
      </c>
      <c r="E7191" s="2" t="s">
        <v>12</v>
      </c>
      <c r="F7191" s="2" t="s">
        <v>12</v>
      </c>
      <c r="G7191" s="2" t="s">
        <v>12</v>
      </c>
      <c r="H7191" s="2" t="s">
        <v>12</v>
      </c>
      <c r="I7191" s="2" t="s">
        <v>12</v>
      </c>
      <c r="J7191" s="2" t="s">
        <v>12</v>
      </c>
      <c r="K7191" s="2" t="s">
        <v>12</v>
      </c>
    </row>
    <row r="7192" spans="1:11" ht="12.5" x14ac:dyDescent="0.25">
      <c r="A7192" s="3" t="e">
        <f ca="1"/>
        <v>#NAME?</v>
      </c>
      <c r="B7192" s="2" t="s">
        <v>12</v>
      </c>
      <c r="C7192" s="2" t="s">
        <v>12</v>
      </c>
      <c r="D7192" s="2" t="s">
        <v>12</v>
      </c>
      <c r="E7192" s="2" t="s">
        <v>12</v>
      </c>
      <c r="F7192" s="2" t="s">
        <v>12</v>
      </c>
      <c r="G7192" s="2" t="s">
        <v>12</v>
      </c>
      <c r="H7192" s="2" t="s">
        <v>12</v>
      </c>
      <c r="I7192" s="2" t="s">
        <v>12</v>
      </c>
      <c r="J7192" s="2" t="s">
        <v>12</v>
      </c>
      <c r="K7192" s="2" t="s">
        <v>12</v>
      </c>
    </row>
    <row r="7193" spans="1:11" ht="12.5" x14ac:dyDescent="0.25">
      <c r="A7193" s="3" t="e">
        <f ca="1"/>
        <v>#NAME?</v>
      </c>
      <c r="B7193" s="2" t="s">
        <v>12</v>
      </c>
      <c r="C7193" s="2" t="s">
        <v>12</v>
      </c>
      <c r="D7193" s="2" t="s">
        <v>12</v>
      </c>
      <c r="E7193" s="2" t="s">
        <v>12</v>
      </c>
      <c r="F7193" s="2" t="s">
        <v>12</v>
      </c>
      <c r="G7193" s="2" t="s">
        <v>12</v>
      </c>
      <c r="H7193" s="2" t="s">
        <v>12</v>
      </c>
      <c r="I7193" s="2" t="s">
        <v>12</v>
      </c>
      <c r="J7193" s="2" t="s">
        <v>12</v>
      </c>
      <c r="K7193" s="2" t="s">
        <v>12</v>
      </c>
    </row>
    <row r="7194" spans="1:11" ht="12.5" x14ac:dyDescent="0.25">
      <c r="A7194" s="3" t="e">
        <f ca="1"/>
        <v>#NAME?</v>
      </c>
      <c r="B7194" s="2" t="s">
        <v>12</v>
      </c>
      <c r="C7194" s="2" t="s">
        <v>12</v>
      </c>
      <c r="D7194" s="2" t="s">
        <v>12</v>
      </c>
      <c r="E7194" s="2" t="s">
        <v>12</v>
      </c>
      <c r="F7194" s="2" t="s">
        <v>12</v>
      </c>
      <c r="G7194" s="2" t="s">
        <v>12</v>
      </c>
      <c r="H7194" s="2" t="s">
        <v>12</v>
      </c>
      <c r="I7194" s="2" t="s">
        <v>12</v>
      </c>
      <c r="J7194" s="2" t="s">
        <v>12</v>
      </c>
      <c r="K7194" s="2" t="s">
        <v>12</v>
      </c>
    </row>
    <row r="7195" spans="1:11" ht="12.5" x14ac:dyDescent="0.25">
      <c r="A7195" s="3" t="e">
        <f ca="1"/>
        <v>#NAME?</v>
      </c>
      <c r="B7195" s="2" t="s">
        <v>12</v>
      </c>
      <c r="C7195" s="2" t="s">
        <v>12</v>
      </c>
      <c r="D7195" s="2" t="s">
        <v>12</v>
      </c>
      <c r="E7195" s="2" t="s">
        <v>12</v>
      </c>
      <c r="F7195" s="2" t="s">
        <v>12</v>
      </c>
      <c r="G7195" s="2" t="s">
        <v>12</v>
      </c>
      <c r="H7195" s="2" t="s">
        <v>12</v>
      </c>
      <c r="I7195" s="2" t="s">
        <v>12</v>
      </c>
      <c r="J7195" s="2" t="s">
        <v>12</v>
      </c>
      <c r="K7195" s="2" t="s">
        <v>12</v>
      </c>
    </row>
    <row r="7196" spans="1:11" ht="12.5" x14ac:dyDescent="0.25">
      <c r="A7196" s="3" t="e">
        <f ca="1"/>
        <v>#NAME?</v>
      </c>
      <c r="B7196" s="2" t="s">
        <v>12</v>
      </c>
      <c r="C7196" s="2" t="s">
        <v>12</v>
      </c>
      <c r="D7196" s="2" t="s">
        <v>12</v>
      </c>
      <c r="E7196" s="2" t="s">
        <v>12</v>
      </c>
      <c r="F7196" s="2" t="s">
        <v>12</v>
      </c>
      <c r="G7196" s="2" t="s">
        <v>12</v>
      </c>
      <c r="H7196" s="2" t="s">
        <v>12</v>
      </c>
      <c r="I7196" s="2" t="s">
        <v>12</v>
      </c>
      <c r="J7196" s="2" t="s">
        <v>12</v>
      </c>
      <c r="K7196" s="2" t="s">
        <v>12</v>
      </c>
    </row>
    <row r="7197" spans="1:11" ht="12.5" x14ac:dyDescent="0.25">
      <c r="A7197" s="3" t="e">
        <f ca="1"/>
        <v>#NAME?</v>
      </c>
      <c r="B7197" s="2" t="s">
        <v>12</v>
      </c>
      <c r="C7197" s="2" t="s">
        <v>12</v>
      </c>
      <c r="D7197" s="2" t="s">
        <v>12</v>
      </c>
      <c r="E7197" s="2" t="s">
        <v>12</v>
      </c>
      <c r="F7197" s="2" t="s">
        <v>12</v>
      </c>
      <c r="G7197" s="2" t="s">
        <v>12</v>
      </c>
      <c r="H7197" s="2" t="s">
        <v>12</v>
      </c>
      <c r="I7197" s="2" t="s">
        <v>12</v>
      </c>
      <c r="J7197" s="2" t="s">
        <v>12</v>
      </c>
      <c r="K7197" s="2" t="s">
        <v>12</v>
      </c>
    </row>
    <row r="7198" spans="1:11" ht="12.5" x14ac:dyDescent="0.25">
      <c r="A7198" s="3" t="e">
        <f ca="1"/>
        <v>#NAME?</v>
      </c>
      <c r="B7198" s="2" t="s">
        <v>12</v>
      </c>
      <c r="C7198" s="2" t="s">
        <v>12</v>
      </c>
      <c r="D7198" s="2" t="s">
        <v>12</v>
      </c>
      <c r="E7198" s="2" t="s">
        <v>12</v>
      </c>
      <c r="F7198" s="2" t="s">
        <v>12</v>
      </c>
      <c r="G7198" s="2" t="s">
        <v>12</v>
      </c>
      <c r="H7198" s="2" t="s">
        <v>12</v>
      </c>
      <c r="I7198" s="2" t="s">
        <v>12</v>
      </c>
      <c r="J7198" s="2" t="s">
        <v>12</v>
      </c>
      <c r="K7198" s="2" t="s">
        <v>12</v>
      </c>
    </row>
    <row r="7199" spans="1:11" ht="12.5" x14ac:dyDescent="0.25">
      <c r="A7199" s="3" t="e">
        <f ca="1"/>
        <v>#NAME?</v>
      </c>
      <c r="B7199" s="2" t="s">
        <v>12</v>
      </c>
      <c r="C7199" s="2" t="s">
        <v>12</v>
      </c>
      <c r="D7199" s="2" t="s">
        <v>12</v>
      </c>
      <c r="E7199" s="2" t="s">
        <v>12</v>
      </c>
      <c r="F7199" s="2" t="s">
        <v>12</v>
      </c>
      <c r="G7199" s="2" t="s">
        <v>12</v>
      </c>
      <c r="H7199" s="2" t="s">
        <v>12</v>
      </c>
      <c r="I7199" s="2" t="s">
        <v>12</v>
      </c>
      <c r="J7199" s="2" t="s">
        <v>12</v>
      </c>
      <c r="K7199" s="2" t="s">
        <v>12</v>
      </c>
    </row>
    <row r="7200" spans="1:11" ht="12.5" x14ac:dyDescent="0.25">
      <c r="A7200" s="3" t="e">
        <f ca="1"/>
        <v>#NAME?</v>
      </c>
      <c r="B7200" s="2" t="s">
        <v>12</v>
      </c>
      <c r="C7200" s="2" t="s">
        <v>12</v>
      </c>
      <c r="D7200" s="2" t="s">
        <v>12</v>
      </c>
      <c r="E7200" s="2" t="s">
        <v>12</v>
      </c>
      <c r="F7200" s="2" t="s">
        <v>12</v>
      </c>
      <c r="G7200" s="2" t="s">
        <v>12</v>
      </c>
      <c r="H7200" s="2" t="s">
        <v>12</v>
      </c>
      <c r="I7200" s="2" t="s">
        <v>12</v>
      </c>
      <c r="J7200" s="2" t="s">
        <v>12</v>
      </c>
      <c r="K7200" s="2" t="s">
        <v>12</v>
      </c>
    </row>
    <row r="7201" spans="1:11" ht="12.5" x14ac:dyDescent="0.25">
      <c r="A7201" s="3" t="e">
        <f ca="1"/>
        <v>#NAME?</v>
      </c>
      <c r="B7201" s="2" t="s">
        <v>12</v>
      </c>
      <c r="C7201" s="2" t="s">
        <v>12</v>
      </c>
      <c r="D7201" s="2" t="s">
        <v>12</v>
      </c>
      <c r="E7201" s="2" t="s">
        <v>12</v>
      </c>
      <c r="F7201" s="2" t="s">
        <v>12</v>
      </c>
      <c r="G7201" s="2" t="s">
        <v>12</v>
      </c>
      <c r="H7201" s="2" t="s">
        <v>12</v>
      </c>
      <c r="I7201" s="2" t="s">
        <v>12</v>
      </c>
      <c r="J7201" s="2" t="s">
        <v>12</v>
      </c>
      <c r="K7201" s="2" t="s">
        <v>12</v>
      </c>
    </row>
    <row r="7202" spans="1:11" ht="12.5" x14ac:dyDescent="0.25">
      <c r="A7202" s="3" t="e">
        <f ca="1"/>
        <v>#NAME?</v>
      </c>
      <c r="B7202" s="2" t="s">
        <v>12</v>
      </c>
      <c r="C7202" s="2" t="s">
        <v>12</v>
      </c>
      <c r="D7202" s="2" t="s">
        <v>12</v>
      </c>
      <c r="E7202" s="2" t="s">
        <v>12</v>
      </c>
      <c r="F7202" s="2" t="s">
        <v>12</v>
      </c>
      <c r="G7202" s="2" t="s">
        <v>12</v>
      </c>
      <c r="H7202" s="2" t="s">
        <v>12</v>
      </c>
      <c r="I7202" s="2" t="s">
        <v>12</v>
      </c>
      <c r="J7202" s="2" t="s">
        <v>12</v>
      </c>
      <c r="K7202" s="2" t="s">
        <v>12</v>
      </c>
    </row>
    <row r="7203" spans="1:11" ht="12.5" x14ac:dyDescent="0.25">
      <c r="A7203" s="3" t="e">
        <f ca="1"/>
        <v>#NAME?</v>
      </c>
      <c r="B7203" s="2" t="s">
        <v>12</v>
      </c>
      <c r="C7203" s="2" t="s">
        <v>12</v>
      </c>
      <c r="D7203" s="2" t="s">
        <v>12</v>
      </c>
      <c r="E7203" s="2" t="s">
        <v>12</v>
      </c>
      <c r="F7203" s="2" t="s">
        <v>12</v>
      </c>
      <c r="G7203" s="2" t="s">
        <v>12</v>
      </c>
      <c r="H7203" s="2" t="s">
        <v>12</v>
      </c>
      <c r="I7203" s="2" t="s">
        <v>12</v>
      </c>
      <c r="J7203" s="2" t="s">
        <v>12</v>
      </c>
      <c r="K7203" s="2" t="s">
        <v>12</v>
      </c>
    </row>
    <row r="7204" spans="1:11" ht="12.5" x14ac:dyDescent="0.25">
      <c r="A7204" s="3" t="e">
        <f ca="1"/>
        <v>#NAME?</v>
      </c>
      <c r="B7204" s="2" t="s">
        <v>12</v>
      </c>
      <c r="C7204" s="2" t="s">
        <v>12</v>
      </c>
      <c r="D7204" s="2" t="s">
        <v>12</v>
      </c>
      <c r="E7204" s="2" t="s">
        <v>12</v>
      </c>
      <c r="F7204" s="2" t="s">
        <v>12</v>
      </c>
      <c r="G7204" s="2" t="s">
        <v>12</v>
      </c>
      <c r="H7204" s="2" t="s">
        <v>12</v>
      </c>
      <c r="I7204" s="2" t="s">
        <v>12</v>
      </c>
      <c r="J7204" s="2" t="s">
        <v>12</v>
      </c>
      <c r="K7204" s="2" t="s">
        <v>12</v>
      </c>
    </row>
    <row r="7205" spans="1:11" ht="12.5" x14ac:dyDescent="0.25">
      <c r="A7205" s="3" t="e">
        <f ca="1"/>
        <v>#NAME?</v>
      </c>
      <c r="B7205" s="2" t="s">
        <v>12</v>
      </c>
      <c r="C7205" s="2" t="s">
        <v>12</v>
      </c>
      <c r="D7205" s="2" t="s">
        <v>12</v>
      </c>
      <c r="E7205" s="2" t="s">
        <v>12</v>
      </c>
      <c r="F7205" s="2" t="s">
        <v>12</v>
      </c>
      <c r="G7205" s="2" t="s">
        <v>12</v>
      </c>
      <c r="H7205" s="2" t="s">
        <v>12</v>
      </c>
      <c r="I7205" s="2" t="s">
        <v>12</v>
      </c>
      <c r="J7205" s="2" t="s">
        <v>12</v>
      </c>
      <c r="K7205" s="2" t="s">
        <v>12</v>
      </c>
    </row>
    <row r="7206" spans="1:11" ht="12.5" x14ac:dyDescent="0.25">
      <c r="A7206" s="3" t="e">
        <f ca="1"/>
        <v>#NAME?</v>
      </c>
      <c r="B7206" s="2" t="s">
        <v>12</v>
      </c>
      <c r="C7206" s="2" t="s">
        <v>12</v>
      </c>
      <c r="D7206" s="2" t="s">
        <v>12</v>
      </c>
      <c r="E7206" s="2" t="s">
        <v>12</v>
      </c>
      <c r="F7206" s="2" t="s">
        <v>12</v>
      </c>
      <c r="G7206" s="2" t="s">
        <v>12</v>
      </c>
      <c r="H7206" s="2" t="s">
        <v>12</v>
      </c>
      <c r="I7206" s="2" t="s">
        <v>12</v>
      </c>
      <c r="J7206" s="2" t="s">
        <v>12</v>
      </c>
      <c r="K7206" s="2" t="s">
        <v>12</v>
      </c>
    </row>
    <row r="7207" spans="1:11" ht="12.5" x14ac:dyDescent="0.25">
      <c r="A7207" s="3" t="e">
        <f ca="1"/>
        <v>#NAME?</v>
      </c>
      <c r="B7207" s="2" t="s">
        <v>12</v>
      </c>
      <c r="C7207" s="2" t="s">
        <v>12</v>
      </c>
      <c r="D7207" s="2" t="s">
        <v>12</v>
      </c>
      <c r="E7207" s="2" t="s">
        <v>12</v>
      </c>
      <c r="F7207" s="2" t="s">
        <v>12</v>
      </c>
      <c r="G7207" s="2" t="s">
        <v>12</v>
      </c>
      <c r="H7207" s="2" t="s">
        <v>12</v>
      </c>
      <c r="I7207" s="2" t="s">
        <v>12</v>
      </c>
      <c r="J7207" s="2" t="s">
        <v>12</v>
      </c>
      <c r="K7207" s="2" t="s">
        <v>12</v>
      </c>
    </row>
    <row r="7208" spans="1:11" ht="12.5" x14ac:dyDescent="0.25">
      <c r="A7208" s="3" t="e">
        <f ca="1"/>
        <v>#NAME?</v>
      </c>
      <c r="B7208" s="2" t="s">
        <v>12</v>
      </c>
      <c r="C7208" s="2" t="s">
        <v>12</v>
      </c>
      <c r="D7208" s="2" t="s">
        <v>12</v>
      </c>
      <c r="E7208" s="2" t="s">
        <v>12</v>
      </c>
      <c r="F7208" s="2" t="s">
        <v>12</v>
      </c>
      <c r="G7208" s="2" t="s">
        <v>12</v>
      </c>
      <c r="H7208" s="2" t="s">
        <v>12</v>
      </c>
      <c r="I7208" s="2" t="s">
        <v>12</v>
      </c>
      <c r="J7208" s="2" t="s">
        <v>12</v>
      </c>
      <c r="K7208" s="2" t="s">
        <v>12</v>
      </c>
    </row>
    <row r="7209" spans="1:11" ht="12.5" x14ac:dyDescent="0.25">
      <c r="A7209" s="3" t="e">
        <f ca="1"/>
        <v>#NAME?</v>
      </c>
      <c r="B7209" s="2" t="s">
        <v>12</v>
      </c>
      <c r="C7209" s="2" t="s">
        <v>12</v>
      </c>
      <c r="D7209" s="2" t="s">
        <v>12</v>
      </c>
      <c r="E7209" s="2" t="s">
        <v>12</v>
      </c>
      <c r="F7209" s="2" t="s">
        <v>12</v>
      </c>
      <c r="G7209" s="2" t="s">
        <v>12</v>
      </c>
      <c r="H7209" s="2" t="s">
        <v>12</v>
      </c>
      <c r="I7209" s="2" t="s">
        <v>12</v>
      </c>
      <c r="J7209" s="2" t="s">
        <v>12</v>
      </c>
      <c r="K7209" s="2" t="s">
        <v>12</v>
      </c>
    </row>
    <row r="7210" spans="1:11" ht="12.5" x14ac:dyDescent="0.25">
      <c r="A7210" s="3" t="e">
        <f ca="1"/>
        <v>#NAME?</v>
      </c>
      <c r="B7210" s="2" t="s">
        <v>12</v>
      </c>
      <c r="C7210" s="2" t="s">
        <v>12</v>
      </c>
      <c r="D7210" s="2" t="s">
        <v>12</v>
      </c>
      <c r="E7210" s="2" t="s">
        <v>12</v>
      </c>
      <c r="F7210" s="2" t="s">
        <v>12</v>
      </c>
      <c r="G7210" s="2" t="s">
        <v>12</v>
      </c>
      <c r="H7210" s="2" t="s">
        <v>12</v>
      </c>
      <c r="I7210" s="2" t="s">
        <v>12</v>
      </c>
      <c r="J7210" s="2" t="s">
        <v>12</v>
      </c>
      <c r="K7210" s="2" t="s">
        <v>12</v>
      </c>
    </row>
    <row r="7211" spans="1:11" ht="12.5" x14ac:dyDescent="0.25">
      <c r="A7211" s="3" t="e">
        <f ca="1"/>
        <v>#NAME?</v>
      </c>
      <c r="B7211" s="2" t="s">
        <v>12</v>
      </c>
      <c r="C7211" s="2" t="s">
        <v>12</v>
      </c>
      <c r="D7211" s="2" t="s">
        <v>12</v>
      </c>
      <c r="E7211" s="2" t="s">
        <v>12</v>
      </c>
      <c r="F7211" s="2" t="s">
        <v>12</v>
      </c>
      <c r="G7211" s="2" t="s">
        <v>12</v>
      </c>
      <c r="H7211" s="2" t="s">
        <v>12</v>
      </c>
      <c r="I7211" s="2" t="s">
        <v>12</v>
      </c>
      <c r="J7211" s="2" t="s">
        <v>12</v>
      </c>
      <c r="K7211" s="2" t="s">
        <v>12</v>
      </c>
    </row>
    <row r="7212" spans="1:11" ht="12.5" x14ac:dyDescent="0.25">
      <c r="A7212" s="3" t="e">
        <f ca="1"/>
        <v>#NAME?</v>
      </c>
      <c r="B7212" s="2" t="s">
        <v>12</v>
      </c>
      <c r="C7212" s="2" t="s">
        <v>12</v>
      </c>
      <c r="D7212" s="2" t="s">
        <v>12</v>
      </c>
      <c r="E7212" s="2" t="s">
        <v>12</v>
      </c>
      <c r="F7212" s="2" t="s">
        <v>12</v>
      </c>
      <c r="G7212" s="2" t="s">
        <v>12</v>
      </c>
      <c r="H7212" s="2" t="s">
        <v>12</v>
      </c>
      <c r="I7212" s="2" t="s">
        <v>12</v>
      </c>
      <c r="J7212" s="2" t="s">
        <v>12</v>
      </c>
      <c r="K7212" s="2" t="s">
        <v>12</v>
      </c>
    </row>
    <row r="7213" spans="1:11" ht="12.5" x14ac:dyDescent="0.25">
      <c r="A7213" s="3" t="e">
        <f ca="1"/>
        <v>#NAME?</v>
      </c>
      <c r="B7213" s="2" t="s">
        <v>12</v>
      </c>
      <c r="C7213" s="2" t="s">
        <v>12</v>
      </c>
      <c r="D7213" s="2" t="s">
        <v>12</v>
      </c>
      <c r="E7213" s="2" t="s">
        <v>12</v>
      </c>
      <c r="F7213" s="2" t="s">
        <v>12</v>
      </c>
      <c r="G7213" s="2" t="s">
        <v>12</v>
      </c>
      <c r="H7213" s="2" t="s">
        <v>12</v>
      </c>
      <c r="I7213" s="2" t="s">
        <v>12</v>
      </c>
      <c r="J7213" s="2" t="s">
        <v>12</v>
      </c>
      <c r="K7213" s="2" t="s">
        <v>12</v>
      </c>
    </row>
    <row r="7214" spans="1:11" ht="12.5" x14ac:dyDescent="0.25">
      <c r="A7214" s="3" t="e">
        <f ca="1"/>
        <v>#NAME?</v>
      </c>
      <c r="B7214" s="2" t="s">
        <v>12</v>
      </c>
      <c r="C7214" s="2" t="s">
        <v>12</v>
      </c>
      <c r="D7214" s="2" t="s">
        <v>12</v>
      </c>
      <c r="E7214" s="2" t="s">
        <v>12</v>
      </c>
      <c r="F7214" s="2" t="s">
        <v>12</v>
      </c>
      <c r="G7214" s="2" t="s">
        <v>12</v>
      </c>
      <c r="H7214" s="2" t="s">
        <v>12</v>
      </c>
      <c r="I7214" s="2" t="s">
        <v>12</v>
      </c>
      <c r="J7214" s="2" t="s">
        <v>12</v>
      </c>
      <c r="K7214" s="2" t="s">
        <v>12</v>
      </c>
    </row>
    <row r="7215" spans="1:11" ht="12.5" x14ac:dyDescent="0.25">
      <c r="A7215" s="3" t="e">
        <f ca="1"/>
        <v>#NAME?</v>
      </c>
      <c r="B7215" s="2" t="s">
        <v>12</v>
      </c>
      <c r="C7215" s="2" t="s">
        <v>12</v>
      </c>
      <c r="D7215" s="2" t="s">
        <v>12</v>
      </c>
      <c r="E7215" s="2" t="s">
        <v>12</v>
      </c>
      <c r="F7215" s="2" t="s">
        <v>12</v>
      </c>
      <c r="G7215" s="2" t="s">
        <v>12</v>
      </c>
      <c r="H7215" s="2" t="s">
        <v>12</v>
      </c>
      <c r="I7215" s="2" t="s">
        <v>12</v>
      </c>
      <c r="J7215" s="2" t="s">
        <v>12</v>
      </c>
      <c r="K7215" s="2" t="s">
        <v>12</v>
      </c>
    </row>
    <row r="7216" spans="1:11" ht="12.5" x14ac:dyDescent="0.25">
      <c r="A7216" s="3" t="e">
        <f ca="1"/>
        <v>#NAME?</v>
      </c>
      <c r="B7216" s="2" t="s">
        <v>12</v>
      </c>
      <c r="C7216" s="2" t="s">
        <v>12</v>
      </c>
      <c r="D7216" s="2" t="s">
        <v>12</v>
      </c>
      <c r="E7216" s="2" t="s">
        <v>12</v>
      </c>
      <c r="F7216" s="2" t="s">
        <v>12</v>
      </c>
      <c r="G7216" s="2" t="s">
        <v>12</v>
      </c>
      <c r="H7216" s="2" t="s">
        <v>12</v>
      </c>
      <c r="I7216" s="2" t="s">
        <v>12</v>
      </c>
      <c r="J7216" s="2" t="s">
        <v>12</v>
      </c>
      <c r="K7216" s="2" t="s">
        <v>12</v>
      </c>
    </row>
    <row r="7217" spans="1:11" ht="12.5" x14ac:dyDescent="0.25">
      <c r="A7217" s="3" t="e">
        <f ca="1"/>
        <v>#NAME?</v>
      </c>
      <c r="B7217" s="2" t="s">
        <v>12</v>
      </c>
      <c r="C7217" s="2" t="s">
        <v>12</v>
      </c>
      <c r="D7217" s="2" t="s">
        <v>12</v>
      </c>
      <c r="E7217" s="2" t="s">
        <v>12</v>
      </c>
      <c r="F7217" s="2" t="s">
        <v>12</v>
      </c>
      <c r="G7217" s="2" t="s">
        <v>12</v>
      </c>
      <c r="H7217" s="2" t="s">
        <v>12</v>
      </c>
      <c r="I7217" s="2" t="s">
        <v>12</v>
      </c>
      <c r="J7217" s="2" t="s">
        <v>12</v>
      </c>
      <c r="K7217" s="2" t="s">
        <v>12</v>
      </c>
    </row>
    <row r="7218" spans="1:11" ht="12.5" x14ac:dyDescent="0.25">
      <c r="A7218" s="3" t="e">
        <f ca="1"/>
        <v>#NAME?</v>
      </c>
      <c r="B7218" s="2" t="s">
        <v>12</v>
      </c>
      <c r="C7218" s="2" t="s">
        <v>12</v>
      </c>
      <c r="D7218" s="2" t="s">
        <v>12</v>
      </c>
      <c r="E7218" s="2" t="s">
        <v>12</v>
      </c>
      <c r="F7218" s="2" t="s">
        <v>12</v>
      </c>
      <c r="G7218" s="2" t="s">
        <v>12</v>
      </c>
      <c r="H7218" s="2" t="s">
        <v>12</v>
      </c>
      <c r="I7218" s="2" t="s">
        <v>12</v>
      </c>
      <c r="J7218" s="2" t="s">
        <v>12</v>
      </c>
      <c r="K7218" s="2" t="s">
        <v>12</v>
      </c>
    </row>
    <row r="7219" spans="1:11" ht="12.5" x14ac:dyDescent="0.25">
      <c r="A7219" s="3" t="e">
        <f ca="1"/>
        <v>#NAME?</v>
      </c>
      <c r="B7219" s="2" t="s">
        <v>12</v>
      </c>
      <c r="C7219" s="2" t="s">
        <v>12</v>
      </c>
      <c r="D7219" s="2" t="s">
        <v>12</v>
      </c>
      <c r="E7219" s="2" t="s">
        <v>12</v>
      </c>
      <c r="F7219" s="2" t="s">
        <v>12</v>
      </c>
      <c r="G7219" s="2" t="s">
        <v>12</v>
      </c>
      <c r="H7219" s="2" t="s">
        <v>12</v>
      </c>
      <c r="I7219" s="2" t="s">
        <v>12</v>
      </c>
      <c r="J7219" s="2" t="s">
        <v>12</v>
      </c>
      <c r="K7219" s="2" t="s">
        <v>12</v>
      </c>
    </row>
    <row r="7220" spans="1:11" ht="12.5" x14ac:dyDescent="0.25">
      <c r="A7220" s="3" t="e">
        <f ca="1"/>
        <v>#NAME?</v>
      </c>
      <c r="B7220" s="2" t="s">
        <v>12</v>
      </c>
      <c r="C7220" s="2" t="s">
        <v>12</v>
      </c>
      <c r="D7220" s="2" t="s">
        <v>12</v>
      </c>
      <c r="E7220" s="2" t="s">
        <v>12</v>
      </c>
      <c r="F7220" s="2" t="s">
        <v>12</v>
      </c>
      <c r="G7220" s="2" t="s">
        <v>12</v>
      </c>
      <c r="H7220" s="2" t="s">
        <v>12</v>
      </c>
      <c r="I7220" s="2" t="s">
        <v>12</v>
      </c>
      <c r="J7220" s="2" t="s">
        <v>12</v>
      </c>
      <c r="K7220" s="2" t="s">
        <v>12</v>
      </c>
    </row>
    <row r="7221" spans="1:11" ht="12.5" x14ac:dyDescent="0.25">
      <c r="A7221" s="3" t="e">
        <f ca="1"/>
        <v>#NAME?</v>
      </c>
      <c r="B7221" s="2" t="s">
        <v>12</v>
      </c>
      <c r="C7221" s="2" t="s">
        <v>12</v>
      </c>
      <c r="D7221" s="2" t="s">
        <v>12</v>
      </c>
      <c r="E7221" s="2" t="s">
        <v>12</v>
      </c>
      <c r="F7221" s="2" t="s">
        <v>12</v>
      </c>
      <c r="G7221" s="2" t="s">
        <v>12</v>
      </c>
      <c r="H7221" s="2" t="s">
        <v>12</v>
      </c>
      <c r="I7221" s="2" t="s">
        <v>12</v>
      </c>
      <c r="J7221" s="2" t="s">
        <v>12</v>
      </c>
      <c r="K7221" s="2" t="s">
        <v>12</v>
      </c>
    </row>
    <row r="7222" spans="1:11" ht="12.5" x14ac:dyDescent="0.25">
      <c r="A7222" s="3" t="e">
        <f ca="1"/>
        <v>#NAME?</v>
      </c>
      <c r="B7222" s="2" t="s">
        <v>12</v>
      </c>
      <c r="C7222" s="2" t="s">
        <v>12</v>
      </c>
      <c r="D7222" s="2" t="s">
        <v>12</v>
      </c>
      <c r="E7222" s="2" t="s">
        <v>12</v>
      </c>
      <c r="F7222" s="2" t="s">
        <v>12</v>
      </c>
      <c r="G7222" s="2" t="s">
        <v>12</v>
      </c>
      <c r="H7222" s="2" t="s">
        <v>12</v>
      </c>
      <c r="I7222" s="2" t="s">
        <v>12</v>
      </c>
      <c r="J7222" s="2" t="s">
        <v>12</v>
      </c>
      <c r="K7222" s="2" t="s">
        <v>12</v>
      </c>
    </row>
    <row r="7223" spans="1:11" ht="12.5" x14ac:dyDescent="0.25">
      <c r="A7223" s="3" t="e">
        <f ca="1"/>
        <v>#NAME?</v>
      </c>
      <c r="B7223" s="2" t="s">
        <v>12</v>
      </c>
      <c r="C7223" s="2" t="s">
        <v>12</v>
      </c>
      <c r="D7223" s="2" t="s">
        <v>12</v>
      </c>
      <c r="E7223" s="2" t="s">
        <v>12</v>
      </c>
      <c r="F7223" s="2" t="s">
        <v>12</v>
      </c>
      <c r="G7223" s="2" t="s">
        <v>12</v>
      </c>
      <c r="H7223" s="2" t="s">
        <v>12</v>
      </c>
      <c r="I7223" s="2" t="s">
        <v>12</v>
      </c>
      <c r="J7223" s="2" t="s">
        <v>12</v>
      </c>
      <c r="K7223" s="2" t="s">
        <v>12</v>
      </c>
    </row>
    <row r="7224" spans="1:11" ht="12.5" x14ac:dyDescent="0.25">
      <c r="A7224" s="3" t="e">
        <f ca="1"/>
        <v>#NAME?</v>
      </c>
      <c r="B7224" s="2" t="s">
        <v>12</v>
      </c>
      <c r="C7224" s="2" t="s">
        <v>12</v>
      </c>
      <c r="D7224" s="2" t="s">
        <v>12</v>
      </c>
      <c r="E7224" s="2" t="s">
        <v>12</v>
      </c>
      <c r="F7224" s="2" t="s">
        <v>12</v>
      </c>
      <c r="G7224" s="2" t="s">
        <v>12</v>
      </c>
      <c r="H7224" s="2" t="s">
        <v>12</v>
      </c>
      <c r="I7224" s="2" t="s">
        <v>12</v>
      </c>
      <c r="J7224" s="2" t="s">
        <v>12</v>
      </c>
      <c r="K7224" s="2" t="s">
        <v>12</v>
      </c>
    </row>
    <row r="7225" spans="1:11" ht="12.5" x14ac:dyDescent="0.25">
      <c r="A7225" s="3" t="e">
        <f ca="1"/>
        <v>#NAME?</v>
      </c>
      <c r="B7225" s="2" t="s">
        <v>12</v>
      </c>
      <c r="C7225" s="2" t="s">
        <v>12</v>
      </c>
      <c r="D7225" s="2" t="s">
        <v>12</v>
      </c>
      <c r="E7225" s="2" t="s">
        <v>12</v>
      </c>
      <c r="F7225" s="2" t="s">
        <v>12</v>
      </c>
      <c r="G7225" s="2" t="s">
        <v>12</v>
      </c>
      <c r="H7225" s="2" t="s">
        <v>12</v>
      </c>
      <c r="I7225" s="2" t="s">
        <v>12</v>
      </c>
      <c r="J7225" s="2" t="s">
        <v>12</v>
      </c>
      <c r="K7225" s="2" t="s">
        <v>12</v>
      </c>
    </row>
    <row r="7226" spans="1:11" ht="12.5" x14ac:dyDescent="0.25">
      <c r="A7226" s="3" t="e">
        <f ca="1"/>
        <v>#NAME?</v>
      </c>
      <c r="B7226" s="2" t="s">
        <v>12</v>
      </c>
      <c r="C7226" s="2" t="s">
        <v>12</v>
      </c>
      <c r="D7226" s="2" t="s">
        <v>12</v>
      </c>
      <c r="E7226" s="2" t="s">
        <v>12</v>
      </c>
      <c r="F7226" s="2" t="s">
        <v>12</v>
      </c>
      <c r="G7226" s="2" t="s">
        <v>12</v>
      </c>
      <c r="H7226" s="2" t="s">
        <v>12</v>
      </c>
      <c r="I7226" s="2" t="s">
        <v>12</v>
      </c>
      <c r="J7226" s="2" t="s">
        <v>12</v>
      </c>
      <c r="K7226" s="2" t="s">
        <v>12</v>
      </c>
    </row>
    <row r="7227" spans="1:11" ht="12.5" x14ac:dyDescent="0.25">
      <c r="A7227" s="3" t="e">
        <f ca="1"/>
        <v>#NAME?</v>
      </c>
      <c r="B7227" s="2" t="s">
        <v>12</v>
      </c>
      <c r="C7227" s="2" t="s">
        <v>12</v>
      </c>
      <c r="D7227" s="2" t="s">
        <v>12</v>
      </c>
      <c r="E7227" s="2" t="s">
        <v>12</v>
      </c>
      <c r="F7227" s="2" t="s">
        <v>12</v>
      </c>
      <c r="G7227" s="2" t="s">
        <v>12</v>
      </c>
      <c r="H7227" s="2" t="s">
        <v>12</v>
      </c>
      <c r="I7227" s="2" t="s">
        <v>12</v>
      </c>
      <c r="J7227" s="2" t="s">
        <v>12</v>
      </c>
      <c r="K7227" s="2" t="s">
        <v>12</v>
      </c>
    </row>
    <row r="7228" spans="1:11" ht="12.5" x14ac:dyDescent="0.25">
      <c r="A7228" s="3" t="e">
        <f ca="1"/>
        <v>#NAME?</v>
      </c>
      <c r="B7228" s="2" t="s">
        <v>12</v>
      </c>
      <c r="C7228" s="2" t="s">
        <v>12</v>
      </c>
      <c r="D7228" s="2" t="s">
        <v>12</v>
      </c>
      <c r="E7228" s="2" t="s">
        <v>12</v>
      </c>
      <c r="F7228" s="2" t="s">
        <v>12</v>
      </c>
      <c r="G7228" s="2" t="s">
        <v>12</v>
      </c>
      <c r="H7228" s="2" t="s">
        <v>12</v>
      </c>
      <c r="I7228" s="2" t="s">
        <v>12</v>
      </c>
      <c r="J7228" s="2" t="s">
        <v>12</v>
      </c>
      <c r="K7228" s="2" t="s">
        <v>12</v>
      </c>
    </row>
    <row r="7229" spans="1:11" ht="12.5" x14ac:dyDescent="0.25">
      <c r="A7229" s="3" t="e">
        <f ca="1"/>
        <v>#NAME?</v>
      </c>
      <c r="B7229" s="2" t="s">
        <v>12</v>
      </c>
      <c r="C7229" s="2" t="s">
        <v>12</v>
      </c>
      <c r="D7229" s="2" t="s">
        <v>12</v>
      </c>
      <c r="E7229" s="2" t="s">
        <v>12</v>
      </c>
      <c r="F7229" s="2" t="s">
        <v>12</v>
      </c>
      <c r="G7229" s="2" t="s">
        <v>12</v>
      </c>
      <c r="H7229" s="2" t="s">
        <v>12</v>
      </c>
      <c r="I7229" s="2" t="s">
        <v>12</v>
      </c>
      <c r="J7229" s="2" t="s">
        <v>12</v>
      </c>
      <c r="K7229" s="2" t="s">
        <v>12</v>
      </c>
    </row>
    <row r="7230" spans="1:11" ht="12.5" x14ac:dyDescent="0.25">
      <c r="A7230" s="3" t="e">
        <f ca="1"/>
        <v>#NAME?</v>
      </c>
      <c r="B7230" s="2" t="s">
        <v>12</v>
      </c>
      <c r="C7230" s="2" t="s">
        <v>12</v>
      </c>
      <c r="D7230" s="2" t="s">
        <v>12</v>
      </c>
      <c r="E7230" s="2" t="s">
        <v>12</v>
      </c>
      <c r="F7230" s="2" t="s">
        <v>12</v>
      </c>
      <c r="G7230" s="2" t="s">
        <v>12</v>
      </c>
      <c r="H7230" s="2" t="s">
        <v>12</v>
      </c>
      <c r="I7230" s="2" t="s">
        <v>12</v>
      </c>
      <c r="J7230" s="2" t="s">
        <v>12</v>
      </c>
      <c r="K7230" s="2" t="s">
        <v>12</v>
      </c>
    </row>
    <row r="7231" spans="1:11" ht="12.5" x14ac:dyDescent="0.25">
      <c r="A7231" s="3" t="e">
        <f ca="1"/>
        <v>#NAME?</v>
      </c>
      <c r="B7231" s="2" t="s">
        <v>12</v>
      </c>
      <c r="C7231" s="2" t="s">
        <v>12</v>
      </c>
      <c r="D7231" s="2" t="s">
        <v>12</v>
      </c>
      <c r="E7231" s="2" t="s">
        <v>12</v>
      </c>
      <c r="F7231" s="2" t="s">
        <v>12</v>
      </c>
      <c r="G7231" s="2" t="s">
        <v>12</v>
      </c>
      <c r="H7231" s="2" t="s">
        <v>12</v>
      </c>
      <c r="I7231" s="2" t="s">
        <v>12</v>
      </c>
      <c r="J7231" s="2" t="s">
        <v>12</v>
      </c>
      <c r="K7231" s="2" t="s">
        <v>12</v>
      </c>
    </row>
    <row r="7232" spans="1:11" ht="12.5" x14ac:dyDescent="0.25">
      <c r="A7232" s="3" t="e">
        <f ca="1"/>
        <v>#NAME?</v>
      </c>
      <c r="B7232" s="2" t="s">
        <v>12</v>
      </c>
      <c r="C7232" s="2" t="s">
        <v>12</v>
      </c>
      <c r="D7232" s="2" t="s">
        <v>12</v>
      </c>
      <c r="E7232" s="2" t="s">
        <v>12</v>
      </c>
      <c r="F7232" s="2" t="s">
        <v>12</v>
      </c>
      <c r="G7232" s="2" t="s">
        <v>12</v>
      </c>
      <c r="H7232" s="2" t="s">
        <v>12</v>
      </c>
      <c r="I7232" s="2" t="s">
        <v>12</v>
      </c>
      <c r="J7232" s="2" t="s">
        <v>12</v>
      </c>
      <c r="K7232" s="2" t="s">
        <v>12</v>
      </c>
    </row>
    <row r="7233" spans="1:11" ht="12.5" x14ac:dyDescent="0.25">
      <c r="A7233" s="3" t="e">
        <f ca="1"/>
        <v>#NAME?</v>
      </c>
      <c r="B7233" s="2" t="s">
        <v>12</v>
      </c>
      <c r="C7233" s="2" t="s">
        <v>12</v>
      </c>
      <c r="D7233" s="2" t="s">
        <v>12</v>
      </c>
      <c r="E7233" s="2" t="s">
        <v>12</v>
      </c>
      <c r="F7233" s="2" t="s">
        <v>12</v>
      </c>
      <c r="G7233" s="2" t="s">
        <v>12</v>
      </c>
      <c r="H7233" s="2" t="s">
        <v>12</v>
      </c>
      <c r="I7233" s="2" t="s">
        <v>12</v>
      </c>
      <c r="J7233" s="2" t="s">
        <v>12</v>
      </c>
      <c r="K7233" s="2" t="s">
        <v>12</v>
      </c>
    </row>
    <row r="7234" spans="1:11" ht="12.5" x14ac:dyDescent="0.25">
      <c r="A7234" s="3" t="e">
        <f ca="1"/>
        <v>#NAME?</v>
      </c>
      <c r="B7234" s="2" t="s">
        <v>12</v>
      </c>
      <c r="C7234" s="2" t="s">
        <v>12</v>
      </c>
      <c r="D7234" s="2" t="s">
        <v>12</v>
      </c>
      <c r="E7234" s="2" t="s">
        <v>12</v>
      </c>
      <c r="F7234" s="2" t="s">
        <v>12</v>
      </c>
      <c r="G7234" s="2" t="s">
        <v>12</v>
      </c>
      <c r="H7234" s="2" t="s">
        <v>12</v>
      </c>
      <c r="I7234" s="2" t="s">
        <v>12</v>
      </c>
      <c r="J7234" s="2" t="s">
        <v>12</v>
      </c>
      <c r="K7234" s="2" t="s">
        <v>12</v>
      </c>
    </row>
    <row r="7235" spans="1:11" ht="12.5" x14ac:dyDescent="0.25">
      <c r="A7235" s="3" t="e">
        <f ca="1"/>
        <v>#NAME?</v>
      </c>
      <c r="B7235" s="2" t="s">
        <v>12</v>
      </c>
      <c r="C7235" s="2" t="s">
        <v>12</v>
      </c>
      <c r="D7235" s="2" t="s">
        <v>12</v>
      </c>
      <c r="E7235" s="2" t="s">
        <v>12</v>
      </c>
      <c r="F7235" s="2" t="s">
        <v>12</v>
      </c>
      <c r="G7235" s="2" t="s">
        <v>12</v>
      </c>
      <c r="H7235" s="2" t="s">
        <v>12</v>
      </c>
      <c r="I7235" s="2" t="s">
        <v>12</v>
      </c>
      <c r="J7235" s="2" t="s">
        <v>12</v>
      </c>
      <c r="K7235" s="2" t="s">
        <v>12</v>
      </c>
    </row>
    <row r="7236" spans="1:11" ht="12.5" x14ac:dyDescent="0.25">
      <c r="A7236" s="3" t="e">
        <f ca="1"/>
        <v>#NAME?</v>
      </c>
      <c r="B7236" s="2" t="s">
        <v>12</v>
      </c>
      <c r="C7236" s="2" t="s">
        <v>12</v>
      </c>
      <c r="D7236" s="2" t="s">
        <v>12</v>
      </c>
      <c r="E7236" s="2" t="s">
        <v>12</v>
      </c>
      <c r="F7236" s="2" t="s">
        <v>12</v>
      </c>
      <c r="G7236" s="2" t="s">
        <v>12</v>
      </c>
      <c r="H7236" s="2" t="s">
        <v>12</v>
      </c>
      <c r="I7236" s="2" t="s">
        <v>12</v>
      </c>
      <c r="J7236" s="2" t="s">
        <v>12</v>
      </c>
      <c r="K7236" s="2" t="s">
        <v>12</v>
      </c>
    </row>
    <row r="7237" spans="1:11" ht="12.5" x14ac:dyDescent="0.25">
      <c r="A7237" s="3" t="e">
        <f ca="1"/>
        <v>#NAME?</v>
      </c>
      <c r="B7237" s="2" t="s">
        <v>12</v>
      </c>
      <c r="C7237" s="2" t="s">
        <v>12</v>
      </c>
      <c r="D7237" s="2" t="s">
        <v>12</v>
      </c>
      <c r="E7237" s="2" t="s">
        <v>12</v>
      </c>
      <c r="F7237" s="2" t="s">
        <v>12</v>
      </c>
      <c r="G7237" s="2" t="s">
        <v>12</v>
      </c>
      <c r="H7237" s="2" t="s">
        <v>12</v>
      </c>
      <c r="I7237" s="2" t="s">
        <v>12</v>
      </c>
      <c r="J7237" s="2" t="s">
        <v>12</v>
      </c>
      <c r="K7237" s="2" t="s">
        <v>12</v>
      </c>
    </row>
    <row r="7238" spans="1:11" ht="12.5" x14ac:dyDescent="0.25">
      <c r="A7238" s="3" t="e">
        <f ca="1"/>
        <v>#NAME?</v>
      </c>
      <c r="B7238" s="2" t="s">
        <v>12</v>
      </c>
      <c r="C7238" s="2" t="s">
        <v>12</v>
      </c>
      <c r="D7238" s="2" t="s">
        <v>12</v>
      </c>
      <c r="E7238" s="2" t="s">
        <v>12</v>
      </c>
      <c r="F7238" s="2" t="s">
        <v>12</v>
      </c>
      <c r="G7238" s="2" t="s">
        <v>12</v>
      </c>
      <c r="H7238" s="2" t="s">
        <v>12</v>
      </c>
      <c r="I7238" s="2" t="s">
        <v>12</v>
      </c>
      <c r="J7238" s="2" t="s">
        <v>12</v>
      </c>
      <c r="K7238" s="2" t="s">
        <v>12</v>
      </c>
    </row>
    <row r="7239" spans="1:11" ht="12.5" x14ac:dyDescent="0.25">
      <c r="A7239" s="3" t="e">
        <f ca="1"/>
        <v>#NAME?</v>
      </c>
      <c r="B7239" s="2" t="s">
        <v>12</v>
      </c>
      <c r="C7239" s="2" t="s">
        <v>12</v>
      </c>
      <c r="D7239" s="2" t="s">
        <v>12</v>
      </c>
      <c r="E7239" s="2" t="s">
        <v>12</v>
      </c>
      <c r="F7239" s="2" t="s">
        <v>12</v>
      </c>
      <c r="G7239" s="2" t="s">
        <v>12</v>
      </c>
      <c r="H7239" s="2" t="s">
        <v>12</v>
      </c>
      <c r="I7239" s="2" t="s">
        <v>12</v>
      </c>
      <c r="J7239" s="2" t="s">
        <v>12</v>
      </c>
      <c r="K7239" s="2" t="s">
        <v>12</v>
      </c>
    </row>
    <row r="7240" spans="1:11" ht="12.5" x14ac:dyDescent="0.25">
      <c r="A7240" s="3" t="e">
        <f ca="1"/>
        <v>#NAME?</v>
      </c>
      <c r="B7240" s="2" t="s">
        <v>12</v>
      </c>
      <c r="C7240" s="2" t="s">
        <v>12</v>
      </c>
      <c r="D7240" s="2" t="s">
        <v>12</v>
      </c>
      <c r="E7240" s="2" t="s">
        <v>12</v>
      </c>
      <c r="F7240" s="2" t="s">
        <v>12</v>
      </c>
      <c r="G7240" s="2" t="s">
        <v>12</v>
      </c>
      <c r="H7240" s="2" t="s">
        <v>12</v>
      </c>
      <c r="I7240" s="2" t="s">
        <v>12</v>
      </c>
      <c r="J7240" s="2" t="s">
        <v>12</v>
      </c>
      <c r="K7240" s="2" t="s">
        <v>12</v>
      </c>
    </row>
    <row r="7241" spans="1:11" ht="12.5" x14ac:dyDescent="0.25">
      <c r="A7241" s="3" t="e">
        <f ca="1"/>
        <v>#NAME?</v>
      </c>
      <c r="B7241" s="2" t="s">
        <v>12</v>
      </c>
      <c r="C7241" s="2" t="s">
        <v>12</v>
      </c>
      <c r="D7241" s="2" t="s">
        <v>12</v>
      </c>
      <c r="E7241" s="2" t="s">
        <v>12</v>
      </c>
      <c r="F7241" s="2" t="s">
        <v>12</v>
      </c>
      <c r="G7241" s="2" t="s">
        <v>12</v>
      </c>
      <c r="H7241" s="2" t="s">
        <v>12</v>
      </c>
      <c r="I7241" s="2" t="s">
        <v>12</v>
      </c>
      <c r="J7241" s="2" t="s">
        <v>12</v>
      </c>
      <c r="K7241" s="2" t="s">
        <v>12</v>
      </c>
    </row>
    <row r="7242" spans="1:11" ht="12.5" x14ac:dyDescent="0.25">
      <c r="A7242" s="3" t="e">
        <f ca="1"/>
        <v>#NAME?</v>
      </c>
      <c r="B7242" s="2" t="s">
        <v>12</v>
      </c>
      <c r="C7242" s="2" t="s">
        <v>12</v>
      </c>
      <c r="D7242" s="2" t="s">
        <v>12</v>
      </c>
      <c r="E7242" s="2" t="s">
        <v>12</v>
      </c>
      <c r="F7242" s="2" t="s">
        <v>12</v>
      </c>
      <c r="G7242" s="2" t="s">
        <v>12</v>
      </c>
      <c r="H7242" s="2" t="s">
        <v>12</v>
      </c>
      <c r="I7242" s="2" t="s">
        <v>12</v>
      </c>
      <c r="J7242" s="2" t="s">
        <v>12</v>
      </c>
      <c r="K7242" s="2" t="s">
        <v>12</v>
      </c>
    </row>
    <row r="7243" spans="1:11" ht="12.5" x14ac:dyDescent="0.25">
      <c r="A7243" s="3" t="e">
        <f ca="1"/>
        <v>#NAME?</v>
      </c>
      <c r="B7243" s="2" t="s">
        <v>12</v>
      </c>
      <c r="C7243" s="2" t="s">
        <v>12</v>
      </c>
      <c r="D7243" s="2" t="s">
        <v>12</v>
      </c>
      <c r="E7243" s="2" t="s">
        <v>12</v>
      </c>
      <c r="F7243" s="2" t="s">
        <v>12</v>
      </c>
      <c r="G7243" s="2" t="s">
        <v>12</v>
      </c>
      <c r="H7243" s="2" t="s">
        <v>12</v>
      </c>
      <c r="I7243" s="2" t="s">
        <v>12</v>
      </c>
      <c r="J7243" s="2" t="s">
        <v>12</v>
      </c>
      <c r="K7243" s="2" t="s">
        <v>12</v>
      </c>
    </row>
    <row r="7244" spans="1:11" ht="12.5" x14ac:dyDescent="0.25">
      <c r="A7244" s="3" t="e">
        <f ca="1"/>
        <v>#NAME?</v>
      </c>
      <c r="B7244" s="2" t="s">
        <v>12</v>
      </c>
      <c r="C7244" s="2" t="s">
        <v>12</v>
      </c>
      <c r="D7244" s="2" t="s">
        <v>12</v>
      </c>
      <c r="E7244" s="2" t="s">
        <v>12</v>
      </c>
      <c r="F7244" s="2" t="s">
        <v>12</v>
      </c>
      <c r="G7244" s="2" t="s">
        <v>12</v>
      </c>
      <c r="H7244" s="2" t="s">
        <v>12</v>
      </c>
      <c r="I7244" s="2" t="s">
        <v>12</v>
      </c>
      <c r="J7244" s="2" t="s">
        <v>12</v>
      </c>
      <c r="K7244" s="2" t="s">
        <v>12</v>
      </c>
    </row>
    <row r="7245" spans="1:11" ht="12.5" x14ac:dyDescent="0.25">
      <c r="A7245" s="3" t="e">
        <f ca="1"/>
        <v>#NAME?</v>
      </c>
      <c r="B7245" s="2" t="s">
        <v>12</v>
      </c>
      <c r="C7245" s="2" t="s">
        <v>12</v>
      </c>
      <c r="D7245" s="2" t="s">
        <v>12</v>
      </c>
      <c r="E7245" s="2" t="s">
        <v>12</v>
      </c>
      <c r="F7245" s="2" t="s">
        <v>12</v>
      </c>
      <c r="G7245" s="2" t="s">
        <v>12</v>
      </c>
      <c r="H7245" s="2" t="s">
        <v>12</v>
      </c>
      <c r="I7245" s="2" t="s">
        <v>12</v>
      </c>
      <c r="J7245" s="2" t="s">
        <v>12</v>
      </c>
      <c r="K7245" s="2" t="s">
        <v>12</v>
      </c>
    </row>
    <row r="7246" spans="1:11" ht="12.5" x14ac:dyDescent="0.25">
      <c r="A7246" s="3" t="e">
        <f ca="1"/>
        <v>#NAME?</v>
      </c>
      <c r="B7246" s="2" t="s">
        <v>12</v>
      </c>
      <c r="C7246" s="2" t="s">
        <v>12</v>
      </c>
      <c r="D7246" s="2" t="s">
        <v>12</v>
      </c>
      <c r="E7246" s="2" t="s">
        <v>12</v>
      </c>
      <c r="F7246" s="2" t="s">
        <v>12</v>
      </c>
      <c r="G7246" s="2" t="s">
        <v>12</v>
      </c>
      <c r="H7246" s="2" t="s">
        <v>12</v>
      </c>
      <c r="I7246" s="2" t="s">
        <v>12</v>
      </c>
      <c r="J7246" s="2" t="s">
        <v>12</v>
      </c>
      <c r="K7246" s="2" t="s">
        <v>12</v>
      </c>
    </row>
    <row r="7247" spans="1:11" ht="12.5" x14ac:dyDescent="0.25">
      <c r="A7247" s="3" t="e">
        <f ca="1"/>
        <v>#NAME?</v>
      </c>
      <c r="B7247" s="2" t="s">
        <v>12</v>
      </c>
      <c r="C7247" s="2" t="s">
        <v>12</v>
      </c>
      <c r="D7247" s="2" t="s">
        <v>12</v>
      </c>
      <c r="E7247" s="2" t="s">
        <v>12</v>
      </c>
      <c r="F7247" s="2" t="s">
        <v>12</v>
      </c>
      <c r="G7247" s="2" t="s">
        <v>12</v>
      </c>
      <c r="H7247" s="2" t="s">
        <v>12</v>
      </c>
      <c r="I7247" s="2" t="s">
        <v>12</v>
      </c>
      <c r="J7247" s="2" t="s">
        <v>12</v>
      </c>
      <c r="K7247" s="2" t="s">
        <v>12</v>
      </c>
    </row>
    <row r="7248" spans="1:11" ht="12.5" x14ac:dyDescent="0.25">
      <c r="A7248" s="3" t="e">
        <f ca="1"/>
        <v>#NAME?</v>
      </c>
      <c r="B7248" s="2" t="s">
        <v>12</v>
      </c>
      <c r="C7248" s="2" t="s">
        <v>12</v>
      </c>
      <c r="D7248" s="2" t="s">
        <v>12</v>
      </c>
      <c r="E7248" s="2" t="s">
        <v>12</v>
      </c>
      <c r="F7248" s="2" t="s">
        <v>12</v>
      </c>
      <c r="G7248" s="2" t="s">
        <v>12</v>
      </c>
      <c r="H7248" s="2" t="s">
        <v>12</v>
      </c>
      <c r="I7248" s="2" t="s">
        <v>12</v>
      </c>
      <c r="J7248" s="2" t="s">
        <v>12</v>
      </c>
      <c r="K7248" s="2" t="s">
        <v>12</v>
      </c>
    </row>
    <row r="7249" spans="1:11" ht="12.5" x14ac:dyDescent="0.25">
      <c r="A7249" s="3" t="e">
        <f ca="1"/>
        <v>#NAME?</v>
      </c>
      <c r="B7249" s="2" t="s">
        <v>12</v>
      </c>
      <c r="C7249" s="2" t="s">
        <v>12</v>
      </c>
      <c r="D7249" s="2" t="s">
        <v>12</v>
      </c>
      <c r="E7249" s="2" t="s">
        <v>12</v>
      </c>
      <c r="F7249" s="2" t="s">
        <v>12</v>
      </c>
      <c r="G7249" s="2" t="s">
        <v>12</v>
      </c>
      <c r="H7249" s="2" t="s">
        <v>12</v>
      </c>
      <c r="I7249" s="2" t="s">
        <v>12</v>
      </c>
      <c r="J7249" s="2" t="s">
        <v>12</v>
      </c>
      <c r="K7249" s="2" t="s">
        <v>12</v>
      </c>
    </row>
    <row r="7250" spans="1:11" ht="12.5" x14ac:dyDescent="0.25">
      <c r="A7250" s="3" t="e">
        <f ca="1"/>
        <v>#NAME?</v>
      </c>
      <c r="B7250" s="2" t="s">
        <v>12</v>
      </c>
      <c r="C7250" s="2" t="s">
        <v>12</v>
      </c>
      <c r="D7250" s="2" t="s">
        <v>12</v>
      </c>
      <c r="E7250" s="2" t="s">
        <v>12</v>
      </c>
      <c r="F7250" s="2" t="s">
        <v>12</v>
      </c>
      <c r="G7250" s="2" t="s">
        <v>12</v>
      </c>
      <c r="H7250" s="2" t="s">
        <v>12</v>
      </c>
      <c r="I7250" s="2" t="s">
        <v>12</v>
      </c>
      <c r="J7250" s="2" t="s">
        <v>12</v>
      </c>
      <c r="K7250" s="2" t="s">
        <v>12</v>
      </c>
    </row>
    <row r="7251" spans="1:11" ht="12.5" x14ac:dyDescent="0.25">
      <c r="A7251" s="3" t="e">
        <f ca="1"/>
        <v>#NAME?</v>
      </c>
      <c r="B7251" s="2" t="s">
        <v>12</v>
      </c>
      <c r="C7251" s="2" t="s">
        <v>12</v>
      </c>
      <c r="D7251" s="2" t="s">
        <v>12</v>
      </c>
      <c r="E7251" s="2" t="s">
        <v>12</v>
      </c>
      <c r="F7251" s="2" t="s">
        <v>12</v>
      </c>
      <c r="G7251" s="2" t="s">
        <v>12</v>
      </c>
      <c r="H7251" s="2" t="s">
        <v>12</v>
      </c>
      <c r="I7251" s="2" t="s">
        <v>12</v>
      </c>
      <c r="J7251" s="2" t="s">
        <v>12</v>
      </c>
      <c r="K7251" s="2" t="s">
        <v>12</v>
      </c>
    </row>
    <row r="7252" spans="1:11" ht="12.5" x14ac:dyDescent="0.25">
      <c r="A7252" s="3" t="e">
        <f ca="1"/>
        <v>#NAME?</v>
      </c>
      <c r="B7252" s="2" t="s">
        <v>12</v>
      </c>
      <c r="C7252" s="2" t="s">
        <v>12</v>
      </c>
      <c r="D7252" s="2" t="s">
        <v>12</v>
      </c>
      <c r="E7252" s="2" t="s">
        <v>12</v>
      </c>
      <c r="F7252" s="2" t="s">
        <v>12</v>
      </c>
      <c r="G7252" s="2" t="s">
        <v>12</v>
      </c>
      <c r="H7252" s="2" t="s">
        <v>12</v>
      </c>
      <c r="I7252" s="2" t="s">
        <v>12</v>
      </c>
      <c r="J7252" s="2" t="s">
        <v>12</v>
      </c>
      <c r="K7252" s="2" t="s">
        <v>12</v>
      </c>
    </row>
    <row r="7253" spans="1:11" ht="12.5" x14ac:dyDescent="0.25">
      <c r="A7253" s="3" t="e">
        <f ca="1"/>
        <v>#NAME?</v>
      </c>
      <c r="B7253" s="2" t="s">
        <v>12</v>
      </c>
      <c r="C7253" s="2" t="s">
        <v>12</v>
      </c>
      <c r="D7253" s="2" t="s">
        <v>12</v>
      </c>
      <c r="E7253" s="2" t="s">
        <v>12</v>
      </c>
      <c r="F7253" s="2" t="s">
        <v>12</v>
      </c>
      <c r="G7253" s="2" t="s">
        <v>12</v>
      </c>
      <c r="H7253" s="2" t="s">
        <v>12</v>
      </c>
      <c r="I7253" s="2" t="s">
        <v>12</v>
      </c>
      <c r="J7253" s="2" t="s">
        <v>12</v>
      </c>
      <c r="K7253" s="2" t="s">
        <v>12</v>
      </c>
    </row>
    <row r="7254" spans="1:11" ht="12.5" x14ac:dyDescent="0.25">
      <c r="A7254" s="3" t="e">
        <f ca="1"/>
        <v>#NAME?</v>
      </c>
      <c r="B7254" s="2" t="s">
        <v>12</v>
      </c>
      <c r="C7254" s="2" t="s">
        <v>12</v>
      </c>
      <c r="D7254" s="2" t="s">
        <v>12</v>
      </c>
      <c r="E7254" s="2" t="s">
        <v>12</v>
      </c>
      <c r="F7254" s="2" t="s">
        <v>12</v>
      </c>
      <c r="G7254" s="2" t="s">
        <v>12</v>
      </c>
      <c r="H7254" s="2" t="s">
        <v>12</v>
      </c>
      <c r="I7254" s="2" t="s">
        <v>12</v>
      </c>
      <c r="J7254" s="2" t="s">
        <v>12</v>
      </c>
      <c r="K7254" s="2" t="s">
        <v>12</v>
      </c>
    </row>
    <row r="7255" spans="1:11" ht="12.5" x14ac:dyDescent="0.25">
      <c r="A7255" s="3" t="e">
        <f ca="1"/>
        <v>#NAME?</v>
      </c>
      <c r="B7255" s="2" t="s">
        <v>12</v>
      </c>
      <c r="C7255" s="2" t="s">
        <v>12</v>
      </c>
      <c r="D7255" s="2" t="s">
        <v>12</v>
      </c>
      <c r="E7255" s="2" t="s">
        <v>12</v>
      </c>
      <c r="F7255" s="2" t="s">
        <v>12</v>
      </c>
      <c r="G7255" s="2" t="s">
        <v>12</v>
      </c>
      <c r="H7255" s="2" t="s">
        <v>12</v>
      </c>
      <c r="I7255" s="2" t="s">
        <v>12</v>
      </c>
      <c r="J7255" s="2" t="s">
        <v>12</v>
      </c>
      <c r="K7255" s="2" t="s">
        <v>12</v>
      </c>
    </row>
    <row r="7256" spans="1:11" ht="12.5" x14ac:dyDescent="0.25">
      <c r="A7256" s="3" t="e">
        <f ca="1"/>
        <v>#NAME?</v>
      </c>
      <c r="B7256" s="2" t="s">
        <v>12</v>
      </c>
      <c r="C7256" s="2" t="s">
        <v>12</v>
      </c>
      <c r="D7256" s="2" t="s">
        <v>12</v>
      </c>
      <c r="E7256" s="2" t="s">
        <v>12</v>
      </c>
      <c r="F7256" s="2" t="s">
        <v>12</v>
      </c>
      <c r="G7256" s="2" t="s">
        <v>12</v>
      </c>
      <c r="H7256" s="2" t="s">
        <v>12</v>
      </c>
      <c r="I7256" s="2" t="s">
        <v>12</v>
      </c>
      <c r="J7256" s="2" t="s">
        <v>12</v>
      </c>
      <c r="K7256" s="2" t="s">
        <v>12</v>
      </c>
    </row>
    <row r="7257" spans="1:11" ht="12.5" x14ac:dyDescent="0.25">
      <c r="A7257" s="3" t="e">
        <f ca="1"/>
        <v>#NAME?</v>
      </c>
      <c r="B7257" s="2" t="s">
        <v>12</v>
      </c>
      <c r="C7257" s="2" t="s">
        <v>12</v>
      </c>
      <c r="D7257" s="2" t="s">
        <v>12</v>
      </c>
      <c r="E7257" s="2" t="s">
        <v>12</v>
      </c>
      <c r="F7257" s="2" t="s">
        <v>12</v>
      </c>
      <c r="G7257" s="2" t="s">
        <v>12</v>
      </c>
      <c r="H7257" s="2" t="s">
        <v>12</v>
      </c>
      <c r="I7257" s="2" t="s">
        <v>12</v>
      </c>
      <c r="J7257" s="2" t="s">
        <v>12</v>
      </c>
      <c r="K7257" s="2" t="s">
        <v>12</v>
      </c>
    </row>
    <row r="7258" spans="1:11" ht="12.5" x14ac:dyDescent="0.25">
      <c r="A7258" s="3" t="e">
        <f ca="1"/>
        <v>#NAME?</v>
      </c>
      <c r="B7258" s="2" t="s">
        <v>12</v>
      </c>
      <c r="C7258" s="2" t="s">
        <v>12</v>
      </c>
      <c r="D7258" s="2" t="s">
        <v>12</v>
      </c>
      <c r="E7258" s="2" t="s">
        <v>12</v>
      </c>
      <c r="F7258" s="2" t="s">
        <v>12</v>
      </c>
      <c r="G7258" s="2" t="s">
        <v>12</v>
      </c>
      <c r="H7258" s="2" t="s">
        <v>12</v>
      </c>
      <c r="I7258" s="2" t="s">
        <v>12</v>
      </c>
      <c r="J7258" s="2" t="s">
        <v>12</v>
      </c>
      <c r="K7258" s="2" t="s">
        <v>12</v>
      </c>
    </row>
    <row r="7259" spans="1:11" ht="12.5" x14ac:dyDescent="0.25">
      <c r="A7259" s="3" t="e">
        <f ca="1"/>
        <v>#NAME?</v>
      </c>
      <c r="B7259" s="2" t="s">
        <v>12</v>
      </c>
      <c r="C7259" s="2" t="s">
        <v>12</v>
      </c>
      <c r="D7259" s="2" t="s">
        <v>12</v>
      </c>
      <c r="E7259" s="2" t="s">
        <v>12</v>
      </c>
      <c r="F7259" s="2" t="s">
        <v>12</v>
      </c>
      <c r="G7259" s="2" t="s">
        <v>12</v>
      </c>
      <c r="H7259" s="2" t="s">
        <v>12</v>
      </c>
      <c r="I7259" s="2" t="s">
        <v>12</v>
      </c>
      <c r="J7259" s="2" t="s">
        <v>12</v>
      </c>
      <c r="K7259" s="2" t="s">
        <v>12</v>
      </c>
    </row>
    <row r="7260" spans="1:11" ht="12.5" x14ac:dyDescent="0.25">
      <c r="A7260" s="3" t="e">
        <f ca="1"/>
        <v>#NAME?</v>
      </c>
      <c r="B7260" s="2" t="s">
        <v>12</v>
      </c>
      <c r="C7260" s="2" t="s">
        <v>12</v>
      </c>
      <c r="D7260" s="2" t="s">
        <v>12</v>
      </c>
      <c r="E7260" s="2" t="s">
        <v>12</v>
      </c>
      <c r="F7260" s="2" t="s">
        <v>12</v>
      </c>
      <c r="G7260" s="2" t="s">
        <v>12</v>
      </c>
      <c r="H7260" s="2" t="s">
        <v>12</v>
      </c>
      <c r="I7260" s="2" t="s">
        <v>12</v>
      </c>
      <c r="J7260" s="2" t="s">
        <v>12</v>
      </c>
      <c r="K7260" s="2" t="s">
        <v>12</v>
      </c>
    </row>
    <row r="7261" spans="1:11" ht="12.5" x14ac:dyDescent="0.25">
      <c r="A7261" s="3" t="e">
        <f ca="1"/>
        <v>#NAME?</v>
      </c>
      <c r="B7261" s="2" t="s">
        <v>12</v>
      </c>
      <c r="C7261" s="2" t="s">
        <v>12</v>
      </c>
      <c r="D7261" s="2" t="s">
        <v>12</v>
      </c>
      <c r="E7261" s="2" t="s">
        <v>12</v>
      </c>
      <c r="F7261" s="2" t="s">
        <v>12</v>
      </c>
      <c r="G7261" s="2" t="s">
        <v>12</v>
      </c>
      <c r="H7261" s="2" t="s">
        <v>12</v>
      </c>
      <c r="I7261" s="2" t="s">
        <v>12</v>
      </c>
      <c r="J7261" s="2" t="s">
        <v>12</v>
      </c>
      <c r="K7261" s="2" t="s">
        <v>12</v>
      </c>
    </row>
    <row r="7262" spans="1:11" ht="12.5" x14ac:dyDescent="0.25">
      <c r="A7262" s="3" t="e">
        <f ca="1"/>
        <v>#NAME?</v>
      </c>
      <c r="B7262" s="2" t="s">
        <v>12</v>
      </c>
      <c r="C7262" s="2" t="s">
        <v>12</v>
      </c>
      <c r="D7262" s="2" t="s">
        <v>12</v>
      </c>
      <c r="E7262" s="2" t="s">
        <v>12</v>
      </c>
      <c r="F7262" s="2" t="s">
        <v>12</v>
      </c>
      <c r="G7262" s="2" t="s">
        <v>12</v>
      </c>
      <c r="H7262" s="2" t="s">
        <v>12</v>
      </c>
      <c r="I7262" s="2" t="s">
        <v>12</v>
      </c>
      <c r="J7262" s="2" t="s">
        <v>12</v>
      </c>
      <c r="K7262" s="2" t="s">
        <v>12</v>
      </c>
    </row>
    <row r="7263" spans="1:11" ht="12.5" x14ac:dyDescent="0.25">
      <c r="A7263" s="3" t="e">
        <f ca="1"/>
        <v>#NAME?</v>
      </c>
      <c r="B7263" s="2" t="s">
        <v>12</v>
      </c>
      <c r="C7263" s="2" t="s">
        <v>12</v>
      </c>
      <c r="D7263" s="2" t="s">
        <v>12</v>
      </c>
      <c r="E7263" s="2" t="s">
        <v>12</v>
      </c>
      <c r="F7263" s="2" t="s">
        <v>12</v>
      </c>
      <c r="G7263" s="2" t="s">
        <v>12</v>
      </c>
      <c r="H7263" s="2" t="s">
        <v>12</v>
      </c>
      <c r="I7263" s="2" t="s">
        <v>12</v>
      </c>
      <c r="J7263" s="2" t="s">
        <v>12</v>
      </c>
      <c r="K7263" s="2" t="s">
        <v>12</v>
      </c>
    </row>
    <row r="7264" spans="1:11" ht="12.5" x14ac:dyDescent="0.25">
      <c r="A7264" s="3" t="e">
        <f ca="1"/>
        <v>#NAME?</v>
      </c>
      <c r="B7264" s="2" t="s">
        <v>12</v>
      </c>
      <c r="C7264" s="2" t="s">
        <v>12</v>
      </c>
      <c r="D7264" s="2" t="s">
        <v>12</v>
      </c>
      <c r="E7264" s="2" t="s">
        <v>12</v>
      </c>
      <c r="F7264" s="2" t="s">
        <v>12</v>
      </c>
      <c r="G7264" s="2" t="s">
        <v>12</v>
      </c>
      <c r="H7264" s="2" t="s">
        <v>12</v>
      </c>
      <c r="I7264" s="2" t="s">
        <v>12</v>
      </c>
      <c r="J7264" s="2" t="s">
        <v>12</v>
      </c>
      <c r="K7264" s="2" t="s">
        <v>12</v>
      </c>
    </row>
    <row r="7265" spans="1:11" ht="12.5" x14ac:dyDescent="0.25">
      <c r="A7265" s="3" t="e">
        <f ca="1"/>
        <v>#NAME?</v>
      </c>
      <c r="B7265" s="2" t="s">
        <v>12</v>
      </c>
      <c r="C7265" s="2" t="s">
        <v>12</v>
      </c>
      <c r="D7265" s="2" t="s">
        <v>12</v>
      </c>
      <c r="E7265" s="2" t="s">
        <v>12</v>
      </c>
      <c r="F7265" s="2" t="s">
        <v>12</v>
      </c>
      <c r="G7265" s="2" t="s">
        <v>12</v>
      </c>
      <c r="H7265" s="2" t="s">
        <v>12</v>
      </c>
      <c r="I7265" s="2" t="s">
        <v>12</v>
      </c>
      <c r="J7265" s="2" t="s">
        <v>12</v>
      </c>
      <c r="K7265" s="2" t="s">
        <v>12</v>
      </c>
    </row>
    <row r="7266" spans="1:11" ht="12.5" x14ac:dyDescent="0.25">
      <c r="A7266" s="3" t="e">
        <f ca="1"/>
        <v>#NAME?</v>
      </c>
      <c r="B7266" s="2" t="s">
        <v>12</v>
      </c>
      <c r="C7266" s="2" t="s">
        <v>12</v>
      </c>
      <c r="D7266" s="2" t="s">
        <v>12</v>
      </c>
      <c r="E7266" s="2" t="s">
        <v>12</v>
      </c>
      <c r="F7266" s="2" t="s">
        <v>12</v>
      </c>
      <c r="G7266" s="2" t="s">
        <v>12</v>
      </c>
      <c r="H7266" s="2" t="s">
        <v>12</v>
      </c>
      <c r="I7266" s="2" t="s">
        <v>12</v>
      </c>
      <c r="J7266" s="2" t="s">
        <v>12</v>
      </c>
      <c r="K7266" s="2" t="s">
        <v>12</v>
      </c>
    </row>
    <row r="7267" spans="1:11" ht="12.5" x14ac:dyDescent="0.25">
      <c r="A7267" s="3" t="e">
        <f ca="1"/>
        <v>#NAME?</v>
      </c>
      <c r="B7267" s="2" t="s">
        <v>12</v>
      </c>
      <c r="C7267" s="2" t="s">
        <v>12</v>
      </c>
      <c r="D7267" s="2" t="s">
        <v>12</v>
      </c>
      <c r="E7267" s="2" t="s">
        <v>12</v>
      </c>
      <c r="F7267" s="2" t="s">
        <v>12</v>
      </c>
      <c r="G7267" s="2" t="s">
        <v>12</v>
      </c>
      <c r="H7267" s="2" t="s">
        <v>12</v>
      </c>
      <c r="I7267" s="2" t="s">
        <v>12</v>
      </c>
      <c r="J7267" s="2" t="s">
        <v>12</v>
      </c>
      <c r="K7267" s="2" t="s">
        <v>12</v>
      </c>
    </row>
    <row r="7268" spans="1:11" ht="12.5" x14ac:dyDescent="0.25">
      <c r="A7268" s="3" t="e">
        <f ca="1"/>
        <v>#NAME?</v>
      </c>
      <c r="B7268" s="2" t="s">
        <v>12</v>
      </c>
      <c r="C7268" s="2" t="s">
        <v>12</v>
      </c>
      <c r="D7268" s="2" t="s">
        <v>12</v>
      </c>
      <c r="E7268" s="2" t="s">
        <v>12</v>
      </c>
      <c r="F7268" s="2" t="s">
        <v>12</v>
      </c>
      <c r="G7268" s="2" t="s">
        <v>12</v>
      </c>
      <c r="H7268" s="2" t="s">
        <v>12</v>
      </c>
      <c r="I7268" s="2" t="s">
        <v>12</v>
      </c>
      <c r="J7268" s="2" t="s">
        <v>12</v>
      </c>
      <c r="K7268" s="2" t="s">
        <v>12</v>
      </c>
    </row>
    <row r="7269" spans="1:11" ht="12.5" x14ac:dyDescent="0.25">
      <c r="A7269" s="3" t="e">
        <f ca="1"/>
        <v>#NAME?</v>
      </c>
      <c r="B7269" s="2" t="s">
        <v>12</v>
      </c>
      <c r="C7269" s="2" t="s">
        <v>12</v>
      </c>
      <c r="D7269" s="2" t="s">
        <v>12</v>
      </c>
      <c r="E7269" s="2" t="s">
        <v>12</v>
      </c>
      <c r="F7269" s="2" t="s">
        <v>12</v>
      </c>
      <c r="G7269" s="2" t="s">
        <v>12</v>
      </c>
      <c r="H7269" s="2" t="s">
        <v>12</v>
      </c>
      <c r="I7269" s="2" t="s">
        <v>12</v>
      </c>
      <c r="J7269" s="2" t="s">
        <v>12</v>
      </c>
      <c r="K7269" s="2" t="s">
        <v>12</v>
      </c>
    </row>
    <row r="7270" spans="1:11" ht="12.5" x14ac:dyDescent="0.25">
      <c r="A7270" s="3" t="e">
        <f ca="1"/>
        <v>#NAME?</v>
      </c>
      <c r="B7270" s="2" t="s">
        <v>12</v>
      </c>
      <c r="C7270" s="2" t="s">
        <v>12</v>
      </c>
      <c r="D7270" s="2" t="s">
        <v>12</v>
      </c>
      <c r="E7270" s="2" t="s">
        <v>12</v>
      </c>
      <c r="F7270" s="2" t="s">
        <v>12</v>
      </c>
      <c r="G7270" s="2" t="s">
        <v>12</v>
      </c>
      <c r="H7270" s="2" t="s">
        <v>12</v>
      </c>
      <c r="I7270" s="2" t="s">
        <v>12</v>
      </c>
      <c r="J7270" s="2" t="s">
        <v>12</v>
      </c>
      <c r="K7270" s="2" t="s">
        <v>12</v>
      </c>
    </row>
    <row r="7271" spans="1:11" ht="12.5" x14ac:dyDescent="0.25">
      <c r="A7271" s="3" t="e">
        <f ca="1"/>
        <v>#NAME?</v>
      </c>
      <c r="B7271" s="2" t="s">
        <v>12</v>
      </c>
      <c r="C7271" s="2" t="s">
        <v>12</v>
      </c>
      <c r="D7271" s="2" t="s">
        <v>12</v>
      </c>
      <c r="E7271" s="2" t="s">
        <v>12</v>
      </c>
      <c r="F7271" s="2" t="s">
        <v>12</v>
      </c>
      <c r="G7271" s="2" t="s">
        <v>12</v>
      </c>
      <c r="H7271" s="2" t="s">
        <v>12</v>
      </c>
      <c r="I7271" s="2" t="s">
        <v>12</v>
      </c>
      <c r="J7271" s="2" t="s">
        <v>12</v>
      </c>
      <c r="K7271" s="2" t="s">
        <v>12</v>
      </c>
    </row>
    <row r="7272" spans="1:11" ht="12.5" x14ac:dyDescent="0.25">
      <c r="A7272" s="3" t="e">
        <f ca="1"/>
        <v>#NAME?</v>
      </c>
      <c r="B7272" s="2" t="s">
        <v>12</v>
      </c>
      <c r="C7272" s="2" t="s">
        <v>12</v>
      </c>
      <c r="D7272" s="2" t="s">
        <v>12</v>
      </c>
      <c r="E7272" s="2" t="s">
        <v>12</v>
      </c>
      <c r="F7272" s="2" t="s">
        <v>12</v>
      </c>
      <c r="G7272" s="2" t="s">
        <v>12</v>
      </c>
      <c r="H7272" s="2" t="s">
        <v>12</v>
      </c>
      <c r="I7272" s="2" t="s">
        <v>12</v>
      </c>
      <c r="J7272" s="2" t="s">
        <v>12</v>
      </c>
      <c r="K7272" s="2" t="s">
        <v>12</v>
      </c>
    </row>
    <row r="7273" spans="1:11" ht="12.5" x14ac:dyDescent="0.25">
      <c r="A7273" s="3" t="e">
        <f ca="1"/>
        <v>#NAME?</v>
      </c>
      <c r="B7273" s="2" t="s">
        <v>12</v>
      </c>
      <c r="C7273" s="2" t="s">
        <v>12</v>
      </c>
      <c r="D7273" s="2" t="s">
        <v>12</v>
      </c>
      <c r="E7273" s="2" t="s">
        <v>12</v>
      </c>
      <c r="F7273" s="2" t="s">
        <v>12</v>
      </c>
      <c r="G7273" s="2" t="s">
        <v>12</v>
      </c>
      <c r="H7273" s="2" t="s">
        <v>12</v>
      </c>
      <c r="I7273" s="2" t="s">
        <v>12</v>
      </c>
      <c r="J7273" s="2" t="s">
        <v>12</v>
      </c>
      <c r="K7273" s="2" t="s">
        <v>12</v>
      </c>
    </row>
    <row r="7274" spans="1:11" ht="12.5" x14ac:dyDescent="0.25">
      <c r="A7274" s="3" t="e">
        <f ca="1"/>
        <v>#NAME?</v>
      </c>
      <c r="B7274" s="2" t="s">
        <v>12</v>
      </c>
      <c r="C7274" s="2" t="s">
        <v>12</v>
      </c>
      <c r="D7274" s="2" t="s">
        <v>12</v>
      </c>
      <c r="E7274" s="2" t="s">
        <v>12</v>
      </c>
      <c r="F7274" s="2" t="s">
        <v>12</v>
      </c>
      <c r="G7274" s="2" t="s">
        <v>12</v>
      </c>
      <c r="H7274" s="2" t="s">
        <v>12</v>
      </c>
      <c r="I7274" s="2" t="s">
        <v>12</v>
      </c>
      <c r="J7274" s="2" t="s">
        <v>12</v>
      </c>
      <c r="K7274" s="2" t="s">
        <v>12</v>
      </c>
    </row>
    <row r="7275" spans="1:11" ht="12.5" x14ac:dyDescent="0.25">
      <c r="A7275" s="3" t="e">
        <f ca="1"/>
        <v>#NAME?</v>
      </c>
      <c r="B7275" s="2" t="s">
        <v>12</v>
      </c>
      <c r="C7275" s="2" t="s">
        <v>12</v>
      </c>
      <c r="D7275" s="2" t="s">
        <v>12</v>
      </c>
      <c r="E7275" s="2" t="s">
        <v>12</v>
      </c>
      <c r="F7275" s="2" t="s">
        <v>12</v>
      </c>
      <c r="G7275" s="2" t="s">
        <v>12</v>
      </c>
      <c r="H7275" s="2" t="s">
        <v>12</v>
      </c>
      <c r="I7275" s="2" t="s">
        <v>12</v>
      </c>
      <c r="J7275" s="2" t="s">
        <v>12</v>
      </c>
      <c r="K7275" s="2" t="s">
        <v>12</v>
      </c>
    </row>
    <row r="7276" spans="1:11" ht="12.5" x14ac:dyDescent="0.25">
      <c r="A7276" s="3" t="e">
        <f ca="1"/>
        <v>#NAME?</v>
      </c>
      <c r="B7276" s="2" t="s">
        <v>12</v>
      </c>
      <c r="C7276" s="2" t="s">
        <v>12</v>
      </c>
      <c r="D7276" s="2" t="s">
        <v>12</v>
      </c>
      <c r="E7276" s="2" t="s">
        <v>12</v>
      </c>
      <c r="F7276" s="2" t="s">
        <v>12</v>
      </c>
      <c r="G7276" s="2" t="s">
        <v>12</v>
      </c>
      <c r="H7276" s="2" t="s">
        <v>12</v>
      </c>
      <c r="I7276" s="2" t="s">
        <v>12</v>
      </c>
      <c r="J7276" s="2" t="s">
        <v>12</v>
      </c>
      <c r="K7276" s="2" t="s">
        <v>12</v>
      </c>
    </row>
    <row r="7277" spans="1:11" ht="12.5" x14ac:dyDescent="0.25">
      <c r="A7277" s="3" t="e">
        <f ca="1"/>
        <v>#NAME?</v>
      </c>
      <c r="B7277" s="2" t="s">
        <v>12</v>
      </c>
      <c r="C7277" s="2" t="s">
        <v>12</v>
      </c>
      <c r="D7277" s="2" t="s">
        <v>12</v>
      </c>
      <c r="E7277" s="2" t="s">
        <v>12</v>
      </c>
      <c r="F7277" s="2" t="s">
        <v>12</v>
      </c>
      <c r="G7277" s="2" t="s">
        <v>12</v>
      </c>
      <c r="H7277" s="2" t="s">
        <v>12</v>
      </c>
      <c r="I7277" s="2" t="s">
        <v>12</v>
      </c>
      <c r="J7277" s="2" t="s">
        <v>12</v>
      </c>
      <c r="K7277" s="2" t="s">
        <v>12</v>
      </c>
    </row>
    <row r="7278" spans="1:11" ht="12.5" x14ac:dyDescent="0.25">
      <c r="A7278" s="3" t="e">
        <f ca="1"/>
        <v>#NAME?</v>
      </c>
      <c r="B7278" s="2" t="s">
        <v>12</v>
      </c>
      <c r="C7278" s="2" t="s">
        <v>12</v>
      </c>
      <c r="D7278" s="2" t="s">
        <v>12</v>
      </c>
      <c r="E7278" s="2" t="s">
        <v>12</v>
      </c>
      <c r="F7278" s="2" t="s">
        <v>12</v>
      </c>
      <c r="G7278" s="2" t="s">
        <v>12</v>
      </c>
      <c r="H7278" s="2" t="s">
        <v>12</v>
      </c>
      <c r="I7278" s="2" t="s">
        <v>12</v>
      </c>
      <c r="J7278" s="2" t="s">
        <v>12</v>
      </c>
      <c r="K7278" s="2" t="s">
        <v>12</v>
      </c>
    </row>
    <row r="7279" spans="1:11" ht="12.5" x14ac:dyDescent="0.25">
      <c r="A7279" s="3" t="e">
        <f ca="1"/>
        <v>#NAME?</v>
      </c>
      <c r="B7279" s="2" t="s">
        <v>12</v>
      </c>
      <c r="C7279" s="2" t="s">
        <v>12</v>
      </c>
      <c r="D7279" s="2" t="s">
        <v>12</v>
      </c>
      <c r="E7279" s="2" t="s">
        <v>12</v>
      </c>
      <c r="F7279" s="2" t="s">
        <v>12</v>
      </c>
      <c r="G7279" s="2" t="s">
        <v>12</v>
      </c>
      <c r="H7279" s="2" t="s">
        <v>12</v>
      </c>
      <c r="I7279" s="2" t="s">
        <v>12</v>
      </c>
      <c r="J7279" s="2" t="s">
        <v>12</v>
      </c>
      <c r="K7279" s="2" t="s">
        <v>12</v>
      </c>
    </row>
    <row r="7280" spans="1:11" ht="12.5" x14ac:dyDescent="0.25">
      <c r="A7280" s="3" t="e">
        <f ca="1"/>
        <v>#NAME?</v>
      </c>
      <c r="B7280" s="2" t="s">
        <v>12</v>
      </c>
      <c r="C7280" s="2" t="s">
        <v>12</v>
      </c>
      <c r="D7280" s="2" t="s">
        <v>12</v>
      </c>
      <c r="E7280" s="2" t="s">
        <v>12</v>
      </c>
      <c r="F7280" s="2" t="s">
        <v>12</v>
      </c>
      <c r="G7280" s="2" t="s">
        <v>12</v>
      </c>
      <c r="H7280" s="2" t="s">
        <v>12</v>
      </c>
      <c r="I7280" s="2" t="s">
        <v>12</v>
      </c>
      <c r="J7280" s="2" t="s">
        <v>12</v>
      </c>
      <c r="K7280" s="2" t="s">
        <v>12</v>
      </c>
    </row>
    <row r="7281" spans="1:11" ht="12.5" x14ac:dyDescent="0.25">
      <c r="A7281" s="3" t="e">
        <f ca="1"/>
        <v>#NAME?</v>
      </c>
      <c r="B7281" s="2" t="s">
        <v>12</v>
      </c>
      <c r="C7281" s="2" t="s">
        <v>12</v>
      </c>
      <c r="D7281" s="2" t="s">
        <v>12</v>
      </c>
      <c r="E7281" s="2" t="s">
        <v>12</v>
      </c>
      <c r="F7281" s="2" t="s">
        <v>12</v>
      </c>
      <c r="G7281" s="2" t="s">
        <v>12</v>
      </c>
      <c r="H7281" s="2" t="s">
        <v>12</v>
      </c>
      <c r="I7281" s="2" t="s">
        <v>12</v>
      </c>
      <c r="J7281" s="2" t="s">
        <v>12</v>
      </c>
      <c r="K7281" s="2" t="s">
        <v>12</v>
      </c>
    </row>
    <row r="7282" spans="1:11" ht="12.5" x14ac:dyDescent="0.25">
      <c r="A7282" s="3" t="e">
        <f ca="1"/>
        <v>#NAME?</v>
      </c>
      <c r="B7282" s="2" t="s">
        <v>12</v>
      </c>
      <c r="C7282" s="2" t="s">
        <v>12</v>
      </c>
      <c r="D7282" s="2" t="s">
        <v>12</v>
      </c>
      <c r="E7282" s="2" t="s">
        <v>12</v>
      </c>
      <c r="F7282" s="2" t="s">
        <v>12</v>
      </c>
      <c r="G7282" s="2" t="s">
        <v>12</v>
      </c>
      <c r="H7282" s="2" t="s">
        <v>12</v>
      </c>
      <c r="I7282" s="2" t="s">
        <v>12</v>
      </c>
      <c r="J7282" s="2" t="s">
        <v>12</v>
      </c>
      <c r="K7282" s="2" t="s">
        <v>12</v>
      </c>
    </row>
    <row r="7283" spans="1:11" ht="12.5" x14ac:dyDescent="0.25">
      <c r="A7283" s="3" t="e">
        <f ca="1"/>
        <v>#NAME?</v>
      </c>
      <c r="B7283" s="2" t="s">
        <v>12</v>
      </c>
      <c r="C7283" s="2" t="s">
        <v>12</v>
      </c>
      <c r="D7283" s="2" t="s">
        <v>12</v>
      </c>
      <c r="E7283" s="2" t="s">
        <v>12</v>
      </c>
      <c r="F7283" s="2" t="s">
        <v>12</v>
      </c>
      <c r="G7283" s="2" t="s">
        <v>12</v>
      </c>
      <c r="H7283" s="2" t="s">
        <v>12</v>
      </c>
      <c r="I7283" s="2" t="s">
        <v>12</v>
      </c>
      <c r="J7283" s="2" t="s">
        <v>12</v>
      </c>
      <c r="K7283" s="2" t="s">
        <v>12</v>
      </c>
    </row>
    <row r="7284" spans="1:11" ht="12.5" x14ac:dyDescent="0.25">
      <c r="A7284" s="3" t="e">
        <f ca="1"/>
        <v>#NAME?</v>
      </c>
      <c r="B7284" s="2" t="s">
        <v>12</v>
      </c>
      <c r="C7284" s="2" t="s">
        <v>12</v>
      </c>
      <c r="D7284" s="2" t="s">
        <v>12</v>
      </c>
      <c r="E7284" s="2" t="s">
        <v>12</v>
      </c>
      <c r="F7284" s="2" t="s">
        <v>12</v>
      </c>
      <c r="G7284" s="2" t="s">
        <v>12</v>
      </c>
      <c r="H7284" s="2" t="s">
        <v>12</v>
      </c>
      <c r="I7284" s="2" t="s">
        <v>12</v>
      </c>
      <c r="J7284" s="2" t="s">
        <v>12</v>
      </c>
      <c r="K7284" s="2" t="s">
        <v>12</v>
      </c>
    </row>
    <row r="7285" spans="1:11" ht="12.5" x14ac:dyDescent="0.25">
      <c r="A7285" s="3" t="e">
        <f ca="1"/>
        <v>#NAME?</v>
      </c>
      <c r="B7285" s="2" t="s">
        <v>12</v>
      </c>
      <c r="C7285" s="2" t="s">
        <v>12</v>
      </c>
      <c r="D7285" s="2" t="s">
        <v>12</v>
      </c>
      <c r="E7285" s="2" t="s">
        <v>12</v>
      </c>
      <c r="F7285" s="2" t="s">
        <v>12</v>
      </c>
      <c r="G7285" s="2" t="s">
        <v>12</v>
      </c>
      <c r="H7285" s="2" t="s">
        <v>12</v>
      </c>
      <c r="I7285" s="2" t="s">
        <v>12</v>
      </c>
      <c r="J7285" s="2" t="s">
        <v>12</v>
      </c>
      <c r="K7285" s="2" t="s">
        <v>12</v>
      </c>
    </row>
    <row r="7286" spans="1:11" ht="12.5" x14ac:dyDescent="0.25">
      <c r="A7286" s="3" t="e">
        <f ca="1"/>
        <v>#NAME?</v>
      </c>
      <c r="B7286" s="2" t="s">
        <v>12</v>
      </c>
      <c r="C7286" s="2" t="s">
        <v>12</v>
      </c>
      <c r="D7286" s="2" t="s">
        <v>12</v>
      </c>
      <c r="E7286" s="2" t="s">
        <v>12</v>
      </c>
      <c r="F7286" s="2" t="s">
        <v>12</v>
      </c>
      <c r="G7286" s="2" t="s">
        <v>12</v>
      </c>
      <c r="H7286" s="2" t="s">
        <v>12</v>
      </c>
      <c r="I7286" s="2" t="s">
        <v>12</v>
      </c>
      <c r="J7286" s="2" t="s">
        <v>12</v>
      </c>
      <c r="K7286" s="2" t="s">
        <v>12</v>
      </c>
    </row>
    <row r="7287" spans="1:11" ht="12.5" x14ac:dyDescent="0.25">
      <c r="A7287" s="3" t="e">
        <f ca="1"/>
        <v>#NAME?</v>
      </c>
      <c r="B7287" s="2" t="s">
        <v>12</v>
      </c>
      <c r="C7287" s="2" t="s">
        <v>12</v>
      </c>
      <c r="D7287" s="2" t="s">
        <v>12</v>
      </c>
      <c r="E7287" s="2" t="s">
        <v>12</v>
      </c>
      <c r="F7287" s="2" t="s">
        <v>12</v>
      </c>
      <c r="G7287" s="2" t="s">
        <v>12</v>
      </c>
      <c r="H7287" s="2" t="s">
        <v>12</v>
      </c>
      <c r="I7287" s="2" t="s">
        <v>12</v>
      </c>
      <c r="J7287" s="2" t="s">
        <v>12</v>
      </c>
      <c r="K7287" s="2" t="s">
        <v>12</v>
      </c>
    </row>
    <row r="7288" spans="1:11" ht="12.5" x14ac:dyDescent="0.25">
      <c r="A7288" s="3" t="e">
        <f ca="1"/>
        <v>#NAME?</v>
      </c>
      <c r="B7288" s="2" t="s">
        <v>12</v>
      </c>
      <c r="C7288" s="2" t="s">
        <v>12</v>
      </c>
      <c r="D7288" s="2" t="s">
        <v>12</v>
      </c>
      <c r="E7288" s="2" t="s">
        <v>12</v>
      </c>
      <c r="F7288" s="2" t="s">
        <v>12</v>
      </c>
      <c r="G7288" s="2" t="s">
        <v>12</v>
      </c>
      <c r="H7288" s="2" t="s">
        <v>12</v>
      </c>
      <c r="I7288" s="2" t="s">
        <v>12</v>
      </c>
      <c r="J7288" s="2" t="s">
        <v>12</v>
      </c>
      <c r="K7288" s="2" t="s">
        <v>12</v>
      </c>
    </row>
    <row r="7289" spans="1:11" ht="12.5" x14ac:dyDescent="0.25">
      <c r="A7289" s="3" t="e">
        <f ca="1"/>
        <v>#NAME?</v>
      </c>
      <c r="B7289" s="2" t="s">
        <v>12</v>
      </c>
      <c r="C7289" s="2" t="s">
        <v>12</v>
      </c>
      <c r="D7289" s="2" t="s">
        <v>12</v>
      </c>
      <c r="E7289" s="2" t="s">
        <v>12</v>
      </c>
      <c r="F7289" s="2" t="s">
        <v>12</v>
      </c>
      <c r="G7289" s="2" t="s">
        <v>12</v>
      </c>
      <c r="H7289" s="2" t="s">
        <v>12</v>
      </c>
      <c r="I7289" s="2" t="s">
        <v>12</v>
      </c>
      <c r="J7289" s="2" t="s">
        <v>12</v>
      </c>
      <c r="K7289" s="2" t="s">
        <v>12</v>
      </c>
    </row>
    <row r="7290" spans="1:11" ht="12.5" x14ac:dyDescent="0.25">
      <c r="A7290" s="3" t="e">
        <f ca="1"/>
        <v>#NAME?</v>
      </c>
      <c r="B7290" s="2" t="s">
        <v>12</v>
      </c>
      <c r="C7290" s="2" t="s">
        <v>12</v>
      </c>
      <c r="D7290" s="2" t="s">
        <v>12</v>
      </c>
      <c r="E7290" s="2" t="s">
        <v>12</v>
      </c>
      <c r="F7290" s="2" t="s">
        <v>12</v>
      </c>
      <c r="G7290" s="2" t="s">
        <v>12</v>
      </c>
      <c r="H7290" s="2" t="s">
        <v>12</v>
      </c>
      <c r="I7290" s="2" t="s">
        <v>12</v>
      </c>
      <c r="J7290" s="2" t="s">
        <v>12</v>
      </c>
      <c r="K7290" s="2" t="s">
        <v>12</v>
      </c>
    </row>
    <row r="7291" spans="1:11" ht="12.5" x14ac:dyDescent="0.25">
      <c r="A7291" s="3" t="e">
        <f ca="1"/>
        <v>#NAME?</v>
      </c>
      <c r="B7291" s="2" t="s">
        <v>12</v>
      </c>
      <c r="C7291" s="2" t="s">
        <v>12</v>
      </c>
      <c r="D7291" s="2" t="s">
        <v>12</v>
      </c>
      <c r="E7291" s="2" t="s">
        <v>12</v>
      </c>
      <c r="F7291" s="2" t="s">
        <v>12</v>
      </c>
      <c r="G7291" s="2" t="s">
        <v>12</v>
      </c>
      <c r="H7291" s="2" t="s">
        <v>12</v>
      </c>
      <c r="I7291" s="2" t="s">
        <v>12</v>
      </c>
      <c r="J7291" s="2" t="s">
        <v>12</v>
      </c>
      <c r="K7291" s="2" t="s">
        <v>12</v>
      </c>
    </row>
    <row r="7292" spans="1:11" ht="12.5" x14ac:dyDescent="0.25">
      <c r="A7292" s="3" t="e">
        <f ca="1"/>
        <v>#NAME?</v>
      </c>
      <c r="B7292" s="2" t="s">
        <v>12</v>
      </c>
      <c r="C7292" s="2" t="s">
        <v>12</v>
      </c>
      <c r="D7292" s="2" t="s">
        <v>12</v>
      </c>
      <c r="E7292" s="2" t="s">
        <v>12</v>
      </c>
      <c r="F7292" s="2" t="s">
        <v>12</v>
      </c>
      <c r="G7292" s="2" t="s">
        <v>12</v>
      </c>
      <c r="H7292" s="2" t="s">
        <v>12</v>
      </c>
      <c r="I7292" s="2" t="s">
        <v>12</v>
      </c>
      <c r="J7292" s="2" t="s">
        <v>12</v>
      </c>
      <c r="K7292" s="2" t="s">
        <v>12</v>
      </c>
    </row>
    <row r="7293" spans="1:11" ht="12.5" x14ac:dyDescent="0.25">
      <c r="A7293" s="3" t="e">
        <f ca="1"/>
        <v>#NAME?</v>
      </c>
      <c r="B7293" s="2" t="s">
        <v>12</v>
      </c>
      <c r="C7293" s="2" t="s">
        <v>12</v>
      </c>
      <c r="D7293" s="2" t="s">
        <v>12</v>
      </c>
      <c r="E7293" s="2" t="s">
        <v>12</v>
      </c>
      <c r="F7293" s="2" t="s">
        <v>12</v>
      </c>
      <c r="G7293" s="2" t="s">
        <v>12</v>
      </c>
      <c r="H7293" s="2" t="s">
        <v>12</v>
      </c>
      <c r="I7293" s="2" t="s">
        <v>12</v>
      </c>
      <c r="J7293" s="2" t="s">
        <v>12</v>
      </c>
      <c r="K7293" s="2" t="s">
        <v>12</v>
      </c>
    </row>
    <row r="7294" spans="1:11" ht="12.5" x14ac:dyDescent="0.25">
      <c r="A7294" s="3" t="e">
        <f ca="1"/>
        <v>#NAME?</v>
      </c>
      <c r="B7294" s="2" t="s">
        <v>12</v>
      </c>
      <c r="C7294" s="2" t="s">
        <v>12</v>
      </c>
      <c r="D7294" s="2" t="s">
        <v>12</v>
      </c>
      <c r="E7294" s="2" t="s">
        <v>12</v>
      </c>
      <c r="F7294" s="2" t="s">
        <v>12</v>
      </c>
      <c r="G7294" s="2" t="s">
        <v>12</v>
      </c>
      <c r="H7294" s="2" t="s">
        <v>12</v>
      </c>
      <c r="I7294" s="2" t="s">
        <v>12</v>
      </c>
      <c r="J7294" s="2" t="s">
        <v>12</v>
      </c>
      <c r="K7294" s="2" t="s">
        <v>12</v>
      </c>
    </row>
    <row r="7295" spans="1:11" ht="12.5" x14ac:dyDescent="0.25">
      <c r="A7295" s="3" t="e">
        <f ca="1"/>
        <v>#NAME?</v>
      </c>
      <c r="B7295" s="2" t="s">
        <v>12</v>
      </c>
      <c r="C7295" s="2" t="s">
        <v>12</v>
      </c>
      <c r="D7295" s="2" t="s">
        <v>12</v>
      </c>
      <c r="E7295" s="2" t="s">
        <v>12</v>
      </c>
      <c r="F7295" s="2" t="s">
        <v>12</v>
      </c>
      <c r="G7295" s="2" t="s">
        <v>12</v>
      </c>
      <c r="H7295" s="2" t="s">
        <v>12</v>
      </c>
      <c r="I7295" s="2" t="s">
        <v>12</v>
      </c>
      <c r="J7295" s="2" t="s">
        <v>12</v>
      </c>
      <c r="K7295" s="2" t="s">
        <v>12</v>
      </c>
    </row>
    <row r="7296" spans="1:11" ht="12.5" x14ac:dyDescent="0.25">
      <c r="A7296" s="3" t="e">
        <f ca="1"/>
        <v>#NAME?</v>
      </c>
      <c r="B7296" s="2" t="s">
        <v>12</v>
      </c>
      <c r="C7296" s="2" t="s">
        <v>12</v>
      </c>
      <c r="D7296" s="2" t="s">
        <v>12</v>
      </c>
      <c r="E7296" s="2" t="s">
        <v>12</v>
      </c>
      <c r="F7296" s="2" t="s">
        <v>12</v>
      </c>
      <c r="G7296" s="2" t="s">
        <v>12</v>
      </c>
      <c r="H7296" s="2" t="s">
        <v>12</v>
      </c>
      <c r="I7296" s="2" t="s">
        <v>12</v>
      </c>
      <c r="J7296" s="2" t="s">
        <v>12</v>
      </c>
      <c r="K7296" s="2" t="s">
        <v>12</v>
      </c>
    </row>
    <row r="7297" spans="1:11" ht="12.5" x14ac:dyDescent="0.25">
      <c r="A7297" s="3" t="e">
        <f ca="1"/>
        <v>#NAME?</v>
      </c>
      <c r="B7297" s="2" t="s">
        <v>12</v>
      </c>
      <c r="C7297" s="2" t="s">
        <v>12</v>
      </c>
      <c r="D7297" s="2" t="s">
        <v>12</v>
      </c>
      <c r="E7297" s="2" t="s">
        <v>12</v>
      </c>
      <c r="F7297" s="2" t="s">
        <v>12</v>
      </c>
      <c r="G7297" s="2" t="s">
        <v>12</v>
      </c>
      <c r="H7297" s="2" t="s">
        <v>12</v>
      </c>
      <c r="I7297" s="2" t="s">
        <v>12</v>
      </c>
      <c r="J7297" s="2" t="s">
        <v>12</v>
      </c>
      <c r="K7297" s="2" t="s">
        <v>12</v>
      </c>
    </row>
    <row r="7298" spans="1:11" ht="12.5" x14ac:dyDescent="0.25">
      <c r="A7298" s="3" t="e">
        <f ca="1"/>
        <v>#NAME?</v>
      </c>
      <c r="B7298" s="2" t="s">
        <v>12</v>
      </c>
      <c r="C7298" s="2" t="s">
        <v>12</v>
      </c>
      <c r="D7298" s="2" t="s">
        <v>12</v>
      </c>
      <c r="E7298" s="2" t="s">
        <v>12</v>
      </c>
      <c r="F7298" s="2" t="s">
        <v>12</v>
      </c>
      <c r="G7298" s="2" t="s">
        <v>12</v>
      </c>
      <c r="H7298" s="2" t="s">
        <v>12</v>
      </c>
      <c r="I7298" s="2" t="s">
        <v>12</v>
      </c>
      <c r="J7298" s="2" t="s">
        <v>12</v>
      </c>
      <c r="K7298" s="2" t="s">
        <v>12</v>
      </c>
    </row>
    <row r="7299" spans="1:11" ht="12.5" x14ac:dyDescent="0.25">
      <c r="A7299" s="3" t="e">
        <f ca="1"/>
        <v>#NAME?</v>
      </c>
      <c r="B7299" s="2" t="s">
        <v>12</v>
      </c>
      <c r="C7299" s="2" t="s">
        <v>12</v>
      </c>
      <c r="D7299" s="2" t="s">
        <v>12</v>
      </c>
      <c r="E7299" s="2" t="s">
        <v>12</v>
      </c>
      <c r="F7299" s="2" t="s">
        <v>12</v>
      </c>
      <c r="G7299" s="2" t="s">
        <v>12</v>
      </c>
      <c r="H7299" s="2" t="s">
        <v>12</v>
      </c>
      <c r="I7299" s="2" t="s">
        <v>12</v>
      </c>
      <c r="J7299" s="2" t="s">
        <v>12</v>
      </c>
      <c r="K7299" s="2" t="s">
        <v>12</v>
      </c>
    </row>
    <row r="7300" spans="1:11" ht="12.5" x14ac:dyDescent="0.25">
      <c r="A7300" s="3" t="e">
        <f ca="1"/>
        <v>#NAME?</v>
      </c>
      <c r="B7300" s="2" t="s">
        <v>12</v>
      </c>
      <c r="C7300" s="2" t="s">
        <v>12</v>
      </c>
      <c r="D7300" s="2" t="s">
        <v>12</v>
      </c>
      <c r="E7300" s="2" t="s">
        <v>12</v>
      </c>
      <c r="F7300" s="2" t="s">
        <v>12</v>
      </c>
      <c r="G7300" s="2" t="s">
        <v>12</v>
      </c>
      <c r="H7300" s="2" t="s">
        <v>12</v>
      </c>
      <c r="I7300" s="2" t="s">
        <v>12</v>
      </c>
      <c r="J7300" s="2" t="s">
        <v>12</v>
      </c>
      <c r="K7300" s="2" t="s">
        <v>12</v>
      </c>
    </row>
    <row r="7301" spans="1:11" ht="12.5" x14ac:dyDescent="0.25">
      <c r="A7301" s="3" t="e">
        <f ca="1"/>
        <v>#NAME?</v>
      </c>
      <c r="B7301" s="2" t="s">
        <v>12</v>
      </c>
      <c r="C7301" s="2" t="s">
        <v>12</v>
      </c>
      <c r="D7301" s="2" t="s">
        <v>12</v>
      </c>
      <c r="E7301" s="2" t="s">
        <v>12</v>
      </c>
      <c r="F7301" s="2" t="s">
        <v>12</v>
      </c>
      <c r="G7301" s="2" t="s">
        <v>12</v>
      </c>
      <c r="H7301" s="2" t="s">
        <v>12</v>
      </c>
      <c r="I7301" s="2" t="s">
        <v>12</v>
      </c>
      <c r="J7301" s="2" t="s">
        <v>12</v>
      </c>
      <c r="K7301" s="2" t="s">
        <v>12</v>
      </c>
    </row>
    <row r="7302" spans="1:11" ht="12.5" x14ac:dyDescent="0.25">
      <c r="A7302" s="3" t="e">
        <f ca="1"/>
        <v>#NAME?</v>
      </c>
      <c r="B7302" s="2" t="s">
        <v>12</v>
      </c>
      <c r="C7302" s="2" t="s">
        <v>12</v>
      </c>
      <c r="D7302" s="2" t="s">
        <v>12</v>
      </c>
      <c r="E7302" s="2" t="s">
        <v>12</v>
      </c>
      <c r="F7302" s="2" t="s">
        <v>12</v>
      </c>
      <c r="G7302" s="2" t="s">
        <v>12</v>
      </c>
      <c r="H7302" s="2" t="s">
        <v>12</v>
      </c>
      <c r="I7302" s="2" t="s">
        <v>12</v>
      </c>
      <c r="J7302" s="2" t="s">
        <v>12</v>
      </c>
      <c r="K7302" s="2" t="s">
        <v>12</v>
      </c>
    </row>
    <row r="7303" spans="1:11" ht="12.5" x14ac:dyDescent="0.25">
      <c r="A7303" s="3" t="e">
        <f ca="1"/>
        <v>#NAME?</v>
      </c>
      <c r="B7303" s="2" t="s">
        <v>12</v>
      </c>
      <c r="C7303" s="2" t="s">
        <v>12</v>
      </c>
      <c r="D7303" s="2" t="s">
        <v>12</v>
      </c>
      <c r="E7303" s="2" t="s">
        <v>12</v>
      </c>
      <c r="F7303" s="2" t="s">
        <v>12</v>
      </c>
      <c r="G7303" s="2" t="s">
        <v>12</v>
      </c>
      <c r="H7303" s="2" t="s">
        <v>12</v>
      </c>
      <c r="I7303" s="2" t="s">
        <v>12</v>
      </c>
      <c r="J7303" s="2" t="s">
        <v>12</v>
      </c>
      <c r="K7303" s="2" t="s">
        <v>12</v>
      </c>
    </row>
    <row r="7304" spans="1:11" ht="12.5" x14ac:dyDescent="0.25">
      <c r="A7304" s="3" t="e">
        <f ca="1"/>
        <v>#NAME?</v>
      </c>
      <c r="B7304" s="2" t="s">
        <v>12</v>
      </c>
      <c r="C7304" s="2" t="s">
        <v>12</v>
      </c>
      <c r="D7304" s="2" t="s">
        <v>12</v>
      </c>
      <c r="E7304" s="2" t="s">
        <v>12</v>
      </c>
      <c r="F7304" s="2" t="s">
        <v>12</v>
      </c>
      <c r="G7304" s="2" t="s">
        <v>12</v>
      </c>
      <c r="H7304" s="2" t="s">
        <v>12</v>
      </c>
      <c r="I7304" s="2" t="s">
        <v>12</v>
      </c>
      <c r="J7304" s="2" t="s">
        <v>12</v>
      </c>
      <c r="K7304" s="2" t="s">
        <v>12</v>
      </c>
    </row>
    <row r="7305" spans="1:11" ht="12.5" x14ac:dyDescent="0.25">
      <c r="A7305" s="3" t="e">
        <f ca="1"/>
        <v>#NAME?</v>
      </c>
      <c r="B7305" s="2" t="s">
        <v>12</v>
      </c>
      <c r="C7305" s="2" t="s">
        <v>12</v>
      </c>
      <c r="D7305" s="2" t="s">
        <v>12</v>
      </c>
      <c r="E7305" s="2" t="s">
        <v>12</v>
      </c>
      <c r="F7305" s="2" t="s">
        <v>12</v>
      </c>
      <c r="G7305" s="2" t="s">
        <v>12</v>
      </c>
      <c r="H7305" s="2" t="s">
        <v>12</v>
      </c>
      <c r="I7305" s="2" t="s">
        <v>12</v>
      </c>
      <c r="J7305" s="2" t="s">
        <v>12</v>
      </c>
      <c r="K7305" s="2" t="s">
        <v>12</v>
      </c>
    </row>
    <row r="7306" spans="1:11" ht="12.5" x14ac:dyDescent="0.25">
      <c r="A7306" s="3" t="e">
        <f ca="1"/>
        <v>#NAME?</v>
      </c>
      <c r="B7306" s="2" t="s">
        <v>12</v>
      </c>
      <c r="C7306" s="2" t="s">
        <v>12</v>
      </c>
      <c r="D7306" s="2" t="s">
        <v>12</v>
      </c>
      <c r="E7306" s="2" t="s">
        <v>12</v>
      </c>
      <c r="F7306" s="2" t="s">
        <v>12</v>
      </c>
      <c r="G7306" s="2" t="s">
        <v>12</v>
      </c>
      <c r="H7306" s="2" t="s">
        <v>12</v>
      </c>
      <c r="I7306" s="2" t="s">
        <v>12</v>
      </c>
      <c r="J7306" s="2" t="s">
        <v>12</v>
      </c>
      <c r="K7306" s="2" t="s">
        <v>12</v>
      </c>
    </row>
    <row r="7307" spans="1:11" ht="12.5" x14ac:dyDescent="0.25">
      <c r="A7307" s="3" t="e">
        <f ca="1"/>
        <v>#NAME?</v>
      </c>
      <c r="B7307" s="2" t="s">
        <v>12</v>
      </c>
      <c r="C7307" s="2" t="s">
        <v>12</v>
      </c>
      <c r="D7307" s="2" t="s">
        <v>12</v>
      </c>
      <c r="E7307" s="2" t="s">
        <v>12</v>
      </c>
      <c r="F7307" s="2" t="s">
        <v>12</v>
      </c>
      <c r="G7307" s="2" t="s">
        <v>12</v>
      </c>
      <c r="H7307" s="2" t="s">
        <v>12</v>
      </c>
      <c r="I7307" s="2" t="s">
        <v>12</v>
      </c>
      <c r="J7307" s="2" t="s">
        <v>12</v>
      </c>
      <c r="K7307" s="2" t="s">
        <v>12</v>
      </c>
    </row>
    <row r="7308" spans="1:11" ht="12.5" x14ac:dyDescent="0.25">
      <c r="A7308" s="3" t="e">
        <f ca="1"/>
        <v>#NAME?</v>
      </c>
      <c r="B7308" s="2" t="s">
        <v>12</v>
      </c>
      <c r="C7308" s="2" t="s">
        <v>12</v>
      </c>
      <c r="D7308" s="2" t="s">
        <v>12</v>
      </c>
      <c r="E7308" s="2" t="s">
        <v>12</v>
      </c>
      <c r="F7308" s="2" t="s">
        <v>12</v>
      </c>
      <c r="G7308" s="2" t="s">
        <v>12</v>
      </c>
      <c r="H7308" s="2" t="s">
        <v>12</v>
      </c>
      <c r="I7308" s="2" t="s">
        <v>12</v>
      </c>
      <c r="J7308" s="2" t="s">
        <v>12</v>
      </c>
      <c r="K7308" s="2" t="s">
        <v>12</v>
      </c>
    </row>
    <row r="7309" spans="1:11" ht="12.5" x14ac:dyDescent="0.25">
      <c r="A7309" s="3" t="e">
        <f ca="1"/>
        <v>#NAME?</v>
      </c>
      <c r="B7309" s="2" t="s">
        <v>12</v>
      </c>
      <c r="C7309" s="2" t="s">
        <v>12</v>
      </c>
      <c r="D7309" s="2" t="s">
        <v>12</v>
      </c>
      <c r="E7309" s="2" t="s">
        <v>12</v>
      </c>
      <c r="F7309" s="2" t="s">
        <v>12</v>
      </c>
      <c r="G7309" s="2" t="s">
        <v>12</v>
      </c>
      <c r="H7309" s="2" t="s">
        <v>12</v>
      </c>
      <c r="I7309" s="2" t="s">
        <v>12</v>
      </c>
      <c r="J7309" s="2" t="s">
        <v>12</v>
      </c>
      <c r="K7309" s="2" t="s">
        <v>12</v>
      </c>
    </row>
    <row r="7310" spans="1:11" ht="12.5" x14ac:dyDescent="0.25">
      <c r="A7310" s="3" t="e">
        <f ca="1"/>
        <v>#NAME?</v>
      </c>
      <c r="B7310" s="2" t="s">
        <v>12</v>
      </c>
      <c r="C7310" s="2" t="s">
        <v>12</v>
      </c>
      <c r="D7310" s="2" t="s">
        <v>12</v>
      </c>
      <c r="E7310" s="2" t="s">
        <v>12</v>
      </c>
      <c r="F7310" s="2" t="s">
        <v>12</v>
      </c>
      <c r="G7310" s="2" t="s">
        <v>12</v>
      </c>
      <c r="H7310" s="2" t="s">
        <v>12</v>
      </c>
      <c r="I7310" s="2" t="s">
        <v>12</v>
      </c>
      <c r="J7310" s="2" t="s">
        <v>12</v>
      </c>
      <c r="K7310" s="2" t="s">
        <v>12</v>
      </c>
    </row>
    <row r="7311" spans="1:11" ht="12.5" x14ac:dyDescent="0.25">
      <c r="A7311" s="3" t="e">
        <f ca="1"/>
        <v>#NAME?</v>
      </c>
      <c r="B7311" s="2" t="s">
        <v>12</v>
      </c>
      <c r="C7311" s="2" t="s">
        <v>12</v>
      </c>
      <c r="D7311" s="2" t="s">
        <v>12</v>
      </c>
      <c r="E7311" s="2" t="s">
        <v>12</v>
      </c>
      <c r="F7311" s="2" t="s">
        <v>12</v>
      </c>
      <c r="G7311" s="2" t="s">
        <v>12</v>
      </c>
      <c r="H7311" s="2" t="s">
        <v>12</v>
      </c>
      <c r="I7311" s="2" t="s">
        <v>12</v>
      </c>
      <c r="J7311" s="2" t="s">
        <v>12</v>
      </c>
      <c r="K7311" s="2" t="s">
        <v>12</v>
      </c>
    </row>
    <row r="7312" spans="1:11" ht="12.5" x14ac:dyDescent="0.25">
      <c r="A7312" s="3" t="e">
        <f ca="1"/>
        <v>#NAME?</v>
      </c>
      <c r="B7312" s="2" t="s">
        <v>12</v>
      </c>
      <c r="C7312" s="2" t="s">
        <v>12</v>
      </c>
      <c r="D7312" s="2" t="s">
        <v>12</v>
      </c>
      <c r="E7312" s="2" t="s">
        <v>12</v>
      </c>
      <c r="F7312" s="2" t="s">
        <v>12</v>
      </c>
      <c r="G7312" s="2" t="s">
        <v>12</v>
      </c>
      <c r="H7312" s="2" t="s">
        <v>12</v>
      </c>
      <c r="I7312" s="2" t="s">
        <v>12</v>
      </c>
      <c r="J7312" s="2" t="s">
        <v>12</v>
      </c>
      <c r="K7312" s="2" t="s">
        <v>12</v>
      </c>
    </row>
    <row r="7313" spans="1:11" ht="12.5" x14ac:dyDescent="0.25">
      <c r="A7313" s="3" t="e">
        <f ca="1"/>
        <v>#NAME?</v>
      </c>
      <c r="B7313" s="2" t="s">
        <v>12</v>
      </c>
      <c r="C7313" s="2" t="s">
        <v>12</v>
      </c>
      <c r="D7313" s="2" t="s">
        <v>12</v>
      </c>
      <c r="E7313" s="2" t="s">
        <v>12</v>
      </c>
      <c r="F7313" s="2" t="s">
        <v>12</v>
      </c>
      <c r="G7313" s="2" t="s">
        <v>12</v>
      </c>
      <c r="H7313" s="2" t="s">
        <v>12</v>
      </c>
      <c r="I7313" s="2" t="s">
        <v>12</v>
      </c>
      <c r="J7313" s="2" t="s">
        <v>12</v>
      </c>
      <c r="K7313" s="2" t="s">
        <v>12</v>
      </c>
    </row>
    <row r="7314" spans="1:11" ht="12.5" x14ac:dyDescent="0.25">
      <c r="A7314" s="3" t="e">
        <f ca="1"/>
        <v>#NAME?</v>
      </c>
      <c r="B7314" s="2" t="s">
        <v>12</v>
      </c>
      <c r="C7314" s="2" t="s">
        <v>12</v>
      </c>
      <c r="D7314" s="2" t="s">
        <v>12</v>
      </c>
      <c r="E7314" s="2" t="s">
        <v>12</v>
      </c>
      <c r="F7314" s="2" t="s">
        <v>12</v>
      </c>
      <c r="G7314" s="2" t="s">
        <v>12</v>
      </c>
      <c r="H7314" s="2" t="s">
        <v>12</v>
      </c>
      <c r="I7314" s="2" t="s">
        <v>12</v>
      </c>
      <c r="J7314" s="2" t="s">
        <v>12</v>
      </c>
      <c r="K7314" s="2" t="s">
        <v>12</v>
      </c>
    </row>
    <row r="7315" spans="1:11" ht="12.5" x14ac:dyDescent="0.25">
      <c r="A7315" s="3" t="e">
        <f ca="1"/>
        <v>#NAME?</v>
      </c>
      <c r="B7315" s="2" t="s">
        <v>12</v>
      </c>
      <c r="C7315" s="2" t="s">
        <v>12</v>
      </c>
      <c r="D7315" s="2" t="s">
        <v>12</v>
      </c>
      <c r="E7315" s="2" t="s">
        <v>12</v>
      </c>
      <c r="F7315" s="2" t="s">
        <v>12</v>
      </c>
      <c r="G7315" s="2" t="s">
        <v>12</v>
      </c>
      <c r="H7315" s="2" t="s">
        <v>12</v>
      </c>
      <c r="I7315" s="2" t="s">
        <v>12</v>
      </c>
      <c r="J7315" s="2" t="s">
        <v>12</v>
      </c>
      <c r="K7315" s="2" t="s">
        <v>12</v>
      </c>
    </row>
    <row r="7316" spans="1:11" ht="12.5" x14ac:dyDescent="0.25">
      <c r="A7316" s="3" t="e">
        <f ca="1"/>
        <v>#NAME?</v>
      </c>
      <c r="B7316" s="2" t="s">
        <v>12</v>
      </c>
      <c r="C7316" s="2" t="s">
        <v>12</v>
      </c>
      <c r="D7316" s="2" t="s">
        <v>12</v>
      </c>
      <c r="E7316" s="2" t="s">
        <v>12</v>
      </c>
      <c r="F7316" s="2" t="s">
        <v>12</v>
      </c>
      <c r="G7316" s="2" t="s">
        <v>12</v>
      </c>
      <c r="H7316" s="2" t="s">
        <v>12</v>
      </c>
      <c r="I7316" s="2" t="s">
        <v>12</v>
      </c>
      <c r="J7316" s="2" t="s">
        <v>12</v>
      </c>
      <c r="K7316" s="2" t="s">
        <v>12</v>
      </c>
    </row>
    <row r="7317" spans="1:11" ht="12.5" x14ac:dyDescent="0.25">
      <c r="A7317" s="3" t="e">
        <f ca="1"/>
        <v>#NAME?</v>
      </c>
      <c r="B7317" s="2" t="s">
        <v>12</v>
      </c>
      <c r="C7317" s="2" t="s">
        <v>12</v>
      </c>
      <c r="D7317" s="2" t="s">
        <v>12</v>
      </c>
      <c r="E7317" s="2" t="s">
        <v>12</v>
      </c>
      <c r="F7317" s="2" t="s">
        <v>12</v>
      </c>
      <c r="G7317" s="2" t="s">
        <v>12</v>
      </c>
      <c r="H7317" s="2" t="s">
        <v>12</v>
      </c>
      <c r="I7317" s="2" t="s">
        <v>12</v>
      </c>
      <c r="J7317" s="2" t="s">
        <v>12</v>
      </c>
      <c r="K7317" s="2" t="s">
        <v>12</v>
      </c>
    </row>
    <row r="7318" spans="1:11" ht="12.5" x14ac:dyDescent="0.25">
      <c r="A7318" s="3" t="e">
        <f ca="1"/>
        <v>#NAME?</v>
      </c>
      <c r="B7318" s="2" t="s">
        <v>12</v>
      </c>
      <c r="C7318" s="2" t="s">
        <v>12</v>
      </c>
      <c r="D7318" s="2" t="s">
        <v>12</v>
      </c>
      <c r="E7318" s="2" t="s">
        <v>12</v>
      </c>
      <c r="F7318" s="2" t="s">
        <v>12</v>
      </c>
      <c r="G7318" s="2" t="s">
        <v>12</v>
      </c>
      <c r="H7318" s="2" t="s">
        <v>12</v>
      </c>
      <c r="I7318" s="2" t="s">
        <v>12</v>
      </c>
      <c r="J7318" s="2" t="s">
        <v>12</v>
      </c>
      <c r="K7318" s="2" t="s">
        <v>12</v>
      </c>
    </row>
    <row r="7319" spans="1:11" ht="12.5" x14ac:dyDescent="0.25">
      <c r="A7319" s="3" t="e">
        <f ca="1"/>
        <v>#NAME?</v>
      </c>
      <c r="B7319" s="2" t="s">
        <v>12</v>
      </c>
      <c r="C7319" s="2" t="s">
        <v>12</v>
      </c>
      <c r="D7319" s="2" t="s">
        <v>12</v>
      </c>
      <c r="E7319" s="2" t="s">
        <v>12</v>
      </c>
      <c r="F7319" s="2" t="s">
        <v>12</v>
      </c>
      <c r="G7319" s="2" t="s">
        <v>12</v>
      </c>
      <c r="H7319" s="2" t="s">
        <v>12</v>
      </c>
      <c r="I7319" s="2" t="s">
        <v>12</v>
      </c>
      <c r="J7319" s="2" t="s">
        <v>12</v>
      </c>
      <c r="K7319" s="2" t="s">
        <v>12</v>
      </c>
    </row>
    <row r="7320" spans="1:11" ht="12.5" x14ac:dyDescent="0.25">
      <c r="A7320" s="3" t="e">
        <f ca="1"/>
        <v>#NAME?</v>
      </c>
      <c r="B7320" s="2" t="s">
        <v>12</v>
      </c>
      <c r="C7320" s="2" t="s">
        <v>12</v>
      </c>
      <c r="D7320" s="2" t="s">
        <v>12</v>
      </c>
      <c r="E7320" s="2" t="s">
        <v>12</v>
      </c>
      <c r="F7320" s="2" t="s">
        <v>12</v>
      </c>
      <c r="G7320" s="2" t="s">
        <v>12</v>
      </c>
      <c r="H7320" s="2" t="s">
        <v>12</v>
      </c>
      <c r="I7320" s="2" t="s">
        <v>12</v>
      </c>
      <c r="J7320" s="2" t="s">
        <v>12</v>
      </c>
      <c r="K7320" s="2" t="s">
        <v>12</v>
      </c>
    </row>
    <row r="7321" spans="1:11" ht="12.5" x14ac:dyDescent="0.25">
      <c r="A7321" s="3" t="e">
        <f ca="1"/>
        <v>#NAME?</v>
      </c>
      <c r="B7321" s="2" t="s">
        <v>12</v>
      </c>
      <c r="C7321" s="2" t="s">
        <v>12</v>
      </c>
      <c r="D7321" s="2" t="s">
        <v>12</v>
      </c>
      <c r="E7321" s="2" t="s">
        <v>12</v>
      </c>
      <c r="F7321" s="2" t="s">
        <v>12</v>
      </c>
      <c r="G7321" s="2" t="s">
        <v>12</v>
      </c>
      <c r="H7321" s="2" t="s">
        <v>12</v>
      </c>
      <c r="I7321" s="2" t="s">
        <v>12</v>
      </c>
      <c r="J7321" s="2" t="s">
        <v>12</v>
      </c>
      <c r="K7321" s="2" t="s">
        <v>12</v>
      </c>
    </row>
    <row r="7322" spans="1:11" ht="12.5" x14ac:dyDescent="0.25">
      <c r="A7322" s="3" t="e">
        <f ca="1"/>
        <v>#NAME?</v>
      </c>
      <c r="B7322" s="2" t="s">
        <v>12</v>
      </c>
      <c r="C7322" s="2" t="s">
        <v>12</v>
      </c>
      <c r="D7322" s="2" t="s">
        <v>12</v>
      </c>
      <c r="E7322" s="2" t="s">
        <v>12</v>
      </c>
      <c r="F7322" s="2" t="s">
        <v>12</v>
      </c>
      <c r="G7322" s="2" t="s">
        <v>12</v>
      </c>
      <c r="H7322" s="2" t="s">
        <v>12</v>
      </c>
      <c r="I7322" s="2" t="s">
        <v>12</v>
      </c>
      <c r="J7322" s="2" t="s">
        <v>12</v>
      </c>
      <c r="K7322" s="2" t="s">
        <v>12</v>
      </c>
    </row>
    <row r="7323" spans="1:11" ht="12.5" x14ac:dyDescent="0.25">
      <c r="A7323" s="3" t="e">
        <f ca="1"/>
        <v>#NAME?</v>
      </c>
      <c r="B7323" s="2" t="s">
        <v>12</v>
      </c>
      <c r="C7323" s="2" t="s">
        <v>12</v>
      </c>
      <c r="D7323" s="2" t="s">
        <v>12</v>
      </c>
      <c r="E7323" s="2" t="s">
        <v>12</v>
      </c>
      <c r="F7323" s="2" t="s">
        <v>12</v>
      </c>
      <c r="G7323" s="2" t="s">
        <v>12</v>
      </c>
      <c r="H7323" s="2" t="s">
        <v>12</v>
      </c>
      <c r="I7323" s="2" t="s">
        <v>12</v>
      </c>
      <c r="J7323" s="2" t="s">
        <v>12</v>
      </c>
      <c r="K7323" s="2" t="s">
        <v>12</v>
      </c>
    </row>
    <row r="7324" spans="1:11" ht="12.5" x14ac:dyDescent="0.25">
      <c r="A7324" s="3" t="e">
        <f ca="1"/>
        <v>#NAME?</v>
      </c>
      <c r="B7324" s="2" t="s">
        <v>12</v>
      </c>
      <c r="C7324" s="2" t="s">
        <v>12</v>
      </c>
      <c r="D7324" s="2" t="s">
        <v>12</v>
      </c>
      <c r="E7324" s="2" t="s">
        <v>12</v>
      </c>
      <c r="F7324" s="2" t="s">
        <v>12</v>
      </c>
      <c r="G7324" s="2" t="s">
        <v>12</v>
      </c>
      <c r="H7324" s="2" t="s">
        <v>12</v>
      </c>
      <c r="I7324" s="2" t="s">
        <v>12</v>
      </c>
      <c r="J7324" s="2" t="s">
        <v>12</v>
      </c>
      <c r="K7324" s="2" t="s">
        <v>12</v>
      </c>
    </row>
    <row r="7325" spans="1:11" ht="12.5" x14ac:dyDescent="0.25">
      <c r="A7325" s="3" t="e">
        <f ca="1"/>
        <v>#NAME?</v>
      </c>
      <c r="B7325" s="2" t="s">
        <v>12</v>
      </c>
      <c r="C7325" s="2" t="s">
        <v>12</v>
      </c>
      <c r="D7325" s="2" t="s">
        <v>12</v>
      </c>
      <c r="E7325" s="2" t="s">
        <v>12</v>
      </c>
      <c r="F7325" s="2" t="s">
        <v>12</v>
      </c>
      <c r="G7325" s="2" t="s">
        <v>12</v>
      </c>
      <c r="H7325" s="2" t="s">
        <v>12</v>
      </c>
      <c r="I7325" s="2" t="s">
        <v>12</v>
      </c>
      <c r="J7325" s="2" t="s">
        <v>12</v>
      </c>
      <c r="K7325" s="2" t="s">
        <v>12</v>
      </c>
    </row>
    <row r="7326" spans="1:11" ht="12.5" x14ac:dyDescent="0.25">
      <c r="A7326" s="3" t="e">
        <f ca="1"/>
        <v>#NAME?</v>
      </c>
      <c r="B7326" s="2" t="s">
        <v>12</v>
      </c>
      <c r="C7326" s="2" t="s">
        <v>12</v>
      </c>
      <c r="D7326" s="2" t="s">
        <v>12</v>
      </c>
      <c r="E7326" s="2" t="s">
        <v>12</v>
      </c>
      <c r="F7326" s="2" t="s">
        <v>12</v>
      </c>
      <c r="G7326" s="2" t="s">
        <v>12</v>
      </c>
      <c r="H7326" s="2" t="s">
        <v>12</v>
      </c>
      <c r="I7326" s="2" t="s">
        <v>12</v>
      </c>
      <c r="J7326" s="2" t="s">
        <v>12</v>
      </c>
      <c r="K7326" s="2" t="s">
        <v>12</v>
      </c>
    </row>
    <row r="7327" spans="1:11" ht="12.5" x14ac:dyDescent="0.25">
      <c r="A7327" s="3" t="e">
        <f ca="1"/>
        <v>#NAME?</v>
      </c>
      <c r="B7327" s="2" t="s">
        <v>12</v>
      </c>
      <c r="C7327" s="2" t="s">
        <v>12</v>
      </c>
      <c r="D7327" s="2" t="s">
        <v>12</v>
      </c>
      <c r="E7327" s="2" t="s">
        <v>12</v>
      </c>
      <c r="F7327" s="2" t="s">
        <v>12</v>
      </c>
      <c r="G7327" s="2" t="s">
        <v>12</v>
      </c>
      <c r="H7327" s="2" t="s">
        <v>12</v>
      </c>
      <c r="I7327" s="2" t="s">
        <v>12</v>
      </c>
      <c r="J7327" s="2" t="s">
        <v>12</v>
      </c>
      <c r="K7327" s="2" t="s">
        <v>12</v>
      </c>
    </row>
    <row r="7328" spans="1:11" ht="12.5" x14ac:dyDescent="0.25">
      <c r="A7328" s="3" t="e">
        <f ca="1"/>
        <v>#NAME?</v>
      </c>
      <c r="B7328" s="2" t="s">
        <v>12</v>
      </c>
      <c r="C7328" s="2" t="s">
        <v>12</v>
      </c>
      <c r="D7328" s="2" t="s">
        <v>12</v>
      </c>
      <c r="E7328" s="2" t="s">
        <v>12</v>
      </c>
      <c r="F7328" s="2" t="s">
        <v>12</v>
      </c>
      <c r="G7328" s="2" t="s">
        <v>12</v>
      </c>
      <c r="H7328" s="2" t="s">
        <v>12</v>
      </c>
      <c r="I7328" s="2" t="s">
        <v>12</v>
      </c>
      <c r="J7328" s="2" t="s">
        <v>12</v>
      </c>
      <c r="K7328" s="2" t="s">
        <v>12</v>
      </c>
    </row>
    <row r="7329" spans="1:11" ht="12.5" x14ac:dyDescent="0.25">
      <c r="A7329" s="3" t="e">
        <f ca="1"/>
        <v>#NAME?</v>
      </c>
      <c r="B7329" s="2" t="s">
        <v>12</v>
      </c>
      <c r="C7329" s="2" t="s">
        <v>12</v>
      </c>
      <c r="D7329" s="2" t="s">
        <v>12</v>
      </c>
      <c r="E7329" s="2" t="s">
        <v>12</v>
      </c>
      <c r="F7329" s="2" t="s">
        <v>12</v>
      </c>
      <c r="G7329" s="2" t="s">
        <v>12</v>
      </c>
      <c r="H7329" s="2" t="s">
        <v>12</v>
      </c>
      <c r="I7329" s="2" t="s">
        <v>12</v>
      </c>
      <c r="J7329" s="2" t="s">
        <v>12</v>
      </c>
      <c r="K7329" s="2" t="s">
        <v>12</v>
      </c>
    </row>
    <row r="7330" spans="1:11" ht="12.5" x14ac:dyDescent="0.25">
      <c r="A7330" s="3" t="e">
        <f ca="1"/>
        <v>#NAME?</v>
      </c>
      <c r="B7330" s="2" t="s">
        <v>12</v>
      </c>
      <c r="C7330" s="2" t="s">
        <v>12</v>
      </c>
      <c r="D7330" s="2" t="s">
        <v>12</v>
      </c>
      <c r="E7330" s="2" t="s">
        <v>12</v>
      </c>
      <c r="F7330" s="2" t="s">
        <v>12</v>
      </c>
      <c r="G7330" s="2" t="s">
        <v>12</v>
      </c>
      <c r="H7330" s="2" t="s">
        <v>12</v>
      </c>
      <c r="I7330" s="2" t="s">
        <v>12</v>
      </c>
      <c r="J7330" s="2" t="s">
        <v>12</v>
      </c>
      <c r="K7330" s="2" t="s">
        <v>12</v>
      </c>
    </row>
    <row r="7331" spans="1:11" ht="12.5" x14ac:dyDescent="0.25">
      <c r="A7331" s="3" t="e">
        <f ca="1"/>
        <v>#NAME?</v>
      </c>
      <c r="B7331" s="2" t="s">
        <v>12</v>
      </c>
      <c r="C7331" s="2" t="s">
        <v>12</v>
      </c>
      <c r="D7331" s="2" t="s">
        <v>12</v>
      </c>
      <c r="E7331" s="2" t="s">
        <v>12</v>
      </c>
      <c r="F7331" s="2" t="s">
        <v>12</v>
      </c>
      <c r="G7331" s="2" t="s">
        <v>12</v>
      </c>
      <c r="H7331" s="2" t="s">
        <v>12</v>
      </c>
      <c r="I7331" s="2" t="s">
        <v>12</v>
      </c>
      <c r="J7331" s="2" t="s">
        <v>12</v>
      </c>
      <c r="K7331" s="2" t="s">
        <v>12</v>
      </c>
    </row>
    <row r="7332" spans="1:11" ht="12.5" x14ac:dyDescent="0.25">
      <c r="A7332" s="3" t="e">
        <f ca="1"/>
        <v>#NAME?</v>
      </c>
      <c r="B7332" s="2" t="s">
        <v>12</v>
      </c>
      <c r="C7332" s="2" t="s">
        <v>12</v>
      </c>
      <c r="D7332" s="2" t="s">
        <v>12</v>
      </c>
      <c r="E7332" s="2" t="s">
        <v>12</v>
      </c>
      <c r="F7332" s="2" t="s">
        <v>12</v>
      </c>
      <c r="G7332" s="2" t="s">
        <v>12</v>
      </c>
      <c r="H7332" s="2" t="s">
        <v>12</v>
      </c>
      <c r="I7332" s="2" t="s">
        <v>12</v>
      </c>
      <c r="J7332" s="2" t="s">
        <v>12</v>
      </c>
      <c r="K7332" s="2" t="s">
        <v>12</v>
      </c>
    </row>
    <row r="7333" spans="1:11" ht="12.5" x14ac:dyDescent="0.25">
      <c r="A7333" s="3" t="e">
        <f ca="1"/>
        <v>#NAME?</v>
      </c>
      <c r="B7333" s="2" t="s">
        <v>12</v>
      </c>
      <c r="C7333" s="2" t="s">
        <v>12</v>
      </c>
      <c r="D7333" s="2" t="s">
        <v>12</v>
      </c>
      <c r="E7333" s="2" t="s">
        <v>12</v>
      </c>
      <c r="F7333" s="2" t="s">
        <v>12</v>
      </c>
      <c r="G7333" s="2" t="s">
        <v>12</v>
      </c>
      <c r="H7333" s="2" t="s">
        <v>12</v>
      </c>
      <c r="I7333" s="2" t="s">
        <v>12</v>
      </c>
      <c r="J7333" s="2" t="s">
        <v>12</v>
      </c>
      <c r="K7333" s="2" t="s">
        <v>12</v>
      </c>
    </row>
    <row r="7334" spans="1:11" ht="12.5" x14ac:dyDescent="0.25">
      <c r="A7334" s="3" t="e">
        <f ca="1"/>
        <v>#NAME?</v>
      </c>
      <c r="B7334" s="2" t="s">
        <v>12</v>
      </c>
      <c r="C7334" s="2" t="s">
        <v>12</v>
      </c>
      <c r="D7334" s="2" t="s">
        <v>12</v>
      </c>
      <c r="E7334" s="2" t="s">
        <v>12</v>
      </c>
      <c r="F7334" s="2" t="s">
        <v>12</v>
      </c>
      <c r="G7334" s="2" t="s">
        <v>12</v>
      </c>
      <c r="H7334" s="2" t="s">
        <v>12</v>
      </c>
      <c r="I7334" s="2" t="s">
        <v>12</v>
      </c>
      <c r="J7334" s="2" t="s">
        <v>12</v>
      </c>
      <c r="K7334" s="2" t="s">
        <v>12</v>
      </c>
    </row>
    <row r="7335" spans="1:11" ht="12.5" x14ac:dyDescent="0.25">
      <c r="A7335" s="3" t="e">
        <f ca="1"/>
        <v>#NAME?</v>
      </c>
      <c r="B7335" s="2" t="s">
        <v>12</v>
      </c>
      <c r="C7335" s="2" t="s">
        <v>12</v>
      </c>
      <c r="D7335" s="2" t="s">
        <v>12</v>
      </c>
      <c r="E7335" s="2" t="s">
        <v>12</v>
      </c>
      <c r="F7335" s="2" t="s">
        <v>12</v>
      </c>
      <c r="G7335" s="2" t="s">
        <v>12</v>
      </c>
      <c r="H7335" s="2" t="s">
        <v>12</v>
      </c>
      <c r="I7335" s="2" t="s">
        <v>12</v>
      </c>
      <c r="J7335" s="2" t="s">
        <v>12</v>
      </c>
      <c r="K7335" s="2" t="s">
        <v>12</v>
      </c>
    </row>
    <row r="7336" spans="1:11" ht="12.5" x14ac:dyDescent="0.25">
      <c r="A7336" s="3" t="e">
        <f ca="1"/>
        <v>#NAME?</v>
      </c>
      <c r="B7336" s="2" t="s">
        <v>12</v>
      </c>
      <c r="C7336" s="2" t="s">
        <v>12</v>
      </c>
      <c r="D7336" s="2" t="s">
        <v>12</v>
      </c>
      <c r="E7336" s="2" t="s">
        <v>12</v>
      </c>
      <c r="F7336" s="2" t="s">
        <v>12</v>
      </c>
      <c r="G7336" s="2" t="s">
        <v>12</v>
      </c>
      <c r="H7336" s="2" t="s">
        <v>12</v>
      </c>
      <c r="I7336" s="2" t="s">
        <v>12</v>
      </c>
      <c r="J7336" s="2" t="s">
        <v>12</v>
      </c>
      <c r="K7336" s="2" t="s">
        <v>12</v>
      </c>
    </row>
    <row r="7337" spans="1:11" ht="12.5" x14ac:dyDescent="0.25">
      <c r="A7337" s="3" t="e">
        <f ca="1"/>
        <v>#NAME?</v>
      </c>
      <c r="B7337" s="2" t="s">
        <v>12</v>
      </c>
      <c r="C7337" s="2" t="s">
        <v>12</v>
      </c>
      <c r="D7337" s="2" t="s">
        <v>12</v>
      </c>
      <c r="E7337" s="2" t="s">
        <v>12</v>
      </c>
      <c r="F7337" s="2" t="s">
        <v>12</v>
      </c>
      <c r="G7337" s="2" t="s">
        <v>12</v>
      </c>
      <c r="H7337" s="2" t="s">
        <v>12</v>
      </c>
      <c r="I7337" s="2" t="s">
        <v>12</v>
      </c>
      <c r="J7337" s="2" t="s">
        <v>12</v>
      </c>
      <c r="K7337" s="2" t="s">
        <v>12</v>
      </c>
    </row>
    <row r="7338" spans="1:11" ht="12.5" x14ac:dyDescent="0.25">
      <c r="A7338" s="3" t="e">
        <f ca="1"/>
        <v>#NAME?</v>
      </c>
      <c r="B7338" s="2" t="s">
        <v>12</v>
      </c>
      <c r="C7338" s="2" t="s">
        <v>12</v>
      </c>
      <c r="D7338" s="2" t="s">
        <v>12</v>
      </c>
      <c r="E7338" s="2" t="s">
        <v>12</v>
      </c>
      <c r="F7338" s="2" t="s">
        <v>12</v>
      </c>
      <c r="G7338" s="2" t="s">
        <v>12</v>
      </c>
      <c r="H7338" s="2" t="s">
        <v>12</v>
      </c>
      <c r="I7338" s="2" t="s">
        <v>12</v>
      </c>
      <c r="J7338" s="2" t="s">
        <v>12</v>
      </c>
      <c r="K7338" s="2" t="s">
        <v>12</v>
      </c>
    </row>
    <row r="7339" spans="1:11" ht="12.5" x14ac:dyDescent="0.25">
      <c r="A7339" s="3" t="e">
        <f ca="1"/>
        <v>#NAME?</v>
      </c>
      <c r="B7339" s="2" t="s">
        <v>12</v>
      </c>
      <c r="C7339" s="2" t="s">
        <v>12</v>
      </c>
      <c r="D7339" s="2" t="s">
        <v>12</v>
      </c>
      <c r="E7339" s="2" t="s">
        <v>12</v>
      </c>
      <c r="F7339" s="2" t="s">
        <v>12</v>
      </c>
      <c r="G7339" s="2" t="s">
        <v>12</v>
      </c>
      <c r="H7339" s="2" t="s">
        <v>12</v>
      </c>
      <c r="I7339" s="2" t="s">
        <v>12</v>
      </c>
      <c r="J7339" s="2" t="s">
        <v>12</v>
      </c>
      <c r="K7339" s="2" t="s">
        <v>12</v>
      </c>
    </row>
    <row r="7340" spans="1:11" ht="12.5" x14ac:dyDescent="0.25">
      <c r="A7340" s="3" t="e">
        <f ca="1"/>
        <v>#NAME?</v>
      </c>
      <c r="B7340" s="2" t="s">
        <v>12</v>
      </c>
      <c r="C7340" s="2" t="s">
        <v>12</v>
      </c>
      <c r="D7340" s="2" t="s">
        <v>12</v>
      </c>
      <c r="E7340" s="2" t="s">
        <v>12</v>
      </c>
      <c r="F7340" s="2" t="s">
        <v>12</v>
      </c>
      <c r="G7340" s="2" t="s">
        <v>12</v>
      </c>
      <c r="H7340" s="2" t="s">
        <v>12</v>
      </c>
      <c r="I7340" s="2" t="s">
        <v>12</v>
      </c>
      <c r="J7340" s="2" t="s">
        <v>12</v>
      </c>
      <c r="K7340" s="2" t="s">
        <v>12</v>
      </c>
    </row>
    <row r="7341" spans="1:11" ht="12.5" x14ac:dyDescent="0.25">
      <c r="A7341" s="3" t="e">
        <f ca="1"/>
        <v>#NAME?</v>
      </c>
      <c r="B7341" s="2" t="s">
        <v>12</v>
      </c>
      <c r="C7341" s="2" t="s">
        <v>12</v>
      </c>
      <c r="D7341" s="2" t="s">
        <v>12</v>
      </c>
      <c r="E7341" s="2" t="s">
        <v>12</v>
      </c>
      <c r="F7341" s="2" t="s">
        <v>12</v>
      </c>
      <c r="G7341" s="2" t="s">
        <v>12</v>
      </c>
      <c r="H7341" s="2" t="s">
        <v>12</v>
      </c>
      <c r="I7341" s="2" t="s">
        <v>12</v>
      </c>
      <c r="J7341" s="2" t="s">
        <v>12</v>
      </c>
      <c r="K7341" s="2" t="s">
        <v>12</v>
      </c>
    </row>
    <row r="7342" spans="1:11" ht="12.5" x14ac:dyDescent="0.25">
      <c r="A7342" s="3" t="e">
        <f ca="1"/>
        <v>#NAME?</v>
      </c>
      <c r="B7342" s="2" t="s">
        <v>12</v>
      </c>
      <c r="C7342" s="2" t="s">
        <v>12</v>
      </c>
      <c r="D7342" s="2" t="s">
        <v>12</v>
      </c>
      <c r="E7342" s="2" t="s">
        <v>12</v>
      </c>
      <c r="F7342" s="2" t="s">
        <v>12</v>
      </c>
      <c r="G7342" s="2" t="s">
        <v>12</v>
      </c>
      <c r="H7342" s="2" t="s">
        <v>12</v>
      </c>
      <c r="I7342" s="2" t="s">
        <v>12</v>
      </c>
      <c r="J7342" s="2" t="s">
        <v>12</v>
      </c>
      <c r="K7342" s="2" t="s">
        <v>12</v>
      </c>
    </row>
    <row r="7343" spans="1:11" ht="12.5" x14ac:dyDescent="0.25">
      <c r="A7343" s="3" t="e">
        <f ca="1"/>
        <v>#NAME?</v>
      </c>
      <c r="B7343" s="2" t="s">
        <v>12</v>
      </c>
      <c r="C7343" s="2" t="s">
        <v>12</v>
      </c>
      <c r="D7343" s="2" t="s">
        <v>12</v>
      </c>
      <c r="E7343" s="2" t="s">
        <v>12</v>
      </c>
      <c r="F7343" s="2" t="s">
        <v>12</v>
      </c>
      <c r="G7343" s="2" t="s">
        <v>12</v>
      </c>
      <c r="H7343" s="2" t="s">
        <v>12</v>
      </c>
      <c r="I7343" s="2" t="s">
        <v>12</v>
      </c>
      <c r="J7343" s="2" t="s">
        <v>12</v>
      </c>
      <c r="K7343" s="2" t="s">
        <v>12</v>
      </c>
    </row>
    <row r="7344" spans="1:11" ht="12.5" x14ac:dyDescent="0.25">
      <c r="A7344" s="3" t="e">
        <f ca="1"/>
        <v>#NAME?</v>
      </c>
      <c r="B7344" s="2" t="s">
        <v>12</v>
      </c>
      <c r="C7344" s="2" t="s">
        <v>12</v>
      </c>
      <c r="D7344" s="2" t="s">
        <v>12</v>
      </c>
      <c r="E7344" s="2" t="s">
        <v>12</v>
      </c>
      <c r="F7344" s="2" t="s">
        <v>12</v>
      </c>
      <c r="G7344" s="2" t="s">
        <v>12</v>
      </c>
      <c r="H7344" s="2" t="s">
        <v>12</v>
      </c>
      <c r="I7344" s="2" t="s">
        <v>12</v>
      </c>
      <c r="J7344" s="2" t="s">
        <v>12</v>
      </c>
      <c r="K7344" s="2" t="s">
        <v>12</v>
      </c>
    </row>
    <row r="7345" spans="1:11" ht="12.5" x14ac:dyDescent="0.25">
      <c r="A7345" s="3" t="e">
        <f ca="1"/>
        <v>#NAME?</v>
      </c>
      <c r="B7345" s="2" t="s">
        <v>12</v>
      </c>
      <c r="C7345" s="2" t="s">
        <v>12</v>
      </c>
      <c r="D7345" s="2" t="s">
        <v>12</v>
      </c>
      <c r="E7345" s="2" t="s">
        <v>12</v>
      </c>
      <c r="F7345" s="2" t="s">
        <v>12</v>
      </c>
      <c r="G7345" s="2" t="s">
        <v>12</v>
      </c>
      <c r="H7345" s="2" t="s">
        <v>12</v>
      </c>
      <c r="I7345" s="2" t="s">
        <v>12</v>
      </c>
      <c r="J7345" s="2" t="s">
        <v>12</v>
      </c>
      <c r="K7345" s="2" t="s">
        <v>12</v>
      </c>
    </row>
    <row r="7346" spans="1:11" ht="12.5" x14ac:dyDescent="0.25">
      <c r="A7346" s="3" t="e">
        <f ca="1"/>
        <v>#NAME?</v>
      </c>
      <c r="B7346" s="2" t="s">
        <v>12</v>
      </c>
      <c r="C7346" s="2" t="s">
        <v>12</v>
      </c>
      <c r="D7346" s="2" t="s">
        <v>12</v>
      </c>
      <c r="E7346" s="2" t="s">
        <v>12</v>
      </c>
      <c r="F7346" s="2" t="s">
        <v>12</v>
      </c>
      <c r="G7346" s="2" t="s">
        <v>12</v>
      </c>
      <c r="H7346" s="2" t="s">
        <v>12</v>
      </c>
      <c r="I7346" s="2" t="s">
        <v>12</v>
      </c>
      <c r="J7346" s="2" t="s">
        <v>12</v>
      </c>
      <c r="K7346" s="2" t="s">
        <v>12</v>
      </c>
    </row>
    <row r="7347" spans="1:11" ht="12.5" x14ac:dyDescent="0.25">
      <c r="A7347" s="3" t="e">
        <f ca="1"/>
        <v>#NAME?</v>
      </c>
      <c r="B7347" s="2" t="s">
        <v>12</v>
      </c>
      <c r="C7347" s="2" t="s">
        <v>12</v>
      </c>
      <c r="D7347" s="2" t="s">
        <v>12</v>
      </c>
      <c r="E7347" s="2" t="s">
        <v>12</v>
      </c>
      <c r="F7347" s="2" t="s">
        <v>12</v>
      </c>
      <c r="G7347" s="2" t="s">
        <v>12</v>
      </c>
      <c r="H7347" s="2" t="s">
        <v>12</v>
      </c>
      <c r="I7347" s="2" t="s">
        <v>12</v>
      </c>
      <c r="J7347" s="2" t="s">
        <v>12</v>
      </c>
      <c r="K7347" s="2" t="s">
        <v>12</v>
      </c>
    </row>
    <row r="7348" spans="1:11" ht="12.5" x14ac:dyDescent="0.25">
      <c r="A7348" s="3" t="e">
        <f ca="1"/>
        <v>#NAME?</v>
      </c>
      <c r="B7348" s="2" t="s">
        <v>12</v>
      </c>
      <c r="C7348" s="2" t="s">
        <v>12</v>
      </c>
      <c r="D7348" s="2" t="s">
        <v>12</v>
      </c>
      <c r="E7348" s="2" t="s">
        <v>12</v>
      </c>
      <c r="F7348" s="2" t="s">
        <v>12</v>
      </c>
      <c r="G7348" s="2" t="s">
        <v>12</v>
      </c>
      <c r="H7348" s="2" t="s">
        <v>12</v>
      </c>
      <c r="I7348" s="2" t="s">
        <v>12</v>
      </c>
      <c r="J7348" s="2" t="s">
        <v>12</v>
      </c>
      <c r="K7348" s="2" t="s">
        <v>12</v>
      </c>
    </row>
    <row r="7349" spans="1:11" ht="12.5" x14ac:dyDescent="0.25">
      <c r="A7349" s="3" t="e">
        <f ca="1"/>
        <v>#NAME?</v>
      </c>
      <c r="B7349" s="2" t="s">
        <v>12</v>
      </c>
      <c r="C7349" s="2" t="s">
        <v>12</v>
      </c>
      <c r="D7349" s="2" t="s">
        <v>12</v>
      </c>
      <c r="E7349" s="2" t="s">
        <v>12</v>
      </c>
      <c r="F7349" s="2" t="s">
        <v>12</v>
      </c>
      <c r="G7349" s="2" t="s">
        <v>12</v>
      </c>
      <c r="H7349" s="2" t="s">
        <v>12</v>
      </c>
      <c r="I7349" s="2" t="s">
        <v>12</v>
      </c>
      <c r="J7349" s="2" t="s">
        <v>12</v>
      </c>
      <c r="K7349" s="2" t="s">
        <v>12</v>
      </c>
    </row>
    <row r="7350" spans="1:11" ht="12.5" x14ac:dyDescent="0.25">
      <c r="A7350" s="3" t="e">
        <f ca="1"/>
        <v>#NAME?</v>
      </c>
      <c r="B7350" s="2" t="s">
        <v>12</v>
      </c>
      <c r="C7350" s="2" t="s">
        <v>12</v>
      </c>
      <c r="D7350" s="2" t="s">
        <v>12</v>
      </c>
      <c r="E7350" s="2" t="s">
        <v>12</v>
      </c>
      <c r="F7350" s="2" t="s">
        <v>12</v>
      </c>
      <c r="G7350" s="2" t="s">
        <v>12</v>
      </c>
      <c r="H7350" s="2" t="s">
        <v>12</v>
      </c>
      <c r="I7350" s="2" t="s">
        <v>12</v>
      </c>
      <c r="J7350" s="2" t="s">
        <v>12</v>
      </c>
      <c r="K7350" s="2" t="s">
        <v>12</v>
      </c>
    </row>
    <row r="7351" spans="1:11" ht="12.5" x14ac:dyDescent="0.25">
      <c r="A7351" s="3" t="e">
        <f ca="1"/>
        <v>#NAME?</v>
      </c>
      <c r="B7351" s="2" t="s">
        <v>12</v>
      </c>
      <c r="C7351" s="2" t="s">
        <v>12</v>
      </c>
      <c r="D7351" s="2" t="s">
        <v>12</v>
      </c>
      <c r="E7351" s="2" t="s">
        <v>12</v>
      </c>
      <c r="F7351" s="2" t="s">
        <v>12</v>
      </c>
      <c r="G7351" s="2" t="s">
        <v>12</v>
      </c>
      <c r="H7351" s="2" t="s">
        <v>12</v>
      </c>
      <c r="I7351" s="2" t="s">
        <v>12</v>
      </c>
      <c r="J7351" s="2" t="s">
        <v>12</v>
      </c>
      <c r="K7351" s="2" t="s">
        <v>12</v>
      </c>
    </row>
    <row r="7352" spans="1:11" ht="12.5" x14ac:dyDescent="0.25">
      <c r="A7352" s="3" t="e">
        <f ca="1"/>
        <v>#NAME?</v>
      </c>
      <c r="B7352" s="2" t="s">
        <v>12</v>
      </c>
      <c r="C7352" s="2" t="s">
        <v>12</v>
      </c>
      <c r="D7352" s="2" t="s">
        <v>12</v>
      </c>
      <c r="E7352" s="2" t="s">
        <v>12</v>
      </c>
      <c r="F7352" s="2" t="s">
        <v>12</v>
      </c>
      <c r="G7352" s="2" t="s">
        <v>12</v>
      </c>
      <c r="H7352" s="2" t="s">
        <v>12</v>
      </c>
      <c r="I7352" s="2" t="s">
        <v>12</v>
      </c>
      <c r="J7352" s="2" t="s">
        <v>12</v>
      </c>
      <c r="K7352" s="2" t="s">
        <v>12</v>
      </c>
    </row>
    <row r="7353" spans="1:11" ht="12.5" x14ac:dyDescent="0.25">
      <c r="A7353" s="3" t="e">
        <f ca="1"/>
        <v>#NAME?</v>
      </c>
      <c r="B7353" s="2" t="s">
        <v>12</v>
      </c>
      <c r="C7353" s="2" t="s">
        <v>12</v>
      </c>
      <c r="D7353" s="2" t="s">
        <v>12</v>
      </c>
      <c r="E7353" s="2" t="s">
        <v>12</v>
      </c>
      <c r="F7353" s="2" t="s">
        <v>12</v>
      </c>
      <c r="G7353" s="2" t="s">
        <v>12</v>
      </c>
      <c r="H7353" s="2" t="s">
        <v>12</v>
      </c>
      <c r="I7353" s="2" t="s">
        <v>12</v>
      </c>
      <c r="J7353" s="2" t="s">
        <v>12</v>
      </c>
      <c r="K7353" s="2" t="s">
        <v>12</v>
      </c>
    </row>
    <row r="7354" spans="1:11" ht="12.5" x14ac:dyDescent="0.25">
      <c r="A7354" s="3" t="e">
        <f ca="1"/>
        <v>#NAME?</v>
      </c>
      <c r="B7354" s="2" t="s">
        <v>12</v>
      </c>
      <c r="C7354" s="2" t="s">
        <v>12</v>
      </c>
      <c r="D7354" s="2" t="s">
        <v>12</v>
      </c>
      <c r="E7354" s="2" t="s">
        <v>12</v>
      </c>
      <c r="F7354" s="2" t="s">
        <v>12</v>
      </c>
      <c r="G7354" s="2" t="s">
        <v>12</v>
      </c>
      <c r="H7354" s="2" t="s">
        <v>12</v>
      </c>
      <c r="I7354" s="2" t="s">
        <v>12</v>
      </c>
      <c r="J7354" s="2" t="s">
        <v>12</v>
      </c>
      <c r="K7354" s="2" t="s">
        <v>12</v>
      </c>
    </row>
    <row r="7355" spans="1:11" ht="12.5" x14ac:dyDescent="0.25">
      <c r="A7355" s="3" t="e">
        <f ca="1"/>
        <v>#NAME?</v>
      </c>
      <c r="B7355" s="2" t="s">
        <v>12</v>
      </c>
      <c r="C7355" s="2" t="s">
        <v>12</v>
      </c>
      <c r="D7355" s="2" t="s">
        <v>12</v>
      </c>
      <c r="E7355" s="2" t="s">
        <v>12</v>
      </c>
      <c r="F7355" s="2" t="s">
        <v>12</v>
      </c>
      <c r="G7355" s="2" t="s">
        <v>12</v>
      </c>
      <c r="H7355" s="2" t="s">
        <v>12</v>
      </c>
      <c r="I7355" s="2" t="s">
        <v>12</v>
      </c>
      <c r="J7355" s="2" t="s">
        <v>12</v>
      </c>
      <c r="K7355" s="2" t="s">
        <v>12</v>
      </c>
    </row>
    <row r="7356" spans="1:11" ht="12.5" x14ac:dyDescent="0.25">
      <c r="A7356" s="3" t="e">
        <f ca="1"/>
        <v>#NAME?</v>
      </c>
      <c r="B7356" s="2" t="s">
        <v>12</v>
      </c>
      <c r="C7356" s="2" t="s">
        <v>12</v>
      </c>
      <c r="D7356" s="2" t="s">
        <v>12</v>
      </c>
      <c r="E7356" s="2" t="s">
        <v>12</v>
      </c>
      <c r="F7356" s="2" t="s">
        <v>12</v>
      </c>
      <c r="G7356" s="2" t="s">
        <v>12</v>
      </c>
      <c r="H7356" s="2" t="s">
        <v>12</v>
      </c>
      <c r="I7356" s="2" t="s">
        <v>12</v>
      </c>
      <c r="J7356" s="2" t="s">
        <v>12</v>
      </c>
      <c r="K7356" s="2" t="s">
        <v>12</v>
      </c>
    </row>
    <row r="7357" spans="1:11" ht="12.5" x14ac:dyDescent="0.25">
      <c r="A7357" s="3" t="e">
        <f ca="1"/>
        <v>#NAME?</v>
      </c>
      <c r="B7357" s="2" t="s">
        <v>12</v>
      </c>
      <c r="C7357" s="2" t="s">
        <v>12</v>
      </c>
      <c r="D7357" s="2" t="s">
        <v>12</v>
      </c>
      <c r="E7357" s="2" t="s">
        <v>12</v>
      </c>
      <c r="F7357" s="2" t="s">
        <v>12</v>
      </c>
      <c r="G7357" s="2" t="s">
        <v>12</v>
      </c>
      <c r="H7357" s="2" t="s">
        <v>12</v>
      </c>
      <c r="I7357" s="2" t="s">
        <v>12</v>
      </c>
      <c r="J7357" s="2" t="s">
        <v>12</v>
      </c>
      <c r="K7357" s="2" t="s">
        <v>12</v>
      </c>
    </row>
    <row r="7358" spans="1:11" ht="12.5" x14ac:dyDescent="0.25">
      <c r="A7358" s="3" t="e">
        <f ca="1"/>
        <v>#NAME?</v>
      </c>
      <c r="B7358" s="2" t="s">
        <v>12</v>
      </c>
      <c r="C7358" s="2" t="s">
        <v>12</v>
      </c>
      <c r="D7358" s="2" t="s">
        <v>12</v>
      </c>
      <c r="E7358" s="2" t="s">
        <v>12</v>
      </c>
      <c r="F7358" s="2" t="s">
        <v>12</v>
      </c>
      <c r="G7358" s="2" t="s">
        <v>12</v>
      </c>
      <c r="H7358" s="2" t="s">
        <v>12</v>
      </c>
      <c r="I7358" s="2" t="s">
        <v>12</v>
      </c>
      <c r="J7358" s="2" t="s">
        <v>12</v>
      </c>
      <c r="K7358" s="2" t="s">
        <v>12</v>
      </c>
    </row>
    <row r="7359" spans="1:11" ht="12.5" x14ac:dyDescent="0.25">
      <c r="A7359" s="3" t="e">
        <f ca="1"/>
        <v>#NAME?</v>
      </c>
      <c r="B7359" s="2" t="s">
        <v>12</v>
      </c>
      <c r="C7359" s="2" t="s">
        <v>12</v>
      </c>
      <c r="D7359" s="2" t="s">
        <v>12</v>
      </c>
      <c r="E7359" s="2" t="s">
        <v>12</v>
      </c>
      <c r="F7359" s="2" t="s">
        <v>12</v>
      </c>
      <c r="G7359" s="2" t="s">
        <v>12</v>
      </c>
      <c r="H7359" s="2" t="s">
        <v>12</v>
      </c>
      <c r="I7359" s="2" t="s">
        <v>12</v>
      </c>
      <c r="J7359" s="2" t="s">
        <v>12</v>
      </c>
      <c r="K7359" s="2" t="s">
        <v>12</v>
      </c>
    </row>
    <row r="7360" spans="1:11" ht="12.5" x14ac:dyDescent="0.25">
      <c r="A7360" s="3" t="e">
        <f ca="1"/>
        <v>#NAME?</v>
      </c>
      <c r="B7360" s="2" t="s">
        <v>12</v>
      </c>
      <c r="C7360" s="2" t="s">
        <v>12</v>
      </c>
      <c r="D7360" s="2" t="s">
        <v>12</v>
      </c>
      <c r="E7360" s="2" t="s">
        <v>12</v>
      </c>
      <c r="F7360" s="2" t="s">
        <v>12</v>
      </c>
      <c r="G7360" s="2" t="s">
        <v>12</v>
      </c>
      <c r="H7360" s="2" t="s">
        <v>12</v>
      </c>
      <c r="I7360" s="2" t="s">
        <v>12</v>
      </c>
      <c r="J7360" s="2" t="s">
        <v>12</v>
      </c>
      <c r="K7360" s="2" t="s">
        <v>12</v>
      </c>
    </row>
    <row r="7361" spans="1:11" ht="12.5" x14ac:dyDescent="0.25">
      <c r="A7361" s="3" t="e">
        <f ca="1"/>
        <v>#NAME?</v>
      </c>
      <c r="B7361" s="2" t="s">
        <v>12</v>
      </c>
      <c r="C7361" s="2" t="s">
        <v>12</v>
      </c>
      <c r="D7361" s="2" t="s">
        <v>12</v>
      </c>
      <c r="E7361" s="2" t="s">
        <v>12</v>
      </c>
      <c r="F7361" s="2" t="s">
        <v>12</v>
      </c>
      <c r="G7361" s="2" t="s">
        <v>12</v>
      </c>
      <c r="H7361" s="2" t="s">
        <v>12</v>
      </c>
      <c r="I7361" s="2" t="s">
        <v>12</v>
      </c>
      <c r="J7361" s="2" t="s">
        <v>12</v>
      </c>
      <c r="K7361" s="2" t="s">
        <v>12</v>
      </c>
    </row>
    <row r="7362" spans="1:11" ht="12.5" x14ac:dyDescent="0.25">
      <c r="A7362" s="3" t="e">
        <f ca="1"/>
        <v>#NAME?</v>
      </c>
      <c r="B7362" s="2" t="s">
        <v>12</v>
      </c>
      <c r="C7362" s="2" t="s">
        <v>12</v>
      </c>
      <c r="D7362" s="2" t="s">
        <v>12</v>
      </c>
      <c r="E7362" s="2" t="s">
        <v>12</v>
      </c>
      <c r="F7362" s="2" t="s">
        <v>12</v>
      </c>
      <c r="G7362" s="2" t="s">
        <v>12</v>
      </c>
      <c r="H7362" s="2" t="s">
        <v>12</v>
      </c>
      <c r="I7362" s="2" t="s">
        <v>12</v>
      </c>
      <c r="J7362" s="2" t="s">
        <v>12</v>
      </c>
      <c r="K7362" s="2" t="s">
        <v>12</v>
      </c>
    </row>
    <row r="7363" spans="1:11" ht="12.5" x14ac:dyDescent="0.25">
      <c r="A7363" s="3" t="e">
        <f ca="1"/>
        <v>#NAME?</v>
      </c>
      <c r="B7363" s="2" t="s">
        <v>12</v>
      </c>
      <c r="C7363" s="2" t="s">
        <v>12</v>
      </c>
      <c r="D7363" s="2" t="s">
        <v>12</v>
      </c>
      <c r="E7363" s="2" t="s">
        <v>12</v>
      </c>
      <c r="F7363" s="2" t="s">
        <v>12</v>
      </c>
      <c r="G7363" s="2" t="s">
        <v>12</v>
      </c>
      <c r="H7363" s="2" t="s">
        <v>12</v>
      </c>
      <c r="I7363" s="2" t="s">
        <v>12</v>
      </c>
      <c r="J7363" s="2" t="s">
        <v>12</v>
      </c>
      <c r="K7363" s="2" t="s">
        <v>12</v>
      </c>
    </row>
    <row r="7364" spans="1:11" ht="12.5" x14ac:dyDescent="0.25">
      <c r="A7364" s="3" t="e">
        <f ca="1"/>
        <v>#NAME?</v>
      </c>
      <c r="B7364" s="2" t="s">
        <v>12</v>
      </c>
      <c r="C7364" s="2" t="s">
        <v>12</v>
      </c>
      <c r="D7364" s="2" t="s">
        <v>12</v>
      </c>
      <c r="E7364" s="2" t="s">
        <v>12</v>
      </c>
      <c r="F7364" s="2" t="s">
        <v>12</v>
      </c>
      <c r="G7364" s="2" t="s">
        <v>12</v>
      </c>
      <c r="H7364" s="2" t="s">
        <v>12</v>
      </c>
      <c r="I7364" s="2" t="s">
        <v>12</v>
      </c>
      <c r="J7364" s="2" t="s">
        <v>12</v>
      </c>
      <c r="K7364" s="2" t="s">
        <v>12</v>
      </c>
    </row>
    <row r="7365" spans="1:11" ht="12.5" x14ac:dyDescent="0.25">
      <c r="A7365" s="3" t="e">
        <f ca="1"/>
        <v>#NAME?</v>
      </c>
      <c r="B7365" s="2" t="s">
        <v>12</v>
      </c>
      <c r="C7365" s="2" t="s">
        <v>12</v>
      </c>
      <c r="D7365" s="2" t="s">
        <v>12</v>
      </c>
      <c r="E7365" s="2" t="s">
        <v>12</v>
      </c>
      <c r="F7365" s="2" t="s">
        <v>12</v>
      </c>
      <c r="G7365" s="2" t="s">
        <v>12</v>
      </c>
      <c r="H7365" s="2" t="s">
        <v>12</v>
      </c>
      <c r="I7365" s="2" t="s">
        <v>12</v>
      </c>
      <c r="J7365" s="2" t="s">
        <v>12</v>
      </c>
      <c r="K7365" s="2" t="s">
        <v>12</v>
      </c>
    </row>
    <row r="7366" spans="1:11" ht="12.5" x14ac:dyDescent="0.25">
      <c r="A7366" s="3" t="e">
        <f ca="1"/>
        <v>#NAME?</v>
      </c>
      <c r="B7366" s="2" t="s">
        <v>12</v>
      </c>
      <c r="C7366" s="2" t="s">
        <v>12</v>
      </c>
      <c r="D7366" s="2" t="s">
        <v>12</v>
      </c>
      <c r="E7366" s="2" t="s">
        <v>12</v>
      </c>
      <c r="F7366" s="2" t="s">
        <v>12</v>
      </c>
      <c r="G7366" s="2" t="s">
        <v>12</v>
      </c>
      <c r="H7366" s="2" t="s">
        <v>12</v>
      </c>
      <c r="I7366" s="2" t="s">
        <v>12</v>
      </c>
      <c r="J7366" s="2" t="s">
        <v>12</v>
      </c>
      <c r="K7366" s="2" t="s">
        <v>12</v>
      </c>
    </row>
    <row r="7367" spans="1:11" ht="12.5" x14ac:dyDescent="0.25">
      <c r="A7367" s="3" t="e">
        <f ca="1"/>
        <v>#NAME?</v>
      </c>
      <c r="B7367" s="2" t="s">
        <v>12</v>
      </c>
      <c r="C7367" s="2" t="s">
        <v>12</v>
      </c>
      <c r="D7367" s="2" t="s">
        <v>12</v>
      </c>
      <c r="E7367" s="2" t="s">
        <v>12</v>
      </c>
      <c r="F7367" s="2" t="s">
        <v>12</v>
      </c>
      <c r="G7367" s="2" t="s">
        <v>12</v>
      </c>
      <c r="H7367" s="2" t="s">
        <v>12</v>
      </c>
      <c r="I7367" s="2" t="s">
        <v>12</v>
      </c>
      <c r="J7367" s="2" t="s">
        <v>12</v>
      </c>
      <c r="K7367" s="2" t="s">
        <v>12</v>
      </c>
    </row>
    <row r="7368" spans="1:11" ht="12.5" x14ac:dyDescent="0.25">
      <c r="A7368" s="3" t="e">
        <f ca="1"/>
        <v>#NAME?</v>
      </c>
      <c r="B7368" s="2" t="s">
        <v>12</v>
      </c>
      <c r="C7368" s="2" t="s">
        <v>12</v>
      </c>
      <c r="D7368" s="2" t="s">
        <v>12</v>
      </c>
      <c r="E7368" s="2" t="s">
        <v>12</v>
      </c>
      <c r="F7368" s="2" t="s">
        <v>12</v>
      </c>
      <c r="G7368" s="2" t="s">
        <v>12</v>
      </c>
      <c r="H7368" s="2" t="s">
        <v>12</v>
      </c>
      <c r="I7368" s="2" t="s">
        <v>12</v>
      </c>
      <c r="J7368" s="2" t="s">
        <v>12</v>
      </c>
      <c r="K7368" s="2" t="s">
        <v>12</v>
      </c>
    </row>
    <row r="7369" spans="1:11" ht="12.5" x14ac:dyDescent="0.25">
      <c r="A7369" s="3" t="e">
        <f ca="1"/>
        <v>#NAME?</v>
      </c>
      <c r="B7369" s="2" t="s">
        <v>12</v>
      </c>
      <c r="C7369" s="2" t="s">
        <v>12</v>
      </c>
      <c r="D7369" s="2" t="s">
        <v>12</v>
      </c>
      <c r="E7369" s="2" t="s">
        <v>12</v>
      </c>
      <c r="F7369" s="2" t="s">
        <v>12</v>
      </c>
      <c r="G7369" s="2" t="s">
        <v>12</v>
      </c>
      <c r="H7369" s="2" t="s">
        <v>12</v>
      </c>
      <c r="I7369" s="2" t="s">
        <v>12</v>
      </c>
      <c r="J7369" s="2" t="s">
        <v>12</v>
      </c>
      <c r="K7369" s="2" t="s">
        <v>12</v>
      </c>
    </row>
    <row r="7370" spans="1:11" ht="12.5" x14ac:dyDescent="0.25">
      <c r="A7370" s="3" t="e">
        <f ca="1"/>
        <v>#NAME?</v>
      </c>
      <c r="B7370" s="2" t="s">
        <v>12</v>
      </c>
      <c r="C7370" s="2" t="s">
        <v>12</v>
      </c>
      <c r="D7370" s="2" t="s">
        <v>12</v>
      </c>
      <c r="E7370" s="2" t="s">
        <v>12</v>
      </c>
      <c r="F7370" s="2" t="s">
        <v>12</v>
      </c>
      <c r="G7370" s="2" t="s">
        <v>12</v>
      </c>
      <c r="H7370" s="2" t="s">
        <v>12</v>
      </c>
      <c r="I7370" s="2" t="s">
        <v>12</v>
      </c>
      <c r="J7370" s="2" t="s">
        <v>12</v>
      </c>
      <c r="K7370" s="2" t="s">
        <v>12</v>
      </c>
    </row>
    <row r="7371" spans="1:11" ht="12.5" x14ac:dyDescent="0.25">
      <c r="A7371" s="3" t="e">
        <f ca="1"/>
        <v>#NAME?</v>
      </c>
      <c r="B7371" s="2" t="s">
        <v>12</v>
      </c>
      <c r="C7371" s="2" t="s">
        <v>12</v>
      </c>
      <c r="D7371" s="2" t="s">
        <v>12</v>
      </c>
      <c r="E7371" s="2" t="s">
        <v>12</v>
      </c>
      <c r="F7371" s="2" t="s">
        <v>12</v>
      </c>
      <c r="G7371" s="2" t="s">
        <v>12</v>
      </c>
      <c r="H7371" s="2" t="s">
        <v>12</v>
      </c>
      <c r="I7371" s="2" t="s">
        <v>12</v>
      </c>
      <c r="J7371" s="2" t="s">
        <v>12</v>
      </c>
      <c r="K7371" s="2" t="s">
        <v>12</v>
      </c>
    </row>
    <row r="7372" spans="1:11" ht="12.5" x14ac:dyDescent="0.25">
      <c r="A7372" s="3" t="e">
        <f ca="1"/>
        <v>#NAME?</v>
      </c>
      <c r="B7372" s="2" t="s">
        <v>12</v>
      </c>
      <c r="C7372" s="2" t="s">
        <v>12</v>
      </c>
      <c r="D7372" s="2" t="s">
        <v>12</v>
      </c>
      <c r="E7372" s="2" t="s">
        <v>12</v>
      </c>
      <c r="F7372" s="2" t="s">
        <v>12</v>
      </c>
      <c r="G7372" s="2" t="s">
        <v>12</v>
      </c>
      <c r="H7372" s="2" t="s">
        <v>12</v>
      </c>
      <c r="I7372" s="2" t="s">
        <v>12</v>
      </c>
      <c r="J7372" s="2" t="s">
        <v>12</v>
      </c>
      <c r="K7372" s="2" t="s">
        <v>12</v>
      </c>
    </row>
    <row r="7373" spans="1:11" ht="12.5" x14ac:dyDescent="0.25">
      <c r="A7373" s="3" t="e">
        <f ca="1"/>
        <v>#NAME?</v>
      </c>
      <c r="B7373" s="2" t="s">
        <v>12</v>
      </c>
      <c r="C7373" s="2" t="s">
        <v>12</v>
      </c>
      <c r="D7373" s="2" t="s">
        <v>12</v>
      </c>
      <c r="E7373" s="2" t="s">
        <v>12</v>
      </c>
      <c r="F7373" s="2" t="s">
        <v>12</v>
      </c>
      <c r="G7373" s="2" t="s">
        <v>12</v>
      </c>
      <c r="H7373" s="2" t="s">
        <v>12</v>
      </c>
      <c r="I7373" s="2" t="s">
        <v>12</v>
      </c>
      <c r="J7373" s="2" t="s">
        <v>12</v>
      </c>
      <c r="K7373" s="2" t="s">
        <v>12</v>
      </c>
    </row>
    <row r="7374" spans="1:11" ht="12.5" x14ac:dyDescent="0.25">
      <c r="A7374" s="3" t="e">
        <f ca="1"/>
        <v>#NAME?</v>
      </c>
      <c r="B7374" s="2" t="s">
        <v>12</v>
      </c>
      <c r="C7374" s="2" t="s">
        <v>12</v>
      </c>
      <c r="D7374" s="2" t="s">
        <v>12</v>
      </c>
      <c r="E7374" s="2" t="s">
        <v>12</v>
      </c>
      <c r="F7374" s="2" t="s">
        <v>12</v>
      </c>
      <c r="G7374" s="2" t="s">
        <v>12</v>
      </c>
      <c r="H7374" s="2" t="s">
        <v>12</v>
      </c>
      <c r="I7374" s="2" t="s">
        <v>12</v>
      </c>
      <c r="J7374" s="2" t="s">
        <v>12</v>
      </c>
      <c r="K7374" s="2" t="s">
        <v>12</v>
      </c>
    </row>
    <row r="7375" spans="1:11" ht="12.5" x14ac:dyDescent="0.25">
      <c r="A7375" s="3" t="e">
        <f ca="1"/>
        <v>#NAME?</v>
      </c>
      <c r="B7375" s="2" t="s">
        <v>12</v>
      </c>
      <c r="C7375" s="2" t="s">
        <v>12</v>
      </c>
      <c r="D7375" s="2" t="s">
        <v>12</v>
      </c>
      <c r="E7375" s="2" t="s">
        <v>12</v>
      </c>
      <c r="F7375" s="2" t="s">
        <v>12</v>
      </c>
      <c r="G7375" s="2" t="s">
        <v>12</v>
      </c>
      <c r="H7375" s="2" t="s">
        <v>12</v>
      </c>
      <c r="I7375" s="2" t="s">
        <v>12</v>
      </c>
      <c r="J7375" s="2" t="s">
        <v>12</v>
      </c>
      <c r="K7375" s="2" t="s">
        <v>12</v>
      </c>
    </row>
    <row r="7376" spans="1:11" ht="12.5" x14ac:dyDescent="0.25">
      <c r="A7376" s="3" t="e">
        <f ca="1"/>
        <v>#NAME?</v>
      </c>
      <c r="B7376" s="2" t="s">
        <v>12</v>
      </c>
      <c r="C7376" s="2" t="s">
        <v>12</v>
      </c>
      <c r="D7376" s="2" t="s">
        <v>12</v>
      </c>
      <c r="E7376" s="2" t="s">
        <v>12</v>
      </c>
      <c r="F7376" s="2" t="s">
        <v>12</v>
      </c>
      <c r="G7376" s="2" t="s">
        <v>12</v>
      </c>
      <c r="H7376" s="2" t="s">
        <v>12</v>
      </c>
      <c r="I7376" s="2" t="s">
        <v>12</v>
      </c>
      <c r="J7376" s="2" t="s">
        <v>12</v>
      </c>
      <c r="K7376" s="2" t="s">
        <v>12</v>
      </c>
    </row>
    <row r="7377" spans="1:11" ht="12.5" x14ac:dyDescent="0.25">
      <c r="A7377" s="3" t="e">
        <f ca="1"/>
        <v>#NAME?</v>
      </c>
      <c r="B7377" s="2" t="s">
        <v>12</v>
      </c>
      <c r="C7377" s="2" t="s">
        <v>12</v>
      </c>
      <c r="D7377" s="2" t="s">
        <v>12</v>
      </c>
      <c r="E7377" s="2" t="s">
        <v>12</v>
      </c>
      <c r="F7377" s="2" t="s">
        <v>12</v>
      </c>
      <c r="G7377" s="2" t="s">
        <v>12</v>
      </c>
      <c r="H7377" s="2" t="s">
        <v>12</v>
      </c>
      <c r="I7377" s="2" t="s">
        <v>12</v>
      </c>
      <c r="J7377" s="2" t="s">
        <v>12</v>
      </c>
      <c r="K7377" s="2" t="s">
        <v>12</v>
      </c>
    </row>
    <row r="7378" spans="1:11" ht="12.5" x14ac:dyDescent="0.25">
      <c r="A7378" s="3" t="e">
        <f ca="1"/>
        <v>#NAME?</v>
      </c>
      <c r="B7378" s="2" t="s">
        <v>12</v>
      </c>
      <c r="C7378" s="2" t="s">
        <v>12</v>
      </c>
      <c r="D7378" s="2" t="s">
        <v>12</v>
      </c>
      <c r="E7378" s="2" t="s">
        <v>12</v>
      </c>
      <c r="F7378" s="2" t="s">
        <v>12</v>
      </c>
      <c r="G7378" s="2" t="s">
        <v>12</v>
      </c>
      <c r="H7378" s="2" t="s">
        <v>12</v>
      </c>
      <c r="I7378" s="2" t="s">
        <v>12</v>
      </c>
      <c r="J7378" s="2" t="s">
        <v>12</v>
      </c>
      <c r="K7378" s="2" t="s">
        <v>12</v>
      </c>
    </row>
    <row r="7379" spans="1:11" ht="12.5" x14ac:dyDescent="0.25">
      <c r="A7379" s="3" t="e">
        <f ca="1"/>
        <v>#NAME?</v>
      </c>
      <c r="B7379" s="2" t="s">
        <v>12</v>
      </c>
      <c r="C7379" s="2" t="s">
        <v>12</v>
      </c>
      <c r="D7379" s="2" t="s">
        <v>12</v>
      </c>
      <c r="E7379" s="2" t="s">
        <v>12</v>
      </c>
      <c r="F7379" s="2" t="s">
        <v>12</v>
      </c>
      <c r="G7379" s="2" t="s">
        <v>12</v>
      </c>
      <c r="H7379" s="2" t="s">
        <v>12</v>
      </c>
      <c r="I7379" s="2" t="s">
        <v>12</v>
      </c>
      <c r="J7379" s="2" t="s">
        <v>12</v>
      </c>
      <c r="K7379" s="2" t="s">
        <v>12</v>
      </c>
    </row>
    <row r="7380" spans="1:11" ht="12.5" x14ac:dyDescent="0.25">
      <c r="A7380" s="3" t="e">
        <f ca="1"/>
        <v>#NAME?</v>
      </c>
      <c r="B7380" s="2" t="s">
        <v>12</v>
      </c>
      <c r="C7380" s="2" t="s">
        <v>12</v>
      </c>
      <c r="D7380" s="2" t="s">
        <v>12</v>
      </c>
      <c r="E7380" s="2" t="s">
        <v>12</v>
      </c>
      <c r="F7380" s="2" t="s">
        <v>12</v>
      </c>
      <c r="G7380" s="2" t="s">
        <v>12</v>
      </c>
      <c r="H7380" s="2" t="s">
        <v>12</v>
      </c>
      <c r="I7380" s="2" t="s">
        <v>12</v>
      </c>
      <c r="J7380" s="2" t="s">
        <v>12</v>
      </c>
      <c r="K7380" s="2" t="s">
        <v>12</v>
      </c>
    </row>
    <row r="7381" spans="1:11" ht="12.5" x14ac:dyDescent="0.25">
      <c r="A7381" s="3" t="e">
        <f ca="1"/>
        <v>#NAME?</v>
      </c>
      <c r="B7381" s="2" t="s">
        <v>12</v>
      </c>
      <c r="C7381" s="2" t="s">
        <v>12</v>
      </c>
      <c r="D7381" s="2" t="s">
        <v>12</v>
      </c>
      <c r="E7381" s="2" t="s">
        <v>12</v>
      </c>
      <c r="F7381" s="2" t="s">
        <v>12</v>
      </c>
      <c r="G7381" s="2" t="s">
        <v>12</v>
      </c>
      <c r="H7381" s="2" t="s">
        <v>12</v>
      </c>
      <c r="I7381" s="2" t="s">
        <v>12</v>
      </c>
      <c r="J7381" s="2" t="s">
        <v>12</v>
      </c>
      <c r="K7381" s="2" t="s">
        <v>12</v>
      </c>
    </row>
    <row r="7382" spans="1:11" ht="12.5" x14ac:dyDescent="0.25">
      <c r="A7382" s="3" t="e">
        <f ca="1"/>
        <v>#NAME?</v>
      </c>
      <c r="B7382" s="2" t="s">
        <v>12</v>
      </c>
      <c r="C7382" s="2" t="s">
        <v>12</v>
      </c>
      <c r="D7382" s="2" t="s">
        <v>12</v>
      </c>
      <c r="E7382" s="2" t="s">
        <v>12</v>
      </c>
      <c r="F7382" s="2" t="s">
        <v>12</v>
      </c>
      <c r="G7382" s="2" t="s">
        <v>12</v>
      </c>
      <c r="H7382" s="2" t="s">
        <v>12</v>
      </c>
      <c r="I7382" s="2" t="s">
        <v>12</v>
      </c>
      <c r="J7382" s="2" t="s">
        <v>12</v>
      </c>
      <c r="K7382" s="2" t="s">
        <v>12</v>
      </c>
    </row>
    <row r="7383" spans="1:11" ht="12.5" x14ac:dyDescent="0.25">
      <c r="A7383" s="3" t="e">
        <f ca="1"/>
        <v>#NAME?</v>
      </c>
      <c r="B7383" s="2" t="s">
        <v>12</v>
      </c>
      <c r="C7383" s="2" t="s">
        <v>12</v>
      </c>
      <c r="D7383" s="2" t="s">
        <v>12</v>
      </c>
      <c r="E7383" s="2" t="s">
        <v>12</v>
      </c>
      <c r="F7383" s="2" t="s">
        <v>12</v>
      </c>
      <c r="G7383" s="2" t="s">
        <v>12</v>
      </c>
      <c r="H7383" s="2" t="s">
        <v>12</v>
      </c>
      <c r="I7383" s="2" t="s">
        <v>12</v>
      </c>
      <c r="J7383" s="2" t="s">
        <v>12</v>
      </c>
      <c r="K7383" s="2" t="s">
        <v>12</v>
      </c>
    </row>
    <row r="7384" spans="1:11" ht="12.5" x14ac:dyDescent="0.25">
      <c r="A7384" s="3" t="e">
        <f ca="1"/>
        <v>#NAME?</v>
      </c>
      <c r="B7384" s="2" t="s">
        <v>12</v>
      </c>
      <c r="C7384" s="2" t="s">
        <v>12</v>
      </c>
      <c r="D7384" s="2" t="s">
        <v>12</v>
      </c>
      <c r="E7384" s="2" t="s">
        <v>12</v>
      </c>
      <c r="F7384" s="2" t="s">
        <v>12</v>
      </c>
      <c r="G7384" s="2" t="s">
        <v>12</v>
      </c>
      <c r="H7384" s="2" t="s">
        <v>12</v>
      </c>
      <c r="I7384" s="2" t="s">
        <v>12</v>
      </c>
      <c r="J7384" s="2" t="s">
        <v>12</v>
      </c>
      <c r="K7384" s="2" t="s">
        <v>12</v>
      </c>
    </row>
    <row r="7385" spans="1:11" ht="12.5" x14ac:dyDescent="0.25">
      <c r="A7385" s="3" t="e">
        <f ca="1"/>
        <v>#NAME?</v>
      </c>
      <c r="B7385" s="2" t="s">
        <v>12</v>
      </c>
      <c r="C7385" s="2" t="s">
        <v>12</v>
      </c>
      <c r="D7385" s="2" t="s">
        <v>12</v>
      </c>
      <c r="E7385" s="2" t="s">
        <v>12</v>
      </c>
      <c r="F7385" s="2" t="s">
        <v>12</v>
      </c>
      <c r="G7385" s="2" t="s">
        <v>12</v>
      </c>
      <c r="H7385" s="2" t="s">
        <v>12</v>
      </c>
      <c r="I7385" s="2" t="s">
        <v>12</v>
      </c>
      <c r="J7385" s="2" t="s">
        <v>12</v>
      </c>
      <c r="K7385" s="2" t="s">
        <v>12</v>
      </c>
    </row>
    <row r="7386" spans="1:11" ht="12.5" x14ac:dyDescent="0.25">
      <c r="A7386" s="3" t="e">
        <f ca="1"/>
        <v>#NAME?</v>
      </c>
      <c r="B7386" s="2" t="s">
        <v>12</v>
      </c>
      <c r="C7386" s="2" t="s">
        <v>12</v>
      </c>
      <c r="D7386" s="2" t="s">
        <v>12</v>
      </c>
      <c r="E7386" s="2" t="s">
        <v>12</v>
      </c>
      <c r="F7386" s="2" t="s">
        <v>12</v>
      </c>
      <c r="G7386" s="2" t="s">
        <v>12</v>
      </c>
      <c r="H7386" s="2" t="s">
        <v>12</v>
      </c>
      <c r="I7386" s="2" t="s">
        <v>12</v>
      </c>
      <c r="J7386" s="2" t="s">
        <v>12</v>
      </c>
      <c r="K7386" s="2" t="s">
        <v>12</v>
      </c>
    </row>
    <row r="7387" spans="1:11" ht="12.5" x14ac:dyDescent="0.25">
      <c r="A7387" s="3" t="e">
        <f ca="1"/>
        <v>#NAME?</v>
      </c>
      <c r="B7387" s="2" t="s">
        <v>12</v>
      </c>
      <c r="C7387" s="2" t="s">
        <v>12</v>
      </c>
      <c r="D7387" s="2" t="s">
        <v>12</v>
      </c>
      <c r="E7387" s="2" t="s">
        <v>12</v>
      </c>
      <c r="F7387" s="2" t="s">
        <v>12</v>
      </c>
      <c r="G7387" s="2" t="s">
        <v>12</v>
      </c>
      <c r="H7387" s="2" t="s">
        <v>12</v>
      </c>
      <c r="I7387" s="2" t="s">
        <v>12</v>
      </c>
      <c r="J7387" s="2" t="s">
        <v>12</v>
      </c>
      <c r="K7387" s="2" t="s">
        <v>12</v>
      </c>
    </row>
    <row r="7388" spans="1:11" ht="12.5" x14ac:dyDescent="0.25">
      <c r="A7388" s="3" t="e">
        <f ca="1"/>
        <v>#NAME?</v>
      </c>
      <c r="B7388" s="2" t="s">
        <v>12</v>
      </c>
      <c r="C7388" s="2" t="s">
        <v>12</v>
      </c>
      <c r="D7388" s="2" t="s">
        <v>12</v>
      </c>
      <c r="E7388" s="2" t="s">
        <v>12</v>
      </c>
      <c r="F7388" s="2" t="s">
        <v>12</v>
      </c>
      <c r="G7388" s="2" t="s">
        <v>12</v>
      </c>
      <c r="H7388" s="2" t="s">
        <v>12</v>
      </c>
      <c r="I7388" s="2" t="s">
        <v>12</v>
      </c>
      <c r="J7388" s="2" t="s">
        <v>12</v>
      </c>
      <c r="K7388" s="2" t="s">
        <v>12</v>
      </c>
    </row>
    <row r="7389" spans="1:11" ht="12.5" x14ac:dyDescent="0.25">
      <c r="A7389" s="3" t="e">
        <f ca="1"/>
        <v>#NAME?</v>
      </c>
      <c r="B7389" s="2" t="s">
        <v>12</v>
      </c>
      <c r="C7389" s="2" t="s">
        <v>12</v>
      </c>
      <c r="D7389" s="2" t="s">
        <v>12</v>
      </c>
      <c r="E7389" s="2" t="s">
        <v>12</v>
      </c>
      <c r="F7389" s="2" t="s">
        <v>12</v>
      </c>
      <c r="G7389" s="2" t="s">
        <v>12</v>
      </c>
      <c r="H7389" s="2" t="s">
        <v>12</v>
      </c>
      <c r="I7389" s="2" t="s">
        <v>12</v>
      </c>
      <c r="J7389" s="2" t="s">
        <v>12</v>
      </c>
      <c r="K7389" s="2" t="s">
        <v>12</v>
      </c>
    </row>
    <row r="7390" spans="1:11" ht="12.5" x14ac:dyDescent="0.25">
      <c r="A7390" s="3" t="e">
        <f ca="1"/>
        <v>#NAME?</v>
      </c>
      <c r="B7390" s="2" t="s">
        <v>12</v>
      </c>
      <c r="C7390" s="2" t="s">
        <v>12</v>
      </c>
      <c r="D7390" s="2" t="s">
        <v>12</v>
      </c>
      <c r="E7390" s="2" t="s">
        <v>12</v>
      </c>
      <c r="F7390" s="2" t="s">
        <v>12</v>
      </c>
      <c r="G7390" s="2" t="s">
        <v>12</v>
      </c>
      <c r="H7390" s="2" t="s">
        <v>12</v>
      </c>
      <c r="I7390" s="2" t="s">
        <v>12</v>
      </c>
      <c r="J7390" s="2" t="s">
        <v>12</v>
      </c>
      <c r="K7390" s="2" t="s">
        <v>12</v>
      </c>
    </row>
    <row r="7391" spans="1:11" ht="12.5" x14ac:dyDescent="0.25">
      <c r="A7391" s="3" t="e">
        <f ca="1"/>
        <v>#NAME?</v>
      </c>
      <c r="B7391" s="2" t="s">
        <v>12</v>
      </c>
      <c r="C7391" s="2" t="s">
        <v>12</v>
      </c>
      <c r="D7391" s="2" t="s">
        <v>12</v>
      </c>
      <c r="E7391" s="2" t="s">
        <v>12</v>
      </c>
      <c r="F7391" s="2" t="s">
        <v>12</v>
      </c>
      <c r="G7391" s="2" t="s">
        <v>12</v>
      </c>
      <c r="H7391" s="2" t="s">
        <v>12</v>
      </c>
      <c r="I7391" s="2" t="s">
        <v>12</v>
      </c>
      <c r="J7391" s="2" t="s">
        <v>12</v>
      </c>
      <c r="K7391" s="2" t="s">
        <v>12</v>
      </c>
    </row>
    <row r="7392" spans="1:11" ht="12.5" x14ac:dyDescent="0.25">
      <c r="A7392" s="3" t="e">
        <f ca="1"/>
        <v>#NAME?</v>
      </c>
      <c r="B7392" s="2" t="s">
        <v>12</v>
      </c>
      <c r="C7392" s="2" t="s">
        <v>12</v>
      </c>
      <c r="D7392" s="2" t="s">
        <v>12</v>
      </c>
      <c r="E7392" s="2" t="s">
        <v>12</v>
      </c>
      <c r="F7392" s="2" t="s">
        <v>12</v>
      </c>
      <c r="G7392" s="2" t="s">
        <v>12</v>
      </c>
      <c r="H7392" s="2" t="s">
        <v>12</v>
      </c>
      <c r="I7392" s="2" t="s">
        <v>12</v>
      </c>
      <c r="J7392" s="2" t="s">
        <v>12</v>
      </c>
      <c r="K7392" s="2" t="s">
        <v>12</v>
      </c>
    </row>
    <row r="7393" spans="1:11" ht="12.5" x14ac:dyDescent="0.25">
      <c r="A7393" s="3" t="e">
        <f ca="1"/>
        <v>#NAME?</v>
      </c>
      <c r="B7393" s="2" t="s">
        <v>12</v>
      </c>
      <c r="C7393" s="2" t="s">
        <v>12</v>
      </c>
      <c r="D7393" s="2" t="s">
        <v>12</v>
      </c>
      <c r="E7393" s="2" t="s">
        <v>12</v>
      </c>
      <c r="F7393" s="2" t="s">
        <v>12</v>
      </c>
      <c r="G7393" s="2" t="s">
        <v>12</v>
      </c>
      <c r="H7393" s="2" t="s">
        <v>12</v>
      </c>
      <c r="I7393" s="2" t="s">
        <v>12</v>
      </c>
      <c r="J7393" s="2" t="s">
        <v>12</v>
      </c>
      <c r="K7393" s="2" t="s">
        <v>12</v>
      </c>
    </row>
    <row r="7394" spans="1:11" ht="12.5" x14ac:dyDescent="0.25">
      <c r="A7394" s="3" t="e">
        <f ca="1"/>
        <v>#NAME?</v>
      </c>
      <c r="B7394" s="2" t="s">
        <v>12</v>
      </c>
      <c r="C7394" s="2" t="s">
        <v>12</v>
      </c>
      <c r="D7394" s="2" t="s">
        <v>12</v>
      </c>
      <c r="E7394" s="2" t="s">
        <v>12</v>
      </c>
      <c r="F7394" s="2" t="s">
        <v>12</v>
      </c>
      <c r="G7394" s="2" t="s">
        <v>12</v>
      </c>
      <c r="H7394" s="2" t="s">
        <v>12</v>
      </c>
      <c r="I7394" s="2" t="s">
        <v>12</v>
      </c>
      <c r="J7394" s="2" t="s">
        <v>12</v>
      </c>
      <c r="K7394" s="2" t="s">
        <v>12</v>
      </c>
    </row>
    <row r="7395" spans="1:11" ht="12.5" x14ac:dyDescent="0.25">
      <c r="A7395" s="3" t="e">
        <f ca="1"/>
        <v>#NAME?</v>
      </c>
      <c r="B7395" s="2" t="s">
        <v>12</v>
      </c>
      <c r="C7395" s="2" t="s">
        <v>12</v>
      </c>
      <c r="D7395" s="2" t="s">
        <v>12</v>
      </c>
      <c r="E7395" s="2" t="s">
        <v>12</v>
      </c>
      <c r="F7395" s="2" t="s">
        <v>12</v>
      </c>
      <c r="G7395" s="2" t="s">
        <v>12</v>
      </c>
      <c r="H7395" s="2" t="s">
        <v>12</v>
      </c>
      <c r="I7395" s="2" t="s">
        <v>12</v>
      </c>
      <c r="J7395" s="2" t="s">
        <v>12</v>
      </c>
      <c r="K7395" s="2" t="s">
        <v>12</v>
      </c>
    </row>
    <row r="7396" spans="1:11" ht="12.5" x14ac:dyDescent="0.25">
      <c r="A7396" s="3" t="e">
        <f ca="1"/>
        <v>#NAME?</v>
      </c>
      <c r="B7396" s="2" t="s">
        <v>12</v>
      </c>
      <c r="C7396" s="2" t="s">
        <v>12</v>
      </c>
      <c r="D7396" s="2" t="s">
        <v>12</v>
      </c>
      <c r="E7396" s="2" t="s">
        <v>12</v>
      </c>
      <c r="F7396" s="2" t="s">
        <v>12</v>
      </c>
      <c r="G7396" s="2" t="s">
        <v>12</v>
      </c>
      <c r="H7396" s="2" t="s">
        <v>12</v>
      </c>
      <c r="I7396" s="2" t="s">
        <v>12</v>
      </c>
      <c r="J7396" s="2" t="s">
        <v>12</v>
      </c>
      <c r="K7396" s="2" t="s">
        <v>12</v>
      </c>
    </row>
    <row r="7397" spans="1:11" ht="12.5" x14ac:dyDescent="0.25">
      <c r="A7397" s="3" t="e">
        <f ca="1"/>
        <v>#NAME?</v>
      </c>
      <c r="B7397" s="2" t="s">
        <v>12</v>
      </c>
      <c r="C7397" s="2" t="s">
        <v>12</v>
      </c>
      <c r="D7397" s="2" t="s">
        <v>12</v>
      </c>
      <c r="E7397" s="2" t="s">
        <v>12</v>
      </c>
      <c r="F7397" s="2" t="s">
        <v>12</v>
      </c>
      <c r="G7397" s="2" t="s">
        <v>12</v>
      </c>
      <c r="H7397" s="2" t="s">
        <v>12</v>
      </c>
      <c r="I7397" s="2" t="s">
        <v>12</v>
      </c>
      <c r="J7397" s="2" t="s">
        <v>12</v>
      </c>
      <c r="K7397" s="2" t="s">
        <v>12</v>
      </c>
    </row>
    <row r="7398" spans="1:11" ht="12.5" x14ac:dyDescent="0.25">
      <c r="A7398" s="3" t="e">
        <f ca="1"/>
        <v>#NAME?</v>
      </c>
      <c r="B7398" s="2" t="s">
        <v>12</v>
      </c>
      <c r="C7398" s="2" t="s">
        <v>12</v>
      </c>
      <c r="D7398" s="2" t="s">
        <v>12</v>
      </c>
      <c r="E7398" s="2" t="s">
        <v>12</v>
      </c>
      <c r="F7398" s="2" t="s">
        <v>12</v>
      </c>
      <c r="G7398" s="2" t="s">
        <v>12</v>
      </c>
      <c r="H7398" s="2" t="s">
        <v>12</v>
      </c>
      <c r="I7398" s="2" t="s">
        <v>12</v>
      </c>
      <c r="J7398" s="2" t="s">
        <v>12</v>
      </c>
      <c r="K7398" s="2" t="s">
        <v>12</v>
      </c>
    </row>
    <row r="7399" spans="1:11" ht="12.5" x14ac:dyDescent="0.25">
      <c r="A7399" s="3" t="e">
        <f ca="1"/>
        <v>#NAME?</v>
      </c>
      <c r="B7399" s="2" t="s">
        <v>12</v>
      </c>
      <c r="C7399" s="2" t="s">
        <v>12</v>
      </c>
      <c r="D7399" s="2" t="s">
        <v>12</v>
      </c>
      <c r="E7399" s="2" t="s">
        <v>12</v>
      </c>
      <c r="F7399" s="2" t="s">
        <v>12</v>
      </c>
      <c r="G7399" s="2" t="s">
        <v>12</v>
      </c>
      <c r="H7399" s="2" t="s">
        <v>12</v>
      </c>
      <c r="I7399" s="2" t="s">
        <v>12</v>
      </c>
      <c r="J7399" s="2" t="s">
        <v>12</v>
      </c>
      <c r="K7399" s="2" t="s">
        <v>12</v>
      </c>
    </row>
    <row r="7400" spans="1:11" ht="12.5" x14ac:dyDescent="0.25">
      <c r="A7400" s="3" t="e">
        <f ca="1"/>
        <v>#NAME?</v>
      </c>
      <c r="B7400" s="2" t="s">
        <v>12</v>
      </c>
      <c r="C7400" s="2" t="s">
        <v>12</v>
      </c>
      <c r="D7400" s="2" t="s">
        <v>12</v>
      </c>
      <c r="E7400" s="2" t="s">
        <v>12</v>
      </c>
      <c r="F7400" s="2" t="s">
        <v>12</v>
      </c>
      <c r="G7400" s="2" t="s">
        <v>12</v>
      </c>
      <c r="H7400" s="2" t="s">
        <v>12</v>
      </c>
      <c r="I7400" s="2" t="s">
        <v>12</v>
      </c>
      <c r="J7400" s="2" t="s">
        <v>12</v>
      </c>
      <c r="K7400" s="2" t="s">
        <v>12</v>
      </c>
    </row>
    <row r="7401" spans="1:11" ht="12.5" x14ac:dyDescent="0.25">
      <c r="A7401" s="3" t="e">
        <f ca="1"/>
        <v>#NAME?</v>
      </c>
      <c r="B7401" s="2" t="s">
        <v>12</v>
      </c>
      <c r="C7401" s="2" t="s">
        <v>12</v>
      </c>
      <c r="D7401" s="2" t="s">
        <v>12</v>
      </c>
      <c r="E7401" s="2" t="s">
        <v>12</v>
      </c>
      <c r="F7401" s="2" t="s">
        <v>12</v>
      </c>
      <c r="G7401" s="2" t="s">
        <v>12</v>
      </c>
      <c r="H7401" s="2" t="s">
        <v>12</v>
      </c>
      <c r="I7401" s="2" t="s">
        <v>12</v>
      </c>
      <c r="J7401" s="2" t="s">
        <v>12</v>
      </c>
      <c r="K7401" s="2" t="s">
        <v>12</v>
      </c>
    </row>
    <row r="7402" spans="1:11" ht="12.5" x14ac:dyDescent="0.25">
      <c r="A7402" s="3" t="e">
        <f ca="1"/>
        <v>#NAME?</v>
      </c>
      <c r="B7402" s="2" t="s">
        <v>12</v>
      </c>
      <c r="C7402" s="2" t="s">
        <v>12</v>
      </c>
      <c r="D7402" s="2" t="s">
        <v>12</v>
      </c>
      <c r="E7402" s="2" t="s">
        <v>12</v>
      </c>
      <c r="F7402" s="2" t="s">
        <v>12</v>
      </c>
      <c r="G7402" s="2" t="s">
        <v>12</v>
      </c>
      <c r="H7402" s="2" t="s">
        <v>12</v>
      </c>
      <c r="I7402" s="2" t="s">
        <v>12</v>
      </c>
      <c r="J7402" s="2" t="s">
        <v>12</v>
      </c>
      <c r="K7402" s="2" t="s">
        <v>12</v>
      </c>
    </row>
    <row r="7403" spans="1:11" ht="12.5" x14ac:dyDescent="0.25">
      <c r="A7403" s="3" t="e">
        <f ca="1"/>
        <v>#NAME?</v>
      </c>
      <c r="B7403" s="2" t="s">
        <v>12</v>
      </c>
      <c r="C7403" s="2" t="s">
        <v>12</v>
      </c>
      <c r="D7403" s="2" t="s">
        <v>12</v>
      </c>
      <c r="E7403" s="2" t="s">
        <v>12</v>
      </c>
      <c r="F7403" s="2" t="s">
        <v>12</v>
      </c>
      <c r="G7403" s="2" t="s">
        <v>12</v>
      </c>
      <c r="H7403" s="2" t="s">
        <v>12</v>
      </c>
      <c r="I7403" s="2" t="s">
        <v>12</v>
      </c>
      <c r="J7403" s="2" t="s">
        <v>12</v>
      </c>
      <c r="K7403" s="2" t="s">
        <v>12</v>
      </c>
    </row>
    <row r="7404" spans="1:11" ht="12.5" x14ac:dyDescent="0.25">
      <c r="A7404" s="3" t="e">
        <f ca="1"/>
        <v>#NAME?</v>
      </c>
      <c r="B7404" s="2" t="s">
        <v>12</v>
      </c>
      <c r="C7404" s="2" t="s">
        <v>12</v>
      </c>
      <c r="D7404" s="2" t="s">
        <v>12</v>
      </c>
      <c r="E7404" s="2" t="s">
        <v>12</v>
      </c>
      <c r="F7404" s="2" t="s">
        <v>12</v>
      </c>
      <c r="G7404" s="2" t="s">
        <v>12</v>
      </c>
      <c r="H7404" s="2" t="s">
        <v>12</v>
      </c>
      <c r="I7404" s="2" t="s">
        <v>12</v>
      </c>
      <c r="J7404" s="2" t="s">
        <v>12</v>
      </c>
      <c r="K7404" s="2" t="s">
        <v>12</v>
      </c>
    </row>
    <row r="7405" spans="1:11" ht="12.5" x14ac:dyDescent="0.25">
      <c r="A7405" s="3" t="e">
        <f ca="1"/>
        <v>#NAME?</v>
      </c>
      <c r="B7405" s="2" t="s">
        <v>12</v>
      </c>
      <c r="C7405" s="2" t="s">
        <v>12</v>
      </c>
      <c r="D7405" s="2" t="s">
        <v>12</v>
      </c>
      <c r="E7405" s="2" t="s">
        <v>12</v>
      </c>
      <c r="F7405" s="2" t="s">
        <v>12</v>
      </c>
      <c r="G7405" s="2" t="s">
        <v>12</v>
      </c>
      <c r="H7405" s="2" t="s">
        <v>12</v>
      </c>
      <c r="I7405" s="2" t="s">
        <v>12</v>
      </c>
      <c r="J7405" s="2" t="s">
        <v>12</v>
      </c>
      <c r="K7405" s="2" t="s">
        <v>12</v>
      </c>
    </row>
    <row r="7406" spans="1:11" ht="12.5" x14ac:dyDescent="0.25">
      <c r="A7406" s="3" t="e">
        <f ca="1"/>
        <v>#NAME?</v>
      </c>
      <c r="B7406" s="2" t="s">
        <v>12</v>
      </c>
      <c r="C7406" s="2" t="s">
        <v>12</v>
      </c>
      <c r="D7406" s="2" t="s">
        <v>12</v>
      </c>
      <c r="E7406" s="2" t="s">
        <v>12</v>
      </c>
      <c r="F7406" s="2" t="s">
        <v>12</v>
      </c>
      <c r="G7406" s="2" t="s">
        <v>12</v>
      </c>
      <c r="H7406" s="2" t="s">
        <v>12</v>
      </c>
      <c r="I7406" s="2" t="s">
        <v>12</v>
      </c>
      <c r="J7406" s="2" t="s">
        <v>12</v>
      </c>
      <c r="K7406" s="2" t="s">
        <v>12</v>
      </c>
    </row>
    <row r="7407" spans="1:11" ht="12.5" x14ac:dyDescent="0.25">
      <c r="A7407" s="3" t="e">
        <f ca="1"/>
        <v>#NAME?</v>
      </c>
      <c r="B7407" s="2" t="s">
        <v>12</v>
      </c>
      <c r="C7407" s="2" t="s">
        <v>12</v>
      </c>
      <c r="D7407" s="2" t="s">
        <v>12</v>
      </c>
      <c r="E7407" s="2" t="s">
        <v>12</v>
      </c>
      <c r="F7407" s="2" t="s">
        <v>12</v>
      </c>
      <c r="G7407" s="2" t="s">
        <v>12</v>
      </c>
      <c r="H7407" s="2" t="s">
        <v>12</v>
      </c>
      <c r="I7407" s="2" t="s">
        <v>12</v>
      </c>
      <c r="J7407" s="2" t="s">
        <v>12</v>
      </c>
      <c r="K7407" s="2" t="s">
        <v>12</v>
      </c>
    </row>
    <row r="7408" spans="1:11" ht="12.5" x14ac:dyDescent="0.25">
      <c r="A7408" s="3" t="e">
        <f ca="1"/>
        <v>#NAME?</v>
      </c>
      <c r="B7408" s="2" t="s">
        <v>12</v>
      </c>
      <c r="C7408" s="2" t="s">
        <v>12</v>
      </c>
      <c r="D7408" s="2" t="s">
        <v>12</v>
      </c>
      <c r="E7408" s="2" t="s">
        <v>12</v>
      </c>
      <c r="F7408" s="2" t="s">
        <v>12</v>
      </c>
      <c r="G7408" s="2" t="s">
        <v>12</v>
      </c>
      <c r="H7408" s="2" t="s">
        <v>12</v>
      </c>
      <c r="I7408" s="2" t="s">
        <v>12</v>
      </c>
      <c r="J7408" s="2" t="s">
        <v>12</v>
      </c>
      <c r="K7408" s="2" t="s">
        <v>12</v>
      </c>
    </row>
    <row r="7409" spans="1:11" ht="12.5" x14ac:dyDescent="0.25">
      <c r="A7409" s="3" t="e">
        <f ca="1"/>
        <v>#NAME?</v>
      </c>
      <c r="B7409" s="2" t="s">
        <v>12</v>
      </c>
      <c r="C7409" s="2" t="s">
        <v>12</v>
      </c>
      <c r="D7409" s="2" t="s">
        <v>12</v>
      </c>
      <c r="E7409" s="2" t="s">
        <v>12</v>
      </c>
      <c r="F7409" s="2" t="s">
        <v>12</v>
      </c>
      <c r="G7409" s="2" t="s">
        <v>12</v>
      </c>
      <c r="H7409" s="2" t="s">
        <v>12</v>
      </c>
      <c r="I7409" s="2" t="s">
        <v>12</v>
      </c>
      <c r="J7409" s="2" t="s">
        <v>12</v>
      </c>
      <c r="K7409" s="2" t="s">
        <v>12</v>
      </c>
    </row>
    <row r="7410" spans="1:11" ht="12.5" x14ac:dyDescent="0.25">
      <c r="A7410" s="3" t="e">
        <f ca="1"/>
        <v>#NAME?</v>
      </c>
      <c r="B7410" s="2" t="s">
        <v>12</v>
      </c>
      <c r="C7410" s="2" t="s">
        <v>12</v>
      </c>
      <c r="D7410" s="2" t="s">
        <v>12</v>
      </c>
      <c r="E7410" s="2" t="s">
        <v>12</v>
      </c>
      <c r="F7410" s="2" t="s">
        <v>12</v>
      </c>
      <c r="G7410" s="2" t="s">
        <v>12</v>
      </c>
      <c r="H7410" s="2" t="s">
        <v>12</v>
      </c>
      <c r="I7410" s="2" t="s">
        <v>12</v>
      </c>
      <c r="J7410" s="2" t="s">
        <v>12</v>
      </c>
      <c r="K7410" s="2" t="s">
        <v>12</v>
      </c>
    </row>
    <row r="7411" spans="1:11" ht="12.5" x14ac:dyDescent="0.25">
      <c r="A7411" s="3" t="e">
        <f ca="1"/>
        <v>#NAME?</v>
      </c>
      <c r="B7411" s="2" t="s">
        <v>12</v>
      </c>
      <c r="C7411" s="2" t="s">
        <v>12</v>
      </c>
      <c r="D7411" s="2" t="s">
        <v>12</v>
      </c>
      <c r="E7411" s="2" t="s">
        <v>12</v>
      </c>
      <c r="F7411" s="2" t="s">
        <v>12</v>
      </c>
      <c r="G7411" s="2" t="s">
        <v>12</v>
      </c>
      <c r="H7411" s="2" t="s">
        <v>12</v>
      </c>
      <c r="I7411" s="2" t="s">
        <v>12</v>
      </c>
      <c r="J7411" s="2" t="s">
        <v>12</v>
      </c>
      <c r="K7411" s="2" t="s">
        <v>12</v>
      </c>
    </row>
    <row r="7412" spans="1:11" ht="12.5" x14ac:dyDescent="0.25">
      <c r="A7412" s="3" t="e">
        <f ca="1"/>
        <v>#NAME?</v>
      </c>
      <c r="B7412" s="2" t="s">
        <v>12</v>
      </c>
      <c r="C7412" s="2" t="s">
        <v>12</v>
      </c>
      <c r="D7412" s="2" t="s">
        <v>12</v>
      </c>
      <c r="E7412" s="2" t="s">
        <v>12</v>
      </c>
      <c r="F7412" s="2" t="s">
        <v>12</v>
      </c>
      <c r="G7412" s="2" t="s">
        <v>12</v>
      </c>
      <c r="H7412" s="2" t="s">
        <v>12</v>
      </c>
      <c r="I7412" s="2" t="s">
        <v>12</v>
      </c>
      <c r="J7412" s="2" t="s">
        <v>12</v>
      </c>
      <c r="K7412" s="2" t="s">
        <v>12</v>
      </c>
    </row>
    <row r="7413" spans="1:11" ht="12.5" x14ac:dyDescent="0.25">
      <c r="A7413" s="3" t="e">
        <f ca="1"/>
        <v>#NAME?</v>
      </c>
      <c r="B7413" s="2" t="s">
        <v>12</v>
      </c>
      <c r="C7413" s="2" t="s">
        <v>12</v>
      </c>
      <c r="D7413" s="2" t="s">
        <v>12</v>
      </c>
      <c r="E7413" s="2" t="s">
        <v>12</v>
      </c>
      <c r="F7413" s="2" t="s">
        <v>12</v>
      </c>
      <c r="G7413" s="2" t="s">
        <v>12</v>
      </c>
      <c r="H7413" s="2" t="s">
        <v>12</v>
      </c>
      <c r="I7413" s="2" t="s">
        <v>12</v>
      </c>
      <c r="J7413" s="2" t="s">
        <v>12</v>
      </c>
      <c r="K7413" s="2" t="s">
        <v>12</v>
      </c>
    </row>
    <row r="7414" spans="1:11" ht="12.5" x14ac:dyDescent="0.25">
      <c r="A7414" s="3" t="e">
        <f ca="1"/>
        <v>#NAME?</v>
      </c>
      <c r="B7414" s="2" t="s">
        <v>12</v>
      </c>
      <c r="C7414" s="2" t="s">
        <v>12</v>
      </c>
      <c r="D7414" s="2" t="s">
        <v>12</v>
      </c>
      <c r="E7414" s="2" t="s">
        <v>12</v>
      </c>
      <c r="F7414" s="2" t="s">
        <v>12</v>
      </c>
      <c r="G7414" s="2" t="s">
        <v>12</v>
      </c>
      <c r="H7414" s="2" t="s">
        <v>12</v>
      </c>
      <c r="I7414" s="2" t="s">
        <v>12</v>
      </c>
      <c r="J7414" s="2" t="s">
        <v>12</v>
      </c>
      <c r="K7414" s="2" t="s">
        <v>12</v>
      </c>
    </row>
    <row r="7415" spans="1:11" ht="12.5" x14ac:dyDescent="0.25">
      <c r="A7415" s="3" t="e">
        <f ca="1"/>
        <v>#NAME?</v>
      </c>
      <c r="B7415" s="2" t="s">
        <v>12</v>
      </c>
      <c r="C7415" s="2" t="s">
        <v>12</v>
      </c>
      <c r="D7415" s="2" t="s">
        <v>12</v>
      </c>
      <c r="E7415" s="2" t="s">
        <v>12</v>
      </c>
      <c r="F7415" s="2" t="s">
        <v>12</v>
      </c>
      <c r="G7415" s="2" t="s">
        <v>12</v>
      </c>
      <c r="H7415" s="2" t="s">
        <v>12</v>
      </c>
      <c r="I7415" s="2" t="s">
        <v>12</v>
      </c>
      <c r="J7415" s="2" t="s">
        <v>12</v>
      </c>
      <c r="K7415" s="2" t="s">
        <v>12</v>
      </c>
    </row>
    <row r="7416" spans="1:11" ht="12.5" x14ac:dyDescent="0.25">
      <c r="A7416" s="3" t="e">
        <f ca="1"/>
        <v>#NAME?</v>
      </c>
      <c r="B7416" s="2" t="s">
        <v>12</v>
      </c>
      <c r="C7416" s="2" t="s">
        <v>12</v>
      </c>
      <c r="D7416" s="2" t="s">
        <v>12</v>
      </c>
      <c r="E7416" s="2" t="s">
        <v>12</v>
      </c>
      <c r="F7416" s="2" t="s">
        <v>12</v>
      </c>
      <c r="G7416" s="2" t="s">
        <v>12</v>
      </c>
      <c r="H7416" s="2" t="s">
        <v>12</v>
      </c>
      <c r="I7416" s="2" t="s">
        <v>12</v>
      </c>
      <c r="J7416" s="2" t="s">
        <v>12</v>
      </c>
      <c r="K7416" s="2" t="s">
        <v>12</v>
      </c>
    </row>
    <row r="7417" spans="1:11" ht="12.5" x14ac:dyDescent="0.25">
      <c r="A7417" s="3" t="e">
        <f ca="1"/>
        <v>#NAME?</v>
      </c>
      <c r="B7417" s="2" t="s">
        <v>12</v>
      </c>
      <c r="C7417" s="2" t="s">
        <v>12</v>
      </c>
      <c r="D7417" s="2" t="s">
        <v>12</v>
      </c>
      <c r="E7417" s="2" t="s">
        <v>12</v>
      </c>
      <c r="F7417" s="2" t="s">
        <v>12</v>
      </c>
      <c r="G7417" s="2" t="s">
        <v>12</v>
      </c>
      <c r="H7417" s="2" t="s">
        <v>12</v>
      </c>
      <c r="I7417" s="2" t="s">
        <v>12</v>
      </c>
      <c r="J7417" s="2" t="s">
        <v>12</v>
      </c>
      <c r="K7417" s="2" t="s">
        <v>12</v>
      </c>
    </row>
    <row r="7418" spans="1:11" ht="12.5" x14ac:dyDescent="0.25">
      <c r="A7418" s="3" t="e">
        <f ca="1"/>
        <v>#NAME?</v>
      </c>
      <c r="B7418" s="2" t="s">
        <v>12</v>
      </c>
      <c r="C7418" s="2" t="s">
        <v>12</v>
      </c>
      <c r="D7418" s="2" t="s">
        <v>12</v>
      </c>
      <c r="E7418" s="2" t="s">
        <v>12</v>
      </c>
      <c r="F7418" s="2" t="s">
        <v>12</v>
      </c>
      <c r="G7418" s="2" t="s">
        <v>12</v>
      </c>
      <c r="H7418" s="2" t="s">
        <v>12</v>
      </c>
      <c r="I7418" s="2" t="s">
        <v>12</v>
      </c>
      <c r="J7418" s="2" t="s">
        <v>12</v>
      </c>
      <c r="K7418" s="2" t="s">
        <v>12</v>
      </c>
    </row>
    <row r="7419" spans="1:11" ht="12.5" x14ac:dyDescent="0.25">
      <c r="A7419" s="3" t="e">
        <f ca="1"/>
        <v>#NAME?</v>
      </c>
      <c r="B7419" s="2" t="s">
        <v>12</v>
      </c>
      <c r="C7419" s="2" t="s">
        <v>12</v>
      </c>
      <c r="D7419" s="2" t="s">
        <v>12</v>
      </c>
      <c r="E7419" s="2" t="s">
        <v>12</v>
      </c>
      <c r="F7419" s="2" t="s">
        <v>12</v>
      </c>
      <c r="G7419" s="2" t="s">
        <v>12</v>
      </c>
      <c r="H7419" s="2" t="s">
        <v>12</v>
      </c>
      <c r="I7419" s="2" t="s">
        <v>12</v>
      </c>
      <c r="J7419" s="2" t="s">
        <v>12</v>
      </c>
      <c r="K7419" s="2" t="s">
        <v>12</v>
      </c>
    </row>
    <row r="7420" spans="1:11" ht="12.5" x14ac:dyDescent="0.25">
      <c r="A7420" s="3" t="e">
        <f ca="1"/>
        <v>#NAME?</v>
      </c>
      <c r="B7420" s="2" t="s">
        <v>12</v>
      </c>
      <c r="C7420" s="2" t="s">
        <v>12</v>
      </c>
      <c r="D7420" s="2" t="s">
        <v>12</v>
      </c>
      <c r="E7420" s="2" t="s">
        <v>12</v>
      </c>
      <c r="F7420" s="2" t="s">
        <v>12</v>
      </c>
      <c r="G7420" s="2" t="s">
        <v>12</v>
      </c>
      <c r="H7420" s="2" t="s">
        <v>12</v>
      </c>
      <c r="I7420" s="2" t="s">
        <v>12</v>
      </c>
      <c r="J7420" s="2" t="s">
        <v>12</v>
      </c>
      <c r="K7420" s="2" t="s">
        <v>12</v>
      </c>
    </row>
    <row r="7421" spans="1:11" ht="12.5" x14ac:dyDescent="0.25">
      <c r="A7421" s="3" t="e">
        <f ca="1"/>
        <v>#NAME?</v>
      </c>
      <c r="B7421" s="2" t="s">
        <v>12</v>
      </c>
      <c r="C7421" s="2" t="s">
        <v>12</v>
      </c>
      <c r="D7421" s="2" t="s">
        <v>12</v>
      </c>
      <c r="E7421" s="2" t="s">
        <v>12</v>
      </c>
      <c r="F7421" s="2" t="s">
        <v>12</v>
      </c>
      <c r="G7421" s="2" t="s">
        <v>12</v>
      </c>
      <c r="H7421" s="2" t="s">
        <v>12</v>
      </c>
      <c r="I7421" s="2" t="s">
        <v>12</v>
      </c>
      <c r="J7421" s="2" t="s">
        <v>12</v>
      </c>
      <c r="K7421" s="2" t="s">
        <v>12</v>
      </c>
    </row>
    <row r="7422" spans="1:11" ht="12.5" x14ac:dyDescent="0.25">
      <c r="A7422" s="3" t="e">
        <f ca="1"/>
        <v>#NAME?</v>
      </c>
      <c r="B7422" s="2" t="s">
        <v>12</v>
      </c>
      <c r="C7422" s="2" t="s">
        <v>12</v>
      </c>
      <c r="D7422" s="2" t="s">
        <v>12</v>
      </c>
      <c r="E7422" s="2" t="s">
        <v>12</v>
      </c>
      <c r="F7422" s="2" t="s">
        <v>12</v>
      </c>
      <c r="G7422" s="2" t="s">
        <v>12</v>
      </c>
      <c r="H7422" s="2" t="s">
        <v>12</v>
      </c>
      <c r="I7422" s="2" t="s">
        <v>12</v>
      </c>
      <c r="J7422" s="2" t="s">
        <v>12</v>
      </c>
      <c r="K7422" s="2" t="s">
        <v>12</v>
      </c>
    </row>
    <row r="7423" spans="1:11" ht="12.5" x14ac:dyDescent="0.25">
      <c r="A7423" s="3" t="e">
        <f ca="1"/>
        <v>#NAME?</v>
      </c>
      <c r="B7423" s="2" t="s">
        <v>12</v>
      </c>
      <c r="C7423" s="2" t="s">
        <v>12</v>
      </c>
      <c r="D7423" s="2" t="s">
        <v>12</v>
      </c>
      <c r="E7423" s="2" t="s">
        <v>12</v>
      </c>
      <c r="F7423" s="2" t="s">
        <v>12</v>
      </c>
      <c r="G7423" s="2" t="s">
        <v>12</v>
      </c>
      <c r="H7423" s="2" t="s">
        <v>12</v>
      </c>
      <c r="I7423" s="2" t="s">
        <v>12</v>
      </c>
      <c r="J7423" s="2" t="s">
        <v>12</v>
      </c>
      <c r="K7423" s="2" t="s">
        <v>12</v>
      </c>
    </row>
    <row r="7424" spans="1:11" ht="12.5" x14ac:dyDescent="0.25">
      <c r="A7424" s="3" t="e">
        <f ca="1"/>
        <v>#NAME?</v>
      </c>
      <c r="B7424" s="2" t="s">
        <v>12</v>
      </c>
      <c r="C7424" s="2" t="s">
        <v>12</v>
      </c>
      <c r="D7424" s="2" t="s">
        <v>12</v>
      </c>
      <c r="E7424" s="2" t="s">
        <v>12</v>
      </c>
      <c r="F7424" s="2" t="s">
        <v>12</v>
      </c>
      <c r="G7424" s="2" t="s">
        <v>12</v>
      </c>
      <c r="H7424" s="2" t="s">
        <v>12</v>
      </c>
      <c r="I7424" s="2" t="s">
        <v>12</v>
      </c>
      <c r="J7424" s="2" t="s">
        <v>12</v>
      </c>
      <c r="K7424" s="2" t="s">
        <v>12</v>
      </c>
    </row>
    <row r="7425" spans="1:11" ht="12.5" x14ac:dyDescent="0.25">
      <c r="A7425" s="3" t="e">
        <f ca="1"/>
        <v>#NAME?</v>
      </c>
      <c r="B7425" s="2" t="s">
        <v>12</v>
      </c>
      <c r="C7425" s="2" t="s">
        <v>12</v>
      </c>
      <c r="D7425" s="2" t="s">
        <v>12</v>
      </c>
      <c r="E7425" s="2" t="s">
        <v>12</v>
      </c>
      <c r="F7425" s="2" t="s">
        <v>12</v>
      </c>
      <c r="G7425" s="2" t="s">
        <v>12</v>
      </c>
      <c r="H7425" s="2" t="s">
        <v>12</v>
      </c>
      <c r="I7425" s="2" t="s">
        <v>12</v>
      </c>
      <c r="J7425" s="2" t="s">
        <v>12</v>
      </c>
      <c r="K7425" s="2" t="s">
        <v>12</v>
      </c>
    </row>
    <row r="7426" spans="1:11" ht="12.5" x14ac:dyDescent="0.25">
      <c r="A7426" s="3" t="e">
        <f ca="1"/>
        <v>#NAME?</v>
      </c>
      <c r="B7426" s="2" t="s">
        <v>12</v>
      </c>
      <c r="C7426" s="2" t="s">
        <v>12</v>
      </c>
      <c r="D7426" s="2" t="s">
        <v>12</v>
      </c>
      <c r="E7426" s="2" t="s">
        <v>12</v>
      </c>
      <c r="F7426" s="2" t="s">
        <v>12</v>
      </c>
      <c r="G7426" s="2" t="s">
        <v>12</v>
      </c>
      <c r="H7426" s="2" t="s">
        <v>12</v>
      </c>
      <c r="I7426" s="2" t="s">
        <v>12</v>
      </c>
      <c r="J7426" s="2" t="s">
        <v>12</v>
      </c>
      <c r="K7426" s="2" t="s">
        <v>12</v>
      </c>
    </row>
    <row r="7427" spans="1:11" ht="12.5" x14ac:dyDescent="0.25">
      <c r="A7427" s="3" t="e">
        <f ca="1"/>
        <v>#NAME?</v>
      </c>
      <c r="B7427" s="2" t="s">
        <v>12</v>
      </c>
      <c r="C7427" s="2" t="s">
        <v>12</v>
      </c>
      <c r="D7427" s="2" t="s">
        <v>12</v>
      </c>
      <c r="E7427" s="2" t="s">
        <v>12</v>
      </c>
      <c r="F7427" s="2" t="s">
        <v>12</v>
      </c>
      <c r="G7427" s="2" t="s">
        <v>12</v>
      </c>
      <c r="H7427" s="2" t="s">
        <v>12</v>
      </c>
      <c r="I7427" s="2" t="s">
        <v>12</v>
      </c>
      <c r="J7427" s="2" t="s">
        <v>12</v>
      </c>
      <c r="K7427" s="2" t="s">
        <v>12</v>
      </c>
    </row>
    <row r="7428" spans="1:11" ht="12.5" x14ac:dyDescent="0.25">
      <c r="A7428" s="3" t="e">
        <f ca="1"/>
        <v>#NAME?</v>
      </c>
      <c r="B7428" s="2" t="s">
        <v>12</v>
      </c>
      <c r="C7428" s="2" t="s">
        <v>12</v>
      </c>
      <c r="D7428" s="2" t="s">
        <v>12</v>
      </c>
      <c r="E7428" s="2" t="s">
        <v>12</v>
      </c>
      <c r="F7428" s="2" t="s">
        <v>12</v>
      </c>
      <c r="G7428" s="2" t="s">
        <v>12</v>
      </c>
      <c r="H7428" s="2" t="s">
        <v>12</v>
      </c>
      <c r="I7428" s="2" t="s">
        <v>12</v>
      </c>
      <c r="J7428" s="2" t="s">
        <v>12</v>
      </c>
      <c r="K7428" s="2" t="s">
        <v>12</v>
      </c>
    </row>
    <row r="7429" spans="1:11" ht="12.5" x14ac:dyDescent="0.25">
      <c r="A7429" s="3" t="e">
        <f ca="1"/>
        <v>#NAME?</v>
      </c>
      <c r="B7429" s="2" t="s">
        <v>12</v>
      </c>
      <c r="C7429" s="2" t="s">
        <v>12</v>
      </c>
      <c r="D7429" s="2" t="s">
        <v>12</v>
      </c>
      <c r="E7429" s="2" t="s">
        <v>12</v>
      </c>
      <c r="F7429" s="2" t="s">
        <v>12</v>
      </c>
      <c r="G7429" s="2" t="s">
        <v>12</v>
      </c>
      <c r="H7429" s="2" t="s">
        <v>12</v>
      </c>
      <c r="I7429" s="2" t="s">
        <v>12</v>
      </c>
      <c r="J7429" s="2" t="s">
        <v>12</v>
      </c>
      <c r="K7429" s="2" t="s">
        <v>12</v>
      </c>
    </row>
    <row r="7430" spans="1:11" ht="12.5" x14ac:dyDescent="0.25">
      <c r="A7430" s="3" t="e">
        <f ca="1"/>
        <v>#NAME?</v>
      </c>
      <c r="B7430" s="2" t="s">
        <v>12</v>
      </c>
      <c r="C7430" s="2" t="s">
        <v>12</v>
      </c>
      <c r="D7430" s="2" t="s">
        <v>12</v>
      </c>
      <c r="E7430" s="2" t="s">
        <v>12</v>
      </c>
      <c r="F7430" s="2" t="s">
        <v>12</v>
      </c>
      <c r="G7430" s="2" t="s">
        <v>12</v>
      </c>
      <c r="H7430" s="2" t="s">
        <v>12</v>
      </c>
      <c r="I7430" s="2" t="s">
        <v>12</v>
      </c>
      <c r="J7430" s="2" t="s">
        <v>12</v>
      </c>
      <c r="K7430" s="2" t="s">
        <v>12</v>
      </c>
    </row>
    <row r="7431" spans="1:11" ht="12.5" x14ac:dyDescent="0.25">
      <c r="A7431" s="3" t="e">
        <f ca="1"/>
        <v>#NAME?</v>
      </c>
      <c r="B7431" s="2" t="s">
        <v>12</v>
      </c>
      <c r="C7431" s="2" t="s">
        <v>12</v>
      </c>
      <c r="D7431" s="2" t="s">
        <v>12</v>
      </c>
      <c r="E7431" s="2" t="s">
        <v>12</v>
      </c>
      <c r="F7431" s="2" t="s">
        <v>12</v>
      </c>
      <c r="G7431" s="2" t="s">
        <v>12</v>
      </c>
      <c r="H7431" s="2" t="s">
        <v>12</v>
      </c>
      <c r="I7431" s="2" t="s">
        <v>12</v>
      </c>
      <c r="J7431" s="2" t="s">
        <v>12</v>
      </c>
      <c r="K7431" s="2" t="s">
        <v>12</v>
      </c>
    </row>
    <row r="7432" spans="1:11" ht="12.5" x14ac:dyDescent="0.25">
      <c r="A7432" s="3" t="e">
        <f ca="1"/>
        <v>#NAME?</v>
      </c>
      <c r="B7432" s="2" t="s">
        <v>12</v>
      </c>
      <c r="C7432" s="2" t="s">
        <v>12</v>
      </c>
      <c r="D7432" s="2" t="s">
        <v>12</v>
      </c>
      <c r="E7432" s="2" t="s">
        <v>12</v>
      </c>
      <c r="F7432" s="2" t="s">
        <v>12</v>
      </c>
      <c r="G7432" s="2" t="s">
        <v>12</v>
      </c>
      <c r="H7432" s="2" t="s">
        <v>12</v>
      </c>
      <c r="I7432" s="2" t="s">
        <v>12</v>
      </c>
      <c r="J7432" s="2" t="s">
        <v>12</v>
      </c>
      <c r="K7432" s="2" t="s">
        <v>12</v>
      </c>
    </row>
    <row r="7433" spans="1:11" ht="12.5" x14ac:dyDescent="0.25">
      <c r="A7433" s="3" t="e">
        <f ca="1"/>
        <v>#NAME?</v>
      </c>
      <c r="B7433" s="2" t="s">
        <v>12</v>
      </c>
      <c r="C7433" s="2" t="s">
        <v>12</v>
      </c>
      <c r="D7433" s="2" t="s">
        <v>12</v>
      </c>
      <c r="E7433" s="2" t="s">
        <v>12</v>
      </c>
      <c r="F7433" s="2" t="s">
        <v>12</v>
      </c>
      <c r="G7433" s="2" t="s">
        <v>12</v>
      </c>
      <c r="H7433" s="2" t="s">
        <v>12</v>
      </c>
      <c r="I7433" s="2" t="s">
        <v>12</v>
      </c>
      <c r="J7433" s="2" t="s">
        <v>12</v>
      </c>
      <c r="K7433" s="2" t="s">
        <v>12</v>
      </c>
    </row>
    <row r="7434" spans="1:11" ht="12.5" x14ac:dyDescent="0.25">
      <c r="A7434" s="3" t="e">
        <f ca="1"/>
        <v>#NAME?</v>
      </c>
      <c r="B7434" s="2" t="s">
        <v>12</v>
      </c>
      <c r="C7434" s="2" t="s">
        <v>12</v>
      </c>
      <c r="D7434" s="2" t="s">
        <v>12</v>
      </c>
      <c r="E7434" s="2" t="s">
        <v>12</v>
      </c>
      <c r="F7434" s="2" t="s">
        <v>12</v>
      </c>
      <c r="G7434" s="2" t="s">
        <v>12</v>
      </c>
      <c r="H7434" s="2" t="s">
        <v>12</v>
      </c>
      <c r="I7434" s="2" t="s">
        <v>12</v>
      </c>
      <c r="J7434" s="2" t="s">
        <v>12</v>
      </c>
      <c r="K7434" s="2" t="s">
        <v>12</v>
      </c>
    </row>
    <row r="7435" spans="1:11" ht="12.5" x14ac:dyDescent="0.25">
      <c r="A7435" s="3" t="e">
        <f ca="1"/>
        <v>#NAME?</v>
      </c>
      <c r="B7435" s="2" t="s">
        <v>12</v>
      </c>
      <c r="C7435" s="2" t="s">
        <v>12</v>
      </c>
      <c r="D7435" s="2" t="s">
        <v>12</v>
      </c>
      <c r="E7435" s="2" t="s">
        <v>12</v>
      </c>
      <c r="F7435" s="2" t="s">
        <v>12</v>
      </c>
      <c r="G7435" s="2" t="s">
        <v>12</v>
      </c>
      <c r="H7435" s="2" t="s">
        <v>12</v>
      </c>
      <c r="I7435" s="2" t="s">
        <v>12</v>
      </c>
      <c r="J7435" s="2" t="s">
        <v>12</v>
      </c>
      <c r="K7435" s="2" t="s">
        <v>12</v>
      </c>
    </row>
    <row r="7436" spans="1:11" ht="12.5" x14ac:dyDescent="0.25">
      <c r="A7436" s="3" t="e">
        <f ca="1"/>
        <v>#NAME?</v>
      </c>
      <c r="B7436" s="2" t="s">
        <v>12</v>
      </c>
      <c r="C7436" s="2" t="s">
        <v>12</v>
      </c>
      <c r="D7436" s="2" t="s">
        <v>12</v>
      </c>
      <c r="E7436" s="2" t="s">
        <v>12</v>
      </c>
      <c r="F7436" s="2" t="s">
        <v>12</v>
      </c>
      <c r="G7436" s="2" t="s">
        <v>12</v>
      </c>
      <c r="H7436" s="2" t="s">
        <v>12</v>
      </c>
      <c r="I7436" s="2" t="s">
        <v>12</v>
      </c>
      <c r="J7436" s="2" t="s">
        <v>12</v>
      </c>
      <c r="K7436" s="2" t="s">
        <v>12</v>
      </c>
    </row>
    <row r="7437" spans="1:11" ht="12.5" x14ac:dyDescent="0.25">
      <c r="A7437" s="3" t="e">
        <f ca="1"/>
        <v>#NAME?</v>
      </c>
      <c r="B7437" s="2" t="s">
        <v>12</v>
      </c>
      <c r="C7437" s="2" t="s">
        <v>12</v>
      </c>
      <c r="D7437" s="2" t="s">
        <v>12</v>
      </c>
      <c r="E7437" s="2" t="s">
        <v>12</v>
      </c>
      <c r="F7437" s="2" t="s">
        <v>12</v>
      </c>
      <c r="G7437" s="2" t="s">
        <v>12</v>
      </c>
      <c r="H7437" s="2" t="s">
        <v>12</v>
      </c>
      <c r="I7437" s="2" t="s">
        <v>12</v>
      </c>
      <c r="J7437" s="2" t="s">
        <v>12</v>
      </c>
      <c r="K7437" s="2" t="s">
        <v>12</v>
      </c>
    </row>
    <row r="7438" spans="1:11" ht="12.5" x14ac:dyDescent="0.25">
      <c r="A7438" s="3" t="e">
        <f ca="1"/>
        <v>#NAME?</v>
      </c>
      <c r="B7438" s="2" t="s">
        <v>12</v>
      </c>
      <c r="C7438" s="2" t="s">
        <v>12</v>
      </c>
      <c r="D7438" s="2" t="s">
        <v>12</v>
      </c>
      <c r="E7438" s="2" t="s">
        <v>12</v>
      </c>
      <c r="F7438" s="2" t="s">
        <v>12</v>
      </c>
      <c r="G7438" s="2" t="s">
        <v>12</v>
      </c>
      <c r="H7438" s="2" t="s">
        <v>12</v>
      </c>
      <c r="I7438" s="2" t="s">
        <v>12</v>
      </c>
      <c r="J7438" s="2" t="s">
        <v>12</v>
      </c>
      <c r="K7438" s="2" t="s">
        <v>12</v>
      </c>
    </row>
    <row r="7439" spans="1:11" ht="12.5" x14ac:dyDescent="0.25">
      <c r="A7439" s="3" t="e">
        <f ca="1"/>
        <v>#NAME?</v>
      </c>
      <c r="B7439" s="2" t="s">
        <v>12</v>
      </c>
      <c r="C7439" s="2" t="s">
        <v>12</v>
      </c>
      <c r="D7439" s="2" t="s">
        <v>12</v>
      </c>
      <c r="E7439" s="2" t="s">
        <v>12</v>
      </c>
      <c r="F7439" s="2" t="s">
        <v>12</v>
      </c>
      <c r="G7439" s="2" t="s">
        <v>12</v>
      </c>
      <c r="H7439" s="2" t="s">
        <v>12</v>
      </c>
      <c r="I7439" s="2" t="s">
        <v>12</v>
      </c>
      <c r="J7439" s="2" t="s">
        <v>12</v>
      </c>
      <c r="K7439" s="2" t="s">
        <v>12</v>
      </c>
    </row>
    <row r="7440" spans="1:11" ht="12.5" x14ac:dyDescent="0.25">
      <c r="A7440" s="3" t="e">
        <f ca="1"/>
        <v>#NAME?</v>
      </c>
      <c r="B7440" s="2" t="s">
        <v>12</v>
      </c>
      <c r="C7440" s="2" t="s">
        <v>12</v>
      </c>
      <c r="D7440" s="2" t="s">
        <v>12</v>
      </c>
      <c r="E7440" s="2" t="s">
        <v>12</v>
      </c>
      <c r="F7440" s="2" t="s">
        <v>12</v>
      </c>
      <c r="G7440" s="2" t="s">
        <v>12</v>
      </c>
      <c r="H7440" s="2" t="s">
        <v>12</v>
      </c>
      <c r="I7440" s="2" t="s">
        <v>12</v>
      </c>
      <c r="J7440" s="2" t="s">
        <v>12</v>
      </c>
      <c r="K7440" s="2" t="s">
        <v>12</v>
      </c>
    </row>
    <row r="7441" spans="1:11" ht="12.5" x14ac:dyDescent="0.25">
      <c r="A7441" s="3" t="e">
        <f ca="1"/>
        <v>#NAME?</v>
      </c>
      <c r="B7441" s="2" t="s">
        <v>12</v>
      </c>
      <c r="C7441" s="2" t="s">
        <v>12</v>
      </c>
      <c r="D7441" s="2" t="s">
        <v>12</v>
      </c>
      <c r="E7441" s="2" t="s">
        <v>12</v>
      </c>
      <c r="F7441" s="2" t="s">
        <v>12</v>
      </c>
      <c r="G7441" s="2" t="s">
        <v>12</v>
      </c>
      <c r="H7441" s="2" t="s">
        <v>12</v>
      </c>
      <c r="I7441" s="2" t="s">
        <v>12</v>
      </c>
      <c r="J7441" s="2" t="s">
        <v>12</v>
      </c>
      <c r="K7441" s="2" t="s">
        <v>12</v>
      </c>
    </row>
    <row r="7442" spans="1:11" ht="12.5" x14ac:dyDescent="0.25">
      <c r="A7442" s="3" t="e">
        <f ca="1"/>
        <v>#NAME?</v>
      </c>
      <c r="B7442" s="2" t="s">
        <v>12</v>
      </c>
      <c r="C7442" s="2" t="s">
        <v>12</v>
      </c>
      <c r="D7442" s="2" t="s">
        <v>12</v>
      </c>
      <c r="E7442" s="2" t="s">
        <v>12</v>
      </c>
      <c r="F7442" s="2" t="s">
        <v>12</v>
      </c>
      <c r="G7442" s="2" t="s">
        <v>12</v>
      </c>
      <c r="H7442" s="2" t="s">
        <v>12</v>
      </c>
      <c r="I7442" s="2" t="s">
        <v>12</v>
      </c>
      <c r="J7442" s="2" t="s">
        <v>12</v>
      </c>
      <c r="K7442" s="2" t="s">
        <v>12</v>
      </c>
    </row>
    <row r="7443" spans="1:11" ht="12.5" x14ac:dyDescent="0.25">
      <c r="A7443" s="3" t="e">
        <f ca="1"/>
        <v>#NAME?</v>
      </c>
      <c r="B7443" s="2" t="s">
        <v>12</v>
      </c>
      <c r="C7443" s="2" t="s">
        <v>12</v>
      </c>
      <c r="D7443" s="2" t="s">
        <v>12</v>
      </c>
      <c r="E7443" s="2" t="s">
        <v>12</v>
      </c>
      <c r="F7443" s="2" t="s">
        <v>12</v>
      </c>
      <c r="G7443" s="2" t="s">
        <v>12</v>
      </c>
      <c r="H7443" s="2" t="s">
        <v>12</v>
      </c>
      <c r="I7443" s="2" t="s">
        <v>12</v>
      </c>
      <c r="J7443" s="2" t="s">
        <v>12</v>
      </c>
      <c r="K7443" s="2" t="s">
        <v>12</v>
      </c>
    </row>
    <row r="7444" spans="1:11" ht="12.5" x14ac:dyDescent="0.25">
      <c r="A7444" s="3" t="e">
        <f ca="1"/>
        <v>#NAME?</v>
      </c>
      <c r="B7444" s="2" t="s">
        <v>12</v>
      </c>
      <c r="C7444" s="2" t="s">
        <v>12</v>
      </c>
      <c r="D7444" s="2" t="s">
        <v>12</v>
      </c>
      <c r="E7444" s="2" t="s">
        <v>12</v>
      </c>
      <c r="F7444" s="2" t="s">
        <v>12</v>
      </c>
      <c r="G7444" s="2" t="s">
        <v>12</v>
      </c>
      <c r="H7444" s="2" t="s">
        <v>12</v>
      </c>
      <c r="I7444" s="2" t="s">
        <v>12</v>
      </c>
      <c r="J7444" s="2" t="s">
        <v>12</v>
      </c>
      <c r="K7444" s="2" t="s">
        <v>12</v>
      </c>
    </row>
    <row r="7445" spans="1:11" ht="12.5" x14ac:dyDescent="0.25">
      <c r="A7445" s="3" t="e">
        <f ca="1"/>
        <v>#NAME?</v>
      </c>
      <c r="B7445" s="2" t="s">
        <v>12</v>
      </c>
      <c r="C7445" s="2" t="s">
        <v>12</v>
      </c>
      <c r="D7445" s="2" t="s">
        <v>12</v>
      </c>
      <c r="E7445" s="2" t="s">
        <v>12</v>
      </c>
      <c r="F7445" s="2" t="s">
        <v>12</v>
      </c>
      <c r="G7445" s="2" t="s">
        <v>12</v>
      </c>
      <c r="H7445" s="2" t="s">
        <v>12</v>
      </c>
      <c r="I7445" s="2" t="s">
        <v>12</v>
      </c>
      <c r="J7445" s="2" t="s">
        <v>12</v>
      </c>
      <c r="K7445" s="2" t="s">
        <v>12</v>
      </c>
    </row>
    <row r="7446" spans="1:11" ht="12.5" x14ac:dyDescent="0.25">
      <c r="A7446" s="3" t="e">
        <f ca="1"/>
        <v>#NAME?</v>
      </c>
      <c r="B7446" s="2" t="s">
        <v>12</v>
      </c>
      <c r="C7446" s="2" t="s">
        <v>12</v>
      </c>
      <c r="D7446" s="2" t="s">
        <v>12</v>
      </c>
      <c r="E7446" s="2" t="s">
        <v>12</v>
      </c>
      <c r="F7446" s="2" t="s">
        <v>12</v>
      </c>
      <c r="G7446" s="2" t="s">
        <v>12</v>
      </c>
      <c r="H7446" s="2" t="s">
        <v>12</v>
      </c>
      <c r="I7446" s="2" t="s">
        <v>12</v>
      </c>
      <c r="J7446" s="2" t="s">
        <v>12</v>
      </c>
      <c r="K7446" s="2" t="s">
        <v>12</v>
      </c>
    </row>
    <row r="7447" spans="1:11" ht="12.5" x14ac:dyDescent="0.25">
      <c r="A7447" s="3" t="e">
        <f ca="1"/>
        <v>#NAME?</v>
      </c>
      <c r="B7447" s="2" t="s">
        <v>12</v>
      </c>
      <c r="C7447" s="2" t="s">
        <v>12</v>
      </c>
      <c r="D7447" s="2" t="s">
        <v>12</v>
      </c>
      <c r="E7447" s="2" t="s">
        <v>12</v>
      </c>
      <c r="F7447" s="2" t="s">
        <v>12</v>
      </c>
      <c r="G7447" s="2" t="s">
        <v>12</v>
      </c>
      <c r="H7447" s="2" t="s">
        <v>12</v>
      </c>
      <c r="I7447" s="2" t="s">
        <v>12</v>
      </c>
      <c r="J7447" s="2" t="s">
        <v>12</v>
      </c>
      <c r="K7447" s="2" t="s">
        <v>12</v>
      </c>
    </row>
    <row r="7448" spans="1:11" ht="12.5" x14ac:dyDescent="0.25">
      <c r="A7448" s="3" t="e">
        <f ca="1"/>
        <v>#NAME?</v>
      </c>
      <c r="B7448" s="2" t="s">
        <v>12</v>
      </c>
      <c r="C7448" s="2" t="s">
        <v>12</v>
      </c>
      <c r="D7448" s="2" t="s">
        <v>12</v>
      </c>
      <c r="E7448" s="2" t="s">
        <v>12</v>
      </c>
      <c r="F7448" s="2" t="s">
        <v>12</v>
      </c>
      <c r="G7448" s="2" t="s">
        <v>12</v>
      </c>
      <c r="H7448" s="2" t="s">
        <v>12</v>
      </c>
      <c r="I7448" s="2" t="s">
        <v>12</v>
      </c>
      <c r="J7448" s="2" t="s">
        <v>12</v>
      </c>
      <c r="K7448" s="2" t="s">
        <v>12</v>
      </c>
    </row>
    <row r="7449" spans="1:11" ht="12.5" x14ac:dyDescent="0.25">
      <c r="A7449" s="3" t="e">
        <f ca="1"/>
        <v>#NAME?</v>
      </c>
      <c r="B7449" s="2" t="s">
        <v>12</v>
      </c>
      <c r="C7449" s="2" t="s">
        <v>12</v>
      </c>
      <c r="D7449" s="2" t="s">
        <v>12</v>
      </c>
      <c r="E7449" s="2" t="s">
        <v>12</v>
      </c>
      <c r="F7449" s="2" t="s">
        <v>12</v>
      </c>
      <c r="G7449" s="2" t="s">
        <v>12</v>
      </c>
      <c r="H7449" s="2" t="s">
        <v>12</v>
      </c>
      <c r="I7449" s="2" t="s">
        <v>12</v>
      </c>
      <c r="J7449" s="2" t="s">
        <v>12</v>
      </c>
      <c r="K7449" s="2" t="s">
        <v>12</v>
      </c>
    </row>
    <row r="7450" spans="1:11" ht="12.5" x14ac:dyDescent="0.25">
      <c r="A7450" s="3" t="e">
        <f ca="1"/>
        <v>#NAME?</v>
      </c>
      <c r="B7450" s="2" t="s">
        <v>12</v>
      </c>
      <c r="C7450" s="2" t="s">
        <v>12</v>
      </c>
      <c r="D7450" s="2" t="s">
        <v>12</v>
      </c>
      <c r="E7450" s="2" t="s">
        <v>12</v>
      </c>
      <c r="F7450" s="2" t="s">
        <v>12</v>
      </c>
      <c r="G7450" s="2" t="s">
        <v>12</v>
      </c>
      <c r="H7450" s="2" t="s">
        <v>12</v>
      </c>
      <c r="I7450" s="2" t="s">
        <v>12</v>
      </c>
      <c r="J7450" s="2" t="s">
        <v>12</v>
      </c>
      <c r="K7450" s="2" t="s">
        <v>12</v>
      </c>
    </row>
    <row r="7451" spans="1:11" ht="12.5" x14ac:dyDescent="0.25">
      <c r="A7451" s="3" t="e">
        <f ca="1"/>
        <v>#NAME?</v>
      </c>
      <c r="B7451" s="2" t="s">
        <v>12</v>
      </c>
      <c r="C7451" s="2" t="s">
        <v>12</v>
      </c>
      <c r="D7451" s="2" t="s">
        <v>12</v>
      </c>
      <c r="E7451" s="2" t="s">
        <v>12</v>
      </c>
      <c r="F7451" s="2" t="s">
        <v>12</v>
      </c>
      <c r="G7451" s="2" t="s">
        <v>12</v>
      </c>
      <c r="H7451" s="2" t="s">
        <v>12</v>
      </c>
      <c r="I7451" s="2" t="s">
        <v>12</v>
      </c>
      <c r="J7451" s="2" t="s">
        <v>12</v>
      </c>
      <c r="K7451" s="2" t="s">
        <v>12</v>
      </c>
    </row>
    <row r="7452" spans="1:11" ht="12.5" x14ac:dyDescent="0.25">
      <c r="A7452" s="3" t="e">
        <f ca="1"/>
        <v>#NAME?</v>
      </c>
      <c r="B7452" s="2" t="s">
        <v>12</v>
      </c>
      <c r="C7452" s="2" t="s">
        <v>12</v>
      </c>
      <c r="D7452" s="2" t="s">
        <v>12</v>
      </c>
      <c r="E7452" s="2" t="s">
        <v>12</v>
      </c>
      <c r="F7452" s="2" t="s">
        <v>12</v>
      </c>
      <c r="G7452" s="2" t="s">
        <v>12</v>
      </c>
      <c r="H7452" s="2" t="s">
        <v>12</v>
      </c>
      <c r="I7452" s="2" t="s">
        <v>12</v>
      </c>
      <c r="J7452" s="2" t="s">
        <v>12</v>
      </c>
      <c r="K7452" s="2" t="s">
        <v>12</v>
      </c>
    </row>
    <row r="7453" spans="1:11" ht="12.5" x14ac:dyDescent="0.25">
      <c r="A7453" s="3" t="e">
        <f ca="1"/>
        <v>#NAME?</v>
      </c>
      <c r="B7453" s="2" t="s">
        <v>12</v>
      </c>
      <c r="C7453" s="2" t="s">
        <v>12</v>
      </c>
      <c r="D7453" s="2" t="s">
        <v>12</v>
      </c>
      <c r="E7453" s="2" t="s">
        <v>12</v>
      </c>
      <c r="F7453" s="2" t="s">
        <v>12</v>
      </c>
      <c r="G7453" s="2" t="s">
        <v>12</v>
      </c>
      <c r="H7453" s="2" t="s">
        <v>12</v>
      </c>
      <c r="I7453" s="2" t="s">
        <v>12</v>
      </c>
      <c r="J7453" s="2" t="s">
        <v>12</v>
      </c>
      <c r="K7453" s="2" t="s">
        <v>12</v>
      </c>
    </row>
    <row r="7454" spans="1:11" ht="12.5" x14ac:dyDescent="0.25">
      <c r="A7454" s="3" t="e">
        <f ca="1"/>
        <v>#NAME?</v>
      </c>
      <c r="B7454" s="2" t="s">
        <v>12</v>
      </c>
      <c r="C7454" s="2" t="s">
        <v>12</v>
      </c>
      <c r="D7454" s="2" t="s">
        <v>12</v>
      </c>
      <c r="E7454" s="2" t="s">
        <v>12</v>
      </c>
      <c r="F7454" s="2" t="s">
        <v>12</v>
      </c>
      <c r="G7454" s="2" t="s">
        <v>12</v>
      </c>
      <c r="H7454" s="2" t="s">
        <v>12</v>
      </c>
      <c r="I7454" s="2" t="s">
        <v>12</v>
      </c>
      <c r="J7454" s="2" t="s">
        <v>12</v>
      </c>
      <c r="K7454" s="2" t="s">
        <v>12</v>
      </c>
    </row>
    <row r="7455" spans="1:11" ht="12.5" x14ac:dyDescent="0.25">
      <c r="A7455" s="3" t="e">
        <f ca="1"/>
        <v>#NAME?</v>
      </c>
      <c r="B7455" s="2" t="s">
        <v>12</v>
      </c>
      <c r="C7455" s="2" t="s">
        <v>12</v>
      </c>
      <c r="D7455" s="2" t="s">
        <v>12</v>
      </c>
      <c r="E7455" s="2" t="s">
        <v>12</v>
      </c>
      <c r="F7455" s="2" t="s">
        <v>12</v>
      </c>
      <c r="G7455" s="2" t="s">
        <v>12</v>
      </c>
      <c r="H7455" s="2" t="s">
        <v>12</v>
      </c>
      <c r="I7455" s="2" t="s">
        <v>12</v>
      </c>
      <c r="J7455" s="2" t="s">
        <v>12</v>
      </c>
      <c r="K7455" s="2" t="s">
        <v>12</v>
      </c>
    </row>
    <row r="7456" spans="1:11" ht="12.5" x14ac:dyDescent="0.25">
      <c r="A7456" s="3" t="e">
        <f ca="1"/>
        <v>#NAME?</v>
      </c>
      <c r="B7456" s="2" t="s">
        <v>12</v>
      </c>
      <c r="C7456" s="2" t="s">
        <v>12</v>
      </c>
      <c r="D7456" s="2" t="s">
        <v>12</v>
      </c>
      <c r="E7456" s="2" t="s">
        <v>12</v>
      </c>
      <c r="F7456" s="2" t="s">
        <v>12</v>
      </c>
      <c r="G7456" s="2" t="s">
        <v>12</v>
      </c>
      <c r="H7456" s="2" t="s">
        <v>12</v>
      </c>
      <c r="I7456" s="2" t="s">
        <v>12</v>
      </c>
      <c r="J7456" s="2" t="s">
        <v>12</v>
      </c>
      <c r="K7456" s="2" t="s">
        <v>12</v>
      </c>
    </row>
    <row r="7457" spans="1:11" ht="12.5" x14ac:dyDescent="0.25">
      <c r="A7457" s="3" t="e">
        <f ca="1"/>
        <v>#NAME?</v>
      </c>
      <c r="B7457" s="2" t="s">
        <v>12</v>
      </c>
      <c r="C7457" s="2" t="s">
        <v>12</v>
      </c>
      <c r="D7457" s="2" t="s">
        <v>12</v>
      </c>
      <c r="E7457" s="2" t="s">
        <v>12</v>
      </c>
      <c r="F7457" s="2" t="s">
        <v>12</v>
      </c>
      <c r="G7457" s="2" t="s">
        <v>12</v>
      </c>
      <c r="H7457" s="2" t="s">
        <v>12</v>
      </c>
      <c r="I7457" s="2" t="s">
        <v>12</v>
      </c>
      <c r="J7457" s="2" t="s">
        <v>12</v>
      </c>
      <c r="K7457" s="2" t="s">
        <v>12</v>
      </c>
    </row>
    <row r="7458" spans="1:11" ht="12.5" x14ac:dyDescent="0.25">
      <c r="A7458" s="3" t="e">
        <f ca="1"/>
        <v>#NAME?</v>
      </c>
      <c r="B7458" s="2" t="s">
        <v>12</v>
      </c>
      <c r="C7458" s="2" t="s">
        <v>12</v>
      </c>
      <c r="D7458" s="2" t="s">
        <v>12</v>
      </c>
      <c r="E7458" s="2" t="s">
        <v>12</v>
      </c>
      <c r="F7458" s="2" t="s">
        <v>12</v>
      </c>
      <c r="G7458" s="2" t="s">
        <v>12</v>
      </c>
      <c r="H7458" s="2" t="s">
        <v>12</v>
      </c>
      <c r="I7458" s="2" t="s">
        <v>12</v>
      </c>
      <c r="J7458" s="2" t="s">
        <v>12</v>
      </c>
      <c r="K7458" s="2" t="s">
        <v>12</v>
      </c>
    </row>
    <row r="7459" spans="1:11" ht="12.5" x14ac:dyDescent="0.25">
      <c r="A7459" s="3" t="e">
        <f ca="1"/>
        <v>#NAME?</v>
      </c>
      <c r="B7459" s="2" t="s">
        <v>12</v>
      </c>
      <c r="C7459" s="2" t="s">
        <v>12</v>
      </c>
      <c r="D7459" s="2" t="s">
        <v>12</v>
      </c>
      <c r="E7459" s="2" t="s">
        <v>12</v>
      </c>
      <c r="F7459" s="2" t="s">
        <v>12</v>
      </c>
      <c r="G7459" s="2" t="s">
        <v>12</v>
      </c>
      <c r="H7459" s="2" t="s">
        <v>12</v>
      </c>
      <c r="I7459" s="2" t="s">
        <v>12</v>
      </c>
      <c r="J7459" s="2" t="s">
        <v>12</v>
      </c>
      <c r="K7459" s="2" t="s">
        <v>12</v>
      </c>
    </row>
    <row r="7460" spans="1:11" ht="12.5" x14ac:dyDescent="0.25">
      <c r="A7460" s="3" t="e">
        <f ca="1"/>
        <v>#NAME?</v>
      </c>
      <c r="B7460" s="2" t="s">
        <v>12</v>
      </c>
      <c r="C7460" s="2" t="s">
        <v>12</v>
      </c>
      <c r="D7460" s="2" t="s">
        <v>12</v>
      </c>
      <c r="E7460" s="2" t="s">
        <v>12</v>
      </c>
      <c r="F7460" s="2" t="s">
        <v>12</v>
      </c>
      <c r="G7460" s="2" t="s">
        <v>12</v>
      </c>
      <c r="H7460" s="2" t="s">
        <v>12</v>
      </c>
      <c r="I7460" s="2" t="s">
        <v>12</v>
      </c>
      <c r="J7460" s="2" t="s">
        <v>12</v>
      </c>
      <c r="K7460" s="2" t="s">
        <v>12</v>
      </c>
    </row>
    <row r="7461" spans="1:11" ht="12.5" x14ac:dyDescent="0.25">
      <c r="A7461" s="3" t="e">
        <f ca="1"/>
        <v>#NAME?</v>
      </c>
      <c r="B7461" s="2" t="s">
        <v>12</v>
      </c>
      <c r="C7461" s="2" t="s">
        <v>12</v>
      </c>
      <c r="D7461" s="2" t="s">
        <v>12</v>
      </c>
      <c r="E7461" s="2" t="s">
        <v>12</v>
      </c>
      <c r="F7461" s="2" t="s">
        <v>12</v>
      </c>
      <c r="G7461" s="2" t="s">
        <v>12</v>
      </c>
      <c r="H7461" s="2" t="s">
        <v>12</v>
      </c>
      <c r="I7461" s="2" t="s">
        <v>12</v>
      </c>
      <c r="J7461" s="2" t="s">
        <v>12</v>
      </c>
      <c r="K7461" s="2" t="s">
        <v>12</v>
      </c>
    </row>
    <row r="7462" spans="1:11" ht="12.5" x14ac:dyDescent="0.25">
      <c r="A7462" s="3" t="e">
        <f ca="1"/>
        <v>#NAME?</v>
      </c>
      <c r="B7462" s="2" t="s">
        <v>12</v>
      </c>
      <c r="C7462" s="2" t="s">
        <v>12</v>
      </c>
      <c r="D7462" s="2" t="s">
        <v>12</v>
      </c>
      <c r="E7462" s="2" t="s">
        <v>12</v>
      </c>
      <c r="F7462" s="2" t="s">
        <v>12</v>
      </c>
      <c r="G7462" s="2" t="s">
        <v>12</v>
      </c>
      <c r="H7462" s="2" t="s">
        <v>12</v>
      </c>
      <c r="I7462" s="2" t="s">
        <v>12</v>
      </c>
      <c r="J7462" s="2" t="s">
        <v>12</v>
      </c>
      <c r="K7462" s="2" t="s">
        <v>12</v>
      </c>
    </row>
    <row r="7463" spans="1:11" ht="12.5" x14ac:dyDescent="0.25">
      <c r="A7463" s="3" t="e">
        <f ca="1"/>
        <v>#NAME?</v>
      </c>
      <c r="B7463" s="2" t="s">
        <v>12</v>
      </c>
      <c r="C7463" s="2" t="s">
        <v>12</v>
      </c>
      <c r="D7463" s="2" t="s">
        <v>12</v>
      </c>
      <c r="E7463" s="2" t="s">
        <v>12</v>
      </c>
      <c r="F7463" s="2" t="s">
        <v>12</v>
      </c>
      <c r="G7463" s="2" t="s">
        <v>12</v>
      </c>
      <c r="H7463" s="2" t="s">
        <v>12</v>
      </c>
      <c r="I7463" s="2" t="s">
        <v>12</v>
      </c>
      <c r="J7463" s="2" t="s">
        <v>12</v>
      </c>
      <c r="K7463" s="2" t="s">
        <v>12</v>
      </c>
    </row>
    <row r="7464" spans="1:11" ht="12.5" x14ac:dyDescent="0.25">
      <c r="A7464" s="3" t="e">
        <f ca="1"/>
        <v>#NAME?</v>
      </c>
      <c r="B7464" s="2" t="s">
        <v>12</v>
      </c>
      <c r="C7464" s="2" t="s">
        <v>12</v>
      </c>
      <c r="D7464" s="2" t="s">
        <v>12</v>
      </c>
      <c r="E7464" s="2" t="s">
        <v>12</v>
      </c>
      <c r="F7464" s="2" t="s">
        <v>12</v>
      </c>
      <c r="G7464" s="2" t="s">
        <v>12</v>
      </c>
      <c r="H7464" s="2" t="s">
        <v>12</v>
      </c>
      <c r="I7464" s="2" t="s">
        <v>12</v>
      </c>
      <c r="J7464" s="2" t="s">
        <v>12</v>
      </c>
      <c r="K7464" s="2" t="s">
        <v>12</v>
      </c>
    </row>
    <row r="7465" spans="1:11" ht="12.5" x14ac:dyDescent="0.25">
      <c r="A7465" s="3" t="e">
        <f ca="1"/>
        <v>#NAME?</v>
      </c>
      <c r="B7465" s="2" t="s">
        <v>12</v>
      </c>
      <c r="C7465" s="2" t="s">
        <v>12</v>
      </c>
      <c r="D7465" s="2" t="s">
        <v>12</v>
      </c>
      <c r="E7465" s="2" t="s">
        <v>12</v>
      </c>
      <c r="F7465" s="2" t="s">
        <v>12</v>
      </c>
      <c r="G7465" s="2" t="s">
        <v>12</v>
      </c>
      <c r="H7465" s="2" t="s">
        <v>12</v>
      </c>
      <c r="I7465" s="2" t="s">
        <v>12</v>
      </c>
      <c r="J7465" s="2" t="s">
        <v>12</v>
      </c>
      <c r="K7465" s="2" t="s">
        <v>12</v>
      </c>
    </row>
    <row r="7466" spans="1:11" ht="12.5" x14ac:dyDescent="0.25">
      <c r="A7466" s="3" t="e">
        <f ca="1"/>
        <v>#NAME?</v>
      </c>
      <c r="B7466" s="2" t="s">
        <v>12</v>
      </c>
      <c r="C7466" s="2" t="s">
        <v>12</v>
      </c>
      <c r="D7466" s="2" t="s">
        <v>12</v>
      </c>
      <c r="E7466" s="2" t="s">
        <v>12</v>
      </c>
      <c r="F7466" s="2" t="s">
        <v>12</v>
      </c>
      <c r="G7466" s="2" t="s">
        <v>12</v>
      </c>
      <c r="H7466" s="2" t="s">
        <v>12</v>
      </c>
      <c r="I7466" s="2" t="s">
        <v>12</v>
      </c>
      <c r="J7466" s="2" t="s">
        <v>12</v>
      </c>
      <c r="K7466" s="2" t="s">
        <v>12</v>
      </c>
    </row>
    <row r="7467" spans="1:11" ht="12.5" x14ac:dyDescent="0.25">
      <c r="A7467" s="3" t="e">
        <f ca="1"/>
        <v>#NAME?</v>
      </c>
      <c r="B7467" s="2" t="s">
        <v>12</v>
      </c>
      <c r="C7467" s="2" t="s">
        <v>12</v>
      </c>
      <c r="D7467" s="2" t="s">
        <v>12</v>
      </c>
      <c r="E7467" s="2" t="s">
        <v>12</v>
      </c>
      <c r="F7467" s="2" t="s">
        <v>12</v>
      </c>
      <c r="G7467" s="2" t="s">
        <v>12</v>
      </c>
      <c r="H7467" s="2" t="s">
        <v>12</v>
      </c>
      <c r="I7467" s="2" t="s">
        <v>12</v>
      </c>
      <c r="J7467" s="2" t="s">
        <v>12</v>
      </c>
      <c r="K7467" s="2" t="s">
        <v>12</v>
      </c>
    </row>
    <row r="7468" spans="1:11" ht="12.5" x14ac:dyDescent="0.25">
      <c r="A7468" s="3" t="e">
        <f ca="1"/>
        <v>#NAME?</v>
      </c>
      <c r="B7468" s="2" t="s">
        <v>12</v>
      </c>
      <c r="C7468" s="2" t="s">
        <v>12</v>
      </c>
      <c r="D7468" s="2" t="s">
        <v>12</v>
      </c>
      <c r="E7468" s="2" t="s">
        <v>12</v>
      </c>
      <c r="F7468" s="2" t="s">
        <v>12</v>
      </c>
      <c r="G7468" s="2" t="s">
        <v>12</v>
      </c>
      <c r="H7468" s="2" t="s">
        <v>12</v>
      </c>
      <c r="I7468" s="2" t="s">
        <v>12</v>
      </c>
      <c r="J7468" s="2" t="s">
        <v>12</v>
      </c>
      <c r="K7468" s="2" t="s">
        <v>12</v>
      </c>
    </row>
    <row r="7469" spans="1:11" ht="12.5" x14ac:dyDescent="0.25">
      <c r="A7469" s="3" t="e">
        <f ca="1"/>
        <v>#NAME?</v>
      </c>
      <c r="B7469" s="2" t="s">
        <v>12</v>
      </c>
      <c r="C7469" s="2" t="s">
        <v>12</v>
      </c>
      <c r="D7469" s="2" t="s">
        <v>12</v>
      </c>
      <c r="E7469" s="2" t="s">
        <v>12</v>
      </c>
      <c r="F7469" s="2" t="s">
        <v>12</v>
      </c>
      <c r="G7469" s="2" t="s">
        <v>12</v>
      </c>
      <c r="H7469" s="2" t="s">
        <v>12</v>
      </c>
      <c r="I7469" s="2" t="s">
        <v>12</v>
      </c>
      <c r="J7469" s="2" t="s">
        <v>12</v>
      </c>
      <c r="K7469" s="2" t="s">
        <v>12</v>
      </c>
    </row>
    <row r="7470" spans="1:11" ht="12.5" x14ac:dyDescent="0.25">
      <c r="A7470" s="3" t="e">
        <f ca="1"/>
        <v>#NAME?</v>
      </c>
      <c r="B7470" s="2" t="s">
        <v>12</v>
      </c>
      <c r="C7470" s="2" t="s">
        <v>12</v>
      </c>
      <c r="D7470" s="2" t="s">
        <v>12</v>
      </c>
      <c r="E7470" s="2" t="s">
        <v>12</v>
      </c>
      <c r="F7470" s="2" t="s">
        <v>12</v>
      </c>
      <c r="G7470" s="2" t="s">
        <v>12</v>
      </c>
      <c r="H7470" s="2" t="s">
        <v>12</v>
      </c>
      <c r="I7470" s="2" t="s">
        <v>12</v>
      </c>
      <c r="J7470" s="2" t="s">
        <v>12</v>
      </c>
      <c r="K7470" s="2" t="s">
        <v>12</v>
      </c>
    </row>
    <row r="7471" spans="1:11" ht="12.5" x14ac:dyDescent="0.25">
      <c r="A7471" s="3" t="e">
        <f ca="1"/>
        <v>#NAME?</v>
      </c>
      <c r="B7471" s="2" t="s">
        <v>12</v>
      </c>
      <c r="C7471" s="2" t="s">
        <v>12</v>
      </c>
      <c r="D7471" s="2" t="s">
        <v>12</v>
      </c>
      <c r="E7471" s="2" t="s">
        <v>12</v>
      </c>
      <c r="F7471" s="2" t="s">
        <v>12</v>
      </c>
      <c r="G7471" s="2" t="s">
        <v>12</v>
      </c>
      <c r="H7471" s="2" t="s">
        <v>12</v>
      </c>
      <c r="I7471" s="2" t="s">
        <v>12</v>
      </c>
      <c r="J7471" s="2" t="s">
        <v>12</v>
      </c>
      <c r="K7471" s="2" t="s">
        <v>12</v>
      </c>
    </row>
    <row r="7472" spans="1:11" ht="12.5" x14ac:dyDescent="0.25">
      <c r="A7472" s="3" t="e">
        <f ca="1"/>
        <v>#NAME?</v>
      </c>
      <c r="B7472" s="2" t="s">
        <v>12</v>
      </c>
      <c r="C7472" s="2" t="s">
        <v>12</v>
      </c>
      <c r="D7472" s="2" t="s">
        <v>12</v>
      </c>
      <c r="E7472" s="2" t="s">
        <v>12</v>
      </c>
      <c r="F7472" s="2" t="s">
        <v>12</v>
      </c>
      <c r="G7472" s="2" t="s">
        <v>12</v>
      </c>
      <c r="H7472" s="2" t="s">
        <v>12</v>
      </c>
      <c r="I7472" s="2" t="s">
        <v>12</v>
      </c>
      <c r="J7472" s="2" t="s">
        <v>12</v>
      </c>
      <c r="K7472" s="2" t="s">
        <v>12</v>
      </c>
    </row>
    <row r="7473" spans="1:11" ht="12.5" x14ac:dyDescent="0.25">
      <c r="A7473" s="3" t="e">
        <f ca="1"/>
        <v>#NAME?</v>
      </c>
      <c r="B7473" s="2" t="s">
        <v>12</v>
      </c>
      <c r="C7473" s="2" t="s">
        <v>12</v>
      </c>
      <c r="D7473" s="2" t="s">
        <v>12</v>
      </c>
      <c r="E7473" s="2" t="s">
        <v>12</v>
      </c>
      <c r="F7473" s="2" t="s">
        <v>12</v>
      </c>
      <c r="G7473" s="2" t="s">
        <v>12</v>
      </c>
      <c r="H7473" s="2" t="s">
        <v>12</v>
      </c>
      <c r="I7473" s="2" t="s">
        <v>12</v>
      </c>
      <c r="J7473" s="2" t="s">
        <v>12</v>
      </c>
      <c r="K7473" s="2" t="s">
        <v>12</v>
      </c>
    </row>
    <row r="7474" spans="1:11" ht="12.5" x14ac:dyDescent="0.25">
      <c r="A7474" s="3" t="e">
        <f ca="1"/>
        <v>#NAME?</v>
      </c>
      <c r="B7474" s="2" t="s">
        <v>12</v>
      </c>
      <c r="C7474" s="2" t="s">
        <v>12</v>
      </c>
      <c r="D7474" s="2" t="s">
        <v>12</v>
      </c>
      <c r="E7474" s="2" t="s">
        <v>12</v>
      </c>
      <c r="F7474" s="2" t="s">
        <v>12</v>
      </c>
      <c r="G7474" s="2" t="s">
        <v>12</v>
      </c>
      <c r="H7474" s="2" t="s">
        <v>12</v>
      </c>
      <c r="I7474" s="2" t="s">
        <v>12</v>
      </c>
      <c r="J7474" s="2" t="s">
        <v>12</v>
      </c>
      <c r="K7474" s="2" t="s">
        <v>12</v>
      </c>
    </row>
    <row r="7475" spans="1:11" ht="12.5" x14ac:dyDescent="0.25">
      <c r="A7475" s="3" t="e">
        <f ca="1"/>
        <v>#NAME?</v>
      </c>
      <c r="B7475" s="2" t="s">
        <v>12</v>
      </c>
      <c r="C7475" s="2" t="s">
        <v>12</v>
      </c>
      <c r="D7475" s="2" t="s">
        <v>12</v>
      </c>
      <c r="E7475" s="2" t="s">
        <v>12</v>
      </c>
      <c r="F7475" s="2" t="s">
        <v>12</v>
      </c>
      <c r="G7475" s="2" t="s">
        <v>12</v>
      </c>
      <c r="H7475" s="2" t="s">
        <v>12</v>
      </c>
      <c r="I7475" s="2" t="s">
        <v>12</v>
      </c>
      <c r="J7475" s="2" t="s">
        <v>12</v>
      </c>
      <c r="K7475" s="2" t="s">
        <v>12</v>
      </c>
    </row>
    <row r="7476" spans="1:11" ht="12.5" x14ac:dyDescent="0.25">
      <c r="A7476" s="3" t="e">
        <f ca="1"/>
        <v>#NAME?</v>
      </c>
      <c r="B7476" s="2" t="s">
        <v>12</v>
      </c>
      <c r="C7476" s="2" t="s">
        <v>12</v>
      </c>
      <c r="D7476" s="2" t="s">
        <v>12</v>
      </c>
      <c r="E7476" s="2" t="s">
        <v>12</v>
      </c>
      <c r="F7476" s="2" t="s">
        <v>12</v>
      </c>
      <c r="G7476" s="2" t="s">
        <v>12</v>
      </c>
      <c r="H7476" s="2" t="s">
        <v>12</v>
      </c>
      <c r="I7476" s="2" t="s">
        <v>12</v>
      </c>
      <c r="J7476" s="2" t="s">
        <v>12</v>
      </c>
      <c r="K7476" s="2" t="s">
        <v>12</v>
      </c>
    </row>
    <row r="7477" spans="1:11" ht="12.5" x14ac:dyDescent="0.25">
      <c r="A7477" s="3" t="e">
        <f ca="1"/>
        <v>#NAME?</v>
      </c>
      <c r="B7477" s="2" t="s">
        <v>12</v>
      </c>
      <c r="C7477" s="2" t="s">
        <v>12</v>
      </c>
      <c r="D7477" s="2" t="s">
        <v>12</v>
      </c>
      <c r="E7477" s="2" t="s">
        <v>12</v>
      </c>
      <c r="F7477" s="2" t="s">
        <v>12</v>
      </c>
      <c r="G7477" s="2" t="s">
        <v>12</v>
      </c>
      <c r="H7477" s="2" t="s">
        <v>12</v>
      </c>
      <c r="I7477" s="2" t="s">
        <v>12</v>
      </c>
      <c r="J7477" s="2" t="s">
        <v>12</v>
      </c>
      <c r="K7477" s="2" t="s">
        <v>12</v>
      </c>
    </row>
    <row r="7478" spans="1:11" ht="12.5" x14ac:dyDescent="0.25">
      <c r="A7478" s="3" t="e">
        <f ca="1"/>
        <v>#NAME?</v>
      </c>
      <c r="B7478" s="2" t="s">
        <v>12</v>
      </c>
      <c r="C7478" s="2" t="s">
        <v>12</v>
      </c>
      <c r="D7478" s="2" t="s">
        <v>12</v>
      </c>
      <c r="E7478" s="2" t="s">
        <v>12</v>
      </c>
      <c r="F7478" s="2" t="s">
        <v>12</v>
      </c>
      <c r="G7478" s="2" t="s">
        <v>12</v>
      </c>
      <c r="H7478" s="2" t="s">
        <v>12</v>
      </c>
      <c r="I7478" s="2" t="s">
        <v>12</v>
      </c>
      <c r="J7478" s="2" t="s">
        <v>12</v>
      </c>
      <c r="K7478" s="2" t="s">
        <v>12</v>
      </c>
    </row>
    <row r="7479" spans="1:11" ht="12.5" x14ac:dyDescent="0.25">
      <c r="A7479" s="3" t="e">
        <f ca="1"/>
        <v>#NAME?</v>
      </c>
      <c r="B7479" s="2" t="s">
        <v>12</v>
      </c>
      <c r="C7479" s="2" t="s">
        <v>12</v>
      </c>
      <c r="D7479" s="2" t="s">
        <v>12</v>
      </c>
      <c r="E7479" s="2" t="s">
        <v>12</v>
      </c>
      <c r="F7479" s="2" t="s">
        <v>12</v>
      </c>
      <c r="G7479" s="2" t="s">
        <v>12</v>
      </c>
      <c r="H7479" s="2" t="s">
        <v>12</v>
      </c>
      <c r="I7479" s="2" t="s">
        <v>12</v>
      </c>
      <c r="J7479" s="2" t="s">
        <v>12</v>
      </c>
      <c r="K7479" s="2" t="s">
        <v>12</v>
      </c>
    </row>
    <row r="7480" spans="1:11" ht="12.5" x14ac:dyDescent="0.25">
      <c r="A7480" s="3" t="e">
        <f ca="1"/>
        <v>#NAME?</v>
      </c>
      <c r="B7480" s="2" t="s">
        <v>12</v>
      </c>
      <c r="C7480" s="2" t="s">
        <v>12</v>
      </c>
      <c r="D7480" s="2" t="s">
        <v>12</v>
      </c>
      <c r="E7480" s="2" t="s">
        <v>12</v>
      </c>
      <c r="F7480" s="2" t="s">
        <v>12</v>
      </c>
      <c r="G7480" s="2" t="s">
        <v>12</v>
      </c>
      <c r="H7480" s="2" t="s">
        <v>12</v>
      </c>
      <c r="I7480" s="2" t="s">
        <v>12</v>
      </c>
      <c r="J7480" s="2" t="s">
        <v>12</v>
      </c>
      <c r="K7480" s="2" t="s">
        <v>12</v>
      </c>
    </row>
    <row r="7481" spans="1:11" ht="12.5" x14ac:dyDescent="0.25">
      <c r="A7481" s="3" t="e">
        <f ca="1"/>
        <v>#NAME?</v>
      </c>
      <c r="B7481" s="2" t="s">
        <v>12</v>
      </c>
      <c r="C7481" s="2" t="s">
        <v>12</v>
      </c>
      <c r="D7481" s="2" t="s">
        <v>12</v>
      </c>
      <c r="E7481" s="2" t="s">
        <v>12</v>
      </c>
      <c r="F7481" s="2" t="s">
        <v>12</v>
      </c>
      <c r="G7481" s="2" t="s">
        <v>12</v>
      </c>
      <c r="H7481" s="2" t="s">
        <v>12</v>
      </c>
      <c r="I7481" s="2" t="s">
        <v>12</v>
      </c>
      <c r="J7481" s="2" t="s">
        <v>12</v>
      </c>
      <c r="K7481" s="2" t="s">
        <v>12</v>
      </c>
    </row>
    <row r="7482" spans="1:11" ht="12.5" x14ac:dyDescent="0.25">
      <c r="A7482" s="3" t="e">
        <f ca="1"/>
        <v>#NAME?</v>
      </c>
      <c r="B7482" s="2" t="s">
        <v>12</v>
      </c>
      <c r="C7482" s="2" t="s">
        <v>12</v>
      </c>
      <c r="D7482" s="2" t="s">
        <v>12</v>
      </c>
      <c r="E7482" s="2" t="s">
        <v>12</v>
      </c>
      <c r="F7482" s="2" t="s">
        <v>12</v>
      </c>
      <c r="G7482" s="2" t="s">
        <v>12</v>
      </c>
      <c r="H7482" s="2" t="s">
        <v>12</v>
      </c>
      <c r="I7482" s="2" t="s">
        <v>12</v>
      </c>
      <c r="J7482" s="2" t="s">
        <v>12</v>
      </c>
      <c r="K7482" s="2" t="s">
        <v>12</v>
      </c>
    </row>
    <row r="7483" spans="1:11" ht="12.5" x14ac:dyDescent="0.25">
      <c r="A7483" s="3" t="e">
        <f ca="1"/>
        <v>#NAME?</v>
      </c>
      <c r="B7483" s="2" t="s">
        <v>12</v>
      </c>
      <c r="C7483" s="2" t="s">
        <v>12</v>
      </c>
      <c r="D7483" s="2" t="s">
        <v>12</v>
      </c>
      <c r="E7483" s="2" t="s">
        <v>12</v>
      </c>
      <c r="F7483" s="2" t="s">
        <v>12</v>
      </c>
      <c r="G7483" s="2" t="s">
        <v>12</v>
      </c>
      <c r="H7483" s="2" t="s">
        <v>12</v>
      </c>
      <c r="I7483" s="2" t="s">
        <v>12</v>
      </c>
      <c r="J7483" s="2" t="s">
        <v>12</v>
      </c>
      <c r="K7483" s="2" t="s">
        <v>12</v>
      </c>
    </row>
    <row r="7484" spans="1:11" ht="12.5" x14ac:dyDescent="0.25">
      <c r="A7484" s="3" t="e">
        <f ca="1"/>
        <v>#NAME?</v>
      </c>
      <c r="B7484" s="2" t="s">
        <v>12</v>
      </c>
      <c r="C7484" s="2" t="s">
        <v>12</v>
      </c>
      <c r="D7484" s="2" t="s">
        <v>12</v>
      </c>
      <c r="E7484" s="2" t="s">
        <v>12</v>
      </c>
      <c r="F7484" s="2" t="s">
        <v>12</v>
      </c>
      <c r="G7484" s="2" t="s">
        <v>12</v>
      </c>
      <c r="H7484" s="2" t="s">
        <v>12</v>
      </c>
      <c r="I7484" s="2" t="s">
        <v>12</v>
      </c>
      <c r="J7484" s="2" t="s">
        <v>12</v>
      </c>
      <c r="K7484" s="2" t="s">
        <v>12</v>
      </c>
    </row>
    <row r="7485" spans="1:11" ht="12.5" x14ac:dyDescent="0.25">
      <c r="A7485" s="3" t="e">
        <f ca="1"/>
        <v>#NAME?</v>
      </c>
      <c r="B7485" s="2" t="s">
        <v>12</v>
      </c>
      <c r="C7485" s="2" t="s">
        <v>12</v>
      </c>
      <c r="D7485" s="2" t="s">
        <v>12</v>
      </c>
      <c r="E7485" s="2" t="s">
        <v>12</v>
      </c>
      <c r="F7485" s="2" t="s">
        <v>12</v>
      </c>
      <c r="G7485" s="2" t="s">
        <v>12</v>
      </c>
      <c r="H7485" s="2" t="s">
        <v>12</v>
      </c>
      <c r="I7485" s="2" t="s">
        <v>12</v>
      </c>
      <c r="J7485" s="2" t="s">
        <v>12</v>
      </c>
      <c r="K7485" s="2" t="s">
        <v>12</v>
      </c>
    </row>
    <row r="7486" spans="1:11" ht="12.5" x14ac:dyDescent="0.25">
      <c r="A7486" s="3" t="e">
        <f ca="1"/>
        <v>#NAME?</v>
      </c>
      <c r="B7486" s="2" t="s">
        <v>12</v>
      </c>
      <c r="C7486" s="2" t="s">
        <v>12</v>
      </c>
      <c r="D7486" s="2" t="s">
        <v>12</v>
      </c>
      <c r="E7486" s="2" t="s">
        <v>12</v>
      </c>
      <c r="F7486" s="2" t="s">
        <v>12</v>
      </c>
      <c r="G7486" s="2" t="s">
        <v>12</v>
      </c>
      <c r="H7486" s="2" t="s">
        <v>12</v>
      </c>
      <c r="I7486" s="2" t="s">
        <v>12</v>
      </c>
      <c r="J7486" s="2" t="s">
        <v>12</v>
      </c>
      <c r="K7486" s="2" t="s">
        <v>12</v>
      </c>
    </row>
    <row r="7487" spans="1:11" ht="12.5" x14ac:dyDescent="0.25">
      <c r="A7487" s="3" t="e">
        <f ca="1"/>
        <v>#NAME?</v>
      </c>
      <c r="B7487" s="2" t="s">
        <v>12</v>
      </c>
      <c r="C7487" s="2" t="s">
        <v>12</v>
      </c>
      <c r="D7487" s="2" t="s">
        <v>12</v>
      </c>
      <c r="E7487" s="2" t="s">
        <v>12</v>
      </c>
      <c r="F7487" s="2" t="s">
        <v>12</v>
      </c>
      <c r="G7487" s="2" t="s">
        <v>12</v>
      </c>
      <c r="H7487" s="2" t="s">
        <v>12</v>
      </c>
      <c r="I7487" s="2" t="s">
        <v>12</v>
      </c>
      <c r="J7487" s="2" t="s">
        <v>12</v>
      </c>
      <c r="K7487" s="2" t="s">
        <v>12</v>
      </c>
    </row>
    <row r="7488" spans="1:11" ht="12.5" x14ac:dyDescent="0.25">
      <c r="A7488" s="3" t="e">
        <f ca="1"/>
        <v>#NAME?</v>
      </c>
      <c r="B7488" s="2" t="s">
        <v>12</v>
      </c>
      <c r="C7488" s="2" t="s">
        <v>12</v>
      </c>
      <c r="D7488" s="2" t="s">
        <v>12</v>
      </c>
      <c r="E7488" s="2" t="s">
        <v>12</v>
      </c>
      <c r="F7488" s="2" t="s">
        <v>12</v>
      </c>
      <c r="G7488" s="2" t="s">
        <v>12</v>
      </c>
      <c r="H7488" s="2" t="s">
        <v>12</v>
      </c>
      <c r="I7488" s="2" t="s">
        <v>12</v>
      </c>
      <c r="J7488" s="2" t="s">
        <v>12</v>
      </c>
      <c r="K7488" s="2" t="s">
        <v>12</v>
      </c>
    </row>
    <row r="7489" spans="1:11" ht="12.5" x14ac:dyDescent="0.25">
      <c r="A7489" s="3" t="e">
        <f ca="1"/>
        <v>#NAME?</v>
      </c>
      <c r="B7489" s="2" t="s">
        <v>12</v>
      </c>
      <c r="C7489" s="2" t="s">
        <v>12</v>
      </c>
      <c r="D7489" s="2" t="s">
        <v>12</v>
      </c>
      <c r="E7489" s="2" t="s">
        <v>12</v>
      </c>
      <c r="F7489" s="2" t="s">
        <v>12</v>
      </c>
      <c r="G7489" s="2" t="s">
        <v>12</v>
      </c>
      <c r="H7489" s="2" t="s">
        <v>12</v>
      </c>
      <c r="I7489" s="2" t="s">
        <v>12</v>
      </c>
      <c r="J7489" s="2" t="s">
        <v>12</v>
      </c>
      <c r="K7489" s="2" t="s">
        <v>12</v>
      </c>
    </row>
    <row r="7490" spans="1:11" ht="12.5" x14ac:dyDescent="0.25">
      <c r="A7490" s="3" t="e">
        <f ca="1"/>
        <v>#NAME?</v>
      </c>
      <c r="B7490" s="2" t="s">
        <v>12</v>
      </c>
      <c r="C7490" s="2" t="s">
        <v>12</v>
      </c>
      <c r="D7490" s="2" t="s">
        <v>12</v>
      </c>
      <c r="E7490" s="2" t="s">
        <v>12</v>
      </c>
      <c r="F7490" s="2" t="s">
        <v>12</v>
      </c>
      <c r="G7490" s="2" t="s">
        <v>12</v>
      </c>
      <c r="H7490" s="2" t="s">
        <v>12</v>
      </c>
      <c r="I7490" s="2" t="s">
        <v>12</v>
      </c>
      <c r="J7490" s="2" t="s">
        <v>12</v>
      </c>
      <c r="K7490" s="2" t="s">
        <v>12</v>
      </c>
    </row>
    <row r="7491" spans="1:11" ht="12.5" x14ac:dyDescent="0.25">
      <c r="A7491" s="3" t="e">
        <f ca="1"/>
        <v>#NAME?</v>
      </c>
      <c r="B7491" s="2" t="s">
        <v>12</v>
      </c>
      <c r="C7491" s="2" t="s">
        <v>12</v>
      </c>
      <c r="D7491" s="2" t="s">
        <v>12</v>
      </c>
      <c r="E7491" s="2" t="s">
        <v>12</v>
      </c>
      <c r="F7491" s="2" t="s">
        <v>12</v>
      </c>
      <c r="G7491" s="2" t="s">
        <v>12</v>
      </c>
      <c r="H7491" s="2" t="s">
        <v>12</v>
      </c>
      <c r="I7491" s="2" t="s">
        <v>12</v>
      </c>
      <c r="J7491" s="2" t="s">
        <v>12</v>
      </c>
      <c r="K7491" s="2" t="s">
        <v>12</v>
      </c>
    </row>
    <row r="7492" spans="1:11" ht="12.5" x14ac:dyDescent="0.25">
      <c r="A7492" s="3" t="e">
        <f ca="1"/>
        <v>#NAME?</v>
      </c>
      <c r="B7492" s="2" t="s">
        <v>12</v>
      </c>
      <c r="C7492" s="2" t="s">
        <v>12</v>
      </c>
      <c r="D7492" s="2" t="s">
        <v>12</v>
      </c>
      <c r="E7492" s="2" t="s">
        <v>12</v>
      </c>
      <c r="F7492" s="2" t="s">
        <v>12</v>
      </c>
      <c r="G7492" s="2" t="s">
        <v>12</v>
      </c>
      <c r="H7492" s="2" t="s">
        <v>12</v>
      </c>
      <c r="I7492" s="2" t="s">
        <v>12</v>
      </c>
      <c r="J7492" s="2" t="s">
        <v>12</v>
      </c>
      <c r="K7492" s="2" t="s">
        <v>12</v>
      </c>
    </row>
    <row r="7493" spans="1:11" ht="12.5" x14ac:dyDescent="0.25">
      <c r="A7493" s="3" t="e">
        <f ca="1"/>
        <v>#NAME?</v>
      </c>
      <c r="B7493" s="2" t="s">
        <v>12</v>
      </c>
      <c r="C7493" s="2" t="s">
        <v>12</v>
      </c>
      <c r="D7493" s="2" t="s">
        <v>12</v>
      </c>
      <c r="E7493" s="2" t="s">
        <v>12</v>
      </c>
      <c r="F7493" s="2" t="s">
        <v>12</v>
      </c>
      <c r="G7493" s="2" t="s">
        <v>12</v>
      </c>
      <c r="H7493" s="2" t="s">
        <v>12</v>
      </c>
      <c r="I7493" s="2" t="s">
        <v>12</v>
      </c>
      <c r="J7493" s="2" t="s">
        <v>12</v>
      </c>
      <c r="K7493" s="2" t="s">
        <v>12</v>
      </c>
    </row>
    <row r="7494" spans="1:11" ht="12.5" x14ac:dyDescent="0.25">
      <c r="A7494" s="3" t="e">
        <f ca="1"/>
        <v>#NAME?</v>
      </c>
      <c r="B7494" s="2" t="s">
        <v>12</v>
      </c>
      <c r="C7494" s="2" t="s">
        <v>12</v>
      </c>
      <c r="D7494" s="2" t="s">
        <v>12</v>
      </c>
      <c r="E7494" s="2" t="s">
        <v>12</v>
      </c>
      <c r="F7494" s="2" t="s">
        <v>12</v>
      </c>
      <c r="G7494" s="2" t="s">
        <v>12</v>
      </c>
      <c r="H7494" s="2" t="s">
        <v>12</v>
      </c>
      <c r="I7494" s="2" t="s">
        <v>12</v>
      </c>
      <c r="J7494" s="2" t="s">
        <v>12</v>
      </c>
      <c r="K7494" s="2" t="s">
        <v>12</v>
      </c>
    </row>
    <row r="7495" spans="1:11" ht="12.5" x14ac:dyDescent="0.25">
      <c r="A7495" s="3" t="e">
        <f ca="1"/>
        <v>#NAME?</v>
      </c>
      <c r="B7495" s="2" t="s">
        <v>12</v>
      </c>
      <c r="C7495" s="2" t="s">
        <v>12</v>
      </c>
      <c r="D7495" s="2" t="s">
        <v>12</v>
      </c>
      <c r="E7495" s="2" t="s">
        <v>12</v>
      </c>
      <c r="F7495" s="2" t="s">
        <v>12</v>
      </c>
      <c r="G7495" s="2" t="s">
        <v>12</v>
      </c>
      <c r="H7495" s="2" t="s">
        <v>12</v>
      </c>
      <c r="I7495" s="2" t="s">
        <v>12</v>
      </c>
      <c r="J7495" s="2" t="s">
        <v>12</v>
      </c>
      <c r="K7495" s="2" t="s">
        <v>12</v>
      </c>
    </row>
    <row r="7496" spans="1:11" ht="12.5" x14ac:dyDescent="0.25">
      <c r="A7496" s="3" t="e">
        <f ca="1"/>
        <v>#NAME?</v>
      </c>
      <c r="B7496" s="2" t="s">
        <v>12</v>
      </c>
      <c r="C7496" s="2" t="s">
        <v>12</v>
      </c>
      <c r="D7496" s="2" t="s">
        <v>12</v>
      </c>
      <c r="E7496" s="2" t="s">
        <v>12</v>
      </c>
      <c r="F7496" s="2" t="s">
        <v>12</v>
      </c>
      <c r="G7496" s="2" t="s">
        <v>12</v>
      </c>
      <c r="H7496" s="2" t="s">
        <v>12</v>
      </c>
      <c r="I7496" s="2" t="s">
        <v>12</v>
      </c>
      <c r="J7496" s="2" t="s">
        <v>12</v>
      </c>
      <c r="K7496" s="2" t="s">
        <v>12</v>
      </c>
    </row>
    <row r="7497" spans="1:11" ht="12.5" x14ac:dyDescent="0.25">
      <c r="A7497" s="3" t="e">
        <f ca="1"/>
        <v>#NAME?</v>
      </c>
      <c r="B7497" s="2" t="s">
        <v>12</v>
      </c>
      <c r="C7497" s="2" t="s">
        <v>12</v>
      </c>
      <c r="D7497" s="2" t="s">
        <v>12</v>
      </c>
      <c r="E7497" s="2" t="s">
        <v>12</v>
      </c>
      <c r="F7497" s="2" t="s">
        <v>12</v>
      </c>
      <c r="G7497" s="2" t="s">
        <v>12</v>
      </c>
      <c r="H7497" s="2" t="s">
        <v>12</v>
      </c>
      <c r="I7497" s="2" t="s">
        <v>12</v>
      </c>
      <c r="J7497" s="2" t="s">
        <v>12</v>
      </c>
      <c r="K7497" s="2" t="s">
        <v>12</v>
      </c>
    </row>
    <row r="7498" spans="1:11" ht="12.5" x14ac:dyDescent="0.25">
      <c r="A7498" s="3" t="e">
        <f ca="1"/>
        <v>#NAME?</v>
      </c>
      <c r="B7498" s="2" t="s">
        <v>12</v>
      </c>
      <c r="C7498" s="2" t="s">
        <v>12</v>
      </c>
      <c r="D7498" s="2" t="s">
        <v>12</v>
      </c>
      <c r="E7498" s="2" t="s">
        <v>12</v>
      </c>
      <c r="F7498" s="2" t="s">
        <v>12</v>
      </c>
      <c r="G7498" s="2" t="s">
        <v>12</v>
      </c>
      <c r="H7498" s="2" t="s">
        <v>12</v>
      </c>
      <c r="I7498" s="2" t="s">
        <v>12</v>
      </c>
      <c r="J7498" s="2" t="s">
        <v>12</v>
      </c>
      <c r="K7498" s="2" t="s">
        <v>12</v>
      </c>
    </row>
    <row r="7499" spans="1:11" ht="12.5" x14ac:dyDescent="0.25">
      <c r="A7499" s="3" t="e">
        <f ca="1"/>
        <v>#NAME?</v>
      </c>
      <c r="B7499" s="2" t="s">
        <v>12</v>
      </c>
      <c r="C7499" s="2" t="s">
        <v>12</v>
      </c>
      <c r="D7499" s="2" t="s">
        <v>12</v>
      </c>
      <c r="E7499" s="2" t="s">
        <v>12</v>
      </c>
      <c r="F7499" s="2" t="s">
        <v>12</v>
      </c>
      <c r="G7499" s="2" t="s">
        <v>12</v>
      </c>
      <c r="H7499" s="2" t="s">
        <v>12</v>
      </c>
      <c r="I7499" s="2" t="s">
        <v>12</v>
      </c>
      <c r="J7499" s="2" t="s">
        <v>12</v>
      </c>
      <c r="K7499" s="2" t="s">
        <v>12</v>
      </c>
    </row>
    <row r="7500" spans="1:11" ht="12.5" x14ac:dyDescent="0.25">
      <c r="A7500" s="3" t="e">
        <f ca="1"/>
        <v>#NAME?</v>
      </c>
      <c r="B7500" s="2" t="s">
        <v>12</v>
      </c>
      <c r="C7500" s="2" t="s">
        <v>12</v>
      </c>
      <c r="D7500" s="2" t="s">
        <v>12</v>
      </c>
      <c r="E7500" s="2" t="s">
        <v>12</v>
      </c>
      <c r="F7500" s="2" t="s">
        <v>12</v>
      </c>
      <c r="G7500" s="2" t="s">
        <v>12</v>
      </c>
      <c r="H7500" s="2" t="s">
        <v>12</v>
      </c>
      <c r="I7500" s="2" t="s">
        <v>12</v>
      </c>
      <c r="J7500" s="2" t="s">
        <v>12</v>
      </c>
      <c r="K7500" s="2" t="s">
        <v>12</v>
      </c>
    </row>
    <row r="7501" spans="1:11" ht="12.5" x14ac:dyDescent="0.25">
      <c r="A7501" s="3" t="e">
        <f ca="1"/>
        <v>#NAME?</v>
      </c>
      <c r="B7501" s="2" t="s">
        <v>12</v>
      </c>
      <c r="C7501" s="2" t="s">
        <v>12</v>
      </c>
      <c r="D7501" s="2" t="s">
        <v>12</v>
      </c>
      <c r="E7501" s="2" t="s">
        <v>12</v>
      </c>
      <c r="F7501" s="2" t="s">
        <v>12</v>
      </c>
      <c r="G7501" s="2" t="s">
        <v>12</v>
      </c>
      <c r="H7501" s="2" t="s">
        <v>12</v>
      </c>
      <c r="I7501" s="2" t="s">
        <v>12</v>
      </c>
      <c r="J7501" s="2" t="s">
        <v>12</v>
      </c>
      <c r="K7501" s="2" t="s">
        <v>12</v>
      </c>
    </row>
    <row r="7502" spans="1:11" ht="12.5" x14ac:dyDescent="0.25">
      <c r="A7502" s="3" t="e">
        <f ca="1"/>
        <v>#NAME?</v>
      </c>
      <c r="B7502" s="2" t="s">
        <v>12</v>
      </c>
      <c r="C7502" s="2" t="s">
        <v>12</v>
      </c>
      <c r="D7502" s="2" t="s">
        <v>12</v>
      </c>
      <c r="E7502" s="2" t="s">
        <v>12</v>
      </c>
      <c r="F7502" s="2" t="s">
        <v>12</v>
      </c>
      <c r="G7502" s="2" t="s">
        <v>12</v>
      </c>
      <c r="H7502" s="2" t="s">
        <v>12</v>
      </c>
      <c r="I7502" s="2" t="s">
        <v>12</v>
      </c>
      <c r="J7502" s="2" t="s">
        <v>12</v>
      </c>
      <c r="K7502" s="2" t="s">
        <v>12</v>
      </c>
    </row>
    <row r="7503" spans="1:11" ht="12.5" x14ac:dyDescent="0.25">
      <c r="A7503" s="3" t="e">
        <f ca="1"/>
        <v>#NAME?</v>
      </c>
      <c r="B7503" s="2" t="s">
        <v>12</v>
      </c>
      <c r="C7503" s="2" t="s">
        <v>12</v>
      </c>
      <c r="D7503" s="2" t="s">
        <v>12</v>
      </c>
      <c r="E7503" s="2" t="s">
        <v>12</v>
      </c>
      <c r="F7503" s="2" t="s">
        <v>12</v>
      </c>
      <c r="G7503" s="2" t="s">
        <v>12</v>
      </c>
      <c r="H7503" s="2" t="s">
        <v>12</v>
      </c>
      <c r="I7503" s="2" t="s">
        <v>12</v>
      </c>
      <c r="J7503" s="2" t="s">
        <v>12</v>
      </c>
      <c r="K7503" s="2" t="s">
        <v>12</v>
      </c>
    </row>
    <row r="7504" spans="1:11" ht="12.5" x14ac:dyDescent="0.25">
      <c r="A7504" s="3" t="e">
        <f ca="1"/>
        <v>#NAME?</v>
      </c>
      <c r="B7504" s="2" t="s">
        <v>12</v>
      </c>
      <c r="C7504" s="2" t="s">
        <v>12</v>
      </c>
      <c r="D7504" s="2" t="s">
        <v>12</v>
      </c>
      <c r="E7504" s="2" t="s">
        <v>12</v>
      </c>
      <c r="F7504" s="2" t="s">
        <v>12</v>
      </c>
      <c r="G7504" s="2" t="s">
        <v>12</v>
      </c>
      <c r="H7504" s="2" t="s">
        <v>12</v>
      </c>
      <c r="I7504" s="2" t="s">
        <v>12</v>
      </c>
      <c r="J7504" s="2" t="s">
        <v>12</v>
      </c>
      <c r="K7504" s="2" t="s">
        <v>12</v>
      </c>
    </row>
    <row r="7505" spans="1:11" ht="12.5" x14ac:dyDescent="0.25">
      <c r="A7505" s="3" t="e">
        <f ca="1"/>
        <v>#NAME?</v>
      </c>
      <c r="B7505" s="2" t="s">
        <v>12</v>
      </c>
      <c r="C7505" s="2" t="s">
        <v>12</v>
      </c>
      <c r="D7505" s="2" t="s">
        <v>12</v>
      </c>
      <c r="E7505" s="2" t="s">
        <v>12</v>
      </c>
      <c r="F7505" s="2" t="s">
        <v>12</v>
      </c>
      <c r="G7505" s="2" t="s">
        <v>12</v>
      </c>
      <c r="H7505" s="2" t="s">
        <v>12</v>
      </c>
      <c r="I7505" s="2" t="s">
        <v>12</v>
      </c>
      <c r="J7505" s="2" t="s">
        <v>12</v>
      </c>
      <c r="K7505" s="2" t="s">
        <v>12</v>
      </c>
    </row>
    <row r="7506" spans="1:11" ht="12.5" x14ac:dyDescent="0.25">
      <c r="A7506" s="3" t="e">
        <f ca="1"/>
        <v>#NAME?</v>
      </c>
      <c r="B7506" s="2" t="s">
        <v>12</v>
      </c>
      <c r="C7506" s="2" t="s">
        <v>12</v>
      </c>
      <c r="D7506" s="2" t="s">
        <v>12</v>
      </c>
      <c r="E7506" s="2" t="s">
        <v>12</v>
      </c>
      <c r="F7506" s="2" t="s">
        <v>12</v>
      </c>
      <c r="G7506" s="2" t="s">
        <v>12</v>
      </c>
      <c r="H7506" s="2" t="s">
        <v>12</v>
      </c>
      <c r="I7506" s="2" t="s">
        <v>12</v>
      </c>
      <c r="J7506" s="2" t="s">
        <v>12</v>
      </c>
      <c r="K7506" s="2" t="s">
        <v>12</v>
      </c>
    </row>
    <row r="7507" spans="1:11" ht="12.5" x14ac:dyDescent="0.25">
      <c r="A7507" s="3" t="e">
        <f ca="1"/>
        <v>#NAME?</v>
      </c>
      <c r="B7507" s="2" t="s">
        <v>12</v>
      </c>
      <c r="C7507" s="2" t="s">
        <v>12</v>
      </c>
      <c r="D7507" s="2" t="s">
        <v>12</v>
      </c>
      <c r="E7507" s="2" t="s">
        <v>12</v>
      </c>
      <c r="F7507" s="2" t="s">
        <v>12</v>
      </c>
      <c r="G7507" s="2" t="s">
        <v>12</v>
      </c>
      <c r="H7507" s="2" t="s">
        <v>12</v>
      </c>
      <c r="I7507" s="2" t="s">
        <v>12</v>
      </c>
      <c r="J7507" s="2" t="s">
        <v>12</v>
      </c>
      <c r="K7507" s="2" t="s">
        <v>12</v>
      </c>
    </row>
    <row r="7508" spans="1:11" ht="12.5" x14ac:dyDescent="0.25">
      <c r="A7508" s="3" t="e">
        <f ca="1"/>
        <v>#NAME?</v>
      </c>
      <c r="B7508" s="2" t="s">
        <v>12</v>
      </c>
      <c r="C7508" s="2" t="s">
        <v>12</v>
      </c>
      <c r="D7508" s="2" t="s">
        <v>12</v>
      </c>
      <c r="E7508" s="2" t="s">
        <v>12</v>
      </c>
      <c r="F7508" s="2" t="s">
        <v>12</v>
      </c>
      <c r="G7508" s="2" t="s">
        <v>12</v>
      </c>
      <c r="H7508" s="2" t="s">
        <v>12</v>
      </c>
      <c r="I7508" s="2" t="s">
        <v>12</v>
      </c>
      <c r="J7508" s="2" t="s">
        <v>12</v>
      </c>
      <c r="K7508" s="2" t="s">
        <v>12</v>
      </c>
    </row>
    <row r="7509" spans="1:11" ht="12.5" x14ac:dyDescent="0.25">
      <c r="A7509" s="3" t="e">
        <f ca="1"/>
        <v>#NAME?</v>
      </c>
      <c r="B7509" s="2" t="s">
        <v>12</v>
      </c>
      <c r="C7509" s="2" t="s">
        <v>12</v>
      </c>
      <c r="D7509" s="2" t="s">
        <v>12</v>
      </c>
      <c r="E7509" s="2" t="s">
        <v>12</v>
      </c>
      <c r="F7509" s="2" t="s">
        <v>12</v>
      </c>
      <c r="G7509" s="2" t="s">
        <v>12</v>
      </c>
      <c r="H7509" s="2" t="s">
        <v>12</v>
      </c>
      <c r="I7509" s="2" t="s">
        <v>12</v>
      </c>
      <c r="J7509" s="2" t="s">
        <v>12</v>
      </c>
      <c r="K7509" s="2" t="s">
        <v>12</v>
      </c>
    </row>
    <row r="7510" spans="1:11" ht="12.5" x14ac:dyDescent="0.25">
      <c r="A7510" s="3" t="e">
        <f ca="1"/>
        <v>#NAME?</v>
      </c>
      <c r="B7510" s="2" t="s">
        <v>12</v>
      </c>
      <c r="C7510" s="2" t="s">
        <v>12</v>
      </c>
      <c r="D7510" s="2" t="s">
        <v>12</v>
      </c>
      <c r="E7510" s="2" t="s">
        <v>12</v>
      </c>
      <c r="F7510" s="2" t="s">
        <v>12</v>
      </c>
      <c r="G7510" s="2" t="s">
        <v>12</v>
      </c>
      <c r="H7510" s="2" t="s">
        <v>12</v>
      </c>
      <c r="I7510" s="2" t="s">
        <v>12</v>
      </c>
      <c r="J7510" s="2" t="s">
        <v>12</v>
      </c>
      <c r="K7510" s="2" t="s">
        <v>12</v>
      </c>
    </row>
    <row r="7511" spans="1:11" ht="12.5" x14ac:dyDescent="0.25">
      <c r="A7511" s="3" t="e">
        <f ca="1"/>
        <v>#NAME?</v>
      </c>
      <c r="B7511" s="2" t="s">
        <v>12</v>
      </c>
      <c r="C7511" s="2" t="s">
        <v>12</v>
      </c>
      <c r="D7511" s="2" t="s">
        <v>12</v>
      </c>
      <c r="E7511" s="2" t="s">
        <v>12</v>
      </c>
      <c r="F7511" s="2" t="s">
        <v>12</v>
      </c>
      <c r="G7511" s="2" t="s">
        <v>12</v>
      </c>
      <c r="H7511" s="2" t="s">
        <v>12</v>
      </c>
      <c r="I7511" s="2" t="s">
        <v>12</v>
      </c>
      <c r="J7511" s="2" t="s">
        <v>12</v>
      </c>
      <c r="K7511" s="2" t="s">
        <v>12</v>
      </c>
    </row>
    <row r="7512" spans="1:11" ht="12.5" x14ac:dyDescent="0.25">
      <c r="A7512" s="3" t="e">
        <f ca="1"/>
        <v>#NAME?</v>
      </c>
      <c r="B7512" s="2" t="s">
        <v>12</v>
      </c>
      <c r="C7512" s="2" t="s">
        <v>12</v>
      </c>
      <c r="D7512" s="2" t="s">
        <v>12</v>
      </c>
      <c r="E7512" s="2" t="s">
        <v>12</v>
      </c>
      <c r="F7512" s="2" t="s">
        <v>12</v>
      </c>
      <c r="G7512" s="2" t="s">
        <v>12</v>
      </c>
      <c r="H7512" s="2" t="s">
        <v>12</v>
      </c>
      <c r="I7512" s="2" t="s">
        <v>12</v>
      </c>
      <c r="J7512" s="2" t="s">
        <v>12</v>
      </c>
      <c r="K7512" s="2" t="s">
        <v>12</v>
      </c>
    </row>
    <row r="7513" spans="1:11" ht="12.5" x14ac:dyDescent="0.25">
      <c r="A7513" s="3" t="e">
        <f ca="1"/>
        <v>#NAME?</v>
      </c>
      <c r="B7513" s="2" t="s">
        <v>12</v>
      </c>
      <c r="C7513" s="2" t="s">
        <v>12</v>
      </c>
      <c r="D7513" s="2" t="s">
        <v>12</v>
      </c>
      <c r="E7513" s="2" t="s">
        <v>12</v>
      </c>
      <c r="F7513" s="2" t="s">
        <v>12</v>
      </c>
      <c r="G7513" s="2" t="s">
        <v>12</v>
      </c>
      <c r="H7513" s="2" t="s">
        <v>12</v>
      </c>
      <c r="I7513" s="2" t="s">
        <v>12</v>
      </c>
      <c r="J7513" s="2" t="s">
        <v>12</v>
      </c>
      <c r="K7513" s="2" t="s">
        <v>12</v>
      </c>
    </row>
    <row r="7514" spans="1:11" ht="12.5" x14ac:dyDescent="0.25">
      <c r="A7514" s="3" t="e">
        <f ca="1"/>
        <v>#NAME?</v>
      </c>
      <c r="B7514" s="2" t="s">
        <v>12</v>
      </c>
      <c r="C7514" s="2" t="s">
        <v>12</v>
      </c>
      <c r="D7514" s="2" t="s">
        <v>12</v>
      </c>
      <c r="E7514" s="2" t="s">
        <v>12</v>
      </c>
      <c r="F7514" s="2" t="s">
        <v>12</v>
      </c>
      <c r="G7514" s="2" t="s">
        <v>12</v>
      </c>
      <c r="H7514" s="2" t="s">
        <v>12</v>
      </c>
      <c r="I7514" s="2" t="s">
        <v>12</v>
      </c>
      <c r="J7514" s="2" t="s">
        <v>12</v>
      </c>
      <c r="K7514" s="2" t="s">
        <v>12</v>
      </c>
    </row>
    <row r="7515" spans="1:11" ht="12.5" x14ac:dyDescent="0.25">
      <c r="A7515" s="3" t="e">
        <f ca="1"/>
        <v>#NAME?</v>
      </c>
      <c r="B7515" s="2" t="s">
        <v>12</v>
      </c>
      <c r="C7515" s="2" t="s">
        <v>12</v>
      </c>
      <c r="D7515" s="2" t="s">
        <v>12</v>
      </c>
      <c r="E7515" s="2" t="s">
        <v>12</v>
      </c>
      <c r="F7515" s="2" t="s">
        <v>12</v>
      </c>
      <c r="G7515" s="2" t="s">
        <v>12</v>
      </c>
      <c r="H7515" s="2" t="s">
        <v>12</v>
      </c>
      <c r="I7515" s="2" t="s">
        <v>12</v>
      </c>
      <c r="J7515" s="2" t="s">
        <v>12</v>
      </c>
      <c r="K7515" s="2" t="s">
        <v>12</v>
      </c>
    </row>
    <row r="7516" spans="1:11" ht="12.5" x14ac:dyDescent="0.25">
      <c r="A7516" s="3" t="e">
        <f ca="1"/>
        <v>#NAME?</v>
      </c>
      <c r="B7516" s="2" t="s">
        <v>12</v>
      </c>
      <c r="C7516" s="2" t="s">
        <v>12</v>
      </c>
      <c r="D7516" s="2" t="s">
        <v>12</v>
      </c>
      <c r="E7516" s="2" t="s">
        <v>12</v>
      </c>
      <c r="F7516" s="2" t="s">
        <v>12</v>
      </c>
      <c r="G7516" s="2" t="s">
        <v>12</v>
      </c>
      <c r="H7516" s="2" t="s">
        <v>12</v>
      </c>
      <c r="I7516" s="2" t="s">
        <v>12</v>
      </c>
      <c r="J7516" s="2" t="s">
        <v>12</v>
      </c>
      <c r="K7516" s="2" t="s">
        <v>12</v>
      </c>
    </row>
    <row r="7517" spans="1:11" ht="12.5" x14ac:dyDescent="0.25">
      <c r="A7517" s="3" t="e">
        <f ca="1"/>
        <v>#NAME?</v>
      </c>
      <c r="B7517" s="2" t="s">
        <v>12</v>
      </c>
      <c r="C7517" s="2" t="s">
        <v>12</v>
      </c>
      <c r="D7517" s="2" t="s">
        <v>12</v>
      </c>
      <c r="E7517" s="2" t="s">
        <v>12</v>
      </c>
      <c r="F7517" s="2" t="s">
        <v>12</v>
      </c>
      <c r="G7517" s="2" t="s">
        <v>12</v>
      </c>
      <c r="H7517" s="2" t="s">
        <v>12</v>
      </c>
      <c r="I7517" s="2" t="s">
        <v>12</v>
      </c>
      <c r="J7517" s="2" t="s">
        <v>12</v>
      </c>
      <c r="K7517" s="2" t="s">
        <v>12</v>
      </c>
    </row>
    <row r="7518" spans="1:11" ht="12.5" x14ac:dyDescent="0.25">
      <c r="A7518" s="3" t="e">
        <f ca="1"/>
        <v>#NAME?</v>
      </c>
      <c r="B7518" s="2" t="s">
        <v>12</v>
      </c>
      <c r="C7518" s="2" t="s">
        <v>12</v>
      </c>
      <c r="D7518" s="2" t="s">
        <v>12</v>
      </c>
      <c r="E7518" s="2" t="s">
        <v>12</v>
      </c>
      <c r="F7518" s="2" t="s">
        <v>12</v>
      </c>
      <c r="G7518" s="2" t="s">
        <v>12</v>
      </c>
      <c r="H7518" s="2" t="s">
        <v>12</v>
      </c>
      <c r="I7518" s="2" t="s">
        <v>12</v>
      </c>
      <c r="J7518" s="2" t="s">
        <v>12</v>
      </c>
      <c r="K7518" s="2" t="s">
        <v>12</v>
      </c>
    </row>
    <row r="7519" spans="1:11" ht="12.5" x14ac:dyDescent="0.25">
      <c r="A7519" s="3" t="e">
        <f ca="1"/>
        <v>#NAME?</v>
      </c>
      <c r="B7519" s="2" t="s">
        <v>12</v>
      </c>
      <c r="C7519" s="2" t="s">
        <v>12</v>
      </c>
      <c r="D7519" s="2" t="s">
        <v>12</v>
      </c>
      <c r="E7519" s="2" t="s">
        <v>12</v>
      </c>
      <c r="F7519" s="2" t="s">
        <v>12</v>
      </c>
      <c r="G7519" s="2" t="s">
        <v>12</v>
      </c>
      <c r="H7519" s="2" t="s">
        <v>12</v>
      </c>
      <c r="I7519" s="2" t="s">
        <v>12</v>
      </c>
      <c r="J7519" s="2" t="s">
        <v>12</v>
      </c>
      <c r="K7519" s="2" t="s">
        <v>12</v>
      </c>
    </row>
    <row r="7520" spans="1:11" ht="12.5" x14ac:dyDescent="0.25">
      <c r="A7520" s="3" t="e">
        <f ca="1"/>
        <v>#NAME?</v>
      </c>
      <c r="B7520" s="2" t="s">
        <v>12</v>
      </c>
      <c r="C7520" s="2" t="s">
        <v>12</v>
      </c>
      <c r="D7520" s="2" t="s">
        <v>12</v>
      </c>
      <c r="E7520" s="2" t="s">
        <v>12</v>
      </c>
      <c r="F7520" s="2" t="s">
        <v>12</v>
      </c>
      <c r="G7520" s="2" t="s">
        <v>12</v>
      </c>
      <c r="H7520" s="2" t="s">
        <v>12</v>
      </c>
      <c r="I7520" s="2" t="s">
        <v>12</v>
      </c>
      <c r="J7520" s="2" t="s">
        <v>12</v>
      </c>
      <c r="K7520" s="2" t="s">
        <v>12</v>
      </c>
    </row>
    <row r="7521" spans="1:11" ht="12.5" x14ac:dyDescent="0.25">
      <c r="A7521" s="3" t="e">
        <f ca="1"/>
        <v>#NAME?</v>
      </c>
      <c r="B7521" s="2" t="s">
        <v>12</v>
      </c>
      <c r="C7521" s="2" t="s">
        <v>12</v>
      </c>
      <c r="D7521" s="2" t="s">
        <v>12</v>
      </c>
      <c r="E7521" s="2" t="s">
        <v>12</v>
      </c>
      <c r="F7521" s="2" t="s">
        <v>12</v>
      </c>
      <c r="G7521" s="2" t="s">
        <v>12</v>
      </c>
      <c r="H7521" s="2" t="s">
        <v>12</v>
      </c>
      <c r="I7521" s="2" t="s">
        <v>12</v>
      </c>
      <c r="J7521" s="2" t="s">
        <v>12</v>
      </c>
      <c r="K7521" s="2" t="s">
        <v>12</v>
      </c>
    </row>
    <row r="7522" spans="1:11" ht="12.5" x14ac:dyDescent="0.25">
      <c r="A7522" s="3" t="e">
        <f ca="1"/>
        <v>#NAME?</v>
      </c>
      <c r="B7522" s="2" t="s">
        <v>12</v>
      </c>
      <c r="C7522" s="2" t="s">
        <v>12</v>
      </c>
      <c r="D7522" s="2" t="s">
        <v>12</v>
      </c>
      <c r="E7522" s="2" t="s">
        <v>12</v>
      </c>
      <c r="F7522" s="2" t="s">
        <v>12</v>
      </c>
      <c r="G7522" s="2" t="s">
        <v>12</v>
      </c>
      <c r="H7522" s="2" t="s">
        <v>12</v>
      </c>
      <c r="I7522" s="2" t="s">
        <v>12</v>
      </c>
      <c r="J7522" s="2" t="s">
        <v>12</v>
      </c>
      <c r="K7522" s="2" t="s">
        <v>12</v>
      </c>
    </row>
    <row r="7523" spans="1:11" ht="12.5" x14ac:dyDescent="0.25">
      <c r="A7523" s="3" t="e">
        <f ca="1"/>
        <v>#NAME?</v>
      </c>
      <c r="B7523" s="2" t="s">
        <v>12</v>
      </c>
      <c r="C7523" s="2" t="s">
        <v>12</v>
      </c>
      <c r="D7523" s="2" t="s">
        <v>12</v>
      </c>
      <c r="E7523" s="2" t="s">
        <v>12</v>
      </c>
      <c r="F7523" s="2" t="s">
        <v>12</v>
      </c>
      <c r="G7523" s="2" t="s">
        <v>12</v>
      </c>
      <c r="H7523" s="2" t="s">
        <v>12</v>
      </c>
      <c r="I7523" s="2" t="s">
        <v>12</v>
      </c>
      <c r="J7523" s="2" t="s">
        <v>12</v>
      </c>
      <c r="K7523" s="2" t="s">
        <v>12</v>
      </c>
    </row>
    <row r="7524" spans="1:11" ht="12.5" x14ac:dyDescent="0.25">
      <c r="A7524" s="3" t="e">
        <f ca="1"/>
        <v>#NAME?</v>
      </c>
      <c r="B7524" s="2" t="s">
        <v>12</v>
      </c>
      <c r="C7524" s="2" t="s">
        <v>12</v>
      </c>
      <c r="D7524" s="2" t="s">
        <v>12</v>
      </c>
      <c r="E7524" s="2" t="s">
        <v>12</v>
      </c>
      <c r="F7524" s="2" t="s">
        <v>12</v>
      </c>
      <c r="G7524" s="2" t="s">
        <v>12</v>
      </c>
      <c r="H7524" s="2" t="s">
        <v>12</v>
      </c>
      <c r="I7524" s="2" t="s">
        <v>12</v>
      </c>
      <c r="J7524" s="2" t="s">
        <v>12</v>
      </c>
      <c r="K7524" s="2" t="s">
        <v>12</v>
      </c>
    </row>
    <row r="7525" spans="1:11" ht="12.5" x14ac:dyDescent="0.25">
      <c r="A7525" s="3" t="e">
        <f ca="1"/>
        <v>#NAME?</v>
      </c>
      <c r="B7525" s="2" t="s">
        <v>12</v>
      </c>
      <c r="C7525" s="2" t="s">
        <v>12</v>
      </c>
      <c r="D7525" s="2" t="s">
        <v>12</v>
      </c>
      <c r="E7525" s="2" t="s">
        <v>12</v>
      </c>
      <c r="F7525" s="2" t="s">
        <v>12</v>
      </c>
      <c r="G7525" s="2" t="s">
        <v>12</v>
      </c>
      <c r="H7525" s="2" t="s">
        <v>12</v>
      </c>
      <c r="I7525" s="2" t="s">
        <v>12</v>
      </c>
      <c r="J7525" s="2" t="s">
        <v>12</v>
      </c>
      <c r="K7525" s="2" t="s">
        <v>12</v>
      </c>
    </row>
    <row r="7526" spans="1:11" ht="12.5" x14ac:dyDescent="0.25">
      <c r="A7526" s="3" t="e">
        <f ca="1"/>
        <v>#NAME?</v>
      </c>
      <c r="B7526" s="2" t="s">
        <v>12</v>
      </c>
      <c r="C7526" s="2" t="s">
        <v>12</v>
      </c>
      <c r="D7526" s="2" t="s">
        <v>12</v>
      </c>
      <c r="E7526" s="2" t="s">
        <v>12</v>
      </c>
      <c r="F7526" s="2" t="s">
        <v>12</v>
      </c>
      <c r="G7526" s="2" t="s">
        <v>12</v>
      </c>
      <c r="H7526" s="2" t="s">
        <v>12</v>
      </c>
      <c r="I7526" s="2" t="s">
        <v>12</v>
      </c>
      <c r="J7526" s="2" t="s">
        <v>12</v>
      </c>
      <c r="K7526" s="2" t="s">
        <v>12</v>
      </c>
    </row>
    <row r="7527" spans="1:11" ht="12.5" x14ac:dyDescent="0.25">
      <c r="A7527" s="3" t="e">
        <f ca="1"/>
        <v>#NAME?</v>
      </c>
      <c r="B7527" s="2" t="s">
        <v>12</v>
      </c>
      <c r="C7527" s="2" t="s">
        <v>12</v>
      </c>
      <c r="D7527" s="2" t="s">
        <v>12</v>
      </c>
      <c r="E7527" s="2" t="s">
        <v>12</v>
      </c>
      <c r="F7527" s="2" t="s">
        <v>12</v>
      </c>
      <c r="G7527" s="2" t="s">
        <v>12</v>
      </c>
      <c r="H7527" s="2" t="s">
        <v>12</v>
      </c>
      <c r="I7527" s="2" t="s">
        <v>12</v>
      </c>
      <c r="J7527" s="2" t="s">
        <v>12</v>
      </c>
      <c r="K7527" s="2" t="s">
        <v>12</v>
      </c>
    </row>
    <row r="7528" spans="1:11" ht="12.5" x14ac:dyDescent="0.25">
      <c r="A7528" s="3" t="e">
        <f ca="1"/>
        <v>#NAME?</v>
      </c>
      <c r="B7528" s="2" t="s">
        <v>12</v>
      </c>
      <c r="C7528" s="2" t="s">
        <v>12</v>
      </c>
      <c r="D7528" s="2" t="s">
        <v>12</v>
      </c>
      <c r="E7528" s="2" t="s">
        <v>12</v>
      </c>
      <c r="F7528" s="2" t="s">
        <v>12</v>
      </c>
      <c r="G7528" s="2" t="s">
        <v>12</v>
      </c>
      <c r="H7528" s="2" t="s">
        <v>12</v>
      </c>
      <c r="I7528" s="2" t="s">
        <v>12</v>
      </c>
      <c r="J7528" s="2" t="s">
        <v>12</v>
      </c>
      <c r="K7528" s="2" t="s">
        <v>12</v>
      </c>
    </row>
    <row r="7529" spans="1:11" ht="12.5" x14ac:dyDescent="0.25">
      <c r="A7529" s="3" t="e">
        <f ca="1"/>
        <v>#NAME?</v>
      </c>
      <c r="B7529" s="2" t="s">
        <v>12</v>
      </c>
      <c r="C7529" s="2" t="s">
        <v>12</v>
      </c>
      <c r="D7529" s="2" t="s">
        <v>12</v>
      </c>
      <c r="E7529" s="2" t="s">
        <v>12</v>
      </c>
      <c r="F7529" s="2" t="s">
        <v>12</v>
      </c>
      <c r="G7529" s="2" t="s">
        <v>12</v>
      </c>
      <c r="H7529" s="2" t="s">
        <v>12</v>
      </c>
      <c r="I7529" s="2" t="s">
        <v>12</v>
      </c>
      <c r="J7529" s="2" t="s">
        <v>12</v>
      </c>
      <c r="K7529" s="2" t="s">
        <v>12</v>
      </c>
    </row>
    <row r="7530" spans="1:11" ht="12.5" x14ac:dyDescent="0.25">
      <c r="A7530" s="3" t="e">
        <f ca="1"/>
        <v>#NAME?</v>
      </c>
      <c r="B7530" s="2" t="s">
        <v>12</v>
      </c>
      <c r="C7530" s="2" t="s">
        <v>12</v>
      </c>
      <c r="D7530" s="2" t="s">
        <v>12</v>
      </c>
      <c r="E7530" s="2" t="s">
        <v>12</v>
      </c>
      <c r="F7530" s="2" t="s">
        <v>12</v>
      </c>
      <c r="G7530" s="2" t="s">
        <v>12</v>
      </c>
      <c r="H7530" s="2" t="s">
        <v>12</v>
      </c>
      <c r="I7530" s="2" t="s">
        <v>12</v>
      </c>
      <c r="J7530" s="2" t="s">
        <v>12</v>
      </c>
      <c r="K7530" s="2" t="s">
        <v>12</v>
      </c>
    </row>
    <row r="7531" spans="1:11" ht="12.5" x14ac:dyDescent="0.25">
      <c r="A7531" s="3" t="e">
        <f ca="1"/>
        <v>#NAME?</v>
      </c>
      <c r="B7531" s="2" t="s">
        <v>12</v>
      </c>
      <c r="C7531" s="2" t="s">
        <v>12</v>
      </c>
      <c r="D7531" s="2" t="s">
        <v>12</v>
      </c>
      <c r="E7531" s="2" t="s">
        <v>12</v>
      </c>
      <c r="F7531" s="2" t="s">
        <v>12</v>
      </c>
      <c r="G7531" s="2" t="s">
        <v>12</v>
      </c>
      <c r="H7531" s="2" t="s">
        <v>12</v>
      </c>
      <c r="I7531" s="2" t="s">
        <v>12</v>
      </c>
      <c r="J7531" s="2" t="s">
        <v>12</v>
      </c>
      <c r="K7531" s="2" t="s">
        <v>12</v>
      </c>
    </row>
    <row r="7532" spans="1:11" ht="12.5" x14ac:dyDescent="0.25">
      <c r="A7532" s="3" t="e">
        <f ca="1"/>
        <v>#NAME?</v>
      </c>
      <c r="B7532" s="2" t="s">
        <v>12</v>
      </c>
      <c r="C7532" s="2" t="s">
        <v>12</v>
      </c>
      <c r="D7532" s="2" t="s">
        <v>12</v>
      </c>
      <c r="E7532" s="2" t="s">
        <v>12</v>
      </c>
      <c r="F7532" s="2" t="s">
        <v>12</v>
      </c>
      <c r="G7532" s="2" t="s">
        <v>12</v>
      </c>
      <c r="H7532" s="2" t="s">
        <v>12</v>
      </c>
      <c r="I7532" s="2" t="s">
        <v>12</v>
      </c>
      <c r="J7532" s="2" t="s">
        <v>12</v>
      </c>
      <c r="K7532" s="2" t="s">
        <v>12</v>
      </c>
    </row>
    <row r="7533" spans="1:11" ht="12.5" x14ac:dyDescent="0.25">
      <c r="A7533" s="3" t="e">
        <f ca="1"/>
        <v>#NAME?</v>
      </c>
      <c r="B7533" s="2" t="s">
        <v>12</v>
      </c>
      <c r="C7533" s="2" t="s">
        <v>12</v>
      </c>
      <c r="D7533" s="2" t="s">
        <v>12</v>
      </c>
      <c r="E7533" s="2" t="s">
        <v>12</v>
      </c>
      <c r="F7533" s="2" t="s">
        <v>12</v>
      </c>
      <c r="G7533" s="2" t="s">
        <v>12</v>
      </c>
      <c r="H7533" s="2" t="s">
        <v>12</v>
      </c>
      <c r="I7533" s="2" t="s">
        <v>12</v>
      </c>
      <c r="J7533" s="2" t="s">
        <v>12</v>
      </c>
      <c r="K7533" s="2" t="s">
        <v>12</v>
      </c>
    </row>
    <row r="7534" spans="1:11" ht="12.5" x14ac:dyDescent="0.25">
      <c r="A7534" s="3" t="e">
        <f ca="1"/>
        <v>#NAME?</v>
      </c>
      <c r="B7534" s="2" t="s">
        <v>12</v>
      </c>
      <c r="C7534" s="2" t="s">
        <v>12</v>
      </c>
      <c r="D7534" s="2" t="s">
        <v>12</v>
      </c>
      <c r="E7534" s="2" t="s">
        <v>12</v>
      </c>
      <c r="F7534" s="2" t="s">
        <v>12</v>
      </c>
      <c r="G7534" s="2" t="s">
        <v>12</v>
      </c>
      <c r="H7534" s="2" t="s">
        <v>12</v>
      </c>
      <c r="I7534" s="2" t="s">
        <v>12</v>
      </c>
      <c r="J7534" s="2" t="s">
        <v>12</v>
      </c>
      <c r="K7534" s="2" t="s">
        <v>12</v>
      </c>
    </row>
    <row r="7535" spans="1:11" ht="12.5" x14ac:dyDescent="0.25">
      <c r="A7535" s="3" t="e">
        <f ca="1"/>
        <v>#NAME?</v>
      </c>
      <c r="B7535" s="2" t="s">
        <v>12</v>
      </c>
      <c r="C7535" s="2" t="s">
        <v>12</v>
      </c>
      <c r="D7535" s="2" t="s">
        <v>12</v>
      </c>
      <c r="E7535" s="2" t="s">
        <v>12</v>
      </c>
      <c r="F7535" s="2" t="s">
        <v>12</v>
      </c>
      <c r="G7535" s="2" t="s">
        <v>12</v>
      </c>
      <c r="H7535" s="2" t="s">
        <v>12</v>
      </c>
      <c r="I7535" s="2" t="s">
        <v>12</v>
      </c>
      <c r="J7535" s="2" t="s">
        <v>12</v>
      </c>
      <c r="K7535" s="2" t="s">
        <v>12</v>
      </c>
    </row>
    <row r="7536" spans="1:11" ht="12.5" x14ac:dyDescent="0.25">
      <c r="A7536" s="3" t="e">
        <f ca="1"/>
        <v>#NAME?</v>
      </c>
      <c r="B7536" s="2" t="s">
        <v>12</v>
      </c>
      <c r="C7536" s="2" t="s">
        <v>12</v>
      </c>
      <c r="D7536" s="2" t="s">
        <v>12</v>
      </c>
      <c r="E7536" s="2" t="s">
        <v>12</v>
      </c>
      <c r="F7536" s="2" t="s">
        <v>12</v>
      </c>
      <c r="G7536" s="2" t="s">
        <v>12</v>
      </c>
      <c r="H7536" s="2" t="s">
        <v>12</v>
      </c>
      <c r="I7536" s="2" t="s">
        <v>12</v>
      </c>
      <c r="J7536" s="2" t="s">
        <v>12</v>
      </c>
      <c r="K7536" s="2" t="s">
        <v>12</v>
      </c>
    </row>
    <row r="7537" spans="1:11" ht="12.5" x14ac:dyDescent="0.25">
      <c r="A7537" s="3" t="e">
        <f ca="1"/>
        <v>#NAME?</v>
      </c>
      <c r="B7537" s="2" t="s">
        <v>12</v>
      </c>
      <c r="C7537" s="2" t="s">
        <v>12</v>
      </c>
      <c r="D7537" s="2" t="s">
        <v>12</v>
      </c>
      <c r="E7537" s="2" t="s">
        <v>12</v>
      </c>
      <c r="F7537" s="2" t="s">
        <v>12</v>
      </c>
      <c r="G7537" s="2" t="s">
        <v>12</v>
      </c>
      <c r="H7537" s="2" t="s">
        <v>12</v>
      </c>
      <c r="I7537" s="2" t="s">
        <v>12</v>
      </c>
      <c r="J7537" s="2" t="s">
        <v>12</v>
      </c>
      <c r="K7537" s="2" t="s">
        <v>12</v>
      </c>
    </row>
    <row r="7538" spans="1:11" ht="12.5" x14ac:dyDescent="0.25">
      <c r="A7538" s="3" t="e">
        <f ca="1"/>
        <v>#NAME?</v>
      </c>
      <c r="B7538" s="2" t="s">
        <v>12</v>
      </c>
      <c r="C7538" s="2" t="s">
        <v>12</v>
      </c>
      <c r="D7538" s="2" t="s">
        <v>12</v>
      </c>
      <c r="E7538" s="2" t="s">
        <v>12</v>
      </c>
      <c r="F7538" s="2" t="s">
        <v>12</v>
      </c>
      <c r="G7538" s="2" t="s">
        <v>12</v>
      </c>
      <c r="H7538" s="2" t="s">
        <v>12</v>
      </c>
      <c r="I7538" s="2" t="s">
        <v>12</v>
      </c>
      <c r="J7538" s="2" t="s">
        <v>12</v>
      </c>
      <c r="K7538" s="2" t="s">
        <v>12</v>
      </c>
    </row>
    <row r="7539" spans="1:11" ht="12.5" x14ac:dyDescent="0.25">
      <c r="A7539" s="3" t="e">
        <f ca="1"/>
        <v>#NAME?</v>
      </c>
      <c r="B7539" s="2" t="s">
        <v>12</v>
      </c>
      <c r="C7539" s="2" t="s">
        <v>12</v>
      </c>
      <c r="D7539" s="2" t="s">
        <v>12</v>
      </c>
      <c r="E7539" s="2" t="s">
        <v>12</v>
      </c>
      <c r="F7539" s="2" t="s">
        <v>12</v>
      </c>
      <c r="G7539" s="2" t="s">
        <v>12</v>
      </c>
      <c r="H7539" s="2" t="s">
        <v>12</v>
      </c>
      <c r="I7539" s="2" t="s">
        <v>12</v>
      </c>
      <c r="J7539" s="2" t="s">
        <v>12</v>
      </c>
      <c r="K7539" s="2" t="s">
        <v>12</v>
      </c>
    </row>
    <row r="7540" spans="1:11" ht="12.5" x14ac:dyDescent="0.25">
      <c r="A7540" s="3" t="e">
        <f ca="1"/>
        <v>#NAME?</v>
      </c>
      <c r="B7540" s="2" t="s">
        <v>12</v>
      </c>
      <c r="C7540" s="2" t="s">
        <v>12</v>
      </c>
      <c r="D7540" s="2" t="s">
        <v>12</v>
      </c>
      <c r="E7540" s="2" t="s">
        <v>12</v>
      </c>
      <c r="F7540" s="2" t="s">
        <v>12</v>
      </c>
      <c r="G7540" s="2" t="s">
        <v>12</v>
      </c>
      <c r="H7540" s="2" t="s">
        <v>12</v>
      </c>
      <c r="I7540" s="2" t="s">
        <v>12</v>
      </c>
      <c r="J7540" s="2" t="s">
        <v>12</v>
      </c>
      <c r="K7540" s="2" t="s">
        <v>12</v>
      </c>
    </row>
    <row r="7541" spans="1:11" ht="12.5" x14ac:dyDescent="0.25">
      <c r="A7541" s="3" t="e">
        <f ca="1"/>
        <v>#NAME?</v>
      </c>
      <c r="B7541" s="2" t="s">
        <v>12</v>
      </c>
      <c r="C7541" s="2" t="s">
        <v>12</v>
      </c>
      <c r="D7541" s="2" t="s">
        <v>12</v>
      </c>
      <c r="E7541" s="2" t="s">
        <v>12</v>
      </c>
      <c r="F7541" s="2" t="s">
        <v>12</v>
      </c>
      <c r="G7541" s="2" t="s">
        <v>12</v>
      </c>
      <c r="H7541" s="2" t="s">
        <v>12</v>
      </c>
      <c r="I7541" s="2" t="s">
        <v>12</v>
      </c>
      <c r="J7541" s="2" t="s">
        <v>12</v>
      </c>
      <c r="K7541" s="2" t="s">
        <v>12</v>
      </c>
    </row>
    <row r="7542" spans="1:11" ht="12.5" x14ac:dyDescent="0.25">
      <c r="A7542" s="3" t="e">
        <f ca="1"/>
        <v>#NAME?</v>
      </c>
      <c r="B7542" s="2" t="s">
        <v>12</v>
      </c>
      <c r="C7542" s="2" t="s">
        <v>12</v>
      </c>
      <c r="D7542" s="2" t="s">
        <v>12</v>
      </c>
      <c r="E7542" s="2" t="s">
        <v>12</v>
      </c>
      <c r="F7542" s="2" t="s">
        <v>12</v>
      </c>
      <c r="G7542" s="2" t="s">
        <v>12</v>
      </c>
      <c r="H7542" s="2" t="s">
        <v>12</v>
      </c>
      <c r="I7542" s="2" t="s">
        <v>12</v>
      </c>
      <c r="J7542" s="2" t="s">
        <v>12</v>
      </c>
      <c r="K7542" s="2" t="s">
        <v>12</v>
      </c>
    </row>
    <row r="7543" spans="1:11" ht="12.5" x14ac:dyDescent="0.25">
      <c r="A7543" s="3" t="e">
        <f ca="1"/>
        <v>#NAME?</v>
      </c>
      <c r="B7543" s="2" t="s">
        <v>12</v>
      </c>
      <c r="C7543" s="2" t="s">
        <v>12</v>
      </c>
      <c r="D7543" s="2" t="s">
        <v>12</v>
      </c>
      <c r="E7543" s="2" t="s">
        <v>12</v>
      </c>
      <c r="F7543" s="2" t="s">
        <v>12</v>
      </c>
      <c r="G7543" s="2" t="s">
        <v>12</v>
      </c>
      <c r="H7543" s="2" t="s">
        <v>12</v>
      </c>
      <c r="I7543" s="2" t="s">
        <v>12</v>
      </c>
      <c r="J7543" s="2" t="s">
        <v>12</v>
      </c>
      <c r="K7543" s="2" t="s">
        <v>12</v>
      </c>
    </row>
    <row r="7544" spans="1:11" ht="12.5" x14ac:dyDescent="0.25">
      <c r="A7544" s="3" t="e">
        <f ca="1"/>
        <v>#NAME?</v>
      </c>
      <c r="B7544" s="2" t="s">
        <v>12</v>
      </c>
      <c r="C7544" s="2" t="s">
        <v>12</v>
      </c>
      <c r="D7544" s="2" t="s">
        <v>12</v>
      </c>
      <c r="E7544" s="2" t="s">
        <v>12</v>
      </c>
      <c r="F7544" s="2" t="s">
        <v>12</v>
      </c>
      <c r="G7544" s="2" t="s">
        <v>12</v>
      </c>
      <c r="H7544" s="2" t="s">
        <v>12</v>
      </c>
      <c r="I7544" s="2" t="s">
        <v>12</v>
      </c>
      <c r="J7544" s="2" t="s">
        <v>12</v>
      </c>
      <c r="K7544" s="2" t="s">
        <v>12</v>
      </c>
    </row>
    <row r="7545" spans="1:11" ht="12.5" x14ac:dyDescent="0.25">
      <c r="A7545" s="3" t="e">
        <f ca="1"/>
        <v>#NAME?</v>
      </c>
      <c r="B7545" s="2" t="s">
        <v>12</v>
      </c>
      <c r="C7545" s="2" t="s">
        <v>12</v>
      </c>
      <c r="D7545" s="2" t="s">
        <v>12</v>
      </c>
      <c r="E7545" s="2" t="s">
        <v>12</v>
      </c>
      <c r="F7545" s="2" t="s">
        <v>12</v>
      </c>
      <c r="G7545" s="2" t="s">
        <v>12</v>
      </c>
      <c r="H7545" s="2" t="s">
        <v>12</v>
      </c>
      <c r="I7545" s="2" t="s">
        <v>12</v>
      </c>
      <c r="J7545" s="2" t="s">
        <v>12</v>
      </c>
      <c r="K7545" s="2" t="s">
        <v>12</v>
      </c>
    </row>
    <row r="7546" spans="1:11" ht="12.5" x14ac:dyDescent="0.25">
      <c r="A7546" s="3" t="e">
        <f ca="1"/>
        <v>#NAME?</v>
      </c>
      <c r="B7546" s="2" t="s">
        <v>12</v>
      </c>
      <c r="C7546" s="2" t="s">
        <v>12</v>
      </c>
      <c r="D7546" s="2" t="s">
        <v>12</v>
      </c>
      <c r="E7546" s="2" t="s">
        <v>12</v>
      </c>
      <c r="F7546" s="2" t="s">
        <v>12</v>
      </c>
      <c r="G7546" s="2" t="s">
        <v>12</v>
      </c>
      <c r="H7546" s="2" t="s">
        <v>12</v>
      </c>
      <c r="I7546" s="2" t="s">
        <v>12</v>
      </c>
      <c r="J7546" s="2" t="s">
        <v>12</v>
      </c>
      <c r="K7546" s="2" t="s">
        <v>12</v>
      </c>
    </row>
    <row r="7547" spans="1:11" ht="12.5" x14ac:dyDescent="0.25">
      <c r="A7547" s="3" t="e">
        <f ca="1"/>
        <v>#NAME?</v>
      </c>
      <c r="B7547" s="2" t="s">
        <v>12</v>
      </c>
      <c r="C7547" s="2" t="s">
        <v>12</v>
      </c>
      <c r="D7547" s="2" t="s">
        <v>12</v>
      </c>
      <c r="E7547" s="2" t="s">
        <v>12</v>
      </c>
      <c r="F7547" s="2" t="s">
        <v>12</v>
      </c>
      <c r="G7547" s="2" t="s">
        <v>12</v>
      </c>
      <c r="H7547" s="2" t="s">
        <v>12</v>
      </c>
      <c r="I7547" s="2" t="s">
        <v>12</v>
      </c>
      <c r="J7547" s="2" t="s">
        <v>12</v>
      </c>
      <c r="K7547" s="2" t="s">
        <v>12</v>
      </c>
    </row>
    <row r="7548" spans="1:11" ht="12.5" x14ac:dyDescent="0.25">
      <c r="A7548" s="3" t="e">
        <f ca="1"/>
        <v>#NAME?</v>
      </c>
      <c r="B7548" s="2" t="s">
        <v>12</v>
      </c>
      <c r="C7548" s="2" t="s">
        <v>12</v>
      </c>
      <c r="D7548" s="2" t="s">
        <v>12</v>
      </c>
      <c r="E7548" s="2" t="s">
        <v>12</v>
      </c>
      <c r="F7548" s="2" t="s">
        <v>12</v>
      </c>
      <c r="G7548" s="2" t="s">
        <v>12</v>
      </c>
      <c r="H7548" s="2" t="s">
        <v>12</v>
      </c>
      <c r="I7548" s="2" t="s">
        <v>12</v>
      </c>
      <c r="J7548" s="2" t="s">
        <v>12</v>
      </c>
      <c r="K7548" s="2" t="s">
        <v>12</v>
      </c>
    </row>
    <row r="7549" spans="1:11" ht="12.5" x14ac:dyDescent="0.25">
      <c r="A7549" s="3" t="e">
        <f ca="1"/>
        <v>#NAME?</v>
      </c>
      <c r="B7549" s="2" t="s">
        <v>12</v>
      </c>
      <c r="C7549" s="2" t="s">
        <v>12</v>
      </c>
      <c r="D7549" s="2" t="s">
        <v>12</v>
      </c>
      <c r="E7549" s="2" t="s">
        <v>12</v>
      </c>
      <c r="F7549" s="2" t="s">
        <v>12</v>
      </c>
      <c r="G7549" s="2" t="s">
        <v>12</v>
      </c>
      <c r="H7549" s="2" t="s">
        <v>12</v>
      </c>
      <c r="I7549" s="2" t="s">
        <v>12</v>
      </c>
      <c r="J7549" s="2" t="s">
        <v>12</v>
      </c>
      <c r="K7549" s="2" t="s">
        <v>12</v>
      </c>
    </row>
    <row r="7550" spans="1:11" ht="12.5" x14ac:dyDescent="0.25">
      <c r="A7550" s="3" t="e">
        <f ca="1"/>
        <v>#NAME?</v>
      </c>
      <c r="B7550" s="2" t="s">
        <v>12</v>
      </c>
      <c r="C7550" s="2" t="s">
        <v>12</v>
      </c>
      <c r="D7550" s="2" t="s">
        <v>12</v>
      </c>
      <c r="E7550" s="2" t="s">
        <v>12</v>
      </c>
      <c r="F7550" s="2" t="s">
        <v>12</v>
      </c>
      <c r="G7550" s="2" t="s">
        <v>12</v>
      </c>
      <c r="H7550" s="2" t="s">
        <v>12</v>
      </c>
      <c r="I7550" s="2" t="s">
        <v>12</v>
      </c>
      <c r="J7550" s="2" t="s">
        <v>12</v>
      </c>
      <c r="K7550" s="2" t="s">
        <v>12</v>
      </c>
    </row>
    <row r="7551" spans="1:11" ht="12.5" x14ac:dyDescent="0.25">
      <c r="A7551" s="3" t="e">
        <f ca="1"/>
        <v>#NAME?</v>
      </c>
      <c r="B7551" s="2" t="s">
        <v>12</v>
      </c>
      <c r="C7551" s="2" t="s">
        <v>12</v>
      </c>
      <c r="D7551" s="2" t="s">
        <v>12</v>
      </c>
      <c r="E7551" s="2" t="s">
        <v>12</v>
      </c>
      <c r="F7551" s="2" t="s">
        <v>12</v>
      </c>
      <c r="G7551" s="2" t="s">
        <v>12</v>
      </c>
      <c r="H7551" s="2" t="s">
        <v>12</v>
      </c>
      <c r="I7551" s="2" t="s">
        <v>12</v>
      </c>
      <c r="J7551" s="2" t="s">
        <v>12</v>
      </c>
      <c r="K7551" s="2" t="s">
        <v>12</v>
      </c>
    </row>
    <row r="7552" spans="1:11" ht="12.5" x14ac:dyDescent="0.25">
      <c r="A7552" s="3" t="e">
        <f ca="1"/>
        <v>#NAME?</v>
      </c>
      <c r="B7552" s="2" t="s">
        <v>12</v>
      </c>
      <c r="C7552" s="2" t="s">
        <v>12</v>
      </c>
      <c r="D7552" s="2" t="s">
        <v>12</v>
      </c>
      <c r="E7552" s="2" t="s">
        <v>12</v>
      </c>
      <c r="F7552" s="2" t="s">
        <v>12</v>
      </c>
      <c r="G7552" s="2" t="s">
        <v>12</v>
      </c>
      <c r="H7552" s="2" t="s">
        <v>12</v>
      </c>
      <c r="I7552" s="2" t="s">
        <v>12</v>
      </c>
      <c r="J7552" s="2" t="s">
        <v>12</v>
      </c>
      <c r="K7552" s="2" t="s">
        <v>12</v>
      </c>
    </row>
    <row r="7553" spans="1:11" ht="12.5" x14ac:dyDescent="0.25">
      <c r="A7553" s="3" t="e">
        <f ca="1"/>
        <v>#NAME?</v>
      </c>
      <c r="B7553" s="2" t="s">
        <v>12</v>
      </c>
      <c r="C7553" s="2" t="s">
        <v>12</v>
      </c>
      <c r="D7553" s="2" t="s">
        <v>12</v>
      </c>
      <c r="E7553" s="2" t="s">
        <v>12</v>
      </c>
      <c r="F7553" s="2" t="s">
        <v>12</v>
      </c>
      <c r="G7553" s="2" t="s">
        <v>12</v>
      </c>
      <c r="H7553" s="2" t="s">
        <v>12</v>
      </c>
      <c r="I7553" s="2" t="s">
        <v>12</v>
      </c>
      <c r="J7553" s="2" t="s">
        <v>12</v>
      </c>
      <c r="K7553" s="2" t="s">
        <v>12</v>
      </c>
    </row>
    <row r="7554" spans="1:11" ht="12.5" x14ac:dyDescent="0.25">
      <c r="A7554" s="3" t="e">
        <f ca="1"/>
        <v>#NAME?</v>
      </c>
      <c r="B7554" s="2" t="s">
        <v>12</v>
      </c>
      <c r="C7554" s="2" t="s">
        <v>12</v>
      </c>
      <c r="D7554" s="2" t="s">
        <v>12</v>
      </c>
      <c r="E7554" s="2" t="s">
        <v>12</v>
      </c>
      <c r="F7554" s="2" t="s">
        <v>12</v>
      </c>
      <c r="G7554" s="2" t="s">
        <v>12</v>
      </c>
      <c r="H7554" s="2" t="s">
        <v>12</v>
      </c>
      <c r="I7554" s="2" t="s">
        <v>12</v>
      </c>
      <c r="J7554" s="2" t="s">
        <v>12</v>
      </c>
      <c r="K7554" s="2" t="s">
        <v>12</v>
      </c>
    </row>
    <row r="7555" spans="1:11" ht="12.5" x14ac:dyDescent="0.25">
      <c r="A7555" s="3" t="e">
        <f ca="1"/>
        <v>#NAME?</v>
      </c>
      <c r="B7555" s="2" t="s">
        <v>12</v>
      </c>
      <c r="C7555" s="2" t="s">
        <v>12</v>
      </c>
      <c r="D7555" s="2" t="s">
        <v>12</v>
      </c>
      <c r="E7555" s="2" t="s">
        <v>12</v>
      </c>
      <c r="F7555" s="2" t="s">
        <v>12</v>
      </c>
      <c r="G7555" s="2" t="s">
        <v>12</v>
      </c>
      <c r="H7555" s="2" t="s">
        <v>12</v>
      </c>
      <c r="I7555" s="2" t="s">
        <v>12</v>
      </c>
      <c r="J7555" s="2" t="s">
        <v>12</v>
      </c>
      <c r="K7555" s="2" t="s">
        <v>12</v>
      </c>
    </row>
    <row r="7556" spans="1:11" ht="12.5" x14ac:dyDescent="0.25">
      <c r="A7556" s="3" t="e">
        <f ca="1"/>
        <v>#NAME?</v>
      </c>
      <c r="B7556" s="2" t="s">
        <v>12</v>
      </c>
      <c r="C7556" s="2" t="s">
        <v>12</v>
      </c>
      <c r="D7556" s="2" t="s">
        <v>12</v>
      </c>
      <c r="E7556" s="2" t="s">
        <v>12</v>
      </c>
      <c r="F7556" s="2" t="s">
        <v>12</v>
      </c>
      <c r="G7556" s="2" t="s">
        <v>12</v>
      </c>
      <c r="H7556" s="2" t="s">
        <v>12</v>
      </c>
      <c r="I7556" s="2" t="s">
        <v>12</v>
      </c>
      <c r="J7556" s="2" t="s">
        <v>12</v>
      </c>
      <c r="K7556" s="2" t="s">
        <v>12</v>
      </c>
    </row>
    <row r="7557" spans="1:11" ht="12.5" x14ac:dyDescent="0.25">
      <c r="A7557" s="3" t="e">
        <f ca="1"/>
        <v>#NAME?</v>
      </c>
      <c r="B7557" s="2" t="s">
        <v>12</v>
      </c>
      <c r="C7557" s="2" t="s">
        <v>12</v>
      </c>
      <c r="D7557" s="2" t="s">
        <v>12</v>
      </c>
      <c r="E7557" s="2" t="s">
        <v>12</v>
      </c>
      <c r="F7557" s="2" t="s">
        <v>12</v>
      </c>
      <c r="G7557" s="2" t="s">
        <v>12</v>
      </c>
      <c r="H7557" s="2" t="s">
        <v>12</v>
      </c>
      <c r="I7557" s="2" t="s">
        <v>12</v>
      </c>
      <c r="J7557" s="2" t="s">
        <v>12</v>
      </c>
      <c r="K7557" s="2" t="s">
        <v>12</v>
      </c>
    </row>
    <row r="7558" spans="1:11" ht="12.5" x14ac:dyDescent="0.25">
      <c r="A7558" s="3" t="e">
        <f ca="1"/>
        <v>#NAME?</v>
      </c>
      <c r="B7558" s="2" t="s">
        <v>12</v>
      </c>
      <c r="C7558" s="2" t="s">
        <v>12</v>
      </c>
      <c r="D7558" s="2" t="s">
        <v>12</v>
      </c>
      <c r="E7558" s="2" t="s">
        <v>12</v>
      </c>
      <c r="F7558" s="2" t="s">
        <v>12</v>
      </c>
      <c r="G7558" s="2" t="s">
        <v>12</v>
      </c>
      <c r="H7558" s="2" t="s">
        <v>12</v>
      </c>
      <c r="I7558" s="2" t="s">
        <v>12</v>
      </c>
      <c r="J7558" s="2" t="s">
        <v>12</v>
      </c>
      <c r="K7558" s="2" t="s">
        <v>12</v>
      </c>
    </row>
    <row r="7559" spans="1:11" ht="12.5" x14ac:dyDescent="0.25">
      <c r="A7559" s="3" t="e">
        <f ca="1"/>
        <v>#NAME?</v>
      </c>
      <c r="B7559" s="2" t="s">
        <v>12</v>
      </c>
      <c r="C7559" s="2" t="s">
        <v>12</v>
      </c>
      <c r="D7559" s="2" t="s">
        <v>12</v>
      </c>
      <c r="E7559" s="2" t="s">
        <v>12</v>
      </c>
      <c r="F7559" s="2" t="s">
        <v>12</v>
      </c>
      <c r="G7559" s="2" t="s">
        <v>12</v>
      </c>
      <c r="H7559" s="2" t="s">
        <v>12</v>
      </c>
      <c r="I7559" s="2" t="s">
        <v>12</v>
      </c>
      <c r="J7559" s="2" t="s">
        <v>12</v>
      </c>
      <c r="K7559" s="2" t="s">
        <v>12</v>
      </c>
    </row>
    <row r="7560" spans="1:11" ht="12.5" x14ac:dyDescent="0.25">
      <c r="A7560" s="3" t="e">
        <f ca="1"/>
        <v>#NAME?</v>
      </c>
      <c r="B7560" s="2" t="s">
        <v>12</v>
      </c>
      <c r="C7560" s="2" t="s">
        <v>12</v>
      </c>
      <c r="D7560" s="2" t="s">
        <v>12</v>
      </c>
      <c r="E7560" s="2" t="s">
        <v>12</v>
      </c>
      <c r="F7560" s="2" t="s">
        <v>12</v>
      </c>
      <c r="G7560" s="2" t="s">
        <v>12</v>
      </c>
      <c r="H7560" s="2" t="s">
        <v>12</v>
      </c>
      <c r="I7560" s="2" t="s">
        <v>12</v>
      </c>
      <c r="J7560" s="2" t="s">
        <v>12</v>
      </c>
      <c r="K7560" s="2" t="s">
        <v>12</v>
      </c>
    </row>
    <row r="7561" spans="1:11" ht="12.5" x14ac:dyDescent="0.25">
      <c r="A7561" s="3" t="e">
        <f ca="1"/>
        <v>#NAME?</v>
      </c>
      <c r="B7561" s="2" t="s">
        <v>12</v>
      </c>
      <c r="C7561" s="2" t="s">
        <v>12</v>
      </c>
      <c r="D7561" s="2" t="s">
        <v>12</v>
      </c>
      <c r="E7561" s="2" t="s">
        <v>12</v>
      </c>
      <c r="F7561" s="2" t="s">
        <v>12</v>
      </c>
      <c r="G7561" s="2" t="s">
        <v>12</v>
      </c>
      <c r="H7561" s="2" t="s">
        <v>12</v>
      </c>
      <c r="I7561" s="2" t="s">
        <v>12</v>
      </c>
      <c r="J7561" s="2" t="s">
        <v>12</v>
      </c>
      <c r="K7561" s="2" t="s">
        <v>12</v>
      </c>
    </row>
    <row r="7562" spans="1:11" ht="12.5" x14ac:dyDescent="0.25">
      <c r="A7562" s="3" t="e">
        <f ca="1"/>
        <v>#NAME?</v>
      </c>
      <c r="B7562" s="2" t="s">
        <v>12</v>
      </c>
      <c r="C7562" s="2" t="s">
        <v>12</v>
      </c>
      <c r="D7562" s="2" t="s">
        <v>12</v>
      </c>
      <c r="E7562" s="2" t="s">
        <v>12</v>
      </c>
      <c r="F7562" s="2" t="s">
        <v>12</v>
      </c>
      <c r="G7562" s="2" t="s">
        <v>12</v>
      </c>
      <c r="H7562" s="2" t="s">
        <v>12</v>
      </c>
      <c r="I7562" s="2" t="s">
        <v>12</v>
      </c>
      <c r="J7562" s="2" t="s">
        <v>12</v>
      </c>
      <c r="K7562" s="2" t="s">
        <v>12</v>
      </c>
    </row>
    <row r="7563" spans="1:11" ht="12.5" x14ac:dyDescent="0.25">
      <c r="A7563" s="3" t="e">
        <f ca="1"/>
        <v>#NAME?</v>
      </c>
      <c r="B7563" s="2" t="s">
        <v>12</v>
      </c>
      <c r="C7563" s="2" t="s">
        <v>12</v>
      </c>
      <c r="D7563" s="2" t="s">
        <v>12</v>
      </c>
      <c r="E7563" s="2" t="s">
        <v>12</v>
      </c>
      <c r="F7563" s="2" t="s">
        <v>12</v>
      </c>
      <c r="G7563" s="2" t="s">
        <v>12</v>
      </c>
      <c r="H7563" s="2" t="s">
        <v>12</v>
      </c>
      <c r="I7563" s="2" t="s">
        <v>12</v>
      </c>
      <c r="J7563" s="2" t="s">
        <v>12</v>
      </c>
      <c r="K7563" s="2" t="s">
        <v>12</v>
      </c>
    </row>
    <row r="7564" spans="1:11" ht="12.5" x14ac:dyDescent="0.25">
      <c r="A7564" s="3" t="e">
        <f ca="1"/>
        <v>#NAME?</v>
      </c>
      <c r="B7564" s="2" t="s">
        <v>12</v>
      </c>
      <c r="C7564" s="2" t="s">
        <v>12</v>
      </c>
      <c r="D7564" s="2" t="s">
        <v>12</v>
      </c>
      <c r="E7564" s="2" t="s">
        <v>12</v>
      </c>
      <c r="F7564" s="2" t="s">
        <v>12</v>
      </c>
      <c r="G7564" s="2" t="s">
        <v>12</v>
      </c>
      <c r="H7564" s="2" t="s">
        <v>12</v>
      </c>
      <c r="I7564" s="2" t="s">
        <v>12</v>
      </c>
      <c r="J7564" s="2" t="s">
        <v>12</v>
      </c>
      <c r="K7564" s="2" t="s">
        <v>12</v>
      </c>
    </row>
    <row r="7565" spans="1:11" ht="12.5" x14ac:dyDescent="0.25">
      <c r="A7565" s="3" t="e">
        <f ca="1"/>
        <v>#NAME?</v>
      </c>
      <c r="B7565" s="2" t="s">
        <v>12</v>
      </c>
      <c r="C7565" s="2" t="s">
        <v>12</v>
      </c>
      <c r="D7565" s="2" t="s">
        <v>12</v>
      </c>
      <c r="E7565" s="2" t="s">
        <v>12</v>
      </c>
      <c r="F7565" s="2" t="s">
        <v>12</v>
      </c>
      <c r="G7565" s="2" t="s">
        <v>12</v>
      </c>
      <c r="H7565" s="2" t="s">
        <v>12</v>
      </c>
      <c r="I7565" s="2" t="s">
        <v>12</v>
      </c>
      <c r="J7565" s="2" t="s">
        <v>12</v>
      </c>
      <c r="K7565" s="2" t="s">
        <v>12</v>
      </c>
    </row>
    <row r="7566" spans="1:11" ht="12.5" x14ac:dyDescent="0.25">
      <c r="A7566" s="3" t="e">
        <f ca="1"/>
        <v>#NAME?</v>
      </c>
      <c r="B7566" s="2" t="s">
        <v>12</v>
      </c>
      <c r="C7566" s="2" t="s">
        <v>12</v>
      </c>
      <c r="D7566" s="2" t="s">
        <v>12</v>
      </c>
      <c r="E7566" s="2" t="s">
        <v>12</v>
      </c>
      <c r="F7566" s="2" t="s">
        <v>12</v>
      </c>
      <c r="G7566" s="2" t="s">
        <v>12</v>
      </c>
      <c r="H7566" s="2" t="s">
        <v>12</v>
      </c>
      <c r="I7566" s="2" t="s">
        <v>12</v>
      </c>
      <c r="J7566" s="2" t="s">
        <v>12</v>
      </c>
      <c r="K7566" s="2" t="s">
        <v>12</v>
      </c>
    </row>
    <row r="7567" spans="1:11" ht="12.5" x14ac:dyDescent="0.25">
      <c r="A7567" s="3" t="e">
        <f ca="1"/>
        <v>#NAME?</v>
      </c>
      <c r="B7567" s="2" t="s">
        <v>12</v>
      </c>
      <c r="C7567" s="2" t="s">
        <v>12</v>
      </c>
      <c r="D7567" s="2" t="s">
        <v>12</v>
      </c>
      <c r="E7567" s="2" t="s">
        <v>12</v>
      </c>
      <c r="F7567" s="2" t="s">
        <v>12</v>
      </c>
      <c r="G7567" s="2" t="s">
        <v>12</v>
      </c>
      <c r="H7567" s="2" t="s">
        <v>12</v>
      </c>
      <c r="I7567" s="2" t="s">
        <v>12</v>
      </c>
      <c r="J7567" s="2" t="s">
        <v>12</v>
      </c>
      <c r="K7567" s="2" t="s">
        <v>12</v>
      </c>
    </row>
    <row r="7568" spans="1:11" ht="12.5" x14ac:dyDescent="0.25">
      <c r="A7568" s="3" t="e">
        <f ca="1"/>
        <v>#NAME?</v>
      </c>
      <c r="B7568" s="2" t="s">
        <v>12</v>
      </c>
      <c r="C7568" s="2" t="s">
        <v>12</v>
      </c>
      <c r="D7568" s="2" t="s">
        <v>12</v>
      </c>
      <c r="E7568" s="2" t="s">
        <v>12</v>
      </c>
      <c r="F7568" s="2" t="s">
        <v>12</v>
      </c>
      <c r="G7568" s="2" t="s">
        <v>12</v>
      </c>
      <c r="H7568" s="2" t="s">
        <v>12</v>
      </c>
      <c r="I7568" s="2" t="s">
        <v>12</v>
      </c>
      <c r="J7568" s="2" t="s">
        <v>12</v>
      </c>
      <c r="K7568" s="2" t="s">
        <v>12</v>
      </c>
    </row>
    <row r="7569" spans="1:11" ht="12.5" x14ac:dyDescent="0.25">
      <c r="A7569" s="3" t="e">
        <f ca="1"/>
        <v>#NAME?</v>
      </c>
      <c r="B7569" s="2" t="s">
        <v>12</v>
      </c>
      <c r="C7569" s="2" t="s">
        <v>12</v>
      </c>
      <c r="D7569" s="2" t="s">
        <v>12</v>
      </c>
      <c r="E7569" s="2" t="s">
        <v>12</v>
      </c>
      <c r="F7569" s="2" t="s">
        <v>12</v>
      </c>
      <c r="G7569" s="2" t="s">
        <v>12</v>
      </c>
      <c r="H7569" s="2" t="s">
        <v>12</v>
      </c>
      <c r="I7569" s="2" t="s">
        <v>12</v>
      </c>
      <c r="J7569" s="2" t="s">
        <v>12</v>
      </c>
      <c r="K7569" s="2" t="s">
        <v>12</v>
      </c>
    </row>
    <row r="7570" spans="1:11" ht="12.5" x14ac:dyDescent="0.25">
      <c r="A7570" s="3" t="e">
        <f ca="1"/>
        <v>#NAME?</v>
      </c>
      <c r="B7570" s="2" t="s">
        <v>12</v>
      </c>
      <c r="C7570" s="2" t="s">
        <v>12</v>
      </c>
      <c r="D7570" s="2" t="s">
        <v>12</v>
      </c>
      <c r="E7570" s="2" t="s">
        <v>12</v>
      </c>
      <c r="F7570" s="2" t="s">
        <v>12</v>
      </c>
      <c r="G7570" s="2" t="s">
        <v>12</v>
      </c>
      <c r="H7570" s="2" t="s">
        <v>12</v>
      </c>
      <c r="I7570" s="2" t="s">
        <v>12</v>
      </c>
      <c r="J7570" s="2" t="s">
        <v>12</v>
      </c>
      <c r="K7570" s="2" t="s">
        <v>12</v>
      </c>
    </row>
    <row r="7571" spans="1:11" ht="12.5" x14ac:dyDescent="0.25">
      <c r="A7571" s="3" t="e">
        <f ca="1"/>
        <v>#NAME?</v>
      </c>
      <c r="B7571" s="2" t="s">
        <v>12</v>
      </c>
      <c r="C7571" s="2" t="s">
        <v>12</v>
      </c>
      <c r="D7571" s="2" t="s">
        <v>12</v>
      </c>
      <c r="E7571" s="2" t="s">
        <v>12</v>
      </c>
      <c r="F7571" s="2" t="s">
        <v>12</v>
      </c>
      <c r="G7571" s="2" t="s">
        <v>12</v>
      </c>
      <c r="H7571" s="2" t="s">
        <v>12</v>
      </c>
      <c r="I7571" s="2" t="s">
        <v>12</v>
      </c>
      <c r="J7571" s="2" t="s">
        <v>12</v>
      </c>
      <c r="K7571" s="2" t="s">
        <v>12</v>
      </c>
    </row>
    <row r="7572" spans="1:11" ht="12.5" x14ac:dyDescent="0.25">
      <c r="A7572" s="3" t="e">
        <f ca="1"/>
        <v>#NAME?</v>
      </c>
      <c r="B7572" s="2" t="s">
        <v>12</v>
      </c>
      <c r="C7572" s="2" t="s">
        <v>12</v>
      </c>
      <c r="D7572" s="2" t="s">
        <v>12</v>
      </c>
      <c r="E7572" s="2" t="s">
        <v>12</v>
      </c>
      <c r="F7572" s="2" t="s">
        <v>12</v>
      </c>
      <c r="G7572" s="2" t="s">
        <v>12</v>
      </c>
      <c r="H7572" s="2" t="s">
        <v>12</v>
      </c>
      <c r="I7572" s="2" t="s">
        <v>12</v>
      </c>
      <c r="J7572" s="2" t="s">
        <v>12</v>
      </c>
      <c r="K7572" s="2" t="s">
        <v>12</v>
      </c>
    </row>
    <row r="7573" spans="1:11" ht="12.5" x14ac:dyDescent="0.25">
      <c r="A7573" s="3" t="e">
        <f ca="1"/>
        <v>#NAME?</v>
      </c>
      <c r="B7573" s="2" t="s">
        <v>12</v>
      </c>
      <c r="C7573" s="2" t="s">
        <v>12</v>
      </c>
      <c r="D7573" s="2" t="s">
        <v>12</v>
      </c>
      <c r="E7573" s="2" t="s">
        <v>12</v>
      </c>
      <c r="F7573" s="2" t="s">
        <v>12</v>
      </c>
      <c r="G7573" s="2" t="s">
        <v>12</v>
      </c>
      <c r="H7573" s="2" t="s">
        <v>12</v>
      </c>
      <c r="I7573" s="2" t="s">
        <v>12</v>
      </c>
      <c r="J7573" s="2" t="s">
        <v>12</v>
      </c>
      <c r="K7573" s="2" t="s">
        <v>12</v>
      </c>
    </row>
    <row r="7574" spans="1:11" ht="12.5" x14ac:dyDescent="0.25">
      <c r="A7574" s="3" t="e">
        <f ca="1"/>
        <v>#NAME?</v>
      </c>
      <c r="B7574" s="2" t="s">
        <v>12</v>
      </c>
      <c r="C7574" s="2" t="s">
        <v>12</v>
      </c>
      <c r="D7574" s="2" t="s">
        <v>12</v>
      </c>
      <c r="E7574" s="2" t="s">
        <v>12</v>
      </c>
      <c r="F7574" s="2" t="s">
        <v>12</v>
      </c>
      <c r="G7574" s="2" t="s">
        <v>12</v>
      </c>
      <c r="H7574" s="2" t="s">
        <v>12</v>
      </c>
      <c r="I7574" s="2" t="s">
        <v>12</v>
      </c>
      <c r="J7574" s="2" t="s">
        <v>12</v>
      </c>
      <c r="K7574" s="2" t="s">
        <v>12</v>
      </c>
    </row>
    <row r="7575" spans="1:11" ht="12.5" x14ac:dyDescent="0.25">
      <c r="A7575" s="3" t="e">
        <f ca="1"/>
        <v>#NAME?</v>
      </c>
      <c r="B7575" s="2" t="s">
        <v>12</v>
      </c>
      <c r="C7575" s="2" t="s">
        <v>12</v>
      </c>
      <c r="D7575" s="2" t="s">
        <v>12</v>
      </c>
      <c r="E7575" s="2" t="s">
        <v>12</v>
      </c>
      <c r="F7575" s="2" t="s">
        <v>12</v>
      </c>
      <c r="G7575" s="2" t="s">
        <v>12</v>
      </c>
      <c r="H7575" s="2" t="s">
        <v>12</v>
      </c>
      <c r="I7575" s="2" t="s">
        <v>12</v>
      </c>
      <c r="J7575" s="2" t="s">
        <v>12</v>
      </c>
      <c r="K7575" s="2" t="s">
        <v>12</v>
      </c>
    </row>
    <row r="7576" spans="1:11" ht="12.5" x14ac:dyDescent="0.25">
      <c r="A7576" s="3" t="e">
        <f ca="1"/>
        <v>#NAME?</v>
      </c>
      <c r="B7576" s="2" t="s">
        <v>12</v>
      </c>
      <c r="C7576" s="2" t="s">
        <v>12</v>
      </c>
      <c r="D7576" s="2" t="s">
        <v>12</v>
      </c>
      <c r="E7576" s="2" t="s">
        <v>12</v>
      </c>
      <c r="F7576" s="2" t="s">
        <v>12</v>
      </c>
      <c r="G7576" s="2" t="s">
        <v>12</v>
      </c>
      <c r="H7576" s="2" t="s">
        <v>12</v>
      </c>
      <c r="I7576" s="2" t="s">
        <v>12</v>
      </c>
      <c r="J7576" s="2" t="s">
        <v>12</v>
      </c>
      <c r="K7576" s="2" t="s">
        <v>12</v>
      </c>
    </row>
    <row r="7577" spans="1:11" ht="12.5" x14ac:dyDescent="0.25">
      <c r="A7577" s="3" t="e">
        <f ca="1"/>
        <v>#NAME?</v>
      </c>
      <c r="B7577" s="2" t="s">
        <v>12</v>
      </c>
      <c r="C7577" s="2" t="s">
        <v>12</v>
      </c>
      <c r="D7577" s="2" t="s">
        <v>12</v>
      </c>
      <c r="E7577" s="2" t="s">
        <v>12</v>
      </c>
      <c r="F7577" s="2" t="s">
        <v>12</v>
      </c>
      <c r="G7577" s="2" t="s">
        <v>12</v>
      </c>
      <c r="H7577" s="2" t="s">
        <v>12</v>
      </c>
      <c r="I7577" s="2" t="s">
        <v>12</v>
      </c>
      <c r="J7577" s="2" t="s">
        <v>12</v>
      </c>
      <c r="K7577" s="2" t="s">
        <v>12</v>
      </c>
    </row>
    <row r="7578" spans="1:11" ht="12.5" x14ac:dyDescent="0.25">
      <c r="A7578" s="3" t="e">
        <f ca="1"/>
        <v>#NAME?</v>
      </c>
      <c r="B7578" s="2" t="s">
        <v>12</v>
      </c>
      <c r="C7578" s="2" t="s">
        <v>12</v>
      </c>
      <c r="D7578" s="2" t="s">
        <v>12</v>
      </c>
      <c r="E7578" s="2" t="s">
        <v>12</v>
      </c>
      <c r="F7578" s="2" t="s">
        <v>12</v>
      </c>
      <c r="G7578" s="2" t="s">
        <v>12</v>
      </c>
      <c r="H7578" s="2" t="s">
        <v>12</v>
      </c>
      <c r="I7578" s="2" t="s">
        <v>12</v>
      </c>
      <c r="J7578" s="2" t="s">
        <v>12</v>
      </c>
      <c r="K7578" s="2" t="s">
        <v>12</v>
      </c>
    </row>
    <row r="7579" spans="1:11" ht="12.5" x14ac:dyDescent="0.25">
      <c r="A7579" s="3" t="e">
        <f ca="1"/>
        <v>#NAME?</v>
      </c>
      <c r="B7579" s="2" t="s">
        <v>12</v>
      </c>
      <c r="C7579" s="2" t="s">
        <v>12</v>
      </c>
      <c r="D7579" s="2" t="s">
        <v>12</v>
      </c>
      <c r="E7579" s="2" t="s">
        <v>12</v>
      </c>
      <c r="F7579" s="2" t="s">
        <v>12</v>
      </c>
      <c r="G7579" s="2" t="s">
        <v>12</v>
      </c>
      <c r="H7579" s="2" t="s">
        <v>12</v>
      </c>
      <c r="I7579" s="2" t="s">
        <v>12</v>
      </c>
      <c r="J7579" s="2" t="s">
        <v>12</v>
      </c>
      <c r="K7579" s="2" t="s">
        <v>12</v>
      </c>
    </row>
    <row r="7580" spans="1:11" ht="12.5" x14ac:dyDescent="0.25">
      <c r="A7580" s="3" t="e">
        <f ca="1"/>
        <v>#NAME?</v>
      </c>
      <c r="B7580" s="2" t="s">
        <v>12</v>
      </c>
      <c r="C7580" s="2" t="s">
        <v>12</v>
      </c>
      <c r="D7580" s="2" t="s">
        <v>12</v>
      </c>
      <c r="E7580" s="2" t="s">
        <v>12</v>
      </c>
      <c r="F7580" s="2" t="s">
        <v>12</v>
      </c>
      <c r="G7580" s="2" t="s">
        <v>12</v>
      </c>
      <c r="H7580" s="2" t="s">
        <v>12</v>
      </c>
      <c r="I7580" s="2" t="s">
        <v>12</v>
      </c>
      <c r="J7580" s="2" t="s">
        <v>12</v>
      </c>
      <c r="K7580" s="2" t="s">
        <v>12</v>
      </c>
    </row>
    <row r="7581" spans="1:11" ht="12.5" x14ac:dyDescent="0.25">
      <c r="A7581" s="3" t="e">
        <f ca="1"/>
        <v>#NAME?</v>
      </c>
      <c r="B7581" s="2" t="s">
        <v>12</v>
      </c>
      <c r="C7581" s="2" t="s">
        <v>12</v>
      </c>
      <c r="D7581" s="2" t="s">
        <v>12</v>
      </c>
      <c r="E7581" s="2" t="s">
        <v>12</v>
      </c>
      <c r="F7581" s="2" t="s">
        <v>12</v>
      </c>
      <c r="G7581" s="2" t="s">
        <v>12</v>
      </c>
      <c r="H7581" s="2" t="s">
        <v>12</v>
      </c>
      <c r="I7581" s="2" t="s">
        <v>12</v>
      </c>
      <c r="J7581" s="2" t="s">
        <v>12</v>
      </c>
      <c r="K7581" s="2" t="s">
        <v>12</v>
      </c>
    </row>
    <row r="7582" spans="1:11" ht="12.5" x14ac:dyDescent="0.25">
      <c r="A7582" s="3" t="e">
        <f ca="1"/>
        <v>#NAME?</v>
      </c>
      <c r="B7582" s="2" t="s">
        <v>12</v>
      </c>
      <c r="C7582" s="2" t="s">
        <v>12</v>
      </c>
      <c r="D7582" s="2" t="s">
        <v>12</v>
      </c>
      <c r="E7582" s="2" t="s">
        <v>12</v>
      </c>
      <c r="F7582" s="2" t="s">
        <v>12</v>
      </c>
      <c r="G7582" s="2" t="s">
        <v>12</v>
      </c>
      <c r="H7582" s="2" t="s">
        <v>12</v>
      </c>
      <c r="I7582" s="2" t="s">
        <v>12</v>
      </c>
      <c r="J7582" s="2" t="s">
        <v>12</v>
      </c>
      <c r="K7582" s="2" t="s">
        <v>12</v>
      </c>
    </row>
    <row r="7583" spans="1:11" ht="12.5" x14ac:dyDescent="0.25">
      <c r="A7583" s="3" t="e">
        <f ca="1"/>
        <v>#NAME?</v>
      </c>
      <c r="B7583" s="2" t="s">
        <v>12</v>
      </c>
      <c r="C7583" s="2" t="s">
        <v>12</v>
      </c>
      <c r="D7583" s="2" t="s">
        <v>12</v>
      </c>
      <c r="E7583" s="2" t="s">
        <v>12</v>
      </c>
      <c r="F7583" s="2" t="s">
        <v>12</v>
      </c>
      <c r="G7583" s="2" t="s">
        <v>12</v>
      </c>
      <c r="H7583" s="2" t="s">
        <v>12</v>
      </c>
      <c r="I7583" s="2" t="s">
        <v>12</v>
      </c>
      <c r="J7583" s="2" t="s">
        <v>12</v>
      </c>
      <c r="K7583" s="2" t="s">
        <v>12</v>
      </c>
    </row>
    <row r="7584" spans="1:11" ht="12.5" x14ac:dyDescent="0.25">
      <c r="A7584" s="3" t="e">
        <f ca="1"/>
        <v>#NAME?</v>
      </c>
      <c r="B7584" s="2" t="s">
        <v>12</v>
      </c>
      <c r="C7584" s="2" t="s">
        <v>12</v>
      </c>
      <c r="D7584" s="2" t="s">
        <v>12</v>
      </c>
      <c r="E7584" s="2" t="s">
        <v>12</v>
      </c>
      <c r="F7584" s="2" t="s">
        <v>12</v>
      </c>
      <c r="G7584" s="2" t="s">
        <v>12</v>
      </c>
      <c r="H7584" s="2" t="s">
        <v>12</v>
      </c>
      <c r="I7584" s="2" t="s">
        <v>12</v>
      </c>
      <c r="J7584" s="2" t="s">
        <v>12</v>
      </c>
      <c r="K7584" s="2" t="s">
        <v>12</v>
      </c>
    </row>
    <row r="7585" spans="1:11" ht="12.5" x14ac:dyDescent="0.25">
      <c r="A7585" s="3" t="e">
        <f ca="1"/>
        <v>#NAME?</v>
      </c>
      <c r="B7585" s="2" t="s">
        <v>12</v>
      </c>
      <c r="C7585" s="2" t="s">
        <v>12</v>
      </c>
      <c r="D7585" s="2" t="s">
        <v>12</v>
      </c>
      <c r="E7585" s="2" t="s">
        <v>12</v>
      </c>
      <c r="F7585" s="2" t="s">
        <v>12</v>
      </c>
      <c r="G7585" s="2" t="s">
        <v>12</v>
      </c>
      <c r="H7585" s="2" t="s">
        <v>12</v>
      </c>
      <c r="I7585" s="2" t="s">
        <v>12</v>
      </c>
      <c r="J7585" s="2" t="s">
        <v>12</v>
      </c>
      <c r="K7585" s="2" t="s">
        <v>12</v>
      </c>
    </row>
    <row r="7586" spans="1:11" ht="12.5" x14ac:dyDescent="0.25">
      <c r="A7586" s="3" t="e">
        <f ca="1"/>
        <v>#NAME?</v>
      </c>
      <c r="B7586" s="2" t="s">
        <v>12</v>
      </c>
      <c r="C7586" s="2" t="s">
        <v>12</v>
      </c>
      <c r="D7586" s="2" t="s">
        <v>12</v>
      </c>
      <c r="E7586" s="2" t="s">
        <v>12</v>
      </c>
      <c r="F7586" s="2" t="s">
        <v>12</v>
      </c>
      <c r="G7586" s="2" t="s">
        <v>12</v>
      </c>
      <c r="H7586" s="2" t="s">
        <v>12</v>
      </c>
      <c r="I7586" s="2" t="s">
        <v>12</v>
      </c>
      <c r="J7586" s="2" t="s">
        <v>12</v>
      </c>
      <c r="K7586" s="2" t="s">
        <v>12</v>
      </c>
    </row>
    <row r="7587" spans="1:11" ht="12.5" x14ac:dyDescent="0.25">
      <c r="A7587" s="3" t="e">
        <f ca="1"/>
        <v>#NAME?</v>
      </c>
      <c r="B7587" s="2" t="s">
        <v>12</v>
      </c>
      <c r="C7587" s="2" t="s">
        <v>12</v>
      </c>
      <c r="D7587" s="2" t="s">
        <v>12</v>
      </c>
      <c r="E7587" s="2" t="s">
        <v>12</v>
      </c>
      <c r="F7587" s="2" t="s">
        <v>12</v>
      </c>
      <c r="G7587" s="2" t="s">
        <v>12</v>
      </c>
      <c r="H7587" s="2" t="s">
        <v>12</v>
      </c>
      <c r="I7587" s="2" t="s">
        <v>12</v>
      </c>
      <c r="J7587" s="2" t="s">
        <v>12</v>
      </c>
      <c r="K7587" s="2" t="s">
        <v>12</v>
      </c>
    </row>
    <row r="7588" spans="1:11" ht="12.5" x14ac:dyDescent="0.25">
      <c r="A7588" s="3" t="e">
        <f ca="1"/>
        <v>#NAME?</v>
      </c>
      <c r="B7588" s="2" t="s">
        <v>12</v>
      </c>
      <c r="C7588" s="2" t="s">
        <v>12</v>
      </c>
      <c r="D7588" s="2" t="s">
        <v>12</v>
      </c>
      <c r="E7588" s="2" t="s">
        <v>12</v>
      </c>
      <c r="F7588" s="2" t="s">
        <v>12</v>
      </c>
      <c r="G7588" s="2" t="s">
        <v>12</v>
      </c>
      <c r="H7588" s="2" t="s">
        <v>12</v>
      </c>
      <c r="I7588" s="2" t="s">
        <v>12</v>
      </c>
      <c r="J7588" s="2" t="s">
        <v>12</v>
      </c>
      <c r="K7588" s="2" t="s">
        <v>12</v>
      </c>
    </row>
    <row r="7589" spans="1:11" ht="12.5" x14ac:dyDescent="0.25">
      <c r="A7589" s="3" t="e">
        <f ca="1"/>
        <v>#NAME?</v>
      </c>
      <c r="B7589" s="2" t="s">
        <v>12</v>
      </c>
      <c r="C7589" s="2" t="s">
        <v>12</v>
      </c>
      <c r="D7589" s="2" t="s">
        <v>12</v>
      </c>
      <c r="E7589" s="2" t="s">
        <v>12</v>
      </c>
      <c r="F7589" s="2" t="s">
        <v>12</v>
      </c>
      <c r="G7589" s="2" t="s">
        <v>12</v>
      </c>
      <c r="H7589" s="2" t="s">
        <v>12</v>
      </c>
      <c r="I7589" s="2" t="s">
        <v>12</v>
      </c>
      <c r="J7589" s="2" t="s">
        <v>12</v>
      </c>
      <c r="K7589" s="2" t="s">
        <v>12</v>
      </c>
    </row>
    <row r="7590" spans="1:11" ht="12.5" x14ac:dyDescent="0.25">
      <c r="A7590" s="3" t="e">
        <f ca="1"/>
        <v>#NAME?</v>
      </c>
      <c r="B7590" s="2" t="s">
        <v>12</v>
      </c>
      <c r="C7590" s="2" t="s">
        <v>12</v>
      </c>
      <c r="D7590" s="2" t="s">
        <v>12</v>
      </c>
      <c r="E7590" s="2" t="s">
        <v>12</v>
      </c>
      <c r="F7590" s="2" t="s">
        <v>12</v>
      </c>
      <c r="G7590" s="2" t="s">
        <v>12</v>
      </c>
      <c r="H7590" s="2" t="s">
        <v>12</v>
      </c>
      <c r="I7590" s="2" t="s">
        <v>12</v>
      </c>
      <c r="J7590" s="2" t="s">
        <v>12</v>
      </c>
      <c r="K7590" s="2" t="s">
        <v>12</v>
      </c>
    </row>
    <row r="7591" spans="1:11" ht="12.5" x14ac:dyDescent="0.25">
      <c r="A7591" s="3" t="e">
        <f ca="1"/>
        <v>#NAME?</v>
      </c>
      <c r="B7591" s="2" t="s">
        <v>12</v>
      </c>
      <c r="C7591" s="2" t="s">
        <v>12</v>
      </c>
      <c r="D7591" s="2" t="s">
        <v>12</v>
      </c>
      <c r="E7591" s="2" t="s">
        <v>12</v>
      </c>
      <c r="F7591" s="2" t="s">
        <v>12</v>
      </c>
      <c r="G7591" s="2" t="s">
        <v>12</v>
      </c>
      <c r="H7591" s="2" t="s">
        <v>12</v>
      </c>
      <c r="I7591" s="2" t="s">
        <v>12</v>
      </c>
      <c r="J7591" s="2" t="s">
        <v>12</v>
      </c>
      <c r="K7591" s="2" t="s">
        <v>12</v>
      </c>
    </row>
    <row r="7592" spans="1:11" ht="12.5" x14ac:dyDescent="0.25">
      <c r="A7592" s="3" t="e">
        <f ca="1"/>
        <v>#NAME?</v>
      </c>
      <c r="B7592" s="2" t="s">
        <v>12</v>
      </c>
      <c r="C7592" s="2" t="s">
        <v>12</v>
      </c>
      <c r="D7592" s="2" t="s">
        <v>12</v>
      </c>
      <c r="E7592" s="2" t="s">
        <v>12</v>
      </c>
      <c r="F7592" s="2" t="s">
        <v>12</v>
      </c>
      <c r="G7592" s="2" t="s">
        <v>12</v>
      </c>
      <c r="H7592" s="2" t="s">
        <v>12</v>
      </c>
      <c r="I7592" s="2" t="s">
        <v>12</v>
      </c>
      <c r="J7592" s="2" t="s">
        <v>12</v>
      </c>
      <c r="K7592" s="2" t="s">
        <v>12</v>
      </c>
    </row>
    <row r="7593" spans="1:11" ht="12.5" x14ac:dyDescent="0.25">
      <c r="A7593" s="3" t="e">
        <f ca="1"/>
        <v>#NAME?</v>
      </c>
      <c r="B7593" s="2" t="s">
        <v>12</v>
      </c>
      <c r="C7593" s="2" t="s">
        <v>12</v>
      </c>
      <c r="D7593" s="2" t="s">
        <v>12</v>
      </c>
      <c r="E7593" s="2" t="s">
        <v>12</v>
      </c>
      <c r="F7593" s="2" t="s">
        <v>12</v>
      </c>
      <c r="G7593" s="2" t="s">
        <v>12</v>
      </c>
      <c r="H7593" s="2" t="s">
        <v>12</v>
      </c>
      <c r="I7593" s="2" t="s">
        <v>12</v>
      </c>
      <c r="J7593" s="2" t="s">
        <v>12</v>
      </c>
      <c r="K7593" s="2" t="s">
        <v>12</v>
      </c>
    </row>
    <row r="7594" spans="1:11" ht="12.5" x14ac:dyDescent="0.25">
      <c r="A7594" s="3" t="e">
        <f ca="1"/>
        <v>#NAME?</v>
      </c>
      <c r="B7594" s="2" t="s">
        <v>12</v>
      </c>
      <c r="C7594" s="2" t="s">
        <v>12</v>
      </c>
      <c r="D7594" s="2" t="s">
        <v>12</v>
      </c>
      <c r="E7594" s="2" t="s">
        <v>12</v>
      </c>
      <c r="F7594" s="2" t="s">
        <v>12</v>
      </c>
      <c r="G7594" s="2" t="s">
        <v>12</v>
      </c>
      <c r="H7594" s="2" t="s">
        <v>12</v>
      </c>
      <c r="I7594" s="2" t="s">
        <v>12</v>
      </c>
      <c r="J7594" s="2" t="s">
        <v>12</v>
      </c>
      <c r="K7594" s="2" t="s">
        <v>12</v>
      </c>
    </row>
    <row r="7595" spans="1:11" ht="12.5" x14ac:dyDescent="0.25">
      <c r="A7595" s="3" t="e">
        <f ca="1"/>
        <v>#NAME?</v>
      </c>
      <c r="B7595" s="2" t="s">
        <v>12</v>
      </c>
      <c r="C7595" s="2" t="s">
        <v>12</v>
      </c>
      <c r="D7595" s="2" t="s">
        <v>12</v>
      </c>
      <c r="E7595" s="2" t="s">
        <v>12</v>
      </c>
      <c r="F7595" s="2" t="s">
        <v>12</v>
      </c>
      <c r="G7595" s="2" t="s">
        <v>12</v>
      </c>
      <c r="H7595" s="2" t="s">
        <v>12</v>
      </c>
      <c r="I7595" s="2" t="s">
        <v>12</v>
      </c>
      <c r="J7595" s="2" t="s">
        <v>12</v>
      </c>
      <c r="K7595" s="2" t="s">
        <v>12</v>
      </c>
    </row>
    <row r="7596" spans="1:11" ht="12.5" x14ac:dyDescent="0.25">
      <c r="A7596" s="3" t="e">
        <f ca="1"/>
        <v>#NAME?</v>
      </c>
      <c r="B7596" s="2" t="s">
        <v>12</v>
      </c>
      <c r="C7596" s="2" t="s">
        <v>12</v>
      </c>
      <c r="D7596" s="2" t="s">
        <v>12</v>
      </c>
      <c r="E7596" s="2" t="s">
        <v>12</v>
      </c>
      <c r="F7596" s="2" t="s">
        <v>12</v>
      </c>
      <c r="G7596" s="2" t="s">
        <v>12</v>
      </c>
      <c r="H7596" s="2" t="s">
        <v>12</v>
      </c>
      <c r="I7596" s="2" t="s">
        <v>12</v>
      </c>
      <c r="J7596" s="2" t="s">
        <v>12</v>
      </c>
      <c r="K7596" s="2" t="s">
        <v>12</v>
      </c>
    </row>
    <row r="7597" spans="1:11" ht="12.5" x14ac:dyDescent="0.25">
      <c r="A7597" s="3" t="e">
        <f ca="1"/>
        <v>#NAME?</v>
      </c>
      <c r="B7597" s="2" t="s">
        <v>12</v>
      </c>
      <c r="C7597" s="2" t="s">
        <v>12</v>
      </c>
      <c r="D7597" s="2" t="s">
        <v>12</v>
      </c>
      <c r="E7597" s="2" t="s">
        <v>12</v>
      </c>
      <c r="F7597" s="2" t="s">
        <v>12</v>
      </c>
      <c r="G7597" s="2" t="s">
        <v>12</v>
      </c>
      <c r="H7597" s="2" t="s">
        <v>12</v>
      </c>
      <c r="I7597" s="2" t="s">
        <v>12</v>
      </c>
      <c r="J7597" s="2" t="s">
        <v>12</v>
      </c>
      <c r="K7597" s="2" t="s">
        <v>12</v>
      </c>
    </row>
    <row r="7598" spans="1:11" ht="12.5" x14ac:dyDescent="0.25">
      <c r="A7598" s="3" t="e">
        <f ca="1"/>
        <v>#NAME?</v>
      </c>
      <c r="B7598" s="2" t="s">
        <v>12</v>
      </c>
      <c r="C7598" s="2" t="s">
        <v>12</v>
      </c>
      <c r="D7598" s="2" t="s">
        <v>12</v>
      </c>
      <c r="E7598" s="2" t="s">
        <v>12</v>
      </c>
      <c r="F7598" s="2" t="s">
        <v>12</v>
      </c>
      <c r="G7598" s="2" t="s">
        <v>12</v>
      </c>
      <c r="H7598" s="2" t="s">
        <v>12</v>
      </c>
      <c r="I7598" s="2" t="s">
        <v>12</v>
      </c>
      <c r="J7598" s="2" t="s">
        <v>12</v>
      </c>
      <c r="K7598" s="2" t="s">
        <v>12</v>
      </c>
    </row>
    <row r="7599" spans="1:11" ht="12.5" x14ac:dyDescent="0.25">
      <c r="A7599" s="3" t="e">
        <f ca="1"/>
        <v>#NAME?</v>
      </c>
      <c r="B7599" s="2" t="s">
        <v>12</v>
      </c>
      <c r="C7599" s="2" t="s">
        <v>12</v>
      </c>
      <c r="D7599" s="2" t="s">
        <v>12</v>
      </c>
      <c r="E7599" s="2" t="s">
        <v>12</v>
      </c>
      <c r="F7599" s="2" t="s">
        <v>12</v>
      </c>
      <c r="G7599" s="2" t="s">
        <v>12</v>
      </c>
      <c r="H7599" s="2" t="s">
        <v>12</v>
      </c>
      <c r="I7599" s="2" t="s">
        <v>12</v>
      </c>
      <c r="J7599" s="2" t="s">
        <v>12</v>
      </c>
      <c r="K7599" s="2" t="s">
        <v>12</v>
      </c>
    </row>
    <row r="7600" spans="1:11" ht="12.5" x14ac:dyDescent="0.25">
      <c r="A7600" s="3" t="e">
        <f ca="1"/>
        <v>#NAME?</v>
      </c>
      <c r="B7600" s="2" t="s">
        <v>12</v>
      </c>
      <c r="C7600" s="2" t="s">
        <v>12</v>
      </c>
      <c r="D7600" s="2" t="s">
        <v>12</v>
      </c>
      <c r="E7600" s="2" t="s">
        <v>12</v>
      </c>
      <c r="F7600" s="2" t="s">
        <v>12</v>
      </c>
      <c r="G7600" s="2" t="s">
        <v>12</v>
      </c>
      <c r="H7600" s="2" t="s">
        <v>12</v>
      </c>
      <c r="I7600" s="2" t="s">
        <v>12</v>
      </c>
      <c r="J7600" s="2" t="s">
        <v>12</v>
      </c>
      <c r="K7600" s="2" t="s">
        <v>12</v>
      </c>
    </row>
    <row r="7601" spans="1:11" ht="12.5" x14ac:dyDescent="0.25">
      <c r="A7601" s="3" t="e">
        <f ca="1"/>
        <v>#NAME?</v>
      </c>
      <c r="B7601" s="2" t="s">
        <v>12</v>
      </c>
      <c r="C7601" s="2" t="s">
        <v>12</v>
      </c>
      <c r="D7601" s="2" t="s">
        <v>12</v>
      </c>
      <c r="E7601" s="2" t="s">
        <v>12</v>
      </c>
      <c r="F7601" s="2" t="s">
        <v>12</v>
      </c>
      <c r="G7601" s="2" t="s">
        <v>12</v>
      </c>
      <c r="H7601" s="2" t="s">
        <v>12</v>
      </c>
      <c r="I7601" s="2" t="s">
        <v>12</v>
      </c>
      <c r="J7601" s="2" t="s">
        <v>12</v>
      </c>
      <c r="K7601" s="2" t="s">
        <v>12</v>
      </c>
    </row>
    <row r="7602" spans="1:11" ht="12.5" x14ac:dyDescent="0.25">
      <c r="A7602" s="3" t="e">
        <f ca="1"/>
        <v>#NAME?</v>
      </c>
      <c r="B7602" s="2" t="s">
        <v>12</v>
      </c>
      <c r="C7602" s="2" t="s">
        <v>12</v>
      </c>
      <c r="D7602" s="2" t="s">
        <v>12</v>
      </c>
      <c r="E7602" s="2" t="s">
        <v>12</v>
      </c>
      <c r="F7602" s="2" t="s">
        <v>12</v>
      </c>
      <c r="G7602" s="2" t="s">
        <v>12</v>
      </c>
      <c r="H7602" s="2" t="s">
        <v>12</v>
      </c>
      <c r="I7602" s="2" t="s">
        <v>12</v>
      </c>
      <c r="J7602" s="2" t="s">
        <v>12</v>
      </c>
      <c r="K7602" s="2" t="s">
        <v>12</v>
      </c>
    </row>
    <row r="7603" spans="1:11" ht="12.5" x14ac:dyDescent="0.25">
      <c r="A7603" s="3" t="e">
        <f ca="1"/>
        <v>#NAME?</v>
      </c>
      <c r="B7603" s="2" t="s">
        <v>12</v>
      </c>
      <c r="C7603" s="2" t="s">
        <v>12</v>
      </c>
      <c r="D7603" s="2" t="s">
        <v>12</v>
      </c>
      <c r="E7603" s="2" t="s">
        <v>12</v>
      </c>
      <c r="F7603" s="2" t="s">
        <v>12</v>
      </c>
      <c r="G7603" s="2" t="s">
        <v>12</v>
      </c>
      <c r="H7603" s="2" t="s">
        <v>12</v>
      </c>
      <c r="I7603" s="2" t="s">
        <v>12</v>
      </c>
      <c r="J7603" s="2" t="s">
        <v>12</v>
      </c>
      <c r="K7603" s="2" t="s">
        <v>12</v>
      </c>
    </row>
    <row r="7604" spans="1:11" ht="12.5" x14ac:dyDescent="0.25">
      <c r="A7604" s="3" t="e">
        <f ca="1"/>
        <v>#NAME?</v>
      </c>
      <c r="B7604" s="2" t="s">
        <v>12</v>
      </c>
      <c r="C7604" s="2" t="s">
        <v>12</v>
      </c>
      <c r="D7604" s="2" t="s">
        <v>12</v>
      </c>
      <c r="E7604" s="2" t="s">
        <v>12</v>
      </c>
      <c r="F7604" s="2" t="s">
        <v>12</v>
      </c>
      <c r="G7604" s="2" t="s">
        <v>12</v>
      </c>
      <c r="H7604" s="2" t="s">
        <v>12</v>
      </c>
      <c r="I7604" s="2" t="s">
        <v>12</v>
      </c>
      <c r="J7604" s="2" t="s">
        <v>12</v>
      </c>
      <c r="K7604" s="2" t="s">
        <v>12</v>
      </c>
    </row>
    <row r="7605" spans="1:11" ht="12.5" x14ac:dyDescent="0.25">
      <c r="A7605" s="3" t="e">
        <f ca="1"/>
        <v>#NAME?</v>
      </c>
      <c r="B7605" s="2" t="s">
        <v>12</v>
      </c>
      <c r="C7605" s="2" t="s">
        <v>12</v>
      </c>
      <c r="D7605" s="2" t="s">
        <v>12</v>
      </c>
      <c r="E7605" s="2" t="s">
        <v>12</v>
      </c>
      <c r="F7605" s="2" t="s">
        <v>12</v>
      </c>
      <c r="G7605" s="2" t="s">
        <v>12</v>
      </c>
      <c r="H7605" s="2" t="s">
        <v>12</v>
      </c>
      <c r="I7605" s="2" t="s">
        <v>12</v>
      </c>
      <c r="J7605" s="2" t="s">
        <v>12</v>
      </c>
      <c r="K7605" s="2" t="s">
        <v>12</v>
      </c>
    </row>
    <row r="7606" spans="1:11" ht="12.5" x14ac:dyDescent="0.25">
      <c r="A7606" s="3" t="e">
        <f ca="1"/>
        <v>#NAME?</v>
      </c>
      <c r="B7606" s="2" t="s">
        <v>12</v>
      </c>
      <c r="C7606" s="2" t="s">
        <v>12</v>
      </c>
      <c r="D7606" s="2" t="s">
        <v>12</v>
      </c>
      <c r="E7606" s="2" t="s">
        <v>12</v>
      </c>
      <c r="F7606" s="2" t="s">
        <v>12</v>
      </c>
      <c r="G7606" s="2" t="s">
        <v>12</v>
      </c>
      <c r="H7606" s="2" t="s">
        <v>12</v>
      </c>
      <c r="I7606" s="2" t="s">
        <v>12</v>
      </c>
      <c r="J7606" s="2" t="s">
        <v>12</v>
      </c>
      <c r="K7606" s="2" t="s">
        <v>12</v>
      </c>
    </row>
    <row r="7607" spans="1:11" ht="12.5" x14ac:dyDescent="0.25">
      <c r="A7607" s="3" t="e">
        <f ca="1"/>
        <v>#NAME?</v>
      </c>
      <c r="B7607" s="2" t="s">
        <v>12</v>
      </c>
      <c r="C7607" s="2" t="s">
        <v>12</v>
      </c>
      <c r="D7607" s="2" t="s">
        <v>12</v>
      </c>
      <c r="E7607" s="2" t="s">
        <v>12</v>
      </c>
      <c r="F7607" s="2" t="s">
        <v>12</v>
      </c>
      <c r="G7607" s="2" t="s">
        <v>12</v>
      </c>
      <c r="H7607" s="2" t="s">
        <v>12</v>
      </c>
      <c r="I7607" s="2" t="s">
        <v>12</v>
      </c>
      <c r="J7607" s="2" t="s">
        <v>12</v>
      </c>
      <c r="K7607" s="2" t="s">
        <v>12</v>
      </c>
    </row>
    <row r="7608" spans="1:11" ht="12.5" x14ac:dyDescent="0.25">
      <c r="A7608" s="3" t="e">
        <f ca="1"/>
        <v>#NAME?</v>
      </c>
      <c r="B7608" s="2" t="s">
        <v>12</v>
      </c>
      <c r="C7608" s="2" t="s">
        <v>12</v>
      </c>
      <c r="D7608" s="2" t="s">
        <v>12</v>
      </c>
      <c r="E7608" s="2" t="s">
        <v>12</v>
      </c>
      <c r="F7608" s="2" t="s">
        <v>12</v>
      </c>
      <c r="G7608" s="2" t="s">
        <v>12</v>
      </c>
      <c r="H7608" s="2" t="s">
        <v>12</v>
      </c>
      <c r="I7608" s="2" t="s">
        <v>12</v>
      </c>
      <c r="J7608" s="2" t="s">
        <v>12</v>
      </c>
      <c r="K7608" s="2" t="s">
        <v>12</v>
      </c>
    </row>
    <row r="7609" spans="1:11" ht="12.5" x14ac:dyDescent="0.25">
      <c r="A7609" s="3" t="e">
        <f ca="1"/>
        <v>#NAME?</v>
      </c>
      <c r="B7609" s="2" t="s">
        <v>12</v>
      </c>
      <c r="C7609" s="2" t="s">
        <v>12</v>
      </c>
      <c r="D7609" s="2" t="s">
        <v>12</v>
      </c>
      <c r="E7609" s="2" t="s">
        <v>12</v>
      </c>
      <c r="F7609" s="2" t="s">
        <v>12</v>
      </c>
      <c r="G7609" s="2" t="s">
        <v>12</v>
      </c>
      <c r="H7609" s="2" t="s">
        <v>12</v>
      </c>
      <c r="I7609" s="2" t="s">
        <v>12</v>
      </c>
      <c r="J7609" s="2" t="s">
        <v>12</v>
      </c>
      <c r="K7609" s="2" t="s">
        <v>12</v>
      </c>
    </row>
    <row r="7610" spans="1:11" ht="12.5" x14ac:dyDescent="0.25">
      <c r="A7610" s="3" t="e">
        <f ca="1"/>
        <v>#NAME?</v>
      </c>
      <c r="B7610" s="2" t="s">
        <v>12</v>
      </c>
      <c r="C7610" s="2" t="s">
        <v>12</v>
      </c>
      <c r="D7610" s="2" t="s">
        <v>12</v>
      </c>
      <c r="E7610" s="2" t="s">
        <v>12</v>
      </c>
      <c r="F7610" s="2" t="s">
        <v>12</v>
      </c>
      <c r="G7610" s="2" t="s">
        <v>12</v>
      </c>
      <c r="H7610" s="2" t="s">
        <v>12</v>
      </c>
      <c r="I7610" s="2" t="s">
        <v>12</v>
      </c>
      <c r="J7610" s="2" t="s">
        <v>12</v>
      </c>
      <c r="K7610" s="2" t="s">
        <v>12</v>
      </c>
    </row>
    <row r="7611" spans="1:11" ht="12.5" x14ac:dyDescent="0.25">
      <c r="A7611" s="3" t="e">
        <f ca="1"/>
        <v>#NAME?</v>
      </c>
      <c r="B7611" s="2" t="s">
        <v>12</v>
      </c>
      <c r="C7611" s="2" t="s">
        <v>12</v>
      </c>
      <c r="D7611" s="2" t="s">
        <v>12</v>
      </c>
      <c r="E7611" s="2" t="s">
        <v>12</v>
      </c>
      <c r="F7611" s="2" t="s">
        <v>12</v>
      </c>
      <c r="G7611" s="2" t="s">
        <v>12</v>
      </c>
      <c r="H7611" s="2" t="s">
        <v>12</v>
      </c>
      <c r="I7611" s="2" t="s">
        <v>12</v>
      </c>
      <c r="J7611" s="2" t="s">
        <v>12</v>
      </c>
      <c r="K7611" s="2" t="s">
        <v>12</v>
      </c>
    </row>
    <row r="7612" spans="1:11" ht="12.5" x14ac:dyDescent="0.25">
      <c r="A7612" s="3" t="e">
        <f ca="1"/>
        <v>#NAME?</v>
      </c>
      <c r="B7612" s="2" t="s">
        <v>12</v>
      </c>
      <c r="C7612" s="2" t="s">
        <v>12</v>
      </c>
      <c r="D7612" s="2" t="s">
        <v>12</v>
      </c>
      <c r="E7612" s="2" t="s">
        <v>12</v>
      </c>
      <c r="F7612" s="2" t="s">
        <v>12</v>
      </c>
      <c r="G7612" s="2" t="s">
        <v>12</v>
      </c>
      <c r="H7612" s="2" t="s">
        <v>12</v>
      </c>
      <c r="I7612" s="2" t="s">
        <v>12</v>
      </c>
      <c r="J7612" s="2" t="s">
        <v>12</v>
      </c>
      <c r="K7612" s="2" t="s">
        <v>12</v>
      </c>
    </row>
    <row r="7613" spans="1:11" ht="12.5" x14ac:dyDescent="0.25">
      <c r="A7613" s="3" t="e">
        <f ca="1"/>
        <v>#NAME?</v>
      </c>
      <c r="B7613" s="2" t="s">
        <v>12</v>
      </c>
      <c r="C7613" s="2" t="s">
        <v>12</v>
      </c>
      <c r="D7613" s="2" t="s">
        <v>12</v>
      </c>
      <c r="E7613" s="2" t="s">
        <v>12</v>
      </c>
      <c r="F7613" s="2" t="s">
        <v>12</v>
      </c>
      <c r="G7613" s="2" t="s">
        <v>12</v>
      </c>
      <c r="H7613" s="2" t="s">
        <v>12</v>
      </c>
      <c r="I7613" s="2" t="s">
        <v>12</v>
      </c>
      <c r="J7613" s="2" t="s">
        <v>12</v>
      </c>
      <c r="K7613" s="2" t="s">
        <v>12</v>
      </c>
    </row>
    <row r="7614" spans="1:11" ht="12.5" x14ac:dyDescent="0.25">
      <c r="A7614" s="3" t="e">
        <f ca="1"/>
        <v>#NAME?</v>
      </c>
      <c r="B7614" s="2" t="s">
        <v>12</v>
      </c>
      <c r="C7614" s="2" t="s">
        <v>12</v>
      </c>
      <c r="D7614" s="2" t="s">
        <v>12</v>
      </c>
      <c r="E7614" s="2" t="s">
        <v>12</v>
      </c>
      <c r="F7614" s="2" t="s">
        <v>12</v>
      </c>
      <c r="G7614" s="2" t="s">
        <v>12</v>
      </c>
      <c r="H7614" s="2" t="s">
        <v>12</v>
      </c>
      <c r="I7614" s="2" t="s">
        <v>12</v>
      </c>
      <c r="J7614" s="2" t="s">
        <v>12</v>
      </c>
      <c r="K7614" s="2" t="s">
        <v>12</v>
      </c>
    </row>
    <row r="7615" spans="1:11" ht="12.5" x14ac:dyDescent="0.25">
      <c r="A7615" s="3" t="e">
        <f ca="1"/>
        <v>#NAME?</v>
      </c>
      <c r="B7615" s="2" t="s">
        <v>12</v>
      </c>
      <c r="C7615" s="2" t="s">
        <v>12</v>
      </c>
      <c r="D7615" s="2" t="s">
        <v>12</v>
      </c>
      <c r="E7615" s="2" t="s">
        <v>12</v>
      </c>
      <c r="F7615" s="2" t="s">
        <v>12</v>
      </c>
      <c r="G7615" s="2" t="s">
        <v>12</v>
      </c>
      <c r="H7615" s="2" t="s">
        <v>12</v>
      </c>
      <c r="I7615" s="2" t="s">
        <v>12</v>
      </c>
      <c r="J7615" s="2" t="s">
        <v>12</v>
      </c>
      <c r="K7615" s="2" t="s">
        <v>12</v>
      </c>
    </row>
    <row r="7616" spans="1:11" ht="12.5" x14ac:dyDescent="0.25">
      <c r="A7616" s="3" t="e">
        <f ca="1"/>
        <v>#NAME?</v>
      </c>
      <c r="B7616" s="2" t="s">
        <v>12</v>
      </c>
      <c r="C7616" s="2" t="s">
        <v>12</v>
      </c>
      <c r="D7616" s="2" t="s">
        <v>12</v>
      </c>
      <c r="E7616" s="2" t="s">
        <v>12</v>
      </c>
      <c r="F7616" s="2" t="s">
        <v>12</v>
      </c>
      <c r="G7616" s="2" t="s">
        <v>12</v>
      </c>
      <c r="H7616" s="2" t="s">
        <v>12</v>
      </c>
      <c r="I7616" s="2" t="s">
        <v>12</v>
      </c>
      <c r="J7616" s="2" t="s">
        <v>12</v>
      </c>
      <c r="K7616" s="2" t="s">
        <v>12</v>
      </c>
    </row>
    <row r="7617" spans="1:11" ht="12.5" x14ac:dyDescent="0.25">
      <c r="A7617" s="3" t="e">
        <f ca="1"/>
        <v>#NAME?</v>
      </c>
      <c r="B7617" s="2" t="s">
        <v>12</v>
      </c>
      <c r="C7617" s="2" t="s">
        <v>12</v>
      </c>
      <c r="D7617" s="2" t="s">
        <v>12</v>
      </c>
      <c r="E7617" s="2" t="s">
        <v>12</v>
      </c>
      <c r="F7617" s="2" t="s">
        <v>12</v>
      </c>
      <c r="G7617" s="2" t="s">
        <v>12</v>
      </c>
      <c r="H7617" s="2" t="s">
        <v>12</v>
      </c>
      <c r="I7617" s="2" t="s">
        <v>12</v>
      </c>
      <c r="J7617" s="2" t="s">
        <v>12</v>
      </c>
      <c r="K7617" s="2" t="s">
        <v>12</v>
      </c>
    </row>
    <row r="7618" spans="1:11" ht="12.5" x14ac:dyDescent="0.25">
      <c r="A7618" s="3" t="e">
        <f ca="1"/>
        <v>#NAME?</v>
      </c>
      <c r="B7618" s="2" t="s">
        <v>12</v>
      </c>
      <c r="C7618" s="2" t="s">
        <v>12</v>
      </c>
      <c r="D7618" s="2" t="s">
        <v>12</v>
      </c>
      <c r="E7618" s="2" t="s">
        <v>12</v>
      </c>
      <c r="F7618" s="2" t="s">
        <v>12</v>
      </c>
      <c r="G7618" s="2" t="s">
        <v>12</v>
      </c>
      <c r="H7618" s="2" t="s">
        <v>12</v>
      </c>
      <c r="I7618" s="2" t="s">
        <v>12</v>
      </c>
      <c r="J7618" s="2" t="s">
        <v>12</v>
      </c>
      <c r="K7618" s="2" t="s">
        <v>12</v>
      </c>
    </row>
    <row r="7619" spans="1:11" ht="12.5" x14ac:dyDescent="0.25">
      <c r="A7619" s="3" t="e">
        <f ca="1"/>
        <v>#NAME?</v>
      </c>
      <c r="B7619" s="2" t="s">
        <v>12</v>
      </c>
      <c r="C7619" s="2" t="s">
        <v>12</v>
      </c>
      <c r="D7619" s="2" t="s">
        <v>12</v>
      </c>
      <c r="E7619" s="2" t="s">
        <v>12</v>
      </c>
      <c r="F7619" s="2" t="s">
        <v>12</v>
      </c>
      <c r="G7619" s="2" t="s">
        <v>12</v>
      </c>
      <c r="H7619" s="2" t="s">
        <v>12</v>
      </c>
      <c r="I7619" s="2" t="s">
        <v>12</v>
      </c>
      <c r="J7619" s="2" t="s">
        <v>12</v>
      </c>
      <c r="K7619" s="2" t="s">
        <v>12</v>
      </c>
    </row>
    <row r="7620" spans="1:11" ht="12.5" x14ac:dyDescent="0.25">
      <c r="A7620" s="3" t="e">
        <f ca="1"/>
        <v>#NAME?</v>
      </c>
      <c r="B7620" s="2" t="s">
        <v>12</v>
      </c>
      <c r="C7620" s="2" t="s">
        <v>12</v>
      </c>
      <c r="D7620" s="2" t="s">
        <v>12</v>
      </c>
      <c r="E7620" s="2" t="s">
        <v>12</v>
      </c>
      <c r="F7620" s="2" t="s">
        <v>12</v>
      </c>
      <c r="G7620" s="2" t="s">
        <v>12</v>
      </c>
      <c r="H7620" s="2" t="s">
        <v>12</v>
      </c>
      <c r="I7620" s="2" t="s">
        <v>12</v>
      </c>
      <c r="J7620" s="2" t="s">
        <v>12</v>
      </c>
      <c r="K7620" s="2" t="s">
        <v>12</v>
      </c>
    </row>
    <row r="7621" spans="1:11" ht="12.5" x14ac:dyDescent="0.25">
      <c r="A7621" s="3" t="e">
        <f ca="1"/>
        <v>#NAME?</v>
      </c>
      <c r="B7621" s="2" t="s">
        <v>12</v>
      </c>
      <c r="C7621" s="2" t="s">
        <v>12</v>
      </c>
      <c r="D7621" s="2" t="s">
        <v>12</v>
      </c>
      <c r="E7621" s="2" t="s">
        <v>12</v>
      </c>
      <c r="F7621" s="2" t="s">
        <v>12</v>
      </c>
      <c r="G7621" s="2" t="s">
        <v>12</v>
      </c>
      <c r="H7621" s="2" t="s">
        <v>12</v>
      </c>
      <c r="I7621" s="2" t="s">
        <v>12</v>
      </c>
      <c r="J7621" s="2" t="s">
        <v>12</v>
      </c>
      <c r="K7621" s="2" t="s">
        <v>12</v>
      </c>
    </row>
    <row r="7622" spans="1:11" ht="12.5" x14ac:dyDescent="0.25">
      <c r="A7622" s="3" t="e">
        <f ca="1"/>
        <v>#NAME?</v>
      </c>
      <c r="B7622" s="2" t="s">
        <v>12</v>
      </c>
      <c r="C7622" s="2" t="s">
        <v>12</v>
      </c>
      <c r="D7622" s="2" t="s">
        <v>12</v>
      </c>
      <c r="E7622" s="2" t="s">
        <v>12</v>
      </c>
      <c r="F7622" s="2" t="s">
        <v>12</v>
      </c>
      <c r="G7622" s="2" t="s">
        <v>12</v>
      </c>
      <c r="H7622" s="2" t="s">
        <v>12</v>
      </c>
      <c r="I7622" s="2" t="s">
        <v>12</v>
      </c>
      <c r="J7622" s="2" t="s">
        <v>12</v>
      </c>
      <c r="K7622" s="2" t="s">
        <v>12</v>
      </c>
    </row>
    <row r="7623" spans="1:11" ht="12.5" x14ac:dyDescent="0.25">
      <c r="A7623" s="3" t="e">
        <f ca="1"/>
        <v>#NAME?</v>
      </c>
      <c r="B7623" s="2" t="s">
        <v>12</v>
      </c>
      <c r="C7623" s="2" t="s">
        <v>12</v>
      </c>
      <c r="D7623" s="2" t="s">
        <v>12</v>
      </c>
      <c r="E7623" s="2" t="s">
        <v>12</v>
      </c>
      <c r="F7623" s="2" t="s">
        <v>12</v>
      </c>
      <c r="G7623" s="2" t="s">
        <v>12</v>
      </c>
      <c r="H7623" s="2" t="s">
        <v>12</v>
      </c>
      <c r="I7623" s="2" t="s">
        <v>12</v>
      </c>
      <c r="J7623" s="2" t="s">
        <v>12</v>
      </c>
      <c r="K7623" s="2" t="s">
        <v>12</v>
      </c>
    </row>
    <row r="7624" spans="1:11" ht="12.5" x14ac:dyDescent="0.25">
      <c r="A7624" s="3" t="e">
        <f ca="1"/>
        <v>#NAME?</v>
      </c>
      <c r="B7624" s="2" t="s">
        <v>12</v>
      </c>
      <c r="C7624" s="2" t="s">
        <v>12</v>
      </c>
      <c r="D7624" s="2" t="s">
        <v>12</v>
      </c>
      <c r="E7624" s="2" t="s">
        <v>12</v>
      </c>
      <c r="F7624" s="2" t="s">
        <v>12</v>
      </c>
      <c r="G7624" s="2" t="s">
        <v>12</v>
      </c>
      <c r="H7624" s="2" t="s">
        <v>12</v>
      </c>
      <c r="I7624" s="2" t="s">
        <v>12</v>
      </c>
      <c r="J7624" s="2" t="s">
        <v>12</v>
      </c>
      <c r="K7624" s="2" t="s">
        <v>12</v>
      </c>
    </row>
    <row r="7625" spans="1:11" ht="12.5" x14ac:dyDescent="0.25">
      <c r="A7625" s="3" t="e">
        <f ca="1"/>
        <v>#NAME?</v>
      </c>
      <c r="B7625" s="2" t="s">
        <v>12</v>
      </c>
      <c r="C7625" s="2" t="s">
        <v>12</v>
      </c>
      <c r="D7625" s="2" t="s">
        <v>12</v>
      </c>
      <c r="E7625" s="2" t="s">
        <v>12</v>
      </c>
      <c r="F7625" s="2" t="s">
        <v>12</v>
      </c>
      <c r="G7625" s="2" t="s">
        <v>12</v>
      </c>
      <c r="H7625" s="2" t="s">
        <v>12</v>
      </c>
      <c r="I7625" s="2" t="s">
        <v>12</v>
      </c>
      <c r="J7625" s="2" t="s">
        <v>12</v>
      </c>
      <c r="K7625" s="2" t="s">
        <v>12</v>
      </c>
    </row>
    <row r="7626" spans="1:11" ht="12.5" x14ac:dyDescent="0.25">
      <c r="A7626" s="3" t="e">
        <f ca="1"/>
        <v>#NAME?</v>
      </c>
      <c r="B7626" s="2" t="s">
        <v>12</v>
      </c>
      <c r="C7626" s="2" t="s">
        <v>12</v>
      </c>
      <c r="D7626" s="2" t="s">
        <v>12</v>
      </c>
      <c r="E7626" s="2" t="s">
        <v>12</v>
      </c>
      <c r="F7626" s="2" t="s">
        <v>12</v>
      </c>
      <c r="G7626" s="2" t="s">
        <v>12</v>
      </c>
      <c r="H7626" s="2" t="s">
        <v>12</v>
      </c>
      <c r="I7626" s="2" t="s">
        <v>12</v>
      </c>
      <c r="J7626" s="2" t="s">
        <v>12</v>
      </c>
      <c r="K7626" s="2" t="s">
        <v>12</v>
      </c>
    </row>
    <row r="7627" spans="1:11" ht="12.5" x14ac:dyDescent="0.25">
      <c r="A7627" s="3" t="e">
        <f ca="1"/>
        <v>#NAME?</v>
      </c>
      <c r="B7627" s="2" t="s">
        <v>12</v>
      </c>
      <c r="C7627" s="2" t="s">
        <v>12</v>
      </c>
      <c r="D7627" s="2" t="s">
        <v>12</v>
      </c>
      <c r="E7627" s="2" t="s">
        <v>12</v>
      </c>
      <c r="F7627" s="2" t="s">
        <v>12</v>
      </c>
      <c r="G7627" s="2" t="s">
        <v>12</v>
      </c>
      <c r="H7627" s="2" t="s">
        <v>12</v>
      </c>
      <c r="I7627" s="2" t="s">
        <v>12</v>
      </c>
      <c r="J7627" s="2" t="s">
        <v>12</v>
      </c>
      <c r="K7627" s="2" t="s">
        <v>12</v>
      </c>
    </row>
    <row r="7628" spans="1:11" ht="12.5" x14ac:dyDescent="0.25">
      <c r="A7628" s="3" t="e">
        <f ca="1"/>
        <v>#NAME?</v>
      </c>
      <c r="B7628" s="2" t="s">
        <v>12</v>
      </c>
      <c r="C7628" s="2" t="s">
        <v>12</v>
      </c>
      <c r="D7628" s="2" t="s">
        <v>12</v>
      </c>
      <c r="E7628" s="2" t="s">
        <v>12</v>
      </c>
      <c r="F7628" s="2" t="s">
        <v>12</v>
      </c>
      <c r="G7628" s="2" t="s">
        <v>12</v>
      </c>
      <c r="H7628" s="2" t="s">
        <v>12</v>
      </c>
      <c r="I7628" s="2" t="s">
        <v>12</v>
      </c>
      <c r="J7628" s="2" t="s">
        <v>12</v>
      </c>
      <c r="K7628" s="2" t="s">
        <v>12</v>
      </c>
    </row>
    <row r="7629" spans="1:11" ht="12.5" x14ac:dyDescent="0.25">
      <c r="A7629" s="3" t="e">
        <f ca="1"/>
        <v>#NAME?</v>
      </c>
      <c r="B7629" s="2" t="s">
        <v>12</v>
      </c>
      <c r="C7629" s="2" t="s">
        <v>12</v>
      </c>
      <c r="D7629" s="2" t="s">
        <v>12</v>
      </c>
      <c r="E7629" s="2" t="s">
        <v>12</v>
      </c>
      <c r="F7629" s="2" t="s">
        <v>12</v>
      </c>
      <c r="G7629" s="2" t="s">
        <v>12</v>
      </c>
      <c r="H7629" s="2" t="s">
        <v>12</v>
      </c>
      <c r="I7629" s="2" t="s">
        <v>12</v>
      </c>
      <c r="J7629" s="2" t="s">
        <v>12</v>
      </c>
      <c r="K7629" s="2" t="s">
        <v>12</v>
      </c>
    </row>
    <row r="7630" spans="1:11" ht="12.5" x14ac:dyDescent="0.25">
      <c r="A7630" s="3" t="e">
        <f ca="1"/>
        <v>#NAME?</v>
      </c>
      <c r="B7630" s="2" t="s">
        <v>12</v>
      </c>
      <c r="C7630" s="2" t="s">
        <v>12</v>
      </c>
      <c r="D7630" s="2" t="s">
        <v>12</v>
      </c>
      <c r="E7630" s="2" t="s">
        <v>12</v>
      </c>
      <c r="F7630" s="2" t="s">
        <v>12</v>
      </c>
      <c r="G7630" s="2" t="s">
        <v>12</v>
      </c>
      <c r="H7630" s="2" t="s">
        <v>12</v>
      </c>
      <c r="I7630" s="2" t="s">
        <v>12</v>
      </c>
      <c r="J7630" s="2" t="s">
        <v>12</v>
      </c>
      <c r="K7630" s="2" t="s">
        <v>12</v>
      </c>
    </row>
    <row r="7631" spans="1:11" ht="12.5" x14ac:dyDescent="0.25">
      <c r="A7631" s="3" t="e">
        <f ca="1"/>
        <v>#NAME?</v>
      </c>
      <c r="B7631" s="2" t="s">
        <v>12</v>
      </c>
      <c r="C7631" s="2" t="s">
        <v>12</v>
      </c>
      <c r="D7631" s="2" t="s">
        <v>12</v>
      </c>
      <c r="E7631" s="2" t="s">
        <v>12</v>
      </c>
      <c r="F7631" s="2" t="s">
        <v>12</v>
      </c>
      <c r="G7631" s="2" t="s">
        <v>12</v>
      </c>
      <c r="H7631" s="2" t="s">
        <v>12</v>
      </c>
      <c r="I7631" s="2" t="s">
        <v>12</v>
      </c>
      <c r="J7631" s="2" t="s">
        <v>12</v>
      </c>
      <c r="K7631" s="2" t="s">
        <v>12</v>
      </c>
    </row>
    <row r="7632" spans="1:11" ht="12.5" x14ac:dyDescent="0.25">
      <c r="A7632" s="3" t="e">
        <f ca="1"/>
        <v>#NAME?</v>
      </c>
      <c r="B7632" s="2" t="s">
        <v>12</v>
      </c>
      <c r="C7632" s="2" t="s">
        <v>12</v>
      </c>
      <c r="D7632" s="2" t="s">
        <v>12</v>
      </c>
      <c r="E7632" s="2" t="s">
        <v>12</v>
      </c>
      <c r="F7632" s="2" t="s">
        <v>12</v>
      </c>
      <c r="G7632" s="2" t="s">
        <v>12</v>
      </c>
      <c r="H7632" s="2" t="s">
        <v>12</v>
      </c>
      <c r="I7632" s="2" t="s">
        <v>12</v>
      </c>
      <c r="J7632" s="2" t="s">
        <v>12</v>
      </c>
      <c r="K7632" s="2" t="s">
        <v>12</v>
      </c>
    </row>
    <row r="7633" spans="1:11" ht="12.5" x14ac:dyDescent="0.25">
      <c r="A7633" s="3" t="e">
        <f ca="1"/>
        <v>#NAME?</v>
      </c>
      <c r="B7633" s="2" t="s">
        <v>12</v>
      </c>
      <c r="C7633" s="2" t="s">
        <v>12</v>
      </c>
      <c r="D7633" s="2" t="s">
        <v>12</v>
      </c>
      <c r="E7633" s="2" t="s">
        <v>12</v>
      </c>
      <c r="F7633" s="2" t="s">
        <v>12</v>
      </c>
      <c r="G7633" s="2" t="s">
        <v>12</v>
      </c>
      <c r="H7633" s="2" t="s">
        <v>12</v>
      </c>
      <c r="I7633" s="2" t="s">
        <v>12</v>
      </c>
      <c r="J7633" s="2" t="s">
        <v>12</v>
      </c>
      <c r="K7633" s="2" t="s">
        <v>12</v>
      </c>
    </row>
    <row r="7634" spans="1:11" ht="12.5" x14ac:dyDescent="0.25">
      <c r="A7634" s="3" t="e">
        <f ca="1"/>
        <v>#NAME?</v>
      </c>
      <c r="B7634" s="2" t="s">
        <v>12</v>
      </c>
      <c r="C7634" s="2" t="s">
        <v>12</v>
      </c>
      <c r="D7634" s="2" t="s">
        <v>12</v>
      </c>
      <c r="E7634" s="2" t="s">
        <v>12</v>
      </c>
      <c r="F7634" s="2" t="s">
        <v>12</v>
      </c>
      <c r="G7634" s="2" t="s">
        <v>12</v>
      </c>
      <c r="H7634" s="2" t="s">
        <v>12</v>
      </c>
      <c r="I7634" s="2" t="s">
        <v>12</v>
      </c>
      <c r="J7634" s="2" t="s">
        <v>12</v>
      </c>
      <c r="K7634" s="2" t="s">
        <v>12</v>
      </c>
    </row>
    <row r="7635" spans="1:11" ht="12.5" x14ac:dyDescent="0.25">
      <c r="A7635" s="3" t="e">
        <f ca="1"/>
        <v>#NAME?</v>
      </c>
      <c r="B7635" s="2" t="s">
        <v>12</v>
      </c>
      <c r="C7635" s="2" t="s">
        <v>12</v>
      </c>
      <c r="D7635" s="2" t="s">
        <v>12</v>
      </c>
      <c r="E7635" s="2" t="s">
        <v>12</v>
      </c>
      <c r="F7635" s="2" t="s">
        <v>12</v>
      </c>
      <c r="G7635" s="2" t="s">
        <v>12</v>
      </c>
      <c r="H7635" s="2" t="s">
        <v>12</v>
      </c>
      <c r="I7635" s="2" t="s">
        <v>12</v>
      </c>
      <c r="J7635" s="2" t="s">
        <v>12</v>
      </c>
      <c r="K7635" s="2" t="s">
        <v>12</v>
      </c>
    </row>
    <row r="7636" spans="1:11" ht="12.5" x14ac:dyDescent="0.25">
      <c r="A7636" s="3" t="e">
        <f ca="1"/>
        <v>#NAME?</v>
      </c>
      <c r="B7636" s="2" t="s">
        <v>12</v>
      </c>
      <c r="C7636" s="2" t="s">
        <v>12</v>
      </c>
      <c r="D7636" s="2" t="s">
        <v>12</v>
      </c>
      <c r="E7636" s="2" t="s">
        <v>12</v>
      </c>
      <c r="F7636" s="2" t="s">
        <v>12</v>
      </c>
      <c r="G7636" s="2" t="s">
        <v>12</v>
      </c>
      <c r="H7636" s="2" t="s">
        <v>12</v>
      </c>
      <c r="I7636" s="2" t="s">
        <v>12</v>
      </c>
      <c r="J7636" s="2" t="s">
        <v>12</v>
      </c>
      <c r="K7636" s="2" t="s">
        <v>12</v>
      </c>
    </row>
    <row r="7637" spans="1:11" ht="12.5" x14ac:dyDescent="0.25">
      <c r="A7637" s="3" t="e">
        <f ca="1"/>
        <v>#NAME?</v>
      </c>
      <c r="B7637" s="2" t="s">
        <v>12</v>
      </c>
      <c r="C7637" s="2" t="s">
        <v>12</v>
      </c>
      <c r="D7637" s="2" t="s">
        <v>12</v>
      </c>
      <c r="E7637" s="2" t="s">
        <v>12</v>
      </c>
      <c r="F7637" s="2" t="s">
        <v>12</v>
      </c>
      <c r="G7637" s="2" t="s">
        <v>12</v>
      </c>
      <c r="H7637" s="2" t="s">
        <v>12</v>
      </c>
      <c r="I7637" s="2" t="s">
        <v>12</v>
      </c>
      <c r="J7637" s="2" t="s">
        <v>12</v>
      </c>
      <c r="K7637" s="2" t="s">
        <v>12</v>
      </c>
    </row>
    <row r="7638" spans="1:11" ht="12.5" x14ac:dyDescent="0.25">
      <c r="A7638" s="3" t="e">
        <f ca="1"/>
        <v>#NAME?</v>
      </c>
      <c r="B7638" s="2" t="s">
        <v>12</v>
      </c>
      <c r="C7638" s="2" t="s">
        <v>12</v>
      </c>
      <c r="D7638" s="2" t="s">
        <v>12</v>
      </c>
      <c r="E7638" s="2" t="s">
        <v>12</v>
      </c>
      <c r="F7638" s="2" t="s">
        <v>12</v>
      </c>
      <c r="G7638" s="2" t="s">
        <v>12</v>
      </c>
      <c r="H7638" s="2" t="s">
        <v>12</v>
      </c>
      <c r="I7638" s="2" t="s">
        <v>12</v>
      </c>
      <c r="J7638" s="2" t="s">
        <v>12</v>
      </c>
      <c r="K7638" s="2" t="s">
        <v>12</v>
      </c>
    </row>
    <row r="7639" spans="1:11" ht="12.5" x14ac:dyDescent="0.25">
      <c r="A7639" s="3" t="e">
        <f ca="1"/>
        <v>#NAME?</v>
      </c>
      <c r="B7639" s="2" t="s">
        <v>12</v>
      </c>
      <c r="C7639" s="2" t="s">
        <v>12</v>
      </c>
      <c r="D7639" s="2" t="s">
        <v>12</v>
      </c>
      <c r="E7639" s="2" t="s">
        <v>12</v>
      </c>
      <c r="F7639" s="2" t="s">
        <v>12</v>
      </c>
      <c r="G7639" s="2" t="s">
        <v>12</v>
      </c>
      <c r="H7639" s="2" t="s">
        <v>12</v>
      </c>
      <c r="I7639" s="2" t="s">
        <v>12</v>
      </c>
      <c r="J7639" s="2" t="s">
        <v>12</v>
      </c>
      <c r="K7639" s="2" t="s">
        <v>12</v>
      </c>
    </row>
    <row r="7640" spans="1:11" ht="12.5" x14ac:dyDescent="0.25">
      <c r="A7640" s="3" t="e">
        <f ca="1"/>
        <v>#NAME?</v>
      </c>
      <c r="B7640" s="2" t="s">
        <v>12</v>
      </c>
      <c r="C7640" s="2" t="s">
        <v>12</v>
      </c>
      <c r="D7640" s="2" t="s">
        <v>12</v>
      </c>
      <c r="E7640" s="2" t="s">
        <v>12</v>
      </c>
      <c r="F7640" s="2" t="s">
        <v>12</v>
      </c>
      <c r="G7640" s="2" t="s">
        <v>12</v>
      </c>
      <c r="H7640" s="2" t="s">
        <v>12</v>
      </c>
      <c r="I7640" s="2" t="s">
        <v>12</v>
      </c>
      <c r="J7640" s="2" t="s">
        <v>12</v>
      </c>
      <c r="K7640" s="2" t="s">
        <v>12</v>
      </c>
    </row>
    <row r="7641" spans="1:11" ht="12.5" x14ac:dyDescent="0.25">
      <c r="A7641" s="3" t="e">
        <f ca="1"/>
        <v>#NAME?</v>
      </c>
      <c r="B7641" s="2" t="s">
        <v>12</v>
      </c>
      <c r="C7641" s="2" t="s">
        <v>12</v>
      </c>
      <c r="D7641" s="2" t="s">
        <v>12</v>
      </c>
      <c r="E7641" s="2" t="s">
        <v>12</v>
      </c>
      <c r="F7641" s="2" t="s">
        <v>12</v>
      </c>
      <c r="G7641" s="2" t="s">
        <v>12</v>
      </c>
      <c r="H7641" s="2" t="s">
        <v>12</v>
      </c>
      <c r="I7641" s="2" t="s">
        <v>12</v>
      </c>
      <c r="J7641" s="2" t="s">
        <v>12</v>
      </c>
      <c r="K7641" s="2" t="s">
        <v>12</v>
      </c>
    </row>
    <row r="7642" spans="1:11" ht="12.5" x14ac:dyDescent="0.25">
      <c r="A7642" s="3" t="e">
        <f ca="1"/>
        <v>#NAME?</v>
      </c>
      <c r="B7642" s="2" t="s">
        <v>12</v>
      </c>
      <c r="C7642" s="2" t="s">
        <v>12</v>
      </c>
      <c r="D7642" s="2" t="s">
        <v>12</v>
      </c>
      <c r="E7642" s="2" t="s">
        <v>12</v>
      </c>
      <c r="F7642" s="2" t="s">
        <v>12</v>
      </c>
      <c r="G7642" s="2" t="s">
        <v>12</v>
      </c>
      <c r="H7642" s="2" t="s">
        <v>12</v>
      </c>
      <c r="I7642" s="2" t="s">
        <v>12</v>
      </c>
      <c r="J7642" s="2" t="s">
        <v>12</v>
      </c>
      <c r="K7642" s="2" t="s">
        <v>12</v>
      </c>
    </row>
    <row r="7643" spans="1:11" ht="12.5" x14ac:dyDescent="0.25">
      <c r="A7643" s="3" t="e">
        <f ca="1"/>
        <v>#NAME?</v>
      </c>
      <c r="B7643" s="2" t="s">
        <v>12</v>
      </c>
      <c r="C7643" s="2" t="s">
        <v>12</v>
      </c>
      <c r="D7643" s="2" t="s">
        <v>12</v>
      </c>
      <c r="E7643" s="2" t="s">
        <v>12</v>
      </c>
      <c r="F7643" s="2" t="s">
        <v>12</v>
      </c>
      <c r="G7643" s="2" t="s">
        <v>12</v>
      </c>
      <c r="H7643" s="2" t="s">
        <v>12</v>
      </c>
      <c r="I7643" s="2" t="s">
        <v>12</v>
      </c>
      <c r="J7643" s="2" t="s">
        <v>12</v>
      </c>
      <c r="K7643" s="2" t="s">
        <v>12</v>
      </c>
    </row>
    <row r="7644" spans="1:11" ht="12.5" x14ac:dyDescent="0.25">
      <c r="A7644" s="3" t="e">
        <f ca="1"/>
        <v>#NAME?</v>
      </c>
      <c r="B7644" s="2" t="s">
        <v>12</v>
      </c>
      <c r="C7644" s="2" t="s">
        <v>12</v>
      </c>
      <c r="D7644" s="2" t="s">
        <v>12</v>
      </c>
      <c r="E7644" s="2" t="s">
        <v>12</v>
      </c>
      <c r="F7644" s="2" t="s">
        <v>12</v>
      </c>
      <c r="G7644" s="2" t="s">
        <v>12</v>
      </c>
      <c r="H7644" s="2" t="s">
        <v>12</v>
      </c>
      <c r="I7644" s="2" t="s">
        <v>12</v>
      </c>
      <c r="J7644" s="2" t="s">
        <v>12</v>
      </c>
      <c r="K7644" s="2" t="s">
        <v>12</v>
      </c>
    </row>
    <row r="7645" spans="1:11" ht="12.5" x14ac:dyDescent="0.25">
      <c r="A7645" s="3" t="e">
        <f ca="1"/>
        <v>#NAME?</v>
      </c>
      <c r="B7645" s="2" t="s">
        <v>12</v>
      </c>
      <c r="C7645" s="2" t="s">
        <v>12</v>
      </c>
      <c r="D7645" s="2" t="s">
        <v>12</v>
      </c>
      <c r="E7645" s="2" t="s">
        <v>12</v>
      </c>
      <c r="F7645" s="2" t="s">
        <v>12</v>
      </c>
      <c r="G7645" s="2" t="s">
        <v>12</v>
      </c>
      <c r="H7645" s="2" t="s">
        <v>12</v>
      </c>
      <c r="I7645" s="2" t="s">
        <v>12</v>
      </c>
      <c r="J7645" s="2" t="s">
        <v>12</v>
      </c>
      <c r="K7645" s="2" t="s">
        <v>12</v>
      </c>
    </row>
    <row r="7646" spans="1:11" ht="12.5" x14ac:dyDescent="0.25">
      <c r="A7646" s="3" t="e">
        <f ca="1"/>
        <v>#NAME?</v>
      </c>
      <c r="B7646" s="2" t="s">
        <v>12</v>
      </c>
      <c r="C7646" s="2" t="s">
        <v>12</v>
      </c>
      <c r="D7646" s="2" t="s">
        <v>12</v>
      </c>
      <c r="E7646" s="2" t="s">
        <v>12</v>
      </c>
      <c r="F7646" s="2" t="s">
        <v>12</v>
      </c>
      <c r="G7646" s="2" t="s">
        <v>12</v>
      </c>
      <c r="H7646" s="2" t="s">
        <v>12</v>
      </c>
      <c r="I7646" s="2" t="s">
        <v>12</v>
      </c>
      <c r="J7646" s="2" t="s">
        <v>12</v>
      </c>
      <c r="K7646" s="2" t="s">
        <v>12</v>
      </c>
    </row>
    <row r="7647" spans="1:11" ht="12.5" x14ac:dyDescent="0.25">
      <c r="A7647" s="3" t="e">
        <f ca="1"/>
        <v>#NAME?</v>
      </c>
      <c r="B7647" s="2" t="s">
        <v>12</v>
      </c>
      <c r="C7647" s="2" t="s">
        <v>12</v>
      </c>
      <c r="D7647" s="2" t="s">
        <v>12</v>
      </c>
      <c r="E7647" s="2" t="s">
        <v>12</v>
      </c>
      <c r="F7647" s="2" t="s">
        <v>12</v>
      </c>
      <c r="G7647" s="2" t="s">
        <v>12</v>
      </c>
      <c r="H7647" s="2" t="s">
        <v>12</v>
      </c>
      <c r="I7647" s="2" t="s">
        <v>12</v>
      </c>
      <c r="J7647" s="2" t="s">
        <v>12</v>
      </c>
      <c r="K7647" s="2" t="s">
        <v>12</v>
      </c>
    </row>
    <row r="7648" spans="1:11" ht="12.5" x14ac:dyDescent="0.25">
      <c r="A7648" s="3" t="e">
        <f ca="1"/>
        <v>#NAME?</v>
      </c>
      <c r="B7648" s="2" t="s">
        <v>12</v>
      </c>
      <c r="C7648" s="2" t="s">
        <v>12</v>
      </c>
      <c r="D7648" s="2" t="s">
        <v>12</v>
      </c>
      <c r="E7648" s="2" t="s">
        <v>12</v>
      </c>
      <c r="F7648" s="2" t="s">
        <v>12</v>
      </c>
      <c r="G7648" s="2" t="s">
        <v>12</v>
      </c>
      <c r="H7648" s="2" t="s">
        <v>12</v>
      </c>
      <c r="I7648" s="2" t="s">
        <v>12</v>
      </c>
      <c r="J7648" s="2" t="s">
        <v>12</v>
      </c>
      <c r="K7648" s="2" t="s">
        <v>12</v>
      </c>
    </row>
    <row r="7649" spans="1:11" ht="12.5" x14ac:dyDescent="0.25">
      <c r="A7649" s="3" t="e">
        <f ca="1"/>
        <v>#NAME?</v>
      </c>
      <c r="B7649" s="2" t="s">
        <v>12</v>
      </c>
      <c r="C7649" s="2" t="s">
        <v>12</v>
      </c>
      <c r="D7649" s="2" t="s">
        <v>12</v>
      </c>
      <c r="E7649" s="2" t="s">
        <v>12</v>
      </c>
      <c r="F7649" s="2" t="s">
        <v>12</v>
      </c>
      <c r="G7649" s="2" t="s">
        <v>12</v>
      </c>
      <c r="H7649" s="2" t="s">
        <v>12</v>
      </c>
      <c r="I7649" s="2" t="s">
        <v>12</v>
      </c>
      <c r="J7649" s="2" t="s">
        <v>12</v>
      </c>
      <c r="K7649" s="2" t="s">
        <v>12</v>
      </c>
    </row>
    <row r="7650" spans="1:11" ht="12.5" x14ac:dyDescent="0.25">
      <c r="A7650" s="3" t="e">
        <f ca="1"/>
        <v>#NAME?</v>
      </c>
      <c r="B7650" s="2" t="s">
        <v>12</v>
      </c>
      <c r="C7650" s="2" t="s">
        <v>12</v>
      </c>
      <c r="D7650" s="2" t="s">
        <v>12</v>
      </c>
      <c r="E7650" s="2" t="s">
        <v>12</v>
      </c>
      <c r="F7650" s="2" t="s">
        <v>12</v>
      </c>
      <c r="G7650" s="2" t="s">
        <v>12</v>
      </c>
      <c r="H7650" s="2" t="s">
        <v>12</v>
      </c>
      <c r="I7650" s="2" t="s">
        <v>12</v>
      </c>
      <c r="J7650" s="2" t="s">
        <v>12</v>
      </c>
      <c r="K7650" s="2" t="s">
        <v>12</v>
      </c>
    </row>
    <row r="7651" spans="1:11" ht="12.5" x14ac:dyDescent="0.25">
      <c r="A7651" s="3" t="e">
        <f ca="1"/>
        <v>#NAME?</v>
      </c>
      <c r="B7651" s="2" t="s">
        <v>12</v>
      </c>
      <c r="C7651" s="2" t="s">
        <v>12</v>
      </c>
      <c r="D7651" s="2" t="s">
        <v>12</v>
      </c>
      <c r="E7651" s="2" t="s">
        <v>12</v>
      </c>
      <c r="F7651" s="2" t="s">
        <v>12</v>
      </c>
      <c r="G7651" s="2" t="s">
        <v>12</v>
      </c>
      <c r="H7651" s="2" t="s">
        <v>12</v>
      </c>
      <c r="I7651" s="2" t="s">
        <v>12</v>
      </c>
      <c r="J7651" s="2" t="s">
        <v>12</v>
      </c>
      <c r="K7651" s="2" t="s">
        <v>12</v>
      </c>
    </row>
    <row r="7652" spans="1:11" ht="12.5" x14ac:dyDescent="0.25">
      <c r="A7652" s="3" t="e">
        <f ca="1"/>
        <v>#NAME?</v>
      </c>
      <c r="B7652" s="2" t="s">
        <v>12</v>
      </c>
      <c r="C7652" s="2" t="s">
        <v>12</v>
      </c>
      <c r="D7652" s="2" t="s">
        <v>12</v>
      </c>
      <c r="E7652" s="2" t="s">
        <v>12</v>
      </c>
      <c r="F7652" s="2" t="s">
        <v>12</v>
      </c>
      <c r="G7652" s="2" t="s">
        <v>12</v>
      </c>
      <c r="H7652" s="2" t="s">
        <v>12</v>
      </c>
      <c r="I7652" s="2" t="s">
        <v>12</v>
      </c>
      <c r="J7652" s="2" t="s">
        <v>12</v>
      </c>
      <c r="K7652" s="2" t="s">
        <v>12</v>
      </c>
    </row>
    <row r="7653" spans="1:11" ht="12.5" x14ac:dyDescent="0.25">
      <c r="A7653" s="3" t="e">
        <f ca="1"/>
        <v>#NAME?</v>
      </c>
      <c r="B7653" s="2" t="s">
        <v>12</v>
      </c>
      <c r="C7653" s="2" t="s">
        <v>12</v>
      </c>
      <c r="D7653" s="2" t="s">
        <v>12</v>
      </c>
      <c r="E7653" s="2" t="s">
        <v>12</v>
      </c>
      <c r="F7653" s="2" t="s">
        <v>12</v>
      </c>
      <c r="G7653" s="2" t="s">
        <v>12</v>
      </c>
      <c r="H7653" s="2" t="s">
        <v>12</v>
      </c>
      <c r="I7653" s="2" t="s">
        <v>12</v>
      </c>
      <c r="J7653" s="2" t="s">
        <v>12</v>
      </c>
      <c r="K7653" s="2" t="s">
        <v>12</v>
      </c>
    </row>
    <row r="7654" spans="1:11" ht="12.5" x14ac:dyDescent="0.25">
      <c r="A7654" s="3" t="e">
        <f ca="1"/>
        <v>#NAME?</v>
      </c>
      <c r="B7654" s="2" t="s">
        <v>12</v>
      </c>
      <c r="C7654" s="2" t="s">
        <v>12</v>
      </c>
      <c r="D7654" s="2" t="s">
        <v>12</v>
      </c>
      <c r="E7654" s="2" t="s">
        <v>12</v>
      </c>
      <c r="F7654" s="2" t="s">
        <v>12</v>
      </c>
      <c r="G7654" s="2" t="s">
        <v>12</v>
      </c>
      <c r="H7654" s="2" t="s">
        <v>12</v>
      </c>
      <c r="I7654" s="2" t="s">
        <v>12</v>
      </c>
      <c r="J7654" s="2" t="s">
        <v>12</v>
      </c>
      <c r="K7654" s="2" t="s">
        <v>12</v>
      </c>
    </row>
    <row r="7655" spans="1:11" ht="12.5" x14ac:dyDescent="0.25">
      <c r="A7655" s="3" t="e">
        <f ca="1"/>
        <v>#NAME?</v>
      </c>
      <c r="B7655" s="2" t="s">
        <v>12</v>
      </c>
      <c r="C7655" s="2" t="s">
        <v>12</v>
      </c>
      <c r="D7655" s="2" t="s">
        <v>12</v>
      </c>
      <c r="E7655" s="2" t="s">
        <v>12</v>
      </c>
      <c r="F7655" s="2" t="s">
        <v>12</v>
      </c>
      <c r="G7655" s="2" t="s">
        <v>12</v>
      </c>
      <c r="H7655" s="2" t="s">
        <v>12</v>
      </c>
      <c r="I7655" s="2" t="s">
        <v>12</v>
      </c>
      <c r="J7655" s="2" t="s">
        <v>12</v>
      </c>
      <c r="K7655" s="2" t="s">
        <v>12</v>
      </c>
    </row>
    <row r="7656" spans="1:11" ht="12.5" x14ac:dyDescent="0.25">
      <c r="A7656" s="3" t="e">
        <f ca="1"/>
        <v>#NAME?</v>
      </c>
      <c r="B7656" s="2" t="s">
        <v>12</v>
      </c>
      <c r="C7656" s="2" t="s">
        <v>12</v>
      </c>
      <c r="D7656" s="2" t="s">
        <v>12</v>
      </c>
      <c r="E7656" s="2" t="s">
        <v>12</v>
      </c>
      <c r="F7656" s="2" t="s">
        <v>12</v>
      </c>
      <c r="G7656" s="2" t="s">
        <v>12</v>
      </c>
      <c r="H7656" s="2" t="s">
        <v>12</v>
      </c>
      <c r="I7656" s="2" t="s">
        <v>12</v>
      </c>
      <c r="J7656" s="2" t="s">
        <v>12</v>
      </c>
      <c r="K7656" s="2" t="s">
        <v>12</v>
      </c>
    </row>
    <row r="7657" spans="1:11" ht="12.5" x14ac:dyDescent="0.25">
      <c r="A7657" s="3" t="e">
        <f ca="1"/>
        <v>#NAME?</v>
      </c>
      <c r="B7657" s="2" t="s">
        <v>12</v>
      </c>
      <c r="C7657" s="2" t="s">
        <v>12</v>
      </c>
      <c r="D7657" s="2" t="s">
        <v>12</v>
      </c>
      <c r="E7657" s="2" t="s">
        <v>12</v>
      </c>
      <c r="F7657" s="2" t="s">
        <v>12</v>
      </c>
      <c r="G7657" s="2" t="s">
        <v>12</v>
      </c>
      <c r="H7657" s="2" t="s">
        <v>12</v>
      </c>
      <c r="I7657" s="2" t="s">
        <v>12</v>
      </c>
      <c r="J7657" s="2" t="s">
        <v>12</v>
      </c>
      <c r="K7657" s="2" t="s">
        <v>12</v>
      </c>
    </row>
    <row r="7658" spans="1:11" ht="12.5" x14ac:dyDescent="0.25">
      <c r="A7658" s="3" t="e">
        <f ca="1"/>
        <v>#NAME?</v>
      </c>
      <c r="B7658" s="2" t="s">
        <v>12</v>
      </c>
      <c r="C7658" s="2" t="s">
        <v>12</v>
      </c>
      <c r="D7658" s="2" t="s">
        <v>12</v>
      </c>
      <c r="E7658" s="2" t="s">
        <v>12</v>
      </c>
      <c r="F7658" s="2" t="s">
        <v>12</v>
      </c>
      <c r="G7658" s="2" t="s">
        <v>12</v>
      </c>
      <c r="H7658" s="2" t="s">
        <v>12</v>
      </c>
      <c r="I7658" s="2" t="s">
        <v>12</v>
      </c>
      <c r="J7658" s="2" t="s">
        <v>12</v>
      </c>
      <c r="K7658" s="2" t="s">
        <v>12</v>
      </c>
    </row>
    <row r="7659" spans="1:11" ht="12.5" x14ac:dyDescent="0.25">
      <c r="A7659" s="3" t="e">
        <f ca="1"/>
        <v>#NAME?</v>
      </c>
      <c r="B7659" s="2" t="s">
        <v>12</v>
      </c>
      <c r="C7659" s="2" t="s">
        <v>12</v>
      </c>
      <c r="D7659" s="2" t="s">
        <v>12</v>
      </c>
      <c r="E7659" s="2" t="s">
        <v>12</v>
      </c>
      <c r="F7659" s="2" t="s">
        <v>12</v>
      </c>
      <c r="G7659" s="2" t="s">
        <v>12</v>
      </c>
      <c r="H7659" s="2" t="s">
        <v>12</v>
      </c>
      <c r="I7659" s="2" t="s">
        <v>12</v>
      </c>
      <c r="J7659" s="2" t="s">
        <v>12</v>
      </c>
      <c r="K7659" s="2" t="s">
        <v>12</v>
      </c>
    </row>
    <row r="7660" spans="1:11" ht="12.5" x14ac:dyDescent="0.25">
      <c r="A7660" s="3" t="e">
        <f ca="1"/>
        <v>#NAME?</v>
      </c>
      <c r="B7660" s="2" t="s">
        <v>12</v>
      </c>
      <c r="C7660" s="2" t="s">
        <v>12</v>
      </c>
      <c r="D7660" s="2" t="s">
        <v>12</v>
      </c>
      <c r="E7660" s="2" t="s">
        <v>12</v>
      </c>
      <c r="F7660" s="2" t="s">
        <v>12</v>
      </c>
      <c r="G7660" s="2" t="s">
        <v>12</v>
      </c>
      <c r="H7660" s="2" t="s">
        <v>12</v>
      </c>
      <c r="I7660" s="2" t="s">
        <v>12</v>
      </c>
      <c r="J7660" s="2" t="s">
        <v>12</v>
      </c>
      <c r="K7660" s="2" t="s">
        <v>12</v>
      </c>
    </row>
    <row r="7661" spans="1:11" ht="12.5" x14ac:dyDescent="0.25">
      <c r="A7661" s="3" t="e">
        <f ca="1"/>
        <v>#NAME?</v>
      </c>
      <c r="B7661" s="2" t="s">
        <v>12</v>
      </c>
      <c r="C7661" s="2" t="s">
        <v>12</v>
      </c>
      <c r="D7661" s="2" t="s">
        <v>12</v>
      </c>
      <c r="E7661" s="2" t="s">
        <v>12</v>
      </c>
      <c r="F7661" s="2" t="s">
        <v>12</v>
      </c>
      <c r="G7661" s="2" t="s">
        <v>12</v>
      </c>
      <c r="H7661" s="2" t="s">
        <v>12</v>
      </c>
      <c r="I7661" s="2" t="s">
        <v>12</v>
      </c>
      <c r="J7661" s="2" t="s">
        <v>12</v>
      </c>
      <c r="K7661" s="2" t="s">
        <v>12</v>
      </c>
    </row>
    <row r="7662" spans="1:11" ht="12.5" x14ac:dyDescent="0.25">
      <c r="A7662" s="3" t="e">
        <f ca="1"/>
        <v>#NAME?</v>
      </c>
      <c r="B7662" s="2" t="s">
        <v>12</v>
      </c>
      <c r="C7662" s="2" t="s">
        <v>12</v>
      </c>
      <c r="D7662" s="2" t="s">
        <v>12</v>
      </c>
      <c r="E7662" s="2" t="s">
        <v>12</v>
      </c>
      <c r="F7662" s="2" t="s">
        <v>12</v>
      </c>
      <c r="G7662" s="2" t="s">
        <v>12</v>
      </c>
      <c r="H7662" s="2" t="s">
        <v>12</v>
      </c>
      <c r="I7662" s="2" t="s">
        <v>12</v>
      </c>
      <c r="J7662" s="2" t="s">
        <v>12</v>
      </c>
      <c r="K7662" s="2" t="s">
        <v>12</v>
      </c>
    </row>
    <row r="7663" spans="1:11" ht="12.5" x14ac:dyDescent="0.25">
      <c r="A7663" s="3" t="e">
        <f ca="1"/>
        <v>#NAME?</v>
      </c>
      <c r="B7663" s="2" t="s">
        <v>12</v>
      </c>
      <c r="C7663" s="2" t="s">
        <v>12</v>
      </c>
      <c r="D7663" s="2" t="s">
        <v>12</v>
      </c>
      <c r="E7663" s="2" t="s">
        <v>12</v>
      </c>
      <c r="F7663" s="2" t="s">
        <v>12</v>
      </c>
      <c r="G7663" s="2" t="s">
        <v>12</v>
      </c>
      <c r="H7663" s="2" t="s">
        <v>12</v>
      </c>
      <c r="I7663" s="2" t="s">
        <v>12</v>
      </c>
      <c r="J7663" s="2" t="s">
        <v>12</v>
      </c>
      <c r="K7663" s="2" t="s">
        <v>12</v>
      </c>
    </row>
    <row r="7664" spans="1:11" ht="12.5" x14ac:dyDescent="0.25">
      <c r="A7664" s="3" t="e">
        <f ca="1"/>
        <v>#NAME?</v>
      </c>
      <c r="B7664" s="2" t="s">
        <v>12</v>
      </c>
      <c r="C7664" s="2" t="s">
        <v>12</v>
      </c>
      <c r="D7664" s="2" t="s">
        <v>12</v>
      </c>
      <c r="E7664" s="2" t="s">
        <v>12</v>
      </c>
      <c r="F7664" s="2" t="s">
        <v>12</v>
      </c>
      <c r="G7664" s="2" t="s">
        <v>12</v>
      </c>
      <c r="H7664" s="2" t="s">
        <v>12</v>
      </c>
      <c r="I7664" s="2" t="s">
        <v>12</v>
      </c>
      <c r="J7664" s="2" t="s">
        <v>12</v>
      </c>
      <c r="K7664" s="2" t="s">
        <v>12</v>
      </c>
    </row>
    <row r="7665" spans="1:11" ht="12.5" x14ac:dyDescent="0.25">
      <c r="A7665" s="3" t="e">
        <f ca="1"/>
        <v>#NAME?</v>
      </c>
      <c r="B7665" s="2" t="s">
        <v>12</v>
      </c>
      <c r="C7665" s="2" t="s">
        <v>12</v>
      </c>
      <c r="D7665" s="2" t="s">
        <v>12</v>
      </c>
      <c r="E7665" s="2" t="s">
        <v>12</v>
      </c>
      <c r="F7665" s="2" t="s">
        <v>12</v>
      </c>
      <c r="G7665" s="2" t="s">
        <v>12</v>
      </c>
      <c r="H7665" s="2" t="s">
        <v>12</v>
      </c>
      <c r="I7665" s="2" t="s">
        <v>12</v>
      </c>
      <c r="J7665" s="2" t="s">
        <v>12</v>
      </c>
      <c r="K7665" s="2" t="s">
        <v>12</v>
      </c>
    </row>
    <row r="7666" spans="1:11" ht="12.5" x14ac:dyDescent="0.25">
      <c r="A7666" s="3" t="e">
        <f ca="1"/>
        <v>#NAME?</v>
      </c>
      <c r="B7666" s="2" t="s">
        <v>12</v>
      </c>
      <c r="C7666" s="2" t="s">
        <v>12</v>
      </c>
      <c r="D7666" s="2" t="s">
        <v>12</v>
      </c>
      <c r="E7666" s="2" t="s">
        <v>12</v>
      </c>
      <c r="F7666" s="2" t="s">
        <v>12</v>
      </c>
      <c r="G7666" s="2" t="s">
        <v>12</v>
      </c>
      <c r="H7666" s="2" t="s">
        <v>12</v>
      </c>
      <c r="I7666" s="2" t="s">
        <v>12</v>
      </c>
      <c r="J7666" s="2" t="s">
        <v>12</v>
      </c>
      <c r="K7666" s="2" t="s">
        <v>12</v>
      </c>
    </row>
    <row r="7667" spans="1:11" ht="12.5" x14ac:dyDescent="0.25">
      <c r="A7667" s="3" t="e">
        <f ca="1"/>
        <v>#NAME?</v>
      </c>
      <c r="B7667" s="2" t="s">
        <v>12</v>
      </c>
      <c r="C7667" s="2" t="s">
        <v>12</v>
      </c>
      <c r="D7667" s="2" t="s">
        <v>12</v>
      </c>
      <c r="E7667" s="2" t="s">
        <v>12</v>
      </c>
      <c r="F7667" s="2" t="s">
        <v>12</v>
      </c>
      <c r="G7667" s="2" t="s">
        <v>12</v>
      </c>
      <c r="H7667" s="2" t="s">
        <v>12</v>
      </c>
      <c r="I7667" s="2" t="s">
        <v>12</v>
      </c>
      <c r="J7667" s="2" t="s">
        <v>12</v>
      </c>
      <c r="K7667" s="2" t="s">
        <v>12</v>
      </c>
    </row>
    <row r="7668" spans="1:11" ht="12.5" x14ac:dyDescent="0.25">
      <c r="A7668" s="3" t="e">
        <f ca="1"/>
        <v>#NAME?</v>
      </c>
      <c r="B7668" s="2" t="s">
        <v>12</v>
      </c>
      <c r="C7668" s="2" t="s">
        <v>12</v>
      </c>
      <c r="D7668" s="2" t="s">
        <v>12</v>
      </c>
      <c r="E7668" s="2" t="s">
        <v>12</v>
      </c>
      <c r="F7668" s="2" t="s">
        <v>12</v>
      </c>
      <c r="G7668" s="2" t="s">
        <v>12</v>
      </c>
      <c r="H7668" s="2" t="s">
        <v>12</v>
      </c>
      <c r="I7668" s="2" t="s">
        <v>12</v>
      </c>
      <c r="J7668" s="2" t="s">
        <v>12</v>
      </c>
      <c r="K7668" s="2" t="s">
        <v>12</v>
      </c>
    </row>
    <row r="7669" spans="1:11" ht="12.5" x14ac:dyDescent="0.25">
      <c r="A7669" s="3" t="e">
        <f ca="1"/>
        <v>#NAME?</v>
      </c>
      <c r="B7669" s="2" t="s">
        <v>12</v>
      </c>
      <c r="C7669" s="2" t="s">
        <v>12</v>
      </c>
      <c r="D7669" s="2" t="s">
        <v>12</v>
      </c>
      <c r="E7669" s="2" t="s">
        <v>12</v>
      </c>
      <c r="F7669" s="2" t="s">
        <v>12</v>
      </c>
      <c r="G7669" s="2" t="s">
        <v>12</v>
      </c>
      <c r="H7669" s="2" t="s">
        <v>12</v>
      </c>
      <c r="I7669" s="2" t="s">
        <v>12</v>
      </c>
      <c r="J7669" s="2" t="s">
        <v>12</v>
      </c>
      <c r="K7669" s="2" t="s">
        <v>12</v>
      </c>
    </row>
    <row r="7670" spans="1:11" ht="12.5" x14ac:dyDescent="0.25">
      <c r="A7670" s="3" t="e">
        <f ca="1"/>
        <v>#NAME?</v>
      </c>
      <c r="B7670" s="2" t="s">
        <v>12</v>
      </c>
      <c r="C7670" s="2" t="s">
        <v>12</v>
      </c>
      <c r="D7670" s="2" t="s">
        <v>12</v>
      </c>
      <c r="E7670" s="2" t="s">
        <v>12</v>
      </c>
      <c r="F7670" s="2" t="s">
        <v>12</v>
      </c>
      <c r="G7670" s="2" t="s">
        <v>12</v>
      </c>
      <c r="H7670" s="2" t="s">
        <v>12</v>
      </c>
      <c r="I7670" s="2" t="s">
        <v>12</v>
      </c>
      <c r="J7670" s="2" t="s">
        <v>12</v>
      </c>
      <c r="K7670" s="2" t="s">
        <v>12</v>
      </c>
    </row>
    <row r="7671" spans="1:11" ht="12.5" x14ac:dyDescent="0.25">
      <c r="A7671" s="3" t="e">
        <f ca="1"/>
        <v>#NAME?</v>
      </c>
      <c r="B7671" s="2" t="s">
        <v>12</v>
      </c>
      <c r="C7671" s="2" t="s">
        <v>12</v>
      </c>
      <c r="D7671" s="2" t="s">
        <v>12</v>
      </c>
      <c r="E7671" s="2" t="s">
        <v>12</v>
      </c>
      <c r="F7671" s="2" t="s">
        <v>12</v>
      </c>
      <c r="G7671" s="2" t="s">
        <v>12</v>
      </c>
      <c r="H7671" s="2" t="s">
        <v>12</v>
      </c>
      <c r="I7671" s="2" t="s">
        <v>12</v>
      </c>
      <c r="J7671" s="2" t="s">
        <v>12</v>
      </c>
      <c r="K7671" s="2" t="s">
        <v>12</v>
      </c>
    </row>
    <row r="7672" spans="1:11" ht="12.5" x14ac:dyDescent="0.25">
      <c r="A7672" s="3" t="e">
        <f ca="1"/>
        <v>#NAME?</v>
      </c>
      <c r="B7672" s="2" t="s">
        <v>12</v>
      </c>
      <c r="C7672" s="2" t="s">
        <v>12</v>
      </c>
      <c r="D7672" s="2" t="s">
        <v>12</v>
      </c>
      <c r="E7672" s="2" t="s">
        <v>12</v>
      </c>
      <c r="F7672" s="2" t="s">
        <v>12</v>
      </c>
      <c r="G7672" s="2" t="s">
        <v>12</v>
      </c>
      <c r="H7672" s="2" t="s">
        <v>12</v>
      </c>
      <c r="I7672" s="2" t="s">
        <v>12</v>
      </c>
      <c r="J7672" s="2" t="s">
        <v>12</v>
      </c>
      <c r="K7672" s="2" t="s">
        <v>12</v>
      </c>
    </row>
    <row r="7673" spans="1:11" ht="12.5" x14ac:dyDescent="0.25">
      <c r="A7673" s="3" t="e">
        <f ca="1"/>
        <v>#NAME?</v>
      </c>
      <c r="B7673" s="2" t="s">
        <v>12</v>
      </c>
      <c r="C7673" s="2" t="s">
        <v>12</v>
      </c>
      <c r="D7673" s="2" t="s">
        <v>12</v>
      </c>
      <c r="E7673" s="2" t="s">
        <v>12</v>
      </c>
      <c r="F7673" s="2" t="s">
        <v>12</v>
      </c>
      <c r="G7673" s="2" t="s">
        <v>12</v>
      </c>
      <c r="H7673" s="2" t="s">
        <v>12</v>
      </c>
      <c r="I7673" s="2" t="s">
        <v>12</v>
      </c>
      <c r="J7673" s="2" t="s">
        <v>12</v>
      </c>
      <c r="K7673" s="2" t="s">
        <v>12</v>
      </c>
    </row>
    <row r="7674" spans="1:11" ht="12.5" x14ac:dyDescent="0.25">
      <c r="A7674" s="3" t="e">
        <f ca="1"/>
        <v>#NAME?</v>
      </c>
      <c r="B7674" s="2" t="s">
        <v>12</v>
      </c>
      <c r="C7674" s="2" t="s">
        <v>12</v>
      </c>
      <c r="D7674" s="2" t="s">
        <v>12</v>
      </c>
      <c r="E7674" s="2" t="s">
        <v>12</v>
      </c>
      <c r="F7674" s="2" t="s">
        <v>12</v>
      </c>
      <c r="G7674" s="2" t="s">
        <v>12</v>
      </c>
      <c r="H7674" s="2" t="s">
        <v>12</v>
      </c>
      <c r="I7674" s="2" t="s">
        <v>12</v>
      </c>
      <c r="J7674" s="2" t="s">
        <v>12</v>
      </c>
      <c r="K7674" s="2" t="s">
        <v>12</v>
      </c>
    </row>
    <row r="7675" spans="1:11" ht="12.5" x14ac:dyDescent="0.25">
      <c r="A7675" s="3" t="e">
        <f ca="1"/>
        <v>#NAME?</v>
      </c>
      <c r="B7675" s="2" t="s">
        <v>12</v>
      </c>
      <c r="C7675" s="2" t="s">
        <v>12</v>
      </c>
      <c r="D7675" s="2" t="s">
        <v>12</v>
      </c>
      <c r="E7675" s="2" t="s">
        <v>12</v>
      </c>
      <c r="F7675" s="2" t="s">
        <v>12</v>
      </c>
      <c r="G7675" s="2" t="s">
        <v>12</v>
      </c>
      <c r="H7675" s="2" t="s">
        <v>12</v>
      </c>
      <c r="I7675" s="2" t="s">
        <v>12</v>
      </c>
      <c r="J7675" s="2" t="s">
        <v>12</v>
      </c>
      <c r="K7675" s="2" t="s">
        <v>12</v>
      </c>
    </row>
    <row r="7676" spans="1:11" ht="12.5" x14ac:dyDescent="0.25">
      <c r="A7676" s="3" t="e">
        <f ca="1"/>
        <v>#NAME?</v>
      </c>
      <c r="B7676" s="2" t="s">
        <v>12</v>
      </c>
      <c r="C7676" s="2" t="s">
        <v>12</v>
      </c>
      <c r="D7676" s="2" t="s">
        <v>12</v>
      </c>
      <c r="E7676" s="2" t="s">
        <v>12</v>
      </c>
      <c r="F7676" s="2" t="s">
        <v>12</v>
      </c>
      <c r="G7676" s="2" t="s">
        <v>12</v>
      </c>
      <c r="H7676" s="2" t="s">
        <v>12</v>
      </c>
      <c r="I7676" s="2" t="s">
        <v>12</v>
      </c>
      <c r="J7676" s="2" t="s">
        <v>12</v>
      </c>
      <c r="K7676" s="2" t="s">
        <v>12</v>
      </c>
    </row>
    <row r="7677" spans="1:11" ht="12.5" x14ac:dyDescent="0.25">
      <c r="A7677" s="3" t="e">
        <f ca="1"/>
        <v>#NAME?</v>
      </c>
      <c r="B7677" s="2" t="s">
        <v>12</v>
      </c>
      <c r="C7677" s="2" t="s">
        <v>12</v>
      </c>
      <c r="D7677" s="2" t="s">
        <v>12</v>
      </c>
      <c r="E7677" s="2" t="s">
        <v>12</v>
      </c>
      <c r="F7677" s="2" t="s">
        <v>12</v>
      </c>
      <c r="G7677" s="2" t="s">
        <v>12</v>
      </c>
      <c r="H7677" s="2" t="s">
        <v>12</v>
      </c>
      <c r="I7677" s="2" t="s">
        <v>12</v>
      </c>
      <c r="J7677" s="2" t="s">
        <v>12</v>
      </c>
      <c r="K7677" s="2" t="s">
        <v>12</v>
      </c>
    </row>
    <row r="7678" spans="1:11" ht="12.5" x14ac:dyDescent="0.25">
      <c r="A7678" s="3" t="e">
        <f ca="1"/>
        <v>#NAME?</v>
      </c>
      <c r="B7678" s="2" t="s">
        <v>12</v>
      </c>
      <c r="C7678" s="2" t="s">
        <v>12</v>
      </c>
      <c r="D7678" s="2" t="s">
        <v>12</v>
      </c>
      <c r="E7678" s="2" t="s">
        <v>12</v>
      </c>
      <c r="F7678" s="2" t="s">
        <v>12</v>
      </c>
      <c r="G7678" s="2" t="s">
        <v>12</v>
      </c>
      <c r="H7678" s="2" t="s">
        <v>12</v>
      </c>
      <c r="I7678" s="2" t="s">
        <v>12</v>
      </c>
      <c r="J7678" s="2" t="s">
        <v>12</v>
      </c>
      <c r="K7678" s="2" t="s">
        <v>12</v>
      </c>
    </row>
    <row r="7679" spans="1:11" ht="12.5" x14ac:dyDescent="0.25">
      <c r="A7679" s="3" t="e">
        <f ca="1"/>
        <v>#NAME?</v>
      </c>
      <c r="B7679" s="2" t="s">
        <v>12</v>
      </c>
      <c r="C7679" s="2" t="s">
        <v>12</v>
      </c>
      <c r="D7679" s="2" t="s">
        <v>12</v>
      </c>
      <c r="E7679" s="2" t="s">
        <v>12</v>
      </c>
      <c r="F7679" s="2" t="s">
        <v>12</v>
      </c>
      <c r="G7679" s="2" t="s">
        <v>12</v>
      </c>
      <c r="H7679" s="2" t="s">
        <v>12</v>
      </c>
      <c r="I7679" s="2" t="s">
        <v>12</v>
      </c>
      <c r="J7679" s="2" t="s">
        <v>12</v>
      </c>
      <c r="K7679" s="2" t="s">
        <v>12</v>
      </c>
    </row>
    <row r="7680" spans="1:11" ht="12.5" x14ac:dyDescent="0.25">
      <c r="A7680" s="3" t="e">
        <f ca="1"/>
        <v>#NAME?</v>
      </c>
      <c r="B7680" s="2" t="s">
        <v>12</v>
      </c>
      <c r="C7680" s="2" t="s">
        <v>12</v>
      </c>
      <c r="D7680" s="2" t="s">
        <v>12</v>
      </c>
      <c r="E7680" s="2" t="s">
        <v>12</v>
      </c>
      <c r="F7680" s="2" t="s">
        <v>12</v>
      </c>
      <c r="G7680" s="2" t="s">
        <v>12</v>
      </c>
      <c r="H7680" s="2" t="s">
        <v>12</v>
      </c>
      <c r="I7680" s="2" t="s">
        <v>12</v>
      </c>
      <c r="J7680" s="2" t="s">
        <v>12</v>
      </c>
      <c r="K7680" s="2" t="s">
        <v>12</v>
      </c>
    </row>
    <row r="7681" spans="1:11" ht="12.5" x14ac:dyDescent="0.25">
      <c r="A7681" s="3" t="e">
        <f ca="1"/>
        <v>#NAME?</v>
      </c>
      <c r="B7681" s="2" t="s">
        <v>12</v>
      </c>
      <c r="C7681" s="2" t="s">
        <v>12</v>
      </c>
      <c r="D7681" s="2" t="s">
        <v>12</v>
      </c>
      <c r="E7681" s="2" t="s">
        <v>12</v>
      </c>
      <c r="F7681" s="2" t="s">
        <v>12</v>
      </c>
      <c r="G7681" s="2" t="s">
        <v>12</v>
      </c>
      <c r="H7681" s="2" t="s">
        <v>12</v>
      </c>
      <c r="I7681" s="2" t="s">
        <v>12</v>
      </c>
      <c r="J7681" s="2" t="s">
        <v>12</v>
      </c>
      <c r="K7681" s="2" t="s">
        <v>12</v>
      </c>
    </row>
    <row r="7682" spans="1:11" ht="12.5" x14ac:dyDescent="0.25">
      <c r="A7682" s="3" t="e">
        <f ca="1"/>
        <v>#NAME?</v>
      </c>
      <c r="B7682" s="2" t="s">
        <v>12</v>
      </c>
      <c r="C7682" s="2" t="s">
        <v>12</v>
      </c>
      <c r="D7682" s="2" t="s">
        <v>12</v>
      </c>
      <c r="E7682" s="2" t="s">
        <v>12</v>
      </c>
      <c r="F7682" s="2" t="s">
        <v>12</v>
      </c>
      <c r="G7682" s="2" t="s">
        <v>12</v>
      </c>
      <c r="H7682" s="2" t="s">
        <v>12</v>
      </c>
      <c r="I7682" s="2" t="s">
        <v>12</v>
      </c>
      <c r="J7682" s="2" t="s">
        <v>12</v>
      </c>
      <c r="K7682" s="2" t="s">
        <v>12</v>
      </c>
    </row>
    <row r="7683" spans="1:11" ht="12.5" x14ac:dyDescent="0.25">
      <c r="A7683" s="3" t="e">
        <f ca="1"/>
        <v>#NAME?</v>
      </c>
      <c r="B7683" s="2" t="s">
        <v>12</v>
      </c>
      <c r="C7683" s="2" t="s">
        <v>12</v>
      </c>
      <c r="D7683" s="2" t="s">
        <v>12</v>
      </c>
      <c r="E7683" s="2" t="s">
        <v>12</v>
      </c>
      <c r="F7683" s="2" t="s">
        <v>12</v>
      </c>
      <c r="G7683" s="2" t="s">
        <v>12</v>
      </c>
      <c r="H7683" s="2" t="s">
        <v>12</v>
      </c>
      <c r="I7683" s="2" t="s">
        <v>12</v>
      </c>
      <c r="J7683" s="2" t="s">
        <v>12</v>
      </c>
      <c r="K7683" s="2" t="s">
        <v>12</v>
      </c>
    </row>
    <row r="7684" spans="1:11" ht="12.5" x14ac:dyDescent="0.25">
      <c r="A7684" s="3" t="e">
        <f ca="1"/>
        <v>#NAME?</v>
      </c>
      <c r="B7684" s="2" t="s">
        <v>12</v>
      </c>
      <c r="C7684" s="2" t="s">
        <v>12</v>
      </c>
      <c r="D7684" s="2" t="s">
        <v>12</v>
      </c>
      <c r="E7684" s="2" t="s">
        <v>12</v>
      </c>
      <c r="F7684" s="2" t="s">
        <v>12</v>
      </c>
      <c r="G7684" s="2" t="s">
        <v>12</v>
      </c>
      <c r="H7684" s="2" t="s">
        <v>12</v>
      </c>
      <c r="I7684" s="2" t="s">
        <v>12</v>
      </c>
      <c r="J7684" s="2" t="s">
        <v>12</v>
      </c>
      <c r="K7684" s="2" t="s">
        <v>12</v>
      </c>
    </row>
    <row r="7685" spans="1:11" ht="12.5" x14ac:dyDescent="0.25">
      <c r="A7685" s="3" t="e">
        <f ca="1"/>
        <v>#NAME?</v>
      </c>
      <c r="B7685" s="2" t="s">
        <v>12</v>
      </c>
      <c r="C7685" s="2" t="s">
        <v>12</v>
      </c>
      <c r="D7685" s="2" t="s">
        <v>12</v>
      </c>
      <c r="E7685" s="2" t="s">
        <v>12</v>
      </c>
      <c r="F7685" s="2" t="s">
        <v>12</v>
      </c>
      <c r="G7685" s="2" t="s">
        <v>12</v>
      </c>
      <c r="H7685" s="2" t="s">
        <v>12</v>
      </c>
      <c r="I7685" s="2" t="s">
        <v>12</v>
      </c>
      <c r="J7685" s="2" t="s">
        <v>12</v>
      </c>
      <c r="K7685" s="2" t="s">
        <v>12</v>
      </c>
    </row>
    <row r="7686" spans="1:11" ht="12.5" x14ac:dyDescent="0.25">
      <c r="A7686" s="3" t="e">
        <f ca="1"/>
        <v>#NAME?</v>
      </c>
      <c r="B7686" s="2" t="s">
        <v>12</v>
      </c>
      <c r="C7686" s="2" t="s">
        <v>12</v>
      </c>
      <c r="D7686" s="2" t="s">
        <v>12</v>
      </c>
      <c r="E7686" s="2" t="s">
        <v>12</v>
      </c>
      <c r="F7686" s="2" t="s">
        <v>12</v>
      </c>
      <c r="G7686" s="2" t="s">
        <v>12</v>
      </c>
      <c r="H7686" s="2" t="s">
        <v>12</v>
      </c>
      <c r="I7686" s="2" t="s">
        <v>12</v>
      </c>
      <c r="J7686" s="2" t="s">
        <v>12</v>
      </c>
      <c r="K7686" s="2" t="s">
        <v>12</v>
      </c>
    </row>
    <row r="7687" spans="1:11" ht="12.5" x14ac:dyDescent="0.25">
      <c r="A7687" s="3" t="e">
        <f ca="1"/>
        <v>#NAME?</v>
      </c>
      <c r="B7687" s="2" t="s">
        <v>12</v>
      </c>
      <c r="C7687" s="2" t="s">
        <v>12</v>
      </c>
      <c r="D7687" s="2" t="s">
        <v>12</v>
      </c>
      <c r="E7687" s="2" t="s">
        <v>12</v>
      </c>
      <c r="F7687" s="2" t="s">
        <v>12</v>
      </c>
      <c r="G7687" s="2" t="s">
        <v>12</v>
      </c>
      <c r="H7687" s="2" t="s">
        <v>12</v>
      </c>
      <c r="I7687" s="2" t="s">
        <v>12</v>
      </c>
      <c r="J7687" s="2" t="s">
        <v>12</v>
      </c>
      <c r="K7687" s="2" t="s">
        <v>12</v>
      </c>
    </row>
    <row r="7688" spans="1:11" ht="12.5" x14ac:dyDescent="0.25">
      <c r="A7688" s="3" t="e">
        <f ca="1"/>
        <v>#NAME?</v>
      </c>
      <c r="B7688" s="2" t="s">
        <v>12</v>
      </c>
      <c r="C7688" s="2" t="s">
        <v>12</v>
      </c>
      <c r="D7688" s="2" t="s">
        <v>12</v>
      </c>
      <c r="E7688" s="2" t="s">
        <v>12</v>
      </c>
      <c r="F7688" s="2" t="s">
        <v>12</v>
      </c>
      <c r="G7688" s="2" t="s">
        <v>12</v>
      </c>
      <c r="H7688" s="2" t="s">
        <v>12</v>
      </c>
      <c r="I7688" s="2" t="s">
        <v>12</v>
      </c>
      <c r="J7688" s="2" t="s">
        <v>12</v>
      </c>
      <c r="K7688" s="2" t="s">
        <v>12</v>
      </c>
    </row>
    <row r="7689" spans="1:11" ht="12.5" x14ac:dyDescent="0.25">
      <c r="A7689" s="3" t="e">
        <f ca="1"/>
        <v>#NAME?</v>
      </c>
      <c r="B7689" s="2" t="s">
        <v>12</v>
      </c>
      <c r="C7689" s="2" t="s">
        <v>12</v>
      </c>
      <c r="D7689" s="2" t="s">
        <v>12</v>
      </c>
      <c r="E7689" s="2" t="s">
        <v>12</v>
      </c>
      <c r="F7689" s="2" t="s">
        <v>12</v>
      </c>
      <c r="G7689" s="2" t="s">
        <v>12</v>
      </c>
      <c r="H7689" s="2" t="s">
        <v>12</v>
      </c>
      <c r="I7689" s="2" t="s">
        <v>12</v>
      </c>
      <c r="J7689" s="2" t="s">
        <v>12</v>
      </c>
      <c r="K7689" s="2" t="s">
        <v>12</v>
      </c>
    </row>
    <row r="7690" spans="1:11" ht="12.5" x14ac:dyDescent="0.25">
      <c r="A7690" s="3" t="e">
        <f ca="1"/>
        <v>#NAME?</v>
      </c>
      <c r="B7690" s="2" t="s">
        <v>12</v>
      </c>
      <c r="C7690" s="2" t="s">
        <v>12</v>
      </c>
      <c r="D7690" s="2" t="s">
        <v>12</v>
      </c>
      <c r="E7690" s="2" t="s">
        <v>12</v>
      </c>
      <c r="F7690" s="2" t="s">
        <v>12</v>
      </c>
      <c r="G7690" s="2" t="s">
        <v>12</v>
      </c>
      <c r="H7690" s="2" t="s">
        <v>12</v>
      </c>
      <c r="I7690" s="2" t="s">
        <v>12</v>
      </c>
      <c r="J7690" s="2" t="s">
        <v>12</v>
      </c>
      <c r="K7690" s="2" t="s">
        <v>12</v>
      </c>
    </row>
    <row r="7691" spans="1:11" ht="12.5" x14ac:dyDescent="0.25">
      <c r="A7691" s="3" t="e">
        <f ca="1"/>
        <v>#NAME?</v>
      </c>
      <c r="B7691" s="2" t="s">
        <v>12</v>
      </c>
      <c r="C7691" s="2" t="s">
        <v>12</v>
      </c>
      <c r="D7691" s="2" t="s">
        <v>12</v>
      </c>
      <c r="E7691" s="2" t="s">
        <v>12</v>
      </c>
      <c r="F7691" s="2" t="s">
        <v>12</v>
      </c>
      <c r="G7691" s="2" t="s">
        <v>12</v>
      </c>
      <c r="H7691" s="2" t="s">
        <v>12</v>
      </c>
      <c r="I7691" s="2" t="s">
        <v>12</v>
      </c>
      <c r="J7691" s="2" t="s">
        <v>12</v>
      </c>
      <c r="K7691" s="2" t="s">
        <v>12</v>
      </c>
    </row>
    <row r="7692" spans="1:11" ht="12.5" x14ac:dyDescent="0.25">
      <c r="A7692" s="3" t="e">
        <f ca="1"/>
        <v>#NAME?</v>
      </c>
      <c r="B7692" s="2" t="s">
        <v>12</v>
      </c>
      <c r="C7692" s="2" t="s">
        <v>12</v>
      </c>
      <c r="D7692" s="2" t="s">
        <v>12</v>
      </c>
      <c r="E7692" s="2" t="s">
        <v>12</v>
      </c>
      <c r="F7692" s="2" t="s">
        <v>12</v>
      </c>
      <c r="G7692" s="2" t="s">
        <v>12</v>
      </c>
      <c r="H7692" s="2" t="s">
        <v>12</v>
      </c>
      <c r="I7692" s="2" t="s">
        <v>12</v>
      </c>
      <c r="J7692" s="2" t="s">
        <v>12</v>
      </c>
      <c r="K7692" s="2" t="s">
        <v>12</v>
      </c>
    </row>
    <row r="7693" spans="1:11" ht="12.5" x14ac:dyDescent="0.25">
      <c r="A7693" s="3" t="e">
        <f ca="1"/>
        <v>#NAME?</v>
      </c>
      <c r="B7693" s="2" t="s">
        <v>12</v>
      </c>
      <c r="C7693" s="2" t="s">
        <v>12</v>
      </c>
      <c r="D7693" s="2" t="s">
        <v>12</v>
      </c>
      <c r="E7693" s="2" t="s">
        <v>12</v>
      </c>
      <c r="F7693" s="2" t="s">
        <v>12</v>
      </c>
      <c r="G7693" s="2" t="s">
        <v>12</v>
      </c>
      <c r="H7693" s="2" t="s">
        <v>12</v>
      </c>
      <c r="I7693" s="2" t="s">
        <v>12</v>
      </c>
      <c r="J7693" s="2" t="s">
        <v>12</v>
      </c>
      <c r="K7693" s="2" t="s">
        <v>12</v>
      </c>
    </row>
    <row r="7694" spans="1:11" ht="12.5" x14ac:dyDescent="0.25">
      <c r="A7694" s="3" t="e">
        <f ca="1"/>
        <v>#NAME?</v>
      </c>
      <c r="B7694" s="2" t="s">
        <v>12</v>
      </c>
      <c r="C7694" s="2" t="s">
        <v>12</v>
      </c>
      <c r="D7694" s="2" t="s">
        <v>12</v>
      </c>
      <c r="E7694" s="2" t="s">
        <v>12</v>
      </c>
      <c r="F7694" s="2" t="s">
        <v>12</v>
      </c>
      <c r="G7694" s="2" t="s">
        <v>12</v>
      </c>
      <c r="H7694" s="2" t="s">
        <v>12</v>
      </c>
      <c r="I7694" s="2" t="s">
        <v>12</v>
      </c>
      <c r="J7694" s="2" t="s">
        <v>12</v>
      </c>
      <c r="K7694" s="2" t="s">
        <v>12</v>
      </c>
    </row>
    <row r="7695" spans="1:11" ht="12.5" x14ac:dyDescent="0.25">
      <c r="A7695" s="3" t="e">
        <f ca="1"/>
        <v>#NAME?</v>
      </c>
      <c r="B7695" s="2" t="s">
        <v>12</v>
      </c>
      <c r="C7695" s="2" t="s">
        <v>12</v>
      </c>
      <c r="D7695" s="2" t="s">
        <v>12</v>
      </c>
      <c r="E7695" s="2" t="s">
        <v>12</v>
      </c>
      <c r="F7695" s="2" t="s">
        <v>12</v>
      </c>
      <c r="G7695" s="2" t="s">
        <v>12</v>
      </c>
      <c r="H7695" s="2" t="s">
        <v>12</v>
      </c>
      <c r="I7695" s="2" t="s">
        <v>12</v>
      </c>
      <c r="J7695" s="2" t="s">
        <v>12</v>
      </c>
      <c r="K7695" s="2" t="s">
        <v>12</v>
      </c>
    </row>
    <row r="7696" spans="1:11" ht="12.5" x14ac:dyDescent="0.25">
      <c r="A7696" s="3" t="e">
        <f ca="1"/>
        <v>#NAME?</v>
      </c>
      <c r="B7696" s="2" t="s">
        <v>12</v>
      </c>
      <c r="C7696" s="2" t="s">
        <v>12</v>
      </c>
      <c r="D7696" s="2" t="s">
        <v>12</v>
      </c>
      <c r="E7696" s="2" t="s">
        <v>12</v>
      </c>
      <c r="F7696" s="2" t="s">
        <v>12</v>
      </c>
      <c r="G7696" s="2" t="s">
        <v>12</v>
      </c>
      <c r="H7696" s="2" t="s">
        <v>12</v>
      </c>
      <c r="I7696" s="2" t="s">
        <v>12</v>
      </c>
      <c r="J7696" s="2" t="s">
        <v>12</v>
      </c>
      <c r="K7696" s="2" t="s">
        <v>12</v>
      </c>
    </row>
    <row r="7697" spans="1:11" ht="12.5" x14ac:dyDescent="0.25">
      <c r="A7697" s="3" t="e">
        <f ca="1"/>
        <v>#NAME?</v>
      </c>
      <c r="B7697" s="2" t="s">
        <v>12</v>
      </c>
      <c r="C7697" s="2" t="s">
        <v>12</v>
      </c>
      <c r="D7697" s="2" t="s">
        <v>12</v>
      </c>
      <c r="E7697" s="2" t="s">
        <v>12</v>
      </c>
      <c r="F7697" s="2" t="s">
        <v>12</v>
      </c>
      <c r="G7697" s="2" t="s">
        <v>12</v>
      </c>
      <c r="H7697" s="2" t="s">
        <v>12</v>
      </c>
      <c r="I7697" s="2" t="s">
        <v>12</v>
      </c>
      <c r="J7697" s="2" t="s">
        <v>12</v>
      </c>
      <c r="K7697" s="2" t="s">
        <v>12</v>
      </c>
    </row>
    <row r="7698" spans="1:11" ht="12.5" x14ac:dyDescent="0.25">
      <c r="A7698" s="3" t="e">
        <f ca="1"/>
        <v>#NAME?</v>
      </c>
      <c r="B7698" s="2" t="s">
        <v>12</v>
      </c>
      <c r="C7698" s="2" t="s">
        <v>12</v>
      </c>
      <c r="D7698" s="2" t="s">
        <v>12</v>
      </c>
      <c r="E7698" s="2" t="s">
        <v>12</v>
      </c>
      <c r="F7698" s="2" t="s">
        <v>12</v>
      </c>
      <c r="G7698" s="2" t="s">
        <v>12</v>
      </c>
      <c r="H7698" s="2" t="s">
        <v>12</v>
      </c>
      <c r="I7698" s="2" t="s">
        <v>12</v>
      </c>
      <c r="J7698" s="2" t="s">
        <v>12</v>
      </c>
      <c r="K7698" s="2" t="s">
        <v>12</v>
      </c>
    </row>
    <row r="7699" spans="1:11" ht="12.5" x14ac:dyDescent="0.25">
      <c r="A7699" s="3" t="e">
        <f ca="1"/>
        <v>#NAME?</v>
      </c>
      <c r="B7699" s="2" t="s">
        <v>12</v>
      </c>
      <c r="C7699" s="2" t="s">
        <v>12</v>
      </c>
      <c r="D7699" s="2" t="s">
        <v>12</v>
      </c>
      <c r="E7699" s="2" t="s">
        <v>12</v>
      </c>
      <c r="F7699" s="2" t="s">
        <v>12</v>
      </c>
      <c r="G7699" s="2" t="s">
        <v>12</v>
      </c>
      <c r="H7699" s="2" t="s">
        <v>12</v>
      </c>
      <c r="I7699" s="2" t="s">
        <v>12</v>
      </c>
      <c r="J7699" s="2" t="s">
        <v>12</v>
      </c>
      <c r="K7699" s="2" t="s">
        <v>12</v>
      </c>
    </row>
    <row r="7700" spans="1:11" ht="12.5" x14ac:dyDescent="0.25">
      <c r="A7700" s="3" t="e">
        <f ca="1"/>
        <v>#NAME?</v>
      </c>
      <c r="B7700" s="2" t="s">
        <v>12</v>
      </c>
      <c r="C7700" s="2" t="s">
        <v>12</v>
      </c>
      <c r="D7700" s="2" t="s">
        <v>12</v>
      </c>
      <c r="E7700" s="2" t="s">
        <v>12</v>
      </c>
      <c r="F7700" s="2" t="s">
        <v>12</v>
      </c>
      <c r="G7700" s="2" t="s">
        <v>12</v>
      </c>
      <c r="H7700" s="2" t="s">
        <v>12</v>
      </c>
      <c r="I7700" s="2" t="s">
        <v>12</v>
      </c>
      <c r="J7700" s="2" t="s">
        <v>12</v>
      </c>
      <c r="K7700" s="2" t="s">
        <v>12</v>
      </c>
    </row>
    <row r="7701" spans="1:11" ht="12.5" x14ac:dyDescent="0.25">
      <c r="A7701" s="3" t="e">
        <f ca="1"/>
        <v>#NAME?</v>
      </c>
      <c r="B7701" s="2" t="s">
        <v>12</v>
      </c>
      <c r="C7701" s="2" t="s">
        <v>12</v>
      </c>
      <c r="D7701" s="2" t="s">
        <v>12</v>
      </c>
      <c r="E7701" s="2" t="s">
        <v>12</v>
      </c>
      <c r="F7701" s="2" t="s">
        <v>12</v>
      </c>
      <c r="G7701" s="2" t="s">
        <v>12</v>
      </c>
      <c r="H7701" s="2" t="s">
        <v>12</v>
      </c>
      <c r="I7701" s="2" t="s">
        <v>12</v>
      </c>
      <c r="J7701" s="2" t="s">
        <v>12</v>
      </c>
      <c r="K7701" s="2" t="s">
        <v>12</v>
      </c>
    </row>
    <row r="7702" spans="1:11" ht="12.5" x14ac:dyDescent="0.25">
      <c r="A7702" s="3" t="e">
        <f ca="1"/>
        <v>#NAME?</v>
      </c>
      <c r="B7702" s="2" t="s">
        <v>12</v>
      </c>
      <c r="C7702" s="2" t="s">
        <v>12</v>
      </c>
      <c r="D7702" s="2" t="s">
        <v>12</v>
      </c>
      <c r="E7702" s="2" t="s">
        <v>12</v>
      </c>
      <c r="F7702" s="2" t="s">
        <v>12</v>
      </c>
      <c r="G7702" s="2" t="s">
        <v>12</v>
      </c>
      <c r="H7702" s="2" t="s">
        <v>12</v>
      </c>
      <c r="I7702" s="2" t="s">
        <v>12</v>
      </c>
      <c r="J7702" s="2" t="s">
        <v>12</v>
      </c>
      <c r="K7702" s="2" t="s">
        <v>12</v>
      </c>
    </row>
    <row r="7703" spans="1:11" ht="12.5" x14ac:dyDescent="0.25">
      <c r="A7703" s="3" t="e">
        <f ca="1"/>
        <v>#NAME?</v>
      </c>
      <c r="B7703" s="2" t="s">
        <v>12</v>
      </c>
      <c r="C7703" s="2" t="s">
        <v>12</v>
      </c>
      <c r="D7703" s="2" t="s">
        <v>12</v>
      </c>
      <c r="E7703" s="2" t="s">
        <v>12</v>
      </c>
      <c r="F7703" s="2" t="s">
        <v>12</v>
      </c>
      <c r="G7703" s="2" t="s">
        <v>12</v>
      </c>
      <c r="H7703" s="2" t="s">
        <v>12</v>
      </c>
      <c r="I7703" s="2" t="s">
        <v>12</v>
      </c>
      <c r="J7703" s="2" t="s">
        <v>12</v>
      </c>
      <c r="K7703" s="2" t="s">
        <v>12</v>
      </c>
    </row>
    <row r="7704" spans="1:11" ht="12.5" x14ac:dyDescent="0.25">
      <c r="A7704" s="3" t="e">
        <f ca="1"/>
        <v>#NAME?</v>
      </c>
      <c r="B7704" s="2" t="s">
        <v>12</v>
      </c>
      <c r="C7704" s="2" t="s">
        <v>12</v>
      </c>
      <c r="D7704" s="2" t="s">
        <v>12</v>
      </c>
      <c r="E7704" s="2" t="s">
        <v>12</v>
      </c>
      <c r="F7704" s="2" t="s">
        <v>12</v>
      </c>
      <c r="G7704" s="2" t="s">
        <v>12</v>
      </c>
      <c r="H7704" s="2" t="s">
        <v>12</v>
      </c>
      <c r="I7704" s="2" t="s">
        <v>12</v>
      </c>
      <c r="J7704" s="2" t="s">
        <v>12</v>
      </c>
      <c r="K7704" s="2" t="s">
        <v>12</v>
      </c>
    </row>
    <row r="7705" spans="1:11" ht="12.5" x14ac:dyDescent="0.25">
      <c r="A7705" s="3" t="e">
        <f ca="1"/>
        <v>#NAME?</v>
      </c>
      <c r="B7705" s="2" t="s">
        <v>12</v>
      </c>
      <c r="C7705" s="2" t="s">
        <v>12</v>
      </c>
      <c r="D7705" s="2" t="s">
        <v>12</v>
      </c>
      <c r="E7705" s="2" t="s">
        <v>12</v>
      </c>
      <c r="F7705" s="2" t="s">
        <v>12</v>
      </c>
      <c r="G7705" s="2" t="s">
        <v>12</v>
      </c>
      <c r="H7705" s="2" t="s">
        <v>12</v>
      </c>
      <c r="I7705" s="2" t="s">
        <v>12</v>
      </c>
      <c r="J7705" s="2" t="s">
        <v>12</v>
      </c>
      <c r="K7705" s="2" t="s">
        <v>12</v>
      </c>
    </row>
    <row r="7706" spans="1:11" ht="12.5" x14ac:dyDescent="0.25">
      <c r="A7706" s="3" t="e">
        <f ca="1"/>
        <v>#NAME?</v>
      </c>
      <c r="B7706" s="2" t="s">
        <v>12</v>
      </c>
      <c r="C7706" s="2" t="s">
        <v>12</v>
      </c>
      <c r="D7706" s="2" t="s">
        <v>12</v>
      </c>
      <c r="E7706" s="2" t="s">
        <v>12</v>
      </c>
      <c r="F7706" s="2" t="s">
        <v>12</v>
      </c>
      <c r="G7706" s="2" t="s">
        <v>12</v>
      </c>
      <c r="H7706" s="2" t="s">
        <v>12</v>
      </c>
      <c r="I7706" s="2" t="s">
        <v>12</v>
      </c>
      <c r="J7706" s="2" t="s">
        <v>12</v>
      </c>
      <c r="K7706" s="2" t="s">
        <v>12</v>
      </c>
    </row>
    <row r="7707" spans="1:11" ht="12.5" x14ac:dyDescent="0.25">
      <c r="A7707" s="3" t="e">
        <f ca="1"/>
        <v>#NAME?</v>
      </c>
      <c r="B7707" s="2" t="s">
        <v>12</v>
      </c>
      <c r="C7707" s="2" t="s">
        <v>12</v>
      </c>
      <c r="D7707" s="2" t="s">
        <v>12</v>
      </c>
      <c r="E7707" s="2" t="s">
        <v>12</v>
      </c>
      <c r="F7707" s="2" t="s">
        <v>12</v>
      </c>
      <c r="G7707" s="2" t="s">
        <v>12</v>
      </c>
      <c r="H7707" s="2" t="s">
        <v>12</v>
      </c>
      <c r="I7707" s="2" t="s">
        <v>12</v>
      </c>
      <c r="J7707" s="2" t="s">
        <v>12</v>
      </c>
      <c r="K7707" s="2" t="s">
        <v>12</v>
      </c>
    </row>
    <row r="7708" spans="1:11" ht="12.5" x14ac:dyDescent="0.25">
      <c r="A7708" s="3" t="e">
        <f ca="1"/>
        <v>#NAME?</v>
      </c>
      <c r="B7708" s="2" t="s">
        <v>12</v>
      </c>
      <c r="C7708" s="2" t="s">
        <v>12</v>
      </c>
      <c r="D7708" s="2" t="s">
        <v>12</v>
      </c>
      <c r="E7708" s="2" t="s">
        <v>12</v>
      </c>
      <c r="F7708" s="2" t="s">
        <v>12</v>
      </c>
      <c r="G7708" s="2" t="s">
        <v>12</v>
      </c>
      <c r="H7708" s="2" t="s">
        <v>12</v>
      </c>
      <c r="I7708" s="2" t="s">
        <v>12</v>
      </c>
      <c r="J7708" s="2" t="s">
        <v>12</v>
      </c>
      <c r="K7708" s="2" t="s">
        <v>12</v>
      </c>
    </row>
    <row r="7709" spans="1:11" ht="12.5" x14ac:dyDescent="0.25">
      <c r="A7709" s="3" t="e">
        <f ca="1"/>
        <v>#NAME?</v>
      </c>
      <c r="B7709" s="2" t="s">
        <v>12</v>
      </c>
      <c r="C7709" s="2" t="s">
        <v>12</v>
      </c>
      <c r="D7709" s="2" t="s">
        <v>12</v>
      </c>
      <c r="E7709" s="2" t="s">
        <v>12</v>
      </c>
      <c r="F7709" s="2" t="s">
        <v>12</v>
      </c>
      <c r="G7709" s="2" t="s">
        <v>12</v>
      </c>
      <c r="H7709" s="2" t="s">
        <v>12</v>
      </c>
      <c r="I7709" s="2" t="s">
        <v>12</v>
      </c>
      <c r="J7709" s="2" t="s">
        <v>12</v>
      </c>
      <c r="K7709" s="2" t="s">
        <v>12</v>
      </c>
    </row>
    <row r="7710" spans="1:11" ht="12.5" x14ac:dyDescent="0.25">
      <c r="A7710" s="3" t="e">
        <f ca="1"/>
        <v>#NAME?</v>
      </c>
      <c r="B7710" s="2" t="s">
        <v>12</v>
      </c>
      <c r="C7710" s="2" t="s">
        <v>12</v>
      </c>
      <c r="D7710" s="2" t="s">
        <v>12</v>
      </c>
      <c r="E7710" s="2" t="s">
        <v>12</v>
      </c>
      <c r="F7710" s="2" t="s">
        <v>12</v>
      </c>
      <c r="G7710" s="2" t="s">
        <v>12</v>
      </c>
      <c r="H7710" s="2" t="s">
        <v>12</v>
      </c>
      <c r="I7710" s="2" t="s">
        <v>12</v>
      </c>
      <c r="J7710" s="2" t="s">
        <v>12</v>
      </c>
      <c r="K7710" s="2" t="s">
        <v>12</v>
      </c>
    </row>
    <row r="7711" spans="1:11" ht="12.5" x14ac:dyDescent="0.25">
      <c r="A7711" s="3" t="e">
        <f ca="1"/>
        <v>#NAME?</v>
      </c>
      <c r="B7711" s="2" t="s">
        <v>12</v>
      </c>
      <c r="C7711" s="2" t="s">
        <v>12</v>
      </c>
      <c r="D7711" s="2" t="s">
        <v>12</v>
      </c>
      <c r="E7711" s="2" t="s">
        <v>12</v>
      </c>
      <c r="F7711" s="2" t="s">
        <v>12</v>
      </c>
      <c r="G7711" s="2" t="s">
        <v>12</v>
      </c>
      <c r="H7711" s="2" t="s">
        <v>12</v>
      </c>
      <c r="I7711" s="2" t="s">
        <v>12</v>
      </c>
      <c r="J7711" s="2" t="s">
        <v>12</v>
      </c>
      <c r="K7711" s="2" t="s">
        <v>12</v>
      </c>
    </row>
    <row r="7712" spans="1:11" ht="12.5" x14ac:dyDescent="0.25">
      <c r="A7712" s="3" t="e">
        <f ca="1"/>
        <v>#NAME?</v>
      </c>
      <c r="B7712" s="2" t="s">
        <v>12</v>
      </c>
      <c r="C7712" s="2" t="s">
        <v>12</v>
      </c>
      <c r="D7712" s="2" t="s">
        <v>12</v>
      </c>
      <c r="E7712" s="2" t="s">
        <v>12</v>
      </c>
      <c r="F7712" s="2" t="s">
        <v>12</v>
      </c>
      <c r="G7712" s="2" t="s">
        <v>12</v>
      </c>
      <c r="H7712" s="2" t="s">
        <v>12</v>
      </c>
      <c r="I7712" s="2" t="s">
        <v>12</v>
      </c>
      <c r="J7712" s="2" t="s">
        <v>12</v>
      </c>
      <c r="K7712" s="2" t="s">
        <v>12</v>
      </c>
    </row>
    <row r="7713" spans="1:11" ht="12.5" x14ac:dyDescent="0.25">
      <c r="A7713" s="3" t="e">
        <f ca="1"/>
        <v>#NAME?</v>
      </c>
      <c r="B7713" s="2" t="s">
        <v>12</v>
      </c>
      <c r="C7713" s="2" t="s">
        <v>12</v>
      </c>
      <c r="D7713" s="2" t="s">
        <v>12</v>
      </c>
      <c r="E7713" s="2" t="s">
        <v>12</v>
      </c>
      <c r="F7713" s="2" t="s">
        <v>12</v>
      </c>
      <c r="G7713" s="2" t="s">
        <v>12</v>
      </c>
      <c r="H7713" s="2" t="s">
        <v>12</v>
      </c>
      <c r="I7713" s="2" t="s">
        <v>12</v>
      </c>
      <c r="J7713" s="2" t="s">
        <v>12</v>
      </c>
      <c r="K7713" s="2" t="s">
        <v>12</v>
      </c>
    </row>
    <row r="7714" spans="1:11" ht="12.5" x14ac:dyDescent="0.25">
      <c r="A7714" s="3" t="e">
        <f ca="1"/>
        <v>#NAME?</v>
      </c>
      <c r="B7714" s="2" t="s">
        <v>12</v>
      </c>
      <c r="C7714" s="2" t="s">
        <v>12</v>
      </c>
      <c r="D7714" s="2" t="s">
        <v>12</v>
      </c>
      <c r="E7714" s="2" t="s">
        <v>12</v>
      </c>
      <c r="F7714" s="2" t="s">
        <v>12</v>
      </c>
      <c r="G7714" s="2" t="s">
        <v>12</v>
      </c>
      <c r="H7714" s="2" t="s">
        <v>12</v>
      </c>
      <c r="I7714" s="2" t="s">
        <v>12</v>
      </c>
      <c r="J7714" s="2" t="s">
        <v>12</v>
      </c>
      <c r="K7714" s="2" t="s">
        <v>12</v>
      </c>
    </row>
    <row r="7715" spans="1:11" ht="12.5" x14ac:dyDescent="0.25">
      <c r="A7715" s="3" t="e">
        <f ca="1"/>
        <v>#NAME?</v>
      </c>
      <c r="B7715" s="2" t="s">
        <v>12</v>
      </c>
      <c r="C7715" s="2" t="s">
        <v>12</v>
      </c>
      <c r="D7715" s="2" t="s">
        <v>12</v>
      </c>
      <c r="E7715" s="2" t="s">
        <v>12</v>
      </c>
      <c r="F7715" s="2" t="s">
        <v>12</v>
      </c>
      <c r="G7715" s="2" t="s">
        <v>12</v>
      </c>
      <c r="H7715" s="2" t="s">
        <v>12</v>
      </c>
      <c r="I7715" s="2" t="s">
        <v>12</v>
      </c>
      <c r="J7715" s="2" t="s">
        <v>12</v>
      </c>
      <c r="K7715" s="2" t="s">
        <v>12</v>
      </c>
    </row>
    <row r="7716" spans="1:11" ht="12.5" x14ac:dyDescent="0.25">
      <c r="A7716" s="3" t="e">
        <f ca="1"/>
        <v>#NAME?</v>
      </c>
      <c r="B7716" s="2" t="s">
        <v>12</v>
      </c>
      <c r="C7716" s="2" t="s">
        <v>12</v>
      </c>
      <c r="D7716" s="2" t="s">
        <v>12</v>
      </c>
      <c r="E7716" s="2" t="s">
        <v>12</v>
      </c>
      <c r="F7716" s="2" t="s">
        <v>12</v>
      </c>
      <c r="G7716" s="2" t="s">
        <v>12</v>
      </c>
      <c r="H7716" s="2" t="s">
        <v>12</v>
      </c>
      <c r="I7716" s="2" t="s">
        <v>12</v>
      </c>
      <c r="J7716" s="2" t="s">
        <v>12</v>
      </c>
      <c r="K7716" s="2" t="s">
        <v>12</v>
      </c>
    </row>
    <row r="7717" spans="1:11" ht="12.5" x14ac:dyDescent="0.25">
      <c r="A7717" s="3" t="e">
        <f ca="1"/>
        <v>#NAME?</v>
      </c>
      <c r="B7717" s="2" t="s">
        <v>12</v>
      </c>
      <c r="C7717" s="2" t="s">
        <v>12</v>
      </c>
      <c r="D7717" s="2" t="s">
        <v>12</v>
      </c>
      <c r="E7717" s="2" t="s">
        <v>12</v>
      </c>
      <c r="F7717" s="2" t="s">
        <v>12</v>
      </c>
      <c r="G7717" s="2" t="s">
        <v>12</v>
      </c>
      <c r="H7717" s="2" t="s">
        <v>12</v>
      </c>
      <c r="I7717" s="2" t="s">
        <v>12</v>
      </c>
      <c r="J7717" s="2" t="s">
        <v>12</v>
      </c>
      <c r="K7717" s="2" t="s">
        <v>12</v>
      </c>
    </row>
    <row r="7718" spans="1:11" ht="12.5" x14ac:dyDescent="0.25">
      <c r="A7718" s="3" t="e">
        <f ca="1"/>
        <v>#NAME?</v>
      </c>
      <c r="B7718" s="2" t="s">
        <v>12</v>
      </c>
      <c r="C7718" s="2" t="s">
        <v>12</v>
      </c>
      <c r="D7718" s="2" t="s">
        <v>12</v>
      </c>
      <c r="E7718" s="2" t="s">
        <v>12</v>
      </c>
      <c r="F7718" s="2" t="s">
        <v>12</v>
      </c>
      <c r="G7718" s="2" t="s">
        <v>12</v>
      </c>
      <c r="H7718" s="2" t="s">
        <v>12</v>
      </c>
      <c r="I7718" s="2" t="s">
        <v>12</v>
      </c>
      <c r="J7718" s="2" t="s">
        <v>12</v>
      </c>
      <c r="K7718" s="2" t="s">
        <v>12</v>
      </c>
    </row>
    <row r="7719" spans="1:11" ht="12.5" x14ac:dyDescent="0.25">
      <c r="A7719" s="3" t="e">
        <f ca="1"/>
        <v>#NAME?</v>
      </c>
      <c r="B7719" s="2" t="s">
        <v>12</v>
      </c>
      <c r="C7719" s="2" t="s">
        <v>12</v>
      </c>
      <c r="D7719" s="2" t="s">
        <v>12</v>
      </c>
      <c r="E7719" s="2" t="s">
        <v>12</v>
      </c>
      <c r="F7719" s="2" t="s">
        <v>12</v>
      </c>
      <c r="G7719" s="2" t="s">
        <v>12</v>
      </c>
      <c r="H7719" s="2" t="s">
        <v>12</v>
      </c>
      <c r="I7719" s="2" t="s">
        <v>12</v>
      </c>
      <c r="J7719" s="2" t="s">
        <v>12</v>
      </c>
      <c r="K7719" s="2" t="s">
        <v>12</v>
      </c>
    </row>
    <row r="7720" spans="1:11" ht="12.5" x14ac:dyDescent="0.25">
      <c r="A7720" s="3" t="e">
        <f ca="1"/>
        <v>#NAME?</v>
      </c>
      <c r="B7720" s="2" t="s">
        <v>12</v>
      </c>
      <c r="C7720" s="2" t="s">
        <v>12</v>
      </c>
      <c r="D7720" s="2" t="s">
        <v>12</v>
      </c>
      <c r="E7720" s="2" t="s">
        <v>12</v>
      </c>
      <c r="F7720" s="2" t="s">
        <v>12</v>
      </c>
      <c r="G7720" s="2" t="s">
        <v>12</v>
      </c>
      <c r="H7720" s="2" t="s">
        <v>12</v>
      </c>
      <c r="I7720" s="2" t="s">
        <v>12</v>
      </c>
      <c r="J7720" s="2" t="s">
        <v>12</v>
      </c>
      <c r="K7720" s="2" t="s">
        <v>12</v>
      </c>
    </row>
    <row r="7721" spans="1:11" ht="12.5" x14ac:dyDescent="0.25">
      <c r="A7721" s="3" t="e">
        <f ca="1"/>
        <v>#NAME?</v>
      </c>
      <c r="B7721" s="2" t="s">
        <v>12</v>
      </c>
      <c r="C7721" s="2" t="s">
        <v>12</v>
      </c>
      <c r="D7721" s="2" t="s">
        <v>12</v>
      </c>
      <c r="E7721" s="2" t="s">
        <v>12</v>
      </c>
      <c r="F7721" s="2" t="s">
        <v>12</v>
      </c>
      <c r="G7721" s="2" t="s">
        <v>12</v>
      </c>
      <c r="H7721" s="2" t="s">
        <v>12</v>
      </c>
      <c r="I7721" s="2" t="s">
        <v>12</v>
      </c>
      <c r="J7721" s="2" t="s">
        <v>12</v>
      </c>
      <c r="K7721" s="2" t="s">
        <v>12</v>
      </c>
    </row>
    <row r="7722" spans="1:11" ht="12.5" x14ac:dyDescent="0.25">
      <c r="A7722" s="3" t="e">
        <f ca="1"/>
        <v>#NAME?</v>
      </c>
      <c r="B7722" s="2" t="s">
        <v>12</v>
      </c>
      <c r="C7722" s="2" t="s">
        <v>12</v>
      </c>
      <c r="D7722" s="2" t="s">
        <v>12</v>
      </c>
      <c r="E7722" s="2" t="s">
        <v>12</v>
      </c>
      <c r="F7722" s="2" t="s">
        <v>12</v>
      </c>
      <c r="G7722" s="2" t="s">
        <v>12</v>
      </c>
      <c r="H7722" s="2" t="s">
        <v>12</v>
      </c>
      <c r="I7722" s="2" t="s">
        <v>12</v>
      </c>
      <c r="J7722" s="2" t="s">
        <v>12</v>
      </c>
      <c r="K7722" s="2" t="s">
        <v>12</v>
      </c>
    </row>
    <row r="7723" spans="1:11" ht="12.5" x14ac:dyDescent="0.25">
      <c r="A7723" s="3" t="e">
        <f ca="1"/>
        <v>#NAME?</v>
      </c>
      <c r="B7723" s="2" t="s">
        <v>12</v>
      </c>
      <c r="C7723" s="2" t="s">
        <v>12</v>
      </c>
      <c r="D7723" s="2" t="s">
        <v>12</v>
      </c>
      <c r="E7723" s="2" t="s">
        <v>12</v>
      </c>
      <c r="F7723" s="2" t="s">
        <v>12</v>
      </c>
      <c r="G7723" s="2" t="s">
        <v>12</v>
      </c>
      <c r="H7723" s="2" t="s">
        <v>12</v>
      </c>
      <c r="I7723" s="2" t="s">
        <v>12</v>
      </c>
      <c r="J7723" s="2" t="s">
        <v>12</v>
      </c>
      <c r="K7723" s="2" t="s">
        <v>12</v>
      </c>
    </row>
    <row r="7724" spans="1:11" ht="12.5" x14ac:dyDescent="0.25">
      <c r="A7724" s="3" t="e">
        <f ca="1"/>
        <v>#NAME?</v>
      </c>
      <c r="B7724" s="2" t="s">
        <v>12</v>
      </c>
      <c r="C7724" s="2" t="s">
        <v>12</v>
      </c>
      <c r="D7724" s="2" t="s">
        <v>12</v>
      </c>
      <c r="E7724" s="2" t="s">
        <v>12</v>
      </c>
      <c r="F7724" s="2" t="s">
        <v>12</v>
      </c>
      <c r="G7724" s="2" t="s">
        <v>12</v>
      </c>
      <c r="H7724" s="2" t="s">
        <v>12</v>
      </c>
      <c r="I7724" s="2" t="s">
        <v>12</v>
      </c>
      <c r="J7724" s="2" t="s">
        <v>12</v>
      </c>
      <c r="K7724" s="2" t="s">
        <v>12</v>
      </c>
    </row>
    <row r="7725" spans="1:11" ht="12.5" x14ac:dyDescent="0.25">
      <c r="A7725" s="3" t="e">
        <f ca="1"/>
        <v>#NAME?</v>
      </c>
      <c r="B7725" s="2" t="s">
        <v>12</v>
      </c>
      <c r="C7725" s="2" t="s">
        <v>12</v>
      </c>
      <c r="D7725" s="2" t="s">
        <v>12</v>
      </c>
      <c r="E7725" s="2" t="s">
        <v>12</v>
      </c>
      <c r="F7725" s="2" t="s">
        <v>12</v>
      </c>
      <c r="G7725" s="2" t="s">
        <v>12</v>
      </c>
      <c r="H7725" s="2" t="s">
        <v>12</v>
      </c>
      <c r="I7725" s="2" t="s">
        <v>12</v>
      </c>
      <c r="J7725" s="2" t="s">
        <v>12</v>
      </c>
      <c r="K7725" s="2" t="s">
        <v>12</v>
      </c>
    </row>
    <row r="7726" spans="1:11" ht="12.5" x14ac:dyDescent="0.25">
      <c r="A7726" s="3" t="e">
        <f ca="1"/>
        <v>#NAME?</v>
      </c>
      <c r="B7726" s="2" t="s">
        <v>12</v>
      </c>
      <c r="C7726" s="2" t="s">
        <v>12</v>
      </c>
      <c r="D7726" s="2" t="s">
        <v>12</v>
      </c>
      <c r="E7726" s="2" t="s">
        <v>12</v>
      </c>
      <c r="F7726" s="2" t="s">
        <v>12</v>
      </c>
      <c r="G7726" s="2" t="s">
        <v>12</v>
      </c>
      <c r="H7726" s="2" t="s">
        <v>12</v>
      </c>
      <c r="I7726" s="2" t="s">
        <v>12</v>
      </c>
      <c r="J7726" s="2" t="s">
        <v>12</v>
      </c>
      <c r="K7726" s="2" t="s">
        <v>12</v>
      </c>
    </row>
    <row r="7727" spans="1:11" ht="12.5" x14ac:dyDescent="0.25">
      <c r="A7727" s="3" t="e">
        <f ca="1"/>
        <v>#NAME?</v>
      </c>
      <c r="B7727" s="2" t="s">
        <v>12</v>
      </c>
      <c r="C7727" s="2" t="s">
        <v>12</v>
      </c>
      <c r="D7727" s="2" t="s">
        <v>12</v>
      </c>
      <c r="E7727" s="2" t="s">
        <v>12</v>
      </c>
      <c r="F7727" s="2" t="s">
        <v>12</v>
      </c>
      <c r="G7727" s="2" t="s">
        <v>12</v>
      </c>
      <c r="H7727" s="2" t="s">
        <v>12</v>
      </c>
      <c r="I7727" s="2" t="s">
        <v>12</v>
      </c>
      <c r="J7727" s="2" t="s">
        <v>12</v>
      </c>
      <c r="K7727" s="2" t="s">
        <v>12</v>
      </c>
    </row>
    <row r="7728" spans="1:11" ht="12.5" x14ac:dyDescent="0.25">
      <c r="A7728" s="3" t="e">
        <f ca="1"/>
        <v>#NAME?</v>
      </c>
      <c r="B7728" s="2" t="s">
        <v>12</v>
      </c>
      <c r="C7728" s="2" t="s">
        <v>12</v>
      </c>
      <c r="D7728" s="2" t="s">
        <v>12</v>
      </c>
      <c r="E7728" s="2" t="s">
        <v>12</v>
      </c>
      <c r="F7728" s="2" t="s">
        <v>12</v>
      </c>
      <c r="G7728" s="2" t="s">
        <v>12</v>
      </c>
      <c r="H7728" s="2" t="s">
        <v>12</v>
      </c>
      <c r="I7728" s="2" t="s">
        <v>12</v>
      </c>
      <c r="J7728" s="2" t="s">
        <v>12</v>
      </c>
      <c r="K7728" s="2" t="s">
        <v>12</v>
      </c>
    </row>
    <row r="7729" spans="1:11" ht="12.5" x14ac:dyDescent="0.25">
      <c r="A7729" s="3" t="e">
        <f ca="1"/>
        <v>#NAME?</v>
      </c>
      <c r="B7729" s="2" t="s">
        <v>12</v>
      </c>
      <c r="C7729" s="2" t="s">
        <v>12</v>
      </c>
      <c r="D7729" s="2" t="s">
        <v>12</v>
      </c>
      <c r="E7729" s="2" t="s">
        <v>12</v>
      </c>
      <c r="F7729" s="2" t="s">
        <v>12</v>
      </c>
      <c r="G7729" s="2" t="s">
        <v>12</v>
      </c>
      <c r="H7729" s="2" t="s">
        <v>12</v>
      </c>
      <c r="I7729" s="2" t="s">
        <v>12</v>
      </c>
      <c r="J7729" s="2" t="s">
        <v>12</v>
      </c>
      <c r="K7729" s="2" t="s">
        <v>12</v>
      </c>
    </row>
    <row r="7730" spans="1:11" ht="12.5" x14ac:dyDescent="0.25">
      <c r="A7730" s="3" t="e">
        <f ca="1"/>
        <v>#NAME?</v>
      </c>
      <c r="B7730" s="2" t="s">
        <v>12</v>
      </c>
      <c r="C7730" s="2" t="s">
        <v>12</v>
      </c>
      <c r="D7730" s="2" t="s">
        <v>12</v>
      </c>
      <c r="E7730" s="2" t="s">
        <v>12</v>
      </c>
      <c r="F7730" s="2" t="s">
        <v>12</v>
      </c>
      <c r="G7730" s="2" t="s">
        <v>12</v>
      </c>
      <c r="H7730" s="2" t="s">
        <v>12</v>
      </c>
      <c r="I7730" s="2" t="s">
        <v>12</v>
      </c>
      <c r="J7730" s="2" t="s">
        <v>12</v>
      </c>
      <c r="K7730" s="2" t="s">
        <v>12</v>
      </c>
    </row>
    <row r="7731" spans="1:11" ht="12.5" x14ac:dyDescent="0.25">
      <c r="A7731" s="3" t="e">
        <f ca="1"/>
        <v>#NAME?</v>
      </c>
      <c r="B7731" s="2" t="s">
        <v>12</v>
      </c>
      <c r="C7731" s="2" t="s">
        <v>12</v>
      </c>
      <c r="D7731" s="2" t="s">
        <v>12</v>
      </c>
      <c r="E7731" s="2" t="s">
        <v>12</v>
      </c>
      <c r="F7731" s="2" t="s">
        <v>12</v>
      </c>
      <c r="G7731" s="2" t="s">
        <v>12</v>
      </c>
      <c r="H7731" s="2" t="s">
        <v>12</v>
      </c>
      <c r="I7731" s="2" t="s">
        <v>12</v>
      </c>
      <c r="J7731" s="2" t="s">
        <v>12</v>
      </c>
      <c r="K7731" s="2" t="s">
        <v>12</v>
      </c>
    </row>
    <row r="7732" spans="1:11" ht="12.5" x14ac:dyDescent="0.25">
      <c r="A7732" s="3" t="e">
        <f ca="1"/>
        <v>#NAME?</v>
      </c>
      <c r="B7732" s="2" t="s">
        <v>12</v>
      </c>
      <c r="C7732" s="2" t="s">
        <v>12</v>
      </c>
      <c r="D7732" s="2" t="s">
        <v>12</v>
      </c>
      <c r="E7732" s="2" t="s">
        <v>12</v>
      </c>
      <c r="F7732" s="2" t="s">
        <v>12</v>
      </c>
      <c r="G7732" s="2" t="s">
        <v>12</v>
      </c>
      <c r="H7732" s="2" t="s">
        <v>12</v>
      </c>
      <c r="I7732" s="2" t="s">
        <v>12</v>
      </c>
      <c r="J7732" s="2" t="s">
        <v>12</v>
      </c>
      <c r="K7732" s="2" t="s">
        <v>12</v>
      </c>
    </row>
    <row r="7733" spans="1:11" ht="12.5" x14ac:dyDescent="0.25">
      <c r="A7733" s="3" t="e">
        <f ca="1"/>
        <v>#NAME?</v>
      </c>
      <c r="B7733" s="2" t="s">
        <v>12</v>
      </c>
      <c r="C7733" s="2" t="s">
        <v>12</v>
      </c>
      <c r="D7733" s="2" t="s">
        <v>12</v>
      </c>
      <c r="E7733" s="2" t="s">
        <v>12</v>
      </c>
      <c r="F7733" s="2" t="s">
        <v>12</v>
      </c>
      <c r="G7733" s="2" t="s">
        <v>12</v>
      </c>
      <c r="H7733" s="2" t="s">
        <v>12</v>
      </c>
      <c r="I7733" s="2" t="s">
        <v>12</v>
      </c>
      <c r="J7733" s="2" t="s">
        <v>12</v>
      </c>
      <c r="K7733" s="2" t="s">
        <v>12</v>
      </c>
    </row>
    <row r="7734" spans="1:11" ht="12.5" x14ac:dyDescent="0.25">
      <c r="A7734" s="3" t="e">
        <f ca="1"/>
        <v>#NAME?</v>
      </c>
      <c r="B7734" s="2" t="s">
        <v>12</v>
      </c>
      <c r="C7734" s="2" t="s">
        <v>12</v>
      </c>
      <c r="D7734" s="2" t="s">
        <v>12</v>
      </c>
      <c r="E7734" s="2" t="s">
        <v>12</v>
      </c>
      <c r="F7734" s="2" t="s">
        <v>12</v>
      </c>
      <c r="G7734" s="2" t="s">
        <v>12</v>
      </c>
      <c r="H7734" s="2" t="s">
        <v>12</v>
      </c>
      <c r="I7734" s="2" t="s">
        <v>12</v>
      </c>
      <c r="J7734" s="2" t="s">
        <v>12</v>
      </c>
      <c r="K7734" s="2" t="s">
        <v>12</v>
      </c>
    </row>
    <row r="7735" spans="1:11" ht="12.5" x14ac:dyDescent="0.25">
      <c r="A7735" s="3" t="e">
        <f ca="1"/>
        <v>#NAME?</v>
      </c>
      <c r="B7735" s="2" t="s">
        <v>12</v>
      </c>
      <c r="C7735" s="2" t="s">
        <v>12</v>
      </c>
      <c r="D7735" s="2" t="s">
        <v>12</v>
      </c>
      <c r="E7735" s="2" t="s">
        <v>12</v>
      </c>
      <c r="F7735" s="2" t="s">
        <v>12</v>
      </c>
      <c r="G7735" s="2" t="s">
        <v>12</v>
      </c>
      <c r="H7735" s="2" t="s">
        <v>12</v>
      </c>
      <c r="I7735" s="2" t="s">
        <v>12</v>
      </c>
      <c r="J7735" s="2" t="s">
        <v>12</v>
      </c>
      <c r="K7735" s="2" t="s">
        <v>12</v>
      </c>
    </row>
    <row r="7736" spans="1:11" ht="12.5" x14ac:dyDescent="0.25">
      <c r="A7736" s="3" t="e">
        <f ca="1"/>
        <v>#NAME?</v>
      </c>
      <c r="B7736" s="2" t="s">
        <v>12</v>
      </c>
      <c r="C7736" s="2" t="s">
        <v>12</v>
      </c>
      <c r="D7736" s="2" t="s">
        <v>12</v>
      </c>
      <c r="E7736" s="2" t="s">
        <v>12</v>
      </c>
      <c r="F7736" s="2" t="s">
        <v>12</v>
      </c>
      <c r="G7736" s="2" t="s">
        <v>12</v>
      </c>
      <c r="H7736" s="2" t="s">
        <v>12</v>
      </c>
      <c r="I7736" s="2" t="s">
        <v>12</v>
      </c>
      <c r="J7736" s="2" t="s">
        <v>12</v>
      </c>
      <c r="K7736" s="2" t="s">
        <v>12</v>
      </c>
    </row>
    <row r="7737" spans="1:11" ht="12.5" x14ac:dyDescent="0.25">
      <c r="A7737" s="3" t="e">
        <f ca="1"/>
        <v>#NAME?</v>
      </c>
      <c r="B7737" s="2" t="s">
        <v>12</v>
      </c>
      <c r="C7737" s="2" t="s">
        <v>12</v>
      </c>
      <c r="D7737" s="2" t="s">
        <v>12</v>
      </c>
      <c r="E7737" s="2" t="s">
        <v>12</v>
      </c>
      <c r="F7737" s="2" t="s">
        <v>12</v>
      </c>
      <c r="G7737" s="2" t="s">
        <v>12</v>
      </c>
      <c r="H7737" s="2" t="s">
        <v>12</v>
      </c>
      <c r="I7737" s="2" t="s">
        <v>12</v>
      </c>
      <c r="J7737" s="2" t="s">
        <v>12</v>
      </c>
      <c r="K7737" s="2" t="s">
        <v>12</v>
      </c>
    </row>
    <row r="7738" spans="1:11" ht="12.5" x14ac:dyDescent="0.25">
      <c r="A7738" s="3" t="e">
        <f ca="1"/>
        <v>#NAME?</v>
      </c>
      <c r="B7738" s="2" t="s">
        <v>12</v>
      </c>
      <c r="C7738" s="2" t="s">
        <v>12</v>
      </c>
      <c r="D7738" s="2" t="s">
        <v>12</v>
      </c>
      <c r="E7738" s="2" t="s">
        <v>12</v>
      </c>
      <c r="F7738" s="2" t="s">
        <v>12</v>
      </c>
      <c r="G7738" s="2" t="s">
        <v>12</v>
      </c>
      <c r="H7738" s="2" t="s">
        <v>12</v>
      </c>
      <c r="I7738" s="2" t="s">
        <v>12</v>
      </c>
      <c r="J7738" s="2" t="s">
        <v>12</v>
      </c>
      <c r="K7738" s="2" t="s">
        <v>12</v>
      </c>
    </row>
    <row r="7739" spans="1:11" ht="12.5" x14ac:dyDescent="0.25">
      <c r="A7739" s="3" t="e">
        <f ca="1"/>
        <v>#NAME?</v>
      </c>
      <c r="B7739" s="2" t="s">
        <v>12</v>
      </c>
      <c r="C7739" s="2" t="s">
        <v>12</v>
      </c>
      <c r="D7739" s="2" t="s">
        <v>12</v>
      </c>
      <c r="E7739" s="2" t="s">
        <v>12</v>
      </c>
      <c r="F7739" s="2" t="s">
        <v>12</v>
      </c>
      <c r="G7739" s="2" t="s">
        <v>12</v>
      </c>
      <c r="H7739" s="2" t="s">
        <v>12</v>
      </c>
      <c r="I7739" s="2" t="s">
        <v>12</v>
      </c>
      <c r="J7739" s="2" t="s">
        <v>12</v>
      </c>
      <c r="K7739" s="2" t="s">
        <v>12</v>
      </c>
    </row>
    <row r="7740" spans="1:11" ht="12.5" x14ac:dyDescent="0.25">
      <c r="A7740" s="3" t="e">
        <f ca="1"/>
        <v>#NAME?</v>
      </c>
      <c r="B7740" s="2" t="s">
        <v>12</v>
      </c>
      <c r="C7740" s="2" t="s">
        <v>12</v>
      </c>
      <c r="D7740" s="2" t="s">
        <v>12</v>
      </c>
      <c r="E7740" s="2" t="s">
        <v>12</v>
      </c>
      <c r="F7740" s="2" t="s">
        <v>12</v>
      </c>
      <c r="G7740" s="2" t="s">
        <v>12</v>
      </c>
      <c r="H7740" s="2" t="s">
        <v>12</v>
      </c>
      <c r="I7740" s="2" t="s">
        <v>12</v>
      </c>
      <c r="J7740" s="2" t="s">
        <v>12</v>
      </c>
      <c r="K7740" s="2" t="s">
        <v>12</v>
      </c>
    </row>
    <row r="7741" spans="1:11" ht="12.5" x14ac:dyDescent="0.25">
      <c r="A7741" s="3" t="e">
        <f ca="1"/>
        <v>#NAME?</v>
      </c>
      <c r="B7741" s="2" t="s">
        <v>12</v>
      </c>
      <c r="C7741" s="2" t="s">
        <v>12</v>
      </c>
      <c r="D7741" s="2" t="s">
        <v>12</v>
      </c>
      <c r="E7741" s="2" t="s">
        <v>12</v>
      </c>
      <c r="F7741" s="2" t="s">
        <v>12</v>
      </c>
      <c r="G7741" s="2" t="s">
        <v>12</v>
      </c>
      <c r="H7741" s="2" t="s">
        <v>12</v>
      </c>
      <c r="I7741" s="2" t="s">
        <v>12</v>
      </c>
      <c r="J7741" s="2" t="s">
        <v>12</v>
      </c>
      <c r="K7741" s="2" t="s">
        <v>12</v>
      </c>
    </row>
    <row r="7742" spans="1:11" ht="12.5" x14ac:dyDescent="0.25">
      <c r="A7742" s="3" t="e">
        <f ca="1"/>
        <v>#NAME?</v>
      </c>
      <c r="B7742" s="2" t="s">
        <v>12</v>
      </c>
      <c r="C7742" s="2" t="s">
        <v>12</v>
      </c>
      <c r="D7742" s="2" t="s">
        <v>12</v>
      </c>
      <c r="E7742" s="2" t="s">
        <v>12</v>
      </c>
      <c r="F7742" s="2" t="s">
        <v>12</v>
      </c>
      <c r="G7742" s="2" t="s">
        <v>12</v>
      </c>
      <c r="H7742" s="2" t="s">
        <v>12</v>
      </c>
      <c r="I7742" s="2" t="s">
        <v>12</v>
      </c>
      <c r="J7742" s="2" t="s">
        <v>12</v>
      </c>
      <c r="K7742" s="2" t="s">
        <v>12</v>
      </c>
    </row>
    <row r="7743" spans="1:11" ht="12.5" x14ac:dyDescent="0.25">
      <c r="A7743" s="3" t="e">
        <f ca="1"/>
        <v>#NAME?</v>
      </c>
      <c r="B7743" s="2" t="s">
        <v>12</v>
      </c>
      <c r="C7743" s="2" t="s">
        <v>12</v>
      </c>
      <c r="D7743" s="2" t="s">
        <v>12</v>
      </c>
      <c r="E7743" s="2" t="s">
        <v>12</v>
      </c>
      <c r="F7743" s="2" t="s">
        <v>12</v>
      </c>
      <c r="G7743" s="2" t="s">
        <v>12</v>
      </c>
      <c r="H7743" s="2" t="s">
        <v>12</v>
      </c>
      <c r="I7743" s="2" t="s">
        <v>12</v>
      </c>
      <c r="J7743" s="2" t="s">
        <v>12</v>
      </c>
      <c r="K7743" s="2" t="s">
        <v>12</v>
      </c>
    </row>
    <row r="7744" spans="1:11" ht="12.5" x14ac:dyDescent="0.25">
      <c r="A7744" s="3" t="e">
        <f ca="1"/>
        <v>#NAME?</v>
      </c>
      <c r="B7744" s="2" t="s">
        <v>12</v>
      </c>
      <c r="C7744" s="2" t="s">
        <v>12</v>
      </c>
      <c r="D7744" s="2" t="s">
        <v>12</v>
      </c>
      <c r="E7744" s="2" t="s">
        <v>12</v>
      </c>
      <c r="F7744" s="2" t="s">
        <v>12</v>
      </c>
      <c r="G7744" s="2" t="s">
        <v>12</v>
      </c>
      <c r="H7744" s="2" t="s">
        <v>12</v>
      </c>
      <c r="I7744" s="2" t="s">
        <v>12</v>
      </c>
      <c r="J7744" s="2" t="s">
        <v>12</v>
      </c>
      <c r="K7744" s="2" t="s">
        <v>12</v>
      </c>
    </row>
    <row r="7745" spans="1:11" ht="12.5" x14ac:dyDescent="0.25">
      <c r="A7745" s="3" t="e">
        <f ca="1"/>
        <v>#NAME?</v>
      </c>
      <c r="B7745" s="2" t="s">
        <v>12</v>
      </c>
      <c r="C7745" s="2" t="s">
        <v>12</v>
      </c>
      <c r="D7745" s="2" t="s">
        <v>12</v>
      </c>
      <c r="E7745" s="2" t="s">
        <v>12</v>
      </c>
      <c r="F7745" s="2" t="s">
        <v>12</v>
      </c>
      <c r="G7745" s="2" t="s">
        <v>12</v>
      </c>
      <c r="H7745" s="2" t="s">
        <v>12</v>
      </c>
      <c r="I7745" s="2" t="s">
        <v>12</v>
      </c>
      <c r="J7745" s="2" t="s">
        <v>12</v>
      </c>
      <c r="K7745" s="2" t="s">
        <v>12</v>
      </c>
    </row>
    <row r="7746" spans="1:11" ht="12.5" x14ac:dyDescent="0.25">
      <c r="A7746" s="3" t="e">
        <f ca="1"/>
        <v>#NAME?</v>
      </c>
      <c r="B7746" s="2" t="s">
        <v>12</v>
      </c>
      <c r="C7746" s="2" t="s">
        <v>12</v>
      </c>
      <c r="D7746" s="2" t="s">
        <v>12</v>
      </c>
      <c r="E7746" s="2" t="s">
        <v>12</v>
      </c>
      <c r="F7746" s="2" t="s">
        <v>12</v>
      </c>
      <c r="G7746" s="2" t="s">
        <v>12</v>
      </c>
      <c r="H7746" s="2" t="s">
        <v>12</v>
      </c>
      <c r="I7746" s="2" t="s">
        <v>12</v>
      </c>
      <c r="J7746" s="2" t="s">
        <v>12</v>
      </c>
      <c r="K7746" s="2" t="s">
        <v>12</v>
      </c>
    </row>
    <row r="7747" spans="1:11" ht="12.5" x14ac:dyDescent="0.25">
      <c r="A7747" s="3" t="e">
        <f ca="1"/>
        <v>#NAME?</v>
      </c>
      <c r="B7747" s="2" t="s">
        <v>12</v>
      </c>
      <c r="C7747" s="2" t="s">
        <v>12</v>
      </c>
      <c r="D7747" s="2" t="s">
        <v>12</v>
      </c>
      <c r="E7747" s="2" t="s">
        <v>12</v>
      </c>
      <c r="F7747" s="2" t="s">
        <v>12</v>
      </c>
      <c r="G7747" s="2" t="s">
        <v>12</v>
      </c>
      <c r="H7747" s="2" t="s">
        <v>12</v>
      </c>
      <c r="I7747" s="2" t="s">
        <v>12</v>
      </c>
      <c r="J7747" s="2" t="s">
        <v>12</v>
      </c>
      <c r="K7747" s="2" t="s">
        <v>12</v>
      </c>
    </row>
    <row r="7748" spans="1:11" ht="12.5" x14ac:dyDescent="0.25">
      <c r="A7748" s="3" t="e">
        <f ca="1"/>
        <v>#NAME?</v>
      </c>
      <c r="B7748" s="2" t="s">
        <v>12</v>
      </c>
      <c r="C7748" s="2" t="s">
        <v>12</v>
      </c>
      <c r="D7748" s="2" t="s">
        <v>12</v>
      </c>
      <c r="E7748" s="2" t="s">
        <v>12</v>
      </c>
      <c r="F7748" s="2" t="s">
        <v>12</v>
      </c>
      <c r="G7748" s="2" t="s">
        <v>12</v>
      </c>
      <c r="H7748" s="2" t="s">
        <v>12</v>
      </c>
      <c r="I7748" s="2" t="s">
        <v>12</v>
      </c>
      <c r="J7748" s="2" t="s">
        <v>12</v>
      </c>
      <c r="K7748" s="2" t="s">
        <v>12</v>
      </c>
    </row>
    <row r="7749" spans="1:11" ht="12.5" x14ac:dyDescent="0.25">
      <c r="A7749" s="3" t="e">
        <f ca="1"/>
        <v>#NAME?</v>
      </c>
      <c r="B7749" s="2" t="s">
        <v>12</v>
      </c>
      <c r="C7749" s="2" t="s">
        <v>12</v>
      </c>
      <c r="D7749" s="2" t="s">
        <v>12</v>
      </c>
      <c r="E7749" s="2" t="s">
        <v>12</v>
      </c>
      <c r="F7749" s="2" t="s">
        <v>12</v>
      </c>
      <c r="G7749" s="2" t="s">
        <v>12</v>
      </c>
      <c r="H7749" s="2" t="s">
        <v>12</v>
      </c>
      <c r="I7749" s="2" t="s">
        <v>12</v>
      </c>
      <c r="J7749" s="2" t="s">
        <v>12</v>
      </c>
      <c r="K7749" s="2" t="s">
        <v>12</v>
      </c>
    </row>
    <row r="7750" spans="1:11" ht="12.5" x14ac:dyDescent="0.25">
      <c r="A7750" s="3" t="e">
        <f ca="1"/>
        <v>#NAME?</v>
      </c>
      <c r="B7750" s="2" t="s">
        <v>12</v>
      </c>
      <c r="C7750" s="2" t="s">
        <v>12</v>
      </c>
      <c r="D7750" s="2" t="s">
        <v>12</v>
      </c>
      <c r="E7750" s="2" t="s">
        <v>12</v>
      </c>
      <c r="F7750" s="2" t="s">
        <v>12</v>
      </c>
      <c r="G7750" s="2" t="s">
        <v>12</v>
      </c>
      <c r="H7750" s="2" t="s">
        <v>12</v>
      </c>
      <c r="I7750" s="2" t="s">
        <v>12</v>
      </c>
      <c r="J7750" s="2" t="s">
        <v>12</v>
      </c>
      <c r="K7750" s="2" t="s">
        <v>12</v>
      </c>
    </row>
    <row r="7751" spans="1:11" ht="12.5" x14ac:dyDescent="0.25">
      <c r="A7751" s="3" t="e">
        <f ca="1"/>
        <v>#NAME?</v>
      </c>
      <c r="B7751" s="2" t="s">
        <v>12</v>
      </c>
      <c r="C7751" s="2" t="s">
        <v>12</v>
      </c>
      <c r="D7751" s="2" t="s">
        <v>12</v>
      </c>
      <c r="E7751" s="2" t="s">
        <v>12</v>
      </c>
      <c r="F7751" s="2" t="s">
        <v>12</v>
      </c>
      <c r="G7751" s="2" t="s">
        <v>12</v>
      </c>
      <c r="H7751" s="2" t="s">
        <v>12</v>
      </c>
      <c r="I7751" s="2" t="s">
        <v>12</v>
      </c>
      <c r="J7751" s="2" t="s">
        <v>12</v>
      </c>
      <c r="K7751" s="2" t="s">
        <v>12</v>
      </c>
    </row>
    <row r="7752" spans="1:11" ht="12.5" x14ac:dyDescent="0.25">
      <c r="A7752" s="3" t="e">
        <f ca="1"/>
        <v>#NAME?</v>
      </c>
      <c r="B7752" s="2" t="s">
        <v>12</v>
      </c>
      <c r="C7752" s="2" t="s">
        <v>12</v>
      </c>
      <c r="D7752" s="2" t="s">
        <v>12</v>
      </c>
      <c r="E7752" s="2" t="s">
        <v>12</v>
      </c>
      <c r="F7752" s="2" t="s">
        <v>12</v>
      </c>
      <c r="G7752" s="2" t="s">
        <v>12</v>
      </c>
      <c r="H7752" s="2" t="s">
        <v>12</v>
      </c>
      <c r="I7752" s="2" t="s">
        <v>12</v>
      </c>
      <c r="J7752" s="2" t="s">
        <v>12</v>
      </c>
      <c r="K7752" s="2" t="s">
        <v>12</v>
      </c>
    </row>
    <row r="7753" spans="1:11" ht="12.5" x14ac:dyDescent="0.25">
      <c r="A7753" s="3" t="e">
        <f ca="1"/>
        <v>#NAME?</v>
      </c>
      <c r="B7753" s="2" t="s">
        <v>12</v>
      </c>
      <c r="C7753" s="2" t="s">
        <v>12</v>
      </c>
      <c r="D7753" s="2" t="s">
        <v>12</v>
      </c>
      <c r="E7753" s="2" t="s">
        <v>12</v>
      </c>
      <c r="F7753" s="2" t="s">
        <v>12</v>
      </c>
      <c r="G7753" s="2" t="s">
        <v>12</v>
      </c>
      <c r="H7753" s="2" t="s">
        <v>12</v>
      </c>
      <c r="I7753" s="2" t="s">
        <v>12</v>
      </c>
      <c r="J7753" s="2" t="s">
        <v>12</v>
      </c>
      <c r="K7753" s="2" t="s">
        <v>12</v>
      </c>
    </row>
    <row r="7754" spans="1:11" ht="12.5" x14ac:dyDescent="0.25">
      <c r="A7754" s="3" t="e">
        <f ca="1"/>
        <v>#NAME?</v>
      </c>
      <c r="B7754" s="2" t="s">
        <v>12</v>
      </c>
      <c r="C7754" s="2" t="s">
        <v>12</v>
      </c>
      <c r="D7754" s="2" t="s">
        <v>12</v>
      </c>
      <c r="E7754" s="2" t="s">
        <v>12</v>
      </c>
      <c r="F7754" s="2" t="s">
        <v>12</v>
      </c>
      <c r="G7754" s="2" t="s">
        <v>12</v>
      </c>
      <c r="H7754" s="2" t="s">
        <v>12</v>
      </c>
      <c r="I7754" s="2" t="s">
        <v>12</v>
      </c>
      <c r="J7754" s="2" t="s">
        <v>12</v>
      </c>
      <c r="K7754" s="2" t="s">
        <v>12</v>
      </c>
    </row>
    <row r="7755" spans="1:11" ht="12.5" x14ac:dyDescent="0.25">
      <c r="A7755" s="3" t="e">
        <f ca="1"/>
        <v>#NAME?</v>
      </c>
      <c r="B7755" s="2" t="s">
        <v>12</v>
      </c>
      <c r="C7755" s="2" t="s">
        <v>12</v>
      </c>
      <c r="D7755" s="2" t="s">
        <v>12</v>
      </c>
      <c r="E7755" s="2" t="s">
        <v>12</v>
      </c>
      <c r="F7755" s="2" t="s">
        <v>12</v>
      </c>
      <c r="G7755" s="2" t="s">
        <v>12</v>
      </c>
      <c r="H7755" s="2" t="s">
        <v>12</v>
      </c>
      <c r="I7755" s="2" t="s">
        <v>12</v>
      </c>
      <c r="J7755" s="2" t="s">
        <v>12</v>
      </c>
      <c r="K7755" s="2" t="s">
        <v>12</v>
      </c>
    </row>
    <row r="7756" spans="1:11" ht="12.5" x14ac:dyDescent="0.25">
      <c r="A7756" s="3" t="e">
        <f ca="1"/>
        <v>#NAME?</v>
      </c>
      <c r="B7756" s="2" t="s">
        <v>12</v>
      </c>
      <c r="C7756" s="2" t="s">
        <v>12</v>
      </c>
      <c r="D7756" s="2" t="s">
        <v>12</v>
      </c>
      <c r="E7756" s="2" t="s">
        <v>12</v>
      </c>
      <c r="F7756" s="2" t="s">
        <v>12</v>
      </c>
      <c r="G7756" s="2" t="s">
        <v>12</v>
      </c>
      <c r="H7756" s="2" t="s">
        <v>12</v>
      </c>
      <c r="I7756" s="2" t="s">
        <v>12</v>
      </c>
      <c r="J7756" s="2" t="s">
        <v>12</v>
      </c>
      <c r="K7756" s="2" t="s">
        <v>12</v>
      </c>
    </row>
    <row r="7757" spans="1:11" ht="12.5" x14ac:dyDescent="0.25">
      <c r="A7757" s="3" t="e">
        <f ca="1"/>
        <v>#NAME?</v>
      </c>
      <c r="B7757" s="2" t="s">
        <v>12</v>
      </c>
      <c r="C7757" s="2" t="s">
        <v>12</v>
      </c>
      <c r="D7757" s="2" t="s">
        <v>12</v>
      </c>
      <c r="E7757" s="2" t="s">
        <v>12</v>
      </c>
      <c r="F7757" s="2" t="s">
        <v>12</v>
      </c>
      <c r="G7757" s="2" t="s">
        <v>12</v>
      </c>
      <c r="H7757" s="2" t="s">
        <v>12</v>
      </c>
      <c r="I7757" s="2" t="s">
        <v>12</v>
      </c>
      <c r="J7757" s="2" t="s">
        <v>12</v>
      </c>
      <c r="K7757" s="2" t="s">
        <v>12</v>
      </c>
    </row>
    <row r="7758" spans="1:11" ht="12.5" x14ac:dyDescent="0.25">
      <c r="A7758" s="3" t="e">
        <f ca="1"/>
        <v>#NAME?</v>
      </c>
      <c r="B7758" s="2" t="s">
        <v>12</v>
      </c>
      <c r="C7758" s="2" t="s">
        <v>12</v>
      </c>
      <c r="D7758" s="2" t="s">
        <v>12</v>
      </c>
      <c r="E7758" s="2" t="s">
        <v>12</v>
      </c>
      <c r="F7758" s="2" t="s">
        <v>12</v>
      </c>
      <c r="G7758" s="2" t="s">
        <v>12</v>
      </c>
      <c r="H7758" s="2" t="s">
        <v>12</v>
      </c>
      <c r="I7758" s="2" t="s">
        <v>12</v>
      </c>
      <c r="J7758" s="2" t="s">
        <v>12</v>
      </c>
      <c r="K7758" s="2" t="s">
        <v>12</v>
      </c>
    </row>
    <row r="7759" spans="1:11" ht="12.5" x14ac:dyDescent="0.25">
      <c r="A7759" s="3" t="e">
        <f ca="1"/>
        <v>#NAME?</v>
      </c>
      <c r="B7759" s="2" t="s">
        <v>12</v>
      </c>
      <c r="C7759" s="2" t="s">
        <v>12</v>
      </c>
      <c r="D7759" s="2" t="s">
        <v>12</v>
      </c>
      <c r="E7759" s="2" t="s">
        <v>12</v>
      </c>
      <c r="F7759" s="2" t="s">
        <v>12</v>
      </c>
      <c r="G7759" s="2" t="s">
        <v>12</v>
      </c>
      <c r="H7759" s="2" t="s">
        <v>12</v>
      </c>
      <c r="I7759" s="2" t="s">
        <v>12</v>
      </c>
      <c r="J7759" s="2" t="s">
        <v>12</v>
      </c>
      <c r="K7759" s="2" t="s">
        <v>12</v>
      </c>
    </row>
    <row r="7760" spans="1:11" ht="12.5" x14ac:dyDescent="0.25">
      <c r="A7760" s="3" t="e">
        <f ca="1"/>
        <v>#NAME?</v>
      </c>
      <c r="B7760" s="2" t="s">
        <v>12</v>
      </c>
      <c r="C7760" s="2" t="s">
        <v>12</v>
      </c>
      <c r="D7760" s="2" t="s">
        <v>12</v>
      </c>
      <c r="E7760" s="2" t="s">
        <v>12</v>
      </c>
      <c r="F7760" s="2" t="s">
        <v>12</v>
      </c>
      <c r="G7760" s="2" t="s">
        <v>12</v>
      </c>
      <c r="H7760" s="2" t="s">
        <v>12</v>
      </c>
      <c r="I7760" s="2" t="s">
        <v>12</v>
      </c>
      <c r="J7760" s="2" t="s">
        <v>12</v>
      </c>
      <c r="K7760" s="2" t="s">
        <v>12</v>
      </c>
    </row>
    <row r="7761" spans="1:11" ht="12.5" x14ac:dyDescent="0.25">
      <c r="A7761" s="3" t="e">
        <f ca="1"/>
        <v>#NAME?</v>
      </c>
      <c r="B7761" s="2" t="s">
        <v>12</v>
      </c>
      <c r="C7761" s="2" t="s">
        <v>12</v>
      </c>
      <c r="D7761" s="2" t="s">
        <v>12</v>
      </c>
      <c r="E7761" s="2" t="s">
        <v>12</v>
      </c>
      <c r="F7761" s="2" t="s">
        <v>12</v>
      </c>
      <c r="G7761" s="2" t="s">
        <v>12</v>
      </c>
      <c r="H7761" s="2" t="s">
        <v>12</v>
      </c>
      <c r="I7761" s="2" t="s">
        <v>12</v>
      </c>
      <c r="J7761" s="2" t="s">
        <v>12</v>
      </c>
      <c r="K7761" s="2" t="s">
        <v>12</v>
      </c>
    </row>
    <row r="7762" spans="1:11" ht="12.5" x14ac:dyDescent="0.25">
      <c r="A7762" s="3" t="e">
        <f ca="1"/>
        <v>#NAME?</v>
      </c>
      <c r="B7762" s="2" t="s">
        <v>12</v>
      </c>
      <c r="C7762" s="2" t="s">
        <v>12</v>
      </c>
      <c r="D7762" s="2" t="s">
        <v>12</v>
      </c>
      <c r="E7762" s="2" t="s">
        <v>12</v>
      </c>
      <c r="F7762" s="2" t="s">
        <v>12</v>
      </c>
      <c r="G7762" s="2" t="s">
        <v>12</v>
      </c>
      <c r="H7762" s="2" t="s">
        <v>12</v>
      </c>
      <c r="I7762" s="2" t="s">
        <v>12</v>
      </c>
      <c r="J7762" s="2" t="s">
        <v>12</v>
      </c>
      <c r="K7762" s="2" t="s">
        <v>12</v>
      </c>
    </row>
    <row r="7763" spans="1:11" ht="12.5" x14ac:dyDescent="0.25">
      <c r="A7763" s="3" t="e">
        <f ca="1"/>
        <v>#NAME?</v>
      </c>
      <c r="B7763" s="2" t="s">
        <v>12</v>
      </c>
      <c r="C7763" s="2" t="s">
        <v>12</v>
      </c>
      <c r="D7763" s="2" t="s">
        <v>12</v>
      </c>
      <c r="E7763" s="2" t="s">
        <v>12</v>
      </c>
      <c r="F7763" s="2" t="s">
        <v>12</v>
      </c>
      <c r="G7763" s="2" t="s">
        <v>12</v>
      </c>
      <c r="H7763" s="2" t="s">
        <v>12</v>
      </c>
      <c r="I7763" s="2" t="s">
        <v>12</v>
      </c>
      <c r="J7763" s="2" t="s">
        <v>12</v>
      </c>
      <c r="K7763" s="2" t="s">
        <v>12</v>
      </c>
    </row>
    <row r="7764" spans="1:11" ht="12.5" x14ac:dyDescent="0.25">
      <c r="A7764" s="3" t="e">
        <f ca="1"/>
        <v>#NAME?</v>
      </c>
      <c r="B7764" s="2" t="s">
        <v>12</v>
      </c>
      <c r="C7764" s="2" t="s">
        <v>12</v>
      </c>
      <c r="D7764" s="2" t="s">
        <v>12</v>
      </c>
      <c r="E7764" s="2" t="s">
        <v>12</v>
      </c>
      <c r="F7764" s="2" t="s">
        <v>12</v>
      </c>
      <c r="G7764" s="2" t="s">
        <v>12</v>
      </c>
      <c r="H7764" s="2" t="s">
        <v>12</v>
      </c>
      <c r="I7764" s="2" t="s">
        <v>12</v>
      </c>
      <c r="J7764" s="2" t="s">
        <v>12</v>
      </c>
      <c r="K7764" s="2" t="s">
        <v>12</v>
      </c>
    </row>
    <row r="7765" spans="1:11" ht="12.5" x14ac:dyDescent="0.25">
      <c r="A7765" s="3" t="e">
        <f ca="1"/>
        <v>#NAME?</v>
      </c>
      <c r="B7765" s="2" t="s">
        <v>12</v>
      </c>
      <c r="C7765" s="2" t="s">
        <v>12</v>
      </c>
      <c r="D7765" s="2" t="s">
        <v>12</v>
      </c>
      <c r="E7765" s="2" t="s">
        <v>12</v>
      </c>
      <c r="F7765" s="2" t="s">
        <v>12</v>
      </c>
      <c r="G7765" s="2" t="s">
        <v>12</v>
      </c>
      <c r="H7765" s="2" t="s">
        <v>12</v>
      </c>
      <c r="I7765" s="2" t="s">
        <v>12</v>
      </c>
      <c r="J7765" s="2" t="s">
        <v>12</v>
      </c>
      <c r="K7765" s="2" t="s">
        <v>12</v>
      </c>
    </row>
    <row r="7766" spans="1:11" ht="12.5" x14ac:dyDescent="0.25">
      <c r="A7766" s="3" t="e">
        <f ca="1"/>
        <v>#NAME?</v>
      </c>
      <c r="B7766" s="2" t="s">
        <v>12</v>
      </c>
      <c r="C7766" s="2" t="s">
        <v>12</v>
      </c>
      <c r="D7766" s="2" t="s">
        <v>12</v>
      </c>
      <c r="E7766" s="2" t="s">
        <v>12</v>
      </c>
      <c r="F7766" s="2" t="s">
        <v>12</v>
      </c>
      <c r="G7766" s="2" t="s">
        <v>12</v>
      </c>
      <c r="H7766" s="2" t="s">
        <v>12</v>
      </c>
      <c r="I7766" s="2" t="s">
        <v>12</v>
      </c>
      <c r="J7766" s="2" t="s">
        <v>12</v>
      </c>
      <c r="K7766" s="2" t="s">
        <v>12</v>
      </c>
    </row>
    <row r="7767" spans="1:11" ht="12.5" x14ac:dyDescent="0.25">
      <c r="A7767" s="3" t="e">
        <f ca="1"/>
        <v>#NAME?</v>
      </c>
      <c r="B7767" s="2" t="s">
        <v>12</v>
      </c>
      <c r="C7767" s="2" t="s">
        <v>12</v>
      </c>
      <c r="D7767" s="2" t="s">
        <v>12</v>
      </c>
      <c r="E7767" s="2" t="s">
        <v>12</v>
      </c>
      <c r="F7767" s="2" t="s">
        <v>12</v>
      </c>
      <c r="G7767" s="2" t="s">
        <v>12</v>
      </c>
      <c r="H7767" s="2" t="s">
        <v>12</v>
      </c>
      <c r="I7767" s="2" t="s">
        <v>12</v>
      </c>
      <c r="J7767" s="2" t="s">
        <v>12</v>
      </c>
      <c r="K7767" s="2" t="s">
        <v>12</v>
      </c>
    </row>
    <row r="7768" spans="1:11" ht="12.5" x14ac:dyDescent="0.25">
      <c r="A7768" s="3" t="e">
        <f ca="1"/>
        <v>#NAME?</v>
      </c>
      <c r="B7768" s="2" t="s">
        <v>12</v>
      </c>
      <c r="C7768" s="2" t="s">
        <v>12</v>
      </c>
      <c r="D7768" s="2" t="s">
        <v>12</v>
      </c>
      <c r="E7768" s="2" t="s">
        <v>12</v>
      </c>
      <c r="F7768" s="2" t="s">
        <v>12</v>
      </c>
      <c r="G7768" s="2" t="s">
        <v>12</v>
      </c>
      <c r="H7768" s="2" t="s">
        <v>12</v>
      </c>
      <c r="I7768" s="2" t="s">
        <v>12</v>
      </c>
      <c r="J7768" s="2" t="s">
        <v>12</v>
      </c>
      <c r="K7768" s="2" t="s">
        <v>12</v>
      </c>
    </row>
    <row r="7769" spans="1:11" ht="12.5" x14ac:dyDescent="0.25">
      <c r="A7769" s="3" t="e">
        <f ca="1"/>
        <v>#NAME?</v>
      </c>
      <c r="B7769" s="2" t="s">
        <v>12</v>
      </c>
      <c r="C7769" s="2" t="s">
        <v>12</v>
      </c>
      <c r="D7769" s="2" t="s">
        <v>12</v>
      </c>
      <c r="E7769" s="2" t="s">
        <v>12</v>
      </c>
      <c r="F7769" s="2" t="s">
        <v>12</v>
      </c>
      <c r="G7769" s="2" t="s">
        <v>12</v>
      </c>
      <c r="H7769" s="2" t="s">
        <v>12</v>
      </c>
      <c r="I7769" s="2" t="s">
        <v>12</v>
      </c>
      <c r="J7769" s="2" t="s">
        <v>12</v>
      </c>
      <c r="K7769" s="2" t="s">
        <v>12</v>
      </c>
    </row>
    <row r="7770" spans="1:11" ht="12.5" x14ac:dyDescent="0.25">
      <c r="A7770" s="3" t="e">
        <f ca="1"/>
        <v>#NAME?</v>
      </c>
      <c r="B7770" s="2" t="s">
        <v>12</v>
      </c>
      <c r="C7770" s="2" t="s">
        <v>12</v>
      </c>
      <c r="D7770" s="2" t="s">
        <v>12</v>
      </c>
      <c r="E7770" s="2" t="s">
        <v>12</v>
      </c>
      <c r="F7770" s="2" t="s">
        <v>12</v>
      </c>
      <c r="G7770" s="2" t="s">
        <v>12</v>
      </c>
      <c r="H7770" s="2" t="s">
        <v>12</v>
      </c>
      <c r="I7770" s="2" t="s">
        <v>12</v>
      </c>
      <c r="J7770" s="2" t="s">
        <v>12</v>
      </c>
      <c r="K7770" s="2" t="s">
        <v>12</v>
      </c>
    </row>
    <row r="7771" spans="1:11" ht="12.5" x14ac:dyDescent="0.25">
      <c r="A7771" s="3" t="e">
        <f ca="1"/>
        <v>#NAME?</v>
      </c>
      <c r="B7771" s="2" t="s">
        <v>12</v>
      </c>
      <c r="C7771" s="2" t="s">
        <v>12</v>
      </c>
      <c r="D7771" s="2" t="s">
        <v>12</v>
      </c>
      <c r="E7771" s="2" t="s">
        <v>12</v>
      </c>
      <c r="F7771" s="2" t="s">
        <v>12</v>
      </c>
      <c r="G7771" s="2" t="s">
        <v>12</v>
      </c>
      <c r="H7771" s="2" t="s">
        <v>12</v>
      </c>
      <c r="I7771" s="2" t="s">
        <v>12</v>
      </c>
      <c r="J7771" s="2" t="s">
        <v>12</v>
      </c>
      <c r="K7771" s="2" t="s">
        <v>12</v>
      </c>
    </row>
    <row r="7772" spans="1:11" ht="12.5" x14ac:dyDescent="0.25">
      <c r="A7772" s="3" t="e">
        <f ca="1"/>
        <v>#NAME?</v>
      </c>
      <c r="B7772" s="2" t="s">
        <v>12</v>
      </c>
      <c r="C7772" s="2" t="s">
        <v>12</v>
      </c>
      <c r="D7772" s="2" t="s">
        <v>12</v>
      </c>
      <c r="E7772" s="2" t="s">
        <v>12</v>
      </c>
      <c r="F7772" s="2" t="s">
        <v>12</v>
      </c>
      <c r="G7772" s="2" t="s">
        <v>12</v>
      </c>
      <c r="H7772" s="2" t="s">
        <v>12</v>
      </c>
      <c r="I7772" s="2" t="s">
        <v>12</v>
      </c>
      <c r="J7772" s="2" t="s">
        <v>12</v>
      </c>
      <c r="K7772" s="2" t="s">
        <v>12</v>
      </c>
    </row>
    <row r="7773" spans="1:11" ht="12.5" x14ac:dyDescent="0.25">
      <c r="A7773" s="3" t="e">
        <f ca="1"/>
        <v>#NAME?</v>
      </c>
      <c r="B7773" s="2" t="s">
        <v>12</v>
      </c>
      <c r="C7773" s="2" t="s">
        <v>12</v>
      </c>
      <c r="D7773" s="2" t="s">
        <v>12</v>
      </c>
      <c r="E7773" s="2" t="s">
        <v>12</v>
      </c>
      <c r="F7773" s="2" t="s">
        <v>12</v>
      </c>
      <c r="G7773" s="2" t="s">
        <v>12</v>
      </c>
      <c r="H7773" s="2" t="s">
        <v>12</v>
      </c>
      <c r="I7773" s="2" t="s">
        <v>12</v>
      </c>
      <c r="J7773" s="2" t="s">
        <v>12</v>
      </c>
      <c r="K7773" s="2" t="s">
        <v>12</v>
      </c>
    </row>
    <row r="7774" spans="1:11" ht="12.5" x14ac:dyDescent="0.25">
      <c r="A7774" s="3" t="e">
        <f ca="1"/>
        <v>#NAME?</v>
      </c>
      <c r="B7774" s="2" t="s">
        <v>12</v>
      </c>
      <c r="C7774" s="2" t="s">
        <v>12</v>
      </c>
      <c r="D7774" s="2" t="s">
        <v>12</v>
      </c>
      <c r="E7774" s="2" t="s">
        <v>12</v>
      </c>
      <c r="F7774" s="2" t="s">
        <v>12</v>
      </c>
      <c r="G7774" s="2" t="s">
        <v>12</v>
      </c>
      <c r="H7774" s="2" t="s">
        <v>12</v>
      </c>
      <c r="I7774" s="2" t="s">
        <v>12</v>
      </c>
      <c r="J7774" s="2" t="s">
        <v>12</v>
      </c>
      <c r="K7774" s="2" t="s">
        <v>12</v>
      </c>
    </row>
    <row r="7775" spans="1:11" ht="12.5" x14ac:dyDescent="0.25">
      <c r="A7775" s="3" t="e">
        <f ca="1"/>
        <v>#NAME?</v>
      </c>
      <c r="B7775" s="2" t="s">
        <v>12</v>
      </c>
      <c r="C7775" s="2" t="s">
        <v>12</v>
      </c>
      <c r="D7775" s="2" t="s">
        <v>12</v>
      </c>
      <c r="E7775" s="2" t="s">
        <v>12</v>
      </c>
      <c r="F7775" s="2" t="s">
        <v>12</v>
      </c>
      <c r="G7775" s="2" t="s">
        <v>12</v>
      </c>
      <c r="H7775" s="2" t="s">
        <v>12</v>
      </c>
      <c r="I7775" s="2" t="s">
        <v>12</v>
      </c>
      <c r="J7775" s="2" t="s">
        <v>12</v>
      </c>
      <c r="K7775" s="2" t="s">
        <v>12</v>
      </c>
    </row>
    <row r="7776" spans="1:11" ht="12.5" x14ac:dyDescent="0.25">
      <c r="A7776" s="3" t="e">
        <f ca="1"/>
        <v>#NAME?</v>
      </c>
      <c r="B7776" s="2" t="s">
        <v>12</v>
      </c>
      <c r="C7776" s="2" t="s">
        <v>12</v>
      </c>
      <c r="D7776" s="2" t="s">
        <v>12</v>
      </c>
      <c r="E7776" s="2" t="s">
        <v>12</v>
      </c>
      <c r="F7776" s="2" t="s">
        <v>12</v>
      </c>
      <c r="G7776" s="2" t="s">
        <v>12</v>
      </c>
      <c r="H7776" s="2" t="s">
        <v>12</v>
      </c>
      <c r="I7776" s="2" t="s">
        <v>12</v>
      </c>
      <c r="J7776" s="2" t="s">
        <v>12</v>
      </c>
      <c r="K7776" s="2" t="s">
        <v>12</v>
      </c>
    </row>
    <row r="7777" spans="1:11" ht="12.5" x14ac:dyDescent="0.25">
      <c r="A7777" s="3" t="e">
        <f ca="1"/>
        <v>#NAME?</v>
      </c>
      <c r="B7777" s="2" t="s">
        <v>12</v>
      </c>
      <c r="C7777" s="2" t="s">
        <v>12</v>
      </c>
      <c r="D7777" s="2" t="s">
        <v>12</v>
      </c>
      <c r="E7777" s="2" t="s">
        <v>12</v>
      </c>
      <c r="F7777" s="2" t="s">
        <v>12</v>
      </c>
      <c r="G7777" s="2" t="s">
        <v>12</v>
      </c>
      <c r="H7777" s="2" t="s">
        <v>12</v>
      </c>
      <c r="I7777" s="2" t="s">
        <v>12</v>
      </c>
      <c r="J7777" s="2" t="s">
        <v>12</v>
      </c>
      <c r="K7777" s="2" t="s">
        <v>12</v>
      </c>
    </row>
    <row r="7778" spans="1:11" ht="12.5" x14ac:dyDescent="0.25">
      <c r="A7778" s="3" t="e">
        <f ca="1"/>
        <v>#NAME?</v>
      </c>
      <c r="B7778" s="2" t="s">
        <v>12</v>
      </c>
      <c r="C7778" s="2" t="s">
        <v>12</v>
      </c>
      <c r="D7778" s="2" t="s">
        <v>12</v>
      </c>
      <c r="E7778" s="2" t="s">
        <v>12</v>
      </c>
      <c r="F7778" s="2" t="s">
        <v>12</v>
      </c>
      <c r="G7778" s="2" t="s">
        <v>12</v>
      </c>
      <c r="H7778" s="2" t="s">
        <v>12</v>
      </c>
      <c r="I7778" s="2" t="s">
        <v>12</v>
      </c>
      <c r="J7778" s="2" t="s">
        <v>12</v>
      </c>
      <c r="K7778" s="2" t="s">
        <v>12</v>
      </c>
    </row>
    <row r="7779" spans="1:11" ht="12.5" x14ac:dyDescent="0.25">
      <c r="A7779" s="3" t="e">
        <f ca="1"/>
        <v>#NAME?</v>
      </c>
      <c r="B7779" s="2" t="s">
        <v>12</v>
      </c>
      <c r="C7779" s="2" t="s">
        <v>12</v>
      </c>
      <c r="D7779" s="2" t="s">
        <v>12</v>
      </c>
      <c r="E7779" s="2" t="s">
        <v>12</v>
      </c>
      <c r="F7779" s="2" t="s">
        <v>12</v>
      </c>
      <c r="G7779" s="2" t="s">
        <v>12</v>
      </c>
      <c r="H7779" s="2" t="s">
        <v>12</v>
      </c>
      <c r="I7779" s="2" t="s">
        <v>12</v>
      </c>
      <c r="J7779" s="2" t="s">
        <v>12</v>
      </c>
      <c r="K7779" s="2" t="s">
        <v>12</v>
      </c>
    </row>
    <row r="7780" spans="1:11" ht="12.5" x14ac:dyDescent="0.25">
      <c r="A7780" s="3" t="e">
        <f ca="1"/>
        <v>#NAME?</v>
      </c>
      <c r="B7780" s="2" t="s">
        <v>12</v>
      </c>
      <c r="C7780" s="2" t="s">
        <v>12</v>
      </c>
      <c r="D7780" s="2" t="s">
        <v>12</v>
      </c>
      <c r="E7780" s="2" t="s">
        <v>12</v>
      </c>
      <c r="F7780" s="2" t="s">
        <v>12</v>
      </c>
      <c r="G7780" s="2" t="s">
        <v>12</v>
      </c>
      <c r="H7780" s="2" t="s">
        <v>12</v>
      </c>
      <c r="I7780" s="2" t="s">
        <v>12</v>
      </c>
      <c r="J7780" s="2" t="s">
        <v>12</v>
      </c>
      <c r="K7780" s="2" t="s">
        <v>12</v>
      </c>
    </row>
    <row r="7781" spans="1:11" ht="12.5" x14ac:dyDescent="0.25">
      <c r="A7781" s="3" t="e">
        <f ca="1"/>
        <v>#NAME?</v>
      </c>
      <c r="B7781" s="2" t="s">
        <v>12</v>
      </c>
      <c r="C7781" s="2" t="s">
        <v>12</v>
      </c>
      <c r="D7781" s="2" t="s">
        <v>12</v>
      </c>
      <c r="E7781" s="2" t="s">
        <v>12</v>
      </c>
      <c r="F7781" s="2" t="s">
        <v>12</v>
      </c>
      <c r="G7781" s="2" t="s">
        <v>12</v>
      </c>
      <c r="H7781" s="2" t="s">
        <v>12</v>
      </c>
      <c r="I7781" s="2" t="s">
        <v>12</v>
      </c>
      <c r="J7781" s="2" t="s">
        <v>12</v>
      </c>
      <c r="K7781" s="2" t="s">
        <v>12</v>
      </c>
    </row>
    <row r="7782" spans="1:11" ht="12.5" x14ac:dyDescent="0.25">
      <c r="A7782" s="3" t="e">
        <f ca="1"/>
        <v>#NAME?</v>
      </c>
      <c r="B7782" s="2" t="s">
        <v>12</v>
      </c>
      <c r="C7782" s="2" t="s">
        <v>12</v>
      </c>
      <c r="D7782" s="2" t="s">
        <v>12</v>
      </c>
      <c r="E7782" s="2" t="s">
        <v>12</v>
      </c>
      <c r="F7782" s="2" t="s">
        <v>12</v>
      </c>
      <c r="G7782" s="2" t="s">
        <v>12</v>
      </c>
      <c r="H7782" s="2" t="s">
        <v>12</v>
      </c>
      <c r="I7782" s="2" t="s">
        <v>12</v>
      </c>
      <c r="J7782" s="2" t="s">
        <v>12</v>
      </c>
      <c r="K7782" s="2" t="s">
        <v>12</v>
      </c>
    </row>
    <row r="7783" spans="1:11" ht="12.5" x14ac:dyDescent="0.25">
      <c r="A7783" s="3" t="e">
        <f ca="1"/>
        <v>#NAME?</v>
      </c>
      <c r="B7783" s="2" t="s">
        <v>12</v>
      </c>
      <c r="C7783" s="2" t="s">
        <v>12</v>
      </c>
      <c r="D7783" s="2" t="s">
        <v>12</v>
      </c>
      <c r="E7783" s="2" t="s">
        <v>12</v>
      </c>
      <c r="F7783" s="2" t="s">
        <v>12</v>
      </c>
      <c r="G7783" s="2" t="s">
        <v>12</v>
      </c>
      <c r="H7783" s="2" t="s">
        <v>12</v>
      </c>
      <c r="I7783" s="2" t="s">
        <v>12</v>
      </c>
      <c r="J7783" s="2" t="s">
        <v>12</v>
      </c>
      <c r="K7783" s="2" t="s">
        <v>12</v>
      </c>
    </row>
    <row r="7784" spans="1:11" ht="12.5" x14ac:dyDescent="0.25">
      <c r="A7784" s="3" t="e">
        <f ca="1"/>
        <v>#NAME?</v>
      </c>
      <c r="B7784" s="2" t="s">
        <v>12</v>
      </c>
      <c r="C7784" s="2" t="s">
        <v>12</v>
      </c>
      <c r="D7784" s="2" t="s">
        <v>12</v>
      </c>
      <c r="E7784" s="2" t="s">
        <v>12</v>
      </c>
      <c r="F7784" s="2" t="s">
        <v>12</v>
      </c>
      <c r="G7784" s="2" t="s">
        <v>12</v>
      </c>
      <c r="H7784" s="2" t="s">
        <v>12</v>
      </c>
      <c r="I7784" s="2" t="s">
        <v>12</v>
      </c>
      <c r="J7784" s="2" t="s">
        <v>12</v>
      </c>
      <c r="K7784" s="2" t="s">
        <v>12</v>
      </c>
    </row>
    <row r="7785" spans="1:11" ht="12.5" x14ac:dyDescent="0.25">
      <c r="A7785" s="3" t="e">
        <f ca="1"/>
        <v>#NAME?</v>
      </c>
      <c r="B7785" s="2" t="s">
        <v>12</v>
      </c>
      <c r="C7785" s="2" t="s">
        <v>12</v>
      </c>
      <c r="D7785" s="2" t="s">
        <v>12</v>
      </c>
      <c r="E7785" s="2" t="s">
        <v>12</v>
      </c>
      <c r="F7785" s="2" t="s">
        <v>12</v>
      </c>
      <c r="G7785" s="2" t="s">
        <v>12</v>
      </c>
      <c r="H7785" s="2" t="s">
        <v>12</v>
      </c>
      <c r="I7785" s="2" t="s">
        <v>12</v>
      </c>
      <c r="J7785" s="2" t="s">
        <v>12</v>
      </c>
      <c r="K7785" s="2" t="s">
        <v>12</v>
      </c>
    </row>
    <row r="7786" spans="1:11" ht="12.5" x14ac:dyDescent="0.25">
      <c r="A7786" s="3" t="e">
        <f ca="1"/>
        <v>#NAME?</v>
      </c>
      <c r="B7786" s="2" t="s">
        <v>12</v>
      </c>
      <c r="C7786" s="2" t="s">
        <v>12</v>
      </c>
      <c r="D7786" s="2" t="s">
        <v>12</v>
      </c>
      <c r="E7786" s="2" t="s">
        <v>12</v>
      </c>
      <c r="F7786" s="2" t="s">
        <v>12</v>
      </c>
      <c r="G7786" s="2" t="s">
        <v>12</v>
      </c>
      <c r="H7786" s="2" t="s">
        <v>12</v>
      </c>
      <c r="I7786" s="2" t="s">
        <v>12</v>
      </c>
      <c r="J7786" s="2" t="s">
        <v>12</v>
      </c>
      <c r="K7786" s="2" t="s">
        <v>12</v>
      </c>
    </row>
    <row r="7787" spans="1:11" ht="12.5" x14ac:dyDescent="0.25">
      <c r="A7787" s="3" t="e">
        <f ca="1"/>
        <v>#NAME?</v>
      </c>
      <c r="B7787" s="2" t="s">
        <v>12</v>
      </c>
      <c r="C7787" s="2" t="s">
        <v>12</v>
      </c>
      <c r="D7787" s="2" t="s">
        <v>12</v>
      </c>
      <c r="E7787" s="2" t="s">
        <v>12</v>
      </c>
      <c r="F7787" s="2" t="s">
        <v>12</v>
      </c>
      <c r="G7787" s="2" t="s">
        <v>12</v>
      </c>
      <c r="H7787" s="2" t="s">
        <v>12</v>
      </c>
      <c r="I7787" s="2" t="s">
        <v>12</v>
      </c>
      <c r="J7787" s="2" t="s">
        <v>12</v>
      </c>
      <c r="K7787" s="2" t="s">
        <v>12</v>
      </c>
    </row>
    <row r="7788" spans="1:11" ht="12.5" x14ac:dyDescent="0.25">
      <c r="A7788" s="3" t="e">
        <f ca="1"/>
        <v>#NAME?</v>
      </c>
      <c r="B7788" s="2" t="s">
        <v>12</v>
      </c>
      <c r="C7788" s="2" t="s">
        <v>12</v>
      </c>
      <c r="D7788" s="2" t="s">
        <v>12</v>
      </c>
      <c r="E7788" s="2" t="s">
        <v>12</v>
      </c>
      <c r="F7788" s="2" t="s">
        <v>12</v>
      </c>
      <c r="G7788" s="2" t="s">
        <v>12</v>
      </c>
      <c r="H7788" s="2" t="s">
        <v>12</v>
      </c>
      <c r="I7788" s="2" t="s">
        <v>12</v>
      </c>
      <c r="J7788" s="2" t="s">
        <v>12</v>
      </c>
      <c r="K7788" s="2" t="s">
        <v>12</v>
      </c>
    </row>
    <row r="7789" spans="1:11" ht="12.5" x14ac:dyDescent="0.25">
      <c r="A7789" s="3" t="e">
        <f ca="1"/>
        <v>#NAME?</v>
      </c>
      <c r="B7789" s="2" t="s">
        <v>12</v>
      </c>
      <c r="C7789" s="2" t="s">
        <v>12</v>
      </c>
      <c r="D7789" s="2" t="s">
        <v>12</v>
      </c>
      <c r="E7789" s="2" t="s">
        <v>12</v>
      </c>
      <c r="F7789" s="2" t="s">
        <v>12</v>
      </c>
      <c r="G7789" s="2" t="s">
        <v>12</v>
      </c>
      <c r="H7789" s="2" t="s">
        <v>12</v>
      </c>
      <c r="I7789" s="2" t="s">
        <v>12</v>
      </c>
      <c r="J7789" s="2" t="s">
        <v>12</v>
      </c>
      <c r="K7789" s="2" t="s">
        <v>12</v>
      </c>
    </row>
    <row r="7790" spans="1:11" ht="12.5" x14ac:dyDescent="0.25">
      <c r="A7790" s="3" t="e">
        <f ca="1"/>
        <v>#NAME?</v>
      </c>
      <c r="B7790" s="2" t="s">
        <v>12</v>
      </c>
      <c r="C7790" s="2" t="s">
        <v>12</v>
      </c>
      <c r="D7790" s="2" t="s">
        <v>12</v>
      </c>
      <c r="E7790" s="2" t="s">
        <v>12</v>
      </c>
      <c r="F7790" s="2" t="s">
        <v>12</v>
      </c>
      <c r="G7790" s="2" t="s">
        <v>12</v>
      </c>
      <c r="H7790" s="2" t="s">
        <v>12</v>
      </c>
      <c r="I7790" s="2" t="s">
        <v>12</v>
      </c>
      <c r="J7790" s="2" t="s">
        <v>12</v>
      </c>
      <c r="K7790" s="2" t="s">
        <v>12</v>
      </c>
    </row>
    <row r="7791" spans="1:11" ht="12.5" x14ac:dyDescent="0.25">
      <c r="A7791" s="3" t="e">
        <f ca="1"/>
        <v>#NAME?</v>
      </c>
      <c r="B7791" s="2" t="s">
        <v>12</v>
      </c>
      <c r="C7791" s="2" t="s">
        <v>12</v>
      </c>
      <c r="D7791" s="2" t="s">
        <v>12</v>
      </c>
      <c r="E7791" s="2" t="s">
        <v>12</v>
      </c>
      <c r="F7791" s="2" t="s">
        <v>12</v>
      </c>
      <c r="G7791" s="2" t="s">
        <v>12</v>
      </c>
      <c r="H7791" s="2" t="s">
        <v>12</v>
      </c>
      <c r="I7791" s="2" t="s">
        <v>12</v>
      </c>
      <c r="J7791" s="2" t="s">
        <v>12</v>
      </c>
      <c r="K7791" s="2" t="s">
        <v>12</v>
      </c>
    </row>
    <row r="7792" spans="1:11" ht="12.5" x14ac:dyDescent="0.25">
      <c r="A7792" s="3" t="e">
        <f ca="1"/>
        <v>#NAME?</v>
      </c>
      <c r="B7792" s="2" t="s">
        <v>12</v>
      </c>
      <c r="C7792" s="2" t="s">
        <v>12</v>
      </c>
      <c r="D7792" s="2" t="s">
        <v>12</v>
      </c>
      <c r="E7792" s="2" t="s">
        <v>12</v>
      </c>
      <c r="F7792" s="2" t="s">
        <v>12</v>
      </c>
      <c r="G7792" s="2" t="s">
        <v>12</v>
      </c>
      <c r="H7792" s="2" t="s">
        <v>12</v>
      </c>
      <c r="I7792" s="2" t="s">
        <v>12</v>
      </c>
      <c r="J7792" s="2" t="s">
        <v>12</v>
      </c>
      <c r="K7792" s="2" t="s">
        <v>12</v>
      </c>
    </row>
    <row r="7793" spans="1:11" ht="12.5" x14ac:dyDescent="0.25">
      <c r="A7793" s="3" t="e">
        <f ca="1"/>
        <v>#NAME?</v>
      </c>
      <c r="B7793" s="2" t="s">
        <v>12</v>
      </c>
      <c r="C7793" s="2" t="s">
        <v>12</v>
      </c>
      <c r="D7793" s="2" t="s">
        <v>12</v>
      </c>
      <c r="E7793" s="2" t="s">
        <v>12</v>
      </c>
      <c r="F7793" s="2" t="s">
        <v>12</v>
      </c>
      <c r="G7793" s="2" t="s">
        <v>12</v>
      </c>
      <c r="H7793" s="2" t="s">
        <v>12</v>
      </c>
      <c r="I7793" s="2" t="s">
        <v>12</v>
      </c>
      <c r="J7793" s="2" t="s">
        <v>12</v>
      </c>
      <c r="K7793" s="2" t="s">
        <v>12</v>
      </c>
    </row>
    <row r="7794" spans="1:11" ht="12.5" x14ac:dyDescent="0.25">
      <c r="A7794" s="3" t="e">
        <f ca="1"/>
        <v>#NAME?</v>
      </c>
      <c r="B7794" s="2" t="s">
        <v>12</v>
      </c>
      <c r="C7794" s="2" t="s">
        <v>12</v>
      </c>
      <c r="D7794" s="2" t="s">
        <v>12</v>
      </c>
      <c r="E7794" s="2" t="s">
        <v>12</v>
      </c>
      <c r="F7794" s="2" t="s">
        <v>12</v>
      </c>
      <c r="G7794" s="2" t="s">
        <v>12</v>
      </c>
      <c r="H7794" s="2" t="s">
        <v>12</v>
      </c>
      <c r="I7794" s="2" t="s">
        <v>12</v>
      </c>
      <c r="J7794" s="2" t="s">
        <v>12</v>
      </c>
      <c r="K7794" s="2" t="s">
        <v>12</v>
      </c>
    </row>
    <row r="7795" spans="1:11" ht="12.5" x14ac:dyDescent="0.25">
      <c r="A7795" s="3" t="e">
        <f ca="1"/>
        <v>#NAME?</v>
      </c>
      <c r="B7795" s="2" t="s">
        <v>12</v>
      </c>
      <c r="C7795" s="2" t="s">
        <v>12</v>
      </c>
      <c r="D7795" s="2" t="s">
        <v>12</v>
      </c>
      <c r="E7795" s="2" t="s">
        <v>12</v>
      </c>
      <c r="F7795" s="2" t="s">
        <v>12</v>
      </c>
      <c r="G7795" s="2" t="s">
        <v>12</v>
      </c>
      <c r="H7795" s="2" t="s">
        <v>12</v>
      </c>
      <c r="I7795" s="2" t="s">
        <v>12</v>
      </c>
      <c r="J7795" s="2" t="s">
        <v>12</v>
      </c>
      <c r="K7795" s="2" t="s">
        <v>12</v>
      </c>
    </row>
    <row r="7796" spans="1:11" ht="12.5" x14ac:dyDescent="0.25">
      <c r="A7796" s="3" t="e">
        <f ca="1"/>
        <v>#NAME?</v>
      </c>
      <c r="B7796" s="2" t="s">
        <v>12</v>
      </c>
      <c r="C7796" s="2" t="s">
        <v>12</v>
      </c>
      <c r="D7796" s="2" t="s">
        <v>12</v>
      </c>
      <c r="E7796" s="2" t="s">
        <v>12</v>
      </c>
      <c r="F7796" s="2" t="s">
        <v>12</v>
      </c>
      <c r="G7796" s="2" t="s">
        <v>12</v>
      </c>
      <c r="H7796" s="2" t="s">
        <v>12</v>
      </c>
      <c r="I7796" s="2" t="s">
        <v>12</v>
      </c>
      <c r="J7796" s="2" t="s">
        <v>12</v>
      </c>
      <c r="K7796" s="2" t="s">
        <v>12</v>
      </c>
    </row>
    <row r="7797" spans="1:11" ht="12.5" x14ac:dyDescent="0.25">
      <c r="A7797" s="3" t="e">
        <f ca="1"/>
        <v>#NAME?</v>
      </c>
      <c r="B7797" s="2" t="s">
        <v>12</v>
      </c>
      <c r="C7797" s="2" t="s">
        <v>12</v>
      </c>
      <c r="D7797" s="2" t="s">
        <v>12</v>
      </c>
      <c r="E7797" s="2" t="s">
        <v>12</v>
      </c>
      <c r="F7797" s="2" t="s">
        <v>12</v>
      </c>
      <c r="G7797" s="2" t="s">
        <v>12</v>
      </c>
      <c r="H7797" s="2" t="s">
        <v>12</v>
      </c>
      <c r="I7797" s="2" t="s">
        <v>12</v>
      </c>
      <c r="J7797" s="2" t="s">
        <v>12</v>
      </c>
      <c r="K7797" s="2" t="s">
        <v>12</v>
      </c>
    </row>
    <row r="7798" spans="1:11" ht="12.5" x14ac:dyDescent="0.25">
      <c r="A7798" s="3" t="e">
        <f ca="1"/>
        <v>#NAME?</v>
      </c>
      <c r="B7798" s="2" t="s">
        <v>12</v>
      </c>
      <c r="C7798" s="2" t="s">
        <v>12</v>
      </c>
      <c r="D7798" s="2" t="s">
        <v>12</v>
      </c>
      <c r="E7798" s="2" t="s">
        <v>12</v>
      </c>
      <c r="F7798" s="2" t="s">
        <v>12</v>
      </c>
      <c r="G7798" s="2" t="s">
        <v>12</v>
      </c>
      <c r="H7798" s="2" t="s">
        <v>12</v>
      </c>
      <c r="I7798" s="2" t="s">
        <v>12</v>
      </c>
      <c r="J7798" s="2" t="s">
        <v>12</v>
      </c>
      <c r="K7798" s="2" t="s">
        <v>12</v>
      </c>
    </row>
    <row r="7799" spans="1:11" ht="12.5" x14ac:dyDescent="0.25">
      <c r="A7799" s="3" t="e">
        <f ca="1"/>
        <v>#NAME?</v>
      </c>
      <c r="B7799" s="2" t="s">
        <v>12</v>
      </c>
      <c r="C7799" s="2" t="s">
        <v>12</v>
      </c>
      <c r="D7799" s="2" t="s">
        <v>12</v>
      </c>
      <c r="E7799" s="2" t="s">
        <v>12</v>
      </c>
      <c r="F7799" s="2" t="s">
        <v>12</v>
      </c>
      <c r="G7799" s="2" t="s">
        <v>12</v>
      </c>
      <c r="H7799" s="2" t="s">
        <v>12</v>
      </c>
      <c r="I7799" s="2" t="s">
        <v>12</v>
      </c>
      <c r="J7799" s="2" t="s">
        <v>12</v>
      </c>
      <c r="K7799" s="2" t="s">
        <v>12</v>
      </c>
    </row>
    <row r="7800" spans="1:11" ht="12.5" x14ac:dyDescent="0.25">
      <c r="A7800" s="3" t="e">
        <f ca="1"/>
        <v>#NAME?</v>
      </c>
      <c r="B7800" s="2" t="s">
        <v>12</v>
      </c>
      <c r="C7800" s="2" t="s">
        <v>12</v>
      </c>
      <c r="D7800" s="2" t="s">
        <v>12</v>
      </c>
      <c r="E7800" s="2" t="s">
        <v>12</v>
      </c>
      <c r="F7800" s="2" t="s">
        <v>12</v>
      </c>
      <c r="G7800" s="2" t="s">
        <v>12</v>
      </c>
      <c r="H7800" s="2" t="s">
        <v>12</v>
      </c>
      <c r="I7800" s="2" t="s">
        <v>12</v>
      </c>
      <c r="J7800" s="2" t="s">
        <v>12</v>
      </c>
      <c r="K7800" s="2" t="s">
        <v>12</v>
      </c>
    </row>
    <row r="7801" spans="1:11" ht="12.5" x14ac:dyDescent="0.25">
      <c r="A7801" s="3" t="e">
        <f ca="1"/>
        <v>#NAME?</v>
      </c>
      <c r="B7801" s="2" t="s">
        <v>12</v>
      </c>
      <c r="C7801" s="2" t="s">
        <v>12</v>
      </c>
      <c r="D7801" s="2" t="s">
        <v>12</v>
      </c>
      <c r="E7801" s="2" t="s">
        <v>12</v>
      </c>
      <c r="F7801" s="2" t="s">
        <v>12</v>
      </c>
      <c r="G7801" s="2" t="s">
        <v>12</v>
      </c>
      <c r="H7801" s="2" t="s">
        <v>12</v>
      </c>
      <c r="I7801" s="2" t="s">
        <v>12</v>
      </c>
      <c r="J7801" s="2" t="s">
        <v>12</v>
      </c>
      <c r="K7801" s="2" t="s">
        <v>12</v>
      </c>
    </row>
    <row r="7802" spans="1:11" ht="12.5" x14ac:dyDescent="0.25">
      <c r="A7802" s="3" t="e">
        <f ca="1"/>
        <v>#NAME?</v>
      </c>
      <c r="B7802" s="2" t="s">
        <v>12</v>
      </c>
      <c r="C7802" s="2" t="s">
        <v>12</v>
      </c>
      <c r="D7802" s="2" t="s">
        <v>12</v>
      </c>
      <c r="E7802" s="2" t="s">
        <v>12</v>
      </c>
      <c r="F7802" s="2" t="s">
        <v>12</v>
      </c>
      <c r="G7802" s="2" t="s">
        <v>12</v>
      </c>
      <c r="H7802" s="2" t="s">
        <v>12</v>
      </c>
      <c r="I7802" s="2" t="s">
        <v>12</v>
      </c>
      <c r="J7802" s="2" t="s">
        <v>12</v>
      </c>
      <c r="K7802" s="2" t="s">
        <v>12</v>
      </c>
    </row>
    <row r="7803" spans="1:11" ht="12.5" x14ac:dyDescent="0.25">
      <c r="A7803" s="3" t="e">
        <f ca="1"/>
        <v>#NAME?</v>
      </c>
      <c r="B7803" s="2" t="s">
        <v>12</v>
      </c>
      <c r="C7803" s="2" t="s">
        <v>12</v>
      </c>
      <c r="D7803" s="2" t="s">
        <v>12</v>
      </c>
      <c r="E7803" s="2" t="s">
        <v>12</v>
      </c>
      <c r="F7803" s="2" t="s">
        <v>12</v>
      </c>
      <c r="G7803" s="2" t="s">
        <v>12</v>
      </c>
      <c r="H7803" s="2" t="s">
        <v>12</v>
      </c>
      <c r="I7803" s="2" t="s">
        <v>12</v>
      </c>
      <c r="J7803" s="2" t="s">
        <v>12</v>
      </c>
      <c r="K7803" s="2" t="s">
        <v>12</v>
      </c>
    </row>
    <row r="7804" spans="1:11" ht="12.5" x14ac:dyDescent="0.25">
      <c r="A7804" s="3" t="e">
        <f ca="1"/>
        <v>#NAME?</v>
      </c>
      <c r="B7804" s="2" t="s">
        <v>12</v>
      </c>
      <c r="C7804" s="2" t="s">
        <v>12</v>
      </c>
      <c r="D7804" s="2" t="s">
        <v>12</v>
      </c>
      <c r="E7804" s="2" t="s">
        <v>12</v>
      </c>
      <c r="F7804" s="2" t="s">
        <v>12</v>
      </c>
      <c r="G7804" s="2" t="s">
        <v>12</v>
      </c>
      <c r="H7804" s="2" t="s">
        <v>12</v>
      </c>
      <c r="I7804" s="2" t="s">
        <v>12</v>
      </c>
      <c r="J7804" s="2" t="s">
        <v>12</v>
      </c>
      <c r="K7804" s="2" t="s">
        <v>12</v>
      </c>
    </row>
    <row r="7805" spans="1:11" ht="12.5" x14ac:dyDescent="0.25">
      <c r="A7805" s="3" t="e">
        <f ca="1"/>
        <v>#NAME?</v>
      </c>
      <c r="B7805" s="2" t="s">
        <v>12</v>
      </c>
      <c r="C7805" s="2" t="s">
        <v>12</v>
      </c>
      <c r="D7805" s="2" t="s">
        <v>12</v>
      </c>
      <c r="E7805" s="2" t="s">
        <v>12</v>
      </c>
      <c r="F7805" s="2" t="s">
        <v>12</v>
      </c>
      <c r="G7805" s="2" t="s">
        <v>12</v>
      </c>
      <c r="H7805" s="2" t="s">
        <v>12</v>
      </c>
      <c r="I7805" s="2" t="s">
        <v>12</v>
      </c>
      <c r="J7805" s="2" t="s">
        <v>12</v>
      </c>
      <c r="K7805" s="2" t="s">
        <v>12</v>
      </c>
    </row>
    <row r="7806" spans="1:11" ht="12.5" x14ac:dyDescent="0.25">
      <c r="A7806" s="3" t="e">
        <f ca="1"/>
        <v>#NAME?</v>
      </c>
      <c r="B7806" s="2" t="s">
        <v>12</v>
      </c>
      <c r="C7806" s="2" t="s">
        <v>12</v>
      </c>
      <c r="D7806" s="2" t="s">
        <v>12</v>
      </c>
      <c r="E7806" s="2" t="s">
        <v>12</v>
      </c>
      <c r="F7806" s="2" t="s">
        <v>12</v>
      </c>
      <c r="G7806" s="2" t="s">
        <v>12</v>
      </c>
      <c r="H7806" s="2" t="s">
        <v>12</v>
      </c>
      <c r="I7806" s="2" t="s">
        <v>12</v>
      </c>
      <c r="J7806" s="2" t="s">
        <v>12</v>
      </c>
      <c r="K7806" s="2" t="s">
        <v>12</v>
      </c>
    </row>
    <row r="7807" spans="1:11" ht="12.5" x14ac:dyDescent="0.25">
      <c r="A7807" s="3" t="e">
        <f ca="1"/>
        <v>#NAME?</v>
      </c>
      <c r="B7807" s="2" t="s">
        <v>12</v>
      </c>
      <c r="C7807" s="2" t="s">
        <v>12</v>
      </c>
      <c r="D7807" s="2" t="s">
        <v>12</v>
      </c>
      <c r="E7807" s="2" t="s">
        <v>12</v>
      </c>
      <c r="F7807" s="2" t="s">
        <v>12</v>
      </c>
      <c r="G7807" s="2" t="s">
        <v>12</v>
      </c>
      <c r="H7807" s="2" t="s">
        <v>12</v>
      </c>
      <c r="I7807" s="2" t="s">
        <v>12</v>
      </c>
      <c r="J7807" s="2" t="s">
        <v>12</v>
      </c>
      <c r="K7807" s="2" t="s">
        <v>12</v>
      </c>
    </row>
    <row r="7808" spans="1:11" ht="12.5" x14ac:dyDescent="0.25">
      <c r="A7808" s="3" t="e">
        <f ca="1"/>
        <v>#NAME?</v>
      </c>
      <c r="B7808" s="2" t="s">
        <v>12</v>
      </c>
      <c r="C7808" s="2" t="s">
        <v>12</v>
      </c>
      <c r="D7808" s="2" t="s">
        <v>12</v>
      </c>
      <c r="E7808" s="2" t="s">
        <v>12</v>
      </c>
      <c r="F7808" s="2" t="s">
        <v>12</v>
      </c>
      <c r="G7808" s="2" t="s">
        <v>12</v>
      </c>
      <c r="H7808" s="2" t="s">
        <v>12</v>
      </c>
      <c r="I7808" s="2" t="s">
        <v>12</v>
      </c>
      <c r="J7808" s="2" t="s">
        <v>12</v>
      </c>
      <c r="K7808" s="2" t="s">
        <v>12</v>
      </c>
    </row>
    <row r="7809" spans="1:11" ht="12.5" x14ac:dyDescent="0.25">
      <c r="A7809" s="3" t="e">
        <f ca="1"/>
        <v>#NAME?</v>
      </c>
      <c r="B7809" s="2" t="s">
        <v>12</v>
      </c>
      <c r="C7809" s="2" t="s">
        <v>12</v>
      </c>
      <c r="D7809" s="2" t="s">
        <v>12</v>
      </c>
      <c r="E7809" s="2" t="s">
        <v>12</v>
      </c>
      <c r="F7809" s="2" t="s">
        <v>12</v>
      </c>
      <c r="G7809" s="2" t="s">
        <v>12</v>
      </c>
      <c r="H7809" s="2" t="s">
        <v>12</v>
      </c>
      <c r="I7809" s="2" t="s">
        <v>12</v>
      </c>
      <c r="J7809" s="2" t="s">
        <v>12</v>
      </c>
      <c r="K7809" s="2" t="s">
        <v>12</v>
      </c>
    </row>
    <row r="7810" spans="1:11" ht="12.5" x14ac:dyDescent="0.25">
      <c r="A7810" s="3" t="e">
        <f ca="1"/>
        <v>#NAME?</v>
      </c>
      <c r="B7810" s="2" t="s">
        <v>12</v>
      </c>
      <c r="C7810" s="2" t="s">
        <v>12</v>
      </c>
      <c r="D7810" s="2" t="s">
        <v>12</v>
      </c>
      <c r="E7810" s="2" t="s">
        <v>12</v>
      </c>
      <c r="F7810" s="2" t="s">
        <v>12</v>
      </c>
      <c r="G7810" s="2" t="s">
        <v>12</v>
      </c>
      <c r="H7810" s="2" t="s">
        <v>12</v>
      </c>
      <c r="I7810" s="2" t="s">
        <v>12</v>
      </c>
      <c r="J7810" s="2" t="s">
        <v>12</v>
      </c>
      <c r="K7810" s="2" t="s">
        <v>12</v>
      </c>
    </row>
    <row r="7811" spans="1:11" ht="12.5" x14ac:dyDescent="0.25">
      <c r="A7811" s="3" t="e">
        <f ca="1"/>
        <v>#NAME?</v>
      </c>
      <c r="B7811" s="2" t="s">
        <v>12</v>
      </c>
      <c r="C7811" s="2" t="s">
        <v>12</v>
      </c>
      <c r="D7811" s="2" t="s">
        <v>12</v>
      </c>
      <c r="E7811" s="2" t="s">
        <v>12</v>
      </c>
      <c r="F7811" s="2" t="s">
        <v>12</v>
      </c>
      <c r="G7811" s="2" t="s">
        <v>12</v>
      </c>
      <c r="H7811" s="2" t="s">
        <v>12</v>
      </c>
      <c r="I7811" s="2" t="s">
        <v>12</v>
      </c>
      <c r="J7811" s="2" t="s">
        <v>12</v>
      </c>
      <c r="K7811" s="2" t="s">
        <v>12</v>
      </c>
    </row>
    <row r="7812" spans="1:11" ht="12.5" x14ac:dyDescent="0.25">
      <c r="A7812" s="3" t="e">
        <f ca="1"/>
        <v>#NAME?</v>
      </c>
      <c r="B7812" s="2" t="s">
        <v>12</v>
      </c>
      <c r="C7812" s="2" t="s">
        <v>12</v>
      </c>
      <c r="D7812" s="2" t="s">
        <v>12</v>
      </c>
      <c r="E7812" s="2" t="s">
        <v>12</v>
      </c>
      <c r="F7812" s="2" t="s">
        <v>12</v>
      </c>
      <c r="G7812" s="2" t="s">
        <v>12</v>
      </c>
      <c r="H7812" s="2" t="s">
        <v>12</v>
      </c>
      <c r="I7812" s="2" t="s">
        <v>12</v>
      </c>
      <c r="J7812" s="2" t="s">
        <v>12</v>
      </c>
      <c r="K7812" s="2" t="s">
        <v>12</v>
      </c>
    </row>
    <row r="7813" spans="1:11" ht="12.5" x14ac:dyDescent="0.25">
      <c r="A7813" s="3" t="e">
        <f ca="1"/>
        <v>#NAME?</v>
      </c>
      <c r="B7813" s="2" t="s">
        <v>12</v>
      </c>
      <c r="C7813" s="2" t="s">
        <v>12</v>
      </c>
      <c r="D7813" s="2" t="s">
        <v>12</v>
      </c>
      <c r="E7813" s="2" t="s">
        <v>12</v>
      </c>
      <c r="F7813" s="2" t="s">
        <v>12</v>
      </c>
      <c r="G7813" s="2" t="s">
        <v>12</v>
      </c>
      <c r="H7813" s="2" t="s">
        <v>12</v>
      </c>
      <c r="I7813" s="2" t="s">
        <v>12</v>
      </c>
      <c r="J7813" s="2" t="s">
        <v>12</v>
      </c>
      <c r="K7813" s="2" t="s">
        <v>12</v>
      </c>
    </row>
    <row r="7814" spans="1:11" ht="12.5" x14ac:dyDescent="0.25">
      <c r="A7814" s="3" t="e">
        <f ca="1"/>
        <v>#NAME?</v>
      </c>
      <c r="B7814" s="2" t="s">
        <v>12</v>
      </c>
      <c r="C7814" s="2" t="s">
        <v>12</v>
      </c>
      <c r="D7814" s="2" t="s">
        <v>12</v>
      </c>
      <c r="E7814" s="2" t="s">
        <v>12</v>
      </c>
      <c r="F7814" s="2" t="s">
        <v>12</v>
      </c>
      <c r="G7814" s="2" t="s">
        <v>12</v>
      </c>
      <c r="H7814" s="2" t="s">
        <v>12</v>
      </c>
      <c r="I7814" s="2" t="s">
        <v>12</v>
      </c>
      <c r="J7814" s="2" t="s">
        <v>12</v>
      </c>
      <c r="K7814" s="2" t="s">
        <v>12</v>
      </c>
    </row>
    <row r="7815" spans="1:11" ht="12.5" x14ac:dyDescent="0.25">
      <c r="A7815" s="3" t="e">
        <f ca="1"/>
        <v>#NAME?</v>
      </c>
      <c r="B7815" s="2" t="s">
        <v>12</v>
      </c>
      <c r="C7815" s="2" t="s">
        <v>12</v>
      </c>
      <c r="D7815" s="2" t="s">
        <v>12</v>
      </c>
      <c r="E7815" s="2" t="s">
        <v>12</v>
      </c>
      <c r="F7815" s="2" t="s">
        <v>12</v>
      </c>
      <c r="G7815" s="2" t="s">
        <v>12</v>
      </c>
      <c r="H7815" s="2" t="s">
        <v>12</v>
      </c>
      <c r="I7815" s="2" t="s">
        <v>12</v>
      </c>
      <c r="J7815" s="2" t="s">
        <v>12</v>
      </c>
      <c r="K7815" s="2" t="s">
        <v>12</v>
      </c>
    </row>
    <row r="7816" spans="1:11" ht="12.5" x14ac:dyDescent="0.25">
      <c r="A7816" s="3" t="e">
        <f ca="1"/>
        <v>#NAME?</v>
      </c>
      <c r="B7816" s="2" t="s">
        <v>12</v>
      </c>
      <c r="C7816" s="2" t="s">
        <v>12</v>
      </c>
      <c r="D7816" s="2" t="s">
        <v>12</v>
      </c>
      <c r="E7816" s="2" t="s">
        <v>12</v>
      </c>
      <c r="F7816" s="2" t="s">
        <v>12</v>
      </c>
      <c r="G7816" s="2" t="s">
        <v>12</v>
      </c>
      <c r="H7816" s="2" t="s">
        <v>12</v>
      </c>
      <c r="I7816" s="2" t="s">
        <v>12</v>
      </c>
      <c r="J7816" s="2" t="s">
        <v>12</v>
      </c>
      <c r="K7816" s="2" t="s">
        <v>12</v>
      </c>
    </row>
    <row r="7817" spans="1:11" ht="12.5" x14ac:dyDescent="0.25">
      <c r="A7817" s="3" t="e">
        <f ca="1"/>
        <v>#NAME?</v>
      </c>
      <c r="B7817" s="2" t="s">
        <v>12</v>
      </c>
      <c r="C7817" s="2" t="s">
        <v>12</v>
      </c>
      <c r="D7817" s="2" t="s">
        <v>12</v>
      </c>
      <c r="E7817" s="2" t="s">
        <v>12</v>
      </c>
      <c r="F7817" s="2" t="s">
        <v>12</v>
      </c>
      <c r="G7817" s="2" t="s">
        <v>12</v>
      </c>
      <c r="H7817" s="2" t="s">
        <v>12</v>
      </c>
      <c r="I7817" s="2" t="s">
        <v>12</v>
      </c>
      <c r="J7817" s="2" t="s">
        <v>12</v>
      </c>
      <c r="K7817" s="2" t="s">
        <v>12</v>
      </c>
    </row>
    <row r="7818" spans="1:11" ht="12.5" x14ac:dyDescent="0.25">
      <c r="A7818" s="3" t="e">
        <f ca="1"/>
        <v>#NAME?</v>
      </c>
      <c r="B7818" s="2" t="s">
        <v>12</v>
      </c>
      <c r="C7818" s="2" t="s">
        <v>12</v>
      </c>
      <c r="D7818" s="2" t="s">
        <v>12</v>
      </c>
      <c r="E7818" s="2" t="s">
        <v>12</v>
      </c>
      <c r="F7818" s="2" t="s">
        <v>12</v>
      </c>
      <c r="G7818" s="2" t="s">
        <v>12</v>
      </c>
      <c r="H7818" s="2" t="s">
        <v>12</v>
      </c>
      <c r="I7818" s="2" t="s">
        <v>12</v>
      </c>
      <c r="J7818" s="2" t="s">
        <v>12</v>
      </c>
      <c r="K7818" s="2" t="s">
        <v>12</v>
      </c>
    </row>
    <row r="7819" spans="1:11" ht="12.5" x14ac:dyDescent="0.25">
      <c r="A7819" s="3" t="e">
        <f ca="1"/>
        <v>#NAME?</v>
      </c>
      <c r="B7819" s="2" t="s">
        <v>12</v>
      </c>
      <c r="C7819" s="2" t="s">
        <v>12</v>
      </c>
      <c r="D7819" s="2" t="s">
        <v>12</v>
      </c>
      <c r="E7819" s="2" t="s">
        <v>12</v>
      </c>
      <c r="F7819" s="2" t="s">
        <v>12</v>
      </c>
      <c r="G7819" s="2" t="s">
        <v>12</v>
      </c>
      <c r="H7819" s="2" t="s">
        <v>12</v>
      </c>
      <c r="I7819" s="2" t="s">
        <v>12</v>
      </c>
      <c r="J7819" s="2" t="s">
        <v>12</v>
      </c>
      <c r="K7819" s="2" t="s">
        <v>12</v>
      </c>
    </row>
    <row r="7820" spans="1:11" ht="12.5" x14ac:dyDescent="0.25">
      <c r="A7820" s="3" t="e">
        <f ca="1"/>
        <v>#NAME?</v>
      </c>
      <c r="B7820" s="2" t="s">
        <v>12</v>
      </c>
      <c r="C7820" s="2" t="s">
        <v>12</v>
      </c>
      <c r="D7820" s="2" t="s">
        <v>12</v>
      </c>
      <c r="E7820" s="2" t="s">
        <v>12</v>
      </c>
      <c r="F7820" s="2" t="s">
        <v>12</v>
      </c>
      <c r="G7820" s="2" t="s">
        <v>12</v>
      </c>
      <c r="H7820" s="2" t="s">
        <v>12</v>
      </c>
      <c r="I7820" s="2" t="s">
        <v>12</v>
      </c>
      <c r="J7820" s="2" t="s">
        <v>12</v>
      </c>
      <c r="K7820" s="2" t="s">
        <v>12</v>
      </c>
    </row>
    <row r="7821" spans="1:11" ht="12.5" x14ac:dyDescent="0.25">
      <c r="A7821" s="3" t="e">
        <f ca="1"/>
        <v>#NAME?</v>
      </c>
      <c r="B7821" s="2" t="s">
        <v>12</v>
      </c>
      <c r="C7821" s="2" t="s">
        <v>12</v>
      </c>
      <c r="D7821" s="2" t="s">
        <v>12</v>
      </c>
      <c r="E7821" s="2" t="s">
        <v>12</v>
      </c>
      <c r="F7821" s="2" t="s">
        <v>12</v>
      </c>
      <c r="G7821" s="2" t="s">
        <v>12</v>
      </c>
      <c r="H7821" s="2" t="s">
        <v>12</v>
      </c>
      <c r="I7821" s="2" t="s">
        <v>12</v>
      </c>
      <c r="J7821" s="2" t="s">
        <v>12</v>
      </c>
      <c r="K7821" s="2" t="s">
        <v>12</v>
      </c>
    </row>
    <row r="7822" spans="1:11" ht="12.5" x14ac:dyDescent="0.25">
      <c r="A7822" s="3" t="e">
        <f ca="1"/>
        <v>#NAME?</v>
      </c>
      <c r="B7822" s="2" t="s">
        <v>12</v>
      </c>
      <c r="C7822" s="2" t="s">
        <v>12</v>
      </c>
      <c r="D7822" s="2" t="s">
        <v>12</v>
      </c>
      <c r="E7822" s="2" t="s">
        <v>12</v>
      </c>
      <c r="F7822" s="2" t="s">
        <v>12</v>
      </c>
      <c r="G7822" s="2" t="s">
        <v>12</v>
      </c>
      <c r="H7822" s="2" t="s">
        <v>12</v>
      </c>
      <c r="I7822" s="2" t="s">
        <v>12</v>
      </c>
      <c r="J7822" s="2" t="s">
        <v>12</v>
      </c>
      <c r="K7822" s="2" t="s">
        <v>12</v>
      </c>
    </row>
    <row r="7823" spans="1:11" ht="12.5" x14ac:dyDescent="0.25">
      <c r="A7823" s="3" t="e">
        <f ca="1"/>
        <v>#NAME?</v>
      </c>
      <c r="B7823" s="2" t="s">
        <v>12</v>
      </c>
      <c r="C7823" s="2" t="s">
        <v>12</v>
      </c>
      <c r="D7823" s="2" t="s">
        <v>12</v>
      </c>
      <c r="E7823" s="2" t="s">
        <v>12</v>
      </c>
      <c r="F7823" s="2" t="s">
        <v>12</v>
      </c>
      <c r="G7823" s="2" t="s">
        <v>12</v>
      </c>
      <c r="H7823" s="2" t="s">
        <v>12</v>
      </c>
      <c r="I7823" s="2" t="s">
        <v>12</v>
      </c>
      <c r="J7823" s="2" t="s">
        <v>12</v>
      </c>
      <c r="K7823" s="2" t="s">
        <v>12</v>
      </c>
    </row>
    <row r="7824" spans="1:11" ht="12.5" x14ac:dyDescent="0.25">
      <c r="A7824" s="3" t="e">
        <f ca="1"/>
        <v>#NAME?</v>
      </c>
      <c r="B7824" s="2" t="s">
        <v>12</v>
      </c>
      <c r="C7824" s="2" t="s">
        <v>12</v>
      </c>
      <c r="D7824" s="2" t="s">
        <v>12</v>
      </c>
      <c r="E7824" s="2" t="s">
        <v>12</v>
      </c>
      <c r="F7824" s="2" t="s">
        <v>12</v>
      </c>
      <c r="G7824" s="2" t="s">
        <v>12</v>
      </c>
      <c r="H7824" s="2" t="s">
        <v>12</v>
      </c>
      <c r="I7824" s="2" t="s">
        <v>12</v>
      </c>
      <c r="J7824" s="2" t="s">
        <v>12</v>
      </c>
      <c r="K7824" s="2" t="s">
        <v>12</v>
      </c>
    </row>
    <row r="7825" spans="1:11" ht="12.5" x14ac:dyDescent="0.25">
      <c r="A7825" s="3" t="e">
        <f ca="1"/>
        <v>#NAME?</v>
      </c>
      <c r="B7825" s="2" t="s">
        <v>12</v>
      </c>
      <c r="C7825" s="2" t="s">
        <v>12</v>
      </c>
      <c r="D7825" s="2" t="s">
        <v>12</v>
      </c>
      <c r="E7825" s="2" t="s">
        <v>12</v>
      </c>
      <c r="F7825" s="2" t="s">
        <v>12</v>
      </c>
      <c r="G7825" s="2" t="s">
        <v>12</v>
      </c>
      <c r="H7825" s="2" t="s">
        <v>12</v>
      </c>
      <c r="I7825" s="2" t="s">
        <v>12</v>
      </c>
      <c r="J7825" s="2" t="s">
        <v>12</v>
      </c>
      <c r="K7825" s="2" t="s">
        <v>12</v>
      </c>
    </row>
    <row r="7826" spans="1:11" ht="12.5" x14ac:dyDescent="0.25">
      <c r="A7826" s="3" t="e">
        <f ca="1"/>
        <v>#NAME?</v>
      </c>
      <c r="B7826" s="2" t="s">
        <v>12</v>
      </c>
      <c r="C7826" s="2" t="s">
        <v>12</v>
      </c>
      <c r="D7826" s="2" t="s">
        <v>12</v>
      </c>
      <c r="E7826" s="2" t="s">
        <v>12</v>
      </c>
      <c r="F7826" s="2" t="s">
        <v>12</v>
      </c>
      <c r="G7826" s="2" t="s">
        <v>12</v>
      </c>
      <c r="H7826" s="2" t="s">
        <v>12</v>
      </c>
      <c r="I7826" s="2" t="s">
        <v>12</v>
      </c>
      <c r="J7826" s="2" t="s">
        <v>12</v>
      </c>
      <c r="K7826" s="2" t="s">
        <v>12</v>
      </c>
    </row>
    <row r="7827" spans="1:11" ht="12.5" x14ac:dyDescent="0.25">
      <c r="A7827" s="3" t="e">
        <f ca="1"/>
        <v>#NAME?</v>
      </c>
      <c r="B7827" s="2" t="s">
        <v>12</v>
      </c>
      <c r="C7827" s="2" t="s">
        <v>12</v>
      </c>
      <c r="D7827" s="2" t="s">
        <v>12</v>
      </c>
      <c r="E7827" s="2" t="s">
        <v>12</v>
      </c>
      <c r="F7827" s="2" t="s">
        <v>12</v>
      </c>
      <c r="G7827" s="2" t="s">
        <v>12</v>
      </c>
      <c r="H7827" s="2" t="s">
        <v>12</v>
      </c>
      <c r="I7827" s="2" t="s">
        <v>12</v>
      </c>
      <c r="J7827" s="2" t="s">
        <v>12</v>
      </c>
      <c r="K7827" s="2" t="s">
        <v>12</v>
      </c>
    </row>
    <row r="7828" spans="1:11" ht="12.5" x14ac:dyDescent="0.25">
      <c r="A7828" s="3" t="e">
        <f ca="1"/>
        <v>#NAME?</v>
      </c>
      <c r="B7828" s="2" t="s">
        <v>12</v>
      </c>
      <c r="C7828" s="2" t="s">
        <v>12</v>
      </c>
      <c r="D7828" s="2" t="s">
        <v>12</v>
      </c>
      <c r="E7828" s="2" t="s">
        <v>12</v>
      </c>
      <c r="F7828" s="2" t="s">
        <v>12</v>
      </c>
      <c r="G7828" s="2" t="s">
        <v>12</v>
      </c>
      <c r="H7828" s="2" t="s">
        <v>12</v>
      </c>
      <c r="I7828" s="2" t="s">
        <v>12</v>
      </c>
      <c r="J7828" s="2" t="s">
        <v>12</v>
      </c>
      <c r="K7828" s="2" t="s">
        <v>12</v>
      </c>
    </row>
    <row r="7829" spans="1:11" ht="12.5" x14ac:dyDescent="0.25">
      <c r="A7829" s="3" t="e">
        <f ca="1"/>
        <v>#NAME?</v>
      </c>
      <c r="B7829" s="2" t="s">
        <v>12</v>
      </c>
      <c r="C7829" s="2" t="s">
        <v>12</v>
      </c>
      <c r="D7829" s="2" t="s">
        <v>12</v>
      </c>
      <c r="E7829" s="2" t="s">
        <v>12</v>
      </c>
      <c r="F7829" s="2" t="s">
        <v>12</v>
      </c>
      <c r="G7829" s="2" t="s">
        <v>12</v>
      </c>
      <c r="H7829" s="2" t="s">
        <v>12</v>
      </c>
      <c r="I7829" s="2" t="s">
        <v>12</v>
      </c>
      <c r="J7829" s="2" t="s">
        <v>12</v>
      </c>
      <c r="K7829" s="2" t="s">
        <v>12</v>
      </c>
    </row>
    <row r="7830" spans="1:11" ht="12.5" x14ac:dyDescent="0.25">
      <c r="A7830" s="3" t="e">
        <f ca="1"/>
        <v>#NAME?</v>
      </c>
      <c r="B7830" s="2" t="s">
        <v>12</v>
      </c>
      <c r="C7830" s="2" t="s">
        <v>12</v>
      </c>
      <c r="D7830" s="2" t="s">
        <v>12</v>
      </c>
      <c r="E7830" s="2" t="s">
        <v>12</v>
      </c>
      <c r="F7830" s="2" t="s">
        <v>12</v>
      </c>
      <c r="G7830" s="2" t="s">
        <v>12</v>
      </c>
      <c r="H7830" s="2" t="s">
        <v>12</v>
      </c>
      <c r="I7830" s="2" t="s">
        <v>12</v>
      </c>
      <c r="J7830" s="2" t="s">
        <v>12</v>
      </c>
      <c r="K7830" s="2" t="s">
        <v>12</v>
      </c>
    </row>
    <row r="7831" spans="1:11" ht="12.5" x14ac:dyDescent="0.25">
      <c r="A7831" s="3" t="e">
        <f ca="1"/>
        <v>#NAME?</v>
      </c>
      <c r="B7831" s="2" t="s">
        <v>12</v>
      </c>
      <c r="C7831" s="2" t="s">
        <v>12</v>
      </c>
      <c r="D7831" s="2" t="s">
        <v>12</v>
      </c>
      <c r="E7831" s="2" t="s">
        <v>12</v>
      </c>
      <c r="F7831" s="2" t="s">
        <v>12</v>
      </c>
      <c r="G7831" s="2" t="s">
        <v>12</v>
      </c>
      <c r="H7831" s="2" t="s">
        <v>12</v>
      </c>
      <c r="I7831" s="2" t="s">
        <v>12</v>
      </c>
      <c r="J7831" s="2" t="s">
        <v>12</v>
      </c>
      <c r="K7831" s="2" t="s">
        <v>12</v>
      </c>
    </row>
    <row r="7832" spans="1:11" ht="12.5" x14ac:dyDescent="0.25">
      <c r="A7832" s="3" t="e">
        <f ca="1"/>
        <v>#NAME?</v>
      </c>
      <c r="B7832" s="2" t="s">
        <v>12</v>
      </c>
      <c r="C7832" s="2" t="s">
        <v>12</v>
      </c>
      <c r="D7832" s="2" t="s">
        <v>12</v>
      </c>
      <c r="E7832" s="2" t="s">
        <v>12</v>
      </c>
      <c r="F7832" s="2" t="s">
        <v>12</v>
      </c>
      <c r="G7832" s="2" t="s">
        <v>12</v>
      </c>
      <c r="H7832" s="2" t="s">
        <v>12</v>
      </c>
      <c r="I7832" s="2" t="s">
        <v>12</v>
      </c>
      <c r="J7832" s="2" t="s">
        <v>12</v>
      </c>
      <c r="K7832" s="2" t="s">
        <v>12</v>
      </c>
    </row>
    <row r="7833" spans="1:11" ht="12.5" x14ac:dyDescent="0.25">
      <c r="A7833" s="3" t="e">
        <f ca="1"/>
        <v>#NAME?</v>
      </c>
      <c r="B7833" s="2" t="s">
        <v>12</v>
      </c>
      <c r="C7833" s="2" t="s">
        <v>12</v>
      </c>
      <c r="D7833" s="2" t="s">
        <v>12</v>
      </c>
      <c r="E7833" s="2" t="s">
        <v>12</v>
      </c>
      <c r="F7833" s="2" t="s">
        <v>12</v>
      </c>
      <c r="G7833" s="2" t="s">
        <v>12</v>
      </c>
      <c r="H7833" s="2" t="s">
        <v>12</v>
      </c>
      <c r="I7833" s="2" t="s">
        <v>12</v>
      </c>
      <c r="J7833" s="2" t="s">
        <v>12</v>
      </c>
      <c r="K7833" s="2" t="s">
        <v>12</v>
      </c>
    </row>
    <row r="7834" spans="1:11" ht="12.5" x14ac:dyDescent="0.25">
      <c r="A7834" s="3" t="e">
        <f ca="1"/>
        <v>#NAME?</v>
      </c>
      <c r="B7834" s="2" t="s">
        <v>12</v>
      </c>
      <c r="C7834" s="2" t="s">
        <v>12</v>
      </c>
      <c r="D7834" s="2" t="s">
        <v>12</v>
      </c>
      <c r="E7834" s="2" t="s">
        <v>12</v>
      </c>
      <c r="F7834" s="2" t="s">
        <v>12</v>
      </c>
      <c r="G7834" s="2" t="s">
        <v>12</v>
      </c>
      <c r="H7834" s="2" t="s">
        <v>12</v>
      </c>
      <c r="I7834" s="2" t="s">
        <v>12</v>
      </c>
      <c r="J7834" s="2" t="s">
        <v>12</v>
      </c>
      <c r="K7834" s="2" t="s">
        <v>12</v>
      </c>
    </row>
    <row r="7835" spans="1:11" ht="12.5" x14ac:dyDescent="0.25">
      <c r="A7835" s="3" t="e">
        <f ca="1"/>
        <v>#NAME?</v>
      </c>
      <c r="B7835" s="2" t="s">
        <v>12</v>
      </c>
      <c r="C7835" s="2" t="s">
        <v>12</v>
      </c>
      <c r="D7835" s="2" t="s">
        <v>12</v>
      </c>
      <c r="E7835" s="2" t="s">
        <v>12</v>
      </c>
      <c r="F7835" s="2" t="s">
        <v>12</v>
      </c>
      <c r="G7835" s="2" t="s">
        <v>12</v>
      </c>
      <c r="H7835" s="2" t="s">
        <v>12</v>
      </c>
      <c r="I7835" s="2" t="s">
        <v>12</v>
      </c>
      <c r="J7835" s="2" t="s">
        <v>12</v>
      </c>
      <c r="K7835" s="2" t="s">
        <v>12</v>
      </c>
    </row>
    <row r="7836" spans="1:11" ht="12.5" x14ac:dyDescent="0.25">
      <c r="A7836" s="3" t="e">
        <f ca="1"/>
        <v>#NAME?</v>
      </c>
      <c r="B7836" s="2" t="s">
        <v>12</v>
      </c>
      <c r="C7836" s="2" t="s">
        <v>12</v>
      </c>
      <c r="D7836" s="2" t="s">
        <v>12</v>
      </c>
      <c r="E7836" s="2" t="s">
        <v>12</v>
      </c>
      <c r="F7836" s="2" t="s">
        <v>12</v>
      </c>
      <c r="G7836" s="2" t="s">
        <v>12</v>
      </c>
      <c r="H7836" s="2" t="s">
        <v>12</v>
      </c>
      <c r="I7836" s="2" t="s">
        <v>12</v>
      </c>
      <c r="J7836" s="2" t="s">
        <v>12</v>
      </c>
      <c r="K7836" s="2" t="s">
        <v>12</v>
      </c>
    </row>
    <row r="7837" spans="1:11" ht="12.5" x14ac:dyDescent="0.25">
      <c r="A7837" s="3" t="e">
        <f ca="1"/>
        <v>#NAME?</v>
      </c>
      <c r="B7837" s="2" t="s">
        <v>12</v>
      </c>
      <c r="C7837" s="2" t="s">
        <v>12</v>
      </c>
      <c r="D7837" s="2" t="s">
        <v>12</v>
      </c>
      <c r="E7837" s="2" t="s">
        <v>12</v>
      </c>
      <c r="F7837" s="2" t="s">
        <v>12</v>
      </c>
      <c r="G7837" s="2" t="s">
        <v>12</v>
      </c>
      <c r="H7837" s="2" t="s">
        <v>12</v>
      </c>
      <c r="I7837" s="2" t="s">
        <v>12</v>
      </c>
      <c r="J7837" s="2" t="s">
        <v>12</v>
      </c>
      <c r="K7837" s="2" t="s">
        <v>12</v>
      </c>
    </row>
    <row r="7838" spans="1:11" ht="12.5" x14ac:dyDescent="0.25">
      <c r="A7838" s="3" t="e">
        <f ca="1"/>
        <v>#NAME?</v>
      </c>
      <c r="B7838" s="2" t="s">
        <v>12</v>
      </c>
      <c r="C7838" s="2" t="s">
        <v>12</v>
      </c>
      <c r="D7838" s="2" t="s">
        <v>12</v>
      </c>
      <c r="E7838" s="2" t="s">
        <v>12</v>
      </c>
      <c r="F7838" s="2" t="s">
        <v>12</v>
      </c>
      <c r="G7838" s="2" t="s">
        <v>12</v>
      </c>
      <c r="H7838" s="2" t="s">
        <v>12</v>
      </c>
      <c r="I7838" s="2" t="s">
        <v>12</v>
      </c>
      <c r="J7838" s="2" t="s">
        <v>12</v>
      </c>
      <c r="K7838" s="2" t="s">
        <v>12</v>
      </c>
    </row>
    <row r="7839" spans="1:11" ht="12.5" x14ac:dyDescent="0.25">
      <c r="A7839" s="3" t="e">
        <f ca="1"/>
        <v>#NAME?</v>
      </c>
      <c r="B7839" s="2" t="s">
        <v>12</v>
      </c>
      <c r="C7839" s="2" t="s">
        <v>12</v>
      </c>
      <c r="D7839" s="2" t="s">
        <v>12</v>
      </c>
      <c r="E7839" s="2" t="s">
        <v>12</v>
      </c>
      <c r="F7839" s="2" t="s">
        <v>12</v>
      </c>
      <c r="G7839" s="2" t="s">
        <v>12</v>
      </c>
      <c r="H7839" s="2" t="s">
        <v>12</v>
      </c>
      <c r="I7839" s="2" t="s">
        <v>12</v>
      </c>
      <c r="J7839" s="2" t="s">
        <v>12</v>
      </c>
      <c r="K7839" s="2" t="s">
        <v>12</v>
      </c>
    </row>
    <row r="7840" spans="1:11" ht="12.5" x14ac:dyDescent="0.25">
      <c r="A7840" s="3" t="e">
        <f ca="1"/>
        <v>#NAME?</v>
      </c>
      <c r="B7840" s="2" t="s">
        <v>12</v>
      </c>
      <c r="C7840" s="2" t="s">
        <v>12</v>
      </c>
      <c r="D7840" s="2" t="s">
        <v>12</v>
      </c>
      <c r="E7840" s="2" t="s">
        <v>12</v>
      </c>
      <c r="F7840" s="2" t="s">
        <v>12</v>
      </c>
      <c r="G7840" s="2" t="s">
        <v>12</v>
      </c>
      <c r="H7840" s="2" t="s">
        <v>12</v>
      </c>
      <c r="I7840" s="2" t="s">
        <v>12</v>
      </c>
      <c r="J7840" s="2" t="s">
        <v>12</v>
      </c>
      <c r="K7840" s="2" t="s">
        <v>12</v>
      </c>
    </row>
    <row r="7841" spans="1:11" ht="12.5" x14ac:dyDescent="0.25">
      <c r="A7841" s="3" t="e">
        <f ca="1"/>
        <v>#NAME?</v>
      </c>
      <c r="B7841" s="2" t="s">
        <v>12</v>
      </c>
      <c r="C7841" s="2" t="s">
        <v>12</v>
      </c>
      <c r="D7841" s="2" t="s">
        <v>12</v>
      </c>
      <c r="E7841" s="2" t="s">
        <v>12</v>
      </c>
      <c r="F7841" s="2" t="s">
        <v>12</v>
      </c>
      <c r="G7841" s="2" t="s">
        <v>12</v>
      </c>
      <c r="H7841" s="2" t="s">
        <v>12</v>
      </c>
      <c r="I7841" s="2" t="s">
        <v>12</v>
      </c>
      <c r="J7841" s="2" t="s">
        <v>12</v>
      </c>
      <c r="K7841" s="2" t="s">
        <v>12</v>
      </c>
    </row>
    <row r="7842" spans="1:11" ht="12.5" x14ac:dyDescent="0.25">
      <c r="A7842" s="3" t="e">
        <f ca="1"/>
        <v>#NAME?</v>
      </c>
      <c r="B7842" s="2" t="s">
        <v>12</v>
      </c>
      <c r="C7842" s="2" t="s">
        <v>12</v>
      </c>
      <c r="D7842" s="2" t="s">
        <v>12</v>
      </c>
      <c r="E7842" s="2" t="s">
        <v>12</v>
      </c>
      <c r="F7842" s="2" t="s">
        <v>12</v>
      </c>
      <c r="G7842" s="2" t="s">
        <v>12</v>
      </c>
      <c r="H7842" s="2" t="s">
        <v>12</v>
      </c>
      <c r="I7842" s="2" t="s">
        <v>12</v>
      </c>
      <c r="J7842" s="2" t="s">
        <v>12</v>
      </c>
      <c r="K7842" s="2" t="s">
        <v>12</v>
      </c>
    </row>
    <row r="7843" spans="1:11" ht="12.5" x14ac:dyDescent="0.25">
      <c r="A7843" s="3" t="e">
        <f ca="1"/>
        <v>#NAME?</v>
      </c>
      <c r="B7843" s="2" t="s">
        <v>12</v>
      </c>
      <c r="C7843" s="2" t="s">
        <v>12</v>
      </c>
      <c r="D7843" s="2" t="s">
        <v>12</v>
      </c>
      <c r="E7843" s="2" t="s">
        <v>12</v>
      </c>
      <c r="F7843" s="2" t="s">
        <v>12</v>
      </c>
      <c r="G7843" s="2" t="s">
        <v>12</v>
      </c>
      <c r="H7843" s="2" t="s">
        <v>12</v>
      </c>
      <c r="I7843" s="2" t="s">
        <v>12</v>
      </c>
      <c r="J7843" s="2" t="s">
        <v>12</v>
      </c>
      <c r="K7843" s="2" t="s">
        <v>12</v>
      </c>
    </row>
    <row r="7844" spans="1:11" ht="12.5" x14ac:dyDescent="0.25">
      <c r="A7844" s="3" t="e">
        <f ca="1"/>
        <v>#NAME?</v>
      </c>
      <c r="B7844" s="2" t="s">
        <v>12</v>
      </c>
      <c r="C7844" s="2" t="s">
        <v>12</v>
      </c>
      <c r="D7844" s="2" t="s">
        <v>12</v>
      </c>
      <c r="E7844" s="2" t="s">
        <v>12</v>
      </c>
      <c r="F7844" s="2" t="s">
        <v>12</v>
      </c>
      <c r="G7844" s="2" t="s">
        <v>12</v>
      </c>
      <c r="H7844" s="2" t="s">
        <v>12</v>
      </c>
      <c r="I7844" s="2" t="s">
        <v>12</v>
      </c>
      <c r="J7844" s="2" t="s">
        <v>12</v>
      </c>
      <c r="K7844" s="2" t="s">
        <v>12</v>
      </c>
    </row>
    <row r="7845" spans="1:11" ht="12.5" x14ac:dyDescent="0.25">
      <c r="A7845" s="3" t="e">
        <f ca="1"/>
        <v>#NAME?</v>
      </c>
      <c r="B7845" s="2" t="s">
        <v>12</v>
      </c>
      <c r="C7845" s="2" t="s">
        <v>12</v>
      </c>
      <c r="D7845" s="2" t="s">
        <v>12</v>
      </c>
      <c r="E7845" s="2" t="s">
        <v>12</v>
      </c>
      <c r="F7845" s="2" t="s">
        <v>12</v>
      </c>
      <c r="G7845" s="2" t="s">
        <v>12</v>
      </c>
      <c r="H7845" s="2" t="s">
        <v>12</v>
      </c>
      <c r="I7845" s="2" t="s">
        <v>12</v>
      </c>
      <c r="J7845" s="2" t="s">
        <v>12</v>
      </c>
      <c r="K7845" s="2" t="s">
        <v>12</v>
      </c>
    </row>
    <row r="7846" spans="1:11" ht="12.5" x14ac:dyDescent="0.25">
      <c r="A7846" s="3" t="e">
        <f ca="1"/>
        <v>#NAME?</v>
      </c>
      <c r="B7846" s="2" t="s">
        <v>12</v>
      </c>
      <c r="C7846" s="2" t="s">
        <v>12</v>
      </c>
      <c r="D7846" s="2" t="s">
        <v>12</v>
      </c>
      <c r="E7846" s="2" t="s">
        <v>12</v>
      </c>
      <c r="F7846" s="2" t="s">
        <v>12</v>
      </c>
      <c r="G7846" s="2" t="s">
        <v>12</v>
      </c>
      <c r="H7846" s="2" t="s">
        <v>12</v>
      </c>
      <c r="I7846" s="2" t="s">
        <v>12</v>
      </c>
      <c r="J7846" s="2" t="s">
        <v>12</v>
      </c>
      <c r="K7846" s="2" t="s">
        <v>12</v>
      </c>
    </row>
    <row r="7847" spans="1:11" ht="12.5" x14ac:dyDescent="0.25">
      <c r="A7847" s="3" t="e">
        <f ca="1"/>
        <v>#NAME?</v>
      </c>
      <c r="B7847" s="2" t="s">
        <v>12</v>
      </c>
      <c r="C7847" s="2" t="s">
        <v>12</v>
      </c>
      <c r="D7847" s="2" t="s">
        <v>12</v>
      </c>
      <c r="E7847" s="2" t="s">
        <v>12</v>
      </c>
      <c r="F7847" s="2" t="s">
        <v>12</v>
      </c>
      <c r="G7847" s="2" t="s">
        <v>12</v>
      </c>
      <c r="H7847" s="2" t="s">
        <v>12</v>
      </c>
      <c r="I7847" s="2" t="s">
        <v>12</v>
      </c>
      <c r="J7847" s="2" t="s">
        <v>12</v>
      </c>
      <c r="K7847" s="2" t="s">
        <v>12</v>
      </c>
    </row>
    <row r="7848" spans="1:11" ht="12.5" x14ac:dyDescent="0.25">
      <c r="A7848" s="3" t="e">
        <f ca="1"/>
        <v>#NAME?</v>
      </c>
      <c r="B7848" s="2" t="s">
        <v>12</v>
      </c>
      <c r="C7848" s="2" t="s">
        <v>12</v>
      </c>
      <c r="D7848" s="2" t="s">
        <v>12</v>
      </c>
      <c r="E7848" s="2" t="s">
        <v>12</v>
      </c>
      <c r="F7848" s="2" t="s">
        <v>12</v>
      </c>
      <c r="G7848" s="2" t="s">
        <v>12</v>
      </c>
      <c r="H7848" s="2" t="s">
        <v>12</v>
      </c>
      <c r="I7848" s="2" t="s">
        <v>12</v>
      </c>
      <c r="J7848" s="2" t="s">
        <v>12</v>
      </c>
      <c r="K7848" s="2" t="s">
        <v>12</v>
      </c>
    </row>
    <row r="7849" spans="1:11" ht="12.5" x14ac:dyDescent="0.25">
      <c r="A7849" s="3" t="e">
        <f ca="1"/>
        <v>#NAME?</v>
      </c>
      <c r="B7849" s="2" t="s">
        <v>12</v>
      </c>
      <c r="C7849" s="2" t="s">
        <v>12</v>
      </c>
      <c r="D7849" s="2" t="s">
        <v>12</v>
      </c>
      <c r="E7849" s="2" t="s">
        <v>12</v>
      </c>
      <c r="F7849" s="2" t="s">
        <v>12</v>
      </c>
      <c r="G7849" s="2" t="s">
        <v>12</v>
      </c>
      <c r="H7849" s="2" t="s">
        <v>12</v>
      </c>
      <c r="I7849" s="2" t="s">
        <v>12</v>
      </c>
      <c r="J7849" s="2" t="s">
        <v>12</v>
      </c>
      <c r="K7849" s="2" t="s">
        <v>12</v>
      </c>
    </row>
    <row r="7850" spans="1:11" ht="12.5" x14ac:dyDescent="0.25">
      <c r="A7850" s="3" t="e">
        <f ca="1"/>
        <v>#NAME?</v>
      </c>
      <c r="B7850" s="2" t="s">
        <v>12</v>
      </c>
      <c r="C7850" s="2" t="s">
        <v>12</v>
      </c>
      <c r="D7850" s="2" t="s">
        <v>12</v>
      </c>
      <c r="E7850" s="2" t="s">
        <v>12</v>
      </c>
      <c r="F7850" s="2" t="s">
        <v>12</v>
      </c>
      <c r="G7850" s="2" t="s">
        <v>12</v>
      </c>
      <c r="H7850" s="2" t="s">
        <v>12</v>
      </c>
      <c r="I7850" s="2" t="s">
        <v>12</v>
      </c>
      <c r="J7850" s="2" t="s">
        <v>12</v>
      </c>
      <c r="K7850" s="2" t="s">
        <v>12</v>
      </c>
    </row>
    <row r="7851" spans="1:11" ht="12.5" x14ac:dyDescent="0.25">
      <c r="A7851" s="3" t="e">
        <f ca="1"/>
        <v>#NAME?</v>
      </c>
      <c r="B7851" s="2" t="s">
        <v>12</v>
      </c>
      <c r="C7851" s="2" t="s">
        <v>12</v>
      </c>
      <c r="D7851" s="2" t="s">
        <v>12</v>
      </c>
      <c r="E7851" s="2" t="s">
        <v>12</v>
      </c>
      <c r="F7851" s="2" t="s">
        <v>12</v>
      </c>
      <c r="G7851" s="2" t="s">
        <v>12</v>
      </c>
      <c r="H7851" s="2" t="s">
        <v>12</v>
      </c>
      <c r="I7851" s="2" t="s">
        <v>12</v>
      </c>
      <c r="J7851" s="2" t="s">
        <v>12</v>
      </c>
      <c r="K7851" s="2" t="s">
        <v>12</v>
      </c>
    </row>
    <row r="7852" spans="1:11" ht="12.5" x14ac:dyDescent="0.25">
      <c r="A7852" s="3" t="e">
        <f ca="1"/>
        <v>#NAME?</v>
      </c>
      <c r="B7852" s="2" t="s">
        <v>12</v>
      </c>
      <c r="C7852" s="2" t="s">
        <v>12</v>
      </c>
      <c r="D7852" s="2" t="s">
        <v>12</v>
      </c>
      <c r="E7852" s="2" t="s">
        <v>12</v>
      </c>
      <c r="F7852" s="2" t="s">
        <v>12</v>
      </c>
      <c r="G7852" s="2" t="s">
        <v>12</v>
      </c>
      <c r="H7852" s="2" t="s">
        <v>12</v>
      </c>
      <c r="I7852" s="2" t="s">
        <v>12</v>
      </c>
      <c r="J7852" s="2" t="s">
        <v>12</v>
      </c>
      <c r="K7852" s="2" t="s">
        <v>12</v>
      </c>
    </row>
    <row r="7853" spans="1:11" ht="12.5" x14ac:dyDescent="0.25">
      <c r="A7853" s="3" t="e">
        <f ca="1"/>
        <v>#NAME?</v>
      </c>
      <c r="B7853" s="2" t="s">
        <v>12</v>
      </c>
      <c r="C7853" s="2" t="s">
        <v>12</v>
      </c>
      <c r="D7853" s="2" t="s">
        <v>12</v>
      </c>
      <c r="E7853" s="2" t="s">
        <v>12</v>
      </c>
      <c r="F7853" s="2" t="s">
        <v>12</v>
      </c>
      <c r="G7853" s="2" t="s">
        <v>12</v>
      </c>
      <c r="H7853" s="2" t="s">
        <v>12</v>
      </c>
      <c r="I7853" s="2" t="s">
        <v>12</v>
      </c>
      <c r="J7853" s="2" t="s">
        <v>12</v>
      </c>
      <c r="K7853" s="2" t="s">
        <v>12</v>
      </c>
    </row>
    <row r="7854" spans="1:11" ht="12.5" x14ac:dyDescent="0.25">
      <c r="A7854" s="3" t="e">
        <f ca="1"/>
        <v>#NAME?</v>
      </c>
      <c r="B7854" s="2" t="s">
        <v>12</v>
      </c>
      <c r="C7854" s="2" t="s">
        <v>12</v>
      </c>
      <c r="D7854" s="2" t="s">
        <v>12</v>
      </c>
      <c r="E7854" s="2" t="s">
        <v>12</v>
      </c>
      <c r="F7854" s="2" t="s">
        <v>12</v>
      </c>
      <c r="G7854" s="2" t="s">
        <v>12</v>
      </c>
      <c r="H7854" s="2" t="s">
        <v>12</v>
      </c>
      <c r="I7854" s="2" t="s">
        <v>12</v>
      </c>
      <c r="J7854" s="2" t="s">
        <v>12</v>
      </c>
      <c r="K7854" s="2" t="s">
        <v>12</v>
      </c>
    </row>
    <row r="7855" spans="1:11" ht="12.5" x14ac:dyDescent="0.25">
      <c r="A7855" s="3" t="e">
        <f ca="1"/>
        <v>#NAME?</v>
      </c>
      <c r="B7855" s="2" t="s">
        <v>12</v>
      </c>
      <c r="C7855" s="2" t="s">
        <v>12</v>
      </c>
      <c r="D7855" s="2" t="s">
        <v>12</v>
      </c>
      <c r="E7855" s="2" t="s">
        <v>12</v>
      </c>
      <c r="F7855" s="2" t="s">
        <v>12</v>
      </c>
      <c r="G7855" s="2" t="s">
        <v>12</v>
      </c>
      <c r="H7855" s="2" t="s">
        <v>12</v>
      </c>
      <c r="I7855" s="2" t="s">
        <v>12</v>
      </c>
      <c r="J7855" s="2" t="s">
        <v>12</v>
      </c>
      <c r="K7855" s="2" t="s">
        <v>12</v>
      </c>
    </row>
    <row r="7856" spans="1:11" ht="12.5" x14ac:dyDescent="0.25">
      <c r="A7856" s="3" t="e">
        <f ca="1"/>
        <v>#NAME?</v>
      </c>
      <c r="B7856" s="2" t="s">
        <v>12</v>
      </c>
      <c r="C7856" s="2" t="s">
        <v>12</v>
      </c>
      <c r="D7856" s="2" t="s">
        <v>12</v>
      </c>
      <c r="E7856" s="2" t="s">
        <v>12</v>
      </c>
      <c r="F7856" s="2" t="s">
        <v>12</v>
      </c>
      <c r="G7856" s="2" t="s">
        <v>12</v>
      </c>
      <c r="H7856" s="2" t="s">
        <v>12</v>
      </c>
      <c r="I7856" s="2" t="s">
        <v>12</v>
      </c>
      <c r="J7856" s="2" t="s">
        <v>12</v>
      </c>
      <c r="K7856" s="2" t="s">
        <v>12</v>
      </c>
    </row>
    <row r="7857" spans="1:11" ht="12.5" x14ac:dyDescent="0.25">
      <c r="A7857" s="3" t="e">
        <f ca="1"/>
        <v>#NAME?</v>
      </c>
      <c r="B7857" s="2" t="s">
        <v>12</v>
      </c>
      <c r="C7857" s="2" t="s">
        <v>12</v>
      </c>
      <c r="D7857" s="2" t="s">
        <v>12</v>
      </c>
      <c r="E7857" s="2" t="s">
        <v>12</v>
      </c>
      <c r="F7857" s="2" t="s">
        <v>12</v>
      </c>
      <c r="G7857" s="2" t="s">
        <v>12</v>
      </c>
      <c r="H7857" s="2" t="s">
        <v>12</v>
      </c>
      <c r="I7857" s="2" t="s">
        <v>12</v>
      </c>
      <c r="J7857" s="2" t="s">
        <v>12</v>
      </c>
      <c r="K7857" s="2" t="s">
        <v>12</v>
      </c>
    </row>
    <row r="7858" spans="1:11" ht="12.5" x14ac:dyDescent="0.25">
      <c r="A7858" s="3" t="e">
        <f ca="1"/>
        <v>#NAME?</v>
      </c>
      <c r="B7858" s="2" t="s">
        <v>12</v>
      </c>
      <c r="C7858" s="2" t="s">
        <v>12</v>
      </c>
      <c r="D7858" s="2" t="s">
        <v>12</v>
      </c>
      <c r="E7858" s="2" t="s">
        <v>12</v>
      </c>
      <c r="F7858" s="2" t="s">
        <v>12</v>
      </c>
      <c r="G7858" s="2" t="s">
        <v>12</v>
      </c>
      <c r="H7858" s="2" t="s">
        <v>12</v>
      </c>
      <c r="I7858" s="2" t="s">
        <v>12</v>
      </c>
      <c r="J7858" s="2" t="s">
        <v>12</v>
      </c>
      <c r="K7858" s="2" t="s">
        <v>12</v>
      </c>
    </row>
    <row r="7859" spans="1:11" ht="12.5" x14ac:dyDescent="0.25">
      <c r="A7859" s="3" t="e">
        <f ca="1"/>
        <v>#NAME?</v>
      </c>
      <c r="B7859" s="2" t="s">
        <v>12</v>
      </c>
      <c r="C7859" s="2" t="s">
        <v>12</v>
      </c>
      <c r="D7859" s="2" t="s">
        <v>12</v>
      </c>
      <c r="E7859" s="2" t="s">
        <v>12</v>
      </c>
      <c r="F7859" s="2" t="s">
        <v>12</v>
      </c>
      <c r="G7859" s="2" t="s">
        <v>12</v>
      </c>
      <c r="H7859" s="2" t="s">
        <v>12</v>
      </c>
      <c r="I7859" s="2" t="s">
        <v>12</v>
      </c>
      <c r="J7859" s="2" t="s">
        <v>12</v>
      </c>
      <c r="K7859" s="2" t="s">
        <v>12</v>
      </c>
    </row>
    <row r="7860" spans="1:11" ht="12.5" x14ac:dyDescent="0.25">
      <c r="A7860" s="3" t="e">
        <f ca="1"/>
        <v>#NAME?</v>
      </c>
      <c r="B7860" s="2" t="s">
        <v>12</v>
      </c>
      <c r="C7860" s="2" t="s">
        <v>12</v>
      </c>
      <c r="D7860" s="2" t="s">
        <v>12</v>
      </c>
      <c r="E7860" s="2" t="s">
        <v>12</v>
      </c>
      <c r="F7860" s="2" t="s">
        <v>12</v>
      </c>
      <c r="G7860" s="2" t="s">
        <v>12</v>
      </c>
      <c r="H7860" s="2" t="s">
        <v>12</v>
      </c>
      <c r="I7860" s="2" t="s">
        <v>12</v>
      </c>
      <c r="J7860" s="2" t="s">
        <v>12</v>
      </c>
      <c r="K7860" s="2" t="s">
        <v>12</v>
      </c>
    </row>
    <row r="7861" spans="1:11" ht="12.5" x14ac:dyDescent="0.25">
      <c r="A7861" s="3" t="e">
        <f ca="1"/>
        <v>#NAME?</v>
      </c>
      <c r="B7861" s="2" t="s">
        <v>12</v>
      </c>
      <c r="C7861" s="2" t="s">
        <v>12</v>
      </c>
      <c r="D7861" s="2" t="s">
        <v>12</v>
      </c>
      <c r="E7861" s="2" t="s">
        <v>12</v>
      </c>
      <c r="F7861" s="2" t="s">
        <v>12</v>
      </c>
      <c r="G7861" s="2" t="s">
        <v>12</v>
      </c>
      <c r="H7861" s="2" t="s">
        <v>12</v>
      </c>
      <c r="I7861" s="2" t="s">
        <v>12</v>
      </c>
      <c r="J7861" s="2" t="s">
        <v>12</v>
      </c>
      <c r="K7861" s="2" t="s">
        <v>12</v>
      </c>
    </row>
    <row r="7862" spans="1:11" ht="12.5" x14ac:dyDescent="0.25">
      <c r="A7862" s="3" t="e">
        <f ca="1"/>
        <v>#NAME?</v>
      </c>
      <c r="B7862" s="2" t="s">
        <v>12</v>
      </c>
      <c r="C7862" s="2" t="s">
        <v>12</v>
      </c>
      <c r="D7862" s="2" t="s">
        <v>12</v>
      </c>
      <c r="E7862" s="2" t="s">
        <v>12</v>
      </c>
      <c r="F7862" s="2" t="s">
        <v>12</v>
      </c>
      <c r="G7862" s="2" t="s">
        <v>12</v>
      </c>
      <c r="H7862" s="2" t="s">
        <v>12</v>
      </c>
      <c r="I7862" s="2" t="s">
        <v>12</v>
      </c>
      <c r="J7862" s="2" t="s">
        <v>12</v>
      </c>
      <c r="K7862" s="2" t="s">
        <v>12</v>
      </c>
    </row>
    <row r="7863" spans="1:11" ht="12.5" x14ac:dyDescent="0.25">
      <c r="A7863" s="3" t="e">
        <f ca="1"/>
        <v>#NAME?</v>
      </c>
      <c r="B7863" s="2" t="s">
        <v>12</v>
      </c>
      <c r="C7863" s="2" t="s">
        <v>12</v>
      </c>
      <c r="D7863" s="2" t="s">
        <v>12</v>
      </c>
      <c r="E7863" s="2" t="s">
        <v>12</v>
      </c>
      <c r="F7863" s="2" t="s">
        <v>12</v>
      </c>
      <c r="G7863" s="2" t="s">
        <v>12</v>
      </c>
      <c r="H7863" s="2" t="s">
        <v>12</v>
      </c>
      <c r="I7863" s="2" t="s">
        <v>12</v>
      </c>
      <c r="J7863" s="2" t="s">
        <v>12</v>
      </c>
      <c r="K7863" s="2" t="s">
        <v>12</v>
      </c>
    </row>
    <row r="7864" spans="1:11" ht="12.5" x14ac:dyDescent="0.25">
      <c r="A7864" s="3" t="e">
        <f ca="1"/>
        <v>#NAME?</v>
      </c>
      <c r="B7864" s="2" t="s">
        <v>12</v>
      </c>
      <c r="C7864" s="2" t="s">
        <v>12</v>
      </c>
      <c r="D7864" s="2" t="s">
        <v>12</v>
      </c>
      <c r="E7864" s="2" t="s">
        <v>12</v>
      </c>
      <c r="F7864" s="2" t="s">
        <v>12</v>
      </c>
      <c r="G7864" s="2" t="s">
        <v>12</v>
      </c>
      <c r="H7864" s="2" t="s">
        <v>12</v>
      </c>
      <c r="I7864" s="2" t="s">
        <v>12</v>
      </c>
      <c r="J7864" s="2" t="s">
        <v>12</v>
      </c>
      <c r="K7864" s="2" t="s">
        <v>12</v>
      </c>
    </row>
    <row r="7865" spans="1:11" ht="12.5" x14ac:dyDescent="0.25">
      <c r="A7865" s="3" t="e">
        <f ca="1"/>
        <v>#NAME?</v>
      </c>
      <c r="B7865" s="2" t="s">
        <v>12</v>
      </c>
      <c r="C7865" s="2" t="s">
        <v>12</v>
      </c>
      <c r="D7865" s="2" t="s">
        <v>12</v>
      </c>
      <c r="E7865" s="2" t="s">
        <v>12</v>
      </c>
      <c r="F7865" s="2" t="s">
        <v>12</v>
      </c>
      <c r="G7865" s="2" t="s">
        <v>12</v>
      </c>
      <c r="H7865" s="2" t="s">
        <v>12</v>
      </c>
      <c r="I7865" s="2" t="s">
        <v>12</v>
      </c>
      <c r="J7865" s="2" t="s">
        <v>12</v>
      </c>
      <c r="K7865" s="2" t="s">
        <v>12</v>
      </c>
    </row>
    <row r="7866" spans="1:11" ht="12.5" x14ac:dyDescent="0.25">
      <c r="A7866" s="3" t="e">
        <f ca="1"/>
        <v>#NAME?</v>
      </c>
      <c r="B7866" s="2" t="s">
        <v>12</v>
      </c>
      <c r="C7866" s="2" t="s">
        <v>12</v>
      </c>
      <c r="D7866" s="2" t="s">
        <v>12</v>
      </c>
      <c r="E7866" s="2" t="s">
        <v>12</v>
      </c>
      <c r="F7866" s="2" t="s">
        <v>12</v>
      </c>
      <c r="G7866" s="2" t="s">
        <v>12</v>
      </c>
      <c r="H7866" s="2" t="s">
        <v>12</v>
      </c>
      <c r="I7866" s="2" t="s">
        <v>12</v>
      </c>
      <c r="J7866" s="2" t="s">
        <v>12</v>
      </c>
      <c r="K7866" s="2" t="s">
        <v>12</v>
      </c>
    </row>
    <row r="7867" spans="1:11" ht="12.5" x14ac:dyDescent="0.25">
      <c r="A7867" s="3" t="e">
        <f ca="1"/>
        <v>#NAME?</v>
      </c>
      <c r="B7867" s="2" t="s">
        <v>12</v>
      </c>
      <c r="C7867" s="2" t="s">
        <v>12</v>
      </c>
      <c r="D7867" s="2" t="s">
        <v>12</v>
      </c>
      <c r="E7867" s="2" t="s">
        <v>12</v>
      </c>
      <c r="F7867" s="2" t="s">
        <v>12</v>
      </c>
      <c r="G7867" s="2" t="s">
        <v>12</v>
      </c>
      <c r="H7867" s="2" t="s">
        <v>12</v>
      </c>
      <c r="I7867" s="2" t="s">
        <v>12</v>
      </c>
      <c r="J7867" s="2" t="s">
        <v>12</v>
      </c>
      <c r="K7867" s="2" t="s">
        <v>12</v>
      </c>
    </row>
    <row r="7868" spans="1:11" ht="12.5" x14ac:dyDescent="0.25">
      <c r="A7868" s="3" t="e">
        <f ca="1"/>
        <v>#NAME?</v>
      </c>
      <c r="B7868" s="2" t="s">
        <v>12</v>
      </c>
      <c r="C7868" s="2" t="s">
        <v>12</v>
      </c>
      <c r="D7868" s="2" t="s">
        <v>12</v>
      </c>
      <c r="E7868" s="2" t="s">
        <v>12</v>
      </c>
      <c r="F7868" s="2" t="s">
        <v>12</v>
      </c>
      <c r="G7868" s="2" t="s">
        <v>12</v>
      </c>
      <c r="H7868" s="2" t="s">
        <v>12</v>
      </c>
      <c r="I7868" s="2" t="s">
        <v>12</v>
      </c>
      <c r="J7868" s="2" t="s">
        <v>12</v>
      </c>
      <c r="K7868" s="2" t="s">
        <v>12</v>
      </c>
    </row>
    <row r="7869" spans="1:11" ht="12.5" x14ac:dyDescent="0.25">
      <c r="A7869" s="3" t="e">
        <f ca="1"/>
        <v>#NAME?</v>
      </c>
      <c r="B7869" s="2" t="s">
        <v>12</v>
      </c>
      <c r="C7869" s="2" t="s">
        <v>12</v>
      </c>
      <c r="D7869" s="2" t="s">
        <v>12</v>
      </c>
      <c r="E7869" s="2" t="s">
        <v>12</v>
      </c>
      <c r="F7869" s="2" t="s">
        <v>12</v>
      </c>
      <c r="G7869" s="2" t="s">
        <v>12</v>
      </c>
      <c r="H7869" s="2" t="s">
        <v>12</v>
      </c>
      <c r="I7869" s="2" t="s">
        <v>12</v>
      </c>
      <c r="J7869" s="2" t="s">
        <v>12</v>
      </c>
      <c r="K7869" s="2" t="s">
        <v>12</v>
      </c>
    </row>
    <row r="7870" spans="1:11" ht="12.5" x14ac:dyDescent="0.25">
      <c r="A7870" s="3" t="e">
        <f ca="1"/>
        <v>#NAME?</v>
      </c>
      <c r="B7870" s="2" t="s">
        <v>12</v>
      </c>
      <c r="C7870" s="2" t="s">
        <v>12</v>
      </c>
      <c r="D7870" s="2" t="s">
        <v>12</v>
      </c>
      <c r="E7870" s="2" t="s">
        <v>12</v>
      </c>
      <c r="F7870" s="2" t="s">
        <v>12</v>
      </c>
      <c r="G7870" s="2" t="s">
        <v>12</v>
      </c>
      <c r="H7870" s="2" t="s">
        <v>12</v>
      </c>
      <c r="I7870" s="2" t="s">
        <v>12</v>
      </c>
      <c r="J7870" s="2" t="s">
        <v>12</v>
      </c>
      <c r="K7870" s="2" t="s">
        <v>12</v>
      </c>
    </row>
    <row r="7871" spans="1:11" ht="12.5" x14ac:dyDescent="0.25">
      <c r="A7871" s="3" t="e">
        <f ca="1"/>
        <v>#NAME?</v>
      </c>
      <c r="B7871" s="2" t="s">
        <v>12</v>
      </c>
      <c r="C7871" s="2" t="s">
        <v>12</v>
      </c>
      <c r="D7871" s="2" t="s">
        <v>12</v>
      </c>
      <c r="E7871" s="2" t="s">
        <v>12</v>
      </c>
      <c r="F7871" s="2" t="s">
        <v>12</v>
      </c>
      <c r="G7871" s="2" t="s">
        <v>12</v>
      </c>
      <c r="H7871" s="2" t="s">
        <v>12</v>
      </c>
      <c r="I7871" s="2" t="s">
        <v>12</v>
      </c>
      <c r="J7871" s="2" t="s">
        <v>12</v>
      </c>
      <c r="K7871" s="2" t="s">
        <v>12</v>
      </c>
    </row>
    <row r="7872" spans="1:11" ht="12.5" x14ac:dyDescent="0.25">
      <c r="A7872" s="3" t="e">
        <f ca="1"/>
        <v>#NAME?</v>
      </c>
      <c r="B7872" s="2" t="s">
        <v>12</v>
      </c>
      <c r="C7872" s="2" t="s">
        <v>12</v>
      </c>
      <c r="D7872" s="2" t="s">
        <v>12</v>
      </c>
      <c r="E7872" s="2" t="s">
        <v>12</v>
      </c>
      <c r="F7872" s="2" t="s">
        <v>12</v>
      </c>
      <c r="G7872" s="2" t="s">
        <v>12</v>
      </c>
      <c r="H7872" s="2" t="s">
        <v>12</v>
      </c>
      <c r="I7872" s="2" t="s">
        <v>12</v>
      </c>
      <c r="J7872" s="2" t="s">
        <v>12</v>
      </c>
      <c r="K7872" s="2" t="s">
        <v>12</v>
      </c>
    </row>
    <row r="7873" spans="1:11" ht="12.5" x14ac:dyDescent="0.25">
      <c r="A7873" s="3" t="e">
        <f ca="1"/>
        <v>#NAME?</v>
      </c>
      <c r="B7873" s="2" t="s">
        <v>12</v>
      </c>
      <c r="C7873" s="2" t="s">
        <v>12</v>
      </c>
      <c r="D7873" s="2" t="s">
        <v>12</v>
      </c>
      <c r="E7873" s="2" t="s">
        <v>12</v>
      </c>
      <c r="F7873" s="2" t="s">
        <v>12</v>
      </c>
      <c r="G7873" s="2" t="s">
        <v>12</v>
      </c>
      <c r="H7873" s="2" t="s">
        <v>12</v>
      </c>
      <c r="I7873" s="2" t="s">
        <v>12</v>
      </c>
      <c r="J7873" s="2" t="s">
        <v>12</v>
      </c>
      <c r="K7873" s="2" t="s">
        <v>12</v>
      </c>
    </row>
    <row r="7874" spans="1:11" ht="12.5" x14ac:dyDescent="0.25">
      <c r="A7874" s="3" t="e">
        <f ca="1"/>
        <v>#NAME?</v>
      </c>
      <c r="B7874" s="2" t="s">
        <v>12</v>
      </c>
      <c r="C7874" s="2" t="s">
        <v>12</v>
      </c>
      <c r="D7874" s="2" t="s">
        <v>12</v>
      </c>
      <c r="E7874" s="2" t="s">
        <v>12</v>
      </c>
      <c r="F7874" s="2" t="s">
        <v>12</v>
      </c>
      <c r="G7874" s="2" t="s">
        <v>12</v>
      </c>
      <c r="H7874" s="2" t="s">
        <v>12</v>
      </c>
      <c r="I7874" s="2" t="s">
        <v>12</v>
      </c>
      <c r="J7874" s="2" t="s">
        <v>12</v>
      </c>
      <c r="K7874" s="2" t="s">
        <v>12</v>
      </c>
    </row>
    <row r="7875" spans="1:11" ht="12.5" x14ac:dyDescent="0.25">
      <c r="A7875" s="3" t="e">
        <f ca="1"/>
        <v>#NAME?</v>
      </c>
      <c r="B7875" s="2" t="s">
        <v>12</v>
      </c>
      <c r="C7875" s="2" t="s">
        <v>12</v>
      </c>
      <c r="D7875" s="2" t="s">
        <v>12</v>
      </c>
      <c r="E7875" s="2" t="s">
        <v>12</v>
      </c>
      <c r="F7875" s="2" t="s">
        <v>12</v>
      </c>
      <c r="G7875" s="2" t="s">
        <v>12</v>
      </c>
      <c r="H7875" s="2" t="s">
        <v>12</v>
      </c>
      <c r="I7875" s="2" t="s">
        <v>12</v>
      </c>
      <c r="J7875" s="2" t="s">
        <v>12</v>
      </c>
      <c r="K7875" s="2" t="s">
        <v>12</v>
      </c>
    </row>
    <row r="7876" spans="1:11" ht="12.5" x14ac:dyDescent="0.25">
      <c r="A7876" s="3" t="e">
        <f ca="1"/>
        <v>#NAME?</v>
      </c>
      <c r="B7876" s="2" t="s">
        <v>12</v>
      </c>
      <c r="C7876" s="2" t="s">
        <v>12</v>
      </c>
      <c r="D7876" s="2" t="s">
        <v>12</v>
      </c>
      <c r="E7876" s="2" t="s">
        <v>12</v>
      </c>
      <c r="F7876" s="2" t="s">
        <v>12</v>
      </c>
      <c r="G7876" s="2" t="s">
        <v>12</v>
      </c>
      <c r="H7876" s="2" t="s">
        <v>12</v>
      </c>
      <c r="I7876" s="2" t="s">
        <v>12</v>
      </c>
      <c r="J7876" s="2" t="s">
        <v>12</v>
      </c>
      <c r="K7876" s="2" t="s">
        <v>12</v>
      </c>
    </row>
    <row r="7877" spans="1:11" ht="12.5" x14ac:dyDescent="0.25">
      <c r="A7877" s="3" t="e">
        <f ca="1"/>
        <v>#NAME?</v>
      </c>
      <c r="B7877" s="2" t="s">
        <v>12</v>
      </c>
      <c r="C7877" s="2" t="s">
        <v>12</v>
      </c>
      <c r="D7877" s="2" t="s">
        <v>12</v>
      </c>
      <c r="E7877" s="2" t="s">
        <v>12</v>
      </c>
      <c r="F7877" s="2" t="s">
        <v>12</v>
      </c>
      <c r="G7877" s="2" t="s">
        <v>12</v>
      </c>
      <c r="H7877" s="2" t="s">
        <v>12</v>
      </c>
      <c r="I7877" s="2" t="s">
        <v>12</v>
      </c>
      <c r="J7877" s="2" t="s">
        <v>12</v>
      </c>
      <c r="K7877" s="2" t="s">
        <v>12</v>
      </c>
    </row>
    <row r="7878" spans="1:11" ht="12.5" x14ac:dyDescent="0.25">
      <c r="A7878" s="3" t="e">
        <f ca="1"/>
        <v>#NAME?</v>
      </c>
      <c r="B7878" s="2" t="s">
        <v>12</v>
      </c>
      <c r="C7878" s="2" t="s">
        <v>12</v>
      </c>
      <c r="D7878" s="2" t="s">
        <v>12</v>
      </c>
      <c r="E7878" s="2" t="s">
        <v>12</v>
      </c>
      <c r="F7878" s="2" t="s">
        <v>12</v>
      </c>
      <c r="G7878" s="2" t="s">
        <v>12</v>
      </c>
      <c r="H7878" s="2" t="s">
        <v>12</v>
      </c>
      <c r="I7878" s="2" t="s">
        <v>12</v>
      </c>
      <c r="J7878" s="2" t="s">
        <v>12</v>
      </c>
      <c r="K7878" s="2" t="s">
        <v>12</v>
      </c>
    </row>
    <row r="7879" spans="1:11" ht="12.5" x14ac:dyDescent="0.25">
      <c r="A7879" s="3" t="e">
        <f ca="1"/>
        <v>#NAME?</v>
      </c>
      <c r="B7879" s="2" t="s">
        <v>12</v>
      </c>
      <c r="C7879" s="2" t="s">
        <v>12</v>
      </c>
      <c r="D7879" s="2" t="s">
        <v>12</v>
      </c>
      <c r="E7879" s="2" t="s">
        <v>12</v>
      </c>
      <c r="F7879" s="2" t="s">
        <v>12</v>
      </c>
      <c r="G7879" s="2" t="s">
        <v>12</v>
      </c>
      <c r="H7879" s="2" t="s">
        <v>12</v>
      </c>
      <c r="I7879" s="2" t="s">
        <v>12</v>
      </c>
      <c r="J7879" s="2" t="s">
        <v>12</v>
      </c>
      <c r="K7879" s="2" t="s">
        <v>12</v>
      </c>
    </row>
    <row r="7880" spans="1:11" ht="12.5" x14ac:dyDescent="0.25">
      <c r="A7880" s="3" t="e">
        <f ca="1"/>
        <v>#NAME?</v>
      </c>
      <c r="B7880" s="2" t="s">
        <v>12</v>
      </c>
      <c r="C7880" s="2" t="s">
        <v>12</v>
      </c>
      <c r="D7880" s="2" t="s">
        <v>12</v>
      </c>
      <c r="E7880" s="2" t="s">
        <v>12</v>
      </c>
      <c r="F7880" s="2" t="s">
        <v>12</v>
      </c>
      <c r="G7880" s="2" t="s">
        <v>12</v>
      </c>
      <c r="H7880" s="2" t="s">
        <v>12</v>
      </c>
      <c r="I7880" s="2" t="s">
        <v>12</v>
      </c>
      <c r="J7880" s="2" t="s">
        <v>12</v>
      </c>
      <c r="K7880" s="2" t="s">
        <v>12</v>
      </c>
    </row>
    <row r="7881" spans="1:11" ht="12.5" x14ac:dyDescent="0.25">
      <c r="A7881" s="3" t="e">
        <f ca="1"/>
        <v>#NAME?</v>
      </c>
      <c r="B7881" s="2" t="s">
        <v>12</v>
      </c>
      <c r="C7881" s="2" t="s">
        <v>12</v>
      </c>
      <c r="D7881" s="2" t="s">
        <v>12</v>
      </c>
      <c r="E7881" s="2" t="s">
        <v>12</v>
      </c>
      <c r="F7881" s="2" t="s">
        <v>12</v>
      </c>
      <c r="G7881" s="2" t="s">
        <v>12</v>
      </c>
      <c r="H7881" s="2" t="s">
        <v>12</v>
      </c>
      <c r="I7881" s="2" t="s">
        <v>12</v>
      </c>
      <c r="J7881" s="2" t="s">
        <v>12</v>
      </c>
      <c r="K7881" s="2" t="s">
        <v>12</v>
      </c>
    </row>
    <row r="7882" spans="1:11" ht="12.5" x14ac:dyDescent="0.25">
      <c r="A7882" s="3" t="e">
        <f ca="1"/>
        <v>#NAME?</v>
      </c>
      <c r="B7882" s="2" t="s">
        <v>12</v>
      </c>
      <c r="C7882" s="2" t="s">
        <v>12</v>
      </c>
      <c r="D7882" s="2" t="s">
        <v>12</v>
      </c>
      <c r="E7882" s="2" t="s">
        <v>12</v>
      </c>
      <c r="F7882" s="2" t="s">
        <v>12</v>
      </c>
      <c r="G7882" s="2" t="s">
        <v>12</v>
      </c>
      <c r="H7882" s="2" t="s">
        <v>12</v>
      </c>
      <c r="I7882" s="2" t="s">
        <v>12</v>
      </c>
      <c r="J7882" s="2" t="s">
        <v>12</v>
      </c>
      <c r="K7882" s="2" t="s">
        <v>12</v>
      </c>
    </row>
    <row r="7883" spans="1:11" ht="12.5" x14ac:dyDescent="0.25">
      <c r="A7883" s="3" t="e">
        <f ca="1"/>
        <v>#NAME?</v>
      </c>
      <c r="B7883" s="2" t="s">
        <v>12</v>
      </c>
      <c r="C7883" s="2" t="s">
        <v>12</v>
      </c>
      <c r="D7883" s="2" t="s">
        <v>12</v>
      </c>
      <c r="E7883" s="2" t="s">
        <v>12</v>
      </c>
      <c r="F7883" s="2" t="s">
        <v>12</v>
      </c>
      <c r="G7883" s="2" t="s">
        <v>12</v>
      </c>
      <c r="H7883" s="2" t="s">
        <v>12</v>
      </c>
      <c r="I7883" s="2" t="s">
        <v>12</v>
      </c>
      <c r="J7883" s="2" t="s">
        <v>12</v>
      </c>
      <c r="K7883" s="2" t="s">
        <v>12</v>
      </c>
    </row>
    <row r="7884" spans="1:11" ht="12.5" x14ac:dyDescent="0.25">
      <c r="A7884" s="3" t="e">
        <f ca="1"/>
        <v>#NAME?</v>
      </c>
      <c r="B7884" s="2" t="s">
        <v>12</v>
      </c>
      <c r="C7884" s="2" t="s">
        <v>12</v>
      </c>
      <c r="D7884" s="2" t="s">
        <v>12</v>
      </c>
      <c r="E7884" s="2" t="s">
        <v>12</v>
      </c>
      <c r="F7884" s="2" t="s">
        <v>12</v>
      </c>
      <c r="G7884" s="2" t="s">
        <v>12</v>
      </c>
      <c r="H7884" s="2" t="s">
        <v>12</v>
      </c>
      <c r="I7884" s="2" t="s">
        <v>12</v>
      </c>
      <c r="J7884" s="2" t="s">
        <v>12</v>
      </c>
      <c r="K7884" s="2" t="s">
        <v>12</v>
      </c>
    </row>
    <row r="7885" spans="1:11" ht="12.5" x14ac:dyDescent="0.25">
      <c r="A7885" s="3" t="e">
        <f ca="1"/>
        <v>#NAME?</v>
      </c>
      <c r="B7885" s="2" t="s">
        <v>12</v>
      </c>
      <c r="C7885" s="2" t="s">
        <v>12</v>
      </c>
      <c r="D7885" s="2" t="s">
        <v>12</v>
      </c>
      <c r="E7885" s="2" t="s">
        <v>12</v>
      </c>
      <c r="F7885" s="2" t="s">
        <v>12</v>
      </c>
      <c r="G7885" s="2" t="s">
        <v>12</v>
      </c>
      <c r="H7885" s="2" t="s">
        <v>12</v>
      </c>
      <c r="I7885" s="2" t="s">
        <v>12</v>
      </c>
      <c r="J7885" s="2" t="s">
        <v>12</v>
      </c>
      <c r="K7885" s="2" t="s">
        <v>12</v>
      </c>
    </row>
    <row r="7886" spans="1:11" ht="12.5" x14ac:dyDescent="0.25">
      <c r="A7886" s="3" t="e">
        <f ca="1"/>
        <v>#NAME?</v>
      </c>
      <c r="B7886" s="2" t="s">
        <v>12</v>
      </c>
      <c r="C7886" s="2" t="s">
        <v>12</v>
      </c>
      <c r="D7886" s="2" t="s">
        <v>12</v>
      </c>
      <c r="E7886" s="2" t="s">
        <v>12</v>
      </c>
      <c r="F7886" s="2" t="s">
        <v>12</v>
      </c>
      <c r="G7886" s="2" t="s">
        <v>12</v>
      </c>
      <c r="H7886" s="2" t="s">
        <v>12</v>
      </c>
      <c r="I7886" s="2" t="s">
        <v>12</v>
      </c>
      <c r="J7886" s="2" t="s">
        <v>12</v>
      </c>
      <c r="K7886" s="2" t="s">
        <v>12</v>
      </c>
    </row>
    <row r="7887" spans="1:11" ht="12.5" x14ac:dyDescent="0.25">
      <c r="A7887" s="3" t="e">
        <f ca="1"/>
        <v>#NAME?</v>
      </c>
      <c r="B7887" s="2" t="s">
        <v>12</v>
      </c>
      <c r="C7887" s="2" t="s">
        <v>12</v>
      </c>
      <c r="D7887" s="2" t="s">
        <v>12</v>
      </c>
      <c r="E7887" s="2" t="s">
        <v>12</v>
      </c>
      <c r="F7887" s="2" t="s">
        <v>12</v>
      </c>
      <c r="G7887" s="2" t="s">
        <v>12</v>
      </c>
      <c r="H7887" s="2" t="s">
        <v>12</v>
      </c>
      <c r="I7887" s="2" t="s">
        <v>12</v>
      </c>
      <c r="J7887" s="2" t="s">
        <v>12</v>
      </c>
      <c r="K7887" s="2" t="s">
        <v>12</v>
      </c>
    </row>
    <row r="7888" spans="1:11" ht="12.5" x14ac:dyDescent="0.25">
      <c r="A7888" s="3" t="e">
        <f ca="1"/>
        <v>#NAME?</v>
      </c>
      <c r="B7888" s="2" t="s">
        <v>12</v>
      </c>
      <c r="C7888" s="2" t="s">
        <v>12</v>
      </c>
      <c r="D7888" s="2" t="s">
        <v>12</v>
      </c>
      <c r="E7888" s="2" t="s">
        <v>12</v>
      </c>
      <c r="F7888" s="2" t="s">
        <v>12</v>
      </c>
      <c r="G7888" s="2" t="s">
        <v>12</v>
      </c>
      <c r="H7888" s="2" t="s">
        <v>12</v>
      </c>
      <c r="I7888" s="2" t="s">
        <v>12</v>
      </c>
      <c r="J7888" s="2" t="s">
        <v>12</v>
      </c>
      <c r="K7888" s="2" t="s">
        <v>12</v>
      </c>
    </row>
    <row r="7889" spans="1:11" ht="12.5" x14ac:dyDescent="0.25">
      <c r="A7889" s="3" t="e">
        <f ca="1"/>
        <v>#NAME?</v>
      </c>
      <c r="B7889" s="2" t="s">
        <v>12</v>
      </c>
      <c r="C7889" s="2" t="s">
        <v>12</v>
      </c>
      <c r="D7889" s="2" t="s">
        <v>12</v>
      </c>
      <c r="E7889" s="2" t="s">
        <v>12</v>
      </c>
      <c r="F7889" s="2" t="s">
        <v>12</v>
      </c>
      <c r="G7889" s="2" t="s">
        <v>12</v>
      </c>
      <c r="H7889" s="2" t="s">
        <v>12</v>
      </c>
      <c r="I7889" s="2" t="s">
        <v>12</v>
      </c>
      <c r="J7889" s="2" t="s">
        <v>12</v>
      </c>
      <c r="K7889" s="2" t="s">
        <v>12</v>
      </c>
    </row>
    <row r="7890" spans="1:11" ht="12.5" x14ac:dyDescent="0.25">
      <c r="A7890" s="3" t="e">
        <f ca="1"/>
        <v>#NAME?</v>
      </c>
      <c r="B7890" s="2" t="s">
        <v>12</v>
      </c>
      <c r="C7890" s="2" t="s">
        <v>12</v>
      </c>
      <c r="D7890" s="2" t="s">
        <v>12</v>
      </c>
      <c r="E7890" s="2" t="s">
        <v>12</v>
      </c>
      <c r="F7890" s="2" t="s">
        <v>12</v>
      </c>
      <c r="G7890" s="2" t="s">
        <v>12</v>
      </c>
      <c r="H7890" s="2" t="s">
        <v>12</v>
      </c>
      <c r="I7890" s="2" t="s">
        <v>12</v>
      </c>
      <c r="J7890" s="2" t="s">
        <v>12</v>
      </c>
      <c r="K7890" s="2" t="s">
        <v>12</v>
      </c>
    </row>
    <row r="7891" spans="1:11" ht="12.5" x14ac:dyDescent="0.25">
      <c r="A7891" s="3" t="e">
        <f ca="1"/>
        <v>#NAME?</v>
      </c>
      <c r="B7891" s="2" t="s">
        <v>12</v>
      </c>
      <c r="C7891" s="2" t="s">
        <v>12</v>
      </c>
      <c r="D7891" s="2" t="s">
        <v>12</v>
      </c>
      <c r="E7891" s="2" t="s">
        <v>12</v>
      </c>
      <c r="F7891" s="2" t="s">
        <v>12</v>
      </c>
      <c r="G7891" s="2" t="s">
        <v>12</v>
      </c>
      <c r="H7891" s="2" t="s">
        <v>12</v>
      </c>
      <c r="I7891" s="2" t="s">
        <v>12</v>
      </c>
      <c r="J7891" s="2" t="s">
        <v>12</v>
      </c>
      <c r="K7891" s="2" t="s">
        <v>12</v>
      </c>
    </row>
    <row r="7892" spans="1:11" ht="12.5" x14ac:dyDescent="0.25">
      <c r="A7892" s="3" t="e">
        <f ca="1"/>
        <v>#NAME?</v>
      </c>
      <c r="B7892" s="2" t="s">
        <v>12</v>
      </c>
      <c r="C7892" s="2" t="s">
        <v>12</v>
      </c>
      <c r="D7892" s="2" t="s">
        <v>12</v>
      </c>
      <c r="E7892" s="2" t="s">
        <v>12</v>
      </c>
      <c r="F7892" s="2" t="s">
        <v>12</v>
      </c>
      <c r="G7892" s="2" t="s">
        <v>12</v>
      </c>
      <c r="H7892" s="2" t="s">
        <v>12</v>
      </c>
      <c r="I7892" s="2" t="s">
        <v>12</v>
      </c>
      <c r="J7892" s="2" t="s">
        <v>12</v>
      </c>
      <c r="K7892" s="2" t="s">
        <v>12</v>
      </c>
    </row>
    <row r="7893" spans="1:11" ht="12.5" x14ac:dyDescent="0.25">
      <c r="A7893" s="3" t="e">
        <f ca="1"/>
        <v>#NAME?</v>
      </c>
      <c r="B7893" s="2" t="s">
        <v>12</v>
      </c>
      <c r="C7893" s="2" t="s">
        <v>12</v>
      </c>
      <c r="D7893" s="2" t="s">
        <v>12</v>
      </c>
      <c r="E7893" s="2" t="s">
        <v>12</v>
      </c>
      <c r="F7893" s="2" t="s">
        <v>12</v>
      </c>
      <c r="G7893" s="2" t="s">
        <v>12</v>
      </c>
      <c r="H7893" s="2" t="s">
        <v>12</v>
      </c>
      <c r="I7893" s="2" t="s">
        <v>12</v>
      </c>
      <c r="J7893" s="2" t="s">
        <v>12</v>
      </c>
      <c r="K7893" s="2" t="s">
        <v>12</v>
      </c>
    </row>
    <row r="7894" spans="1:11" ht="12.5" x14ac:dyDescent="0.25">
      <c r="A7894" s="3" t="e">
        <f ca="1"/>
        <v>#NAME?</v>
      </c>
      <c r="B7894" s="2" t="s">
        <v>12</v>
      </c>
      <c r="C7894" s="2" t="s">
        <v>12</v>
      </c>
      <c r="D7894" s="2" t="s">
        <v>12</v>
      </c>
      <c r="E7894" s="2" t="s">
        <v>12</v>
      </c>
      <c r="F7894" s="2" t="s">
        <v>12</v>
      </c>
      <c r="G7894" s="2" t="s">
        <v>12</v>
      </c>
      <c r="H7894" s="2" t="s">
        <v>12</v>
      </c>
      <c r="I7894" s="2" t="s">
        <v>12</v>
      </c>
      <c r="J7894" s="2" t="s">
        <v>12</v>
      </c>
      <c r="K7894" s="2" t="s">
        <v>12</v>
      </c>
    </row>
    <row r="7895" spans="1:11" ht="12.5" x14ac:dyDescent="0.25">
      <c r="A7895" s="3" t="e">
        <f ca="1"/>
        <v>#NAME?</v>
      </c>
      <c r="B7895" s="2" t="s">
        <v>12</v>
      </c>
      <c r="C7895" s="2" t="s">
        <v>12</v>
      </c>
      <c r="D7895" s="2" t="s">
        <v>12</v>
      </c>
      <c r="E7895" s="2" t="s">
        <v>12</v>
      </c>
      <c r="F7895" s="2" t="s">
        <v>12</v>
      </c>
      <c r="G7895" s="2" t="s">
        <v>12</v>
      </c>
      <c r="H7895" s="2" t="s">
        <v>12</v>
      </c>
      <c r="I7895" s="2" t="s">
        <v>12</v>
      </c>
      <c r="J7895" s="2" t="s">
        <v>12</v>
      </c>
      <c r="K7895" s="2" t="s">
        <v>12</v>
      </c>
    </row>
    <row r="7896" spans="1:11" ht="12.5" x14ac:dyDescent="0.25">
      <c r="A7896" s="3" t="e">
        <f ca="1"/>
        <v>#NAME?</v>
      </c>
      <c r="B7896" s="2" t="s">
        <v>12</v>
      </c>
      <c r="C7896" s="2" t="s">
        <v>12</v>
      </c>
      <c r="D7896" s="2" t="s">
        <v>12</v>
      </c>
      <c r="E7896" s="2" t="s">
        <v>12</v>
      </c>
      <c r="F7896" s="2" t="s">
        <v>12</v>
      </c>
      <c r="G7896" s="2" t="s">
        <v>12</v>
      </c>
      <c r="H7896" s="2" t="s">
        <v>12</v>
      </c>
      <c r="I7896" s="2" t="s">
        <v>12</v>
      </c>
      <c r="J7896" s="2" t="s">
        <v>12</v>
      </c>
      <c r="K7896" s="2" t="s">
        <v>12</v>
      </c>
    </row>
    <row r="7897" spans="1:11" ht="12.5" x14ac:dyDescent="0.25">
      <c r="A7897" s="3" t="e">
        <f ca="1"/>
        <v>#NAME?</v>
      </c>
      <c r="B7897" s="2" t="s">
        <v>12</v>
      </c>
      <c r="C7897" s="2" t="s">
        <v>12</v>
      </c>
      <c r="D7897" s="2" t="s">
        <v>12</v>
      </c>
      <c r="E7897" s="2" t="s">
        <v>12</v>
      </c>
      <c r="F7897" s="2" t="s">
        <v>12</v>
      </c>
      <c r="G7897" s="2" t="s">
        <v>12</v>
      </c>
      <c r="H7897" s="2" t="s">
        <v>12</v>
      </c>
      <c r="I7897" s="2" t="s">
        <v>12</v>
      </c>
      <c r="J7897" s="2" t="s">
        <v>12</v>
      </c>
      <c r="K7897" s="2" t="s">
        <v>12</v>
      </c>
    </row>
    <row r="7898" spans="1:11" ht="12.5" x14ac:dyDescent="0.25">
      <c r="A7898" s="3" t="e">
        <f ca="1"/>
        <v>#NAME?</v>
      </c>
      <c r="B7898" s="2" t="s">
        <v>12</v>
      </c>
      <c r="C7898" s="2" t="s">
        <v>12</v>
      </c>
      <c r="D7898" s="2" t="s">
        <v>12</v>
      </c>
      <c r="E7898" s="2" t="s">
        <v>12</v>
      </c>
      <c r="F7898" s="2" t="s">
        <v>12</v>
      </c>
      <c r="G7898" s="2" t="s">
        <v>12</v>
      </c>
      <c r="H7898" s="2" t="s">
        <v>12</v>
      </c>
      <c r="I7898" s="2" t="s">
        <v>12</v>
      </c>
      <c r="J7898" s="2" t="s">
        <v>12</v>
      </c>
      <c r="K7898" s="2" t="s">
        <v>12</v>
      </c>
    </row>
    <row r="7899" spans="1:11" ht="12.5" x14ac:dyDescent="0.25">
      <c r="A7899" s="3" t="e">
        <f ca="1"/>
        <v>#NAME?</v>
      </c>
      <c r="B7899" s="2" t="s">
        <v>12</v>
      </c>
      <c r="C7899" s="2" t="s">
        <v>12</v>
      </c>
      <c r="D7899" s="2" t="s">
        <v>12</v>
      </c>
      <c r="E7899" s="2" t="s">
        <v>12</v>
      </c>
      <c r="F7899" s="2" t="s">
        <v>12</v>
      </c>
      <c r="G7899" s="2" t="s">
        <v>12</v>
      </c>
      <c r="H7899" s="2" t="s">
        <v>12</v>
      </c>
      <c r="I7899" s="2" t="s">
        <v>12</v>
      </c>
      <c r="J7899" s="2" t="s">
        <v>12</v>
      </c>
      <c r="K7899" s="2" t="s">
        <v>12</v>
      </c>
    </row>
    <row r="7900" spans="1:11" ht="12.5" x14ac:dyDescent="0.25">
      <c r="A7900" s="3" t="e">
        <f ca="1"/>
        <v>#NAME?</v>
      </c>
      <c r="B7900" s="2" t="s">
        <v>12</v>
      </c>
      <c r="C7900" s="2" t="s">
        <v>12</v>
      </c>
      <c r="D7900" s="2" t="s">
        <v>12</v>
      </c>
      <c r="E7900" s="2" t="s">
        <v>12</v>
      </c>
      <c r="F7900" s="2" t="s">
        <v>12</v>
      </c>
      <c r="G7900" s="2" t="s">
        <v>12</v>
      </c>
      <c r="H7900" s="2" t="s">
        <v>12</v>
      </c>
      <c r="I7900" s="2" t="s">
        <v>12</v>
      </c>
      <c r="J7900" s="2" t="s">
        <v>12</v>
      </c>
      <c r="K7900" s="2" t="s">
        <v>12</v>
      </c>
    </row>
    <row r="7901" spans="1:11" ht="12.5" x14ac:dyDescent="0.25">
      <c r="A7901" s="3" t="e">
        <f ca="1"/>
        <v>#NAME?</v>
      </c>
      <c r="B7901" s="2" t="s">
        <v>12</v>
      </c>
      <c r="C7901" s="2" t="s">
        <v>12</v>
      </c>
      <c r="D7901" s="2" t="s">
        <v>12</v>
      </c>
      <c r="E7901" s="2" t="s">
        <v>12</v>
      </c>
      <c r="F7901" s="2" t="s">
        <v>12</v>
      </c>
      <c r="G7901" s="2" t="s">
        <v>12</v>
      </c>
      <c r="H7901" s="2" t="s">
        <v>12</v>
      </c>
      <c r="I7901" s="2" t="s">
        <v>12</v>
      </c>
      <c r="J7901" s="2" t="s">
        <v>12</v>
      </c>
      <c r="K7901" s="2" t="s">
        <v>12</v>
      </c>
    </row>
    <row r="7902" spans="1:11" ht="12.5" x14ac:dyDescent="0.25">
      <c r="A7902" s="3" t="e">
        <f ca="1"/>
        <v>#NAME?</v>
      </c>
      <c r="B7902" s="2" t="s">
        <v>12</v>
      </c>
      <c r="C7902" s="2" t="s">
        <v>12</v>
      </c>
      <c r="D7902" s="2" t="s">
        <v>12</v>
      </c>
      <c r="E7902" s="2" t="s">
        <v>12</v>
      </c>
      <c r="F7902" s="2" t="s">
        <v>12</v>
      </c>
      <c r="G7902" s="2" t="s">
        <v>12</v>
      </c>
      <c r="H7902" s="2" t="s">
        <v>12</v>
      </c>
      <c r="I7902" s="2" t="s">
        <v>12</v>
      </c>
      <c r="J7902" s="2" t="s">
        <v>12</v>
      </c>
      <c r="K7902" s="2" t="s">
        <v>12</v>
      </c>
    </row>
    <row r="7903" spans="1:11" ht="12.5" x14ac:dyDescent="0.25">
      <c r="A7903" s="3" t="e">
        <f ca="1"/>
        <v>#NAME?</v>
      </c>
      <c r="B7903" s="2" t="s">
        <v>12</v>
      </c>
      <c r="C7903" s="2" t="s">
        <v>12</v>
      </c>
      <c r="D7903" s="2" t="s">
        <v>12</v>
      </c>
      <c r="E7903" s="2" t="s">
        <v>12</v>
      </c>
      <c r="F7903" s="2" t="s">
        <v>12</v>
      </c>
      <c r="G7903" s="2" t="s">
        <v>12</v>
      </c>
      <c r="H7903" s="2" t="s">
        <v>12</v>
      </c>
      <c r="I7903" s="2" t="s">
        <v>12</v>
      </c>
      <c r="J7903" s="2" t="s">
        <v>12</v>
      </c>
      <c r="K7903" s="2" t="s">
        <v>12</v>
      </c>
    </row>
    <row r="7904" spans="1:11" ht="12.5" x14ac:dyDescent="0.25">
      <c r="A7904" s="3" t="e">
        <f ca="1"/>
        <v>#NAME?</v>
      </c>
      <c r="B7904" s="2" t="s">
        <v>12</v>
      </c>
      <c r="C7904" s="2" t="s">
        <v>12</v>
      </c>
      <c r="D7904" s="2" t="s">
        <v>12</v>
      </c>
      <c r="E7904" s="2" t="s">
        <v>12</v>
      </c>
      <c r="F7904" s="2" t="s">
        <v>12</v>
      </c>
      <c r="G7904" s="2" t="s">
        <v>12</v>
      </c>
      <c r="H7904" s="2" t="s">
        <v>12</v>
      </c>
      <c r="I7904" s="2" t="s">
        <v>12</v>
      </c>
      <c r="J7904" s="2" t="s">
        <v>12</v>
      </c>
      <c r="K7904" s="2" t="s">
        <v>12</v>
      </c>
    </row>
    <row r="7905" spans="1:11" ht="12.5" x14ac:dyDescent="0.25">
      <c r="A7905" s="3" t="e">
        <f ca="1"/>
        <v>#NAME?</v>
      </c>
      <c r="B7905" s="2" t="s">
        <v>12</v>
      </c>
      <c r="C7905" s="2" t="s">
        <v>12</v>
      </c>
      <c r="D7905" s="2" t="s">
        <v>12</v>
      </c>
      <c r="E7905" s="2" t="s">
        <v>12</v>
      </c>
      <c r="F7905" s="2" t="s">
        <v>12</v>
      </c>
      <c r="G7905" s="2" t="s">
        <v>12</v>
      </c>
      <c r="H7905" s="2" t="s">
        <v>12</v>
      </c>
      <c r="I7905" s="2" t="s">
        <v>12</v>
      </c>
      <c r="J7905" s="2" t="s">
        <v>12</v>
      </c>
      <c r="K7905" s="2" t="s">
        <v>12</v>
      </c>
    </row>
    <row r="7906" spans="1:11" ht="12.5" x14ac:dyDescent="0.25">
      <c r="A7906" s="3" t="e">
        <f ca="1"/>
        <v>#NAME?</v>
      </c>
      <c r="B7906" s="2" t="s">
        <v>12</v>
      </c>
      <c r="C7906" s="2" t="s">
        <v>12</v>
      </c>
      <c r="D7906" s="2" t="s">
        <v>12</v>
      </c>
      <c r="E7906" s="2" t="s">
        <v>12</v>
      </c>
      <c r="F7906" s="2" t="s">
        <v>12</v>
      </c>
      <c r="G7906" s="2" t="s">
        <v>12</v>
      </c>
      <c r="H7906" s="2" t="s">
        <v>12</v>
      </c>
      <c r="I7906" s="2" t="s">
        <v>12</v>
      </c>
      <c r="J7906" s="2" t="s">
        <v>12</v>
      </c>
      <c r="K7906" s="2" t="s">
        <v>12</v>
      </c>
    </row>
    <row r="7907" spans="1:11" ht="12.5" x14ac:dyDescent="0.25">
      <c r="A7907" s="3" t="e">
        <f ca="1"/>
        <v>#NAME?</v>
      </c>
      <c r="B7907" s="2" t="s">
        <v>12</v>
      </c>
      <c r="C7907" s="2" t="s">
        <v>12</v>
      </c>
      <c r="D7907" s="2" t="s">
        <v>12</v>
      </c>
      <c r="E7907" s="2" t="s">
        <v>12</v>
      </c>
      <c r="F7907" s="2" t="s">
        <v>12</v>
      </c>
      <c r="G7907" s="2" t="s">
        <v>12</v>
      </c>
      <c r="H7907" s="2" t="s">
        <v>12</v>
      </c>
      <c r="I7907" s="2" t="s">
        <v>12</v>
      </c>
      <c r="J7907" s="2" t="s">
        <v>12</v>
      </c>
      <c r="K7907" s="2" t="s">
        <v>12</v>
      </c>
    </row>
    <row r="7908" spans="1:11" ht="12.5" x14ac:dyDescent="0.25">
      <c r="A7908" s="3" t="e">
        <f ca="1"/>
        <v>#NAME?</v>
      </c>
      <c r="B7908" s="2" t="s">
        <v>12</v>
      </c>
      <c r="C7908" s="2" t="s">
        <v>12</v>
      </c>
      <c r="D7908" s="2" t="s">
        <v>12</v>
      </c>
      <c r="E7908" s="2" t="s">
        <v>12</v>
      </c>
      <c r="F7908" s="2" t="s">
        <v>12</v>
      </c>
      <c r="G7908" s="2" t="s">
        <v>12</v>
      </c>
      <c r="H7908" s="2" t="s">
        <v>12</v>
      </c>
      <c r="I7908" s="2" t="s">
        <v>12</v>
      </c>
      <c r="J7908" s="2" t="s">
        <v>12</v>
      </c>
      <c r="K7908" s="2" t="s">
        <v>12</v>
      </c>
    </row>
    <row r="7909" spans="1:11" ht="12.5" x14ac:dyDescent="0.25">
      <c r="A7909" s="3" t="e">
        <f ca="1"/>
        <v>#NAME?</v>
      </c>
      <c r="B7909" s="2" t="s">
        <v>12</v>
      </c>
      <c r="C7909" s="2" t="s">
        <v>12</v>
      </c>
      <c r="D7909" s="2" t="s">
        <v>12</v>
      </c>
      <c r="E7909" s="2" t="s">
        <v>12</v>
      </c>
      <c r="F7909" s="2" t="s">
        <v>12</v>
      </c>
      <c r="G7909" s="2" t="s">
        <v>12</v>
      </c>
      <c r="H7909" s="2" t="s">
        <v>12</v>
      </c>
      <c r="I7909" s="2" t="s">
        <v>12</v>
      </c>
      <c r="J7909" s="2" t="s">
        <v>12</v>
      </c>
      <c r="K7909" s="2" t="s">
        <v>12</v>
      </c>
    </row>
    <row r="7910" spans="1:11" ht="12.5" x14ac:dyDescent="0.25">
      <c r="A7910" s="3" t="e">
        <f ca="1"/>
        <v>#NAME?</v>
      </c>
      <c r="B7910" s="2" t="s">
        <v>12</v>
      </c>
      <c r="C7910" s="2" t="s">
        <v>12</v>
      </c>
      <c r="D7910" s="2" t="s">
        <v>12</v>
      </c>
      <c r="E7910" s="2" t="s">
        <v>12</v>
      </c>
      <c r="F7910" s="2" t="s">
        <v>12</v>
      </c>
      <c r="G7910" s="2" t="s">
        <v>12</v>
      </c>
      <c r="H7910" s="2" t="s">
        <v>12</v>
      </c>
      <c r="I7910" s="2" t="s">
        <v>12</v>
      </c>
      <c r="J7910" s="2" t="s">
        <v>12</v>
      </c>
      <c r="K7910" s="2" t="s">
        <v>12</v>
      </c>
    </row>
    <row r="7911" spans="1:11" ht="12.5" x14ac:dyDescent="0.25">
      <c r="A7911" s="3" t="e">
        <f ca="1"/>
        <v>#NAME?</v>
      </c>
      <c r="B7911" s="2" t="s">
        <v>12</v>
      </c>
      <c r="C7911" s="2" t="s">
        <v>12</v>
      </c>
      <c r="D7911" s="2" t="s">
        <v>12</v>
      </c>
      <c r="E7911" s="2" t="s">
        <v>12</v>
      </c>
      <c r="F7911" s="2" t="s">
        <v>12</v>
      </c>
      <c r="G7911" s="2" t="s">
        <v>12</v>
      </c>
      <c r="H7911" s="2" t="s">
        <v>12</v>
      </c>
      <c r="I7911" s="2" t="s">
        <v>12</v>
      </c>
      <c r="J7911" s="2" t="s">
        <v>12</v>
      </c>
      <c r="K7911" s="2" t="s">
        <v>12</v>
      </c>
    </row>
    <row r="7912" spans="1:11" ht="12.5" x14ac:dyDescent="0.25">
      <c r="A7912" s="3" t="e">
        <f ca="1"/>
        <v>#NAME?</v>
      </c>
      <c r="B7912" s="2" t="s">
        <v>12</v>
      </c>
      <c r="C7912" s="2" t="s">
        <v>12</v>
      </c>
      <c r="D7912" s="2" t="s">
        <v>12</v>
      </c>
      <c r="E7912" s="2" t="s">
        <v>12</v>
      </c>
      <c r="F7912" s="2" t="s">
        <v>12</v>
      </c>
      <c r="G7912" s="2" t="s">
        <v>12</v>
      </c>
      <c r="H7912" s="2" t="s">
        <v>12</v>
      </c>
      <c r="I7912" s="2" t="s">
        <v>12</v>
      </c>
      <c r="J7912" s="2" t="s">
        <v>12</v>
      </c>
      <c r="K7912" s="2" t="s">
        <v>12</v>
      </c>
    </row>
    <row r="7913" spans="1:11" ht="12.5" x14ac:dyDescent="0.25">
      <c r="A7913" s="3" t="e">
        <f ca="1"/>
        <v>#NAME?</v>
      </c>
      <c r="B7913" s="2" t="s">
        <v>12</v>
      </c>
      <c r="C7913" s="2" t="s">
        <v>12</v>
      </c>
      <c r="D7913" s="2" t="s">
        <v>12</v>
      </c>
      <c r="E7913" s="2" t="s">
        <v>12</v>
      </c>
      <c r="F7913" s="2" t="s">
        <v>12</v>
      </c>
      <c r="G7913" s="2" t="s">
        <v>12</v>
      </c>
      <c r="H7913" s="2" t="s">
        <v>12</v>
      </c>
      <c r="I7913" s="2" t="s">
        <v>12</v>
      </c>
      <c r="J7913" s="2" t="s">
        <v>12</v>
      </c>
      <c r="K7913" s="2" t="s">
        <v>12</v>
      </c>
    </row>
    <row r="7914" spans="1:11" ht="12.5" x14ac:dyDescent="0.25">
      <c r="A7914" s="3" t="e">
        <f ca="1"/>
        <v>#NAME?</v>
      </c>
      <c r="B7914" s="2" t="s">
        <v>12</v>
      </c>
      <c r="C7914" s="2" t="s">
        <v>12</v>
      </c>
      <c r="D7914" s="2" t="s">
        <v>12</v>
      </c>
      <c r="E7914" s="2" t="s">
        <v>12</v>
      </c>
      <c r="F7914" s="2" t="s">
        <v>12</v>
      </c>
      <c r="G7914" s="2" t="s">
        <v>12</v>
      </c>
      <c r="H7914" s="2" t="s">
        <v>12</v>
      </c>
      <c r="I7914" s="2" t="s">
        <v>12</v>
      </c>
      <c r="J7914" s="2" t="s">
        <v>12</v>
      </c>
      <c r="K7914" s="2" t="s">
        <v>12</v>
      </c>
    </row>
    <row r="7915" spans="1:11" ht="12.5" x14ac:dyDescent="0.25">
      <c r="A7915" s="3" t="e">
        <f ca="1"/>
        <v>#NAME?</v>
      </c>
      <c r="B7915" s="2" t="s">
        <v>12</v>
      </c>
      <c r="C7915" s="2" t="s">
        <v>12</v>
      </c>
      <c r="D7915" s="2" t="s">
        <v>12</v>
      </c>
      <c r="E7915" s="2" t="s">
        <v>12</v>
      </c>
      <c r="F7915" s="2" t="s">
        <v>12</v>
      </c>
      <c r="G7915" s="2" t="s">
        <v>12</v>
      </c>
      <c r="H7915" s="2" t="s">
        <v>12</v>
      </c>
      <c r="I7915" s="2" t="s">
        <v>12</v>
      </c>
      <c r="J7915" s="2" t="s">
        <v>12</v>
      </c>
      <c r="K7915" s="2" t="s">
        <v>12</v>
      </c>
    </row>
    <row r="7916" spans="1:11" ht="12.5" x14ac:dyDescent="0.25">
      <c r="A7916" s="3" t="e">
        <f ca="1"/>
        <v>#NAME?</v>
      </c>
      <c r="B7916" s="2" t="s">
        <v>12</v>
      </c>
      <c r="C7916" s="2" t="s">
        <v>12</v>
      </c>
      <c r="D7916" s="2" t="s">
        <v>12</v>
      </c>
      <c r="E7916" s="2" t="s">
        <v>12</v>
      </c>
      <c r="F7916" s="2" t="s">
        <v>12</v>
      </c>
      <c r="G7916" s="2" t="s">
        <v>12</v>
      </c>
      <c r="H7916" s="2" t="s">
        <v>12</v>
      </c>
      <c r="I7916" s="2" t="s">
        <v>12</v>
      </c>
      <c r="J7916" s="2" t="s">
        <v>12</v>
      </c>
      <c r="K7916" s="2" t="s">
        <v>12</v>
      </c>
    </row>
    <row r="7917" spans="1:11" ht="12.5" x14ac:dyDescent="0.25">
      <c r="A7917" s="3" t="e">
        <f ca="1"/>
        <v>#NAME?</v>
      </c>
      <c r="B7917" s="2" t="s">
        <v>12</v>
      </c>
      <c r="C7917" s="2" t="s">
        <v>12</v>
      </c>
      <c r="D7917" s="2" t="s">
        <v>12</v>
      </c>
      <c r="E7917" s="2" t="s">
        <v>12</v>
      </c>
      <c r="F7917" s="2" t="s">
        <v>12</v>
      </c>
      <c r="G7917" s="2" t="s">
        <v>12</v>
      </c>
      <c r="H7917" s="2" t="s">
        <v>12</v>
      </c>
      <c r="I7917" s="2" t="s">
        <v>12</v>
      </c>
      <c r="J7917" s="2" t="s">
        <v>12</v>
      </c>
      <c r="K7917" s="2" t="s">
        <v>12</v>
      </c>
    </row>
    <row r="7918" spans="1:11" ht="12.5" x14ac:dyDescent="0.25">
      <c r="A7918" s="3" t="e">
        <f ca="1"/>
        <v>#NAME?</v>
      </c>
      <c r="B7918" s="2" t="s">
        <v>12</v>
      </c>
      <c r="C7918" s="2" t="s">
        <v>12</v>
      </c>
      <c r="D7918" s="2" t="s">
        <v>12</v>
      </c>
      <c r="E7918" s="2" t="s">
        <v>12</v>
      </c>
      <c r="F7918" s="2" t="s">
        <v>12</v>
      </c>
      <c r="G7918" s="2" t="s">
        <v>12</v>
      </c>
      <c r="H7918" s="2" t="s">
        <v>12</v>
      </c>
      <c r="I7918" s="2" t="s">
        <v>12</v>
      </c>
      <c r="J7918" s="2" t="s">
        <v>12</v>
      </c>
      <c r="K7918" s="2" t="s">
        <v>12</v>
      </c>
    </row>
    <row r="7919" spans="1:11" ht="12.5" x14ac:dyDescent="0.25">
      <c r="A7919" s="3" t="e">
        <f ca="1"/>
        <v>#NAME?</v>
      </c>
      <c r="B7919" s="2" t="s">
        <v>12</v>
      </c>
      <c r="C7919" s="2" t="s">
        <v>12</v>
      </c>
      <c r="D7919" s="2" t="s">
        <v>12</v>
      </c>
      <c r="E7919" s="2" t="s">
        <v>12</v>
      </c>
      <c r="F7919" s="2" t="s">
        <v>12</v>
      </c>
      <c r="G7919" s="2" t="s">
        <v>12</v>
      </c>
      <c r="H7919" s="2" t="s">
        <v>12</v>
      </c>
      <c r="I7919" s="2" t="s">
        <v>12</v>
      </c>
      <c r="J7919" s="2" t="s">
        <v>12</v>
      </c>
      <c r="K7919" s="2" t="s">
        <v>12</v>
      </c>
    </row>
    <row r="7920" spans="1:11" ht="12.5" x14ac:dyDescent="0.25">
      <c r="A7920" s="3" t="e">
        <f ca="1"/>
        <v>#NAME?</v>
      </c>
      <c r="B7920" s="2" t="s">
        <v>12</v>
      </c>
      <c r="C7920" s="2" t="s">
        <v>12</v>
      </c>
      <c r="D7920" s="2" t="s">
        <v>12</v>
      </c>
      <c r="E7920" s="2" t="s">
        <v>12</v>
      </c>
      <c r="F7920" s="2" t="s">
        <v>12</v>
      </c>
      <c r="G7920" s="2" t="s">
        <v>12</v>
      </c>
      <c r="H7920" s="2" t="s">
        <v>12</v>
      </c>
      <c r="I7920" s="2" t="s">
        <v>12</v>
      </c>
      <c r="J7920" s="2" t="s">
        <v>12</v>
      </c>
      <c r="K7920" s="2" t="s">
        <v>12</v>
      </c>
    </row>
    <row r="7921" spans="1:11" ht="12.5" x14ac:dyDescent="0.25">
      <c r="A7921" s="3" t="e">
        <f ca="1"/>
        <v>#NAME?</v>
      </c>
      <c r="B7921" s="2" t="s">
        <v>12</v>
      </c>
      <c r="C7921" s="2" t="s">
        <v>12</v>
      </c>
      <c r="D7921" s="2" t="s">
        <v>12</v>
      </c>
      <c r="E7921" s="2" t="s">
        <v>12</v>
      </c>
      <c r="F7921" s="2" t="s">
        <v>12</v>
      </c>
      <c r="G7921" s="2" t="s">
        <v>12</v>
      </c>
      <c r="H7921" s="2" t="s">
        <v>12</v>
      </c>
      <c r="I7921" s="2" t="s">
        <v>12</v>
      </c>
      <c r="J7921" s="2" t="s">
        <v>12</v>
      </c>
      <c r="K7921" s="2" t="s">
        <v>12</v>
      </c>
    </row>
    <row r="7922" spans="1:11" ht="12.5" x14ac:dyDescent="0.25">
      <c r="A7922" s="3" t="e">
        <f ca="1"/>
        <v>#NAME?</v>
      </c>
      <c r="B7922" s="2" t="s">
        <v>12</v>
      </c>
      <c r="C7922" s="2" t="s">
        <v>12</v>
      </c>
      <c r="D7922" s="2" t="s">
        <v>12</v>
      </c>
      <c r="E7922" s="2" t="s">
        <v>12</v>
      </c>
      <c r="F7922" s="2" t="s">
        <v>12</v>
      </c>
      <c r="G7922" s="2" t="s">
        <v>12</v>
      </c>
      <c r="H7922" s="2" t="s">
        <v>12</v>
      </c>
      <c r="I7922" s="2" t="s">
        <v>12</v>
      </c>
      <c r="J7922" s="2" t="s">
        <v>12</v>
      </c>
      <c r="K7922" s="2" t="s">
        <v>12</v>
      </c>
    </row>
    <row r="7923" spans="1:11" ht="12.5" x14ac:dyDescent="0.25">
      <c r="A7923" s="3" t="e">
        <f ca="1"/>
        <v>#NAME?</v>
      </c>
      <c r="B7923" s="2" t="s">
        <v>12</v>
      </c>
      <c r="C7923" s="2" t="s">
        <v>12</v>
      </c>
      <c r="D7923" s="2" t="s">
        <v>12</v>
      </c>
      <c r="E7923" s="2" t="s">
        <v>12</v>
      </c>
      <c r="F7923" s="2" t="s">
        <v>12</v>
      </c>
      <c r="G7923" s="2" t="s">
        <v>12</v>
      </c>
      <c r="H7923" s="2" t="s">
        <v>12</v>
      </c>
      <c r="I7923" s="2" t="s">
        <v>12</v>
      </c>
      <c r="J7923" s="2" t="s">
        <v>12</v>
      </c>
      <c r="K7923" s="2" t="s">
        <v>12</v>
      </c>
    </row>
    <row r="7924" spans="1:11" ht="12.5" x14ac:dyDescent="0.25">
      <c r="A7924" s="3" t="e">
        <f ca="1"/>
        <v>#NAME?</v>
      </c>
      <c r="B7924" s="2" t="s">
        <v>12</v>
      </c>
      <c r="C7924" s="2" t="s">
        <v>12</v>
      </c>
      <c r="D7924" s="2" t="s">
        <v>12</v>
      </c>
      <c r="E7924" s="2" t="s">
        <v>12</v>
      </c>
      <c r="F7924" s="2" t="s">
        <v>12</v>
      </c>
      <c r="G7924" s="2" t="s">
        <v>12</v>
      </c>
      <c r="H7924" s="2" t="s">
        <v>12</v>
      </c>
      <c r="I7924" s="2" t="s">
        <v>12</v>
      </c>
      <c r="J7924" s="2" t="s">
        <v>12</v>
      </c>
      <c r="K7924" s="2" t="s">
        <v>12</v>
      </c>
    </row>
    <row r="7925" spans="1:11" ht="12.5" x14ac:dyDescent="0.25">
      <c r="A7925" s="3" t="e">
        <f ca="1"/>
        <v>#NAME?</v>
      </c>
      <c r="B7925" s="2" t="s">
        <v>12</v>
      </c>
      <c r="C7925" s="2" t="s">
        <v>12</v>
      </c>
      <c r="D7925" s="2" t="s">
        <v>12</v>
      </c>
      <c r="E7925" s="2" t="s">
        <v>12</v>
      </c>
      <c r="F7925" s="2" t="s">
        <v>12</v>
      </c>
      <c r="G7925" s="2" t="s">
        <v>12</v>
      </c>
      <c r="H7925" s="2" t="s">
        <v>12</v>
      </c>
      <c r="I7925" s="2" t="s">
        <v>12</v>
      </c>
      <c r="J7925" s="2" t="s">
        <v>12</v>
      </c>
      <c r="K7925" s="2" t="s">
        <v>12</v>
      </c>
    </row>
    <row r="7926" spans="1:11" ht="12.5" x14ac:dyDescent="0.25">
      <c r="A7926" s="3" t="e">
        <f ca="1"/>
        <v>#NAME?</v>
      </c>
      <c r="B7926" s="2" t="s">
        <v>12</v>
      </c>
      <c r="C7926" s="2" t="s">
        <v>12</v>
      </c>
      <c r="D7926" s="2" t="s">
        <v>12</v>
      </c>
      <c r="E7926" s="2" t="s">
        <v>12</v>
      </c>
      <c r="F7926" s="2" t="s">
        <v>12</v>
      </c>
      <c r="G7926" s="2" t="s">
        <v>12</v>
      </c>
      <c r="H7926" s="2" t="s">
        <v>12</v>
      </c>
      <c r="I7926" s="2" t="s">
        <v>12</v>
      </c>
      <c r="J7926" s="2" t="s">
        <v>12</v>
      </c>
      <c r="K7926" s="2" t="s">
        <v>12</v>
      </c>
    </row>
    <row r="7927" spans="1:11" ht="12.5" x14ac:dyDescent="0.25">
      <c r="A7927" s="3" t="e">
        <f ca="1"/>
        <v>#NAME?</v>
      </c>
      <c r="B7927" s="2" t="s">
        <v>12</v>
      </c>
      <c r="C7927" s="2" t="s">
        <v>12</v>
      </c>
      <c r="D7927" s="2" t="s">
        <v>12</v>
      </c>
      <c r="E7927" s="2" t="s">
        <v>12</v>
      </c>
      <c r="F7927" s="2" t="s">
        <v>12</v>
      </c>
      <c r="G7927" s="2" t="s">
        <v>12</v>
      </c>
      <c r="H7927" s="2" t="s">
        <v>12</v>
      </c>
      <c r="I7927" s="2" t="s">
        <v>12</v>
      </c>
      <c r="J7927" s="2" t="s">
        <v>12</v>
      </c>
      <c r="K7927" s="2" t="s">
        <v>12</v>
      </c>
    </row>
    <row r="7928" spans="1:11" ht="12.5" x14ac:dyDescent="0.25">
      <c r="A7928" s="3" t="e">
        <f ca="1"/>
        <v>#NAME?</v>
      </c>
      <c r="B7928" s="2" t="s">
        <v>12</v>
      </c>
      <c r="C7928" s="2" t="s">
        <v>12</v>
      </c>
      <c r="D7928" s="2" t="s">
        <v>12</v>
      </c>
      <c r="E7928" s="2" t="s">
        <v>12</v>
      </c>
      <c r="F7928" s="2" t="s">
        <v>12</v>
      </c>
      <c r="G7928" s="2" t="s">
        <v>12</v>
      </c>
      <c r="H7928" s="2" t="s">
        <v>12</v>
      </c>
      <c r="I7928" s="2" t="s">
        <v>12</v>
      </c>
      <c r="J7928" s="2" t="s">
        <v>12</v>
      </c>
      <c r="K7928" s="2" t="s">
        <v>12</v>
      </c>
    </row>
    <row r="7929" spans="1:11" ht="12.5" x14ac:dyDescent="0.25">
      <c r="A7929" s="3" t="e">
        <f ca="1"/>
        <v>#NAME?</v>
      </c>
      <c r="B7929" s="2" t="s">
        <v>12</v>
      </c>
      <c r="C7929" s="2" t="s">
        <v>12</v>
      </c>
      <c r="D7929" s="2" t="s">
        <v>12</v>
      </c>
      <c r="E7929" s="2" t="s">
        <v>12</v>
      </c>
      <c r="F7929" s="2" t="s">
        <v>12</v>
      </c>
      <c r="G7929" s="2" t="s">
        <v>12</v>
      </c>
      <c r="H7929" s="2" t="s">
        <v>12</v>
      </c>
      <c r="I7929" s="2" t="s">
        <v>12</v>
      </c>
      <c r="J7929" s="2" t="s">
        <v>12</v>
      </c>
      <c r="K7929" s="2" t="s">
        <v>12</v>
      </c>
    </row>
    <row r="7930" spans="1:11" ht="12.5" x14ac:dyDescent="0.25">
      <c r="A7930" s="3" t="e">
        <f ca="1"/>
        <v>#NAME?</v>
      </c>
      <c r="B7930" s="2" t="s">
        <v>12</v>
      </c>
      <c r="C7930" s="2" t="s">
        <v>12</v>
      </c>
      <c r="D7930" s="2" t="s">
        <v>12</v>
      </c>
      <c r="E7930" s="2" t="s">
        <v>12</v>
      </c>
      <c r="F7930" s="2" t="s">
        <v>12</v>
      </c>
      <c r="G7930" s="2" t="s">
        <v>12</v>
      </c>
      <c r="H7930" s="2" t="s">
        <v>12</v>
      </c>
      <c r="I7930" s="2" t="s">
        <v>12</v>
      </c>
      <c r="J7930" s="2" t="s">
        <v>12</v>
      </c>
      <c r="K7930" s="2" t="s">
        <v>12</v>
      </c>
    </row>
    <row r="7931" spans="1:11" ht="12.5" x14ac:dyDescent="0.25">
      <c r="A7931" s="3" t="e">
        <f ca="1"/>
        <v>#NAME?</v>
      </c>
      <c r="B7931" s="2" t="s">
        <v>12</v>
      </c>
      <c r="C7931" s="2" t="s">
        <v>12</v>
      </c>
      <c r="D7931" s="2" t="s">
        <v>12</v>
      </c>
      <c r="E7931" s="2" t="s">
        <v>12</v>
      </c>
      <c r="F7931" s="2" t="s">
        <v>12</v>
      </c>
      <c r="G7931" s="2" t="s">
        <v>12</v>
      </c>
      <c r="H7931" s="2" t="s">
        <v>12</v>
      </c>
      <c r="I7931" s="2" t="s">
        <v>12</v>
      </c>
      <c r="J7931" s="2" t="s">
        <v>12</v>
      </c>
      <c r="K7931" s="2" t="s">
        <v>12</v>
      </c>
    </row>
    <row r="7932" spans="1:11" ht="12.5" x14ac:dyDescent="0.25">
      <c r="A7932" s="3" t="e">
        <f ca="1"/>
        <v>#NAME?</v>
      </c>
      <c r="B7932" s="2" t="s">
        <v>12</v>
      </c>
      <c r="C7932" s="2" t="s">
        <v>12</v>
      </c>
      <c r="D7932" s="2" t="s">
        <v>12</v>
      </c>
      <c r="E7932" s="2" t="s">
        <v>12</v>
      </c>
      <c r="F7932" s="2" t="s">
        <v>12</v>
      </c>
      <c r="G7932" s="2" t="s">
        <v>12</v>
      </c>
      <c r="H7932" s="2" t="s">
        <v>12</v>
      </c>
      <c r="I7932" s="2" t="s">
        <v>12</v>
      </c>
      <c r="J7932" s="2" t="s">
        <v>12</v>
      </c>
      <c r="K7932" s="2" t="s">
        <v>12</v>
      </c>
    </row>
    <row r="7933" spans="1:11" ht="12.5" x14ac:dyDescent="0.25">
      <c r="A7933" s="3" t="e">
        <f ca="1"/>
        <v>#NAME?</v>
      </c>
      <c r="B7933" s="2" t="s">
        <v>12</v>
      </c>
      <c r="C7933" s="2" t="s">
        <v>12</v>
      </c>
      <c r="D7933" s="2" t="s">
        <v>12</v>
      </c>
      <c r="E7933" s="2" t="s">
        <v>12</v>
      </c>
      <c r="F7933" s="2" t="s">
        <v>12</v>
      </c>
      <c r="G7933" s="2" t="s">
        <v>12</v>
      </c>
      <c r="H7933" s="2" t="s">
        <v>12</v>
      </c>
      <c r="I7933" s="2" t="s">
        <v>12</v>
      </c>
      <c r="J7933" s="2" t="s">
        <v>12</v>
      </c>
      <c r="K7933" s="2" t="s">
        <v>12</v>
      </c>
    </row>
    <row r="7934" spans="1:11" ht="12.5" x14ac:dyDescent="0.25">
      <c r="A7934" s="3" t="e">
        <f ca="1"/>
        <v>#NAME?</v>
      </c>
      <c r="B7934" s="2" t="s">
        <v>12</v>
      </c>
      <c r="C7934" s="2" t="s">
        <v>12</v>
      </c>
      <c r="D7934" s="2" t="s">
        <v>12</v>
      </c>
      <c r="E7934" s="2" t="s">
        <v>12</v>
      </c>
      <c r="F7934" s="2" t="s">
        <v>12</v>
      </c>
      <c r="G7934" s="2" t="s">
        <v>12</v>
      </c>
      <c r="H7934" s="2" t="s">
        <v>12</v>
      </c>
      <c r="I7934" s="2" t="s">
        <v>12</v>
      </c>
      <c r="J7934" s="2" t="s">
        <v>12</v>
      </c>
      <c r="K7934" s="2" t="s">
        <v>12</v>
      </c>
    </row>
    <row r="7935" spans="1:11" ht="12.5" x14ac:dyDescent="0.25">
      <c r="A7935" s="3" t="e">
        <f ca="1"/>
        <v>#NAME?</v>
      </c>
      <c r="B7935" s="2" t="s">
        <v>12</v>
      </c>
      <c r="C7935" s="2" t="s">
        <v>12</v>
      </c>
      <c r="D7935" s="2" t="s">
        <v>12</v>
      </c>
      <c r="E7935" s="2" t="s">
        <v>12</v>
      </c>
      <c r="F7935" s="2" t="s">
        <v>12</v>
      </c>
      <c r="G7935" s="2" t="s">
        <v>12</v>
      </c>
      <c r="H7935" s="2" t="s">
        <v>12</v>
      </c>
      <c r="I7935" s="2" t="s">
        <v>12</v>
      </c>
      <c r="J7935" s="2" t="s">
        <v>12</v>
      </c>
      <c r="K7935" s="2" t="s">
        <v>12</v>
      </c>
    </row>
    <row r="7936" spans="1:11" ht="12.5" x14ac:dyDescent="0.25">
      <c r="A7936" s="3" t="e">
        <f ca="1"/>
        <v>#NAME?</v>
      </c>
      <c r="B7936" s="2" t="s">
        <v>12</v>
      </c>
      <c r="C7936" s="2" t="s">
        <v>12</v>
      </c>
      <c r="D7936" s="2" t="s">
        <v>12</v>
      </c>
      <c r="E7936" s="2" t="s">
        <v>12</v>
      </c>
      <c r="F7936" s="2" t="s">
        <v>12</v>
      </c>
      <c r="G7936" s="2" t="s">
        <v>12</v>
      </c>
      <c r="H7936" s="2" t="s">
        <v>12</v>
      </c>
      <c r="I7936" s="2" t="s">
        <v>12</v>
      </c>
      <c r="J7936" s="2" t="s">
        <v>12</v>
      </c>
      <c r="K7936" s="2" t="s">
        <v>12</v>
      </c>
    </row>
    <row r="7937" spans="1:11" ht="12.5" x14ac:dyDescent="0.25">
      <c r="A7937" s="3" t="e">
        <f ca="1"/>
        <v>#NAME?</v>
      </c>
      <c r="B7937" s="2" t="s">
        <v>12</v>
      </c>
      <c r="C7937" s="2" t="s">
        <v>12</v>
      </c>
      <c r="D7937" s="2" t="s">
        <v>12</v>
      </c>
      <c r="E7937" s="2" t="s">
        <v>12</v>
      </c>
      <c r="F7937" s="2" t="s">
        <v>12</v>
      </c>
      <c r="G7937" s="2" t="s">
        <v>12</v>
      </c>
      <c r="H7937" s="2" t="s">
        <v>12</v>
      </c>
      <c r="I7937" s="2" t="s">
        <v>12</v>
      </c>
      <c r="J7937" s="2" t="s">
        <v>12</v>
      </c>
      <c r="K7937" s="2" t="s">
        <v>12</v>
      </c>
    </row>
    <row r="7938" spans="1:11" ht="12.5" x14ac:dyDescent="0.25">
      <c r="A7938" s="3" t="e">
        <f ca="1"/>
        <v>#NAME?</v>
      </c>
      <c r="B7938" s="2" t="s">
        <v>12</v>
      </c>
      <c r="C7938" s="2" t="s">
        <v>12</v>
      </c>
      <c r="D7938" s="2" t="s">
        <v>12</v>
      </c>
      <c r="E7938" s="2" t="s">
        <v>12</v>
      </c>
      <c r="F7938" s="2" t="s">
        <v>12</v>
      </c>
      <c r="G7938" s="2" t="s">
        <v>12</v>
      </c>
      <c r="H7938" s="2" t="s">
        <v>12</v>
      </c>
      <c r="I7938" s="2" t="s">
        <v>12</v>
      </c>
      <c r="J7938" s="2" t="s">
        <v>12</v>
      </c>
      <c r="K7938" s="2" t="s">
        <v>12</v>
      </c>
    </row>
    <row r="7939" spans="1:11" ht="12.5" x14ac:dyDescent="0.25">
      <c r="A7939" s="3" t="e">
        <f ca="1"/>
        <v>#NAME?</v>
      </c>
      <c r="B7939" s="2" t="s">
        <v>12</v>
      </c>
      <c r="C7939" s="2" t="s">
        <v>12</v>
      </c>
      <c r="D7939" s="2" t="s">
        <v>12</v>
      </c>
      <c r="E7939" s="2" t="s">
        <v>12</v>
      </c>
      <c r="F7939" s="2" t="s">
        <v>12</v>
      </c>
      <c r="G7939" s="2" t="s">
        <v>12</v>
      </c>
      <c r="H7939" s="2" t="s">
        <v>12</v>
      </c>
      <c r="I7939" s="2" t="s">
        <v>12</v>
      </c>
      <c r="J7939" s="2" t="s">
        <v>12</v>
      </c>
      <c r="K7939" s="2" t="s">
        <v>12</v>
      </c>
    </row>
    <row r="7940" spans="1:11" ht="12.5" x14ac:dyDescent="0.25">
      <c r="A7940" s="3" t="e">
        <f ca="1"/>
        <v>#NAME?</v>
      </c>
      <c r="B7940" s="2" t="s">
        <v>12</v>
      </c>
      <c r="C7940" s="2" t="s">
        <v>12</v>
      </c>
      <c r="D7940" s="2" t="s">
        <v>12</v>
      </c>
      <c r="E7940" s="2" t="s">
        <v>12</v>
      </c>
      <c r="F7940" s="2" t="s">
        <v>12</v>
      </c>
      <c r="G7940" s="2" t="s">
        <v>12</v>
      </c>
      <c r="H7940" s="2" t="s">
        <v>12</v>
      </c>
      <c r="I7940" s="2" t="s">
        <v>12</v>
      </c>
      <c r="J7940" s="2" t="s">
        <v>12</v>
      </c>
      <c r="K7940" s="2" t="s">
        <v>12</v>
      </c>
    </row>
    <row r="7941" spans="1:11" ht="12.5" x14ac:dyDescent="0.25">
      <c r="A7941" s="3" t="e">
        <f ca="1"/>
        <v>#NAME?</v>
      </c>
      <c r="B7941" s="2" t="s">
        <v>12</v>
      </c>
      <c r="C7941" s="2" t="s">
        <v>12</v>
      </c>
      <c r="D7941" s="2" t="s">
        <v>12</v>
      </c>
      <c r="E7941" s="2" t="s">
        <v>12</v>
      </c>
      <c r="F7941" s="2" t="s">
        <v>12</v>
      </c>
      <c r="G7941" s="2" t="s">
        <v>12</v>
      </c>
      <c r="H7941" s="2" t="s">
        <v>12</v>
      </c>
      <c r="I7941" s="2" t="s">
        <v>12</v>
      </c>
      <c r="J7941" s="2" t="s">
        <v>12</v>
      </c>
      <c r="K7941" s="2" t="s">
        <v>12</v>
      </c>
    </row>
    <row r="7942" spans="1:11" ht="12.5" x14ac:dyDescent="0.25">
      <c r="A7942" s="3" t="e">
        <f ca="1"/>
        <v>#NAME?</v>
      </c>
      <c r="B7942" s="2" t="s">
        <v>12</v>
      </c>
      <c r="C7942" s="2" t="s">
        <v>12</v>
      </c>
      <c r="D7942" s="2" t="s">
        <v>12</v>
      </c>
      <c r="E7942" s="2" t="s">
        <v>12</v>
      </c>
      <c r="F7942" s="2" t="s">
        <v>12</v>
      </c>
      <c r="G7942" s="2" t="s">
        <v>12</v>
      </c>
      <c r="H7942" s="2" t="s">
        <v>12</v>
      </c>
      <c r="I7942" s="2" t="s">
        <v>12</v>
      </c>
      <c r="J7942" s="2" t="s">
        <v>12</v>
      </c>
      <c r="K7942" s="2" t="s">
        <v>12</v>
      </c>
    </row>
    <row r="7943" spans="1:11" ht="12.5" x14ac:dyDescent="0.25">
      <c r="A7943" s="3" t="e">
        <f ca="1"/>
        <v>#NAME?</v>
      </c>
      <c r="B7943" s="2" t="s">
        <v>12</v>
      </c>
      <c r="C7943" s="2" t="s">
        <v>12</v>
      </c>
      <c r="D7943" s="2" t="s">
        <v>12</v>
      </c>
      <c r="E7943" s="2" t="s">
        <v>12</v>
      </c>
      <c r="F7943" s="2" t="s">
        <v>12</v>
      </c>
      <c r="G7943" s="2" t="s">
        <v>12</v>
      </c>
      <c r="H7943" s="2" t="s">
        <v>12</v>
      </c>
      <c r="I7943" s="2" t="s">
        <v>12</v>
      </c>
      <c r="J7943" s="2" t="s">
        <v>12</v>
      </c>
      <c r="K7943" s="2" t="s">
        <v>12</v>
      </c>
    </row>
    <row r="7944" spans="1:11" ht="12.5" x14ac:dyDescent="0.25">
      <c r="A7944" s="3" t="e">
        <f ca="1"/>
        <v>#NAME?</v>
      </c>
      <c r="B7944" s="2" t="s">
        <v>12</v>
      </c>
      <c r="C7944" s="2" t="s">
        <v>12</v>
      </c>
      <c r="D7944" s="2" t="s">
        <v>12</v>
      </c>
      <c r="E7944" s="2" t="s">
        <v>12</v>
      </c>
      <c r="F7944" s="2" t="s">
        <v>12</v>
      </c>
      <c r="G7944" s="2" t="s">
        <v>12</v>
      </c>
      <c r="H7944" s="2" t="s">
        <v>12</v>
      </c>
      <c r="I7944" s="2" t="s">
        <v>12</v>
      </c>
      <c r="J7944" s="2" t="s">
        <v>12</v>
      </c>
      <c r="K7944" s="2" t="s">
        <v>12</v>
      </c>
    </row>
    <row r="7945" spans="1:11" ht="12.5" x14ac:dyDescent="0.25">
      <c r="A7945" s="3" t="e">
        <f ca="1"/>
        <v>#NAME?</v>
      </c>
      <c r="B7945" s="2" t="s">
        <v>12</v>
      </c>
      <c r="C7945" s="2" t="s">
        <v>12</v>
      </c>
      <c r="D7945" s="2" t="s">
        <v>12</v>
      </c>
      <c r="E7945" s="2" t="s">
        <v>12</v>
      </c>
      <c r="F7945" s="2" t="s">
        <v>12</v>
      </c>
      <c r="G7945" s="2" t="s">
        <v>12</v>
      </c>
      <c r="H7945" s="2" t="s">
        <v>12</v>
      </c>
      <c r="I7945" s="2" t="s">
        <v>12</v>
      </c>
      <c r="J7945" s="2" t="s">
        <v>12</v>
      </c>
      <c r="K7945" s="2" t="s">
        <v>12</v>
      </c>
    </row>
    <row r="7946" spans="1:11" ht="12.5" x14ac:dyDescent="0.25">
      <c r="A7946" s="3" t="e">
        <f ca="1"/>
        <v>#NAME?</v>
      </c>
      <c r="B7946" s="2" t="s">
        <v>12</v>
      </c>
      <c r="C7946" s="2" t="s">
        <v>12</v>
      </c>
      <c r="D7946" s="2" t="s">
        <v>12</v>
      </c>
      <c r="E7946" s="2" t="s">
        <v>12</v>
      </c>
      <c r="F7946" s="2" t="s">
        <v>12</v>
      </c>
      <c r="G7946" s="2" t="s">
        <v>12</v>
      </c>
      <c r="H7946" s="2" t="s">
        <v>12</v>
      </c>
      <c r="I7946" s="2" t="s">
        <v>12</v>
      </c>
      <c r="J7946" s="2" t="s">
        <v>12</v>
      </c>
      <c r="K7946" s="2" t="s">
        <v>12</v>
      </c>
    </row>
    <row r="7947" spans="1:11" ht="12.5" x14ac:dyDescent="0.25">
      <c r="A7947" s="3" t="e">
        <f ca="1"/>
        <v>#NAME?</v>
      </c>
      <c r="B7947" s="2" t="s">
        <v>12</v>
      </c>
      <c r="C7947" s="2" t="s">
        <v>12</v>
      </c>
      <c r="D7947" s="2" t="s">
        <v>12</v>
      </c>
      <c r="E7947" s="2" t="s">
        <v>12</v>
      </c>
      <c r="F7947" s="2" t="s">
        <v>12</v>
      </c>
      <c r="G7947" s="2" t="s">
        <v>12</v>
      </c>
      <c r="H7947" s="2" t="s">
        <v>12</v>
      </c>
      <c r="I7947" s="2" t="s">
        <v>12</v>
      </c>
      <c r="J7947" s="2" t="s">
        <v>12</v>
      </c>
      <c r="K7947" s="2" t="s">
        <v>12</v>
      </c>
    </row>
    <row r="7948" spans="1:11" ht="12.5" x14ac:dyDescent="0.25">
      <c r="A7948" s="3" t="e">
        <f ca="1"/>
        <v>#NAME?</v>
      </c>
      <c r="B7948" s="2" t="s">
        <v>12</v>
      </c>
      <c r="C7948" s="2" t="s">
        <v>12</v>
      </c>
      <c r="D7948" s="2" t="s">
        <v>12</v>
      </c>
      <c r="E7948" s="2" t="s">
        <v>12</v>
      </c>
      <c r="F7948" s="2" t="s">
        <v>12</v>
      </c>
      <c r="G7948" s="2" t="s">
        <v>12</v>
      </c>
      <c r="H7948" s="2" t="s">
        <v>12</v>
      </c>
      <c r="I7948" s="2" t="s">
        <v>12</v>
      </c>
      <c r="J7948" s="2" t="s">
        <v>12</v>
      </c>
      <c r="K7948" s="2" t="s">
        <v>12</v>
      </c>
    </row>
    <row r="7949" spans="1:11" ht="12.5" x14ac:dyDescent="0.25">
      <c r="A7949" s="3" t="e">
        <f ca="1"/>
        <v>#NAME?</v>
      </c>
      <c r="B7949" s="2" t="s">
        <v>12</v>
      </c>
      <c r="C7949" s="2" t="s">
        <v>12</v>
      </c>
      <c r="D7949" s="2" t="s">
        <v>12</v>
      </c>
      <c r="E7949" s="2" t="s">
        <v>12</v>
      </c>
      <c r="F7949" s="2" t="s">
        <v>12</v>
      </c>
      <c r="G7949" s="2" t="s">
        <v>12</v>
      </c>
      <c r="H7949" s="2" t="s">
        <v>12</v>
      </c>
      <c r="I7949" s="2" t="s">
        <v>12</v>
      </c>
      <c r="J7949" s="2" t="s">
        <v>12</v>
      </c>
      <c r="K7949" s="2" t="s">
        <v>12</v>
      </c>
    </row>
    <row r="7950" spans="1:11" ht="12.5" x14ac:dyDescent="0.25">
      <c r="A7950" s="3" t="e">
        <f ca="1"/>
        <v>#NAME?</v>
      </c>
      <c r="B7950" s="2" t="s">
        <v>12</v>
      </c>
      <c r="C7950" s="2" t="s">
        <v>12</v>
      </c>
      <c r="D7950" s="2" t="s">
        <v>12</v>
      </c>
      <c r="E7950" s="2" t="s">
        <v>12</v>
      </c>
      <c r="F7950" s="2" t="s">
        <v>12</v>
      </c>
      <c r="G7950" s="2" t="s">
        <v>12</v>
      </c>
      <c r="H7950" s="2" t="s">
        <v>12</v>
      </c>
      <c r="I7950" s="2" t="s">
        <v>12</v>
      </c>
      <c r="J7950" s="2" t="s">
        <v>12</v>
      </c>
      <c r="K7950" s="2" t="s">
        <v>12</v>
      </c>
    </row>
    <row r="7951" spans="1:11" ht="12.5" x14ac:dyDescent="0.25">
      <c r="A7951" s="3" t="e">
        <f ca="1"/>
        <v>#NAME?</v>
      </c>
      <c r="B7951" s="2" t="s">
        <v>12</v>
      </c>
      <c r="C7951" s="2" t="s">
        <v>12</v>
      </c>
      <c r="D7951" s="2" t="s">
        <v>12</v>
      </c>
      <c r="E7951" s="2" t="s">
        <v>12</v>
      </c>
      <c r="F7951" s="2" t="s">
        <v>12</v>
      </c>
      <c r="G7951" s="2" t="s">
        <v>12</v>
      </c>
      <c r="H7951" s="2" t="s">
        <v>12</v>
      </c>
      <c r="I7951" s="2" t="s">
        <v>12</v>
      </c>
      <c r="J7951" s="2" t="s">
        <v>12</v>
      </c>
      <c r="K7951" s="2" t="s">
        <v>12</v>
      </c>
    </row>
    <row r="7952" spans="1:11" ht="12.5" x14ac:dyDescent="0.25">
      <c r="A7952" s="3" t="e">
        <f ca="1"/>
        <v>#NAME?</v>
      </c>
      <c r="B7952" s="2" t="s">
        <v>12</v>
      </c>
      <c r="C7952" s="2" t="s">
        <v>12</v>
      </c>
      <c r="D7952" s="2" t="s">
        <v>12</v>
      </c>
      <c r="E7952" s="2" t="s">
        <v>12</v>
      </c>
      <c r="F7952" s="2" t="s">
        <v>12</v>
      </c>
      <c r="G7952" s="2" t="s">
        <v>12</v>
      </c>
      <c r="H7952" s="2" t="s">
        <v>12</v>
      </c>
      <c r="I7952" s="2" t="s">
        <v>12</v>
      </c>
      <c r="J7952" s="2" t="s">
        <v>12</v>
      </c>
      <c r="K7952" s="2" t="s">
        <v>12</v>
      </c>
    </row>
    <row r="7953" spans="1:11" ht="12.5" x14ac:dyDescent="0.25">
      <c r="A7953" s="3" t="e">
        <f ca="1"/>
        <v>#NAME?</v>
      </c>
      <c r="B7953" s="2" t="s">
        <v>12</v>
      </c>
      <c r="C7953" s="2" t="s">
        <v>12</v>
      </c>
      <c r="D7953" s="2" t="s">
        <v>12</v>
      </c>
      <c r="E7953" s="2" t="s">
        <v>12</v>
      </c>
      <c r="F7953" s="2" t="s">
        <v>12</v>
      </c>
      <c r="G7953" s="2" t="s">
        <v>12</v>
      </c>
      <c r="H7953" s="2" t="s">
        <v>12</v>
      </c>
      <c r="I7953" s="2" t="s">
        <v>12</v>
      </c>
      <c r="J7953" s="2" t="s">
        <v>12</v>
      </c>
      <c r="K7953" s="2" t="s">
        <v>12</v>
      </c>
    </row>
    <row r="7954" spans="1:11" ht="12.5" x14ac:dyDescent="0.25">
      <c r="A7954" s="3" t="e">
        <f ca="1"/>
        <v>#NAME?</v>
      </c>
      <c r="B7954" s="2" t="s">
        <v>12</v>
      </c>
      <c r="C7954" s="2" t="s">
        <v>12</v>
      </c>
      <c r="D7954" s="2" t="s">
        <v>12</v>
      </c>
      <c r="E7954" s="2" t="s">
        <v>12</v>
      </c>
      <c r="F7954" s="2" t="s">
        <v>12</v>
      </c>
      <c r="G7954" s="2" t="s">
        <v>12</v>
      </c>
      <c r="H7954" s="2" t="s">
        <v>12</v>
      </c>
      <c r="I7954" s="2" t="s">
        <v>12</v>
      </c>
      <c r="J7954" s="2" t="s">
        <v>12</v>
      </c>
      <c r="K7954" s="2" t="s">
        <v>12</v>
      </c>
    </row>
    <row r="7955" spans="1:11" ht="12.5" x14ac:dyDescent="0.25">
      <c r="A7955" s="3" t="e">
        <f ca="1"/>
        <v>#NAME?</v>
      </c>
      <c r="B7955" s="2" t="s">
        <v>12</v>
      </c>
      <c r="C7955" s="2" t="s">
        <v>12</v>
      </c>
      <c r="D7955" s="2" t="s">
        <v>12</v>
      </c>
      <c r="E7955" s="2" t="s">
        <v>12</v>
      </c>
      <c r="F7955" s="2" t="s">
        <v>12</v>
      </c>
      <c r="G7955" s="2" t="s">
        <v>12</v>
      </c>
      <c r="H7955" s="2" t="s">
        <v>12</v>
      </c>
      <c r="I7955" s="2" t="s">
        <v>12</v>
      </c>
      <c r="J7955" s="2" t="s">
        <v>12</v>
      </c>
      <c r="K7955" s="2" t="s">
        <v>12</v>
      </c>
    </row>
    <row r="7956" spans="1:11" ht="12.5" x14ac:dyDescent="0.25">
      <c r="A7956" s="3" t="e">
        <f ca="1"/>
        <v>#NAME?</v>
      </c>
      <c r="B7956" s="2" t="s">
        <v>12</v>
      </c>
      <c r="C7956" s="2" t="s">
        <v>12</v>
      </c>
      <c r="D7956" s="2" t="s">
        <v>12</v>
      </c>
      <c r="E7956" s="2" t="s">
        <v>12</v>
      </c>
      <c r="F7956" s="2" t="s">
        <v>12</v>
      </c>
      <c r="G7956" s="2" t="s">
        <v>12</v>
      </c>
      <c r="H7956" s="2" t="s">
        <v>12</v>
      </c>
      <c r="I7956" s="2" t="s">
        <v>12</v>
      </c>
      <c r="J7956" s="2" t="s">
        <v>12</v>
      </c>
      <c r="K7956" s="2" t="s">
        <v>12</v>
      </c>
    </row>
    <row r="7957" spans="1:11" ht="12.5" x14ac:dyDescent="0.25">
      <c r="A7957" s="3" t="e">
        <f ca="1"/>
        <v>#NAME?</v>
      </c>
      <c r="B7957" s="2" t="s">
        <v>12</v>
      </c>
      <c r="C7957" s="2" t="s">
        <v>12</v>
      </c>
      <c r="D7957" s="2" t="s">
        <v>12</v>
      </c>
      <c r="E7957" s="2" t="s">
        <v>12</v>
      </c>
      <c r="F7957" s="2" t="s">
        <v>12</v>
      </c>
      <c r="G7957" s="2" t="s">
        <v>12</v>
      </c>
      <c r="H7957" s="2" t="s">
        <v>12</v>
      </c>
      <c r="I7957" s="2" t="s">
        <v>12</v>
      </c>
      <c r="J7957" s="2" t="s">
        <v>12</v>
      </c>
      <c r="K7957" s="2" t="s">
        <v>12</v>
      </c>
    </row>
    <row r="7958" spans="1:11" ht="12.5" x14ac:dyDescent="0.25">
      <c r="A7958" s="3" t="e">
        <f ca="1"/>
        <v>#NAME?</v>
      </c>
      <c r="B7958" s="2" t="s">
        <v>12</v>
      </c>
      <c r="C7958" s="2" t="s">
        <v>12</v>
      </c>
      <c r="D7958" s="2" t="s">
        <v>12</v>
      </c>
      <c r="E7958" s="2" t="s">
        <v>12</v>
      </c>
      <c r="F7958" s="2" t="s">
        <v>12</v>
      </c>
      <c r="G7958" s="2" t="s">
        <v>12</v>
      </c>
      <c r="H7958" s="2" t="s">
        <v>12</v>
      </c>
      <c r="I7958" s="2" t="s">
        <v>12</v>
      </c>
      <c r="J7958" s="2" t="s">
        <v>12</v>
      </c>
      <c r="K7958" s="2" t="s">
        <v>12</v>
      </c>
    </row>
    <row r="7959" spans="1:11" ht="12.5" x14ac:dyDescent="0.25">
      <c r="A7959" s="3" t="e">
        <f ca="1"/>
        <v>#NAME?</v>
      </c>
      <c r="B7959" s="2" t="s">
        <v>12</v>
      </c>
      <c r="C7959" s="2" t="s">
        <v>12</v>
      </c>
      <c r="D7959" s="2" t="s">
        <v>12</v>
      </c>
      <c r="E7959" s="2" t="s">
        <v>12</v>
      </c>
      <c r="F7959" s="2" t="s">
        <v>12</v>
      </c>
      <c r="G7959" s="2" t="s">
        <v>12</v>
      </c>
      <c r="H7959" s="2" t="s">
        <v>12</v>
      </c>
      <c r="I7959" s="2" t="s">
        <v>12</v>
      </c>
      <c r="J7959" s="2" t="s">
        <v>12</v>
      </c>
      <c r="K7959" s="2" t="s">
        <v>12</v>
      </c>
    </row>
    <row r="7960" spans="1:11" ht="12.5" x14ac:dyDescent="0.25">
      <c r="A7960" s="3" t="e">
        <f ca="1"/>
        <v>#NAME?</v>
      </c>
      <c r="B7960" s="2" t="s">
        <v>12</v>
      </c>
      <c r="C7960" s="2" t="s">
        <v>12</v>
      </c>
      <c r="D7960" s="2" t="s">
        <v>12</v>
      </c>
      <c r="E7960" s="2" t="s">
        <v>12</v>
      </c>
      <c r="F7960" s="2" t="s">
        <v>12</v>
      </c>
      <c r="G7960" s="2" t="s">
        <v>12</v>
      </c>
      <c r="H7960" s="2" t="s">
        <v>12</v>
      </c>
      <c r="I7960" s="2" t="s">
        <v>12</v>
      </c>
      <c r="J7960" s="2" t="s">
        <v>12</v>
      </c>
      <c r="K7960" s="2" t="s">
        <v>12</v>
      </c>
    </row>
    <row r="7961" spans="1:11" ht="12.5" x14ac:dyDescent="0.25">
      <c r="A7961" s="3" t="e">
        <f ca="1"/>
        <v>#NAME?</v>
      </c>
      <c r="B7961" s="2" t="s">
        <v>12</v>
      </c>
      <c r="C7961" s="2" t="s">
        <v>12</v>
      </c>
      <c r="D7961" s="2" t="s">
        <v>12</v>
      </c>
      <c r="E7961" s="2" t="s">
        <v>12</v>
      </c>
      <c r="F7961" s="2" t="s">
        <v>12</v>
      </c>
      <c r="G7961" s="2" t="s">
        <v>12</v>
      </c>
      <c r="H7961" s="2" t="s">
        <v>12</v>
      </c>
      <c r="I7961" s="2" t="s">
        <v>12</v>
      </c>
      <c r="J7961" s="2" t="s">
        <v>12</v>
      </c>
      <c r="K7961" s="2" t="s">
        <v>12</v>
      </c>
    </row>
    <row r="7962" spans="1:11" ht="12.5" x14ac:dyDescent="0.25">
      <c r="A7962" s="3" t="e">
        <f ca="1"/>
        <v>#NAME?</v>
      </c>
      <c r="B7962" s="2" t="s">
        <v>12</v>
      </c>
      <c r="C7962" s="2" t="s">
        <v>12</v>
      </c>
      <c r="D7962" s="2" t="s">
        <v>12</v>
      </c>
      <c r="E7962" s="2" t="s">
        <v>12</v>
      </c>
      <c r="F7962" s="2" t="s">
        <v>12</v>
      </c>
      <c r="G7962" s="2" t="s">
        <v>12</v>
      </c>
      <c r="H7962" s="2" t="s">
        <v>12</v>
      </c>
      <c r="I7962" s="2" t="s">
        <v>12</v>
      </c>
      <c r="J7962" s="2" t="s">
        <v>12</v>
      </c>
      <c r="K7962" s="2" t="s">
        <v>12</v>
      </c>
    </row>
    <row r="7963" spans="1:11" ht="12.5" x14ac:dyDescent="0.25">
      <c r="A7963" s="3" t="e">
        <f ca="1"/>
        <v>#NAME?</v>
      </c>
      <c r="B7963" s="2" t="s">
        <v>12</v>
      </c>
      <c r="C7963" s="2" t="s">
        <v>12</v>
      </c>
      <c r="D7963" s="2" t="s">
        <v>12</v>
      </c>
      <c r="E7963" s="2" t="s">
        <v>12</v>
      </c>
      <c r="F7963" s="2" t="s">
        <v>12</v>
      </c>
      <c r="G7963" s="2" t="s">
        <v>12</v>
      </c>
      <c r="H7963" s="2" t="s">
        <v>12</v>
      </c>
      <c r="I7963" s="2" t="s">
        <v>12</v>
      </c>
      <c r="J7963" s="2" t="s">
        <v>12</v>
      </c>
      <c r="K7963" s="2" t="s">
        <v>12</v>
      </c>
    </row>
    <row r="7964" spans="1:11" ht="12.5" x14ac:dyDescent="0.25">
      <c r="A7964" s="3" t="e">
        <f ca="1"/>
        <v>#NAME?</v>
      </c>
      <c r="B7964" s="2" t="s">
        <v>12</v>
      </c>
      <c r="C7964" s="2" t="s">
        <v>12</v>
      </c>
      <c r="D7964" s="2" t="s">
        <v>12</v>
      </c>
      <c r="E7964" s="2" t="s">
        <v>12</v>
      </c>
      <c r="F7964" s="2" t="s">
        <v>12</v>
      </c>
      <c r="G7964" s="2" t="s">
        <v>12</v>
      </c>
      <c r="H7964" s="2" t="s">
        <v>12</v>
      </c>
      <c r="I7964" s="2" t="s">
        <v>12</v>
      </c>
      <c r="J7964" s="2" t="s">
        <v>12</v>
      </c>
      <c r="K7964" s="2" t="s">
        <v>12</v>
      </c>
    </row>
    <row r="7965" spans="1:11" ht="12.5" x14ac:dyDescent="0.25">
      <c r="A7965" s="3" t="e">
        <f ca="1"/>
        <v>#NAME?</v>
      </c>
      <c r="B7965" s="2" t="s">
        <v>12</v>
      </c>
      <c r="C7965" s="2" t="s">
        <v>12</v>
      </c>
      <c r="D7965" s="2" t="s">
        <v>12</v>
      </c>
      <c r="E7965" s="2" t="s">
        <v>12</v>
      </c>
      <c r="F7965" s="2" t="s">
        <v>12</v>
      </c>
      <c r="G7965" s="2" t="s">
        <v>12</v>
      </c>
      <c r="H7965" s="2" t="s">
        <v>12</v>
      </c>
      <c r="I7965" s="2" t="s">
        <v>12</v>
      </c>
      <c r="J7965" s="2" t="s">
        <v>12</v>
      </c>
      <c r="K7965" s="2" t="s">
        <v>12</v>
      </c>
    </row>
    <row r="7966" spans="1:11" ht="12.5" x14ac:dyDescent="0.25">
      <c r="A7966" s="3" t="e">
        <f ca="1"/>
        <v>#NAME?</v>
      </c>
      <c r="B7966" s="2" t="s">
        <v>12</v>
      </c>
      <c r="C7966" s="2" t="s">
        <v>12</v>
      </c>
      <c r="D7966" s="2" t="s">
        <v>12</v>
      </c>
      <c r="E7966" s="2" t="s">
        <v>12</v>
      </c>
      <c r="F7966" s="2" t="s">
        <v>12</v>
      </c>
      <c r="G7966" s="2" t="s">
        <v>12</v>
      </c>
      <c r="H7966" s="2" t="s">
        <v>12</v>
      </c>
      <c r="I7966" s="2" t="s">
        <v>12</v>
      </c>
      <c r="J7966" s="2" t="s">
        <v>12</v>
      </c>
      <c r="K7966" s="2" t="s">
        <v>12</v>
      </c>
    </row>
    <row r="7967" spans="1:11" ht="12.5" x14ac:dyDescent="0.25">
      <c r="A7967" s="3" t="e">
        <f ca="1"/>
        <v>#NAME?</v>
      </c>
      <c r="B7967" s="2" t="s">
        <v>12</v>
      </c>
      <c r="C7967" s="2" t="s">
        <v>12</v>
      </c>
      <c r="D7967" s="2" t="s">
        <v>12</v>
      </c>
      <c r="E7967" s="2" t="s">
        <v>12</v>
      </c>
      <c r="F7967" s="2" t="s">
        <v>12</v>
      </c>
      <c r="G7967" s="2" t="s">
        <v>12</v>
      </c>
      <c r="H7967" s="2" t="s">
        <v>12</v>
      </c>
      <c r="I7967" s="2" t="s">
        <v>12</v>
      </c>
      <c r="J7967" s="2" t="s">
        <v>12</v>
      </c>
      <c r="K7967" s="2" t="s">
        <v>12</v>
      </c>
    </row>
    <row r="7968" spans="1:11" ht="12.5" x14ac:dyDescent="0.25">
      <c r="A7968" s="3" t="e">
        <f ca="1"/>
        <v>#NAME?</v>
      </c>
      <c r="B7968" s="2" t="s">
        <v>12</v>
      </c>
      <c r="C7968" s="2" t="s">
        <v>12</v>
      </c>
      <c r="D7968" s="2" t="s">
        <v>12</v>
      </c>
      <c r="E7968" s="2" t="s">
        <v>12</v>
      </c>
      <c r="F7968" s="2" t="s">
        <v>12</v>
      </c>
      <c r="G7968" s="2" t="s">
        <v>12</v>
      </c>
      <c r="H7968" s="2" t="s">
        <v>12</v>
      </c>
      <c r="I7968" s="2" t="s">
        <v>12</v>
      </c>
      <c r="J7968" s="2" t="s">
        <v>12</v>
      </c>
      <c r="K7968" s="2" t="s">
        <v>12</v>
      </c>
    </row>
    <row r="7969" spans="1:11" ht="12.5" x14ac:dyDescent="0.25">
      <c r="A7969" s="3" t="e">
        <f ca="1"/>
        <v>#NAME?</v>
      </c>
      <c r="B7969" s="2" t="s">
        <v>12</v>
      </c>
      <c r="C7969" s="2" t="s">
        <v>12</v>
      </c>
      <c r="D7969" s="2" t="s">
        <v>12</v>
      </c>
      <c r="E7969" s="2" t="s">
        <v>12</v>
      </c>
      <c r="F7969" s="2" t="s">
        <v>12</v>
      </c>
      <c r="G7969" s="2" t="s">
        <v>12</v>
      </c>
      <c r="H7969" s="2" t="s">
        <v>12</v>
      </c>
      <c r="I7969" s="2" t="s">
        <v>12</v>
      </c>
      <c r="J7969" s="2" t="s">
        <v>12</v>
      </c>
      <c r="K7969" s="2" t="s">
        <v>12</v>
      </c>
    </row>
    <row r="7970" spans="1:11" ht="12.5" x14ac:dyDescent="0.25">
      <c r="A7970" s="3" t="e">
        <f ca="1"/>
        <v>#NAME?</v>
      </c>
      <c r="B7970" s="2" t="s">
        <v>12</v>
      </c>
      <c r="C7970" s="2" t="s">
        <v>12</v>
      </c>
      <c r="D7970" s="2" t="s">
        <v>12</v>
      </c>
      <c r="E7970" s="2" t="s">
        <v>12</v>
      </c>
      <c r="F7970" s="2" t="s">
        <v>12</v>
      </c>
      <c r="G7970" s="2" t="s">
        <v>12</v>
      </c>
      <c r="H7970" s="2" t="s">
        <v>12</v>
      </c>
      <c r="I7970" s="2" t="s">
        <v>12</v>
      </c>
      <c r="J7970" s="2" t="s">
        <v>12</v>
      </c>
      <c r="K7970" s="2" t="s">
        <v>12</v>
      </c>
    </row>
    <row r="7971" spans="1:11" ht="12.5" x14ac:dyDescent="0.25">
      <c r="A7971" s="3" t="e">
        <f ca="1"/>
        <v>#NAME?</v>
      </c>
      <c r="B7971" s="2" t="s">
        <v>12</v>
      </c>
      <c r="C7971" s="2" t="s">
        <v>12</v>
      </c>
      <c r="D7971" s="2" t="s">
        <v>12</v>
      </c>
      <c r="E7971" s="2" t="s">
        <v>12</v>
      </c>
      <c r="F7971" s="2" t="s">
        <v>12</v>
      </c>
      <c r="G7971" s="2" t="s">
        <v>12</v>
      </c>
      <c r="H7971" s="2" t="s">
        <v>12</v>
      </c>
      <c r="I7971" s="2" t="s">
        <v>12</v>
      </c>
      <c r="J7971" s="2" t="s">
        <v>12</v>
      </c>
      <c r="K7971" s="2" t="s">
        <v>12</v>
      </c>
    </row>
    <row r="7972" spans="1:11" ht="12.5" x14ac:dyDescent="0.25">
      <c r="A7972" s="3" t="e">
        <f ca="1"/>
        <v>#NAME?</v>
      </c>
      <c r="B7972" s="2" t="s">
        <v>12</v>
      </c>
      <c r="C7972" s="2" t="s">
        <v>12</v>
      </c>
      <c r="D7972" s="2" t="s">
        <v>12</v>
      </c>
      <c r="E7972" s="2" t="s">
        <v>12</v>
      </c>
      <c r="F7972" s="2" t="s">
        <v>12</v>
      </c>
      <c r="G7972" s="2" t="s">
        <v>12</v>
      </c>
      <c r="H7972" s="2" t="s">
        <v>12</v>
      </c>
      <c r="I7972" s="2" t="s">
        <v>12</v>
      </c>
      <c r="J7972" s="2" t="s">
        <v>12</v>
      </c>
      <c r="K7972" s="2" t="s">
        <v>12</v>
      </c>
    </row>
    <row r="7973" spans="1:11" ht="12.5" x14ac:dyDescent="0.25">
      <c r="A7973" s="3" t="e">
        <f ca="1"/>
        <v>#NAME?</v>
      </c>
      <c r="B7973" s="2" t="s">
        <v>12</v>
      </c>
      <c r="C7973" s="2" t="s">
        <v>12</v>
      </c>
      <c r="D7973" s="2" t="s">
        <v>12</v>
      </c>
      <c r="E7973" s="2" t="s">
        <v>12</v>
      </c>
      <c r="F7973" s="2" t="s">
        <v>12</v>
      </c>
      <c r="G7973" s="2" t="s">
        <v>12</v>
      </c>
      <c r="H7973" s="2" t="s">
        <v>12</v>
      </c>
      <c r="I7973" s="2" t="s">
        <v>12</v>
      </c>
      <c r="J7973" s="2" t="s">
        <v>12</v>
      </c>
      <c r="K7973" s="2" t="s">
        <v>12</v>
      </c>
    </row>
    <row r="7974" spans="1:11" ht="12.5" x14ac:dyDescent="0.25">
      <c r="A7974" s="3" t="e">
        <f ca="1"/>
        <v>#NAME?</v>
      </c>
      <c r="B7974" s="2" t="s">
        <v>12</v>
      </c>
      <c r="C7974" s="2" t="s">
        <v>12</v>
      </c>
      <c r="D7974" s="2" t="s">
        <v>12</v>
      </c>
      <c r="E7974" s="2" t="s">
        <v>12</v>
      </c>
      <c r="F7974" s="2" t="s">
        <v>12</v>
      </c>
      <c r="G7974" s="2" t="s">
        <v>12</v>
      </c>
      <c r="H7974" s="2" t="s">
        <v>12</v>
      </c>
      <c r="I7974" s="2" t="s">
        <v>12</v>
      </c>
      <c r="J7974" s="2" t="s">
        <v>12</v>
      </c>
      <c r="K7974" s="2" t="s">
        <v>12</v>
      </c>
    </row>
    <row r="7975" spans="1:11" ht="12.5" x14ac:dyDescent="0.25">
      <c r="A7975" s="3" t="e">
        <f ca="1"/>
        <v>#NAME?</v>
      </c>
      <c r="B7975" s="2" t="s">
        <v>12</v>
      </c>
      <c r="C7975" s="2" t="s">
        <v>12</v>
      </c>
      <c r="D7975" s="2" t="s">
        <v>12</v>
      </c>
      <c r="E7975" s="2" t="s">
        <v>12</v>
      </c>
      <c r="F7975" s="2" t="s">
        <v>12</v>
      </c>
      <c r="G7975" s="2" t="s">
        <v>12</v>
      </c>
      <c r="H7975" s="2" t="s">
        <v>12</v>
      </c>
      <c r="I7975" s="2" t="s">
        <v>12</v>
      </c>
      <c r="J7975" s="2" t="s">
        <v>12</v>
      </c>
      <c r="K7975" s="2" t="s">
        <v>12</v>
      </c>
    </row>
    <row r="7976" spans="1:11" ht="12.5" x14ac:dyDescent="0.25">
      <c r="A7976" s="3" t="e">
        <f ca="1"/>
        <v>#NAME?</v>
      </c>
      <c r="B7976" s="2" t="s">
        <v>12</v>
      </c>
      <c r="C7976" s="2" t="s">
        <v>12</v>
      </c>
      <c r="D7976" s="2" t="s">
        <v>12</v>
      </c>
      <c r="E7976" s="2" t="s">
        <v>12</v>
      </c>
      <c r="F7976" s="2" t="s">
        <v>12</v>
      </c>
      <c r="G7976" s="2" t="s">
        <v>12</v>
      </c>
      <c r="H7976" s="2" t="s">
        <v>12</v>
      </c>
      <c r="I7976" s="2" t="s">
        <v>12</v>
      </c>
      <c r="J7976" s="2" t="s">
        <v>12</v>
      </c>
      <c r="K7976" s="2" t="s">
        <v>12</v>
      </c>
    </row>
    <row r="7977" spans="1:11" ht="12.5" x14ac:dyDescent="0.25">
      <c r="A7977" s="3" t="e">
        <f ca="1"/>
        <v>#NAME?</v>
      </c>
      <c r="B7977" s="2" t="s">
        <v>12</v>
      </c>
      <c r="C7977" s="2" t="s">
        <v>12</v>
      </c>
      <c r="D7977" s="2" t="s">
        <v>12</v>
      </c>
      <c r="E7977" s="2" t="s">
        <v>12</v>
      </c>
      <c r="F7977" s="2" t="s">
        <v>12</v>
      </c>
      <c r="G7977" s="2" t="s">
        <v>12</v>
      </c>
      <c r="H7977" s="2" t="s">
        <v>12</v>
      </c>
      <c r="I7977" s="2" t="s">
        <v>12</v>
      </c>
      <c r="J7977" s="2" t="s">
        <v>12</v>
      </c>
      <c r="K7977" s="2" t="s">
        <v>12</v>
      </c>
    </row>
    <row r="7978" spans="1:11" ht="12.5" x14ac:dyDescent="0.25">
      <c r="A7978" s="3" t="e">
        <f ca="1"/>
        <v>#NAME?</v>
      </c>
      <c r="B7978" s="2" t="s">
        <v>12</v>
      </c>
      <c r="C7978" s="2" t="s">
        <v>12</v>
      </c>
      <c r="D7978" s="2" t="s">
        <v>12</v>
      </c>
      <c r="E7978" s="2" t="s">
        <v>12</v>
      </c>
      <c r="F7978" s="2" t="s">
        <v>12</v>
      </c>
      <c r="G7978" s="2" t="s">
        <v>12</v>
      </c>
      <c r="H7978" s="2" t="s">
        <v>12</v>
      </c>
      <c r="I7978" s="2" t="s">
        <v>12</v>
      </c>
      <c r="J7978" s="2" t="s">
        <v>12</v>
      </c>
      <c r="K7978" s="2" t="s">
        <v>12</v>
      </c>
    </row>
    <row r="7979" spans="1:11" ht="12.5" x14ac:dyDescent="0.25">
      <c r="A7979" s="3" t="e">
        <f ca="1"/>
        <v>#NAME?</v>
      </c>
      <c r="B7979" s="2" t="s">
        <v>12</v>
      </c>
      <c r="C7979" s="2" t="s">
        <v>12</v>
      </c>
      <c r="D7979" s="2" t="s">
        <v>12</v>
      </c>
      <c r="E7979" s="2" t="s">
        <v>12</v>
      </c>
      <c r="F7979" s="2" t="s">
        <v>12</v>
      </c>
      <c r="G7979" s="2" t="s">
        <v>12</v>
      </c>
      <c r="H7979" s="2" t="s">
        <v>12</v>
      </c>
      <c r="I7979" s="2" t="s">
        <v>12</v>
      </c>
      <c r="J7979" s="2" t="s">
        <v>12</v>
      </c>
      <c r="K7979" s="2" t="s">
        <v>12</v>
      </c>
    </row>
    <row r="7980" spans="1:11" ht="12.5" x14ac:dyDescent="0.25">
      <c r="A7980" s="3" t="e">
        <f ca="1"/>
        <v>#NAME?</v>
      </c>
      <c r="B7980" s="2" t="s">
        <v>12</v>
      </c>
      <c r="C7980" s="2" t="s">
        <v>12</v>
      </c>
      <c r="D7980" s="2" t="s">
        <v>12</v>
      </c>
      <c r="E7980" s="2" t="s">
        <v>12</v>
      </c>
      <c r="F7980" s="2" t="s">
        <v>12</v>
      </c>
      <c r="G7980" s="2" t="s">
        <v>12</v>
      </c>
      <c r="H7980" s="2" t="s">
        <v>12</v>
      </c>
      <c r="I7980" s="2" t="s">
        <v>12</v>
      </c>
      <c r="J7980" s="2" t="s">
        <v>12</v>
      </c>
      <c r="K7980" s="2" t="s">
        <v>12</v>
      </c>
    </row>
    <row r="7981" spans="1:11" ht="12.5" x14ac:dyDescent="0.25">
      <c r="A7981" s="3" t="e">
        <f ca="1"/>
        <v>#NAME?</v>
      </c>
      <c r="B7981" s="2" t="s">
        <v>12</v>
      </c>
      <c r="C7981" s="2" t="s">
        <v>12</v>
      </c>
      <c r="D7981" s="2" t="s">
        <v>12</v>
      </c>
      <c r="E7981" s="2" t="s">
        <v>12</v>
      </c>
      <c r="F7981" s="2" t="s">
        <v>12</v>
      </c>
      <c r="G7981" s="2" t="s">
        <v>12</v>
      </c>
      <c r="H7981" s="2" t="s">
        <v>12</v>
      </c>
      <c r="I7981" s="2" t="s">
        <v>12</v>
      </c>
      <c r="J7981" s="2" t="s">
        <v>12</v>
      </c>
      <c r="K7981" s="2" t="s">
        <v>12</v>
      </c>
    </row>
    <row r="7982" spans="1:11" ht="12.5" x14ac:dyDescent="0.25">
      <c r="A7982" s="3" t="e">
        <f ca="1"/>
        <v>#NAME?</v>
      </c>
      <c r="B7982" s="2" t="s">
        <v>12</v>
      </c>
      <c r="C7982" s="2" t="s">
        <v>12</v>
      </c>
      <c r="D7982" s="2" t="s">
        <v>12</v>
      </c>
      <c r="E7982" s="2" t="s">
        <v>12</v>
      </c>
      <c r="F7982" s="2" t="s">
        <v>12</v>
      </c>
      <c r="G7982" s="2" t="s">
        <v>12</v>
      </c>
      <c r="H7982" s="2" t="s">
        <v>12</v>
      </c>
      <c r="I7982" s="2" t="s">
        <v>12</v>
      </c>
      <c r="J7982" s="2" t="s">
        <v>12</v>
      </c>
      <c r="K7982" s="2" t="s">
        <v>12</v>
      </c>
    </row>
    <row r="7983" spans="1:11" ht="12.5" x14ac:dyDescent="0.25">
      <c r="A7983" s="3" t="e">
        <f ca="1"/>
        <v>#NAME?</v>
      </c>
      <c r="B7983" s="2" t="s">
        <v>12</v>
      </c>
      <c r="C7983" s="2" t="s">
        <v>12</v>
      </c>
      <c r="D7983" s="2" t="s">
        <v>12</v>
      </c>
      <c r="E7983" s="2" t="s">
        <v>12</v>
      </c>
      <c r="F7983" s="2" t="s">
        <v>12</v>
      </c>
      <c r="G7983" s="2" t="s">
        <v>12</v>
      </c>
      <c r="H7983" s="2" t="s">
        <v>12</v>
      </c>
      <c r="I7983" s="2" t="s">
        <v>12</v>
      </c>
      <c r="J7983" s="2" t="s">
        <v>12</v>
      </c>
      <c r="K7983" s="2" t="s">
        <v>12</v>
      </c>
    </row>
    <row r="7984" spans="1:11" ht="12.5" x14ac:dyDescent="0.25">
      <c r="A7984" s="3" t="e">
        <f ca="1"/>
        <v>#NAME?</v>
      </c>
      <c r="B7984" s="2" t="s">
        <v>12</v>
      </c>
      <c r="C7984" s="2" t="s">
        <v>12</v>
      </c>
      <c r="D7984" s="2" t="s">
        <v>12</v>
      </c>
      <c r="E7984" s="2" t="s">
        <v>12</v>
      </c>
      <c r="F7984" s="2" t="s">
        <v>12</v>
      </c>
      <c r="G7984" s="2" t="s">
        <v>12</v>
      </c>
      <c r="H7984" s="2" t="s">
        <v>12</v>
      </c>
      <c r="I7984" s="2" t="s">
        <v>12</v>
      </c>
      <c r="J7984" s="2" t="s">
        <v>12</v>
      </c>
      <c r="K7984" s="2" t="s">
        <v>12</v>
      </c>
    </row>
    <row r="7985" spans="1:11" ht="12.5" x14ac:dyDescent="0.25">
      <c r="A7985" s="3" t="e">
        <f ca="1"/>
        <v>#NAME?</v>
      </c>
      <c r="B7985" s="2" t="s">
        <v>12</v>
      </c>
      <c r="C7985" s="2" t="s">
        <v>12</v>
      </c>
      <c r="D7985" s="2" t="s">
        <v>12</v>
      </c>
      <c r="E7985" s="2" t="s">
        <v>12</v>
      </c>
      <c r="F7985" s="2" t="s">
        <v>12</v>
      </c>
      <c r="G7985" s="2" t="s">
        <v>12</v>
      </c>
      <c r="H7985" s="2" t="s">
        <v>12</v>
      </c>
      <c r="I7985" s="2" t="s">
        <v>12</v>
      </c>
      <c r="J7985" s="2" t="s">
        <v>12</v>
      </c>
      <c r="K7985" s="2" t="s">
        <v>12</v>
      </c>
    </row>
    <row r="7986" spans="1:11" ht="12.5" x14ac:dyDescent="0.25">
      <c r="A7986" s="3" t="e">
        <f ca="1"/>
        <v>#NAME?</v>
      </c>
      <c r="B7986" s="2" t="s">
        <v>12</v>
      </c>
      <c r="C7986" s="2" t="s">
        <v>12</v>
      </c>
      <c r="D7986" s="2" t="s">
        <v>12</v>
      </c>
      <c r="E7986" s="2" t="s">
        <v>12</v>
      </c>
      <c r="F7986" s="2" t="s">
        <v>12</v>
      </c>
      <c r="G7986" s="2" t="s">
        <v>12</v>
      </c>
      <c r="H7986" s="2" t="s">
        <v>12</v>
      </c>
      <c r="I7986" s="2" t="s">
        <v>12</v>
      </c>
      <c r="J7986" s="2" t="s">
        <v>12</v>
      </c>
      <c r="K7986" s="2" t="s">
        <v>12</v>
      </c>
    </row>
    <row r="7987" spans="1:11" ht="12.5" x14ac:dyDescent="0.25">
      <c r="A7987" s="3" t="e">
        <f ca="1"/>
        <v>#NAME?</v>
      </c>
      <c r="B7987" s="2" t="s">
        <v>12</v>
      </c>
      <c r="C7987" s="2" t="s">
        <v>12</v>
      </c>
      <c r="D7987" s="2" t="s">
        <v>12</v>
      </c>
      <c r="E7987" s="2" t="s">
        <v>12</v>
      </c>
      <c r="F7987" s="2" t="s">
        <v>12</v>
      </c>
      <c r="G7987" s="2" t="s">
        <v>12</v>
      </c>
      <c r="H7987" s="2" t="s">
        <v>12</v>
      </c>
      <c r="I7987" s="2" t="s">
        <v>12</v>
      </c>
      <c r="J7987" s="2" t="s">
        <v>12</v>
      </c>
      <c r="K7987" s="2" t="s">
        <v>12</v>
      </c>
    </row>
    <row r="7988" spans="1:11" ht="12.5" x14ac:dyDescent="0.25">
      <c r="A7988" s="3" t="e">
        <f ca="1"/>
        <v>#NAME?</v>
      </c>
      <c r="B7988" s="2" t="s">
        <v>12</v>
      </c>
      <c r="C7988" s="2" t="s">
        <v>12</v>
      </c>
      <c r="D7988" s="2" t="s">
        <v>12</v>
      </c>
      <c r="E7988" s="2" t="s">
        <v>12</v>
      </c>
      <c r="F7988" s="2" t="s">
        <v>12</v>
      </c>
      <c r="G7988" s="2" t="s">
        <v>12</v>
      </c>
      <c r="H7988" s="2" t="s">
        <v>12</v>
      </c>
      <c r="I7988" s="2" t="s">
        <v>12</v>
      </c>
      <c r="J7988" s="2" t="s">
        <v>12</v>
      </c>
      <c r="K7988" s="2" t="s">
        <v>12</v>
      </c>
    </row>
    <row r="7989" spans="1:11" ht="12.5" x14ac:dyDescent="0.25">
      <c r="A7989" s="3" t="e">
        <f ca="1"/>
        <v>#NAME?</v>
      </c>
      <c r="B7989" s="2" t="s">
        <v>12</v>
      </c>
      <c r="C7989" s="2" t="s">
        <v>12</v>
      </c>
      <c r="D7989" s="2" t="s">
        <v>12</v>
      </c>
      <c r="E7989" s="2" t="s">
        <v>12</v>
      </c>
      <c r="F7989" s="2" t="s">
        <v>12</v>
      </c>
      <c r="G7989" s="2" t="s">
        <v>12</v>
      </c>
      <c r="H7989" s="2" t="s">
        <v>12</v>
      </c>
      <c r="I7989" s="2" t="s">
        <v>12</v>
      </c>
      <c r="J7989" s="2" t="s">
        <v>12</v>
      </c>
      <c r="K7989" s="2" t="s">
        <v>12</v>
      </c>
    </row>
    <row r="7990" spans="1:11" ht="12.5" x14ac:dyDescent="0.25">
      <c r="A7990" s="3" t="e">
        <f ca="1"/>
        <v>#NAME?</v>
      </c>
      <c r="B7990" s="2" t="s">
        <v>12</v>
      </c>
      <c r="C7990" s="2" t="s">
        <v>12</v>
      </c>
      <c r="D7990" s="2" t="s">
        <v>12</v>
      </c>
      <c r="E7990" s="2" t="s">
        <v>12</v>
      </c>
      <c r="F7990" s="2" t="s">
        <v>12</v>
      </c>
      <c r="G7990" s="2" t="s">
        <v>12</v>
      </c>
      <c r="H7990" s="2" t="s">
        <v>12</v>
      </c>
      <c r="I7990" s="2" t="s">
        <v>12</v>
      </c>
      <c r="J7990" s="2" t="s">
        <v>12</v>
      </c>
      <c r="K7990" s="2" t="s">
        <v>12</v>
      </c>
    </row>
    <row r="7991" spans="1:11" ht="12.5" x14ac:dyDescent="0.25">
      <c r="A7991" s="3" t="e">
        <f ca="1"/>
        <v>#NAME?</v>
      </c>
      <c r="B7991" s="2" t="s">
        <v>12</v>
      </c>
      <c r="C7991" s="2" t="s">
        <v>12</v>
      </c>
      <c r="D7991" s="2" t="s">
        <v>12</v>
      </c>
      <c r="E7991" s="2" t="s">
        <v>12</v>
      </c>
      <c r="F7991" s="2" t="s">
        <v>12</v>
      </c>
      <c r="G7991" s="2" t="s">
        <v>12</v>
      </c>
      <c r="H7991" s="2" t="s">
        <v>12</v>
      </c>
      <c r="I7991" s="2" t="s">
        <v>12</v>
      </c>
      <c r="J7991" s="2" t="s">
        <v>12</v>
      </c>
      <c r="K7991" s="2" t="s">
        <v>12</v>
      </c>
    </row>
    <row r="7992" spans="1:11" ht="12.5" x14ac:dyDescent="0.25">
      <c r="A7992" s="3" t="e">
        <f ca="1"/>
        <v>#NAME?</v>
      </c>
      <c r="B7992" s="2" t="s">
        <v>12</v>
      </c>
      <c r="C7992" s="2" t="s">
        <v>12</v>
      </c>
      <c r="D7992" s="2" t="s">
        <v>12</v>
      </c>
      <c r="E7992" s="2" t="s">
        <v>12</v>
      </c>
      <c r="F7992" s="2" t="s">
        <v>12</v>
      </c>
      <c r="G7992" s="2" t="s">
        <v>12</v>
      </c>
      <c r="H7992" s="2" t="s">
        <v>12</v>
      </c>
      <c r="I7992" s="2" t="s">
        <v>12</v>
      </c>
      <c r="J7992" s="2" t="s">
        <v>12</v>
      </c>
      <c r="K7992" s="2" t="s">
        <v>12</v>
      </c>
    </row>
    <row r="7993" spans="1:11" ht="12.5" x14ac:dyDescent="0.25">
      <c r="A7993" s="3" t="e">
        <f ca="1"/>
        <v>#NAME?</v>
      </c>
      <c r="B7993" s="2" t="s">
        <v>12</v>
      </c>
      <c r="C7993" s="2" t="s">
        <v>12</v>
      </c>
      <c r="D7993" s="2" t="s">
        <v>12</v>
      </c>
      <c r="E7993" s="2" t="s">
        <v>12</v>
      </c>
      <c r="F7993" s="2" t="s">
        <v>12</v>
      </c>
      <c r="G7993" s="2" t="s">
        <v>12</v>
      </c>
      <c r="H7993" s="2" t="s">
        <v>12</v>
      </c>
      <c r="I7993" s="2" t="s">
        <v>12</v>
      </c>
      <c r="J7993" s="2" t="s">
        <v>12</v>
      </c>
      <c r="K7993" s="2" t="s">
        <v>12</v>
      </c>
    </row>
    <row r="7994" spans="1:11" ht="12.5" x14ac:dyDescent="0.25">
      <c r="A7994" s="3" t="e">
        <f ca="1"/>
        <v>#NAME?</v>
      </c>
      <c r="B7994" s="2" t="s">
        <v>12</v>
      </c>
      <c r="C7994" s="2" t="s">
        <v>12</v>
      </c>
      <c r="D7994" s="2" t="s">
        <v>12</v>
      </c>
      <c r="E7994" s="2" t="s">
        <v>12</v>
      </c>
      <c r="F7994" s="2" t="s">
        <v>12</v>
      </c>
      <c r="G7994" s="2" t="s">
        <v>12</v>
      </c>
      <c r="H7994" s="2" t="s">
        <v>12</v>
      </c>
      <c r="I7994" s="2" t="s">
        <v>12</v>
      </c>
      <c r="J7994" s="2" t="s">
        <v>12</v>
      </c>
      <c r="K7994" s="2" t="s">
        <v>12</v>
      </c>
    </row>
    <row r="7995" spans="1:11" ht="12.5" x14ac:dyDescent="0.25">
      <c r="A7995" s="3" t="e">
        <f ca="1"/>
        <v>#NAME?</v>
      </c>
      <c r="B7995" s="2" t="s">
        <v>12</v>
      </c>
      <c r="C7995" s="2" t="s">
        <v>12</v>
      </c>
      <c r="D7995" s="2" t="s">
        <v>12</v>
      </c>
      <c r="E7995" s="2" t="s">
        <v>12</v>
      </c>
      <c r="F7995" s="2" t="s">
        <v>12</v>
      </c>
      <c r="G7995" s="2" t="s">
        <v>12</v>
      </c>
      <c r="H7995" s="2" t="s">
        <v>12</v>
      </c>
      <c r="I7995" s="2" t="s">
        <v>12</v>
      </c>
      <c r="J7995" s="2" t="s">
        <v>12</v>
      </c>
      <c r="K7995" s="2" t="s">
        <v>12</v>
      </c>
    </row>
    <row r="7996" spans="1:11" ht="12.5" x14ac:dyDescent="0.25">
      <c r="A7996" s="3" t="e">
        <f ca="1"/>
        <v>#NAME?</v>
      </c>
      <c r="B7996" s="2" t="s">
        <v>12</v>
      </c>
      <c r="C7996" s="2" t="s">
        <v>12</v>
      </c>
      <c r="D7996" s="2" t="s">
        <v>12</v>
      </c>
      <c r="E7996" s="2" t="s">
        <v>12</v>
      </c>
      <c r="F7996" s="2" t="s">
        <v>12</v>
      </c>
      <c r="G7996" s="2" t="s">
        <v>12</v>
      </c>
      <c r="H7996" s="2" t="s">
        <v>12</v>
      </c>
      <c r="I7996" s="2" t="s">
        <v>12</v>
      </c>
      <c r="J7996" s="2" t="s">
        <v>12</v>
      </c>
      <c r="K7996" s="2" t="s">
        <v>12</v>
      </c>
    </row>
    <row r="7997" spans="1:11" ht="12.5" x14ac:dyDescent="0.25">
      <c r="A7997" s="3" t="e">
        <f ca="1"/>
        <v>#NAME?</v>
      </c>
      <c r="B7997" s="2" t="s">
        <v>12</v>
      </c>
      <c r="C7997" s="2" t="s">
        <v>12</v>
      </c>
      <c r="D7997" s="2" t="s">
        <v>12</v>
      </c>
      <c r="E7997" s="2" t="s">
        <v>12</v>
      </c>
      <c r="F7997" s="2" t="s">
        <v>12</v>
      </c>
      <c r="G7997" s="2" t="s">
        <v>12</v>
      </c>
      <c r="H7997" s="2" t="s">
        <v>12</v>
      </c>
      <c r="I7997" s="2" t="s">
        <v>12</v>
      </c>
      <c r="J7997" s="2" t="s">
        <v>12</v>
      </c>
      <c r="K7997" s="2" t="s">
        <v>12</v>
      </c>
    </row>
    <row r="7998" spans="1:11" ht="12.5" x14ac:dyDescent="0.25">
      <c r="A7998" s="3" t="e">
        <f ca="1"/>
        <v>#NAME?</v>
      </c>
      <c r="B7998" s="2" t="s">
        <v>12</v>
      </c>
      <c r="C7998" s="2" t="s">
        <v>12</v>
      </c>
      <c r="D7998" s="2" t="s">
        <v>12</v>
      </c>
      <c r="E7998" s="2" t="s">
        <v>12</v>
      </c>
      <c r="F7998" s="2" t="s">
        <v>12</v>
      </c>
      <c r="G7998" s="2" t="s">
        <v>12</v>
      </c>
      <c r="H7998" s="2" t="s">
        <v>12</v>
      </c>
      <c r="I7998" s="2" t="s">
        <v>12</v>
      </c>
      <c r="J7998" s="2" t="s">
        <v>12</v>
      </c>
      <c r="K7998" s="2" t="s">
        <v>12</v>
      </c>
    </row>
    <row r="7999" spans="1:11" ht="12.5" x14ac:dyDescent="0.25">
      <c r="A7999" s="3" t="e">
        <f ca="1"/>
        <v>#NAME?</v>
      </c>
      <c r="B7999" s="2" t="s">
        <v>12</v>
      </c>
      <c r="C7999" s="2" t="s">
        <v>12</v>
      </c>
      <c r="D7999" s="2" t="s">
        <v>12</v>
      </c>
      <c r="E7999" s="2" t="s">
        <v>12</v>
      </c>
      <c r="F7999" s="2" t="s">
        <v>12</v>
      </c>
      <c r="G7999" s="2" t="s">
        <v>12</v>
      </c>
      <c r="H7999" s="2" t="s">
        <v>12</v>
      </c>
      <c r="I7999" s="2" t="s">
        <v>12</v>
      </c>
      <c r="J7999" s="2" t="s">
        <v>12</v>
      </c>
      <c r="K7999" s="2" t="s">
        <v>12</v>
      </c>
    </row>
    <row r="8000" spans="1:11" ht="12.5" x14ac:dyDescent="0.25">
      <c r="A8000" s="3" t="e">
        <f ca="1"/>
        <v>#NAME?</v>
      </c>
      <c r="B8000" s="2" t="s">
        <v>12</v>
      </c>
      <c r="C8000" s="2" t="s">
        <v>12</v>
      </c>
      <c r="D8000" s="2" t="s">
        <v>12</v>
      </c>
      <c r="E8000" s="2" t="s">
        <v>12</v>
      </c>
      <c r="F8000" s="2" t="s">
        <v>12</v>
      </c>
      <c r="G8000" s="2" t="s">
        <v>12</v>
      </c>
      <c r="H8000" s="2" t="s">
        <v>12</v>
      </c>
      <c r="I8000" s="2" t="s">
        <v>12</v>
      </c>
      <c r="J8000" s="2" t="s">
        <v>12</v>
      </c>
      <c r="K8000" s="2" t="s">
        <v>12</v>
      </c>
    </row>
    <row r="8001" spans="1:11" ht="12.5" x14ac:dyDescent="0.25">
      <c r="A8001" s="3" t="e">
        <f ca="1"/>
        <v>#NAME?</v>
      </c>
      <c r="B8001" s="2" t="s">
        <v>12</v>
      </c>
      <c r="C8001" s="2" t="s">
        <v>12</v>
      </c>
      <c r="D8001" s="2" t="s">
        <v>12</v>
      </c>
      <c r="E8001" s="2" t="s">
        <v>12</v>
      </c>
      <c r="F8001" s="2" t="s">
        <v>12</v>
      </c>
      <c r="G8001" s="2" t="s">
        <v>12</v>
      </c>
      <c r="H8001" s="2" t="s">
        <v>12</v>
      </c>
      <c r="I8001" s="2" t="s">
        <v>12</v>
      </c>
      <c r="J8001" s="2" t="s">
        <v>12</v>
      </c>
      <c r="K8001" s="2" t="s">
        <v>12</v>
      </c>
    </row>
    <row r="8002" spans="1:11" ht="12.5" x14ac:dyDescent="0.25">
      <c r="A8002" s="3" t="e">
        <f ca="1"/>
        <v>#NAME?</v>
      </c>
      <c r="B8002" s="2" t="s">
        <v>12</v>
      </c>
      <c r="C8002" s="2" t="s">
        <v>12</v>
      </c>
      <c r="D8002" s="2" t="s">
        <v>12</v>
      </c>
      <c r="E8002" s="2" t="s">
        <v>12</v>
      </c>
      <c r="F8002" s="2" t="s">
        <v>12</v>
      </c>
      <c r="G8002" s="2" t="s">
        <v>12</v>
      </c>
      <c r="H8002" s="2" t="s">
        <v>12</v>
      </c>
      <c r="I8002" s="2" t="s">
        <v>12</v>
      </c>
      <c r="J8002" s="2" t="s">
        <v>12</v>
      </c>
      <c r="K8002" s="2" t="s">
        <v>12</v>
      </c>
    </row>
    <row r="8003" spans="1:11" ht="12.5" x14ac:dyDescent="0.25">
      <c r="A8003" s="3" t="e">
        <f ca="1"/>
        <v>#NAME?</v>
      </c>
      <c r="B8003" s="2" t="s">
        <v>12</v>
      </c>
      <c r="C8003" s="2" t="s">
        <v>12</v>
      </c>
      <c r="D8003" s="2" t="s">
        <v>12</v>
      </c>
      <c r="E8003" s="2" t="s">
        <v>12</v>
      </c>
      <c r="F8003" s="2" t="s">
        <v>12</v>
      </c>
      <c r="G8003" s="2" t="s">
        <v>12</v>
      </c>
      <c r="H8003" s="2" t="s">
        <v>12</v>
      </c>
      <c r="I8003" s="2" t="s">
        <v>12</v>
      </c>
      <c r="J8003" s="2" t="s">
        <v>12</v>
      </c>
      <c r="K8003" s="2" t="s">
        <v>12</v>
      </c>
    </row>
    <row r="8004" spans="1:11" ht="12.5" x14ac:dyDescent="0.25">
      <c r="A8004" s="3" t="e">
        <f ca="1"/>
        <v>#NAME?</v>
      </c>
      <c r="B8004" s="2" t="s">
        <v>12</v>
      </c>
      <c r="C8004" s="2" t="s">
        <v>12</v>
      </c>
      <c r="D8004" s="2" t="s">
        <v>12</v>
      </c>
      <c r="E8004" s="2" t="s">
        <v>12</v>
      </c>
      <c r="F8004" s="2" t="s">
        <v>12</v>
      </c>
      <c r="G8004" s="2" t="s">
        <v>12</v>
      </c>
      <c r="H8004" s="2" t="s">
        <v>12</v>
      </c>
      <c r="I8004" s="2" t="s">
        <v>12</v>
      </c>
      <c r="J8004" s="2" t="s">
        <v>12</v>
      </c>
      <c r="K8004" s="2" t="s">
        <v>12</v>
      </c>
    </row>
    <row r="8005" spans="1:11" ht="12.5" x14ac:dyDescent="0.25">
      <c r="A8005" s="3" t="e">
        <f ca="1"/>
        <v>#NAME?</v>
      </c>
      <c r="B8005" s="2" t="s">
        <v>12</v>
      </c>
      <c r="C8005" s="2" t="s">
        <v>12</v>
      </c>
      <c r="D8005" s="2" t="s">
        <v>12</v>
      </c>
      <c r="E8005" s="2" t="s">
        <v>12</v>
      </c>
      <c r="F8005" s="2" t="s">
        <v>12</v>
      </c>
      <c r="G8005" s="2" t="s">
        <v>12</v>
      </c>
      <c r="H8005" s="2" t="s">
        <v>12</v>
      </c>
      <c r="I8005" s="2" t="s">
        <v>12</v>
      </c>
      <c r="J8005" s="2" t="s">
        <v>12</v>
      </c>
      <c r="K8005" s="2" t="s">
        <v>12</v>
      </c>
    </row>
    <row r="8006" spans="1:11" ht="12.5" x14ac:dyDescent="0.25">
      <c r="A8006" s="3" t="e">
        <f ca="1"/>
        <v>#NAME?</v>
      </c>
      <c r="B8006" s="2" t="s">
        <v>12</v>
      </c>
      <c r="C8006" s="2" t="s">
        <v>12</v>
      </c>
      <c r="D8006" s="2" t="s">
        <v>12</v>
      </c>
      <c r="E8006" s="2" t="s">
        <v>12</v>
      </c>
      <c r="F8006" s="2" t="s">
        <v>12</v>
      </c>
      <c r="G8006" s="2" t="s">
        <v>12</v>
      </c>
      <c r="H8006" s="2" t="s">
        <v>12</v>
      </c>
      <c r="I8006" s="2" t="s">
        <v>12</v>
      </c>
      <c r="J8006" s="2" t="s">
        <v>12</v>
      </c>
      <c r="K8006" s="2" t="s">
        <v>12</v>
      </c>
    </row>
    <row r="8007" spans="1:11" ht="12.5" x14ac:dyDescent="0.25">
      <c r="A8007" s="3" t="e">
        <f ca="1"/>
        <v>#NAME?</v>
      </c>
      <c r="B8007" s="2" t="s">
        <v>12</v>
      </c>
      <c r="C8007" s="2" t="s">
        <v>12</v>
      </c>
      <c r="D8007" s="2" t="s">
        <v>12</v>
      </c>
      <c r="E8007" s="2" t="s">
        <v>12</v>
      </c>
      <c r="F8007" s="2" t="s">
        <v>12</v>
      </c>
      <c r="G8007" s="2" t="s">
        <v>12</v>
      </c>
      <c r="H8007" s="2" t="s">
        <v>12</v>
      </c>
      <c r="I8007" s="2" t="s">
        <v>12</v>
      </c>
      <c r="J8007" s="2" t="s">
        <v>12</v>
      </c>
      <c r="K8007" s="2" t="s">
        <v>12</v>
      </c>
    </row>
    <row r="8008" spans="1:11" ht="12.5" x14ac:dyDescent="0.25">
      <c r="A8008" s="3" t="e">
        <f ca="1"/>
        <v>#NAME?</v>
      </c>
      <c r="B8008" s="2" t="s">
        <v>12</v>
      </c>
      <c r="C8008" s="2" t="s">
        <v>12</v>
      </c>
      <c r="D8008" s="2" t="s">
        <v>12</v>
      </c>
      <c r="E8008" s="2" t="s">
        <v>12</v>
      </c>
      <c r="F8008" s="2" t="s">
        <v>12</v>
      </c>
      <c r="G8008" s="2" t="s">
        <v>12</v>
      </c>
      <c r="H8008" s="2" t="s">
        <v>12</v>
      </c>
      <c r="I8008" s="2" t="s">
        <v>12</v>
      </c>
      <c r="J8008" s="2" t="s">
        <v>12</v>
      </c>
      <c r="K8008" s="2" t="s">
        <v>12</v>
      </c>
    </row>
    <row r="8009" spans="1:11" ht="12.5" x14ac:dyDescent="0.25">
      <c r="A8009" s="3" t="e">
        <f ca="1"/>
        <v>#NAME?</v>
      </c>
      <c r="B8009" s="2" t="s">
        <v>12</v>
      </c>
      <c r="C8009" s="2" t="s">
        <v>12</v>
      </c>
      <c r="D8009" s="2" t="s">
        <v>12</v>
      </c>
      <c r="E8009" s="2" t="s">
        <v>12</v>
      </c>
      <c r="F8009" s="2" t="s">
        <v>12</v>
      </c>
      <c r="G8009" s="2" t="s">
        <v>12</v>
      </c>
      <c r="H8009" s="2" t="s">
        <v>12</v>
      </c>
      <c r="I8009" s="2" t="s">
        <v>12</v>
      </c>
      <c r="J8009" s="2" t="s">
        <v>12</v>
      </c>
      <c r="K8009" s="2" t="s">
        <v>12</v>
      </c>
    </row>
    <row r="8010" spans="1:11" ht="12.5" x14ac:dyDescent="0.25">
      <c r="A8010" s="3" t="e">
        <f ca="1"/>
        <v>#NAME?</v>
      </c>
      <c r="B8010" s="2" t="s">
        <v>12</v>
      </c>
      <c r="C8010" s="2" t="s">
        <v>12</v>
      </c>
      <c r="D8010" s="2" t="s">
        <v>12</v>
      </c>
      <c r="E8010" s="2" t="s">
        <v>12</v>
      </c>
      <c r="F8010" s="2" t="s">
        <v>12</v>
      </c>
      <c r="G8010" s="2" t="s">
        <v>12</v>
      </c>
      <c r="H8010" s="2" t="s">
        <v>12</v>
      </c>
      <c r="I8010" s="2" t="s">
        <v>12</v>
      </c>
      <c r="J8010" s="2" t="s">
        <v>12</v>
      </c>
      <c r="K8010" s="2" t="s">
        <v>12</v>
      </c>
    </row>
    <row r="8011" spans="1:11" ht="12.5" x14ac:dyDescent="0.25">
      <c r="A8011" s="3" t="e">
        <f ca="1"/>
        <v>#NAME?</v>
      </c>
      <c r="B8011" s="2" t="s">
        <v>12</v>
      </c>
      <c r="C8011" s="2" t="s">
        <v>12</v>
      </c>
      <c r="D8011" s="2" t="s">
        <v>12</v>
      </c>
      <c r="E8011" s="2" t="s">
        <v>12</v>
      </c>
      <c r="F8011" s="2" t="s">
        <v>12</v>
      </c>
      <c r="G8011" s="2" t="s">
        <v>12</v>
      </c>
      <c r="H8011" s="2" t="s">
        <v>12</v>
      </c>
      <c r="I8011" s="2" t="s">
        <v>12</v>
      </c>
      <c r="J8011" s="2" t="s">
        <v>12</v>
      </c>
      <c r="K8011" s="2" t="s">
        <v>12</v>
      </c>
    </row>
    <row r="8012" spans="1:11" ht="12.5" x14ac:dyDescent="0.25">
      <c r="A8012" s="3" t="e">
        <f ca="1"/>
        <v>#NAME?</v>
      </c>
      <c r="B8012" s="2" t="s">
        <v>12</v>
      </c>
      <c r="C8012" s="2" t="s">
        <v>12</v>
      </c>
      <c r="D8012" s="2" t="s">
        <v>12</v>
      </c>
      <c r="E8012" s="2" t="s">
        <v>12</v>
      </c>
      <c r="F8012" s="2" t="s">
        <v>12</v>
      </c>
      <c r="G8012" s="2" t="s">
        <v>12</v>
      </c>
      <c r="H8012" s="2" t="s">
        <v>12</v>
      </c>
      <c r="I8012" s="2" t="s">
        <v>12</v>
      </c>
      <c r="J8012" s="2" t="s">
        <v>12</v>
      </c>
      <c r="K8012" s="2" t="s">
        <v>12</v>
      </c>
    </row>
    <row r="8013" spans="1:11" ht="12.5" x14ac:dyDescent="0.25">
      <c r="A8013" s="3" t="e">
        <f ca="1"/>
        <v>#NAME?</v>
      </c>
      <c r="B8013" s="2" t="s">
        <v>12</v>
      </c>
      <c r="C8013" s="2" t="s">
        <v>12</v>
      </c>
      <c r="D8013" s="2" t="s">
        <v>12</v>
      </c>
      <c r="E8013" s="2" t="s">
        <v>12</v>
      </c>
      <c r="F8013" s="2" t="s">
        <v>12</v>
      </c>
      <c r="G8013" s="2" t="s">
        <v>12</v>
      </c>
      <c r="H8013" s="2" t="s">
        <v>12</v>
      </c>
      <c r="I8013" s="2" t="s">
        <v>12</v>
      </c>
      <c r="J8013" s="2" t="s">
        <v>12</v>
      </c>
      <c r="K8013" s="2" t="s">
        <v>12</v>
      </c>
    </row>
    <row r="8014" spans="1:11" ht="12.5" x14ac:dyDescent="0.25">
      <c r="A8014" s="3" t="e">
        <f ca="1"/>
        <v>#NAME?</v>
      </c>
      <c r="B8014" s="2" t="s">
        <v>12</v>
      </c>
      <c r="C8014" s="2" t="s">
        <v>12</v>
      </c>
      <c r="D8014" s="2" t="s">
        <v>12</v>
      </c>
      <c r="E8014" s="2" t="s">
        <v>12</v>
      </c>
      <c r="F8014" s="2" t="s">
        <v>12</v>
      </c>
      <c r="G8014" s="2" t="s">
        <v>12</v>
      </c>
      <c r="H8014" s="2" t="s">
        <v>12</v>
      </c>
      <c r="I8014" s="2" t="s">
        <v>12</v>
      </c>
      <c r="J8014" s="2" t="s">
        <v>12</v>
      </c>
      <c r="K8014" s="2" t="s">
        <v>12</v>
      </c>
    </row>
    <row r="8015" spans="1:11" ht="12.5" x14ac:dyDescent="0.25">
      <c r="A8015" s="3" t="e">
        <f ca="1"/>
        <v>#NAME?</v>
      </c>
      <c r="B8015" s="2" t="s">
        <v>12</v>
      </c>
      <c r="C8015" s="2" t="s">
        <v>12</v>
      </c>
      <c r="D8015" s="2" t="s">
        <v>12</v>
      </c>
      <c r="E8015" s="2" t="s">
        <v>12</v>
      </c>
      <c r="F8015" s="2" t="s">
        <v>12</v>
      </c>
      <c r="G8015" s="2" t="s">
        <v>12</v>
      </c>
      <c r="H8015" s="2" t="s">
        <v>12</v>
      </c>
      <c r="I8015" s="2" t="s">
        <v>12</v>
      </c>
      <c r="J8015" s="2" t="s">
        <v>12</v>
      </c>
      <c r="K8015" s="2" t="s">
        <v>12</v>
      </c>
    </row>
    <row r="8016" spans="1:11" ht="12.5" x14ac:dyDescent="0.25">
      <c r="A8016" s="3" t="e">
        <f ca="1"/>
        <v>#NAME?</v>
      </c>
      <c r="B8016" s="2" t="s">
        <v>12</v>
      </c>
      <c r="C8016" s="2" t="s">
        <v>12</v>
      </c>
      <c r="D8016" s="2" t="s">
        <v>12</v>
      </c>
      <c r="E8016" s="2" t="s">
        <v>12</v>
      </c>
      <c r="F8016" s="2" t="s">
        <v>12</v>
      </c>
      <c r="G8016" s="2" t="s">
        <v>12</v>
      </c>
      <c r="H8016" s="2" t="s">
        <v>12</v>
      </c>
      <c r="I8016" s="2" t="s">
        <v>12</v>
      </c>
      <c r="J8016" s="2" t="s">
        <v>12</v>
      </c>
      <c r="K8016" s="2" t="s">
        <v>12</v>
      </c>
    </row>
    <row r="8017" spans="1:11" ht="12.5" x14ac:dyDescent="0.25">
      <c r="A8017" s="3" t="e">
        <f ca="1"/>
        <v>#NAME?</v>
      </c>
      <c r="B8017" s="2" t="s">
        <v>12</v>
      </c>
      <c r="C8017" s="2" t="s">
        <v>12</v>
      </c>
      <c r="D8017" s="2" t="s">
        <v>12</v>
      </c>
      <c r="E8017" s="2" t="s">
        <v>12</v>
      </c>
      <c r="F8017" s="2" t="s">
        <v>12</v>
      </c>
      <c r="G8017" s="2" t="s">
        <v>12</v>
      </c>
      <c r="H8017" s="2" t="s">
        <v>12</v>
      </c>
      <c r="I8017" s="2" t="s">
        <v>12</v>
      </c>
      <c r="J8017" s="2" t="s">
        <v>12</v>
      </c>
      <c r="K8017" s="2" t="s">
        <v>12</v>
      </c>
    </row>
    <row r="8018" spans="1:11" ht="12.5" x14ac:dyDescent="0.25">
      <c r="A8018" s="3" t="e">
        <f ca="1"/>
        <v>#NAME?</v>
      </c>
      <c r="B8018" s="2" t="s">
        <v>12</v>
      </c>
      <c r="C8018" s="2" t="s">
        <v>12</v>
      </c>
      <c r="D8018" s="2" t="s">
        <v>12</v>
      </c>
      <c r="E8018" s="2" t="s">
        <v>12</v>
      </c>
      <c r="F8018" s="2" t="s">
        <v>12</v>
      </c>
      <c r="G8018" s="2" t="s">
        <v>12</v>
      </c>
      <c r="H8018" s="2" t="s">
        <v>12</v>
      </c>
      <c r="I8018" s="2" t="s">
        <v>12</v>
      </c>
      <c r="J8018" s="2" t="s">
        <v>12</v>
      </c>
      <c r="K8018" s="2" t="s">
        <v>12</v>
      </c>
    </row>
    <row r="8019" spans="1:11" ht="12.5" x14ac:dyDescent="0.25">
      <c r="A8019" s="3" t="e">
        <f ca="1"/>
        <v>#NAME?</v>
      </c>
      <c r="B8019" s="2" t="s">
        <v>12</v>
      </c>
      <c r="C8019" s="2" t="s">
        <v>12</v>
      </c>
      <c r="D8019" s="2" t="s">
        <v>12</v>
      </c>
      <c r="E8019" s="2" t="s">
        <v>12</v>
      </c>
      <c r="F8019" s="2" t="s">
        <v>12</v>
      </c>
      <c r="G8019" s="2" t="s">
        <v>12</v>
      </c>
      <c r="H8019" s="2" t="s">
        <v>12</v>
      </c>
      <c r="I8019" s="2" t="s">
        <v>12</v>
      </c>
      <c r="J8019" s="2" t="s">
        <v>12</v>
      </c>
      <c r="K8019" s="2" t="s">
        <v>12</v>
      </c>
    </row>
    <row r="8020" spans="1:11" ht="12.5" x14ac:dyDescent="0.25">
      <c r="A8020" s="3" t="e">
        <f ca="1"/>
        <v>#NAME?</v>
      </c>
      <c r="B8020" s="2" t="s">
        <v>12</v>
      </c>
      <c r="C8020" s="2" t="s">
        <v>12</v>
      </c>
      <c r="D8020" s="2" t="s">
        <v>12</v>
      </c>
      <c r="E8020" s="2" t="s">
        <v>12</v>
      </c>
      <c r="F8020" s="2" t="s">
        <v>12</v>
      </c>
      <c r="G8020" s="2" t="s">
        <v>12</v>
      </c>
      <c r="H8020" s="2" t="s">
        <v>12</v>
      </c>
      <c r="I8020" s="2" t="s">
        <v>12</v>
      </c>
      <c r="J8020" s="2" t="s">
        <v>12</v>
      </c>
      <c r="K8020" s="2" t="s">
        <v>12</v>
      </c>
    </row>
    <row r="8021" spans="1:11" ht="12.5" x14ac:dyDescent="0.25">
      <c r="A8021" s="3" t="e">
        <f ca="1"/>
        <v>#NAME?</v>
      </c>
      <c r="B8021" s="2" t="s">
        <v>12</v>
      </c>
      <c r="C8021" s="2" t="s">
        <v>12</v>
      </c>
      <c r="D8021" s="2" t="s">
        <v>12</v>
      </c>
      <c r="E8021" s="2" t="s">
        <v>12</v>
      </c>
      <c r="F8021" s="2" t="s">
        <v>12</v>
      </c>
      <c r="G8021" s="2" t="s">
        <v>12</v>
      </c>
      <c r="H8021" s="2" t="s">
        <v>12</v>
      </c>
      <c r="I8021" s="2" t="s">
        <v>12</v>
      </c>
      <c r="J8021" s="2" t="s">
        <v>12</v>
      </c>
      <c r="K8021" s="2" t="s">
        <v>12</v>
      </c>
    </row>
    <row r="8022" spans="1:11" ht="12.5" x14ac:dyDescent="0.25">
      <c r="A8022" s="3" t="e">
        <f ca="1"/>
        <v>#NAME?</v>
      </c>
      <c r="B8022" s="2" t="s">
        <v>12</v>
      </c>
      <c r="C8022" s="2" t="s">
        <v>12</v>
      </c>
      <c r="D8022" s="2" t="s">
        <v>12</v>
      </c>
      <c r="E8022" s="2" t="s">
        <v>12</v>
      </c>
      <c r="F8022" s="2" t="s">
        <v>12</v>
      </c>
      <c r="G8022" s="2" t="s">
        <v>12</v>
      </c>
      <c r="H8022" s="2" t="s">
        <v>12</v>
      </c>
      <c r="I8022" s="2" t="s">
        <v>12</v>
      </c>
      <c r="J8022" s="2" t="s">
        <v>12</v>
      </c>
      <c r="K8022" s="2" t="s">
        <v>12</v>
      </c>
    </row>
    <row r="8023" spans="1:11" ht="12.5" x14ac:dyDescent="0.25">
      <c r="A8023" s="3" t="e">
        <f ca="1"/>
        <v>#NAME?</v>
      </c>
      <c r="B8023" s="2" t="s">
        <v>12</v>
      </c>
      <c r="C8023" s="2" t="s">
        <v>12</v>
      </c>
      <c r="D8023" s="2" t="s">
        <v>12</v>
      </c>
      <c r="E8023" s="2" t="s">
        <v>12</v>
      </c>
      <c r="F8023" s="2" t="s">
        <v>12</v>
      </c>
      <c r="G8023" s="2" t="s">
        <v>12</v>
      </c>
      <c r="H8023" s="2" t="s">
        <v>12</v>
      </c>
      <c r="I8023" s="2" t="s">
        <v>12</v>
      </c>
      <c r="J8023" s="2" t="s">
        <v>12</v>
      </c>
      <c r="K8023" s="2" t="s">
        <v>12</v>
      </c>
    </row>
    <row r="8024" spans="1:11" ht="12.5" x14ac:dyDescent="0.25">
      <c r="A8024" s="3" t="e">
        <f ca="1"/>
        <v>#NAME?</v>
      </c>
      <c r="B8024" s="2" t="s">
        <v>12</v>
      </c>
      <c r="C8024" s="2" t="s">
        <v>12</v>
      </c>
      <c r="D8024" s="2" t="s">
        <v>12</v>
      </c>
      <c r="E8024" s="2" t="s">
        <v>12</v>
      </c>
      <c r="F8024" s="2" t="s">
        <v>12</v>
      </c>
      <c r="G8024" s="2" t="s">
        <v>12</v>
      </c>
      <c r="H8024" s="2" t="s">
        <v>12</v>
      </c>
      <c r="I8024" s="2" t="s">
        <v>12</v>
      </c>
      <c r="J8024" s="2" t="s">
        <v>12</v>
      </c>
      <c r="K8024" s="2" t="s">
        <v>12</v>
      </c>
    </row>
    <row r="8025" spans="1:11" ht="12.5" x14ac:dyDescent="0.25">
      <c r="A8025" s="3" t="e">
        <f ca="1"/>
        <v>#NAME?</v>
      </c>
      <c r="B8025" s="2" t="s">
        <v>12</v>
      </c>
      <c r="C8025" s="2" t="s">
        <v>12</v>
      </c>
      <c r="D8025" s="2" t="s">
        <v>12</v>
      </c>
      <c r="E8025" s="2" t="s">
        <v>12</v>
      </c>
      <c r="F8025" s="2" t="s">
        <v>12</v>
      </c>
      <c r="G8025" s="2" t="s">
        <v>12</v>
      </c>
      <c r="H8025" s="2" t="s">
        <v>12</v>
      </c>
      <c r="I8025" s="2" t="s">
        <v>12</v>
      </c>
      <c r="J8025" s="2" t="s">
        <v>12</v>
      </c>
      <c r="K8025" s="2" t="s">
        <v>12</v>
      </c>
    </row>
    <row r="8026" spans="1:11" ht="12.5" x14ac:dyDescent="0.25">
      <c r="A8026" s="3" t="e">
        <f ca="1"/>
        <v>#NAME?</v>
      </c>
      <c r="B8026" s="2" t="s">
        <v>12</v>
      </c>
      <c r="C8026" s="2" t="s">
        <v>12</v>
      </c>
      <c r="D8026" s="2" t="s">
        <v>12</v>
      </c>
      <c r="E8026" s="2" t="s">
        <v>12</v>
      </c>
      <c r="F8026" s="2" t="s">
        <v>12</v>
      </c>
      <c r="G8026" s="2" t="s">
        <v>12</v>
      </c>
      <c r="H8026" s="2" t="s">
        <v>12</v>
      </c>
      <c r="I8026" s="2" t="s">
        <v>12</v>
      </c>
      <c r="J8026" s="2" t="s">
        <v>12</v>
      </c>
      <c r="K8026" s="2" t="s">
        <v>12</v>
      </c>
    </row>
    <row r="8027" spans="1:11" ht="12.5" x14ac:dyDescent="0.25">
      <c r="A8027" s="3" t="e">
        <f ca="1"/>
        <v>#NAME?</v>
      </c>
      <c r="B8027" s="2" t="s">
        <v>12</v>
      </c>
      <c r="C8027" s="2" t="s">
        <v>12</v>
      </c>
      <c r="D8027" s="2" t="s">
        <v>12</v>
      </c>
      <c r="E8027" s="2" t="s">
        <v>12</v>
      </c>
      <c r="F8027" s="2" t="s">
        <v>12</v>
      </c>
      <c r="G8027" s="2" t="s">
        <v>12</v>
      </c>
      <c r="H8027" s="2" t="s">
        <v>12</v>
      </c>
      <c r="I8027" s="2" t="s">
        <v>12</v>
      </c>
      <c r="J8027" s="2" t="s">
        <v>12</v>
      </c>
      <c r="K8027" s="2" t="s">
        <v>12</v>
      </c>
    </row>
    <row r="8028" spans="1:11" ht="12.5" x14ac:dyDescent="0.25">
      <c r="A8028" s="3" t="e">
        <f ca="1"/>
        <v>#NAME?</v>
      </c>
      <c r="B8028" s="2" t="s">
        <v>12</v>
      </c>
      <c r="C8028" s="2" t="s">
        <v>12</v>
      </c>
      <c r="D8028" s="2" t="s">
        <v>12</v>
      </c>
      <c r="E8028" s="2" t="s">
        <v>12</v>
      </c>
      <c r="F8028" s="2" t="s">
        <v>12</v>
      </c>
      <c r="G8028" s="2" t="s">
        <v>12</v>
      </c>
      <c r="H8028" s="2" t="s">
        <v>12</v>
      </c>
      <c r="I8028" s="2" t="s">
        <v>12</v>
      </c>
      <c r="J8028" s="2" t="s">
        <v>12</v>
      </c>
      <c r="K8028" s="2" t="s">
        <v>12</v>
      </c>
    </row>
    <row r="8029" spans="1:11" ht="12.5" x14ac:dyDescent="0.25">
      <c r="A8029" s="3" t="e">
        <f ca="1"/>
        <v>#NAME?</v>
      </c>
      <c r="B8029" s="2" t="s">
        <v>12</v>
      </c>
      <c r="C8029" s="2" t="s">
        <v>12</v>
      </c>
      <c r="D8029" s="2" t="s">
        <v>12</v>
      </c>
      <c r="E8029" s="2" t="s">
        <v>12</v>
      </c>
      <c r="F8029" s="2" t="s">
        <v>12</v>
      </c>
      <c r="G8029" s="2" t="s">
        <v>12</v>
      </c>
      <c r="H8029" s="2" t="s">
        <v>12</v>
      </c>
      <c r="I8029" s="2" t="s">
        <v>12</v>
      </c>
      <c r="J8029" s="2" t="s">
        <v>12</v>
      </c>
      <c r="K8029" s="2" t="s">
        <v>12</v>
      </c>
    </row>
    <row r="8030" spans="1:11" ht="12.5" x14ac:dyDescent="0.25">
      <c r="A8030" s="3" t="e">
        <f ca="1"/>
        <v>#NAME?</v>
      </c>
      <c r="B8030" s="2" t="s">
        <v>12</v>
      </c>
      <c r="C8030" s="2" t="s">
        <v>12</v>
      </c>
      <c r="D8030" s="2" t="s">
        <v>12</v>
      </c>
      <c r="E8030" s="2" t="s">
        <v>12</v>
      </c>
      <c r="F8030" s="2" t="s">
        <v>12</v>
      </c>
      <c r="G8030" s="2" t="s">
        <v>12</v>
      </c>
      <c r="H8030" s="2" t="s">
        <v>12</v>
      </c>
      <c r="I8030" s="2" t="s">
        <v>12</v>
      </c>
      <c r="J8030" s="2" t="s">
        <v>12</v>
      </c>
      <c r="K8030" s="2" t="s">
        <v>12</v>
      </c>
    </row>
    <row r="8031" spans="1:11" ht="12.5" x14ac:dyDescent="0.25">
      <c r="A8031" s="3" t="e">
        <f ca="1"/>
        <v>#NAME?</v>
      </c>
      <c r="B8031" s="2" t="s">
        <v>12</v>
      </c>
      <c r="C8031" s="2" t="s">
        <v>12</v>
      </c>
      <c r="D8031" s="2" t="s">
        <v>12</v>
      </c>
      <c r="E8031" s="2" t="s">
        <v>12</v>
      </c>
      <c r="F8031" s="2" t="s">
        <v>12</v>
      </c>
      <c r="G8031" s="2" t="s">
        <v>12</v>
      </c>
      <c r="H8031" s="2" t="s">
        <v>12</v>
      </c>
      <c r="I8031" s="2" t="s">
        <v>12</v>
      </c>
      <c r="J8031" s="2" t="s">
        <v>12</v>
      </c>
      <c r="K8031" s="2" t="s">
        <v>12</v>
      </c>
    </row>
    <row r="8032" spans="1:11" ht="12.5" x14ac:dyDescent="0.25">
      <c r="A8032" s="3" t="e">
        <f ca="1"/>
        <v>#NAME?</v>
      </c>
      <c r="B8032" s="2" t="s">
        <v>12</v>
      </c>
      <c r="C8032" s="2" t="s">
        <v>12</v>
      </c>
      <c r="D8032" s="2" t="s">
        <v>12</v>
      </c>
      <c r="E8032" s="2" t="s">
        <v>12</v>
      </c>
      <c r="F8032" s="2" t="s">
        <v>12</v>
      </c>
      <c r="G8032" s="2" t="s">
        <v>12</v>
      </c>
      <c r="H8032" s="2" t="s">
        <v>12</v>
      </c>
      <c r="I8032" s="2" t="s">
        <v>12</v>
      </c>
      <c r="J8032" s="2" t="s">
        <v>12</v>
      </c>
      <c r="K8032" s="2" t="s">
        <v>12</v>
      </c>
    </row>
    <row r="8033" spans="1:11" ht="12.5" x14ac:dyDescent="0.25">
      <c r="A8033" s="3" t="e">
        <f ca="1"/>
        <v>#NAME?</v>
      </c>
      <c r="B8033" s="2" t="s">
        <v>12</v>
      </c>
      <c r="C8033" s="2" t="s">
        <v>12</v>
      </c>
      <c r="D8033" s="2" t="s">
        <v>12</v>
      </c>
      <c r="E8033" s="2" t="s">
        <v>12</v>
      </c>
      <c r="F8033" s="2" t="s">
        <v>12</v>
      </c>
      <c r="G8033" s="2" t="s">
        <v>12</v>
      </c>
      <c r="H8033" s="2" t="s">
        <v>12</v>
      </c>
      <c r="I8033" s="2" t="s">
        <v>12</v>
      </c>
      <c r="J8033" s="2" t="s">
        <v>12</v>
      </c>
      <c r="K8033" s="2" t="s">
        <v>12</v>
      </c>
    </row>
    <row r="8034" spans="1:11" ht="12.5" x14ac:dyDescent="0.25">
      <c r="A8034" s="3" t="e">
        <f ca="1"/>
        <v>#NAME?</v>
      </c>
      <c r="B8034" s="2" t="s">
        <v>12</v>
      </c>
      <c r="C8034" s="2" t="s">
        <v>12</v>
      </c>
      <c r="D8034" s="2" t="s">
        <v>12</v>
      </c>
      <c r="E8034" s="2" t="s">
        <v>12</v>
      </c>
      <c r="F8034" s="2" t="s">
        <v>12</v>
      </c>
      <c r="G8034" s="2" t="s">
        <v>12</v>
      </c>
      <c r="H8034" s="2" t="s">
        <v>12</v>
      </c>
      <c r="I8034" s="2" t="s">
        <v>12</v>
      </c>
      <c r="J8034" s="2" t="s">
        <v>12</v>
      </c>
      <c r="K8034" s="2" t="s">
        <v>12</v>
      </c>
    </row>
    <row r="8035" spans="1:11" ht="12.5" x14ac:dyDescent="0.25">
      <c r="A8035" s="3" t="e">
        <f ca="1"/>
        <v>#NAME?</v>
      </c>
      <c r="B8035" s="2" t="s">
        <v>12</v>
      </c>
      <c r="C8035" s="2" t="s">
        <v>12</v>
      </c>
      <c r="D8035" s="2" t="s">
        <v>12</v>
      </c>
      <c r="E8035" s="2" t="s">
        <v>12</v>
      </c>
      <c r="F8035" s="2" t="s">
        <v>12</v>
      </c>
      <c r="G8035" s="2" t="s">
        <v>12</v>
      </c>
      <c r="H8035" s="2" t="s">
        <v>12</v>
      </c>
      <c r="I8035" s="2" t="s">
        <v>12</v>
      </c>
      <c r="J8035" s="2" t="s">
        <v>12</v>
      </c>
      <c r="K8035" s="2" t="s">
        <v>12</v>
      </c>
    </row>
    <row r="8036" spans="1:11" ht="12.5" x14ac:dyDescent="0.25">
      <c r="A8036" s="3" t="e">
        <f ca="1"/>
        <v>#NAME?</v>
      </c>
      <c r="B8036" s="2" t="s">
        <v>12</v>
      </c>
      <c r="C8036" s="2" t="s">
        <v>12</v>
      </c>
      <c r="D8036" s="2" t="s">
        <v>12</v>
      </c>
      <c r="E8036" s="2" t="s">
        <v>12</v>
      </c>
      <c r="F8036" s="2" t="s">
        <v>12</v>
      </c>
      <c r="G8036" s="2" t="s">
        <v>12</v>
      </c>
      <c r="H8036" s="2" t="s">
        <v>12</v>
      </c>
      <c r="I8036" s="2" t="s">
        <v>12</v>
      </c>
      <c r="J8036" s="2" t="s">
        <v>12</v>
      </c>
      <c r="K8036" s="2" t="s">
        <v>12</v>
      </c>
    </row>
    <row r="8037" spans="1:11" ht="12.5" x14ac:dyDescent="0.25">
      <c r="A8037" s="3" t="e">
        <f ca="1"/>
        <v>#NAME?</v>
      </c>
      <c r="B8037" s="2" t="s">
        <v>12</v>
      </c>
      <c r="C8037" s="2" t="s">
        <v>12</v>
      </c>
      <c r="D8037" s="2" t="s">
        <v>12</v>
      </c>
      <c r="E8037" s="2" t="s">
        <v>12</v>
      </c>
      <c r="F8037" s="2" t="s">
        <v>12</v>
      </c>
      <c r="G8037" s="2" t="s">
        <v>12</v>
      </c>
      <c r="H8037" s="2" t="s">
        <v>12</v>
      </c>
      <c r="I8037" s="2" t="s">
        <v>12</v>
      </c>
      <c r="J8037" s="2" t="s">
        <v>12</v>
      </c>
      <c r="K8037" s="2" t="s">
        <v>12</v>
      </c>
    </row>
    <row r="8038" spans="1:11" ht="12.5" x14ac:dyDescent="0.25">
      <c r="A8038" s="3" t="e">
        <f ca="1"/>
        <v>#NAME?</v>
      </c>
      <c r="B8038" s="2" t="s">
        <v>12</v>
      </c>
      <c r="C8038" s="2" t="s">
        <v>12</v>
      </c>
      <c r="D8038" s="2" t="s">
        <v>12</v>
      </c>
      <c r="E8038" s="2" t="s">
        <v>12</v>
      </c>
      <c r="F8038" s="2" t="s">
        <v>12</v>
      </c>
      <c r="G8038" s="2" t="s">
        <v>12</v>
      </c>
      <c r="H8038" s="2" t="s">
        <v>12</v>
      </c>
      <c r="I8038" s="2" t="s">
        <v>12</v>
      </c>
      <c r="J8038" s="2" t="s">
        <v>12</v>
      </c>
      <c r="K8038" s="2" t="s">
        <v>12</v>
      </c>
    </row>
    <row r="8039" spans="1:11" ht="12.5" x14ac:dyDescent="0.25">
      <c r="A8039" s="3" t="e">
        <f ca="1"/>
        <v>#NAME?</v>
      </c>
      <c r="B8039" s="2" t="s">
        <v>12</v>
      </c>
      <c r="C8039" s="2" t="s">
        <v>12</v>
      </c>
      <c r="D8039" s="2" t="s">
        <v>12</v>
      </c>
      <c r="E8039" s="2" t="s">
        <v>12</v>
      </c>
      <c r="F8039" s="2" t="s">
        <v>12</v>
      </c>
      <c r="G8039" s="2" t="s">
        <v>12</v>
      </c>
      <c r="H8039" s="2" t="s">
        <v>12</v>
      </c>
      <c r="I8039" s="2" t="s">
        <v>12</v>
      </c>
      <c r="J8039" s="2" t="s">
        <v>12</v>
      </c>
      <c r="K8039" s="2" t="s">
        <v>12</v>
      </c>
    </row>
    <row r="8040" spans="1:11" ht="12.5" x14ac:dyDescent="0.25">
      <c r="A8040" s="3" t="e">
        <f ca="1"/>
        <v>#NAME?</v>
      </c>
      <c r="B8040" s="2" t="s">
        <v>12</v>
      </c>
      <c r="C8040" s="2" t="s">
        <v>12</v>
      </c>
      <c r="D8040" s="2" t="s">
        <v>12</v>
      </c>
      <c r="E8040" s="2" t="s">
        <v>12</v>
      </c>
      <c r="F8040" s="2" t="s">
        <v>12</v>
      </c>
      <c r="G8040" s="2" t="s">
        <v>12</v>
      </c>
      <c r="H8040" s="2" t="s">
        <v>12</v>
      </c>
      <c r="I8040" s="2" t="s">
        <v>12</v>
      </c>
      <c r="J8040" s="2" t="s">
        <v>12</v>
      </c>
      <c r="K8040" s="2" t="s">
        <v>12</v>
      </c>
    </row>
    <row r="8041" spans="1:11" ht="12.5" x14ac:dyDescent="0.25">
      <c r="A8041" s="3" t="e">
        <f ca="1"/>
        <v>#NAME?</v>
      </c>
      <c r="B8041" s="2" t="s">
        <v>12</v>
      </c>
      <c r="C8041" s="2" t="s">
        <v>12</v>
      </c>
      <c r="D8041" s="2" t="s">
        <v>12</v>
      </c>
      <c r="E8041" s="2" t="s">
        <v>12</v>
      </c>
      <c r="F8041" s="2" t="s">
        <v>12</v>
      </c>
      <c r="G8041" s="2" t="s">
        <v>12</v>
      </c>
      <c r="H8041" s="2" t="s">
        <v>12</v>
      </c>
      <c r="I8041" s="2" t="s">
        <v>12</v>
      </c>
      <c r="J8041" s="2" t="s">
        <v>12</v>
      </c>
      <c r="K8041" s="2" t="s">
        <v>12</v>
      </c>
    </row>
    <row r="8042" spans="1:11" ht="12.5" x14ac:dyDescent="0.25">
      <c r="A8042" s="3" t="e">
        <f ca="1"/>
        <v>#NAME?</v>
      </c>
      <c r="B8042" s="2" t="s">
        <v>12</v>
      </c>
      <c r="C8042" s="2" t="s">
        <v>12</v>
      </c>
      <c r="D8042" s="2" t="s">
        <v>12</v>
      </c>
      <c r="E8042" s="2" t="s">
        <v>12</v>
      </c>
      <c r="F8042" s="2" t="s">
        <v>12</v>
      </c>
      <c r="G8042" s="2" t="s">
        <v>12</v>
      </c>
      <c r="H8042" s="2" t="s">
        <v>12</v>
      </c>
      <c r="I8042" s="2" t="s">
        <v>12</v>
      </c>
      <c r="J8042" s="2" t="s">
        <v>12</v>
      </c>
      <c r="K8042" s="2" t="s">
        <v>12</v>
      </c>
    </row>
    <row r="8043" spans="1:11" ht="12.5" x14ac:dyDescent="0.25">
      <c r="A8043" s="3" t="e">
        <f ca="1"/>
        <v>#NAME?</v>
      </c>
      <c r="B8043" s="2" t="s">
        <v>12</v>
      </c>
      <c r="C8043" s="2" t="s">
        <v>12</v>
      </c>
      <c r="D8043" s="2" t="s">
        <v>12</v>
      </c>
      <c r="E8043" s="2" t="s">
        <v>12</v>
      </c>
      <c r="F8043" s="2" t="s">
        <v>12</v>
      </c>
      <c r="G8043" s="2" t="s">
        <v>12</v>
      </c>
      <c r="H8043" s="2" t="s">
        <v>12</v>
      </c>
      <c r="I8043" s="2" t="s">
        <v>12</v>
      </c>
      <c r="J8043" s="2" t="s">
        <v>12</v>
      </c>
      <c r="K8043" s="2" t="s">
        <v>12</v>
      </c>
    </row>
    <row r="8044" spans="1:11" ht="12.5" x14ac:dyDescent="0.25">
      <c r="A8044" s="3" t="e">
        <f ca="1"/>
        <v>#NAME?</v>
      </c>
      <c r="B8044" s="2" t="s">
        <v>12</v>
      </c>
      <c r="C8044" s="2" t="s">
        <v>12</v>
      </c>
      <c r="D8044" s="2" t="s">
        <v>12</v>
      </c>
      <c r="E8044" s="2" t="s">
        <v>12</v>
      </c>
      <c r="F8044" s="2" t="s">
        <v>12</v>
      </c>
      <c r="G8044" s="2" t="s">
        <v>12</v>
      </c>
      <c r="H8044" s="2" t="s">
        <v>12</v>
      </c>
      <c r="I8044" s="2" t="s">
        <v>12</v>
      </c>
      <c r="J8044" s="2" t="s">
        <v>12</v>
      </c>
      <c r="K8044" s="2" t="s">
        <v>12</v>
      </c>
    </row>
    <row r="8045" spans="1:11" ht="12.5" x14ac:dyDescent="0.25">
      <c r="A8045" s="3" t="e">
        <f ca="1"/>
        <v>#NAME?</v>
      </c>
      <c r="B8045" s="2" t="s">
        <v>12</v>
      </c>
      <c r="C8045" s="2" t="s">
        <v>12</v>
      </c>
      <c r="D8045" s="2" t="s">
        <v>12</v>
      </c>
      <c r="E8045" s="2" t="s">
        <v>12</v>
      </c>
      <c r="F8045" s="2" t="s">
        <v>12</v>
      </c>
      <c r="G8045" s="2" t="s">
        <v>12</v>
      </c>
      <c r="H8045" s="2" t="s">
        <v>12</v>
      </c>
      <c r="I8045" s="2" t="s">
        <v>12</v>
      </c>
      <c r="J8045" s="2" t="s">
        <v>12</v>
      </c>
      <c r="K8045" s="2" t="s">
        <v>12</v>
      </c>
    </row>
    <row r="8046" spans="1:11" ht="12.5" x14ac:dyDescent="0.25">
      <c r="A8046" s="3" t="e">
        <f ca="1"/>
        <v>#NAME?</v>
      </c>
      <c r="B8046" s="2" t="s">
        <v>12</v>
      </c>
      <c r="C8046" s="2" t="s">
        <v>12</v>
      </c>
      <c r="D8046" s="2" t="s">
        <v>12</v>
      </c>
      <c r="E8046" s="2" t="s">
        <v>12</v>
      </c>
      <c r="F8046" s="2" t="s">
        <v>12</v>
      </c>
      <c r="G8046" s="2" t="s">
        <v>12</v>
      </c>
      <c r="H8046" s="2" t="s">
        <v>12</v>
      </c>
      <c r="I8046" s="2" t="s">
        <v>12</v>
      </c>
      <c r="J8046" s="2" t="s">
        <v>12</v>
      </c>
      <c r="K8046" s="2" t="s">
        <v>12</v>
      </c>
    </row>
    <row r="8047" spans="1:11" ht="12.5" x14ac:dyDescent="0.25">
      <c r="A8047" s="3" t="e">
        <f ca="1"/>
        <v>#NAME?</v>
      </c>
      <c r="B8047" s="2" t="s">
        <v>12</v>
      </c>
      <c r="C8047" s="2" t="s">
        <v>12</v>
      </c>
      <c r="D8047" s="2" t="s">
        <v>12</v>
      </c>
      <c r="E8047" s="2" t="s">
        <v>12</v>
      </c>
      <c r="F8047" s="2" t="s">
        <v>12</v>
      </c>
      <c r="G8047" s="2" t="s">
        <v>12</v>
      </c>
      <c r="H8047" s="2" t="s">
        <v>12</v>
      </c>
      <c r="I8047" s="2" t="s">
        <v>12</v>
      </c>
      <c r="J8047" s="2" t="s">
        <v>12</v>
      </c>
      <c r="K8047" s="2" t="s">
        <v>12</v>
      </c>
    </row>
    <row r="8048" spans="1:11" ht="12.5" x14ac:dyDescent="0.25">
      <c r="A8048" s="3" t="e">
        <f ca="1"/>
        <v>#NAME?</v>
      </c>
      <c r="B8048" s="2" t="s">
        <v>12</v>
      </c>
      <c r="C8048" s="2" t="s">
        <v>12</v>
      </c>
      <c r="D8048" s="2" t="s">
        <v>12</v>
      </c>
      <c r="E8048" s="2" t="s">
        <v>12</v>
      </c>
      <c r="F8048" s="2" t="s">
        <v>12</v>
      </c>
      <c r="G8048" s="2" t="s">
        <v>12</v>
      </c>
      <c r="H8048" s="2" t="s">
        <v>12</v>
      </c>
      <c r="I8048" s="2" t="s">
        <v>12</v>
      </c>
      <c r="J8048" s="2" t="s">
        <v>12</v>
      </c>
      <c r="K8048" s="2" t="s">
        <v>12</v>
      </c>
    </row>
    <row r="8049" spans="1:11" ht="12.5" x14ac:dyDescent="0.25">
      <c r="A8049" s="3" t="e">
        <f ca="1"/>
        <v>#NAME?</v>
      </c>
      <c r="B8049" s="2" t="s">
        <v>12</v>
      </c>
      <c r="C8049" s="2" t="s">
        <v>12</v>
      </c>
      <c r="D8049" s="2" t="s">
        <v>12</v>
      </c>
      <c r="E8049" s="2" t="s">
        <v>12</v>
      </c>
      <c r="F8049" s="2" t="s">
        <v>12</v>
      </c>
      <c r="G8049" s="2" t="s">
        <v>12</v>
      </c>
      <c r="H8049" s="2" t="s">
        <v>12</v>
      </c>
      <c r="I8049" s="2" t="s">
        <v>12</v>
      </c>
      <c r="J8049" s="2" t="s">
        <v>12</v>
      </c>
      <c r="K8049" s="2" t="s">
        <v>12</v>
      </c>
    </row>
    <row r="8050" spans="1:11" ht="12.5" x14ac:dyDescent="0.25">
      <c r="A8050" s="3" t="e">
        <f ca="1"/>
        <v>#NAME?</v>
      </c>
      <c r="B8050" s="2" t="s">
        <v>12</v>
      </c>
      <c r="C8050" s="2" t="s">
        <v>12</v>
      </c>
      <c r="D8050" s="2" t="s">
        <v>12</v>
      </c>
      <c r="E8050" s="2" t="s">
        <v>12</v>
      </c>
      <c r="F8050" s="2" t="s">
        <v>12</v>
      </c>
      <c r="G8050" s="2" t="s">
        <v>12</v>
      </c>
      <c r="H8050" s="2" t="s">
        <v>12</v>
      </c>
      <c r="I8050" s="2" t="s">
        <v>12</v>
      </c>
      <c r="J8050" s="2" t="s">
        <v>12</v>
      </c>
      <c r="K8050" s="2" t="s">
        <v>12</v>
      </c>
    </row>
    <row r="8051" spans="1:11" ht="12.5" x14ac:dyDescent="0.25">
      <c r="A8051" s="3" t="e">
        <f ca="1"/>
        <v>#NAME?</v>
      </c>
      <c r="B8051" s="2" t="s">
        <v>12</v>
      </c>
      <c r="C8051" s="2" t="s">
        <v>12</v>
      </c>
      <c r="D8051" s="2" t="s">
        <v>12</v>
      </c>
      <c r="E8051" s="2" t="s">
        <v>12</v>
      </c>
      <c r="F8051" s="2" t="s">
        <v>12</v>
      </c>
      <c r="G8051" s="2" t="s">
        <v>12</v>
      </c>
      <c r="H8051" s="2" t="s">
        <v>12</v>
      </c>
      <c r="I8051" s="2" t="s">
        <v>12</v>
      </c>
      <c r="J8051" s="2" t="s">
        <v>12</v>
      </c>
      <c r="K8051" s="2" t="s">
        <v>12</v>
      </c>
    </row>
    <row r="8052" spans="1:11" ht="12.5" x14ac:dyDescent="0.25">
      <c r="A8052" s="3" t="e">
        <f ca="1"/>
        <v>#NAME?</v>
      </c>
      <c r="B8052" s="2" t="s">
        <v>12</v>
      </c>
      <c r="C8052" s="2" t="s">
        <v>12</v>
      </c>
      <c r="D8052" s="2" t="s">
        <v>12</v>
      </c>
      <c r="E8052" s="2" t="s">
        <v>12</v>
      </c>
      <c r="F8052" s="2" t="s">
        <v>12</v>
      </c>
      <c r="G8052" s="2" t="s">
        <v>12</v>
      </c>
      <c r="H8052" s="2" t="s">
        <v>12</v>
      </c>
      <c r="I8052" s="2" t="s">
        <v>12</v>
      </c>
      <c r="J8052" s="2" t="s">
        <v>12</v>
      </c>
      <c r="K8052" s="2" t="s">
        <v>12</v>
      </c>
    </row>
    <row r="8053" spans="1:11" ht="12.5" x14ac:dyDescent="0.25">
      <c r="A8053" s="3" t="e">
        <f ca="1"/>
        <v>#NAME?</v>
      </c>
      <c r="B8053" s="2" t="s">
        <v>12</v>
      </c>
      <c r="C8053" s="2" t="s">
        <v>12</v>
      </c>
      <c r="D8053" s="2" t="s">
        <v>12</v>
      </c>
      <c r="E8053" s="2" t="s">
        <v>12</v>
      </c>
      <c r="F8053" s="2" t="s">
        <v>12</v>
      </c>
      <c r="G8053" s="2" t="s">
        <v>12</v>
      </c>
      <c r="H8053" s="2" t="s">
        <v>12</v>
      </c>
      <c r="I8053" s="2" t="s">
        <v>12</v>
      </c>
      <c r="J8053" s="2" t="s">
        <v>12</v>
      </c>
      <c r="K8053" s="2" t="s">
        <v>12</v>
      </c>
    </row>
    <row r="8054" spans="1:11" ht="12.5" x14ac:dyDescent="0.25">
      <c r="A8054" s="3" t="e">
        <f ca="1"/>
        <v>#NAME?</v>
      </c>
      <c r="B8054" s="2" t="s">
        <v>12</v>
      </c>
      <c r="C8054" s="2" t="s">
        <v>12</v>
      </c>
      <c r="D8054" s="2" t="s">
        <v>12</v>
      </c>
      <c r="E8054" s="2" t="s">
        <v>12</v>
      </c>
      <c r="F8054" s="2" t="s">
        <v>12</v>
      </c>
      <c r="G8054" s="2" t="s">
        <v>12</v>
      </c>
      <c r="H8054" s="2" t="s">
        <v>12</v>
      </c>
      <c r="I8054" s="2" t="s">
        <v>12</v>
      </c>
      <c r="J8054" s="2" t="s">
        <v>12</v>
      </c>
      <c r="K8054" s="2" t="s">
        <v>12</v>
      </c>
    </row>
    <row r="8055" spans="1:11" ht="12.5" x14ac:dyDescent="0.25">
      <c r="A8055" s="3" t="e">
        <f ca="1"/>
        <v>#NAME?</v>
      </c>
      <c r="B8055" s="2" t="s">
        <v>12</v>
      </c>
      <c r="C8055" s="2" t="s">
        <v>12</v>
      </c>
      <c r="D8055" s="2" t="s">
        <v>12</v>
      </c>
      <c r="E8055" s="2" t="s">
        <v>12</v>
      </c>
      <c r="F8055" s="2" t="s">
        <v>12</v>
      </c>
      <c r="G8055" s="2" t="s">
        <v>12</v>
      </c>
      <c r="H8055" s="2" t="s">
        <v>12</v>
      </c>
      <c r="I8055" s="2" t="s">
        <v>12</v>
      </c>
      <c r="J8055" s="2" t="s">
        <v>12</v>
      </c>
      <c r="K8055" s="2" t="s">
        <v>12</v>
      </c>
    </row>
    <row r="8056" spans="1:11" ht="12.5" x14ac:dyDescent="0.25">
      <c r="A8056" s="3" t="e">
        <f ca="1"/>
        <v>#NAME?</v>
      </c>
      <c r="B8056" s="2" t="s">
        <v>12</v>
      </c>
      <c r="C8056" s="2" t="s">
        <v>12</v>
      </c>
      <c r="D8056" s="2" t="s">
        <v>12</v>
      </c>
      <c r="E8056" s="2" t="s">
        <v>12</v>
      </c>
      <c r="F8056" s="2" t="s">
        <v>12</v>
      </c>
      <c r="G8056" s="2" t="s">
        <v>12</v>
      </c>
      <c r="H8056" s="2" t="s">
        <v>12</v>
      </c>
      <c r="I8056" s="2" t="s">
        <v>12</v>
      </c>
      <c r="J8056" s="2" t="s">
        <v>12</v>
      </c>
      <c r="K8056" s="2" t="s">
        <v>12</v>
      </c>
    </row>
    <row r="8057" spans="1:11" ht="12.5" x14ac:dyDescent="0.25">
      <c r="A8057" s="3" t="e">
        <f ca="1"/>
        <v>#NAME?</v>
      </c>
      <c r="B8057" s="2" t="s">
        <v>12</v>
      </c>
      <c r="C8057" s="2" t="s">
        <v>12</v>
      </c>
      <c r="D8057" s="2" t="s">
        <v>12</v>
      </c>
      <c r="E8057" s="2" t="s">
        <v>12</v>
      </c>
      <c r="F8057" s="2" t="s">
        <v>12</v>
      </c>
      <c r="G8057" s="2" t="s">
        <v>12</v>
      </c>
      <c r="H8057" s="2" t="s">
        <v>12</v>
      </c>
      <c r="I8057" s="2" t="s">
        <v>12</v>
      </c>
      <c r="J8057" s="2" t="s">
        <v>12</v>
      </c>
      <c r="K8057" s="2" t="s">
        <v>12</v>
      </c>
    </row>
    <row r="8058" spans="1:11" ht="12.5" x14ac:dyDescent="0.25">
      <c r="A8058" s="3" t="e">
        <f ca="1"/>
        <v>#NAME?</v>
      </c>
      <c r="B8058" s="2" t="s">
        <v>12</v>
      </c>
      <c r="C8058" s="2" t="s">
        <v>12</v>
      </c>
      <c r="D8058" s="2" t="s">
        <v>12</v>
      </c>
      <c r="E8058" s="2" t="s">
        <v>12</v>
      </c>
      <c r="F8058" s="2" t="s">
        <v>12</v>
      </c>
      <c r="G8058" s="2" t="s">
        <v>12</v>
      </c>
      <c r="H8058" s="2" t="s">
        <v>12</v>
      </c>
      <c r="I8058" s="2" t="s">
        <v>12</v>
      </c>
      <c r="J8058" s="2" t="s">
        <v>12</v>
      </c>
      <c r="K8058" s="2" t="s">
        <v>12</v>
      </c>
    </row>
    <row r="8059" spans="1:11" ht="12.5" x14ac:dyDescent="0.25">
      <c r="A8059" s="3" t="e">
        <f ca="1"/>
        <v>#NAME?</v>
      </c>
      <c r="B8059" s="2" t="s">
        <v>12</v>
      </c>
      <c r="C8059" s="2" t="s">
        <v>12</v>
      </c>
      <c r="D8059" s="2" t="s">
        <v>12</v>
      </c>
      <c r="E8059" s="2" t="s">
        <v>12</v>
      </c>
      <c r="F8059" s="2" t="s">
        <v>12</v>
      </c>
      <c r="G8059" s="2" t="s">
        <v>12</v>
      </c>
      <c r="H8059" s="2" t="s">
        <v>12</v>
      </c>
      <c r="I8059" s="2" t="s">
        <v>12</v>
      </c>
      <c r="J8059" s="2" t="s">
        <v>12</v>
      </c>
      <c r="K8059" s="2" t="s">
        <v>12</v>
      </c>
    </row>
    <row r="8060" spans="1:11" ht="12.5" x14ac:dyDescent="0.25">
      <c r="A8060" s="3" t="e">
        <f ca="1"/>
        <v>#NAME?</v>
      </c>
      <c r="B8060" s="2" t="s">
        <v>12</v>
      </c>
      <c r="C8060" s="2" t="s">
        <v>12</v>
      </c>
      <c r="D8060" s="2" t="s">
        <v>12</v>
      </c>
      <c r="E8060" s="2" t="s">
        <v>12</v>
      </c>
      <c r="F8060" s="2" t="s">
        <v>12</v>
      </c>
      <c r="G8060" s="2" t="s">
        <v>12</v>
      </c>
      <c r="H8060" s="2" t="s">
        <v>12</v>
      </c>
      <c r="I8060" s="2" t="s">
        <v>12</v>
      </c>
      <c r="J8060" s="2" t="s">
        <v>12</v>
      </c>
      <c r="K8060" s="2" t="s">
        <v>12</v>
      </c>
    </row>
    <row r="8061" spans="1:11" ht="12.5" x14ac:dyDescent="0.25">
      <c r="A8061" s="3" t="e">
        <f ca="1"/>
        <v>#NAME?</v>
      </c>
      <c r="B8061" s="2" t="s">
        <v>12</v>
      </c>
      <c r="C8061" s="2" t="s">
        <v>12</v>
      </c>
      <c r="D8061" s="2" t="s">
        <v>12</v>
      </c>
      <c r="E8061" s="2" t="s">
        <v>12</v>
      </c>
      <c r="F8061" s="2" t="s">
        <v>12</v>
      </c>
      <c r="G8061" s="2" t="s">
        <v>12</v>
      </c>
      <c r="H8061" s="2" t="s">
        <v>12</v>
      </c>
      <c r="I8061" s="2" t="s">
        <v>12</v>
      </c>
      <c r="J8061" s="2" t="s">
        <v>12</v>
      </c>
      <c r="K8061" s="2" t="s">
        <v>12</v>
      </c>
    </row>
    <row r="8062" spans="1:11" ht="12.5" x14ac:dyDescent="0.25">
      <c r="A8062" s="3" t="e">
        <f ca="1"/>
        <v>#NAME?</v>
      </c>
      <c r="B8062" s="2" t="s">
        <v>12</v>
      </c>
      <c r="C8062" s="2" t="s">
        <v>12</v>
      </c>
      <c r="D8062" s="2" t="s">
        <v>12</v>
      </c>
      <c r="E8062" s="2" t="s">
        <v>12</v>
      </c>
      <c r="F8062" s="2" t="s">
        <v>12</v>
      </c>
      <c r="G8062" s="2" t="s">
        <v>12</v>
      </c>
      <c r="H8062" s="2" t="s">
        <v>12</v>
      </c>
      <c r="I8062" s="2" t="s">
        <v>12</v>
      </c>
      <c r="J8062" s="2" t="s">
        <v>12</v>
      </c>
      <c r="K8062" s="2" t="s">
        <v>12</v>
      </c>
    </row>
    <row r="8063" spans="1:11" ht="12.5" x14ac:dyDescent="0.25">
      <c r="A8063" s="3" t="e">
        <f ca="1"/>
        <v>#NAME?</v>
      </c>
      <c r="B8063" s="2" t="s">
        <v>12</v>
      </c>
      <c r="C8063" s="2" t="s">
        <v>12</v>
      </c>
      <c r="D8063" s="2" t="s">
        <v>12</v>
      </c>
      <c r="E8063" s="2" t="s">
        <v>12</v>
      </c>
      <c r="F8063" s="2" t="s">
        <v>12</v>
      </c>
      <c r="G8063" s="2" t="s">
        <v>12</v>
      </c>
      <c r="H8063" s="2" t="s">
        <v>12</v>
      </c>
      <c r="I8063" s="2" t="s">
        <v>12</v>
      </c>
      <c r="J8063" s="2" t="s">
        <v>12</v>
      </c>
      <c r="K8063" s="2" t="s">
        <v>12</v>
      </c>
    </row>
    <row r="8064" spans="1:11" ht="12.5" x14ac:dyDescent="0.25">
      <c r="A8064" s="3" t="e">
        <f ca="1"/>
        <v>#NAME?</v>
      </c>
      <c r="B8064" s="2" t="s">
        <v>12</v>
      </c>
      <c r="C8064" s="2" t="s">
        <v>12</v>
      </c>
      <c r="D8064" s="2" t="s">
        <v>12</v>
      </c>
      <c r="E8064" s="2" t="s">
        <v>12</v>
      </c>
      <c r="F8064" s="2" t="s">
        <v>12</v>
      </c>
      <c r="G8064" s="2" t="s">
        <v>12</v>
      </c>
      <c r="H8064" s="2" t="s">
        <v>12</v>
      </c>
      <c r="I8064" s="2" t="s">
        <v>12</v>
      </c>
      <c r="J8064" s="2" t="s">
        <v>12</v>
      </c>
      <c r="K8064" s="2" t="s">
        <v>12</v>
      </c>
    </row>
    <row r="8065" spans="1:11" ht="12.5" x14ac:dyDescent="0.25">
      <c r="A8065" s="3" t="e">
        <f ca="1"/>
        <v>#NAME?</v>
      </c>
      <c r="B8065" s="2" t="s">
        <v>12</v>
      </c>
      <c r="C8065" s="2" t="s">
        <v>12</v>
      </c>
      <c r="D8065" s="2" t="s">
        <v>12</v>
      </c>
      <c r="E8065" s="2" t="s">
        <v>12</v>
      </c>
      <c r="F8065" s="2" t="s">
        <v>12</v>
      </c>
      <c r="G8065" s="2" t="s">
        <v>12</v>
      </c>
      <c r="H8065" s="2" t="s">
        <v>12</v>
      </c>
      <c r="I8065" s="2" t="s">
        <v>12</v>
      </c>
      <c r="J8065" s="2" t="s">
        <v>12</v>
      </c>
      <c r="K8065" s="2" t="s">
        <v>12</v>
      </c>
    </row>
    <row r="8066" spans="1:11" ht="12.5" x14ac:dyDescent="0.25">
      <c r="A8066" s="3" t="e">
        <f ca="1"/>
        <v>#NAME?</v>
      </c>
      <c r="B8066" s="2" t="s">
        <v>12</v>
      </c>
      <c r="C8066" s="2" t="s">
        <v>12</v>
      </c>
      <c r="D8066" s="2" t="s">
        <v>12</v>
      </c>
      <c r="E8066" s="2" t="s">
        <v>12</v>
      </c>
      <c r="F8066" s="2" t="s">
        <v>12</v>
      </c>
      <c r="G8066" s="2" t="s">
        <v>12</v>
      </c>
      <c r="H8066" s="2" t="s">
        <v>12</v>
      </c>
      <c r="I8066" s="2" t="s">
        <v>12</v>
      </c>
      <c r="J8066" s="2" t="s">
        <v>12</v>
      </c>
      <c r="K8066" s="2" t="s">
        <v>12</v>
      </c>
    </row>
    <row r="8067" spans="1:11" ht="12.5" x14ac:dyDescent="0.25">
      <c r="A8067" s="3" t="e">
        <f ca="1"/>
        <v>#NAME?</v>
      </c>
      <c r="B8067" s="2" t="s">
        <v>12</v>
      </c>
      <c r="C8067" s="2" t="s">
        <v>12</v>
      </c>
      <c r="D8067" s="2" t="s">
        <v>12</v>
      </c>
      <c r="E8067" s="2" t="s">
        <v>12</v>
      </c>
      <c r="F8067" s="2" t="s">
        <v>12</v>
      </c>
      <c r="G8067" s="2" t="s">
        <v>12</v>
      </c>
      <c r="H8067" s="2" t="s">
        <v>12</v>
      </c>
      <c r="I8067" s="2" t="s">
        <v>12</v>
      </c>
      <c r="J8067" s="2" t="s">
        <v>12</v>
      </c>
      <c r="K8067" s="2" t="s">
        <v>12</v>
      </c>
    </row>
    <row r="8068" spans="1:11" ht="12.5" x14ac:dyDescent="0.25">
      <c r="A8068" s="3" t="e">
        <f ca="1"/>
        <v>#NAME?</v>
      </c>
      <c r="B8068" s="2" t="s">
        <v>12</v>
      </c>
      <c r="C8068" s="2" t="s">
        <v>12</v>
      </c>
      <c r="D8068" s="2" t="s">
        <v>12</v>
      </c>
      <c r="E8068" s="2" t="s">
        <v>12</v>
      </c>
      <c r="F8068" s="2" t="s">
        <v>12</v>
      </c>
      <c r="G8068" s="2" t="s">
        <v>12</v>
      </c>
      <c r="H8068" s="2" t="s">
        <v>12</v>
      </c>
      <c r="I8068" s="2" t="s">
        <v>12</v>
      </c>
      <c r="J8068" s="2" t="s">
        <v>12</v>
      </c>
      <c r="K8068" s="2" t="s">
        <v>12</v>
      </c>
    </row>
    <row r="8069" spans="1:11" ht="12.5" x14ac:dyDescent="0.25">
      <c r="A8069" s="3" t="e">
        <f ca="1"/>
        <v>#NAME?</v>
      </c>
      <c r="B8069" s="2" t="s">
        <v>12</v>
      </c>
      <c r="C8069" s="2" t="s">
        <v>12</v>
      </c>
      <c r="D8069" s="2" t="s">
        <v>12</v>
      </c>
      <c r="E8069" s="2" t="s">
        <v>12</v>
      </c>
      <c r="F8069" s="2" t="s">
        <v>12</v>
      </c>
      <c r="G8069" s="2" t="s">
        <v>12</v>
      </c>
      <c r="H8069" s="2" t="s">
        <v>12</v>
      </c>
      <c r="I8069" s="2" t="s">
        <v>12</v>
      </c>
      <c r="J8069" s="2" t="s">
        <v>12</v>
      </c>
      <c r="K8069" s="2" t="s">
        <v>12</v>
      </c>
    </row>
    <row r="8070" spans="1:11" ht="12.5" x14ac:dyDescent="0.25">
      <c r="A8070" s="3" t="e">
        <f ca="1"/>
        <v>#NAME?</v>
      </c>
      <c r="B8070" s="2" t="s">
        <v>12</v>
      </c>
      <c r="C8070" s="2" t="s">
        <v>12</v>
      </c>
      <c r="D8070" s="2" t="s">
        <v>12</v>
      </c>
      <c r="E8070" s="2" t="s">
        <v>12</v>
      </c>
      <c r="F8070" s="2" t="s">
        <v>12</v>
      </c>
      <c r="G8070" s="2" t="s">
        <v>12</v>
      </c>
      <c r="H8070" s="2" t="s">
        <v>12</v>
      </c>
      <c r="I8070" s="2" t="s">
        <v>12</v>
      </c>
      <c r="J8070" s="2" t="s">
        <v>12</v>
      </c>
      <c r="K8070" s="2" t="s">
        <v>12</v>
      </c>
    </row>
    <row r="8071" spans="1:11" ht="12.5" x14ac:dyDescent="0.25">
      <c r="A8071" s="3" t="e">
        <f ca="1"/>
        <v>#NAME?</v>
      </c>
      <c r="B8071" s="2" t="s">
        <v>12</v>
      </c>
      <c r="C8071" s="2" t="s">
        <v>12</v>
      </c>
      <c r="D8071" s="2" t="s">
        <v>12</v>
      </c>
      <c r="E8071" s="2" t="s">
        <v>12</v>
      </c>
      <c r="F8071" s="2" t="s">
        <v>12</v>
      </c>
      <c r="G8071" s="2" t="s">
        <v>12</v>
      </c>
      <c r="H8071" s="2" t="s">
        <v>12</v>
      </c>
      <c r="I8071" s="2" t="s">
        <v>12</v>
      </c>
      <c r="J8071" s="2" t="s">
        <v>12</v>
      </c>
      <c r="K8071" s="2" t="s">
        <v>12</v>
      </c>
    </row>
    <row r="8072" spans="1:11" ht="12.5" x14ac:dyDescent="0.25">
      <c r="A8072" s="3" t="e">
        <f ca="1"/>
        <v>#NAME?</v>
      </c>
      <c r="B8072" s="2" t="s">
        <v>12</v>
      </c>
      <c r="C8072" s="2" t="s">
        <v>12</v>
      </c>
      <c r="D8072" s="2" t="s">
        <v>12</v>
      </c>
      <c r="E8072" s="2" t="s">
        <v>12</v>
      </c>
      <c r="F8072" s="2" t="s">
        <v>12</v>
      </c>
      <c r="G8072" s="2" t="s">
        <v>12</v>
      </c>
      <c r="H8072" s="2" t="s">
        <v>12</v>
      </c>
      <c r="I8072" s="2" t="s">
        <v>12</v>
      </c>
      <c r="J8072" s="2" t="s">
        <v>12</v>
      </c>
      <c r="K8072" s="2" t="s">
        <v>12</v>
      </c>
    </row>
    <row r="8073" spans="1:11" ht="12.5" x14ac:dyDescent="0.25">
      <c r="A8073" s="3" t="e">
        <f ca="1"/>
        <v>#NAME?</v>
      </c>
      <c r="B8073" s="2" t="s">
        <v>12</v>
      </c>
      <c r="C8073" s="2" t="s">
        <v>12</v>
      </c>
      <c r="D8073" s="2" t="s">
        <v>12</v>
      </c>
      <c r="E8073" s="2" t="s">
        <v>12</v>
      </c>
      <c r="F8073" s="2" t="s">
        <v>12</v>
      </c>
      <c r="G8073" s="2" t="s">
        <v>12</v>
      </c>
      <c r="H8073" s="2" t="s">
        <v>12</v>
      </c>
      <c r="I8073" s="2" t="s">
        <v>12</v>
      </c>
      <c r="J8073" s="2" t="s">
        <v>12</v>
      </c>
      <c r="K8073" s="2" t="s">
        <v>12</v>
      </c>
    </row>
    <row r="8074" spans="1:11" ht="12.5" x14ac:dyDescent="0.25">
      <c r="A8074" s="3" t="e">
        <f ca="1"/>
        <v>#NAME?</v>
      </c>
      <c r="B8074" s="2" t="s">
        <v>12</v>
      </c>
      <c r="C8074" s="2" t="s">
        <v>12</v>
      </c>
      <c r="D8074" s="2" t="s">
        <v>12</v>
      </c>
      <c r="E8074" s="2" t="s">
        <v>12</v>
      </c>
      <c r="F8074" s="2" t="s">
        <v>12</v>
      </c>
      <c r="G8074" s="2" t="s">
        <v>12</v>
      </c>
      <c r="H8074" s="2" t="s">
        <v>12</v>
      </c>
      <c r="I8074" s="2" t="s">
        <v>12</v>
      </c>
      <c r="J8074" s="2" t="s">
        <v>12</v>
      </c>
      <c r="K8074" s="2" t="s">
        <v>12</v>
      </c>
    </row>
    <row r="8075" spans="1:11" ht="12.5" x14ac:dyDescent="0.25">
      <c r="A8075" s="3" t="e">
        <f ca="1"/>
        <v>#NAME?</v>
      </c>
      <c r="B8075" s="2" t="s">
        <v>12</v>
      </c>
      <c r="C8075" s="2" t="s">
        <v>12</v>
      </c>
      <c r="D8075" s="2" t="s">
        <v>12</v>
      </c>
      <c r="E8075" s="2" t="s">
        <v>12</v>
      </c>
      <c r="F8075" s="2" t="s">
        <v>12</v>
      </c>
      <c r="G8075" s="2" t="s">
        <v>12</v>
      </c>
      <c r="H8075" s="2" t="s">
        <v>12</v>
      </c>
      <c r="I8075" s="2" t="s">
        <v>12</v>
      </c>
      <c r="J8075" s="2" t="s">
        <v>12</v>
      </c>
      <c r="K8075" s="2" t="s">
        <v>12</v>
      </c>
    </row>
    <row r="8076" spans="1:11" ht="12.5" x14ac:dyDescent="0.25">
      <c r="A8076" s="3" t="e">
        <f ca="1"/>
        <v>#NAME?</v>
      </c>
      <c r="B8076" s="2" t="s">
        <v>12</v>
      </c>
      <c r="C8076" s="2" t="s">
        <v>12</v>
      </c>
      <c r="D8076" s="2" t="s">
        <v>12</v>
      </c>
      <c r="E8076" s="2" t="s">
        <v>12</v>
      </c>
      <c r="F8076" s="2" t="s">
        <v>12</v>
      </c>
      <c r="G8076" s="2" t="s">
        <v>12</v>
      </c>
      <c r="H8076" s="2" t="s">
        <v>12</v>
      </c>
      <c r="I8076" s="2" t="s">
        <v>12</v>
      </c>
      <c r="J8076" s="2" t="s">
        <v>12</v>
      </c>
      <c r="K8076" s="2" t="s">
        <v>12</v>
      </c>
    </row>
    <row r="8077" spans="1:11" ht="12.5" x14ac:dyDescent="0.25">
      <c r="A8077" s="3" t="e">
        <f ca="1"/>
        <v>#NAME?</v>
      </c>
      <c r="B8077" s="2" t="s">
        <v>12</v>
      </c>
      <c r="C8077" s="2" t="s">
        <v>12</v>
      </c>
      <c r="D8077" s="2" t="s">
        <v>12</v>
      </c>
      <c r="E8077" s="2" t="s">
        <v>12</v>
      </c>
      <c r="F8077" s="2" t="s">
        <v>12</v>
      </c>
      <c r="G8077" s="2" t="s">
        <v>12</v>
      </c>
      <c r="H8077" s="2" t="s">
        <v>12</v>
      </c>
      <c r="I8077" s="2" t="s">
        <v>12</v>
      </c>
      <c r="J8077" s="2" t="s">
        <v>12</v>
      </c>
      <c r="K8077" s="2" t="s">
        <v>12</v>
      </c>
    </row>
    <row r="8078" spans="1:11" ht="12.5" x14ac:dyDescent="0.25">
      <c r="A8078" s="3" t="e">
        <f ca="1"/>
        <v>#NAME?</v>
      </c>
      <c r="B8078" s="2" t="s">
        <v>12</v>
      </c>
      <c r="C8078" s="2" t="s">
        <v>12</v>
      </c>
      <c r="D8078" s="2" t="s">
        <v>12</v>
      </c>
      <c r="E8078" s="2" t="s">
        <v>12</v>
      </c>
      <c r="F8078" s="2" t="s">
        <v>12</v>
      </c>
      <c r="G8078" s="2" t="s">
        <v>12</v>
      </c>
      <c r="H8078" s="2" t="s">
        <v>12</v>
      </c>
      <c r="I8078" s="2" t="s">
        <v>12</v>
      </c>
      <c r="J8078" s="2" t="s">
        <v>12</v>
      </c>
      <c r="K8078" s="2" t="s">
        <v>12</v>
      </c>
    </row>
    <row r="8079" spans="1:11" ht="12.5" x14ac:dyDescent="0.25">
      <c r="A8079" s="3" t="e">
        <f ca="1"/>
        <v>#NAME?</v>
      </c>
      <c r="B8079" s="2" t="s">
        <v>12</v>
      </c>
      <c r="C8079" s="2" t="s">
        <v>12</v>
      </c>
      <c r="D8079" s="2" t="s">
        <v>12</v>
      </c>
      <c r="E8079" s="2" t="s">
        <v>12</v>
      </c>
      <c r="F8079" s="2" t="s">
        <v>12</v>
      </c>
      <c r="G8079" s="2" t="s">
        <v>12</v>
      </c>
      <c r="H8079" s="2" t="s">
        <v>12</v>
      </c>
      <c r="I8079" s="2" t="s">
        <v>12</v>
      </c>
      <c r="J8079" s="2" t="s">
        <v>12</v>
      </c>
      <c r="K8079" s="2" t="s">
        <v>12</v>
      </c>
    </row>
    <row r="8080" spans="1:11" ht="12.5" x14ac:dyDescent="0.25">
      <c r="A8080" s="3" t="e">
        <f ca="1"/>
        <v>#NAME?</v>
      </c>
      <c r="B8080" s="2" t="s">
        <v>12</v>
      </c>
      <c r="C8080" s="2" t="s">
        <v>12</v>
      </c>
      <c r="D8080" s="2" t="s">
        <v>12</v>
      </c>
      <c r="E8080" s="2" t="s">
        <v>12</v>
      </c>
      <c r="F8080" s="2" t="s">
        <v>12</v>
      </c>
      <c r="G8080" s="2" t="s">
        <v>12</v>
      </c>
      <c r="H8080" s="2" t="s">
        <v>12</v>
      </c>
      <c r="I8080" s="2" t="s">
        <v>12</v>
      </c>
      <c r="J8080" s="2" t="s">
        <v>12</v>
      </c>
      <c r="K8080" s="2" t="s">
        <v>12</v>
      </c>
    </row>
    <row r="8081" spans="1:11" ht="12.5" x14ac:dyDescent="0.25">
      <c r="A8081" s="3" t="e">
        <f ca="1"/>
        <v>#NAME?</v>
      </c>
      <c r="B8081" s="2" t="s">
        <v>12</v>
      </c>
      <c r="C8081" s="2" t="s">
        <v>12</v>
      </c>
      <c r="D8081" s="2" t="s">
        <v>12</v>
      </c>
      <c r="E8081" s="2" t="s">
        <v>12</v>
      </c>
      <c r="F8081" s="2" t="s">
        <v>12</v>
      </c>
      <c r="G8081" s="2" t="s">
        <v>12</v>
      </c>
      <c r="H8081" s="2" t="s">
        <v>12</v>
      </c>
      <c r="I8081" s="2" t="s">
        <v>12</v>
      </c>
      <c r="J8081" s="2" t="s">
        <v>12</v>
      </c>
      <c r="K8081" s="2" t="s">
        <v>12</v>
      </c>
    </row>
    <row r="8082" spans="1:11" ht="12.5" x14ac:dyDescent="0.25">
      <c r="A8082" s="3" t="e">
        <f ca="1"/>
        <v>#NAME?</v>
      </c>
      <c r="B8082" s="2" t="s">
        <v>12</v>
      </c>
      <c r="C8082" s="2" t="s">
        <v>12</v>
      </c>
      <c r="D8082" s="2" t="s">
        <v>12</v>
      </c>
      <c r="E8082" s="2" t="s">
        <v>12</v>
      </c>
      <c r="F8082" s="2" t="s">
        <v>12</v>
      </c>
      <c r="G8082" s="2" t="s">
        <v>12</v>
      </c>
      <c r="H8082" s="2" t="s">
        <v>12</v>
      </c>
      <c r="I8082" s="2" t="s">
        <v>12</v>
      </c>
      <c r="J8082" s="2" t="s">
        <v>12</v>
      </c>
      <c r="K8082" s="2" t="s">
        <v>12</v>
      </c>
    </row>
    <row r="8083" spans="1:11" ht="12.5" x14ac:dyDescent="0.25">
      <c r="A8083" s="3" t="e">
        <f ca="1"/>
        <v>#NAME?</v>
      </c>
      <c r="B8083" s="2" t="s">
        <v>12</v>
      </c>
      <c r="C8083" s="2" t="s">
        <v>12</v>
      </c>
      <c r="D8083" s="2" t="s">
        <v>12</v>
      </c>
      <c r="E8083" s="2" t="s">
        <v>12</v>
      </c>
      <c r="F8083" s="2" t="s">
        <v>12</v>
      </c>
      <c r="G8083" s="2" t="s">
        <v>12</v>
      </c>
      <c r="H8083" s="2" t="s">
        <v>12</v>
      </c>
      <c r="I8083" s="2" t="s">
        <v>12</v>
      </c>
      <c r="J8083" s="2" t="s">
        <v>12</v>
      </c>
      <c r="K8083" s="2" t="s">
        <v>12</v>
      </c>
    </row>
    <row r="8084" spans="1:11" ht="12.5" x14ac:dyDescent="0.25">
      <c r="A8084" s="3" t="e">
        <f ca="1"/>
        <v>#NAME?</v>
      </c>
      <c r="B8084" s="2" t="s">
        <v>12</v>
      </c>
      <c r="C8084" s="2" t="s">
        <v>12</v>
      </c>
      <c r="D8084" s="2" t="s">
        <v>12</v>
      </c>
      <c r="E8084" s="2" t="s">
        <v>12</v>
      </c>
      <c r="F8084" s="2" t="s">
        <v>12</v>
      </c>
      <c r="G8084" s="2" t="s">
        <v>12</v>
      </c>
      <c r="H8084" s="2" t="s">
        <v>12</v>
      </c>
      <c r="I8084" s="2" t="s">
        <v>12</v>
      </c>
      <c r="J8084" s="2" t="s">
        <v>12</v>
      </c>
      <c r="K8084" s="2" t="s">
        <v>12</v>
      </c>
    </row>
    <row r="8085" spans="1:11" ht="12.5" x14ac:dyDescent="0.25">
      <c r="A8085" s="3" t="e">
        <f ca="1"/>
        <v>#NAME?</v>
      </c>
      <c r="B8085" s="2" t="s">
        <v>12</v>
      </c>
      <c r="C8085" s="2" t="s">
        <v>12</v>
      </c>
      <c r="D8085" s="2" t="s">
        <v>12</v>
      </c>
      <c r="E8085" s="2" t="s">
        <v>12</v>
      </c>
      <c r="F8085" s="2" t="s">
        <v>12</v>
      </c>
      <c r="G8085" s="2" t="s">
        <v>12</v>
      </c>
      <c r="H8085" s="2" t="s">
        <v>12</v>
      </c>
      <c r="I8085" s="2" t="s">
        <v>12</v>
      </c>
      <c r="J8085" s="2" t="s">
        <v>12</v>
      </c>
      <c r="K8085" s="2" t="s">
        <v>12</v>
      </c>
    </row>
    <row r="8086" spans="1:11" ht="12.5" x14ac:dyDescent="0.25">
      <c r="A8086" s="3" t="e">
        <f ca="1"/>
        <v>#NAME?</v>
      </c>
      <c r="B8086" s="2" t="s">
        <v>12</v>
      </c>
      <c r="C8086" s="2" t="s">
        <v>12</v>
      </c>
      <c r="D8086" s="2" t="s">
        <v>12</v>
      </c>
      <c r="E8086" s="2" t="s">
        <v>12</v>
      </c>
      <c r="F8086" s="2" t="s">
        <v>12</v>
      </c>
      <c r="G8086" s="2" t="s">
        <v>12</v>
      </c>
      <c r="H8086" s="2" t="s">
        <v>12</v>
      </c>
      <c r="I8086" s="2" t="s">
        <v>12</v>
      </c>
      <c r="J8086" s="2" t="s">
        <v>12</v>
      </c>
      <c r="K8086" s="2" t="s">
        <v>12</v>
      </c>
    </row>
    <row r="8087" spans="1:11" ht="12.5" x14ac:dyDescent="0.25">
      <c r="A8087" s="3" t="e">
        <f ca="1"/>
        <v>#NAME?</v>
      </c>
      <c r="B8087" s="2" t="s">
        <v>12</v>
      </c>
      <c r="C8087" s="2" t="s">
        <v>12</v>
      </c>
      <c r="D8087" s="2" t="s">
        <v>12</v>
      </c>
      <c r="E8087" s="2" t="s">
        <v>12</v>
      </c>
      <c r="F8087" s="2" t="s">
        <v>12</v>
      </c>
      <c r="G8087" s="2" t="s">
        <v>12</v>
      </c>
      <c r="H8087" s="2" t="s">
        <v>12</v>
      </c>
      <c r="I8087" s="2" t="s">
        <v>12</v>
      </c>
      <c r="J8087" s="2" t="s">
        <v>12</v>
      </c>
      <c r="K8087" s="2" t="s">
        <v>12</v>
      </c>
    </row>
    <row r="8088" spans="1:11" ht="12.5" x14ac:dyDescent="0.25">
      <c r="A8088" s="3" t="e">
        <f ca="1"/>
        <v>#NAME?</v>
      </c>
      <c r="B8088" s="2" t="s">
        <v>12</v>
      </c>
      <c r="C8088" s="2" t="s">
        <v>12</v>
      </c>
      <c r="D8088" s="2" t="s">
        <v>12</v>
      </c>
      <c r="E8088" s="2" t="s">
        <v>12</v>
      </c>
      <c r="F8088" s="2" t="s">
        <v>12</v>
      </c>
      <c r="G8088" s="2" t="s">
        <v>12</v>
      </c>
      <c r="H8088" s="2" t="s">
        <v>12</v>
      </c>
      <c r="I8088" s="2" t="s">
        <v>12</v>
      </c>
      <c r="J8088" s="2" t="s">
        <v>12</v>
      </c>
      <c r="K8088" s="2" t="s">
        <v>12</v>
      </c>
    </row>
    <row r="8089" spans="1:11" ht="12.5" x14ac:dyDescent="0.25">
      <c r="A8089" s="3" t="e">
        <f ca="1"/>
        <v>#NAME?</v>
      </c>
      <c r="B8089" s="2" t="s">
        <v>12</v>
      </c>
      <c r="C8089" s="2" t="s">
        <v>12</v>
      </c>
      <c r="D8089" s="2" t="s">
        <v>12</v>
      </c>
      <c r="E8089" s="2" t="s">
        <v>12</v>
      </c>
      <c r="F8089" s="2" t="s">
        <v>12</v>
      </c>
      <c r="G8089" s="2" t="s">
        <v>12</v>
      </c>
      <c r="H8089" s="2" t="s">
        <v>12</v>
      </c>
      <c r="I8089" s="2" t="s">
        <v>12</v>
      </c>
      <c r="J8089" s="2" t="s">
        <v>12</v>
      </c>
      <c r="K8089" s="2" t="s">
        <v>12</v>
      </c>
    </row>
    <row r="8090" spans="1:11" ht="12.5" x14ac:dyDescent="0.25">
      <c r="A8090" s="3" t="e">
        <f ca="1"/>
        <v>#NAME?</v>
      </c>
      <c r="B8090" s="2" t="s">
        <v>12</v>
      </c>
      <c r="C8090" s="2" t="s">
        <v>12</v>
      </c>
      <c r="D8090" s="2" t="s">
        <v>12</v>
      </c>
      <c r="E8090" s="2" t="s">
        <v>12</v>
      </c>
      <c r="F8090" s="2" t="s">
        <v>12</v>
      </c>
      <c r="G8090" s="2" t="s">
        <v>12</v>
      </c>
      <c r="H8090" s="2" t="s">
        <v>12</v>
      </c>
      <c r="I8090" s="2" t="s">
        <v>12</v>
      </c>
      <c r="J8090" s="2" t="s">
        <v>12</v>
      </c>
      <c r="K8090" s="2" t="s">
        <v>12</v>
      </c>
    </row>
    <row r="8091" spans="1:11" ht="12.5" x14ac:dyDescent="0.25">
      <c r="A8091" s="3" t="e">
        <f ca="1"/>
        <v>#NAME?</v>
      </c>
      <c r="B8091" s="2" t="s">
        <v>12</v>
      </c>
      <c r="C8091" s="2" t="s">
        <v>12</v>
      </c>
      <c r="D8091" s="2" t="s">
        <v>12</v>
      </c>
      <c r="E8091" s="2" t="s">
        <v>12</v>
      </c>
      <c r="F8091" s="2" t="s">
        <v>12</v>
      </c>
      <c r="G8091" s="2" t="s">
        <v>12</v>
      </c>
      <c r="H8091" s="2" t="s">
        <v>12</v>
      </c>
      <c r="I8091" s="2" t="s">
        <v>12</v>
      </c>
      <c r="J8091" s="2" t="s">
        <v>12</v>
      </c>
      <c r="K8091" s="2" t="s">
        <v>12</v>
      </c>
    </row>
    <row r="8092" spans="1:11" ht="12.5" x14ac:dyDescent="0.25">
      <c r="A8092" s="3" t="e">
        <f ca="1"/>
        <v>#NAME?</v>
      </c>
      <c r="B8092" s="2" t="s">
        <v>12</v>
      </c>
      <c r="C8092" s="2" t="s">
        <v>12</v>
      </c>
      <c r="D8092" s="2" t="s">
        <v>12</v>
      </c>
      <c r="E8092" s="2" t="s">
        <v>12</v>
      </c>
      <c r="F8092" s="2" t="s">
        <v>12</v>
      </c>
      <c r="G8092" s="2" t="s">
        <v>12</v>
      </c>
      <c r="H8092" s="2" t="s">
        <v>12</v>
      </c>
      <c r="I8092" s="2" t="s">
        <v>12</v>
      </c>
      <c r="J8092" s="2" t="s">
        <v>12</v>
      </c>
      <c r="K8092" s="2" t="s">
        <v>12</v>
      </c>
    </row>
    <row r="8093" spans="1:11" ht="12.5" x14ac:dyDescent="0.25">
      <c r="A8093" s="3" t="e">
        <f ca="1"/>
        <v>#NAME?</v>
      </c>
      <c r="B8093" s="2" t="s">
        <v>12</v>
      </c>
      <c r="C8093" s="2" t="s">
        <v>12</v>
      </c>
      <c r="D8093" s="2" t="s">
        <v>12</v>
      </c>
      <c r="E8093" s="2" t="s">
        <v>12</v>
      </c>
      <c r="F8093" s="2" t="s">
        <v>12</v>
      </c>
      <c r="G8093" s="2" t="s">
        <v>12</v>
      </c>
      <c r="H8093" s="2" t="s">
        <v>12</v>
      </c>
      <c r="I8093" s="2" t="s">
        <v>12</v>
      </c>
      <c r="J8093" s="2" t="s">
        <v>12</v>
      </c>
      <c r="K8093" s="2" t="s">
        <v>12</v>
      </c>
    </row>
    <row r="8094" spans="1:11" ht="12.5" x14ac:dyDescent="0.25">
      <c r="A8094" s="3" t="e">
        <f ca="1"/>
        <v>#NAME?</v>
      </c>
      <c r="B8094" s="2" t="s">
        <v>12</v>
      </c>
      <c r="C8094" s="2" t="s">
        <v>12</v>
      </c>
      <c r="D8094" s="2" t="s">
        <v>12</v>
      </c>
      <c r="E8094" s="2" t="s">
        <v>12</v>
      </c>
      <c r="F8094" s="2" t="s">
        <v>12</v>
      </c>
      <c r="G8094" s="2" t="s">
        <v>12</v>
      </c>
      <c r="H8094" s="2" t="s">
        <v>12</v>
      </c>
      <c r="I8094" s="2" t="s">
        <v>12</v>
      </c>
      <c r="J8094" s="2" t="s">
        <v>12</v>
      </c>
      <c r="K8094" s="2" t="s">
        <v>12</v>
      </c>
    </row>
    <row r="8095" spans="1:11" ht="12.5" x14ac:dyDescent="0.25">
      <c r="A8095" s="3" t="e">
        <f ca="1"/>
        <v>#NAME?</v>
      </c>
      <c r="B8095" s="2" t="s">
        <v>12</v>
      </c>
      <c r="C8095" s="2" t="s">
        <v>12</v>
      </c>
      <c r="D8095" s="2" t="s">
        <v>12</v>
      </c>
      <c r="E8095" s="2" t="s">
        <v>12</v>
      </c>
      <c r="F8095" s="2" t="s">
        <v>12</v>
      </c>
      <c r="G8095" s="2" t="s">
        <v>12</v>
      </c>
      <c r="H8095" s="2" t="s">
        <v>12</v>
      </c>
      <c r="I8095" s="2" t="s">
        <v>12</v>
      </c>
      <c r="J8095" s="2" t="s">
        <v>12</v>
      </c>
      <c r="K8095" s="2" t="s">
        <v>12</v>
      </c>
    </row>
    <row r="8096" spans="1:11" ht="12.5" x14ac:dyDescent="0.25">
      <c r="A8096" s="3" t="e">
        <f ca="1"/>
        <v>#NAME?</v>
      </c>
      <c r="B8096" s="2" t="s">
        <v>12</v>
      </c>
      <c r="C8096" s="2" t="s">
        <v>12</v>
      </c>
      <c r="D8096" s="2" t="s">
        <v>12</v>
      </c>
      <c r="E8096" s="2" t="s">
        <v>12</v>
      </c>
      <c r="F8096" s="2" t="s">
        <v>12</v>
      </c>
      <c r="G8096" s="2" t="s">
        <v>12</v>
      </c>
      <c r="H8096" s="2" t="s">
        <v>12</v>
      </c>
      <c r="I8096" s="2" t="s">
        <v>12</v>
      </c>
      <c r="J8096" s="2" t="s">
        <v>12</v>
      </c>
      <c r="K8096" s="2" t="s">
        <v>12</v>
      </c>
    </row>
    <row r="8097" spans="1:11" ht="12.5" x14ac:dyDescent="0.25">
      <c r="A8097" s="3" t="e">
        <f ca="1"/>
        <v>#NAME?</v>
      </c>
      <c r="B8097" s="2" t="s">
        <v>12</v>
      </c>
      <c r="C8097" s="2" t="s">
        <v>12</v>
      </c>
      <c r="D8097" s="2" t="s">
        <v>12</v>
      </c>
      <c r="E8097" s="2" t="s">
        <v>12</v>
      </c>
      <c r="F8097" s="2" t="s">
        <v>12</v>
      </c>
      <c r="G8097" s="2" t="s">
        <v>12</v>
      </c>
      <c r="H8097" s="2" t="s">
        <v>12</v>
      </c>
      <c r="I8097" s="2" t="s">
        <v>12</v>
      </c>
      <c r="J8097" s="2" t="s">
        <v>12</v>
      </c>
      <c r="K8097" s="2" t="s">
        <v>12</v>
      </c>
    </row>
    <row r="8098" spans="1:11" ht="12.5" x14ac:dyDescent="0.25">
      <c r="A8098" s="3" t="e">
        <f ca="1"/>
        <v>#NAME?</v>
      </c>
      <c r="B8098" s="2" t="s">
        <v>12</v>
      </c>
      <c r="C8098" s="2" t="s">
        <v>12</v>
      </c>
      <c r="D8098" s="2" t="s">
        <v>12</v>
      </c>
      <c r="E8098" s="2" t="s">
        <v>12</v>
      </c>
      <c r="F8098" s="2" t="s">
        <v>12</v>
      </c>
      <c r="G8098" s="2" t="s">
        <v>12</v>
      </c>
      <c r="H8098" s="2" t="s">
        <v>12</v>
      </c>
      <c r="I8098" s="2" t="s">
        <v>12</v>
      </c>
      <c r="J8098" s="2" t="s">
        <v>12</v>
      </c>
      <c r="K8098" s="2" t="s">
        <v>12</v>
      </c>
    </row>
    <row r="8099" spans="1:11" ht="12.5" x14ac:dyDescent="0.25">
      <c r="A8099" s="3" t="e">
        <f ca="1"/>
        <v>#NAME?</v>
      </c>
      <c r="B8099" s="2" t="s">
        <v>12</v>
      </c>
      <c r="C8099" s="2" t="s">
        <v>12</v>
      </c>
      <c r="D8099" s="2" t="s">
        <v>12</v>
      </c>
      <c r="E8099" s="2" t="s">
        <v>12</v>
      </c>
      <c r="F8099" s="2" t="s">
        <v>12</v>
      </c>
      <c r="G8099" s="2" t="s">
        <v>12</v>
      </c>
      <c r="H8099" s="2" t="s">
        <v>12</v>
      </c>
      <c r="I8099" s="2" t="s">
        <v>12</v>
      </c>
      <c r="J8099" s="2" t="s">
        <v>12</v>
      </c>
      <c r="K8099" s="2" t="s">
        <v>12</v>
      </c>
    </row>
    <row r="8100" spans="1:11" ht="12.5" x14ac:dyDescent="0.25">
      <c r="A8100" s="3" t="e">
        <f ca="1"/>
        <v>#NAME?</v>
      </c>
      <c r="B8100" s="2" t="s">
        <v>12</v>
      </c>
      <c r="C8100" s="2" t="s">
        <v>12</v>
      </c>
      <c r="D8100" s="2" t="s">
        <v>12</v>
      </c>
      <c r="E8100" s="2" t="s">
        <v>12</v>
      </c>
      <c r="F8100" s="2" t="s">
        <v>12</v>
      </c>
      <c r="G8100" s="2" t="s">
        <v>12</v>
      </c>
      <c r="H8100" s="2" t="s">
        <v>12</v>
      </c>
      <c r="I8100" s="2" t="s">
        <v>12</v>
      </c>
      <c r="J8100" s="2" t="s">
        <v>12</v>
      </c>
      <c r="K8100" s="2" t="s">
        <v>12</v>
      </c>
    </row>
    <row r="8101" spans="1:11" ht="12.5" x14ac:dyDescent="0.25">
      <c r="A8101" s="3" t="e">
        <f ca="1"/>
        <v>#NAME?</v>
      </c>
      <c r="B8101" s="2" t="s">
        <v>12</v>
      </c>
      <c r="C8101" s="2" t="s">
        <v>12</v>
      </c>
      <c r="D8101" s="2" t="s">
        <v>12</v>
      </c>
      <c r="E8101" s="2" t="s">
        <v>12</v>
      </c>
      <c r="F8101" s="2" t="s">
        <v>12</v>
      </c>
      <c r="G8101" s="2" t="s">
        <v>12</v>
      </c>
      <c r="H8101" s="2" t="s">
        <v>12</v>
      </c>
      <c r="I8101" s="2" t="s">
        <v>12</v>
      </c>
      <c r="J8101" s="2" t="s">
        <v>12</v>
      </c>
      <c r="K8101" s="2" t="s">
        <v>12</v>
      </c>
    </row>
    <row r="8102" spans="1:11" ht="12.5" x14ac:dyDescent="0.25">
      <c r="A8102" s="3" t="e">
        <f ca="1"/>
        <v>#NAME?</v>
      </c>
      <c r="B8102" s="2" t="s">
        <v>12</v>
      </c>
      <c r="C8102" s="2" t="s">
        <v>12</v>
      </c>
      <c r="D8102" s="2" t="s">
        <v>12</v>
      </c>
      <c r="E8102" s="2" t="s">
        <v>12</v>
      </c>
      <c r="F8102" s="2" t="s">
        <v>12</v>
      </c>
      <c r="G8102" s="2" t="s">
        <v>12</v>
      </c>
      <c r="H8102" s="2" t="s">
        <v>12</v>
      </c>
      <c r="I8102" s="2" t="s">
        <v>12</v>
      </c>
      <c r="J8102" s="2" t="s">
        <v>12</v>
      </c>
      <c r="K8102" s="2" t="s">
        <v>12</v>
      </c>
    </row>
    <row r="8103" spans="1:11" ht="12.5" x14ac:dyDescent="0.25">
      <c r="A8103" s="3" t="e">
        <f ca="1"/>
        <v>#NAME?</v>
      </c>
      <c r="B8103" s="2" t="s">
        <v>12</v>
      </c>
      <c r="C8103" s="2" t="s">
        <v>12</v>
      </c>
      <c r="D8103" s="2" t="s">
        <v>12</v>
      </c>
      <c r="E8103" s="2" t="s">
        <v>12</v>
      </c>
      <c r="F8103" s="2" t="s">
        <v>12</v>
      </c>
      <c r="G8103" s="2" t="s">
        <v>12</v>
      </c>
      <c r="H8103" s="2" t="s">
        <v>12</v>
      </c>
      <c r="I8103" s="2" t="s">
        <v>12</v>
      </c>
      <c r="J8103" s="2" t="s">
        <v>12</v>
      </c>
      <c r="K8103" s="2" t="s">
        <v>12</v>
      </c>
    </row>
    <row r="8104" spans="1:11" ht="12.5" x14ac:dyDescent="0.25">
      <c r="A8104" s="3" t="e">
        <f ca="1"/>
        <v>#NAME?</v>
      </c>
      <c r="B8104" s="2" t="s">
        <v>12</v>
      </c>
      <c r="C8104" s="2" t="s">
        <v>12</v>
      </c>
      <c r="D8104" s="2" t="s">
        <v>12</v>
      </c>
      <c r="E8104" s="2" t="s">
        <v>12</v>
      </c>
      <c r="F8104" s="2" t="s">
        <v>12</v>
      </c>
      <c r="G8104" s="2" t="s">
        <v>12</v>
      </c>
      <c r="H8104" s="2" t="s">
        <v>12</v>
      </c>
      <c r="I8104" s="2" t="s">
        <v>12</v>
      </c>
      <c r="J8104" s="2" t="s">
        <v>12</v>
      </c>
      <c r="K8104" s="2" t="s">
        <v>12</v>
      </c>
    </row>
    <row r="8105" spans="1:11" ht="12.5" x14ac:dyDescent="0.25">
      <c r="A8105" s="3" t="e">
        <f ca="1"/>
        <v>#NAME?</v>
      </c>
      <c r="B8105" s="2" t="s">
        <v>12</v>
      </c>
      <c r="C8105" s="2" t="s">
        <v>12</v>
      </c>
      <c r="D8105" s="2" t="s">
        <v>12</v>
      </c>
      <c r="E8105" s="2" t="s">
        <v>12</v>
      </c>
      <c r="F8105" s="2" t="s">
        <v>12</v>
      </c>
      <c r="G8105" s="2" t="s">
        <v>12</v>
      </c>
      <c r="H8105" s="2" t="s">
        <v>12</v>
      </c>
      <c r="I8105" s="2" t="s">
        <v>12</v>
      </c>
      <c r="J8105" s="2" t="s">
        <v>12</v>
      </c>
      <c r="K8105" s="2" t="s">
        <v>12</v>
      </c>
    </row>
    <row r="8106" spans="1:11" ht="12.5" x14ac:dyDescent="0.25">
      <c r="A8106" s="3" t="e">
        <f ca="1"/>
        <v>#NAME?</v>
      </c>
      <c r="B8106" s="2" t="s">
        <v>12</v>
      </c>
      <c r="C8106" s="2" t="s">
        <v>12</v>
      </c>
      <c r="D8106" s="2" t="s">
        <v>12</v>
      </c>
      <c r="E8106" s="2" t="s">
        <v>12</v>
      </c>
      <c r="F8106" s="2" t="s">
        <v>12</v>
      </c>
      <c r="G8106" s="2" t="s">
        <v>12</v>
      </c>
      <c r="H8106" s="2" t="s">
        <v>12</v>
      </c>
      <c r="I8106" s="2" t="s">
        <v>12</v>
      </c>
      <c r="J8106" s="2" t="s">
        <v>12</v>
      </c>
      <c r="K8106" s="2" t="s">
        <v>12</v>
      </c>
    </row>
    <row r="8107" spans="1:11" ht="12.5" x14ac:dyDescent="0.25">
      <c r="A8107" s="3" t="e">
        <f ca="1"/>
        <v>#NAME?</v>
      </c>
      <c r="B8107" s="2" t="s">
        <v>12</v>
      </c>
      <c r="C8107" s="2" t="s">
        <v>12</v>
      </c>
      <c r="D8107" s="2" t="s">
        <v>12</v>
      </c>
      <c r="E8107" s="2" t="s">
        <v>12</v>
      </c>
      <c r="F8107" s="2" t="s">
        <v>12</v>
      </c>
      <c r="G8107" s="2" t="s">
        <v>12</v>
      </c>
      <c r="H8107" s="2" t="s">
        <v>12</v>
      </c>
      <c r="I8107" s="2" t="s">
        <v>12</v>
      </c>
      <c r="J8107" s="2" t="s">
        <v>12</v>
      </c>
      <c r="K8107" s="2" t="s">
        <v>12</v>
      </c>
    </row>
    <row r="8108" spans="1:11" ht="12.5" x14ac:dyDescent="0.25">
      <c r="A8108" s="3" t="e">
        <f ca="1"/>
        <v>#NAME?</v>
      </c>
      <c r="B8108" s="2" t="s">
        <v>12</v>
      </c>
      <c r="C8108" s="2" t="s">
        <v>12</v>
      </c>
      <c r="D8108" s="2" t="s">
        <v>12</v>
      </c>
      <c r="E8108" s="2" t="s">
        <v>12</v>
      </c>
      <c r="F8108" s="2" t="s">
        <v>12</v>
      </c>
      <c r="G8108" s="2" t="s">
        <v>12</v>
      </c>
      <c r="H8108" s="2" t="s">
        <v>12</v>
      </c>
      <c r="I8108" s="2" t="s">
        <v>12</v>
      </c>
      <c r="J8108" s="2" t="s">
        <v>12</v>
      </c>
      <c r="K8108" s="2" t="s">
        <v>12</v>
      </c>
    </row>
    <row r="8109" spans="1:11" ht="12.5" x14ac:dyDescent="0.25">
      <c r="A8109" s="3" t="e">
        <f ca="1"/>
        <v>#NAME?</v>
      </c>
      <c r="B8109" s="2" t="s">
        <v>12</v>
      </c>
      <c r="C8109" s="2" t="s">
        <v>12</v>
      </c>
      <c r="D8109" s="2" t="s">
        <v>12</v>
      </c>
      <c r="E8109" s="2" t="s">
        <v>12</v>
      </c>
      <c r="F8109" s="2" t="s">
        <v>12</v>
      </c>
      <c r="G8109" s="2" t="s">
        <v>12</v>
      </c>
      <c r="H8109" s="2" t="s">
        <v>12</v>
      </c>
      <c r="I8109" s="2" t="s">
        <v>12</v>
      </c>
      <c r="J8109" s="2" t="s">
        <v>12</v>
      </c>
      <c r="K8109" s="2" t="s">
        <v>12</v>
      </c>
    </row>
    <row r="8110" spans="1:11" ht="12.5" x14ac:dyDescent="0.25">
      <c r="A8110" s="3" t="e">
        <f ca="1"/>
        <v>#NAME?</v>
      </c>
      <c r="B8110" s="2" t="s">
        <v>12</v>
      </c>
      <c r="C8110" s="2" t="s">
        <v>12</v>
      </c>
      <c r="D8110" s="2" t="s">
        <v>12</v>
      </c>
      <c r="E8110" s="2" t="s">
        <v>12</v>
      </c>
      <c r="F8110" s="2" t="s">
        <v>12</v>
      </c>
      <c r="G8110" s="2" t="s">
        <v>12</v>
      </c>
      <c r="H8110" s="2" t="s">
        <v>12</v>
      </c>
      <c r="I8110" s="2" t="s">
        <v>12</v>
      </c>
      <c r="J8110" s="2" t="s">
        <v>12</v>
      </c>
      <c r="K8110" s="2" t="s">
        <v>12</v>
      </c>
    </row>
    <row r="8111" spans="1:11" ht="12.5" x14ac:dyDescent="0.25">
      <c r="A8111" s="3" t="e">
        <f ca="1"/>
        <v>#NAME?</v>
      </c>
      <c r="B8111" s="2" t="s">
        <v>12</v>
      </c>
      <c r="C8111" s="2" t="s">
        <v>12</v>
      </c>
      <c r="D8111" s="2" t="s">
        <v>12</v>
      </c>
      <c r="E8111" s="2" t="s">
        <v>12</v>
      </c>
      <c r="F8111" s="2" t="s">
        <v>12</v>
      </c>
      <c r="G8111" s="2" t="s">
        <v>12</v>
      </c>
      <c r="H8111" s="2" t="s">
        <v>12</v>
      </c>
      <c r="I8111" s="2" t="s">
        <v>12</v>
      </c>
      <c r="J8111" s="2" t="s">
        <v>12</v>
      </c>
      <c r="K8111" s="2" t="s">
        <v>12</v>
      </c>
    </row>
    <row r="8112" spans="1:11" ht="12.5" x14ac:dyDescent="0.25">
      <c r="A8112" s="3" t="e">
        <f ca="1"/>
        <v>#NAME?</v>
      </c>
      <c r="B8112" s="2" t="s">
        <v>12</v>
      </c>
      <c r="C8112" s="2" t="s">
        <v>12</v>
      </c>
      <c r="D8112" s="2" t="s">
        <v>12</v>
      </c>
      <c r="E8112" s="2" t="s">
        <v>12</v>
      </c>
      <c r="F8112" s="2" t="s">
        <v>12</v>
      </c>
      <c r="G8112" s="2" t="s">
        <v>12</v>
      </c>
      <c r="H8112" s="2" t="s">
        <v>12</v>
      </c>
      <c r="I8112" s="2" t="s">
        <v>12</v>
      </c>
      <c r="J8112" s="2" t="s">
        <v>12</v>
      </c>
      <c r="K8112" s="2" t="s">
        <v>12</v>
      </c>
    </row>
    <row r="8113" spans="1:11" ht="12.5" x14ac:dyDescent="0.25">
      <c r="A8113" s="3" t="e">
        <f ca="1"/>
        <v>#NAME?</v>
      </c>
      <c r="B8113" s="2" t="s">
        <v>12</v>
      </c>
      <c r="C8113" s="2" t="s">
        <v>12</v>
      </c>
      <c r="D8113" s="2" t="s">
        <v>12</v>
      </c>
      <c r="E8113" s="2" t="s">
        <v>12</v>
      </c>
      <c r="F8113" s="2" t="s">
        <v>12</v>
      </c>
      <c r="G8113" s="2" t="s">
        <v>12</v>
      </c>
      <c r="H8113" s="2" t="s">
        <v>12</v>
      </c>
      <c r="I8113" s="2" t="s">
        <v>12</v>
      </c>
      <c r="J8113" s="2" t="s">
        <v>12</v>
      </c>
      <c r="K8113" s="2" t="s">
        <v>12</v>
      </c>
    </row>
    <row r="8114" spans="1:11" ht="12.5" x14ac:dyDescent="0.25">
      <c r="A8114" s="3" t="e">
        <f ca="1"/>
        <v>#NAME?</v>
      </c>
      <c r="B8114" s="2" t="s">
        <v>12</v>
      </c>
      <c r="C8114" s="2" t="s">
        <v>12</v>
      </c>
      <c r="D8114" s="2" t="s">
        <v>12</v>
      </c>
      <c r="E8114" s="2" t="s">
        <v>12</v>
      </c>
      <c r="F8114" s="2" t="s">
        <v>12</v>
      </c>
      <c r="G8114" s="2" t="s">
        <v>12</v>
      </c>
      <c r="H8114" s="2" t="s">
        <v>12</v>
      </c>
      <c r="I8114" s="2" t="s">
        <v>12</v>
      </c>
      <c r="J8114" s="2" t="s">
        <v>12</v>
      </c>
      <c r="K8114" s="2" t="s">
        <v>12</v>
      </c>
    </row>
    <row r="8115" spans="1:11" ht="12.5" x14ac:dyDescent="0.25">
      <c r="A8115" s="3" t="e">
        <f ca="1"/>
        <v>#NAME?</v>
      </c>
      <c r="B8115" s="2" t="s">
        <v>12</v>
      </c>
      <c r="C8115" s="2" t="s">
        <v>12</v>
      </c>
      <c r="D8115" s="2" t="s">
        <v>12</v>
      </c>
      <c r="E8115" s="2" t="s">
        <v>12</v>
      </c>
      <c r="F8115" s="2" t="s">
        <v>12</v>
      </c>
      <c r="G8115" s="2" t="s">
        <v>12</v>
      </c>
      <c r="H8115" s="2" t="s">
        <v>12</v>
      </c>
      <c r="I8115" s="2" t="s">
        <v>12</v>
      </c>
      <c r="J8115" s="2" t="s">
        <v>12</v>
      </c>
      <c r="K8115" s="2" t="s">
        <v>12</v>
      </c>
    </row>
    <row r="8116" spans="1:11" ht="12.5" x14ac:dyDescent="0.25">
      <c r="A8116" s="3" t="e">
        <f ca="1"/>
        <v>#NAME?</v>
      </c>
      <c r="B8116" s="2" t="s">
        <v>12</v>
      </c>
      <c r="C8116" s="2" t="s">
        <v>12</v>
      </c>
      <c r="D8116" s="2" t="s">
        <v>12</v>
      </c>
      <c r="E8116" s="2" t="s">
        <v>12</v>
      </c>
      <c r="F8116" s="2" t="s">
        <v>12</v>
      </c>
      <c r="G8116" s="2" t="s">
        <v>12</v>
      </c>
      <c r="H8116" s="2" t="s">
        <v>12</v>
      </c>
      <c r="I8116" s="2" t="s">
        <v>12</v>
      </c>
      <c r="J8116" s="2" t="s">
        <v>12</v>
      </c>
      <c r="K8116" s="2" t="s">
        <v>12</v>
      </c>
    </row>
    <row r="8117" spans="1:11" ht="12.5" x14ac:dyDescent="0.25">
      <c r="A8117" s="3" t="e">
        <f ca="1"/>
        <v>#NAME?</v>
      </c>
      <c r="B8117" s="2" t="s">
        <v>12</v>
      </c>
      <c r="C8117" s="2" t="s">
        <v>12</v>
      </c>
      <c r="D8117" s="2" t="s">
        <v>12</v>
      </c>
      <c r="E8117" s="2" t="s">
        <v>12</v>
      </c>
      <c r="F8117" s="2" t="s">
        <v>12</v>
      </c>
      <c r="G8117" s="2" t="s">
        <v>12</v>
      </c>
      <c r="H8117" s="2" t="s">
        <v>12</v>
      </c>
      <c r="I8117" s="2" t="s">
        <v>12</v>
      </c>
      <c r="J8117" s="2" t="s">
        <v>12</v>
      </c>
      <c r="K8117" s="2" t="s">
        <v>12</v>
      </c>
    </row>
    <row r="8118" spans="1:11" ht="12.5" x14ac:dyDescent="0.25">
      <c r="A8118" s="3" t="e">
        <f ca="1"/>
        <v>#NAME?</v>
      </c>
      <c r="B8118" s="2" t="s">
        <v>12</v>
      </c>
      <c r="C8118" s="2" t="s">
        <v>12</v>
      </c>
      <c r="D8118" s="2" t="s">
        <v>12</v>
      </c>
      <c r="E8118" s="2" t="s">
        <v>12</v>
      </c>
      <c r="F8118" s="2" t="s">
        <v>12</v>
      </c>
      <c r="G8118" s="2" t="s">
        <v>12</v>
      </c>
      <c r="H8118" s="2" t="s">
        <v>12</v>
      </c>
      <c r="I8118" s="2" t="s">
        <v>12</v>
      </c>
      <c r="J8118" s="2" t="s">
        <v>12</v>
      </c>
      <c r="K8118" s="2" t="s">
        <v>12</v>
      </c>
    </row>
    <row r="8119" spans="1:11" ht="12.5" x14ac:dyDescent="0.25">
      <c r="A8119" s="3" t="e">
        <f ca="1"/>
        <v>#NAME?</v>
      </c>
      <c r="B8119" s="2" t="s">
        <v>12</v>
      </c>
      <c r="C8119" s="2" t="s">
        <v>12</v>
      </c>
      <c r="D8119" s="2" t="s">
        <v>12</v>
      </c>
      <c r="E8119" s="2" t="s">
        <v>12</v>
      </c>
      <c r="F8119" s="2" t="s">
        <v>12</v>
      </c>
      <c r="G8119" s="2" t="s">
        <v>12</v>
      </c>
      <c r="H8119" s="2" t="s">
        <v>12</v>
      </c>
      <c r="I8119" s="2" t="s">
        <v>12</v>
      </c>
      <c r="J8119" s="2" t="s">
        <v>12</v>
      </c>
      <c r="K8119" s="2" t="s">
        <v>12</v>
      </c>
    </row>
    <row r="8120" spans="1:11" ht="12.5" x14ac:dyDescent="0.25">
      <c r="A8120" s="3" t="e">
        <f ca="1"/>
        <v>#NAME?</v>
      </c>
      <c r="B8120" s="2" t="s">
        <v>12</v>
      </c>
      <c r="C8120" s="2" t="s">
        <v>12</v>
      </c>
      <c r="D8120" s="2" t="s">
        <v>12</v>
      </c>
      <c r="E8120" s="2" t="s">
        <v>12</v>
      </c>
      <c r="F8120" s="2" t="s">
        <v>12</v>
      </c>
      <c r="G8120" s="2" t="s">
        <v>12</v>
      </c>
      <c r="H8120" s="2" t="s">
        <v>12</v>
      </c>
      <c r="I8120" s="2" t="s">
        <v>12</v>
      </c>
      <c r="J8120" s="2" t="s">
        <v>12</v>
      </c>
      <c r="K8120" s="2" t="s">
        <v>12</v>
      </c>
    </row>
    <row r="8121" spans="1:11" ht="12.5" x14ac:dyDescent="0.25">
      <c r="A8121" s="3" t="e">
        <f ca="1"/>
        <v>#NAME?</v>
      </c>
      <c r="B8121" s="2" t="s">
        <v>12</v>
      </c>
      <c r="C8121" s="2" t="s">
        <v>12</v>
      </c>
      <c r="D8121" s="2" t="s">
        <v>12</v>
      </c>
      <c r="E8121" s="2" t="s">
        <v>12</v>
      </c>
      <c r="F8121" s="2" t="s">
        <v>12</v>
      </c>
      <c r="G8121" s="2" t="s">
        <v>12</v>
      </c>
      <c r="H8121" s="2" t="s">
        <v>12</v>
      </c>
      <c r="I8121" s="2" t="s">
        <v>12</v>
      </c>
      <c r="J8121" s="2" t="s">
        <v>12</v>
      </c>
      <c r="K8121" s="2" t="s">
        <v>12</v>
      </c>
    </row>
    <row r="8122" spans="1:11" ht="12.5" x14ac:dyDescent="0.25">
      <c r="A8122" s="3" t="e">
        <f ca="1"/>
        <v>#NAME?</v>
      </c>
      <c r="B8122" s="2" t="s">
        <v>12</v>
      </c>
      <c r="C8122" s="2" t="s">
        <v>12</v>
      </c>
      <c r="D8122" s="2" t="s">
        <v>12</v>
      </c>
      <c r="E8122" s="2" t="s">
        <v>12</v>
      </c>
      <c r="F8122" s="2" t="s">
        <v>12</v>
      </c>
      <c r="G8122" s="2" t="s">
        <v>12</v>
      </c>
      <c r="H8122" s="2" t="s">
        <v>12</v>
      </c>
      <c r="I8122" s="2" t="s">
        <v>12</v>
      </c>
      <c r="J8122" s="2" t="s">
        <v>12</v>
      </c>
      <c r="K8122" s="2" t="s">
        <v>12</v>
      </c>
    </row>
    <row r="8123" spans="1:11" ht="12.5" x14ac:dyDescent="0.25">
      <c r="A8123" s="3" t="e">
        <f ca="1"/>
        <v>#NAME?</v>
      </c>
      <c r="B8123" s="2" t="s">
        <v>12</v>
      </c>
      <c r="C8123" s="2" t="s">
        <v>12</v>
      </c>
      <c r="D8123" s="2" t="s">
        <v>12</v>
      </c>
      <c r="E8123" s="2" t="s">
        <v>12</v>
      </c>
      <c r="F8123" s="2" t="s">
        <v>12</v>
      </c>
      <c r="G8123" s="2" t="s">
        <v>12</v>
      </c>
      <c r="H8123" s="2" t="s">
        <v>12</v>
      </c>
      <c r="I8123" s="2" t="s">
        <v>12</v>
      </c>
      <c r="J8123" s="2" t="s">
        <v>12</v>
      </c>
      <c r="K8123" s="2" t="s">
        <v>12</v>
      </c>
    </row>
    <row r="8124" spans="1:11" ht="12.5" x14ac:dyDescent="0.25">
      <c r="A8124" s="3" t="e">
        <f ca="1"/>
        <v>#NAME?</v>
      </c>
      <c r="B8124" s="2" t="s">
        <v>12</v>
      </c>
      <c r="C8124" s="2" t="s">
        <v>12</v>
      </c>
      <c r="D8124" s="2" t="s">
        <v>12</v>
      </c>
      <c r="E8124" s="2" t="s">
        <v>12</v>
      </c>
      <c r="F8124" s="2" t="s">
        <v>12</v>
      </c>
      <c r="G8124" s="2" t="s">
        <v>12</v>
      </c>
      <c r="H8124" s="2" t="s">
        <v>12</v>
      </c>
      <c r="I8124" s="2" t="s">
        <v>12</v>
      </c>
      <c r="J8124" s="2" t="s">
        <v>12</v>
      </c>
      <c r="K8124" s="2" t="s">
        <v>12</v>
      </c>
    </row>
    <row r="8125" spans="1:11" ht="12.5" x14ac:dyDescent="0.25">
      <c r="A8125" s="3" t="e">
        <f ca="1"/>
        <v>#NAME?</v>
      </c>
      <c r="B8125" s="2" t="s">
        <v>12</v>
      </c>
      <c r="C8125" s="2" t="s">
        <v>12</v>
      </c>
      <c r="D8125" s="2" t="s">
        <v>12</v>
      </c>
      <c r="E8125" s="2" t="s">
        <v>12</v>
      </c>
      <c r="F8125" s="2" t="s">
        <v>12</v>
      </c>
      <c r="G8125" s="2" t="s">
        <v>12</v>
      </c>
      <c r="H8125" s="2" t="s">
        <v>12</v>
      </c>
      <c r="I8125" s="2" t="s">
        <v>12</v>
      </c>
      <c r="J8125" s="2" t="s">
        <v>12</v>
      </c>
      <c r="K8125" s="2" t="s">
        <v>12</v>
      </c>
    </row>
    <row r="8126" spans="1:11" ht="12.5" x14ac:dyDescent="0.25">
      <c r="A8126" s="3" t="e">
        <f ca="1"/>
        <v>#NAME?</v>
      </c>
      <c r="B8126" s="2" t="s">
        <v>12</v>
      </c>
      <c r="C8126" s="2" t="s">
        <v>12</v>
      </c>
      <c r="D8126" s="2" t="s">
        <v>12</v>
      </c>
      <c r="E8126" s="2" t="s">
        <v>12</v>
      </c>
      <c r="F8126" s="2" t="s">
        <v>12</v>
      </c>
      <c r="G8126" s="2" t="s">
        <v>12</v>
      </c>
      <c r="H8126" s="2" t="s">
        <v>12</v>
      </c>
      <c r="I8126" s="2" t="s">
        <v>12</v>
      </c>
      <c r="J8126" s="2" t="s">
        <v>12</v>
      </c>
      <c r="K8126" s="2" t="s">
        <v>12</v>
      </c>
    </row>
    <row r="8127" spans="1:11" ht="12.5" x14ac:dyDescent="0.25">
      <c r="A8127" s="3" t="e">
        <f ca="1"/>
        <v>#NAME?</v>
      </c>
      <c r="B8127" s="2" t="s">
        <v>12</v>
      </c>
      <c r="C8127" s="2" t="s">
        <v>12</v>
      </c>
      <c r="D8127" s="2" t="s">
        <v>12</v>
      </c>
      <c r="E8127" s="2" t="s">
        <v>12</v>
      </c>
      <c r="F8127" s="2" t="s">
        <v>12</v>
      </c>
      <c r="G8127" s="2" t="s">
        <v>12</v>
      </c>
      <c r="H8127" s="2" t="s">
        <v>12</v>
      </c>
      <c r="I8127" s="2" t="s">
        <v>12</v>
      </c>
      <c r="J8127" s="2" t="s">
        <v>12</v>
      </c>
      <c r="K8127" s="2" t="s">
        <v>12</v>
      </c>
    </row>
    <row r="8128" spans="1:11" ht="12.5" x14ac:dyDescent="0.25">
      <c r="A8128" s="3" t="e">
        <f ca="1"/>
        <v>#NAME?</v>
      </c>
      <c r="B8128" s="2" t="s">
        <v>12</v>
      </c>
      <c r="C8128" s="2" t="s">
        <v>12</v>
      </c>
      <c r="D8128" s="2" t="s">
        <v>12</v>
      </c>
      <c r="E8128" s="2" t="s">
        <v>12</v>
      </c>
      <c r="F8128" s="2" t="s">
        <v>12</v>
      </c>
      <c r="G8128" s="2" t="s">
        <v>12</v>
      </c>
      <c r="H8128" s="2" t="s">
        <v>12</v>
      </c>
      <c r="I8128" s="2" t="s">
        <v>12</v>
      </c>
      <c r="J8128" s="2" t="s">
        <v>12</v>
      </c>
      <c r="K8128" s="2" t="s">
        <v>12</v>
      </c>
    </row>
    <row r="8129" spans="1:11" ht="12.5" x14ac:dyDescent="0.25">
      <c r="A8129" s="3" t="e">
        <f ca="1"/>
        <v>#NAME?</v>
      </c>
      <c r="B8129" s="2" t="s">
        <v>12</v>
      </c>
      <c r="C8129" s="2" t="s">
        <v>12</v>
      </c>
      <c r="D8129" s="2" t="s">
        <v>12</v>
      </c>
      <c r="E8129" s="2" t="s">
        <v>12</v>
      </c>
      <c r="F8129" s="2" t="s">
        <v>12</v>
      </c>
      <c r="G8129" s="2" t="s">
        <v>12</v>
      </c>
      <c r="H8129" s="2" t="s">
        <v>12</v>
      </c>
      <c r="I8129" s="2" t="s">
        <v>12</v>
      </c>
      <c r="J8129" s="2" t="s">
        <v>12</v>
      </c>
      <c r="K8129" s="2" t="s">
        <v>12</v>
      </c>
    </row>
    <row r="8130" spans="1:11" ht="12.5" x14ac:dyDescent="0.25">
      <c r="A8130" s="3" t="e">
        <f ca="1"/>
        <v>#NAME?</v>
      </c>
      <c r="B8130" s="2" t="s">
        <v>12</v>
      </c>
      <c r="C8130" s="2" t="s">
        <v>12</v>
      </c>
      <c r="D8130" s="2" t="s">
        <v>12</v>
      </c>
      <c r="E8130" s="2" t="s">
        <v>12</v>
      </c>
      <c r="F8130" s="2" t="s">
        <v>12</v>
      </c>
      <c r="G8130" s="2" t="s">
        <v>12</v>
      </c>
      <c r="H8130" s="2" t="s">
        <v>12</v>
      </c>
      <c r="I8130" s="2" t="s">
        <v>12</v>
      </c>
      <c r="J8130" s="2" t="s">
        <v>12</v>
      </c>
      <c r="K8130" s="2" t="s">
        <v>12</v>
      </c>
    </row>
    <row r="8131" spans="1:11" ht="12.5" x14ac:dyDescent="0.25">
      <c r="A8131" s="3" t="e">
        <f ca="1"/>
        <v>#NAME?</v>
      </c>
      <c r="B8131" s="2" t="s">
        <v>12</v>
      </c>
      <c r="C8131" s="2" t="s">
        <v>12</v>
      </c>
      <c r="D8131" s="2" t="s">
        <v>12</v>
      </c>
      <c r="E8131" s="2" t="s">
        <v>12</v>
      </c>
      <c r="F8131" s="2" t="s">
        <v>12</v>
      </c>
      <c r="G8131" s="2" t="s">
        <v>12</v>
      </c>
      <c r="H8131" s="2" t="s">
        <v>12</v>
      </c>
      <c r="I8131" s="2" t="s">
        <v>12</v>
      </c>
      <c r="J8131" s="2" t="s">
        <v>12</v>
      </c>
      <c r="K8131" s="2" t="s">
        <v>12</v>
      </c>
    </row>
    <row r="8132" spans="1:11" ht="12.5" x14ac:dyDescent="0.25">
      <c r="A8132" s="3" t="e">
        <f ca="1"/>
        <v>#NAME?</v>
      </c>
      <c r="B8132" s="2" t="s">
        <v>12</v>
      </c>
      <c r="C8132" s="2" t="s">
        <v>12</v>
      </c>
      <c r="D8132" s="2" t="s">
        <v>12</v>
      </c>
      <c r="E8132" s="2" t="s">
        <v>12</v>
      </c>
      <c r="F8132" s="2" t="s">
        <v>12</v>
      </c>
      <c r="G8132" s="2" t="s">
        <v>12</v>
      </c>
      <c r="H8132" s="2" t="s">
        <v>12</v>
      </c>
      <c r="I8132" s="2" t="s">
        <v>12</v>
      </c>
      <c r="J8132" s="2" t="s">
        <v>12</v>
      </c>
      <c r="K8132" s="2" t="s">
        <v>12</v>
      </c>
    </row>
    <row r="8133" spans="1:11" ht="12.5" x14ac:dyDescent="0.25">
      <c r="A8133" s="3" t="e">
        <f ca="1"/>
        <v>#NAME?</v>
      </c>
      <c r="B8133" s="2" t="s">
        <v>12</v>
      </c>
      <c r="C8133" s="2" t="s">
        <v>12</v>
      </c>
      <c r="D8133" s="2" t="s">
        <v>12</v>
      </c>
      <c r="E8133" s="2" t="s">
        <v>12</v>
      </c>
      <c r="F8133" s="2" t="s">
        <v>12</v>
      </c>
      <c r="G8133" s="2" t="s">
        <v>12</v>
      </c>
      <c r="H8133" s="2" t="s">
        <v>12</v>
      </c>
      <c r="I8133" s="2" t="s">
        <v>12</v>
      </c>
      <c r="J8133" s="2" t="s">
        <v>12</v>
      </c>
      <c r="K8133" s="2" t="s">
        <v>12</v>
      </c>
    </row>
    <row r="8134" spans="1:11" ht="12.5" x14ac:dyDescent="0.25">
      <c r="A8134" s="3" t="e">
        <f ca="1"/>
        <v>#NAME?</v>
      </c>
      <c r="B8134" s="2" t="s">
        <v>12</v>
      </c>
      <c r="C8134" s="2" t="s">
        <v>12</v>
      </c>
      <c r="D8134" s="2" t="s">
        <v>12</v>
      </c>
      <c r="E8134" s="2" t="s">
        <v>12</v>
      </c>
      <c r="F8134" s="2" t="s">
        <v>12</v>
      </c>
      <c r="G8134" s="2" t="s">
        <v>12</v>
      </c>
      <c r="H8134" s="2" t="s">
        <v>12</v>
      </c>
      <c r="I8134" s="2" t="s">
        <v>12</v>
      </c>
      <c r="J8134" s="2" t="s">
        <v>12</v>
      </c>
      <c r="K8134" s="2" t="s">
        <v>12</v>
      </c>
    </row>
    <row r="8135" spans="1:11" ht="12.5" x14ac:dyDescent="0.25">
      <c r="A8135" s="3" t="e">
        <f ca="1"/>
        <v>#NAME?</v>
      </c>
      <c r="B8135" s="2" t="s">
        <v>12</v>
      </c>
      <c r="C8135" s="2" t="s">
        <v>12</v>
      </c>
      <c r="D8135" s="2" t="s">
        <v>12</v>
      </c>
      <c r="E8135" s="2" t="s">
        <v>12</v>
      </c>
      <c r="F8135" s="2" t="s">
        <v>12</v>
      </c>
      <c r="G8135" s="2" t="s">
        <v>12</v>
      </c>
      <c r="H8135" s="2" t="s">
        <v>12</v>
      </c>
      <c r="I8135" s="2" t="s">
        <v>12</v>
      </c>
      <c r="J8135" s="2" t="s">
        <v>12</v>
      </c>
      <c r="K8135" s="2" t="s">
        <v>12</v>
      </c>
    </row>
    <row r="8136" spans="1:11" ht="12.5" x14ac:dyDescent="0.25">
      <c r="A8136" s="3" t="e">
        <f ca="1"/>
        <v>#NAME?</v>
      </c>
      <c r="B8136" s="2" t="s">
        <v>12</v>
      </c>
      <c r="C8136" s="2" t="s">
        <v>12</v>
      </c>
      <c r="D8136" s="2" t="s">
        <v>12</v>
      </c>
      <c r="E8136" s="2" t="s">
        <v>12</v>
      </c>
      <c r="F8136" s="2" t="s">
        <v>12</v>
      </c>
      <c r="G8136" s="2" t="s">
        <v>12</v>
      </c>
      <c r="H8136" s="2" t="s">
        <v>12</v>
      </c>
      <c r="I8136" s="2" t="s">
        <v>12</v>
      </c>
      <c r="J8136" s="2" t="s">
        <v>12</v>
      </c>
      <c r="K8136" s="2" t="s">
        <v>12</v>
      </c>
    </row>
    <row r="8137" spans="1:11" ht="12.5" x14ac:dyDescent="0.25">
      <c r="A8137" s="3" t="e">
        <f ca="1"/>
        <v>#NAME?</v>
      </c>
      <c r="B8137" s="2" t="s">
        <v>12</v>
      </c>
      <c r="C8137" s="2" t="s">
        <v>12</v>
      </c>
      <c r="D8137" s="2" t="s">
        <v>12</v>
      </c>
      <c r="E8137" s="2" t="s">
        <v>12</v>
      </c>
      <c r="F8137" s="2" t="s">
        <v>12</v>
      </c>
      <c r="G8137" s="2" t="s">
        <v>12</v>
      </c>
      <c r="H8137" s="2" t="s">
        <v>12</v>
      </c>
      <c r="I8137" s="2" t="s">
        <v>12</v>
      </c>
      <c r="J8137" s="2" t="s">
        <v>12</v>
      </c>
      <c r="K8137" s="2" t="s">
        <v>12</v>
      </c>
    </row>
    <row r="8138" spans="1:11" ht="12.5" x14ac:dyDescent="0.25">
      <c r="A8138" s="3" t="e">
        <f ca="1"/>
        <v>#NAME?</v>
      </c>
      <c r="B8138" s="2" t="s">
        <v>12</v>
      </c>
      <c r="C8138" s="2" t="s">
        <v>12</v>
      </c>
      <c r="D8138" s="2" t="s">
        <v>12</v>
      </c>
      <c r="E8138" s="2" t="s">
        <v>12</v>
      </c>
      <c r="F8138" s="2" t="s">
        <v>12</v>
      </c>
      <c r="G8138" s="2" t="s">
        <v>12</v>
      </c>
      <c r="H8138" s="2" t="s">
        <v>12</v>
      </c>
      <c r="I8138" s="2" t="s">
        <v>12</v>
      </c>
      <c r="J8138" s="2" t="s">
        <v>12</v>
      </c>
      <c r="K8138" s="2" t="s">
        <v>12</v>
      </c>
    </row>
    <row r="8139" spans="1:11" ht="12.5" x14ac:dyDescent="0.25">
      <c r="A8139" s="3" t="e">
        <f ca="1"/>
        <v>#NAME?</v>
      </c>
      <c r="B8139" s="2" t="s">
        <v>12</v>
      </c>
      <c r="C8139" s="2" t="s">
        <v>12</v>
      </c>
      <c r="D8139" s="2" t="s">
        <v>12</v>
      </c>
      <c r="E8139" s="2" t="s">
        <v>12</v>
      </c>
      <c r="F8139" s="2" t="s">
        <v>12</v>
      </c>
      <c r="G8139" s="2" t="s">
        <v>12</v>
      </c>
      <c r="H8139" s="2" t="s">
        <v>12</v>
      </c>
      <c r="I8139" s="2" t="s">
        <v>12</v>
      </c>
      <c r="J8139" s="2" t="s">
        <v>12</v>
      </c>
      <c r="K8139" s="2" t="s">
        <v>12</v>
      </c>
    </row>
    <row r="8140" spans="1:11" ht="12.5" x14ac:dyDescent="0.25">
      <c r="A8140" s="3" t="e">
        <f ca="1"/>
        <v>#NAME?</v>
      </c>
      <c r="B8140" s="2" t="s">
        <v>12</v>
      </c>
      <c r="C8140" s="2" t="s">
        <v>12</v>
      </c>
      <c r="D8140" s="2" t="s">
        <v>12</v>
      </c>
      <c r="E8140" s="2" t="s">
        <v>12</v>
      </c>
      <c r="F8140" s="2" t="s">
        <v>12</v>
      </c>
      <c r="G8140" s="2" t="s">
        <v>12</v>
      </c>
      <c r="H8140" s="2" t="s">
        <v>12</v>
      </c>
      <c r="I8140" s="2" t="s">
        <v>12</v>
      </c>
      <c r="J8140" s="2" t="s">
        <v>12</v>
      </c>
      <c r="K8140" s="2" t="s">
        <v>12</v>
      </c>
    </row>
    <row r="8141" spans="1:11" ht="12.5" x14ac:dyDescent="0.25">
      <c r="A8141" s="3" t="e">
        <f ca="1"/>
        <v>#NAME?</v>
      </c>
      <c r="B8141" s="2" t="s">
        <v>12</v>
      </c>
      <c r="C8141" s="2" t="s">
        <v>12</v>
      </c>
      <c r="D8141" s="2" t="s">
        <v>12</v>
      </c>
      <c r="E8141" s="2" t="s">
        <v>12</v>
      </c>
      <c r="F8141" s="2" t="s">
        <v>12</v>
      </c>
      <c r="G8141" s="2" t="s">
        <v>12</v>
      </c>
      <c r="H8141" s="2" t="s">
        <v>12</v>
      </c>
      <c r="I8141" s="2" t="s">
        <v>12</v>
      </c>
      <c r="J8141" s="2" t="s">
        <v>12</v>
      </c>
      <c r="K8141" s="2" t="s">
        <v>12</v>
      </c>
    </row>
    <row r="8142" spans="1:11" ht="12.5" x14ac:dyDescent="0.25">
      <c r="A8142" s="3" t="e">
        <f ca="1"/>
        <v>#NAME?</v>
      </c>
      <c r="B8142" s="2" t="s">
        <v>12</v>
      </c>
      <c r="C8142" s="2" t="s">
        <v>12</v>
      </c>
      <c r="D8142" s="2" t="s">
        <v>12</v>
      </c>
      <c r="E8142" s="2" t="s">
        <v>12</v>
      </c>
      <c r="F8142" s="2" t="s">
        <v>12</v>
      </c>
      <c r="G8142" s="2" t="s">
        <v>12</v>
      </c>
      <c r="H8142" s="2" t="s">
        <v>12</v>
      </c>
      <c r="I8142" s="2" t="s">
        <v>12</v>
      </c>
      <c r="J8142" s="2" t="s">
        <v>12</v>
      </c>
      <c r="K8142" s="2" t="s">
        <v>12</v>
      </c>
    </row>
    <row r="8143" spans="1:11" ht="12.5" x14ac:dyDescent="0.25">
      <c r="A8143" s="3" t="e">
        <f ca="1"/>
        <v>#NAME?</v>
      </c>
      <c r="B8143" s="2" t="s">
        <v>12</v>
      </c>
      <c r="C8143" s="2" t="s">
        <v>12</v>
      </c>
      <c r="D8143" s="2" t="s">
        <v>12</v>
      </c>
      <c r="E8143" s="2" t="s">
        <v>12</v>
      </c>
      <c r="F8143" s="2" t="s">
        <v>12</v>
      </c>
      <c r="G8143" s="2" t="s">
        <v>12</v>
      </c>
      <c r="H8143" s="2" t="s">
        <v>12</v>
      </c>
      <c r="I8143" s="2" t="s">
        <v>12</v>
      </c>
      <c r="J8143" s="2" t="s">
        <v>12</v>
      </c>
      <c r="K8143" s="2" t="s">
        <v>12</v>
      </c>
    </row>
    <row r="8144" spans="1:11" ht="12.5" x14ac:dyDescent="0.25">
      <c r="A8144" s="3" t="e">
        <f ca="1"/>
        <v>#NAME?</v>
      </c>
      <c r="B8144" s="2" t="s">
        <v>12</v>
      </c>
      <c r="C8144" s="2" t="s">
        <v>12</v>
      </c>
      <c r="D8144" s="2" t="s">
        <v>12</v>
      </c>
      <c r="E8144" s="2" t="s">
        <v>12</v>
      </c>
      <c r="F8144" s="2" t="s">
        <v>12</v>
      </c>
      <c r="G8144" s="2" t="s">
        <v>12</v>
      </c>
      <c r="H8144" s="2" t="s">
        <v>12</v>
      </c>
      <c r="I8144" s="2" t="s">
        <v>12</v>
      </c>
      <c r="J8144" s="2" t="s">
        <v>12</v>
      </c>
      <c r="K8144" s="2" t="s">
        <v>12</v>
      </c>
    </row>
    <row r="8145" spans="1:11" ht="12.5" x14ac:dyDescent="0.25">
      <c r="A8145" s="3" t="e">
        <f ca="1"/>
        <v>#NAME?</v>
      </c>
      <c r="B8145" s="2" t="s">
        <v>12</v>
      </c>
      <c r="C8145" s="2" t="s">
        <v>12</v>
      </c>
      <c r="D8145" s="2" t="s">
        <v>12</v>
      </c>
      <c r="E8145" s="2" t="s">
        <v>12</v>
      </c>
      <c r="F8145" s="2" t="s">
        <v>12</v>
      </c>
      <c r="G8145" s="2" t="s">
        <v>12</v>
      </c>
      <c r="H8145" s="2" t="s">
        <v>12</v>
      </c>
      <c r="I8145" s="2" t="s">
        <v>12</v>
      </c>
      <c r="J8145" s="2" t="s">
        <v>12</v>
      </c>
      <c r="K8145" s="2" t="s">
        <v>12</v>
      </c>
    </row>
    <row r="8146" spans="1:11" ht="12.5" x14ac:dyDescent="0.25">
      <c r="A8146" s="3" t="e">
        <f ca="1"/>
        <v>#NAME?</v>
      </c>
      <c r="B8146" s="2" t="s">
        <v>12</v>
      </c>
      <c r="C8146" s="2" t="s">
        <v>12</v>
      </c>
      <c r="D8146" s="2" t="s">
        <v>12</v>
      </c>
      <c r="E8146" s="2" t="s">
        <v>12</v>
      </c>
      <c r="F8146" s="2" t="s">
        <v>12</v>
      </c>
      <c r="G8146" s="2" t="s">
        <v>12</v>
      </c>
      <c r="H8146" s="2" t="s">
        <v>12</v>
      </c>
      <c r="I8146" s="2" t="s">
        <v>12</v>
      </c>
      <c r="J8146" s="2" t="s">
        <v>12</v>
      </c>
      <c r="K8146" s="2" t="s">
        <v>12</v>
      </c>
    </row>
    <row r="8147" spans="1:11" ht="12.5" x14ac:dyDescent="0.25">
      <c r="A8147" s="3" t="e">
        <f ca="1"/>
        <v>#NAME?</v>
      </c>
      <c r="B8147" s="2" t="s">
        <v>12</v>
      </c>
      <c r="C8147" s="2" t="s">
        <v>12</v>
      </c>
      <c r="D8147" s="2" t="s">
        <v>12</v>
      </c>
      <c r="E8147" s="2" t="s">
        <v>12</v>
      </c>
      <c r="F8147" s="2" t="s">
        <v>12</v>
      </c>
      <c r="G8147" s="2" t="s">
        <v>12</v>
      </c>
      <c r="H8147" s="2" t="s">
        <v>12</v>
      </c>
      <c r="I8147" s="2" t="s">
        <v>12</v>
      </c>
      <c r="J8147" s="2" t="s">
        <v>12</v>
      </c>
      <c r="K8147" s="2" t="s">
        <v>12</v>
      </c>
    </row>
    <row r="8148" spans="1:11" ht="12.5" x14ac:dyDescent="0.25">
      <c r="A8148" s="3" t="e">
        <f ca="1"/>
        <v>#NAME?</v>
      </c>
      <c r="B8148" s="2" t="s">
        <v>12</v>
      </c>
      <c r="C8148" s="2" t="s">
        <v>12</v>
      </c>
      <c r="D8148" s="2" t="s">
        <v>12</v>
      </c>
      <c r="E8148" s="2" t="s">
        <v>12</v>
      </c>
      <c r="F8148" s="2" t="s">
        <v>12</v>
      </c>
      <c r="G8148" s="2" t="s">
        <v>12</v>
      </c>
      <c r="H8148" s="2" t="s">
        <v>12</v>
      </c>
      <c r="I8148" s="2" t="s">
        <v>12</v>
      </c>
      <c r="J8148" s="2" t="s">
        <v>12</v>
      </c>
      <c r="K8148" s="2" t="s">
        <v>12</v>
      </c>
    </row>
    <row r="8149" spans="1:11" ht="12.5" x14ac:dyDescent="0.25">
      <c r="A8149" s="3" t="e">
        <f ca="1"/>
        <v>#NAME?</v>
      </c>
      <c r="B8149" s="2" t="s">
        <v>12</v>
      </c>
      <c r="C8149" s="2" t="s">
        <v>12</v>
      </c>
      <c r="D8149" s="2" t="s">
        <v>12</v>
      </c>
      <c r="E8149" s="2" t="s">
        <v>12</v>
      </c>
      <c r="F8149" s="2" t="s">
        <v>12</v>
      </c>
      <c r="G8149" s="2" t="s">
        <v>12</v>
      </c>
      <c r="H8149" s="2" t="s">
        <v>12</v>
      </c>
      <c r="I8149" s="2" t="s">
        <v>12</v>
      </c>
      <c r="J8149" s="2" t="s">
        <v>12</v>
      </c>
      <c r="K8149" s="2" t="s">
        <v>12</v>
      </c>
    </row>
    <row r="8150" spans="1:11" ht="12.5" x14ac:dyDescent="0.25">
      <c r="A8150" s="3" t="e">
        <f ca="1"/>
        <v>#NAME?</v>
      </c>
      <c r="B8150" s="2" t="s">
        <v>12</v>
      </c>
      <c r="C8150" s="2" t="s">
        <v>12</v>
      </c>
      <c r="D8150" s="2" t="s">
        <v>12</v>
      </c>
      <c r="E8150" s="2" t="s">
        <v>12</v>
      </c>
      <c r="F8150" s="2" t="s">
        <v>12</v>
      </c>
      <c r="G8150" s="2" t="s">
        <v>12</v>
      </c>
      <c r="H8150" s="2" t="s">
        <v>12</v>
      </c>
      <c r="I8150" s="2" t="s">
        <v>12</v>
      </c>
      <c r="J8150" s="2" t="s">
        <v>12</v>
      </c>
      <c r="K8150" s="2" t="s">
        <v>12</v>
      </c>
    </row>
    <row r="8151" spans="1:11" ht="12.5" x14ac:dyDescent="0.25">
      <c r="A8151" s="3" t="e">
        <f ca="1"/>
        <v>#NAME?</v>
      </c>
      <c r="B8151" s="2" t="s">
        <v>12</v>
      </c>
      <c r="C8151" s="2" t="s">
        <v>12</v>
      </c>
      <c r="D8151" s="2" t="s">
        <v>12</v>
      </c>
      <c r="E8151" s="2" t="s">
        <v>12</v>
      </c>
      <c r="F8151" s="2" t="s">
        <v>12</v>
      </c>
      <c r="G8151" s="2" t="s">
        <v>12</v>
      </c>
      <c r="H8151" s="2" t="s">
        <v>12</v>
      </c>
      <c r="I8151" s="2" t="s">
        <v>12</v>
      </c>
      <c r="J8151" s="2" t="s">
        <v>12</v>
      </c>
      <c r="K8151" s="2" t="s">
        <v>12</v>
      </c>
    </row>
    <row r="8152" spans="1:11" ht="12.5" x14ac:dyDescent="0.25">
      <c r="A8152" s="3" t="e">
        <f ca="1"/>
        <v>#NAME?</v>
      </c>
      <c r="B8152" s="2" t="s">
        <v>12</v>
      </c>
      <c r="C8152" s="2" t="s">
        <v>12</v>
      </c>
      <c r="D8152" s="2" t="s">
        <v>12</v>
      </c>
      <c r="E8152" s="2" t="s">
        <v>12</v>
      </c>
      <c r="F8152" s="2" t="s">
        <v>12</v>
      </c>
      <c r="G8152" s="2" t="s">
        <v>12</v>
      </c>
      <c r="H8152" s="2" t="s">
        <v>12</v>
      </c>
      <c r="I8152" s="2" t="s">
        <v>12</v>
      </c>
      <c r="J8152" s="2" t="s">
        <v>12</v>
      </c>
      <c r="K8152" s="2" t="s">
        <v>12</v>
      </c>
    </row>
    <row r="8153" spans="1:11" ht="12.5" x14ac:dyDescent="0.25">
      <c r="A8153" s="3" t="e">
        <f ca="1"/>
        <v>#NAME?</v>
      </c>
      <c r="B8153" s="2" t="s">
        <v>12</v>
      </c>
      <c r="C8153" s="2" t="s">
        <v>12</v>
      </c>
      <c r="D8153" s="2" t="s">
        <v>12</v>
      </c>
      <c r="E8153" s="2" t="s">
        <v>12</v>
      </c>
      <c r="F8153" s="2" t="s">
        <v>12</v>
      </c>
      <c r="G8153" s="2" t="s">
        <v>12</v>
      </c>
      <c r="H8153" s="2" t="s">
        <v>12</v>
      </c>
      <c r="I8153" s="2" t="s">
        <v>12</v>
      </c>
      <c r="J8153" s="2" t="s">
        <v>12</v>
      </c>
      <c r="K8153" s="2" t="s">
        <v>12</v>
      </c>
    </row>
    <row r="8154" spans="1:11" ht="12.5" x14ac:dyDescent="0.25">
      <c r="A8154" s="3" t="e">
        <f ca="1"/>
        <v>#NAME?</v>
      </c>
      <c r="B8154" s="2" t="s">
        <v>12</v>
      </c>
      <c r="C8154" s="2" t="s">
        <v>12</v>
      </c>
      <c r="D8154" s="2" t="s">
        <v>12</v>
      </c>
      <c r="E8154" s="2" t="s">
        <v>12</v>
      </c>
      <c r="F8154" s="2" t="s">
        <v>12</v>
      </c>
      <c r="G8154" s="2" t="s">
        <v>12</v>
      </c>
      <c r="H8154" s="2" t="s">
        <v>12</v>
      </c>
      <c r="I8154" s="2" t="s">
        <v>12</v>
      </c>
      <c r="J8154" s="2" t="s">
        <v>12</v>
      </c>
      <c r="K8154" s="2" t="s">
        <v>12</v>
      </c>
    </row>
    <row r="8155" spans="1:11" ht="12.5" x14ac:dyDescent="0.25">
      <c r="A8155" s="3" t="e">
        <f ca="1"/>
        <v>#NAME?</v>
      </c>
      <c r="B8155" s="2" t="s">
        <v>12</v>
      </c>
      <c r="C8155" s="2" t="s">
        <v>12</v>
      </c>
      <c r="D8155" s="2" t="s">
        <v>12</v>
      </c>
      <c r="E8155" s="2" t="s">
        <v>12</v>
      </c>
      <c r="F8155" s="2" t="s">
        <v>12</v>
      </c>
      <c r="G8155" s="2" t="s">
        <v>12</v>
      </c>
      <c r="H8155" s="2" t="s">
        <v>12</v>
      </c>
      <c r="I8155" s="2" t="s">
        <v>12</v>
      </c>
      <c r="J8155" s="2" t="s">
        <v>12</v>
      </c>
      <c r="K8155" s="2" t="s">
        <v>12</v>
      </c>
    </row>
    <row r="8156" spans="1:11" ht="12.5" x14ac:dyDescent="0.25">
      <c r="A8156" s="3" t="e">
        <f ca="1"/>
        <v>#NAME?</v>
      </c>
      <c r="B8156" s="2" t="s">
        <v>12</v>
      </c>
      <c r="C8156" s="2" t="s">
        <v>12</v>
      </c>
      <c r="D8156" s="2" t="s">
        <v>12</v>
      </c>
      <c r="E8156" s="2" t="s">
        <v>12</v>
      </c>
      <c r="F8156" s="2" t="s">
        <v>12</v>
      </c>
      <c r="G8156" s="2" t="s">
        <v>12</v>
      </c>
      <c r="H8156" s="2" t="s">
        <v>12</v>
      </c>
      <c r="I8156" s="2" t="s">
        <v>12</v>
      </c>
      <c r="J8156" s="2" t="s">
        <v>12</v>
      </c>
      <c r="K8156" s="2" t="s">
        <v>12</v>
      </c>
    </row>
    <row r="8157" spans="1:11" ht="12.5" x14ac:dyDescent="0.25">
      <c r="A8157" s="3" t="e">
        <f ca="1"/>
        <v>#NAME?</v>
      </c>
      <c r="B8157" s="2" t="s">
        <v>12</v>
      </c>
      <c r="C8157" s="2" t="s">
        <v>12</v>
      </c>
      <c r="D8157" s="2" t="s">
        <v>12</v>
      </c>
      <c r="E8157" s="2" t="s">
        <v>12</v>
      </c>
      <c r="F8157" s="2" t="s">
        <v>12</v>
      </c>
      <c r="G8157" s="2" t="s">
        <v>12</v>
      </c>
      <c r="H8157" s="2" t="s">
        <v>12</v>
      </c>
      <c r="I8157" s="2" t="s">
        <v>12</v>
      </c>
      <c r="J8157" s="2" t="s">
        <v>12</v>
      </c>
      <c r="K8157" s="2" t="s">
        <v>12</v>
      </c>
    </row>
    <row r="8158" spans="1:11" ht="12.5" x14ac:dyDescent="0.25">
      <c r="A8158" s="3" t="e">
        <f ca="1"/>
        <v>#NAME?</v>
      </c>
      <c r="B8158" s="2" t="s">
        <v>12</v>
      </c>
      <c r="C8158" s="2" t="s">
        <v>12</v>
      </c>
      <c r="D8158" s="2" t="s">
        <v>12</v>
      </c>
      <c r="E8158" s="2" t="s">
        <v>12</v>
      </c>
      <c r="F8158" s="2" t="s">
        <v>12</v>
      </c>
      <c r="G8158" s="2" t="s">
        <v>12</v>
      </c>
      <c r="H8158" s="2" t="s">
        <v>12</v>
      </c>
      <c r="I8158" s="2" t="s">
        <v>12</v>
      </c>
      <c r="J8158" s="2" t="s">
        <v>12</v>
      </c>
      <c r="K8158" s="2" t="s">
        <v>12</v>
      </c>
    </row>
    <row r="8159" spans="1:11" ht="12.5" x14ac:dyDescent="0.25">
      <c r="A8159" s="3" t="e">
        <f ca="1"/>
        <v>#NAME?</v>
      </c>
      <c r="B8159" s="2" t="s">
        <v>12</v>
      </c>
      <c r="C8159" s="2" t="s">
        <v>12</v>
      </c>
      <c r="D8159" s="2" t="s">
        <v>12</v>
      </c>
      <c r="E8159" s="2" t="s">
        <v>12</v>
      </c>
      <c r="F8159" s="2" t="s">
        <v>12</v>
      </c>
      <c r="G8159" s="2" t="s">
        <v>12</v>
      </c>
      <c r="H8159" s="2" t="s">
        <v>12</v>
      </c>
      <c r="I8159" s="2" t="s">
        <v>12</v>
      </c>
      <c r="J8159" s="2" t="s">
        <v>12</v>
      </c>
      <c r="K8159" s="2" t="s">
        <v>12</v>
      </c>
    </row>
    <row r="8160" spans="1:11" ht="12.5" x14ac:dyDescent="0.25">
      <c r="A8160" s="3" t="e">
        <f ca="1"/>
        <v>#NAME?</v>
      </c>
      <c r="B8160" s="2" t="s">
        <v>12</v>
      </c>
      <c r="C8160" s="2" t="s">
        <v>12</v>
      </c>
      <c r="D8160" s="2" t="s">
        <v>12</v>
      </c>
      <c r="E8160" s="2" t="s">
        <v>12</v>
      </c>
      <c r="F8160" s="2" t="s">
        <v>12</v>
      </c>
      <c r="G8160" s="2" t="s">
        <v>12</v>
      </c>
      <c r="H8160" s="2" t="s">
        <v>12</v>
      </c>
      <c r="I8160" s="2" t="s">
        <v>12</v>
      </c>
      <c r="J8160" s="2" t="s">
        <v>12</v>
      </c>
      <c r="K8160" s="2" t="s">
        <v>12</v>
      </c>
    </row>
    <row r="8161" spans="1:11" ht="12.5" x14ac:dyDescent="0.25">
      <c r="A8161" s="3" t="e">
        <f ca="1"/>
        <v>#NAME?</v>
      </c>
      <c r="B8161" s="2" t="s">
        <v>12</v>
      </c>
      <c r="C8161" s="2" t="s">
        <v>12</v>
      </c>
      <c r="D8161" s="2" t="s">
        <v>12</v>
      </c>
      <c r="E8161" s="2" t="s">
        <v>12</v>
      </c>
      <c r="F8161" s="2" t="s">
        <v>12</v>
      </c>
      <c r="G8161" s="2" t="s">
        <v>12</v>
      </c>
      <c r="H8161" s="2" t="s">
        <v>12</v>
      </c>
      <c r="I8161" s="2" t="s">
        <v>12</v>
      </c>
      <c r="J8161" s="2" t="s">
        <v>12</v>
      </c>
      <c r="K8161" s="2" t="s">
        <v>12</v>
      </c>
    </row>
    <row r="8162" spans="1:11" ht="12.5" x14ac:dyDescent="0.25">
      <c r="A8162" s="3" t="e">
        <f ca="1"/>
        <v>#NAME?</v>
      </c>
      <c r="B8162" s="2" t="s">
        <v>12</v>
      </c>
      <c r="C8162" s="2" t="s">
        <v>12</v>
      </c>
      <c r="D8162" s="2" t="s">
        <v>12</v>
      </c>
      <c r="E8162" s="2" t="s">
        <v>12</v>
      </c>
      <c r="F8162" s="2" t="s">
        <v>12</v>
      </c>
      <c r="G8162" s="2" t="s">
        <v>12</v>
      </c>
      <c r="H8162" s="2" t="s">
        <v>12</v>
      </c>
      <c r="I8162" s="2" t="s">
        <v>12</v>
      </c>
      <c r="J8162" s="2" t="s">
        <v>12</v>
      </c>
      <c r="K8162" s="2" t="s">
        <v>12</v>
      </c>
    </row>
    <row r="8163" spans="1:11" ht="12.5" x14ac:dyDescent="0.25">
      <c r="A8163" s="3" t="e">
        <f ca="1"/>
        <v>#NAME?</v>
      </c>
      <c r="B8163" s="2" t="s">
        <v>12</v>
      </c>
      <c r="C8163" s="2" t="s">
        <v>12</v>
      </c>
      <c r="D8163" s="2" t="s">
        <v>12</v>
      </c>
      <c r="E8163" s="2" t="s">
        <v>12</v>
      </c>
      <c r="F8163" s="2" t="s">
        <v>12</v>
      </c>
      <c r="G8163" s="2" t="s">
        <v>12</v>
      </c>
      <c r="H8163" s="2" t="s">
        <v>12</v>
      </c>
      <c r="I8163" s="2" t="s">
        <v>12</v>
      </c>
      <c r="J8163" s="2" t="s">
        <v>12</v>
      </c>
      <c r="K8163" s="2" t="s">
        <v>12</v>
      </c>
    </row>
    <row r="8164" spans="1:11" ht="12.5" x14ac:dyDescent="0.25">
      <c r="A8164" s="3" t="e">
        <f ca="1"/>
        <v>#NAME?</v>
      </c>
      <c r="B8164" s="2" t="s">
        <v>12</v>
      </c>
      <c r="C8164" s="2" t="s">
        <v>12</v>
      </c>
      <c r="D8164" s="2" t="s">
        <v>12</v>
      </c>
      <c r="E8164" s="2" t="s">
        <v>12</v>
      </c>
      <c r="F8164" s="2" t="s">
        <v>12</v>
      </c>
      <c r="G8164" s="2" t="s">
        <v>12</v>
      </c>
      <c r="H8164" s="2" t="s">
        <v>12</v>
      </c>
      <c r="I8164" s="2" t="s">
        <v>12</v>
      </c>
      <c r="J8164" s="2" t="s">
        <v>12</v>
      </c>
      <c r="K8164" s="2" t="s">
        <v>12</v>
      </c>
    </row>
    <row r="8165" spans="1:11" ht="12.5" x14ac:dyDescent="0.25">
      <c r="A8165" s="3" t="e">
        <f ca="1"/>
        <v>#NAME?</v>
      </c>
      <c r="B8165" s="2" t="s">
        <v>12</v>
      </c>
      <c r="C8165" s="2" t="s">
        <v>12</v>
      </c>
      <c r="D8165" s="2" t="s">
        <v>12</v>
      </c>
      <c r="E8165" s="2" t="s">
        <v>12</v>
      </c>
      <c r="F8165" s="2" t="s">
        <v>12</v>
      </c>
      <c r="G8165" s="2" t="s">
        <v>12</v>
      </c>
      <c r="H8165" s="2" t="s">
        <v>12</v>
      </c>
      <c r="I8165" s="2" t="s">
        <v>12</v>
      </c>
      <c r="J8165" s="2" t="s">
        <v>12</v>
      </c>
      <c r="K8165" s="2" t="s">
        <v>12</v>
      </c>
    </row>
    <row r="8166" spans="1:11" ht="12.5" x14ac:dyDescent="0.25">
      <c r="A8166" s="3" t="e">
        <f ca="1"/>
        <v>#NAME?</v>
      </c>
      <c r="B8166" s="2" t="s">
        <v>12</v>
      </c>
      <c r="C8166" s="2" t="s">
        <v>12</v>
      </c>
      <c r="D8166" s="2" t="s">
        <v>12</v>
      </c>
      <c r="E8166" s="2" t="s">
        <v>12</v>
      </c>
      <c r="F8166" s="2" t="s">
        <v>12</v>
      </c>
      <c r="G8166" s="2" t="s">
        <v>12</v>
      </c>
      <c r="H8166" s="2" t="s">
        <v>12</v>
      </c>
      <c r="I8166" s="2" t="s">
        <v>12</v>
      </c>
      <c r="J8166" s="2" t="s">
        <v>12</v>
      </c>
      <c r="K8166" s="2" t="s">
        <v>12</v>
      </c>
    </row>
    <row r="8167" spans="1:11" ht="12.5" x14ac:dyDescent="0.25">
      <c r="A8167" s="3" t="e">
        <f ca="1"/>
        <v>#NAME?</v>
      </c>
      <c r="B8167" s="2" t="s">
        <v>12</v>
      </c>
      <c r="C8167" s="2" t="s">
        <v>12</v>
      </c>
      <c r="D8167" s="2" t="s">
        <v>12</v>
      </c>
      <c r="E8167" s="2" t="s">
        <v>12</v>
      </c>
      <c r="F8167" s="2" t="s">
        <v>12</v>
      </c>
      <c r="G8167" s="2" t="s">
        <v>12</v>
      </c>
      <c r="H8167" s="2" t="s">
        <v>12</v>
      </c>
      <c r="I8167" s="2" t="s">
        <v>12</v>
      </c>
      <c r="J8167" s="2" t="s">
        <v>12</v>
      </c>
      <c r="K8167" s="2" t="s">
        <v>12</v>
      </c>
    </row>
    <row r="8168" spans="1:11" ht="12.5" x14ac:dyDescent="0.25">
      <c r="A8168" s="3" t="e">
        <f ca="1"/>
        <v>#NAME?</v>
      </c>
      <c r="B8168" s="2" t="s">
        <v>12</v>
      </c>
      <c r="C8168" s="2" t="s">
        <v>12</v>
      </c>
      <c r="D8168" s="2" t="s">
        <v>12</v>
      </c>
      <c r="E8168" s="2" t="s">
        <v>12</v>
      </c>
      <c r="F8168" s="2" t="s">
        <v>12</v>
      </c>
      <c r="G8168" s="2" t="s">
        <v>12</v>
      </c>
      <c r="H8168" s="2" t="s">
        <v>12</v>
      </c>
      <c r="I8168" s="2" t="s">
        <v>12</v>
      </c>
      <c r="J8168" s="2" t="s">
        <v>12</v>
      </c>
      <c r="K8168" s="2" t="s">
        <v>12</v>
      </c>
    </row>
    <row r="8169" spans="1:11" ht="12.5" x14ac:dyDescent="0.25">
      <c r="A8169" s="3" t="e">
        <f ca="1"/>
        <v>#NAME?</v>
      </c>
      <c r="B8169" s="2" t="s">
        <v>12</v>
      </c>
      <c r="C8169" s="2" t="s">
        <v>12</v>
      </c>
      <c r="D8169" s="2" t="s">
        <v>12</v>
      </c>
      <c r="E8169" s="2" t="s">
        <v>12</v>
      </c>
      <c r="F8169" s="2" t="s">
        <v>12</v>
      </c>
      <c r="G8169" s="2" t="s">
        <v>12</v>
      </c>
      <c r="H8169" s="2" t="s">
        <v>12</v>
      </c>
      <c r="I8169" s="2" t="s">
        <v>12</v>
      </c>
      <c r="J8169" s="2" t="s">
        <v>12</v>
      </c>
      <c r="K8169" s="2" t="s">
        <v>12</v>
      </c>
    </row>
    <row r="8170" spans="1:11" ht="12.5" x14ac:dyDescent="0.25">
      <c r="A8170" s="3" t="e">
        <f ca="1"/>
        <v>#NAME?</v>
      </c>
      <c r="B8170" s="2" t="s">
        <v>12</v>
      </c>
      <c r="C8170" s="2" t="s">
        <v>12</v>
      </c>
      <c r="D8170" s="2" t="s">
        <v>12</v>
      </c>
      <c r="E8170" s="2" t="s">
        <v>12</v>
      </c>
      <c r="F8170" s="2" t="s">
        <v>12</v>
      </c>
      <c r="G8170" s="2" t="s">
        <v>12</v>
      </c>
      <c r="H8170" s="2" t="s">
        <v>12</v>
      </c>
      <c r="I8170" s="2" t="s">
        <v>12</v>
      </c>
      <c r="J8170" s="2" t="s">
        <v>12</v>
      </c>
      <c r="K8170" s="2" t="s">
        <v>12</v>
      </c>
    </row>
    <row r="8171" spans="1:11" ht="12.5" x14ac:dyDescent="0.25">
      <c r="A8171" s="3" t="e">
        <f ca="1"/>
        <v>#NAME?</v>
      </c>
      <c r="B8171" s="2" t="s">
        <v>12</v>
      </c>
      <c r="C8171" s="2" t="s">
        <v>12</v>
      </c>
      <c r="D8171" s="2" t="s">
        <v>12</v>
      </c>
      <c r="E8171" s="2" t="s">
        <v>12</v>
      </c>
      <c r="F8171" s="2" t="s">
        <v>12</v>
      </c>
      <c r="G8171" s="2" t="s">
        <v>12</v>
      </c>
      <c r="H8171" s="2" t="s">
        <v>12</v>
      </c>
      <c r="I8171" s="2" t="s">
        <v>12</v>
      </c>
      <c r="J8171" s="2" t="s">
        <v>12</v>
      </c>
      <c r="K8171" s="2" t="s">
        <v>12</v>
      </c>
    </row>
    <row r="8172" spans="1:11" ht="12.5" x14ac:dyDescent="0.25">
      <c r="A8172" s="3" t="e">
        <f ca="1"/>
        <v>#NAME?</v>
      </c>
      <c r="B8172" s="2" t="s">
        <v>12</v>
      </c>
      <c r="C8172" s="2" t="s">
        <v>12</v>
      </c>
      <c r="D8172" s="2" t="s">
        <v>12</v>
      </c>
      <c r="E8172" s="2" t="s">
        <v>12</v>
      </c>
      <c r="F8172" s="2" t="s">
        <v>12</v>
      </c>
      <c r="G8172" s="2" t="s">
        <v>12</v>
      </c>
      <c r="H8172" s="2" t="s">
        <v>12</v>
      </c>
      <c r="I8172" s="2" t="s">
        <v>12</v>
      </c>
      <c r="J8172" s="2" t="s">
        <v>12</v>
      </c>
      <c r="K8172" s="2" t="s">
        <v>12</v>
      </c>
    </row>
    <row r="8173" spans="1:11" ht="12.5" x14ac:dyDescent="0.25">
      <c r="A8173" s="3" t="e">
        <f ca="1"/>
        <v>#NAME?</v>
      </c>
      <c r="B8173" s="2" t="s">
        <v>12</v>
      </c>
      <c r="C8173" s="2" t="s">
        <v>12</v>
      </c>
      <c r="D8173" s="2" t="s">
        <v>12</v>
      </c>
      <c r="E8173" s="2" t="s">
        <v>12</v>
      </c>
      <c r="F8173" s="2" t="s">
        <v>12</v>
      </c>
      <c r="G8173" s="2" t="s">
        <v>12</v>
      </c>
      <c r="H8173" s="2" t="s">
        <v>12</v>
      </c>
      <c r="I8173" s="2" t="s">
        <v>12</v>
      </c>
      <c r="J8173" s="2" t="s">
        <v>12</v>
      </c>
      <c r="K8173" s="2" t="s">
        <v>12</v>
      </c>
    </row>
    <row r="8174" spans="1:11" ht="12.5" x14ac:dyDescent="0.25">
      <c r="A8174" s="3" t="e">
        <f ca="1"/>
        <v>#NAME?</v>
      </c>
      <c r="B8174" s="2" t="s">
        <v>12</v>
      </c>
      <c r="C8174" s="2" t="s">
        <v>12</v>
      </c>
      <c r="D8174" s="2" t="s">
        <v>12</v>
      </c>
      <c r="E8174" s="2" t="s">
        <v>12</v>
      </c>
      <c r="F8174" s="2" t="s">
        <v>12</v>
      </c>
      <c r="G8174" s="2" t="s">
        <v>12</v>
      </c>
      <c r="H8174" s="2" t="s">
        <v>12</v>
      </c>
      <c r="I8174" s="2" t="s">
        <v>12</v>
      </c>
      <c r="J8174" s="2" t="s">
        <v>12</v>
      </c>
      <c r="K8174" s="2" t="s">
        <v>12</v>
      </c>
    </row>
    <row r="8175" spans="1:11" ht="12.5" x14ac:dyDescent="0.25">
      <c r="A8175" s="3" t="e">
        <f ca="1"/>
        <v>#NAME?</v>
      </c>
      <c r="B8175" s="2" t="s">
        <v>12</v>
      </c>
      <c r="C8175" s="2" t="s">
        <v>12</v>
      </c>
      <c r="D8175" s="2" t="s">
        <v>12</v>
      </c>
      <c r="E8175" s="2" t="s">
        <v>12</v>
      </c>
      <c r="F8175" s="2" t="s">
        <v>12</v>
      </c>
      <c r="G8175" s="2" t="s">
        <v>12</v>
      </c>
      <c r="H8175" s="2" t="s">
        <v>12</v>
      </c>
      <c r="I8175" s="2" t="s">
        <v>12</v>
      </c>
      <c r="J8175" s="2" t="s">
        <v>12</v>
      </c>
      <c r="K8175" s="2" t="s">
        <v>12</v>
      </c>
    </row>
    <row r="8176" spans="1:11" ht="12.5" x14ac:dyDescent="0.25">
      <c r="A8176" s="3" t="e">
        <f ca="1"/>
        <v>#NAME?</v>
      </c>
      <c r="B8176" s="2" t="s">
        <v>12</v>
      </c>
      <c r="C8176" s="2" t="s">
        <v>12</v>
      </c>
      <c r="D8176" s="2" t="s">
        <v>12</v>
      </c>
      <c r="E8176" s="2" t="s">
        <v>12</v>
      </c>
      <c r="F8176" s="2" t="s">
        <v>12</v>
      </c>
      <c r="G8176" s="2" t="s">
        <v>12</v>
      </c>
      <c r="H8176" s="2" t="s">
        <v>12</v>
      </c>
      <c r="I8176" s="2" t="s">
        <v>12</v>
      </c>
      <c r="J8176" s="2" t="s">
        <v>12</v>
      </c>
      <c r="K8176" s="2" t="s">
        <v>12</v>
      </c>
    </row>
    <row r="8177" spans="1:11" ht="12.5" x14ac:dyDescent="0.25">
      <c r="A8177" s="3" t="e">
        <f ca="1"/>
        <v>#NAME?</v>
      </c>
      <c r="B8177" s="2" t="s">
        <v>12</v>
      </c>
      <c r="C8177" s="2" t="s">
        <v>12</v>
      </c>
      <c r="D8177" s="2" t="s">
        <v>12</v>
      </c>
      <c r="E8177" s="2" t="s">
        <v>12</v>
      </c>
      <c r="F8177" s="2" t="s">
        <v>12</v>
      </c>
      <c r="G8177" s="2" t="s">
        <v>12</v>
      </c>
      <c r="H8177" s="2" t="s">
        <v>12</v>
      </c>
      <c r="I8177" s="2" t="s">
        <v>12</v>
      </c>
      <c r="J8177" s="2" t="s">
        <v>12</v>
      </c>
      <c r="K8177" s="2" t="s">
        <v>12</v>
      </c>
    </row>
    <row r="8178" spans="1:11" ht="12.5" x14ac:dyDescent="0.25">
      <c r="A8178" s="3" t="e">
        <f ca="1"/>
        <v>#NAME?</v>
      </c>
      <c r="B8178" s="2" t="s">
        <v>12</v>
      </c>
      <c r="C8178" s="2" t="s">
        <v>12</v>
      </c>
      <c r="D8178" s="2" t="s">
        <v>12</v>
      </c>
      <c r="E8178" s="2" t="s">
        <v>12</v>
      </c>
      <c r="F8178" s="2" t="s">
        <v>12</v>
      </c>
      <c r="G8178" s="2" t="s">
        <v>12</v>
      </c>
      <c r="H8178" s="2" t="s">
        <v>12</v>
      </c>
      <c r="I8178" s="2" t="s">
        <v>12</v>
      </c>
      <c r="J8178" s="2" t="s">
        <v>12</v>
      </c>
      <c r="K8178" s="2" t="s">
        <v>12</v>
      </c>
    </row>
    <row r="8179" spans="1:11" ht="12.5" x14ac:dyDescent="0.25">
      <c r="A8179" s="3" t="e">
        <f ca="1"/>
        <v>#NAME?</v>
      </c>
      <c r="B8179" s="2" t="s">
        <v>12</v>
      </c>
      <c r="C8179" s="2" t="s">
        <v>12</v>
      </c>
      <c r="D8179" s="2" t="s">
        <v>12</v>
      </c>
      <c r="E8179" s="2" t="s">
        <v>12</v>
      </c>
      <c r="F8179" s="2" t="s">
        <v>12</v>
      </c>
      <c r="G8179" s="2" t="s">
        <v>12</v>
      </c>
      <c r="H8179" s="2" t="s">
        <v>12</v>
      </c>
      <c r="I8179" s="2" t="s">
        <v>12</v>
      </c>
      <c r="J8179" s="2" t="s">
        <v>12</v>
      </c>
      <c r="K8179" s="2" t="s">
        <v>12</v>
      </c>
    </row>
    <row r="8180" spans="1:11" ht="12.5" x14ac:dyDescent="0.25">
      <c r="A8180" s="3" t="e">
        <f ca="1"/>
        <v>#NAME?</v>
      </c>
      <c r="B8180" s="2" t="s">
        <v>12</v>
      </c>
      <c r="C8180" s="2" t="s">
        <v>12</v>
      </c>
      <c r="D8180" s="2" t="s">
        <v>12</v>
      </c>
      <c r="E8180" s="2" t="s">
        <v>12</v>
      </c>
      <c r="F8180" s="2" t="s">
        <v>12</v>
      </c>
      <c r="G8180" s="2" t="s">
        <v>12</v>
      </c>
      <c r="H8180" s="2" t="s">
        <v>12</v>
      </c>
      <c r="I8180" s="2" t="s">
        <v>12</v>
      </c>
      <c r="J8180" s="2" t="s">
        <v>12</v>
      </c>
      <c r="K8180" s="2" t="s">
        <v>12</v>
      </c>
    </row>
    <row r="8181" spans="1:11" ht="12.5" x14ac:dyDescent="0.25">
      <c r="A8181" s="3" t="e">
        <f ca="1"/>
        <v>#NAME?</v>
      </c>
      <c r="B8181" s="2" t="s">
        <v>12</v>
      </c>
      <c r="C8181" s="2" t="s">
        <v>12</v>
      </c>
      <c r="D8181" s="2" t="s">
        <v>12</v>
      </c>
      <c r="E8181" s="2" t="s">
        <v>12</v>
      </c>
      <c r="F8181" s="2" t="s">
        <v>12</v>
      </c>
      <c r="G8181" s="2" t="s">
        <v>12</v>
      </c>
      <c r="H8181" s="2" t="s">
        <v>12</v>
      </c>
      <c r="I8181" s="2" t="s">
        <v>12</v>
      </c>
      <c r="J8181" s="2" t="s">
        <v>12</v>
      </c>
      <c r="K8181" s="2" t="s">
        <v>12</v>
      </c>
    </row>
    <row r="8182" spans="1:11" ht="12.5" x14ac:dyDescent="0.25">
      <c r="A8182" s="3" t="e">
        <f ca="1"/>
        <v>#NAME?</v>
      </c>
      <c r="B8182" s="2" t="s">
        <v>12</v>
      </c>
      <c r="C8182" s="2" t="s">
        <v>12</v>
      </c>
      <c r="D8182" s="2" t="s">
        <v>12</v>
      </c>
      <c r="E8182" s="2" t="s">
        <v>12</v>
      </c>
      <c r="F8182" s="2" t="s">
        <v>12</v>
      </c>
      <c r="G8182" s="2" t="s">
        <v>12</v>
      </c>
      <c r="H8182" s="2" t="s">
        <v>12</v>
      </c>
      <c r="I8182" s="2" t="s">
        <v>12</v>
      </c>
      <c r="J8182" s="2" t="s">
        <v>12</v>
      </c>
      <c r="K8182" s="2" t="s">
        <v>12</v>
      </c>
    </row>
    <row r="8183" spans="1:11" ht="12.5" x14ac:dyDescent="0.25">
      <c r="A8183" s="3" t="e">
        <f ca="1"/>
        <v>#NAME?</v>
      </c>
      <c r="B8183" s="2" t="s">
        <v>12</v>
      </c>
      <c r="C8183" s="2" t="s">
        <v>12</v>
      </c>
      <c r="D8183" s="2" t="s">
        <v>12</v>
      </c>
      <c r="E8183" s="2" t="s">
        <v>12</v>
      </c>
      <c r="F8183" s="2" t="s">
        <v>12</v>
      </c>
      <c r="G8183" s="2" t="s">
        <v>12</v>
      </c>
      <c r="H8183" s="2" t="s">
        <v>12</v>
      </c>
      <c r="I8183" s="2" t="s">
        <v>12</v>
      </c>
      <c r="J8183" s="2" t="s">
        <v>12</v>
      </c>
      <c r="K8183" s="2" t="s">
        <v>12</v>
      </c>
    </row>
    <row r="8184" spans="1:11" ht="12.5" x14ac:dyDescent="0.25">
      <c r="A8184" s="3" t="e">
        <f ca="1"/>
        <v>#NAME?</v>
      </c>
      <c r="B8184" s="2" t="s">
        <v>12</v>
      </c>
      <c r="C8184" s="2" t="s">
        <v>12</v>
      </c>
      <c r="D8184" s="2" t="s">
        <v>12</v>
      </c>
      <c r="E8184" s="2" t="s">
        <v>12</v>
      </c>
      <c r="F8184" s="2" t="s">
        <v>12</v>
      </c>
      <c r="G8184" s="2" t="s">
        <v>12</v>
      </c>
      <c r="H8184" s="2" t="s">
        <v>12</v>
      </c>
      <c r="I8184" s="2" t="s">
        <v>12</v>
      </c>
      <c r="J8184" s="2" t="s">
        <v>12</v>
      </c>
      <c r="K8184" s="2" t="s">
        <v>12</v>
      </c>
    </row>
    <row r="8185" spans="1:11" ht="12.5" x14ac:dyDescent="0.25">
      <c r="A8185" s="3" t="e">
        <f ca="1"/>
        <v>#NAME?</v>
      </c>
      <c r="B8185" s="2" t="s">
        <v>12</v>
      </c>
      <c r="C8185" s="2" t="s">
        <v>12</v>
      </c>
      <c r="D8185" s="2" t="s">
        <v>12</v>
      </c>
      <c r="E8185" s="2" t="s">
        <v>12</v>
      </c>
      <c r="F8185" s="2" t="s">
        <v>12</v>
      </c>
      <c r="G8185" s="2" t="s">
        <v>12</v>
      </c>
      <c r="H8185" s="2" t="s">
        <v>12</v>
      </c>
      <c r="I8185" s="2" t="s">
        <v>12</v>
      </c>
      <c r="J8185" s="2" t="s">
        <v>12</v>
      </c>
      <c r="K8185" s="2" t="s">
        <v>12</v>
      </c>
    </row>
    <row r="8186" spans="1:11" ht="12.5" x14ac:dyDescent="0.25">
      <c r="A8186" s="3" t="e">
        <f ca="1"/>
        <v>#NAME?</v>
      </c>
      <c r="B8186" s="2" t="s">
        <v>12</v>
      </c>
      <c r="C8186" s="2" t="s">
        <v>12</v>
      </c>
      <c r="D8186" s="2" t="s">
        <v>12</v>
      </c>
      <c r="E8186" s="2" t="s">
        <v>12</v>
      </c>
      <c r="F8186" s="2" t="s">
        <v>12</v>
      </c>
      <c r="G8186" s="2" t="s">
        <v>12</v>
      </c>
      <c r="H8186" s="2" t="s">
        <v>12</v>
      </c>
      <c r="I8186" s="2" t="s">
        <v>12</v>
      </c>
      <c r="J8186" s="2" t="s">
        <v>12</v>
      </c>
      <c r="K8186" s="2" t="s">
        <v>12</v>
      </c>
    </row>
    <row r="8187" spans="1:11" ht="12.5" x14ac:dyDescent="0.25">
      <c r="A8187" s="3" t="e">
        <f ca="1"/>
        <v>#NAME?</v>
      </c>
      <c r="B8187" s="2" t="s">
        <v>12</v>
      </c>
      <c r="C8187" s="2" t="s">
        <v>12</v>
      </c>
      <c r="D8187" s="2" t="s">
        <v>12</v>
      </c>
      <c r="E8187" s="2" t="s">
        <v>12</v>
      </c>
      <c r="F8187" s="2" t="s">
        <v>12</v>
      </c>
      <c r="G8187" s="2" t="s">
        <v>12</v>
      </c>
      <c r="H8187" s="2" t="s">
        <v>12</v>
      </c>
      <c r="I8187" s="2" t="s">
        <v>12</v>
      </c>
      <c r="J8187" s="2" t="s">
        <v>12</v>
      </c>
      <c r="K8187" s="2" t="s">
        <v>12</v>
      </c>
    </row>
    <row r="8188" spans="1:11" ht="12.5" x14ac:dyDescent="0.25">
      <c r="A8188" s="3" t="e">
        <f ca="1"/>
        <v>#NAME?</v>
      </c>
      <c r="B8188" s="2" t="s">
        <v>12</v>
      </c>
      <c r="C8188" s="2" t="s">
        <v>12</v>
      </c>
      <c r="D8188" s="2" t="s">
        <v>12</v>
      </c>
      <c r="E8188" s="2" t="s">
        <v>12</v>
      </c>
      <c r="F8188" s="2" t="s">
        <v>12</v>
      </c>
      <c r="G8188" s="2" t="s">
        <v>12</v>
      </c>
      <c r="H8188" s="2" t="s">
        <v>12</v>
      </c>
      <c r="I8188" s="2" t="s">
        <v>12</v>
      </c>
      <c r="J8188" s="2" t="s">
        <v>12</v>
      </c>
      <c r="K8188" s="2" t="s">
        <v>12</v>
      </c>
    </row>
    <row r="8189" spans="1:11" ht="12.5" x14ac:dyDescent="0.25">
      <c r="A8189" s="3" t="e">
        <f ca="1"/>
        <v>#NAME?</v>
      </c>
      <c r="B8189" s="2" t="s">
        <v>12</v>
      </c>
      <c r="C8189" s="2" t="s">
        <v>12</v>
      </c>
      <c r="D8189" s="2" t="s">
        <v>12</v>
      </c>
      <c r="E8189" s="2" t="s">
        <v>12</v>
      </c>
      <c r="F8189" s="2" t="s">
        <v>12</v>
      </c>
      <c r="G8189" s="2" t="s">
        <v>12</v>
      </c>
      <c r="H8189" s="2" t="s">
        <v>12</v>
      </c>
      <c r="I8189" s="2" t="s">
        <v>12</v>
      </c>
      <c r="J8189" s="2" t="s">
        <v>12</v>
      </c>
      <c r="K8189" s="2" t="s">
        <v>12</v>
      </c>
    </row>
    <row r="8190" spans="1:11" ht="12.5" x14ac:dyDescent="0.25">
      <c r="A8190" s="3" t="e">
        <f ca="1"/>
        <v>#NAME?</v>
      </c>
      <c r="B8190" s="2" t="s">
        <v>12</v>
      </c>
      <c r="C8190" s="2" t="s">
        <v>12</v>
      </c>
      <c r="D8190" s="2" t="s">
        <v>12</v>
      </c>
      <c r="E8190" s="2" t="s">
        <v>12</v>
      </c>
      <c r="F8190" s="2" t="s">
        <v>12</v>
      </c>
      <c r="G8190" s="2" t="s">
        <v>12</v>
      </c>
      <c r="H8190" s="2" t="s">
        <v>12</v>
      </c>
      <c r="I8190" s="2" t="s">
        <v>12</v>
      </c>
      <c r="J8190" s="2" t="s">
        <v>12</v>
      </c>
      <c r="K8190" s="2" t="s">
        <v>12</v>
      </c>
    </row>
    <row r="8191" spans="1:11" ht="12.5" x14ac:dyDescent="0.25">
      <c r="A8191" s="3" t="e">
        <f ca="1"/>
        <v>#NAME?</v>
      </c>
      <c r="B8191" s="2" t="s">
        <v>12</v>
      </c>
      <c r="C8191" s="2" t="s">
        <v>12</v>
      </c>
      <c r="D8191" s="2" t="s">
        <v>12</v>
      </c>
      <c r="E8191" s="2" t="s">
        <v>12</v>
      </c>
      <c r="F8191" s="2" t="s">
        <v>12</v>
      </c>
      <c r="G8191" s="2" t="s">
        <v>12</v>
      </c>
      <c r="H8191" s="2" t="s">
        <v>12</v>
      </c>
      <c r="I8191" s="2" t="s">
        <v>12</v>
      </c>
      <c r="J8191" s="2" t="s">
        <v>12</v>
      </c>
      <c r="K8191" s="2" t="s">
        <v>12</v>
      </c>
    </row>
    <row r="8192" spans="1:11" ht="12.5" x14ac:dyDescent="0.25">
      <c r="A8192" s="3" t="e">
        <f ca="1"/>
        <v>#NAME?</v>
      </c>
      <c r="B8192" s="2" t="s">
        <v>12</v>
      </c>
      <c r="C8192" s="2" t="s">
        <v>12</v>
      </c>
      <c r="D8192" s="2" t="s">
        <v>12</v>
      </c>
      <c r="E8192" s="2" t="s">
        <v>12</v>
      </c>
      <c r="F8192" s="2" t="s">
        <v>12</v>
      </c>
      <c r="G8192" s="2" t="s">
        <v>12</v>
      </c>
      <c r="H8192" s="2" t="s">
        <v>12</v>
      </c>
      <c r="I8192" s="2" t="s">
        <v>12</v>
      </c>
      <c r="J8192" s="2" t="s">
        <v>12</v>
      </c>
      <c r="K8192" s="2" t="s">
        <v>12</v>
      </c>
    </row>
    <row r="8193" spans="1:11" ht="12.5" x14ac:dyDescent="0.25">
      <c r="A8193" s="3" t="e">
        <f ca="1"/>
        <v>#NAME?</v>
      </c>
      <c r="B8193" s="2" t="s">
        <v>12</v>
      </c>
      <c r="C8193" s="2" t="s">
        <v>12</v>
      </c>
      <c r="D8193" s="2" t="s">
        <v>12</v>
      </c>
      <c r="E8193" s="2" t="s">
        <v>12</v>
      </c>
      <c r="F8193" s="2" t="s">
        <v>12</v>
      </c>
      <c r="G8193" s="2" t="s">
        <v>12</v>
      </c>
      <c r="H8193" s="2" t="s">
        <v>12</v>
      </c>
      <c r="I8193" s="2" t="s">
        <v>12</v>
      </c>
      <c r="J8193" s="2" t="s">
        <v>12</v>
      </c>
      <c r="K8193" s="2" t="s">
        <v>12</v>
      </c>
    </row>
    <row r="8194" spans="1:11" ht="12.5" x14ac:dyDescent="0.25">
      <c r="A8194" s="3" t="e">
        <f ca="1"/>
        <v>#NAME?</v>
      </c>
      <c r="B8194" s="2" t="s">
        <v>12</v>
      </c>
      <c r="C8194" s="2" t="s">
        <v>12</v>
      </c>
      <c r="D8194" s="2" t="s">
        <v>12</v>
      </c>
      <c r="E8194" s="2" t="s">
        <v>12</v>
      </c>
      <c r="F8194" s="2" t="s">
        <v>12</v>
      </c>
      <c r="G8194" s="2" t="s">
        <v>12</v>
      </c>
      <c r="H8194" s="2" t="s">
        <v>12</v>
      </c>
      <c r="I8194" s="2" t="s">
        <v>12</v>
      </c>
      <c r="J8194" s="2" t="s">
        <v>12</v>
      </c>
      <c r="K8194" s="2" t="s">
        <v>12</v>
      </c>
    </row>
    <row r="8195" spans="1:11" ht="12.5" x14ac:dyDescent="0.25">
      <c r="A8195" s="3" t="e">
        <f ca="1"/>
        <v>#NAME?</v>
      </c>
      <c r="B8195" s="2" t="s">
        <v>12</v>
      </c>
      <c r="C8195" s="2" t="s">
        <v>12</v>
      </c>
      <c r="D8195" s="2" t="s">
        <v>12</v>
      </c>
      <c r="E8195" s="2" t="s">
        <v>12</v>
      </c>
      <c r="F8195" s="2" t="s">
        <v>12</v>
      </c>
      <c r="G8195" s="2" t="s">
        <v>12</v>
      </c>
      <c r="H8195" s="2" t="s">
        <v>12</v>
      </c>
      <c r="I8195" s="2" t="s">
        <v>12</v>
      </c>
      <c r="J8195" s="2" t="s">
        <v>12</v>
      </c>
      <c r="K8195" s="2" t="s">
        <v>12</v>
      </c>
    </row>
    <row r="8196" spans="1:11" ht="12.5" x14ac:dyDescent="0.25">
      <c r="A8196" s="3" t="e">
        <f ca="1"/>
        <v>#NAME?</v>
      </c>
      <c r="B8196" s="2" t="s">
        <v>12</v>
      </c>
      <c r="C8196" s="2" t="s">
        <v>12</v>
      </c>
      <c r="D8196" s="2" t="s">
        <v>12</v>
      </c>
      <c r="E8196" s="2" t="s">
        <v>12</v>
      </c>
      <c r="F8196" s="2" t="s">
        <v>12</v>
      </c>
      <c r="G8196" s="2" t="s">
        <v>12</v>
      </c>
      <c r="H8196" s="2" t="s">
        <v>12</v>
      </c>
      <c r="I8196" s="2" t="s">
        <v>12</v>
      </c>
      <c r="J8196" s="2" t="s">
        <v>12</v>
      </c>
      <c r="K8196" s="2" t="s">
        <v>12</v>
      </c>
    </row>
    <row r="8197" spans="1:11" ht="12.5" x14ac:dyDescent="0.25">
      <c r="A8197" s="3" t="e">
        <f ca="1"/>
        <v>#NAME?</v>
      </c>
      <c r="B8197" s="2" t="s">
        <v>12</v>
      </c>
      <c r="C8197" s="2" t="s">
        <v>12</v>
      </c>
      <c r="D8197" s="2" t="s">
        <v>12</v>
      </c>
      <c r="E8197" s="2" t="s">
        <v>12</v>
      </c>
      <c r="F8197" s="2" t="s">
        <v>12</v>
      </c>
      <c r="G8197" s="2" t="s">
        <v>12</v>
      </c>
      <c r="H8197" s="2" t="s">
        <v>12</v>
      </c>
      <c r="I8197" s="2" t="s">
        <v>12</v>
      </c>
      <c r="J8197" s="2" t="s">
        <v>12</v>
      </c>
      <c r="K8197" s="2" t="s">
        <v>12</v>
      </c>
    </row>
    <row r="8198" spans="1:11" ht="12.5" x14ac:dyDescent="0.25">
      <c r="A8198" s="3" t="e">
        <f ca="1"/>
        <v>#NAME?</v>
      </c>
      <c r="B8198" s="2" t="s">
        <v>12</v>
      </c>
      <c r="C8198" s="2" t="s">
        <v>12</v>
      </c>
      <c r="D8198" s="2" t="s">
        <v>12</v>
      </c>
      <c r="E8198" s="2" t="s">
        <v>12</v>
      </c>
      <c r="F8198" s="2" t="s">
        <v>12</v>
      </c>
      <c r="G8198" s="2" t="s">
        <v>12</v>
      </c>
      <c r="H8198" s="2" t="s">
        <v>12</v>
      </c>
      <c r="I8198" s="2" t="s">
        <v>12</v>
      </c>
      <c r="J8198" s="2" t="s">
        <v>12</v>
      </c>
      <c r="K8198" s="2" t="s">
        <v>12</v>
      </c>
    </row>
    <row r="8199" spans="1:11" ht="12.5" x14ac:dyDescent="0.25">
      <c r="A8199" s="3" t="e">
        <f ca="1"/>
        <v>#NAME?</v>
      </c>
      <c r="B8199" s="2" t="s">
        <v>12</v>
      </c>
      <c r="C8199" s="2" t="s">
        <v>12</v>
      </c>
      <c r="D8199" s="2" t="s">
        <v>12</v>
      </c>
      <c r="E8199" s="2" t="s">
        <v>12</v>
      </c>
      <c r="F8199" s="2" t="s">
        <v>12</v>
      </c>
      <c r="G8199" s="2" t="s">
        <v>12</v>
      </c>
      <c r="H8199" s="2" t="s">
        <v>12</v>
      </c>
      <c r="I8199" s="2" t="s">
        <v>12</v>
      </c>
      <c r="J8199" s="2" t="s">
        <v>12</v>
      </c>
      <c r="K8199" s="2" t="s">
        <v>12</v>
      </c>
    </row>
    <row r="8200" spans="1:11" ht="12.5" x14ac:dyDescent="0.25">
      <c r="A8200" s="3" t="e">
        <f ca="1"/>
        <v>#NAME?</v>
      </c>
      <c r="B8200" s="2" t="s">
        <v>12</v>
      </c>
      <c r="C8200" s="2" t="s">
        <v>12</v>
      </c>
      <c r="D8200" s="2" t="s">
        <v>12</v>
      </c>
      <c r="E8200" s="2" t="s">
        <v>12</v>
      </c>
      <c r="F8200" s="2" t="s">
        <v>12</v>
      </c>
      <c r="G8200" s="2" t="s">
        <v>12</v>
      </c>
      <c r="H8200" s="2" t="s">
        <v>12</v>
      </c>
      <c r="I8200" s="2" t="s">
        <v>12</v>
      </c>
      <c r="J8200" s="2" t="s">
        <v>12</v>
      </c>
      <c r="K8200" s="2" t="s">
        <v>12</v>
      </c>
    </row>
    <row r="8201" spans="1:11" ht="12.5" x14ac:dyDescent="0.25">
      <c r="A8201" s="3" t="e">
        <f ca="1"/>
        <v>#NAME?</v>
      </c>
      <c r="B8201" s="2" t="s">
        <v>12</v>
      </c>
      <c r="C8201" s="2" t="s">
        <v>12</v>
      </c>
      <c r="D8201" s="2" t="s">
        <v>12</v>
      </c>
      <c r="E8201" s="2" t="s">
        <v>12</v>
      </c>
      <c r="F8201" s="2" t="s">
        <v>12</v>
      </c>
      <c r="G8201" s="2" t="s">
        <v>12</v>
      </c>
      <c r="H8201" s="2" t="s">
        <v>12</v>
      </c>
      <c r="I8201" s="2" t="s">
        <v>12</v>
      </c>
      <c r="J8201" s="2" t="s">
        <v>12</v>
      </c>
      <c r="K8201" s="2" t="s">
        <v>12</v>
      </c>
    </row>
    <row r="8202" spans="1:11" ht="12.5" x14ac:dyDescent="0.25">
      <c r="A8202" s="3" t="e">
        <f ca="1"/>
        <v>#NAME?</v>
      </c>
      <c r="B8202" s="2" t="s">
        <v>12</v>
      </c>
      <c r="C8202" s="2" t="s">
        <v>12</v>
      </c>
      <c r="D8202" s="2" t="s">
        <v>12</v>
      </c>
      <c r="E8202" s="2" t="s">
        <v>12</v>
      </c>
      <c r="F8202" s="2" t="s">
        <v>12</v>
      </c>
      <c r="G8202" s="2" t="s">
        <v>12</v>
      </c>
      <c r="H8202" s="2" t="s">
        <v>12</v>
      </c>
      <c r="I8202" s="2" t="s">
        <v>12</v>
      </c>
      <c r="J8202" s="2" t="s">
        <v>12</v>
      </c>
      <c r="K8202" s="2" t="s">
        <v>12</v>
      </c>
    </row>
    <row r="8203" spans="1:11" ht="12.5" x14ac:dyDescent="0.25">
      <c r="A8203" s="3" t="e">
        <f ca="1"/>
        <v>#NAME?</v>
      </c>
      <c r="B8203" s="2" t="s">
        <v>12</v>
      </c>
      <c r="C8203" s="2" t="s">
        <v>12</v>
      </c>
      <c r="D8203" s="2" t="s">
        <v>12</v>
      </c>
      <c r="E8203" s="2" t="s">
        <v>12</v>
      </c>
      <c r="F8203" s="2" t="s">
        <v>12</v>
      </c>
      <c r="G8203" s="2" t="s">
        <v>12</v>
      </c>
      <c r="H8203" s="2" t="s">
        <v>12</v>
      </c>
      <c r="I8203" s="2" t="s">
        <v>12</v>
      </c>
      <c r="J8203" s="2" t="s">
        <v>12</v>
      </c>
      <c r="K8203" s="2" t="s">
        <v>12</v>
      </c>
    </row>
    <row r="8204" spans="1:11" ht="12.5" x14ac:dyDescent="0.25">
      <c r="A8204" s="3" t="e">
        <f ca="1"/>
        <v>#NAME?</v>
      </c>
      <c r="B8204" s="2" t="s">
        <v>12</v>
      </c>
      <c r="C8204" s="2" t="s">
        <v>12</v>
      </c>
      <c r="D8204" s="2" t="s">
        <v>12</v>
      </c>
      <c r="E8204" s="2" t="s">
        <v>12</v>
      </c>
      <c r="F8204" s="2" t="s">
        <v>12</v>
      </c>
      <c r="G8204" s="2" t="s">
        <v>12</v>
      </c>
      <c r="H8204" s="2" t="s">
        <v>12</v>
      </c>
      <c r="I8204" s="2" t="s">
        <v>12</v>
      </c>
      <c r="J8204" s="2" t="s">
        <v>12</v>
      </c>
      <c r="K8204" s="2" t="s">
        <v>12</v>
      </c>
    </row>
    <row r="8205" spans="1:11" ht="12.5" x14ac:dyDescent="0.25">
      <c r="A8205" s="3" t="e">
        <f ca="1"/>
        <v>#NAME?</v>
      </c>
      <c r="B8205" s="2" t="s">
        <v>12</v>
      </c>
      <c r="C8205" s="2" t="s">
        <v>12</v>
      </c>
      <c r="D8205" s="2" t="s">
        <v>12</v>
      </c>
      <c r="E8205" s="2" t="s">
        <v>12</v>
      </c>
      <c r="F8205" s="2" t="s">
        <v>12</v>
      </c>
      <c r="G8205" s="2" t="s">
        <v>12</v>
      </c>
      <c r="H8205" s="2" t="s">
        <v>12</v>
      </c>
      <c r="I8205" s="2" t="s">
        <v>12</v>
      </c>
      <c r="J8205" s="2" t="s">
        <v>12</v>
      </c>
      <c r="K8205" s="2" t="s">
        <v>12</v>
      </c>
    </row>
    <row r="8206" spans="1:11" ht="12.5" x14ac:dyDescent="0.25">
      <c r="A8206" s="3" t="e">
        <f ca="1"/>
        <v>#NAME?</v>
      </c>
      <c r="B8206" s="2" t="s">
        <v>12</v>
      </c>
      <c r="C8206" s="2" t="s">
        <v>12</v>
      </c>
      <c r="D8206" s="2" t="s">
        <v>12</v>
      </c>
      <c r="E8206" s="2" t="s">
        <v>12</v>
      </c>
      <c r="F8206" s="2" t="s">
        <v>12</v>
      </c>
      <c r="G8206" s="2" t="s">
        <v>12</v>
      </c>
      <c r="H8206" s="2" t="s">
        <v>12</v>
      </c>
      <c r="I8206" s="2" t="s">
        <v>12</v>
      </c>
      <c r="J8206" s="2" t="s">
        <v>12</v>
      </c>
      <c r="K8206" s="2" t="s">
        <v>12</v>
      </c>
    </row>
    <row r="8207" spans="1:11" ht="12.5" x14ac:dyDescent="0.25">
      <c r="A8207" s="3" t="e">
        <f ca="1"/>
        <v>#NAME?</v>
      </c>
      <c r="B8207" s="2" t="s">
        <v>12</v>
      </c>
      <c r="C8207" s="2" t="s">
        <v>12</v>
      </c>
      <c r="D8207" s="2" t="s">
        <v>12</v>
      </c>
      <c r="E8207" s="2" t="s">
        <v>12</v>
      </c>
      <c r="F8207" s="2" t="s">
        <v>12</v>
      </c>
      <c r="G8207" s="2" t="s">
        <v>12</v>
      </c>
      <c r="H8207" s="2" t="s">
        <v>12</v>
      </c>
      <c r="I8207" s="2" t="s">
        <v>12</v>
      </c>
      <c r="J8207" s="2" t="s">
        <v>12</v>
      </c>
      <c r="K8207" s="2" t="s">
        <v>12</v>
      </c>
    </row>
    <row r="8208" spans="1:11" ht="12.5" x14ac:dyDescent="0.25">
      <c r="A8208" s="3" t="e">
        <f ca="1"/>
        <v>#NAME?</v>
      </c>
      <c r="B8208" s="2" t="s">
        <v>12</v>
      </c>
      <c r="C8208" s="2" t="s">
        <v>12</v>
      </c>
      <c r="D8208" s="2" t="s">
        <v>12</v>
      </c>
      <c r="E8208" s="2" t="s">
        <v>12</v>
      </c>
      <c r="F8208" s="2" t="s">
        <v>12</v>
      </c>
      <c r="G8208" s="2" t="s">
        <v>12</v>
      </c>
      <c r="H8208" s="2" t="s">
        <v>12</v>
      </c>
      <c r="I8208" s="2" t="s">
        <v>12</v>
      </c>
      <c r="J8208" s="2" t="s">
        <v>12</v>
      </c>
      <c r="K8208" s="2" t="s">
        <v>12</v>
      </c>
    </row>
    <row r="8209" spans="1:11" ht="12.5" x14ac:dyDescent="0.25">
      <c r="A8209" s="3" t="e">
        <f ca="1"/>
        <v>#NAME?</v>
      </c>
      <c r="B8209" s="2" t="s">
        <v>12</v>
      </c>
      <c r="C8209" s="2" t="s">
        <v>12</v>
      </c>
      <c r="D8209" s="2" t="s">
        <v>12</v>
      </c>
      <c r="E8209" s="2" t="s">
        <v>12</v>
      </c>
      <c r="F8209" s="2" t="s">
        <v>12</v>
      </c>
      <c r="G8209" s="2" t="s">
        <v>12</v>
      </c>
      <c r="H8209" s="2" t="s">
        <v>12</v>
      </c>
      <c r="I8209" s="2" t="s">
        <v>12</v>
      </c>
      <c r="J8209" s="2" t="s">
        <v>12</v>
      </c>
      <c r="K8209" s="2" t="s">
        <v>12</v>
      </c>
    </row>
    <row r="8210" spans="1:11" ht="12.5" x14ac:dyDescent="0.25">
      <c r="A8210" s="3" t="e">
        <f ca="1"/>
        <v>#NAME?</v>
      </c>
      <c r="B8210" s="2" t="s">
        <v>12</v>
      </c>
      <c r="C8210" s="2" t="s">
        <v>12</v>
      </c>
      <c r="D8210" s="2" t="s">
        <v>12</v>
      </c>
      <c r="E8210" s="2" t="s">
        <v>12</v>
      </c>
      <c r="F8210" s="2" t="s">
        <v>12</v>
      </c>
      <c r="G8210" s="2" t="s">
        <v>12</v>
      </c>
      <c r="H8210" s="2" t="s">
        <v>12</v>
      </c>
      <c r="I8210" s="2" t="s">
        <v>12</v>
      </c>
      <c r="J8210" s="2" t="s">
        <v>12</v>
      </c>
      <c r="K8210" s="2" t="s">
        <v>12</v>
      </c>
    </row>
    <row r="8211" spans="1:11" ht="12.5" x14ac:dyDescent="0.25">
      <c r="A8211" s="3" t="e">
        <f ca="1"/>
        <v>#NAME?</v>
      </c>
      <c r="B8211" s="2" t="s">
        <v>12</v>
      </c>
      <c r="C8211" s="2" t="s">
        <v>12</v>
      </c>
      <c r="D8211" s="2" t="s">
        <v>12</v>
      </c>
      <c r="E8211" s="2" t="s">
        <v>12</v>
      </c>
      <c r="F8211" s="2" t="s">
        <v>12</v>
      </c>
      <c r="G8211" s="2" t="s">
        <v>12</v>
      </c>
      <c r="H8211" s="2" t="s">
        <v>12</v>
      </c>
      <c r="I8211" s="2" t="s">
        <v>12</v>
      </c>
      <c r="J8211" s="2" t="s">
        <v>12</v>
      </c>
      <c r="K8211" s="2" t="s">
        <v>12</v>
      </c>
    </row>
    <row r="8212" spans="1:11" ht="12.5" x14ac:dyDescent="0.25">
      <c r="A8212" s="3" t="e">
        <f ca="1"/>
        <v>#NAME?</v>
      </c>
      <c r="B8212" s="2" t="s">
        <v>12</v>
      </c>
      <c r="C8212" s="2" t="s">
        <v>12</v>
      </c>
      <c r="D8212" s="2" t="s">
        <v>12</v>
      </c>
      <c r="E8212" s="2" t="s">
        <v>12</v>
      </c>
      <c r="F8212" s="2" t="s">
        <v>12</v>
      </c>
      <c r="G8212" s="2" t="s">
        <v>12</v>
      </c>
      <c r="H8212" s="2" t="s">
        <v>12</v>
      </c>
      <c r="I8212" s="2" t="s">
        <v>12</v>
      </c>
      <c r="J8212" s="2" t="s">
        <v>12</v>
      </c>
      <c r="K8212" s="2" t="s">
        <v>12</v>
      </c>
    </row>
    <row r="8213" spans="1:11" ht="12.5" x14ac:dyDescent="0.25">
      <c r="A8213" s="3" t="e">
        <f ca="1"/>
        <v>#NAME?</v>
      </c>
      <c r="B8213" s="2" t="s">
        <v>12</v>
      </c>
      <c r="C8213" s="2" t="s">
        <v>12</v>
      </c>
      <c r="D8213" s="2" t="s">
        <v>12</v>
      </c>
      <c r="E8213" s="2" t="s">
        <v>12</v>
      </c>
      <c r="F8213" s="2" t="s">
        <v>12</v>
      </c>
      <c r="G8213" s="2" t="s">
        <v>12</v>
      </c>
      <c r="H8213" s="2" t="s">
        <v>12</v>
      </c>
      <c r="I8213" s="2" t="s">
        <v>12</v>
      </c>
      <c r="J8213" s="2" t="s">
        <v>12</v>
      </c>
      <c r="K8213" s="2" t="s">
        <v>12</v>
      </c>
    </row>
    <row r="8214" spans="1:11" ht="12.5" x14ac:dyDescent="0.25">
      <c r="A8214" s="3" t="e">
        <f ca="1"/>
        <v>#NAME?</v>
      </c>
      <c r="B8214" s="2" t="s">
        <v>12</v>
      </c>
      <c r="C8214" s="2" t="s">
        <v>12</v>
      </c>
      <c r="D8214" s="2" t="s">
        <v>12</v>
      </c>
      <c r="E8214" s="2" t="s">
        <v>12</v>
      </c>
      <c r="F8214" s="2" t="s">
        <v>12</v>
      </c>
      <c r="G8214" s="2" t="s">
        <v>12</v>
      </c>
      <c r="H8214" s="2" t="s">
        <v>12</v>
      </c>
      <c r="I8214" s="2" t="s">
        <v>12</v>
      </c>
      <c r="J8214" s="2" t="s">
        <v>12</v>
      </c>
      <c r="K8214" s="2" t="s">
        <v>12</v>
      </c>
    </row>
    <row r="8215" spans="1:11" ht="12.5" x14ac:dyDescent="0.25">
      <c r="A8215" s="3" t="e">
        <f ca="1"/>
        <v>#NAME?</v>
      </c>
      <c r="B8215" s="2" t="s">
        <v>12</v>
      </c>
      <c r="C8215" s="2" t="s">
        <v>12</v>
      </c>
      <c r="D8215" s="2" t="s">
        <v>12</v>
      </c>
      <c r="E8215" s="2" t="s">
        <v>12</v>
      </c>
      <c r="F8215" s="2" t="s">
        <v>12</v>
      </c>
      <c r="G8215" s="2" t="s">
        <v>12</v>
      </c>
      <c r="H8215" s="2" t="s">
        <v>12</v>
      </c>
      <c r="I8215" s="2" t="s">
        <v>12</v>
      </c>
      <c r="J8215" s="2" t="s">
        <v>12</v>
      </c>
      <c r="K8215" s="2" t="s">
        <v>12</v>
      </c>
    </row>
    <row r="8216" spans="1:11" ht="12.5" x14ac:dyDescent="0.25">
      <c r="A8216" s="3" t="e">
        <f ca="1"/>
        <v>#NAME?</v>
      </c>
      <c r="B8216" s="2" t="s">
        <v>12</v>
      </c>
      <c r="C8216" s="2" t="s">
        <v>12</v>
      </c>
      <c r="D8216" s="2" t="s">
        <v>12</v>
      </c>
      <c r="E8216" s="2" t="s">
        <v>12</v>
      </c>
      <c r="F8216" s="2" t="s">
        <v>12</v>
      </c>
      <c r="G8216" s="2" t="s">
        <v>12</v>
      </c>
      <c r="H8216" s="2" t="s">
        <v>12</v>
      </c>
      <c r="I8216" s="2" t="s">
        <v>12</v>
      </c>
      <c r="J8216" s="2" t="s">
        <v>12</v>
      </c>
      <c r="K8216" s="2" t="s">
        <v>12</v>
      </c>
    </row>
    <row r="8217" spans="1:11" ht="12.5" x14ac:dyDescent="0.25">
      <c r="A8217" s="3" t="e">
        <f ca="1"/>
        <v>#NAME?</v>
      </c>
      <c r="B8217" s="2" t="s">
        <v>12</v>
      </c>
      <c r="C8217" s="2" t="s">
        <v>12</v>
      </c>
      <c r="D8217" s="2" t="s">
        <v>12</v>
      </c>
      <c r="E8217" s="2" t="s">
        <v>12</v>
      </c>
      <c r="F8217" s="2" t="s">
        <v>12</v>
      </c>
      <c r="G8217" s="2" t="s">
        <v>12</v>
      </c>
      <c r="H8217" s="2" t="s">
        <v>12</v>
      </c>
      <c r="I8217" s="2" t="s">
        <v>12</v>
      </c>
      <c r="J8217" s="2" t="s">
        <v>12</v>
      </c>
      <c r="K8217" s="2" t="s">
        <v>12</v>
      </c>
    </row>
    <row r="8218" spans="1:11" ht="12.5" x14ac:dyDescent="0.25">
      <c r="A8218" s="3" t="e">
        <f ca="1"/>
        <v>#NAME?</v>
      </c>
      <c r="B8218" s="2" t="s">
        <v>12</v>
      </c>
      <c r="C8218" s="2" t="s">
        <v>12</v>
      </c>
      <c r="D8218" s="2" t="s">
        <v>12</v>
      </c>
      <c r="E8218" s="2" t="s">
        <v>12</v>
      </c>
      <c r="F8218" s="2" t="s">
        <v>12</v>
      </c>
      <c r="G8218" s="2" t="s">
        <v>12</v>
      </c>
      <c r="H8218" s="2" t="s">
        <v>12</v>
      </c>
      <c r="I8218" s="2" t="s">
        <v>12</v>
      </c>
      <c r="J8218" s="2" t="s">
        <v>12</v>
      </c>
      <c r="K8218" s="2" t="s">
        <v>12</v>
      </c>
    </row>
    <row r="8219" spans="1:11" ht="12.5" x14ac:dyDescent="0.25">
      <c r="A8219" s="3" t="e">
        <f ca="1"/>
        <v>#NAME?</v>
      </c>
      <c r="B8219" s="2" t="s">
        <v>12</v>
      </c>
      <c r="C8219" s="2" t="s">
        <v>12</v>
      </c>
      <c r="D8219" s="2" t="s">
        <v>12</v>
      </c>
      <c r="E8219" s="2" t="s">
        <v>12</v>
      </c>
      <c r="F8219" s="2" t="s">
        <v>12</v>
      </c>
      <c r="G8219" s="2" t="s">
        <v>12</v>
      </c>
      <c r="H8219" s="2" t="s">
        <v>12</v>
      </c>
      <c r="I8219" s="2" t="s">
        <v>12</v>
      </c>
      <c r="J8219" s="2" t="s">
        <v>12</v>
      </c>
      <c r="K8219" s="2" t="s">
        <v>12</v>
      </c>
    </row>
    <row r="8220" spans="1:11" ht="12.5" x14ac:dyDescent="0.25">
      <c r="A8220" s="3" t="e">
        <f ca="1"/>
        <v>#NAME?</v>
      </c>
      <c r="B8220" s="2" t="s">
        <v>12</v>
      </c>
      <c r="C8220" s="2" t="s">
        <v>12</v>
      </c>
      <c r="D8220" s="2" t="s">
        <v>12</v>
      </c>
      <c r="E8220" s="2" t="s">
        <v>12</v>
      </c>
      <c r="F8220" s="2" t="s">
        <v>12</v>
      </c>
      <c r="G8220" s="2" t="s">
        <v>12</v>
      </c>
      <c r="H8220" s="2" t="s">
        <v>12</v>
      </c>
      <c r="I8220" s="2" t="s">
        <v>12</v>
      </c>
      <c r="J8220" s="2" t="s">
        <v>12</v>
      </c>
      <c r="K8220" s="2" t="s">
        <v>12</v>
      </c>
    </row>
    <row r="8221" spans="1:11" ht="12.5" x14ac:dyDescent="0.25">
      <c r="A8221" s="3" t="e">
        <f ca="1"/>
        <v>#NAME?</v>
      </c>
      <c r="B8221" s="2" t="s">
        <v>12</v>
      </c>
      <c r="C8221" s="2" t="s">
        <v>12</v>
      </c>
      <c r="D8221" s="2" t="s">
        <v>12</v>
      </c>
      <c r="E8221" s="2" t="s">
        <v>12</v>
      </c>
      <c r="F8221" s="2" t="s">
        <v>12</v>
      </c>
      <c r="G8221" s="2" t="s">
        <v>12</v>
      </c>
      <c r="H8221" s="2" t="s">
        <v>12</v>
      </c>
      <c r="I8221" s="2" t="s">
        <v>12</v>
      </c>
      <c r="J8221" s="2" t="s">
        <v>12</v>
      </c>
      <c r="K8221" s="2" t="s">
        <v>12</v>
      </c>
    </row>
    <row r="8222" spans="1:11" ht="12.5" x14ac:dyDescent="0.25">
      <c r="A8222" s="3" t="e">
        <f ca="1"/>
        <v>#NAME?</v>
      </c>
      <c r="B8222" s="2" t="s">
        <v>12</v>
      </c>
      <c r="C8222" s="2" t="s">
        <v>12</v>
      </c>
      <c r="D8222" s="2" t="s">
        <v>12</v>
      </c>
      <c r="E8222" s="2" t="s">
        <v>12</v>
      </c>
      <c r="F8222" s="2" t="s">
        <v>12</v>
      </c>
      <c r="G8222" s="2" t="s">
        <v>12</v>
      </c>
      <c r="H8222" s="2" t="s">
        <v>12</v>
      </c>
      <c r="I8222" s="2" t="s">
        <v>12</v>
      </c>
      <c r="J8222" s="2" t="s">
        <v>12</v>
      </c>
      <c r="K8222" s="2" t="s">
        <v>12</v>
      </c>
    </row>
    <row r="8223" spans="1:11" ht="12.5" x14ac:dyDescent="0.25">
      <c r="A8223" s="3" t="e">
        <f ca="1"/>
        <v>#NAME?</v>
      </c>
      <c r="B8223" s="2" t="s">
        <v>12</v>
      </c>
      <c r="C8223" s="2" t="s">
        <v>12</v>
      </c>
      <c r="D8223" s="2" t="s">
        <v>12</v>
      </c>
      <c r="E8223" s="2" t="s">
        <v>12</v>
      </c>
      <c r="F8223" s="2" t="s">
        <v>12</v>
      </c>
      <c r="G8223" s="2" t="s">
        <v>12</v>
      </c>
      <c r="H8223" s="2" t="s">
        <v>12</v>
      </c>
      <c r="I8223" s="2" t="s">
        <v>12</v>
      </c>
      <c r="J8223" s="2" t="s">
        <v>12</v>
      </c>
      <c r="K8223" s="2" t="s">
        <v>12</v>
      </c>
    </row>
    <row r="8224" spans="1:11" ht="12.5" x14ac:dyDescent="0.25">
      <c r="A8224" s="3" t="e">
        <f ca="1"/>
        <v>#NAME?</v>
      </c>
      <c r="B8224" s="2" t="s">
        <v>12</v>
      </c>
      <c r="C8224" s="2" t="s">
        <v>12</v>
      </c>
      <c r="D8224" s="2" t="s">
        <v>12</v>
      </c>
      <c r="E8224" s="2" t="s">
        <v>12</v>
      </c>
      <c r="F8224" s="2" t="s">
        <v>12</v>
      </c>
      <c r="G8224" s="2" t="s">
        <v>12</v>
      </c>
      <c r="H8224" s="2" t="s">
        <v>12</v>
      </c>
      <c r="I8224" s="2" t="s">
        <v>12</v>
      </c>
      <c r="J8224" s="2" t="s">
        <v>12</v>
      </c>
      <c r="K8224" s="2" t="s">
        <v>12</v>
      </c>
    </row>
    <row r="8225" spans="1:11" ht="12.5" x14ac:dyDescent="0.25">
      <c r="A8225" s="3" t="e">
        <f ca="1"/>
        <v>#NAME?</v>
      </c>
      <c r="B8225" s="2" t="s">
        <v>12</v>
      </c>
      <c r="C8225" s="2" t="s">
        <v>12</v>
      </c>
      <c r="D8225" s="2" t="s">
        <v>12</v>
      </c>
      <c r="E8225" s="2" t="s">
        <v>12</v>
      </c>
      <c r="F8225" s="2" t="s">
        <v>12</v>
      </c>
      <c r="G8225" s="2" t="s">
        <v>12</v>
      </c>
      <c r="H8225" s="2" t="s">
        <v>12</v>
      </c>
      <c r="I8225" s="2" t="s">
        <v>12</v>
      </c>
      <c r="J8225" s="2" t="s">
        <v>12</v>
      </c>
      <c r="K8225" s="2" t="s">
        <v>12</v>
      </c>
    </row>
    <row r="8226" spans="1:11" ht="12.5" x14ac:dyDescent="0.25">
      <c r="A8226" s="3" t="e">
        <f ca="1"/>
        <v>#NAME?</v>
      </c>
      <c r="B8226" s="2" t="s">
        <v>12</v>
      </c>
      <c r="C8226" s="2" t="s">
        <v>12</v>
      </c>
      <c r="D8226" s="2" t="s">
        <v>12</v>
      </c>
      <c r="E8226" s="2" t="s">
        <v>12</v>
      </c>
      <c r="F8226" s="2" t="s">
        <v>12</v>
      </c>
      <c r="G8226" s="2" t="s">
        <v>12</v>
      </c>
      <c r="H8226" s="2" t="s">
        <v>12</v>
      </c>
      <c r="I8226" s="2" t="s">
        <v>12</v>
      </c>
      <c r="J8226" s="2" t="s">
        <v>12</v>
      </c>
      <c r="K8226" s="2" t="s">
        <v>12</v>
      </c>
    </row>
    <row r="8227" spans="1:11" ht="12.5" x14ac:dyDescent="0.25">
      <c r="A8227" s="3" t="e">
        <f ca="1"/>
        <v>#NAME?</v>
      </c>
      <c r="B8227" s="2" t="s">
        <v>12</v>
      </c>
      <c r="C8227" s="2" t="s">
        <v>12</v>
      </c>
      <c r="D8227" s="2" t="s">
        <v>12</v>
      </c>
      <c r="E8227" s="2" t="s">
        <v>12</v>
      </c>
      <c r="F8227" s="2" t="s">
        <v>12</v>
      </c>
      <c r="G8227" s="2" t="s">
        <v>12</v>
      </c>
      <c r="H8227" s="2" t="s">
        <v>12</v>
      </c>
      <c r="I8227" s="2" t="s">
        <v>12</v>
      </c>
      <c r="J8227" s="2" t="s">
        <v>12</v>
      </c>
      <c r="K8227" s="2" t="s">
        <v>12</v>
      </c>
    </row>
    <row r="8228" spans="1:11" ht="12.5" x14ac:dyDescent="0.25">
      <c r="A8228" s="3" t="e">
        <f ca="1"/>
        <v>#NAME?</v>
      </c>
      <c r="B8228" s="2" t="s">
        <v>12</v>
      </c>
      <c r="C8228" s="2" t="s">
        <v>12</v>
      </c>
      <c r="D8228" s="2" t="s">
        <v>12</v>
      </c>
      <c r="E8228" s="2" t="s">
        <v>12</v>
      </c>
      <c r="F8228" s="2" t="s">
        <v>12</v>
      </c>
      <c r="G8228" s="2" t="s">
        <v>12</v>
      </c>
      <c r="H8228" s="2" t="s">
        <v>12</v>
      </c>
      <c r="I8228" s="2" t="s">
        <v>12</v>
      </c>
      <c r="J8228" s="2" t="s">
        <v>12</v>
      </c>
      <c r="K8228" s="2" t="s">
        <v>12</v>
      </c>
    </row>
    <row r="8229" spans="1:11" ht="12.5" x14ac:dyDescent="0.25">
      <c r="A8229" s="3" t="e">
        <f ca="1"/>
        <v>#NAME?</v>
      </c>
      <c r="B8229" s="2" t="s">
        <v>12</v>
      </c>
      <c r="C8229" s="2" t="s">
        <v>12</v>
      </c>
      <c r="D8229" s="2" t="s">
        <v>12</v>
      </c>
      <c r="E8229" s="2" t="s">
        <v>12</v>
      </c>
      <c r="F8229" s="2" t="s">
        <v>12</v>
      </c>
      <c r="G8229" s="2" t="s">
        <v>12</v>
      </c>
      <c r="H8229" s="2" t="s">
        <v>12</v>
      </c>
      <c r="I8229" s="2" t="s">
        <v>12</v>
      </c>
      <c r="J8229" s="2" t="s">
        <v>12</v>
      </c>
      <c r="K8229" s="2" t="s">
        <v>12</v>
      </c>
    </row>
    <row r="8230" spans="1:11" ht="12.5" x14ac:dyDescent="0.25">
      <c r="A8230" s="3" t="e">
        <f ca="1"/>
        <v>#NAME?</v>
      </c>
      <c r="B8230" s="2" t="s">
        <v>12</v>
      </c>
      <c r="C8230" s="2" t="s">
        <v>12</v>
      </c>
      <c r="D8230" s="2" t="s">
        <v>12</v>
      </c>
      <c r="E8230" s="2" t="s">
        <v>12</v>
      </c>
      <c r="F8230" s="2" t="s">
        <v>12</v>
      </c>
      <c r="G8230" s="2" t="s">
        <v>12</v>
      </c>
      <c r="H8230" s="2" t="s">
        <v>12</v>
      </c>
      <c r="I8230" s="2" t="s">
        <v>12</v>
      </c>
      <c r="J8230" s="2" t="s">
        <v>12</v>
      </c>
      <c r="K8230" s="2" t="s">
        <v>12</v>
      </c>
    </row>
    <row r="8231" spans="1:11" ht="12.5" x14ac:dyDescent="0.25">
      <c r="A8231" s="3" t="e">
        <f ca="1"/>
        <v>#NAME?</v>
      </c>
      <c r="B8231" s="2" t="s">
        <v>12</v>
      </c>
      <c r="C8231" s="2" t="s">
        <v>12</v>
      </c>
      <c r="D8231" s="2" t="s">
        <v>12</v>
      </c>
      <c r="E8231" s="2" t="s">
        <v>12</v>
      </c>
      <c r="F8231" s="2" t="s">
        <v>12</v>
      </c>
      <c r="G8231" s="2" t="s">
        <v>12</v>
      </c>
      <c r="H8231" s="2" t="s">
        <v>12</v>
      </c>
      <c r="I8231" s="2" t="s">
        <v>12</v>
      </c>
      <c r="J8231" s="2" t="s">
        <v>12</v>
      </c>
      <c r="K8231" s="2" t="s">
        <v>12</v>
      </c>
    </row>
    <row r="8232" spans="1:11" ht="12.5" x14ac:dyDescent="0.25">
      <c r="A8232" s="3" t="e">
        <f ca="1"/>
        <v>#NAME?</v>
      </c>
      <c r="B8232" s="2" t="s">
        <v>12</v>
      </c>
      <c r="C8232" s="2" t="s">
        <v>12</v>
      </c>
      <c r="D8232" s="2" t="s">
        <v>12</v>
      </c>
      <c r="E8232" s="2" t="s">
        <v>12</v>
      </c>
      <c r="F8232" s="2" t="s">
        <v>12</v>
      </c>
      <c r="G8232" s="2" t="s">
        <v>12</v>
      </c>
      <c r="H8232" s="2" t="s">
        <v>12</v>
      </c>
      <c r="I8232" s="2" t="s">
        <v>12</v>
      </c>
      <c r="J8232" s="2" t="s">
        <v>12</v>
      </c>
      <c r="K8232" s="2" t="s">
        <v>12</v>
      </c>
    </row>
    <row r="8233" spans="1:11" ht="12.5" x14ac:dyDescent="0.25">
      <c r="A8233" s="3" t="e">
        <f ca="1"/>
        <v>#NAME?</v>
      </c>
      <c r="B8233" s="2" t="s">
        <v>12</v>
      </c>
      <c r="C8233" s="2" t="s">
        <v>12</v>
      </c>
      <c r="D8233" s="2" t="s">
        <v>12</v>
      </c>
      <c r="E8233" s="2" t="s">
        <v>12</v>
      </c>
      <c r="F8233" s="2" t="s">
        <v>12</v>
      </c>
      <c r="G8233" s="2" t="s">
        <v>12</v>
      </c>
      <c r="H8233" s="2" t="s">
        <v>12</v>
      </c>
      <c r="I8233" s="2" t="s">
        <v>12</v>
      </c>
      <c r="J8233" s="2" t="s">
        <v>12</v>
      </c>
      <c r="K8233" s="2" t="s">
        <v>12</v>
      </c>
    </row>
    <row r="8234" spans="1:11" ht="12.5" x14ac:dyDescent="0.25">
      <c r="A8234" s="3" t="e">
        <f ca="1"/>
        <v>#NAME?</v>
      </c>
      <c r="B8234" s="2" t="s">
        <v>12</v>
      </c>
      <c r="C8234" s="2" t="s">
        <v>12</v>
      </c>
      <c r="D8234" s="2" t="s">
        <v>12</v>
      </c>
      <c r="E8234" s="2" t="s">
        <v>12</v>
      </c>
      <c r="F8234" s="2" t="s">
        <v>12</v>
      </c>
      <c r="G8234" s="2" t="s">
        <v>12</v>
      </c>
      <c r="H8234" s="2" t="s">
        <v>12</v>
      </c>
      <c r="I8234" s="2" t="s">
        <v>12</v>
      </c>
      <c r="J8234" s="2" t="s">
        <v>12</v>
      </c>
      <c r="K8234" s="2" t="s">
        <v>12</v>
      </c>
    </row>
    <row r="8235" spans="1:11" ht="12.5" x14ac:dyDescent="0.25">
      <c r="A8235" s="3" t="e">
        <f ca="1"/>
        <v>#NAME?</v>
      </c>
      <c r="B8235" s="2" t="s">
        <v>12</v>
      </c>
      <c r="C8235" s="2" t="s">
        <v>12</v>
      </c>
      <c r="D8235" s="2" t="s">
        <v>12</v>
      </c>
      <c r="E8235" s="2" t="s">
        <v>12</v>
      </c>
      <c r="F8235" s="2" t="s">
        <v>12</v>
      </c>
      <c r="G8235" s="2" t="s">
        <v>12</v>
      </c>
      <c r="H8235" s="2" t="s">
        <v>12</v>
      </c>
      <c r="I8235" s="2" t="s">
        <v>12</v>
      </c>
      <c r="J8235" s="2" t="s">
        <v>12</v>
      </c>
      <c r="K8235" s="2" t="s">
        <v>12</v>
      </c>
    </row>
    <row r="8236" spans="1:11" ht="12.5" x14ac:dyDescent="0.25">
      <c r="A8236" s="3" t="e">
        <f ca="1"/>
        <v>#NAME?</v>
      </c>
      <c r="B8236" s="2" t="s">
        <v>12</v>
      </c>
      <c r="C8236" s="2" t="s">
        <v>12</v>
      </c>
      <c r="D8236" s="2" t="s">
        <v>12</v>
      </c>
      <c r="E8236" s="2" t="s">
        <v>12</v>
      </c>
      <c r="F8236" s="2" t="s">
        <v>12</v>
      </c>
      <c r="G8236" s="2" t="s">
        <v>12</v>
      </c>
      <c r="H8236" s="2" t="s">
        <v>12</v>
      </c>
      <c r="I8236" s="2" t="s">
        <v>12</v>
      </c>
      <c r="J8236" s="2" t="s">
        <v>12</v>
      </c>
      <c r="K8236" s="2" t="s">
        <v>12</v>
      </c>
    </row>
    <row r="8237" spans="1:11" ht="12.5" x14ac:dyDescent="0.25">
      <c r="A8237" s="3" t="e">
        <f ca="1"/>
        <v>#NAME?</v>
      </c>
      <c r="B8237" s="2" t="s">
        <v>12</v>
      </c>
      <c r="C8237" s="2" t="s">
        <v>12</v>
      </c>
      <c r="D8237" s="2" t="s">
        <v>12</v>
      </c>
      <c r="E8237" s="2" t="s">
        <v>12</v>
      </c>
      <c r="F8237" s="2" t="s">
        <v>12</v>
      </c>
      <c r="G8237" s="2" t="s">
        <v>12</v>
      </c>
      <c r="H8237" s="2" t="s">
        <v>12</v>
      </c>
      <c r="I8237" s="2" t="s">
        <v>12</v>
      </c>
      <c r="J8237" s="2" t="s">
        <v>12</v>
      </c>
      <c r="K8237" s="2" t="s">
        <v>12</v>
      </c>
    </row>
    <row r="8238" spans="1:11" ht="12.5" x14ac:dyDescent="0.25">
      <c r="A8238" s="3" t="e">
        <f ca="1"/>
        <v>#NAME?</v>
      </c>
      <c r="B8238" s="2" t="s">
        <v>12</v>
      </c>
      <c r="C8238" s="2" t="s">
        <v>12</v>
      </c>
      <c r="D8238" s="2" t="s">
        <v>12</v>
      </c>
      <c r="E8238" s="2" t="s">
        <v>12</v>
      </c>
      <c r="F8238" s="2" t="s">
        <v>12</v>
      </c>
      <c r="G8238" s="2" t="s">
        <v>12</v>
      </c>
      <c r="H8238" s="2" t="s">
        <v>12</v>
      </c>
      <c r="I8238" s="2" t="s">
        <v>12</v>
      </c>
      <c r="J8238" s="2" t="s">
        <v>12</v>
      </c>
      <c r="K8238" s="2" t="s">
        <v>12</v>
      </c>
    </row>
    <row r="8239" spans="1:11" ht="12.5" x14ac:dyDescent="0.25">
      <c r="A8239" s="3" t="e">
        <f ca="1"/>
        <v>#NAME?</v>
      </c>
      <c r="B8239" s="2" t="s">
        <v>12</v>
      </c>
      <c r="C8239" s="2" t="s">
        <v>12</v>
      </c>
      <c r="D8239" s="2" t="s">
        <v>12</v>
      </c>
      <c r="E8239" s="2" t="s">
        <v>12</v>
      </c>
      <c r="F8239" s="2" t="s">
        <v>12</v>
      </c>
      <c r="G8239" s="2" t="s">
        <v>12</v>
      </c>
      <c r="H8239" s="2" t="s">
        <v>12</v>
      </c>
      <c r="I8239" s="2" t="s">
        <v>12</v>
      </c>
      <c r="J8239" s="2" t="s">
        <v>12</v>
      </c>
      <c r="K8239" s="2" t="s">
        <v>12</v>
      </c>
    </row>
    <row r="8240" spans="1:11" ht="12.5" x14ac:dyDescent="0.25">
      <c r="A8240" s="3" t="e">
        <f ca="1"/>
        <v>#NAME?</v>
      </c>
      <c r="B8240" s="2" t="s">
        <v>12</v>
      </c>
      <c r="C8240" s="2" t="s">
        <v>12</v>
      </c>
      <c r="D8240" s="2" t="s">
        <v>12</v>
      </c>
      <c r="E8240" s="2" t="s">
        <v>12</v>
      </c>
      <c r="F8240" s="2" t="s">
        <v>12</v>
      </c>
      <c r="G8240" s="2" t="s">
        <v>12</v>
      </c>
      <c r="H8240" s="2" t="s">
        <v>12</v>
      </c>
      <c r="I8240" s="2" t="s">
        <v>12</v>
      </c>
      <c r="J8240" s="2" t="s">
        <v>12</v>
      </c>
      <c r="K8240" s="2" t="s">
        <v>12</v>
      </c>
    </row>
    <row r="8241" spans="1:11" ht="12.5" x14ac:dyDescent="0.25">
      <c r="A8241" s="3" t="e">
        <f ca="1"/>
        <v>#NAME?</v>
      </c>
      <c r="B8241" s="2" t="s">
        <v>12</v>
      </c>
      <c r="C8241" s="2" t="s">
        <v>12</v>
      </c>
      <c r="D8241" s="2" t="s">
        <v>12</v>
      </c>
      <c r="E8241" s="2" t="s">
        <v>12</v>
      </c>
      <c r="F8241" s="2" t="s">
        <v>12</v>
      </c>
      <c r="G8241" s="2" t="s">
        <v>12</v>
      </c>
      <c r="H8241" s="2" t="s">
        <v>12</v>
      </c>
      <c r="I8241" s="2" t="s">
        <v>12</v>
      </c>
      <c r="J8241" s="2" t="s">
        <v>12</v>
      </c>
      <c r="K8241" s="2" t="s">
        <v>12</v>
      </c>
    </row>
    <row r="8242" spans="1:11" ht="12.5" x14ac:dyDescent="0.25">
      <c r="A8242" s="3" t="e">
        <f ca="1"/>
        <v>#NAME?</v>
      </c>
      <c r="B8242" s="2" t="s">
        <v>12</v>
      </c>
      <c r="C8242" s="2" t="s">
        <v>12</v>
      </c>
      <c r="D8242" s="2" t="s">
        <v>12</v>
      </c>
      <c r="E8242" s="2" t="s">
        <v>12</v>
      </c>
      <c r="F8242" s="2" t="s">
        <v>12</v>
      </c>
      <c r="G8242" s="2" t="s">
        <v>12</v>
      </c>
      <c r="H8242" s="2" t="s">
        <v>12</v>
      </c>
      <c r="I8242" s="2" t="s">
        <v>12</v>
      </c>
      <c r="J8242" s="2" t="s">
        <v>12</v>
      </c>
      <c r="K8242" s="2" t="s">
        <v>12</v>
      </c>
    </row>
    <row r="8243" spans="1:11" ht="12.5" x14ac:dyDescent="0.25">
      <c r="A8243" s="3" t="e">
        <f ca="1"/>
        <v>#NAME?</v>
      </c>
      <c r="B8243" s="2" t="s">
        <v>12</v>
      </c>
      <c r="C8243" s="2" t="s">
        <v>12</v>
      </c>
      <c r="D8243" s="2" t="s">
        <v>12</v>
      </c>
      <c r="E8243" s="2" t="s">
        <v>12</v>
      </c>
      <c r="F8243" s="2" t="s">
        <v>12</v>
      </c>
      <c r="G8243" s="2" t="s">
        <v>12</v>
      </c>
      <c r="H8243" s="2" t="s">
        <v>12</v>
      </c>
      <c r="I8243" s="2" t="s">
        <v>12</v>
      </c>
      <c r="J8243" s="2" t="s">
        <v>12</v>
      </c>
      <c r="K8243" s="2" t="s">
        <v>12</v>
      </c>
    </row>
    <row r="8244" spans="1:11" ht="12.5" x14ac:dyDescent="0.25">
      <c r="A8244" s="3" t="e">
        <f ca="1"/>
        <v>#NAME?</v>
      </c>
      <c r="B8244" s="2" t="s">
        <v>12</v>
      </c>
      <c r="C8244" s="2" t="s">
        <v>12</v>
      </c>
      <c r="D8244" s="2" t="s">
        <v>12</v>
      </c>
      <c r="E8244" s="2" t="s">
        <v>12</v>
      </c>
      <c r="F8244" s="2" t="s">
        <v>12</v>
      </c>
      <c r="G8244" s="2" t="s">
        <v>12</v>
      </c>
      <c r="H8244" s="2" t="s">
        <v>12</v>
      </c>
      <c r="I8244" s="2" t="s">
        <v>12</v>
      </c>
      <c r="J8244" s="2" t="s">
        <v>12</v>
      </c>
      <c r="K8244" s="2" t="s">
        <v>12</v>
      </c>
    </row>
    <row r="8245" spans="1:11" ht="12.5" x14ac:dyDescent="0.25">
      <c r="A8245" s="3" t="e">
        <f ca="1"/>
        <v>#NAME?</v>
      </c>
      <c r="B8245" s="2" t="s">
        <v>12</v>
      </c>
      <c r="C8245" s="2" t="s">
        <v>12</v>
      </c>
      <c r="D8245" s="2" t="s">
        <v>12</v>
      </c>
      <c r="E8245" s="2" t="s">
        <v>12</v>
      </c>
      <c r="F8245" s="2" t="s">
        <v>12</v>
      </c>
      <c r="G8245" s="2" t="s">
        <v>12</v>
      </c>
      <c r="H8245" s="2" t="s">
        <v>12</v>
      </c>
      <c r="I8245" s="2" t="s">
        <v>12</v>
      </c>
      <c r="J8245" s="2" t="s">
        <v>12</v>
      </c>
      <c r="K8245" s="2" t="s">
        <v>12</v>
      </c>
    </row>
    <row r="8246" spans="1:11" ht="12.5" x14ac:dyDescent="0.25">
      <c r="A8246" s="3" t="e">
        <f ca="1"/>
        <v>#NAME?</v>
      </c>
      <c r="B8246" s="2" t="s">
        <v>12</v>
      </c>
      <c r="C8246" s="2" t="s">
        <v>12</v>
      </c>
      <c r="D8246" s="2" t="s">
        <v>12</v>
      </c>
      <c r="E8246" s="2" t="s">
        <v>12</v>
      </c>
      <c r="F8246" s="2" t="s">
        <v>12</v>
      </c>
      <c r="G8246" s="2" t="s">
        <v>12</v>
      </c>
      <c r="H8246" s="2" t="s">
        <v>12</v>
      </c>
      <c r="I8246" s="2" t="s">
        <v>12</v>
      </c>
      <c r="J8246" s="2" t="s">
        <v>12</v>
      </c>
      <c r="K8246" s="2" t="s">
        <v>12</v>
      </c>
    </row>
    <row r="8247" spans="1:11" ht="12.5" x14ac:dyDescent="0.25">
      <c r="A8247" s="3" t="e">
        <f ca="1"/>
        <v>#NAME?</v>
      </c>
      <c r="B8247" s="2" t="s">
        <v>12</v>
      </c>
      <c r="C8247" s="2" t="s">
        <v>12</v>
      </c>
      <c r="D8247" s="2" t="s">
        <v>12</v>
      </c>
      <c r="E8247" s="2" t="s">
        <v>12</v>
      </c>
      <c r="F8247" s="2" t="s">
        <v>12</v>
      </c>
      <c r="G8247" s="2" t="s">
        <v>12</v>
      </c>
      <c r="H8247" s="2" t="s">
        <v>12</v>
      </c>
      <c r="I8247" s="2" t="s">
        <v>12</v>
      </c>
      <c r="J8247" s="2" t="s">
        <v>12</v>
      </c>
      <c r="K8247" s="2" t="s">
        <v>12</v>
      </c>
    </row>
    <row r="8248" spans="1:11" ht="12.5" x14ac:dyDescent="0.25">
      <c r="A8248" s="3" t="e">
        <f ca="1"/>
        <v>#NAME?</v>
      </c>
      <c r="B8248" s="2" t="s">
        <v>12</v>
      </c>
      <c r="C8248" s="2" t="s">
        <v>12</v>
      </c>
      <c r="D8248" s="2" t="s">
        <v>12</v>
      </c>
      <c r="E8248" s="2" t="s">
        <v>12</v>
      </c>
      <c r="F8248" s="2" t="s">
        <v>12</v>
      </c>
      <c r="G8248" s="2" t="s">
        <v>12</v>
      </c>
      <c r="H8248" s="2" t="s">
        <v>12</v>
      </c>
      <c r="I8248" s="2" t="s">
        <v>12</v>
      </c>
      <c r="J8248" s="2" t="s">
        <v>12</v>
      </c>
      <c r="K8248" s="2" t="s">
        <v>12</v>
      </c>
    </row>
    <row r="8249" spans="1:11" ht="12.5" x14ac:dyDescent="0.25">
      <c r="A8249" s="3" t="e">
        <f ca="1"/>
        <v>#NAME?</v>
      </c>
      <c r="B8249" s="2" t="s">
        <v>12</v>
      </c>
      <c r="C8249" s="2" t="s">
        <v>12</v>
      </c>
      <c r="D8249" s="2" t="s">
        <v>12</v>
      </c>
      <c r="E8249" s="2" t="s">
        <v>12</v>
      </c>
      <c r="F8249" s="2" t="s">
        <v>12</v>
      </c>
      <c r="G8249" s="2" t="s">
        <v>12</v>
      </c>
      <c r="H8249" s="2" t="s">
        <v>12</v>
      </c>
      <c r="I8249" s="2" t="s">
        <v>12</v>
      </c>
      <c r="J8249" s="2" t="s">
        <v>12</v>
      </c>
      <c r="K8249" s="2" t="s">
        <v>12</v>
      </c>
    </row>
    <row r="8250" spans="1:11" ht="12.5" x14ac:dyDescent="0.25">
      <c r="A8250" s="3" t="e">
        <f ca="1"/>
        <v>#NAME?</v>
      </c>
      <c r="B8250" s="2" t="s">
        <v>12</v>
      </c>
      <c r="C8250" s="2" t="s">
        <v>12</v>
      </c>
      <c r="D8250" s="2" t="s">
        <v>12</v>
      </c>
      <c r="E8250" s="2" t="s">
        <v>12</v>
      </c>
      <c r="F8250" s="2" t="s">
        <v>12</v>
      </c>
      <c r="G8250" s="2" t="s">
        <v>12</v>
      </c>
      <c r="H8250" s="2" t="s">
        <v>12</v>
      </c>
      <c r="I8250" s="2" t="s">
        <v>12</v>
      </c>
      <c r="J8250" s="2" t="s">
        <v>12</v>
      </c>
      <c r="K8250" s="2" t="s">
        <v>12</v>
      </c>
    </row>
    <row r="8251" spans="1:11" ht="12.5" x14ac:dyDescent="0.25">
      <c r="A8251" s="3" t="e">
        <f ca="1"/>
        <v>#NAME?</v>
      </c>
      <c r="B8251" s="2" t="s">
        <v>12</v>
      </c>
      <c r="C8251" s="2" t="s">
        <v>12</v>
      </c>
      <c r="D8251" s="2" t="s">
        <v>12</v>
      </c>
      <c r="E8251" s="2" t="s">
        <v>12</v>
      </c>
      <c r="F8251" s="2" t="s">
        <v>12</v>
      </c>
      <c r="G8251" s="2" t="s">
        <v>12</v>
      </c>
      <c r="H8251" s="2" t="s">
        <v>12</v>
      </c>
      <c r="I8251" s="2" t="s">
        <v>12</v>
      </c>
      <c r="J8251" s="2" t="s">
        <v>12</v>
      </c>
      <c r="K8251" s="2" t="s">
        <v>12</v>
      </c>
    </row>
    <row r="8252" spans="1:11" ht="12.5" x14ac:dyDescent="0.25">
      <c r="A8252" s="3" t="e">
        <f ca="1"/>
        <v>#NAME?</v>
      </c>
      <c r="B8252" s="2" t="s">
        <v>12</v>
      </c>
      <c r="C8252" s="2" t="s">
        <v>12</v>
      </c>
      <c r="D8252" s="2" t="s">
        <v>12</v>
      </c>
      <c r="E8252" s="2" t="s">
        <v>12</v>
      </c>
      <c r="F8252" s="2" t="s">
        <v>12</v>
      </c>
      <c r="G8252" s="2" t="s">
        <v>12</v>
      </c>
      <c r="H8252" s="2" t="s">
        <v>12</v>
      </c>
      <c r="I8252" s="2" t="s">
        <v>12</v>
      </c>
      <c r="J8252" s="2" t="s">
        <v>12</v>
      </c>
      <c r="K8252" s="2" t="s">
        <v>12</v>
      </c>
    </row>
    <row r="8253" spans="1:11" ht="12.5" x14ac:dyDescent="0.25">
      <c r="A8253" s="3" t="e">
        <f ca="1"/>
        <v>#NAME?</v>
      </c>
      <c r="B8253" s="2" t="s">
        <v>12</v>
      </c>
      <c r="C8253" s="2" t="s">
        <v>12</v>
      </c>
      <c r="D8253" s="2" t="s">
        <v>12</v>
      </c>
      <c r="E8253" s="2" t="s">
        <v>12</v>
      </c>
      <c r="F8253" s="2" t="s">
        <v>12</v>
      </c>
      <c r="G8253" s="2" t="s">
        <v>12</v>
      </c>
      <c r="H8253" s="2" t="s">
        <v>12</v>
      </c>
      <c r="I8253" s="2" t="s">
        <v>12</v>
      </c>
      <c r="J8253" s="2" t="s">
        <v>12</v>
      </c>
      <c r="K8253" s="2" t="s">
        <v>12</v>
      </c>
    </row>
    <row r="8254" spans="1:11" ht="12.5" x14ac:dyDescent="0.25">
      <c r="A8254" s="3" t="e">
        <f ca="1"/>
        <v>#NAME?</v>
      </c>
      <c r="B8254" s="2" t="s">
        <v>12</v>
      </c>
      <c r="C8254" s="2" t="s">
        <v>12</v>
      </c>
      <c r="D8254" s="2" t="s">
        <v>12</v>
      </c>
      <c r="E8254" s="2" t="s">
        <v>12</v>
      </c>
      <c r="F8254" s="2" t="s">
        <v>12</v>
      </c>
      <c r="G8254" s="2" t="s">
        <v>12</v>
      </c>
      <c r="H8254" s="2" t="s">
        <v>12</v>
      </c>
      <c r="I8254" s="2" t="s">
        <v>12</v>
      </c>
      <c r="J8254" s="2" t="s">
        <v>12</v>
      </c>
      <c r="K8254" s="2" t="s">
        <v>12</v>
      </c>
    </row>
    <row r="8255" spans="1:11" ht="12.5" x14ac:dyDescent="0.25">
      <c r="A8255" s="3" t="e">
        <f ca="1"/>
        <v>#NAME?</v>
      </c>
      <c r="B8255" s="2" t="s">
        <v>12</v>
      </c>
      <c r="C8255" s="2" t="s">
        <v>12</v>
      </c>
      <c r="D8255" s="2" t="s">
        <v>12</v>
      </c>
      <c r="E8255" s="2" t="s">
        <v>12</v>
      </c>
      <c r="F8255" s="2" t="s">
        <v>12</v>
      </c>
      <c r="G8255" s="2" t="s">
        <v>12</v>
      </c>
      <c r="H8255" s="2" t="s">
        <v>12</v>
      </c>
      <c r="I8255" s="2" t="s">
        <v>12</v>
      </c>
      <c r="J8255" s="2" t="s">
        <v>12</v>
      </c>
      <c r="K8255" s="2" t="s">
        <v>12</v>
      </c>
    </row>
    <row r="8256" spans="1:11" ht="12.5" x14ac:dyDescent="0.25">
      <c r="A8256" s="3" t="e">
        <f ca="1"/>
        <v>#NAME?</v>
      </c>
      <c r="B8256" s="2" t="s">
        <v>12</v>
      </c>
      <c r="C8256" s="2" t="s">
        <v>12</v>
      </c>
      <c r="D8256" s="2" t="s">
        <v>12</v>
      </c>
      <c r="E8256" s="2" t="s">
        <v>12</v>
      </c>
      <c r="F8256" s="2" t="s">
        <v>12</v>
      </c>
      <c r="G8256" s="2" t="s">
        <v>12</v>
      </c>
      <c r="H8256" s="2" t="s">
        <v>12</v>
      </c>
      <c r="I8256" s="2" t="s">
        <v>12</v>
      </c>
      <c r="J8256" s="2" t="s">
        <v>12</v>
      </c>
      <c r="K8256" s="2" t="s">
        <v>12</v>
      </c>
    </row>
    <row r="8257" spans="1:11" ht="12.5" x14ac:dyDescent="0.25">
      <c r="A8257" s="3" t="e">
        <f ca="1"/>
        <v>#NAME?</v>
      </c>
      <c r="B8257" s="2" t="s">
        <v>12</v>
      </c>
      <c r="C8257" s="2" t="s">
        <v>12</v>
      </c>
      <c r="D8257" s="2" t="s">
        <v>12</v>
      </c>
      <c r="E8257" s="2" t="s">
        <v>12</v>
      </c>
      <c r="F8257" s="2" t="s">
        <v>12</v>
      </c>
      <c r="G8257" s="2" t="s">
        <v>12</v>
      </c>
      <c r="H8257" s="2" t="s">
        <v>12</v>
      </c>
      <c r="I8257" s="2" t="s">
        <v>12</v>
      </c>
      <c r="J8257" s="2" t="s">
        <v>12</v>
      </c>
      <c r="K8257" s="2" t="s">
        <v>12</v>
      </c>
    </row>
    <row r="8258" spans="1:11" ht="12.5" x14ac:dyDescent="0.25">
      <c r="A8258" s="3" t="e">
        <f ca="1"/>
        <v>#NAME?</v>
      </c>
      <c r="B8258" s="2" t="s">
        <v>12</v>
      </c>
      <c r="C8258" s="2" t="s">
        <v>12</v>
      </c>
      <c r="D8258" s="2" t="s">
        <v>12</v>
      </c>
      <c r="E8258" s="2" t="s">
        <v>12</v>
      </c>
      <c r="F8258" s="2" t="s">
        <v>12</v>
      </c>
      <c r="G8258" s="2" t="s">
        <v>12</v>
      </c>
      <c r="H8258" s="2" t="s">
        <v>12</v>
      </c>
      <c r="I8258" s="2" t="s">
        <v>12</v>
      </c>
      <c r="J8258" s="2" t="s">
        <v>12</v>
      </c>
      <c r="K8258" s="2" t="s">
        <v>12</v>
      </c>
    </row>
    <row r="8259" spans="1:11" ht="12.5" x14ac:dyDescent="0.25">
      <c r="A8259" s="3" t="e">
        <f ca="1"/>
        <v>#NAME?</v>
      </c>
      <c r="B8259" s="2" t="s">
        <v>12</v>
      </c>
      <c r="C8259" s="2" t="s">
        <v>12</v>
      </c>
      <c r="D8259" s="2" t="s">
        <v>12</v>
      </c>
      <c r="E8259" s="2" t="s">
        <v>12</v>
      </c>
      <c r="F8259" s="2" t="s">
        <v>12</v>
      </c>
      <c r="G8259" s="2" t="s">
        <v>12</v>
      </c>
      <c r="H8259" s="2" t="s">
        <v>12</v>
      </c>
      <c r="I8259" s="2" t="s">
        <v>12</v>
      </c>
      <c r="J8259" s="2" t="s">
        <v>12</v>
      </c>
      <c r="K8259" s="2" t="s">
        <v>12</v>
      </c>
    </row>
    <row r="8260" spans="1:11" ht="12.5" x14ac:dyDescent="0.25">
      <c r="A8260" s="3" t="e">
        <f ca="1"/>
        <v>#NAME?</v>
      </c>
      <c r="B8260" s="2" t="s">
        <v>12</v>
      </c>
      <c r="C8260" s="2" t="s">
        <v>12</v>
      </c>
      <c r="D8260" s="2" t="s">
        <v>12</v>
      </c>
      <c r="E8260" s="2" t="s">
        <v>12</v>
      </c>
      <c r="F8260" s="2" t="s">
        <v>12</v>
      </c>
      <c r="G8260" s="2" t="s">
        <v>12</v>
      </c>
      <c r="H8260" s="2" t="s">
        <v>12</v>
      </c>
      <c r="I8260" s="2" t="s">
        <v>12</v>
      </c>
      <c r="J8260" s="2" t="s">
        <v>12</v>
      </c>
      <c r="K8260" s="2" t="s">
        <v>12</v>
      </c>
    </row>
    <row r="8261" spans="1:11" ht="12.5" x14ac:dyDescent="0.25">
      <c r="A8261" s="3" t="e">
        <f ca="1"/>
        <v>#NAME?</v>
      </c>
      <c r="B8261" s="2" t="s">
        <v>12</v>
      </c>
      <c r="C8261" s="2" t="s">
        <v>12</v>
      </c>
      <c r="D8261" s="2" t="s">
        <v>12</v>
      </c>
      <c r="E8261" s="2" t="s">
        <v>12</v>
      </c>
      <c r="F8261" s="2" t="s">
        <v>12</v>
      </c>
      <c r="G8261" s="2" t="s">
        <v>12</v>
      </c>
      <c r="H8261" s="2" t="s">
        <v>12</v>
      </c>
      <c r="I8261" s="2" t="s">
        <v>12</v>
      </c>
      <c r="J8261" s="2" t="s">
        <v>12</v>
      </c>
      <c r="K8261" s="2" t="s">
        <v>12</v>
      </c>
    </row>
    <row r="8262" spans="1:11" ht="12.5" x14ac:dyDescent="0.25">
      <c r="A8262" s="3" t="e">
        <f ca="1"/>
        <v>#NAME?</v>
      </c>
      <c r="B8262" s="2" t="s">
        <v>12</v>
      </c>
      <c r="C8262" s="2" t="s">
        <v>12</v>
      </c>
      <c r="D8262" s="2" t="s">
        <v>12</v>
      </c>
      <c r="E8262" s="2" t="s">
        <v>12</v>
      </c>
      <c r="F8262" s="2" t="s">
        <v>12</v>
      </c>
      <c r="G8262" s="2" t="s">
        <v>12</v>
      </c>
      <c r="H8262" s="2" t="s">
        <v>12</v>
      </c>
      <c r="I8262" s="2" t="s">
        <v>12</v>
      </c>
      <c r="J8262" s="2" t="s">
        <v>12</v>
      </c>
      <c r="K8262" s="2" t="s">
        <v>12</v>
      </c>
    </row>
    <row r="8263" spans="1:11" ht="12.5" x14ac:dyDescent="0.25">
      <c r="A8263" s="3" t="e">
        <f ca="1"/>
        <v>#NAME?</v>
      </c>
      <c r="B8263" s="2" t="s">
        <v>12</v>
      </c>
      <c r="C8263" s="2" t="s">
        <v>12</v>
      </c>
      <c r="D8263" s="2" t="s">
        <v>12</v>
      </c>
      <c r="E8263" s="2" t="s">
        <v>12</v>
      </c>
      <c r="F8263" s="2" t="s">
        <v>12</v>
      </c>
      <c r="G8263" s="2" t="s">
        <v>12</v>
      </c>
      <c r="H8263" s="2" t="s">
        <v>12</v>
      </c>
      <c r="I8263" s="2" t="s">
        <v>12</v>
      </c>
      <c r="J8263" s="2" t="s">
        <v>12</v>
      </c>
      <c r="K8263" s="2" t="s">
        <v>12</v>
      </c>
    </row>
    <row r="8264" spans="1:11" ht="12.5" x14ac:dyDescent="0.25">
      <c r="A8264" s="3" t="e">
        <f ca="1"/>
        <v>#NAME?</v>
      </c>
      <c r="B8264" s="2" t="s">
        <v>12</v>
      </c>
      <c r="C8264" s="2" t="s">
        <v>12</v>
      </c>
      <c r="D8264" s="2" t="s">
        <v>12</v>
      </c>
      <c r="E8264" s="2" t="s">
        <v>12</v>
      </c>
      <c r="F8264" s="2" t="s">
        <v>12</v>
      </c>
      <c r="G8264" s="2" t="s">
        <v>12</v>
      </c>
      <c r="H8264" s="2" t="s">
        <v>12</v>
      </c>
      <c r="I8264" s="2" t="s">
        <v>12</v>
      </c>
      <c r="J8264" s="2" t="s">
        <v>12</v>
      </c>
      <c r="K8264" s="2" t="s">
        <v>12</v>
      </c>
    </row>
    <row r="8265" spans="1:11" ht="12.5" x14ac:dyDescent="0.25">
      <c r="A8265" s="3" t="e">
        <f ca="1"/>
        <v>#NAME?</v>
      </c>
      <c r="B8265" s="2" t="s">
        <v>12</v>
      </c>
      <c r="C8265" s="2" t="s">
        <v>12</v>
      </c>
      <c r="D8265" s="2" t="s">
        <v>12</v>
      </c>
      <c r="E8265" s="2" t="s">
        <v>12</v>
      </c>
      <c r="F8265" s="2" t="s">
        <v>12</v>
      </c>
      <c r="G8265" s="2" t="s">
        <v>12</v>
      </c>
      <c r="H8265" s="2" t="s">
        <v>12</v>
      </c>
      <c r="I8265" s="2" t="s">
        <v>12</v>
      </c>
      <c r="J8265" s="2" t="s">
        <v>12</v>
      </c>
      <c r="K8265" s="2" t="s">
        <v>12</v>
      </c>
    </row>
    <row r="8266" spans="1:11" ht="12.5" x14ac:dyDescent="0.25">
      <c r="A8266" s="3" t="e">
        <f ca="1"/>
        <v>#NAME?</v>
      </c>
      <c r="B8266" s="2" t="s">
        <v>12</v>
      </c>
      <c r="C8266" s="2" t="s">
        <v>12</v>
      </c>
      <c r="D8266" s="2" t="s">
        <v>12</v>
      </c>
      <c r="E8266" s="2" t="s">
        <v>12</v>
      </c>
      <c r="F8266" s="2" t="s">
        <v>12</v>
      </c>
      <c r="G8266" s="2" t="s">
        <v>12</v>
      </c>
      <c r="H8266" s="2" t="s">
        <v>12</v>
      </c>
      <c r="I8266" s="2" t="s">
        <v>12</v>
      </c>
      <c r="J8266" s="2" t="s">
        <v>12</v>
      </c>
      <c r="K8266" s="2" t="s">
        <v>12</v>
      </c>
    </row>
    <row r="8267" spans="1:11" ht="12.5" x14ac:dyDescent="0.25">
      <c r="A8267" s="3" t="e">
        <f ca="1"/>
        <v>#NAME?</v>
      </c>
      <c r="B8267" s="2" t="s">
        <v>12</v>
      </c>
      <c r="C8267" s="2" t="s">
        <v>12</v>
      </c>
      <c r="D8267" s="2" t="s">
        <v>12</v>
      </c>
      <c r="E8267" s="2" t="s">
        <v>12</v>
      </c>
      <c r="F8267" s="2" t="s">
        <v>12</v>
      </c>
      <c r="G8267" s="2" t="s">
        <v>12</v>
      </c>
      <c r="H8267" s="2" t="s">
        <v>12</v>
      </c>
      <c r="I8267" s="2" t="s">
        <v>12</v>
      </c>
      <c r="J8267" s="2" t="s">
        <v>12</v>
      </c>
      <c r="K8267" s="2" t="s">
        <v>12</v>
      </c>
    </row>
    <row r="8268" spans="1:11" ht="12.5" x14ac:dyDescent="0.25">
      <c r="A8268" s="3" t="e">
        <f ca="1"/>
        <v>#NAME?</v>
      </c>
      <c r="B8268" s="2" t="s">
        <v>12</v>
      </c>
      <c r="C8268" s="2" t="s">
        <v>12</v>
      </c>
      <c r="D8268" s="2" t="s">
        <v>12</v>
      </c>
      <c r="E8268" s="2" t="s">
        <v>12</v>
      </c>
      <c r="F8268" s="2" t="s">
        <v>12</v>
      </c>
      <c r="G8268" s="2" t="s">
        <v>12</v>
      </c>
      <c r="H8268" s="2" t="s">
        <v>12</v>
      </c>
      <c r="I8268" s="2" t="s">
        <v>12</v>
      </c>
      <c r="J8268" s="2" t="s">
        <v>12</v>
      </c>
      <c r="K8268" s="2" t="s">
        <v>12</v>
      </c>
    </row>
    <row r="8269" spans="1:11" ht="12.5" x14ac:dyDescent="0.25">
      <c r="A8269" s="3" t="e">
        <f ca="1"/>
        <v>#NAME?</v>
      </c>
      <c r="B8269" s="2" t="s">
        <v>12</v>
      </c>
      <c r="C8269" s="2" t="s">
        <v>12</v>
      </c>
      <c r="D8269" s="2" t="s">
        <v>12</v>
      </c>
      <c r="E8269" s="2" t="s">
        <v>12</v>
      </c>
      <c r="F8269" s="2" t="s">
        <v>12</v>
      </c>
      <c r="G8269" s="2" t="s">
        <v>12</v>
      </c>
      <c r="H8269" s="2" t="s">
        <v>12</v>
      </c>
      <c r="I8269" s="2" t="s">
        <v>12</v>
      </c>
      <c r="J8269" s="2" t="s">
        <v>12</v>
      </c>
      <c r="K8269" s="2" t="s">
        <v>12</v>
      </c>
    </row>
    <row r="8270" spans="1:11" ht="12.5" x14ac:dyDescent="0.25">
      <c r="A8270" s="3" t="e">
        <f ca="1"/>
        <v>#NAME?</v>
      </c>
      <c r="B8270" s="2" t="s">
        <v>12</v>
      </c>
      <c r="C8270" s="2" t="s">
        <v>12</v>
      </c>
      <c r="D8270" s="2" t="s">
        <v>12</v>
      </c>
      <c r="E8270" s="2" t="s">
        <v>12</v>
      </c>
      <c r="F8270" s="2" t="s">
        <v>12</v>
      </c>
      <c r="G8270" s="2" t="s">
        <v>12</v>
      </c>
      <c r="H8270" s="2" t="s">
        <v>12</v>
      </c>
      <c r="I8270" s="2" t="s">
        <v>12</v>
      </c>
      <c r="J8270" s="2" t="s">
        <v>12</v>
      </c>
      <c r="K8270" s="2" t="s">
        <v>12</v>
      </c>
    </row>
    <row r="8271" spans="1:11" ht="12.5" x14ac:dyDescent="0.25">
      <c r="A8271" s="3" t="e">
        <f ca="1"/>
        <v>#NAME?</v>
      </c>
      <c r="B8271" s="2" t="s">
        <v>12</v>
      </c>
      <c r="C8271" s="2" t="s">
        <v>12</v>
      </c>
      <c r="D8271" s="2" t="s">
        <v>12</v>
      </c>
      <c r="E8271" s="2" t="s">
        <v>12</v>
      </c>
      <c r="F8271" s="2" t="s">
        <v>12</v>
      </c>
      <c r="G8271" s="2" t="s">
        <v>12</v>
      </c>
      <c r="H8271" s="2" t="s">
        <v>12</v>
      </c>
      <c r="I8271" s="2" t="s">
        <v>12</v>
      </c>
      <c r="J8271" s="2" t="s">
        <v>12</v>
      </c>
      <c r="K8271" s="2" t="s">
        <v>12</v>
      </c>
    </row>
    <row r="8272" spans="1:11" ht="12.5" x14ac:dyDescent="0.25">
      <c r="A8272" s="3" t="e">
        <f ca="1"/>
        <v>#NAME?</v>
      </c>
      <c r="B8272" s="2" t="s">
        <v>12</v>
      </c>
      <c r="C8272" s="2" t="s">
        <v>12</v>
      </c>
      <c r="D8272" s="2" t="s">
        <v>12</v>
      </c>
      <c r="E8272" s="2" t="s">
        <v>12</v>
      </c>
      <c r="F8272" s="2" t="s">
        <v>12</v>
      </c>
      <c r="G8272" s="2" t="s">
        <v>12</v>
      </c>
      <c r="H8272" s="2" t="s">
        <v>12</v>
      </c>
      <c r="I8272" s="2" t="s">
        <v>12</v>
      </c>
      <c r="J8272" s="2" t="s">
        <v>12</v>
      </c>
      <c r="K8272" s="2" t="s">
        <v>12</v>
      </c>
    </row>
    <row r="8273" spans="1:11" ht="12.5" x14ac:dyDescent="0.25">
      <c r="A8273" s="3" t="e">
        <f ca="1"/>
        <v>#NAME?</v>
      </c>
      <c r="B8273" s="2" t="s">
        <v>12</v>
      </c>
      <c r="C8273" s="2" t="s">
        <v>12</v>
      </c>
      <c r="D8273" s="2" t="s">
        <v>12</v>
      </c>
      <c r="E8273" s="2" t="s">
        <v>12</v>
      </c>
      <c r="F8273" s="2" t="s">
        <v>12</v>
      </c>
      <c r="G8273" s="2" t="s">
        <v>12</v>
      </c>
      <c r="H8273" s="2" t="s">
        <v>12</v>
      </c>
      <c r="I8273" s="2" t="s">
        <v>12</v>
      </c>
      <c r="J8273" s="2" t="s">
        <v>12</v>
      </c>
      <c r="K8273" s="2" t="s">
        <v>12</v>
      </c>
    </row>
    <row r="8274" spans="1:11" ht="12.5" x14ac:dyDescent="0.25">
      <c r="A8274" s="3" t="e">
        <f ca="1"/>
        <v>#NAME?</v>
      </c>
      <c r="B8274" s="2" t="s">
        <v>12</v>
      </c>
      <c r="C8274" s="2" t="s">
        <v>12</v>
      </c>
      <c r="D8274" s="2" t="s">
        <v>12</v>
      </c>
      <c r="E8274" s="2" t="s">
        <v>12</v>
      </c>
      <c r="F8274" s="2" t="s">
        <v>12</v>
      </c>
      <c r="G8274" s="2" t="s">
        <v>12</v>
      </c>
      <c r="H8274" s="2" t="s">
        <v>12</v>
      </c>
      <c r="I8274" s="2" t="s">
        <v>12</v>
      </c>
      <c r="J8274" s="2" t="s">
        <v>12</v>
      </c>
      <c r="K8274" s="2" t="s">
        <v>12</v>
      </c>
    </row>
    <row r="8275" spans="1:11" ht="12.5" x14ac:dyDescent="0.25">
      <c r="A8275" s="3" t="e">
        <f ca="1"/>
        <v>#NAME?</v>
      </c>
      <c r="B8275" s="2" t="s">
        <v>12</v>
      </c>
      <c r="C8275" s="2" t="s">
        <v>12</v>
      </c>
      <c r="D8275" s="2" t="s">
        <v>12</v>
      </c>
      <c r="E8275" s="2" t="s">
        <v>12</v>
      </c>
      <c r="F8275" s="2" t="s">
        <v>12</v>
      </c>
      <c r="G8275" s="2" t="s">
        <v>12</v>
      </c>
      <c r="H8275" s="2" t="s">
        <v>12</v>
      </c>
      <c r="I8275" s="2" t="s">
        <v>12</v>
      </c>
      <c r="J8275" s="2" t="s">
        <v>12</v>
      </c>
      <c r="K8275" s="2" t="s">
        <v>12</v>
      </c>
    </row>
    <row r="8276" spans="1:11" ht="12.5" x14ac:dyDescent="0.25">
      <c r="A8276" s="3" t="e">
        <f ca="1"/>
        <v>#NAME?</v>
      </c>
      <c r="B8276" s="2" t="s">
        <v>12</v>
      </c>
      <c r="C8276" s="2" t="s">
        <v>12</v>
      </c>
      <c r="D8276" s="2" t="s">
        <v>12</v>
      </c>
      <c r="E8276" s="2" t="s">
        <v>12</v>
      </c>
      <c r="F8276" s="2" t="s">
        <v>12</v>
      </c>
      <c r="G8276" s="2" t="s">
        <v>12</v>
      </c>
      <c r="H8276" s="2" t="s">
        <v>12</v>
      </c>
      <c r="I8276" s="2" t="s">
        <v>12</v>
      </c>
      <c r="J8276" s="2" t="s">
        <v>12</v>
      </c>
      <c r="K8276" s="2" t="s">
        <v>12</v>
      </c>
    </row>
    <row r="8277" spans="1:11" ht="12.5" x14ac:dyDescent="0.25">
      <c r="A8277" s="3" t="e">
        <f ca="1"/>
        <v>#NAME?</v>
      </c>
      <c r="B8277" s="2" t="s">
        <v>12</v>
      </c>
      <c r="C8277" s="2" t="s">
        <v>12</v>
      </c>
      <c r="D8277" s="2" t="s">
        <v>12</v>
      </c>
      <c r="E8277" s="2" t="s">
        <v>12</v>
      </c>
      <c r="F8277" s="2" t="s">
        <v>12</v>
      </c>
      <c r="G8277" s="2" t="s">
        <v>12</v>
      </c>
      <c r="H8277" s="2" t="s">
        <v>12</v>
      </c>
      <c r="I8277" s="2" t="s">
        <v>12</v>
      </c>
      <c r="J8277" s="2" t="s">
        <v>12</v>
      </c>
      <c r="K8277" s="2" t="s">
        <v>12</v>
      </c>
    </row>
    <row r="8278" spans="1:11" ht="12.5" x14ac:dyDescent="0.25">
      <c r="A8278" s="3" t="e">
        <f ca="1"/>
        <v>#NAME?</v>
      </c>
      <c r="B8278" s="2" t="s">
        <v>12</v>
      </c>
      <c r="C8278" s="2" t="s">
        <v>12</v>
      </c>
      <c r="D8278" s="2" t="s">
        <v>12</v>
      </c>
      <c r="E8278" s="2" t="s">
        <v>12</v>
      </c>
      <c r="F8278" s="2" t="s">
        <v>12</v>
      </c>
      <c r="G8278" s="2" t="s">
        <v>12</v>
      </c>
      <c r="H8278" s="2" t="s">
        <v>12</v>
      </c>
      <c r="I8278" s="2" t="s">
        <v>12</v>
      </c>
      <c r="J8278" s="2" t="s">
        <v>12</v>
      </c>
      <c r="K8278" s="2" t="s">
        <v>12</v>
      </c>
    </row>
    <row r="8279" spans="1:11" ht="12.5" x14ac:dyDescent="0.25">
      <c r="A8279" s="3" t="e">
        <f ca="1"/>
        <v>#NAME?</v>
      </c>
      <c r="B8279" s="2" t="s">
        <v>12</v>
      </c>
      <c r="C8279" s="2" t="s">
        <v>12</v>
      </c>
      <c r="D8279" s="2" t="s">
        <v>12</v>
      </c>
      <c r="E8279" s="2" t="s">
        <v>12</v>
      </c>
      <c r="F8279" s="2" t="s">
        <v>12</v>
      </c>
      <c r="G8279" s="2" t="s">
        <v>12</v>
      </c>
      <c r="H8279" s="2" t="s">
        <v>12</v>
      </c>
      <c r="I8279" s="2" t="s">
        <v>12</v>
      </c>
      <c r="J8279" s="2" t="s">
        <v>12</v>
      </c>
      <c r="K8279" s="2" t="s">
        <v>12</v>
      </c>
    </row>
    <row r="8280" spans="1:11" ht="12.5" x14ac:dyDescent="0.25">
      <c r="A8280" s="3" t="e">
        <f ca="1"/>
        <v>#NAME?</v>
      </c>
      <c r="B8280" s="2" t="s">
        <v>12</v>
      </c>
      <c r="C8280" s="2" t="s">
        <v>12</v>
      </c>
      <c r="D8280" s="2" t="s">
        <v>12</v>
      </c>
      <c r="E8280" s="2" t="s">
        <v>12</v>
      </c>
      <c r="F8280" s="2" t="s">
        <v>12</v>
      </c>
      <c r="G8280" s="2" t="s">
        <v>12</v>
      </c>
      <c r="H8280" s="2" t="s">
        <v>12</v>
      </c>
      <c r="I8280" s="2" t="s">
        <v>12</v>
      </c>
      <c r="J8280" s="2" t="s">
        <v>12</v>
      </c>
      <c r="K8280" s="2" t="s">
        <v>12</v>
      </c>
    </row>
    <row r="8281" spans="1:11" ht="12.5" x14ac:dyDescent="0.25">
      <c r="A8281" s="3" t="e">
        <f ca="1"/>
        <v>#NAME?</v>
      </c>
      <c r="B8281" s="2" t="s">
        <v>12</v>
      </c>
      <c r="C8281" s="2" t="s">
        <v>12</v>
      </c>
      <c r="D8281" s="2" t="s">
        <v>12</v>
      </c>
      <c r="E8281" s="2" t="s">
        <v>12</v>
      </c>
      <c r="F8281" s="2" t="s">
        <v>12</v>
      </c>
      <c r="G8281" s="2" t="s">
        <v>12</v>
      </c>
      <c r="H8281" s="2" t="s">
        <v>12</v>
      </c>
      <c r="I8281" s="2" t="s">
        <v>12</v>
      </c>
      <c r="J8281" s="2" t="s">
        <v>12</v>
      </c>
      <c r="K8281" s="2" t="s">
        <v>12</v>
      </c>
    </row>
    <row r="8282" spans="1:11" ht="12.5" x14ac:dyDescent="0.25">
      <c r="A8282" s="3" t="e">
        <f ca="1"/>
        <v>#NAME?</v>
      </c>
      <c r="B8282" s="2" t="s">
        <v>12</v>
      </c>
      <c r="C8282" s="2" t="s">
        <v>12</v>
      </c>
      <c r="D8282" s="2" t="s">
        <v>12</v>
      </c>
      <c r="E8282" s="2" t="s">
        <v>12</v>
      </c>
      <c r="F8282" s="2" t="s">
        <v>12</v>
      </c>
      <c r="G8282" s="2" t="s">
        <v>12</v>
      </c>
      <c r="H8282" s="2" t="s">
        <v>12</v>
      </c>
      <c r="I8282" s="2" t="s">
        <v>12</v>
      </c>
      <c r="J8282" s="2" t="s">
        <v>12</v>
      </c>
      <c r="K8282" s="2" t="s">
        <v>12</v>
      </c>
    </row>
    <row r="8283" spans="1:11" ht="12.5" x14ac:dyDescent="0.25">
      <c r="A8283" s="3" t="e">
        <f ca="1"/>
        <v>#NAME?</v>
      </c>
      <c r="B8283" s="2" t="s">
        <v>12</v>
      </c>
      <c r="C8283" s="2" t="s">
        <v>12</v>
      </c>
      <c r="D8283" s="2" t="s">
        <v>12</v>
      </c>
      <c r="E8283" s="2" t="s">
        <v>12</v>
      </c>
      <c r="F8283" s="2" t="s">
        <v>12</v>
      </c>
      <c r="G8283" s="2" t="s">
        <v>12</v>
      </c>
      <c r="H8283" s="2" t="s">
        <v>12</v>
      </c>
      <c r="I8283" s="2" t="s">
        <v>12</v>
      </c>
      <c r="J8283" s="2" t="s">
        <v>12</v>
      </c>
      <c r="K8283" s="2" t="s">
        <v>12</v>
      </c>
    </row>
    <row r="8284" spans="1:11" ht="12.5" x14ac:dyDescent="0.25">
      <c r="A8284" s="3" t="e">
        <f ca="1"/>
        <v>#NAME?</v>
      </c>
      <c r="B8284" s="2" t="s">
        <v>12</v>
      </c>
      <c r="C8284" s="2" t="s">
        <v>12</v>
      </c>
      <c r="D8284" s="2" t="s">
        <v>12</v>
      </c>
      <c r="E8284" s="2" t="s">
        <v>12</v>
      </c>
      <c r="F8284" s="2" t="s">
        <v>12</v>
      </c>
      <c r="G8284" s="2" t="s">
        <v>12</v>
      </c>
      <c r="H8284" s="2" t="s">
        <v>12</v>
      </c>
      <c r="I8284" s="2" t="s">
        <v>12</v>
      </c>
      <c r="J8284" s="2" t="s">
        <v>12</v>
      </c>
      <c r="K8284" s="2" t="s">
        <v>12</v>
      </c>
    </row>
    <row r="8285" spans="1:11" ht="12.5" x14ac:dyDescent="0.25">
      <c r="A8285" s="3" t="e">
        <f ca="1"/>
        <v>#NAME?</v>
      </c>
      <c r="B8285" s="2" t="s">
        <v>12</v>
      </c>
      <c r="C8285" s="2" t="s">
        <v>12</v>
      </c>
      <c r="D8285" s="2" t="s">
        <v>12</v>
      </c>
      <c r="E8285" s="2" t="s">
        <v>12</v>
      </c>
      <c r="F8285" s="2" t="s">
        <v>12</v>
      </c>
      <c r="G8285" s="2" t="s">
        <v>12</v>
      </c>
      <c r="H8285" s="2" t="s">
        <v>12</v>
      </c>
      <c r="I8285" s="2" t="s">
        <v>12</v>
      </c>
      <c r="J8285" s="2" t="s">
        <v>12</v>
      </c>
      <c r="K8285" s="2" t="s">
        <v>12</v>
      </c>
    </row>
    <row r="8286" spans="1:11" ht="12.5" x14ac:dyDescent="0.25">
      <c r="A8286" s="3" t="e">
        <f ca="1"/>
        <v>#NAME?</v>
      </c>
      <c r="B8286" s="2" t="s">
        <v>12</v>
      </c>
      <c r="C8286" s="2" t="s">
        <v>12</v>
      </c>
      <c r="D8286" s="2" t="s">
        <v>12</v>
      </c>
      <c r="E8286" s="2" t="s">
        <v>12</v>
      </c>
      <c r="F8286" s="2" t="s">
        <v>12</v>
      </c>
      <c r="G8286" s="2" t="s">
        <v>12</v>
      </c>
      <c r="H8286" s="2" t="s">
        <v>12</v>
      </c>
      <c r="I8286" s="2" t="s">
        <v>12</v>
      </c>
      <c r="J8286" s="2" t="s">
        <v>12</v>
      </c>
      <c r="K8286" s="2" t="s">
        <v>12</v>
      </c>
    </row>
    <row r="8287" spans="1:11" ht="12.5" x14ac:dyDescent="0.25">
      <c r="A8287" s="3" t="e">
        <f ca="1"/>
        <v>#NAME?</v>
      </c>
      <c r="B8287" s="2" t="s">
        <v>12</v>
      </c>
      <c r="C8287" s="2" t="s">
        <v>12</v>
      </c>
      <c r="D8287" s="2" t="s">
        <v>12</v>
      </c>
      <c r="E8287" s="2" t="s">
        <v>12</v>
      </c>
      <c r="F8287" s="2" t="s">
        <v>12</v>
      </c>
      <c r="G8287" s="2" t="s">
        <v>12</v>
      </c>
      <c r="H8287" s="2" t="s">
        <v>12</v>
      </c>
      <c r="I8287" s="2" t="s">
        <v>12</v>
      </c>
      <c r="J8287" s="2" t="s">
        <v>12</v>
      </c>
      <c r="K8287" s="2" t="s">
        <v>12</v>
      </c>
    </row>
    <row r="8288" spans="1:11" ht="12.5" x14ac:dyDescent="0.25">
      <c r="A8288" s="3" t="e">
        <f ca="1"/>
        <v>#NAME?</v>
      </c>
      <c r="B8288" s="2" t="s">
        <v>12</v>
      </c>
      <c r="C8288" s="2" t="s">
        <v>12</v>
      </c>
      <c r="D8288" s="2" t="s">
        <v>12</v>
      </c>
      <c r="E8288" s="2" t="s">
        <v>12</v>
      </c>
      <c r="F8288" s="2" t="s">
        <v>12</v>
      </c>
      <c r="G8288" s="2" t="s">
        <v>12</v>
      </c>
      <c r="H8288" s="2" t="s">
        <v>12</v>
      </c>
      <c r="I8288" s="2" t="s">
        <v>12</v>
      </c>
      <c r="J8288" s="2" t="s">
        <v>12</v>
      </c>
      <c r="K8288" s="2" t="s">
        <v>12</v>
      </c>
    </row>
    <row r="8289" spans="1:11" ht="12.5" x14ac:dyDescent="0.25">
      <c r="A8289" s="3" t="e">
        <f ca="1"/>
        <v>#NAME?</v>
      </c>
      <c r="B8289" s="2" t="s">
        <v>12</v>
      </c>
      <c r="C8289" s="2" t="s">
        <v>12</v>
      </c>
      <c r="D8289" s="2" t="s">
        <v>12</v>
      </c>
      <c r="E8289" s="2" t="s">
        <v>12</v>
      </c>
      <c r="F8289" s="2" t="s">
        <v>12</v>
      </c>
      <c r="G8289" s="2" t="s">
        <v>12</v>
      </c>
      <c r="H8289" s="2" t="s">
        <v>12</v>
      </c>
      <c r="I8289" s="2" t="s">
        <v>12</v>
      </c>
      <c r="J8289" s="2" t="s">
        <v>12</v>
      </c>
      <c r="K8289" s="2" t="s">
        <v>12</v>
      </c>
    </row>
    <row r="8290" spans="1:11" ht="12.5" x14ac:dyDescent="0.25">
      <c r="A8290" s="3" t="e">
        <f ca="1"/>
        <v>#NAME?</v>
      </c>
      <c r="B8290" s="2" t="s">
        <v>12</v>
      </c>
      <c r="C8290" s="2" t="s">
        <v>12</v>
      </c>
      <c r="D8290" s="2" t="s">
        <v>12</v>
      </c>
      <c r="E8290" s="2" t="s">
        <v>12</v>
      </c>
      <c r="F8290" s="2" t="s">
        <v>12</v>
      </c>
      <c r="G8290" s="2" t="s">
        <v>12</v>
      </c>
      <c r="H8290" s="2" t="s">
        <v>12</v>
      </c>
      <c r="I8290" s="2" t="s">
        <v>12</v>
      </c>
      <c r="J8290" s="2" t="s">
        <v>12</v>
      </c>
      <c r="K8290" s="2" t="s">
        <v>12</v>
      </c>
    </row>
    <row r="8291" spans="1:11" ht="12.5" x14ac:dyDescent="0.25">
      <c r="A8291" s="3" t="e">
        <f ca="1"/>
        <v>#NAME?</v>
      </c>
      <c r="B8291" s="2" t="s">
        <v>12</v>
      </c>
      <c r="C8291" s="2" t="s">
        <v>12</v>
      </c>
      <c r="D8291" s="2" t="s">
        <v>12</v>
      </c>
      <c r="E8291" s="2" t="s">
        <v>12</v>
      </c>
      <c r="F8291" s="2" t="s">
        <v>12</v>
      </c>
      <c r="G8291" s="2" t="s">
        <v>12</v>
      </c>
      <c r="H8291" s="2" t="s">
        <v>12</v>
      </c>
      <c r="I8291" s="2" t="s">
        <v>12</v>
      </c>
      <c r="J8291" s="2" t="s">
        <v>12</v>
      </c>
      <c r="K8291" s="2" t="s">
        <v>12</v>
      </c>
    </row>
    <row r="8292" spans="1:11" ht="12.5" x14ac:dyDescent="0.25">
      <c r="A8292" s="3" t="e">
        <f ca="1"/>
        <v>#NAME?</v>
      </c>
      <c r="B8292" s="2" t="s">
        <v>12</v>
      </c>
      <c r="C8292" s="2" t="s">
        <v>12</v>
      </c>
      <c r="D8292" s="2" t="s">
        <v>12</v>
      </c>
      <c r="E8292" s="2" t="s">
        <v>12</v>
      </c>
      <c r="F8292" s="2" t="s">
        <v>12</v>
      </c>
      <c r="G8292" s="2" t="s">
        <v>12</v>
      </c>
      <c r="H8292" s="2" t="s">
        <v>12</v>
      </c>
      <c r="I8292" s="2" t="s">
        <v>12</v>
      </c>
      <c r="J8292" s="2" t="s">
        <v>12</v>
      </c>
      <c r="K8292" s="2" t="s">
        <v>12</v>
      </c>
    </row>
    <row r="8293" spans="1:11" ht="12.5" x14ac:dyDescent="0.25">
      <c r="A8293" s="3" t="e">
        <f ca="1"/>
        <v>#NAME?</v>
      </c>
      <c r="B8293" s="2" t="s">
        <v>12</v>
      </c>
      <c r="C8293" s="2" t="s">
        <v>12</v>
      </c>
      <c r="D8293" s="2" t="s">
        <v>12</v>
      </c>
      <c r="E8293" s="2" t="s">
        <v>12</v>
      </c>
      <c r="F8293" s="2" t="s">
        <v>12</v>
      </c>
      <c r="G8293" s="2" t="s">
        <v>12</v>
      </c>
      <c r="H8293" s="2" t="s">
        <v>12</v>
      </c>
      <c r="I8293" s="2" t="s">
        <v>12</v>
      </c>
      <c r="J8293" s="2" t="s">
        <v>12</v>
      </c>
      <c r="K8293" s="2" t="s">
        <v>12</v>
      </c>
    </row>
    <row r="8294" spans="1:11" ht="12.5" x14ac:dyDescent="0.25">
      <c r="A8294" s="3" t="e">
        <f ca="1"/>
        <v>#NAME?</v>
      </c>
      <c r="B8294" s="2" t="s">
        <v>12</v>
      </c>
      <c r="C8294" s="2" t="s">
        <v>12</v>
      </c>
      <c r="D8294" s="2" t="s">
        <v>12</v>
      </c>
      <c r="E8294" s="2" t="s">
        <v>12</v>
      </c>
      <c r="F8294" s="2" t="s">
        <v>12</v>
      </c>
      <c r="G8294" s="2" t="s">
        <v>12</v>
      </c>
      <c r="H8294" s="2" t="s">
        <v>12</v>
      </c>
      <c r="I8294" s="2" t="s">
        <v>12</v>
      </c>
      <c r="J8294" s="2" t="s">
        <v>12</v>
      </c>
      <c r="K8294" s="2" t="s">
        <v>12</v>
      </c>
    </row>
    <row r="8295" spans="1:11" ht="12.5" x14ac:dyDescent="0.25">
      <c r="A8295" s="3" t="e">
        <f ca="1"/>
        <v>#NAME?</v>
      </c>
      <c r="B8295" s="2" t="s">
        <v>12</v>
      </c>
      <c r="C8295" s="2" t="s">
        <v>12</v>
      </c>
      <c r="D8295" s="2" t="s">
        <v>12</v>
      </c>
      <c r="E8295" s="2" t="s">
        <v>12</v>
      </c>
      <c r="F8295" s="2" t="s">
        <v>12</v>
      </c>
      <c r="G8295" s="2" t="s">
        <v>12</v>
      </c>
      <c r="H8295" s="2" t="s">
        <v>12</v>
      </c>
      <c r="I8295" s="2" t="s">
        <v>12</v>
      </c>
      <c r="J8295" s="2" t="s">
        <v>12</v>
      </c>
      <c r="K8295" s="2" t="s">
        <v>12</v>
      </c>
    </row>
    <row r="8296" spans="1:11" ht="12.5" x14ac:dyDescent="0.25">
      <c r="A8296" s="3" t="e">
        <f ca="1"/>
        <v>#NAME?</v>
      </c>
      <c r="B8296" s="2" t="s">
        <v>12</v>
      </c>
      <c r="C8296" s="2" t="s">
        <v>12</v>
      </c>
      <c r="D8296" s="2" t="s">
        <v>12</v>
      </c>
      <c r="E8296" s="2" t="s">
        <v>12</v>
      </c>
      <c r="F8296" s="2" t="s">
        <v>12</v>
      </c>
      <c r="G8296" s="2" t="s">
        <v>12</v>
      </c>
      <c r="H8296" s="2" t="s">
        <v>12</v>
      </c>
      <c r="I8296" s="2" t="s">
        <v>12</v>
      </c>
      <c r="J8296" s="2" t="s">
        <v>12</v>
      </c>
      <c r="K8296" s="2" t="s">
        <v>12</v>
      </c>
    </row>
    <row r="8297" spans="1:11" ht="12.5" x14ac:dyDescent="0.25">
      <c r="A8297" s="3" t="e">
        <f ca="1"/>
        <v>#NAME?</v>
      </c>
      <c r="B8297" s="2" t="s">
        <v>12</v>
      </c>
      <c r="C8297" s="2" t="s">
        <v>12</v>
      </c>
      <c r="D8297" s="2" t="s">
        <v>12</v>
      </c>
      <c r="E8297" s="2" t="s">
        <v>12</v>
      </c>
      <c r="F8297" s="2" t="s">
        <v>12</v>
      </c>
      <c r="G8297" s="2" t="s">
        <v>12</v>
      </c>
      <c r="H8297" s="2" t="s">
        <v>12</v>
      </c>
      <c r="I8297" s="2" t="s">
        <v>12</v>
      </c>
      <c r="J8297" s="2" t="s">
        <v>12</v>
      </c>
      <c r="K8297" s="2" t="s">
        <v>12</v>
      </c>
    </row>
    <row r="8298" spans="1:11" ht="12.5" x14ac:dyDescent="0.25">
      <c r="A8298" s="3" t="e">
        <f ca="1"/>
        <v>#NAME?</v>
      </c>
      <c r="B8298" s="2" t="s">
        <v>12</v>
      </c>
      <c r="C8298" s="2" t="s">
        <v>12</v>
      </c>
      <c r="D8298" s="2" t="s">
        <v>12</v>
      </c>
      <c r="E8298" s="2" t="s">
        <v>12</v>
      </c>
      <c r="F8298" s="2" t="s">
        <v>12</v>
      </c>
      <c r="G8298" s="2" t="s">
        <v>12</v>
      </c>
      <c r="H8298" s="2" t="s">
        <v>12</v>
      </c>
      <c r="I8298" s="2" t="s">
        <v>12</v>
      </c>
      <c r="J8298" s="2" t="s">
        <v>12</v>
      </c>
      <c r="K8298" s="2" t="s">
        <v>12</v>
      </c>
    </row>
    <row r="8299" spans="1:11" ht="12.5" x14ac:dyDescent="0.25">
      <c r="A8299" s="3" t="e">
        <f ca="1"/>
        <v>#NAME?</v>
      </c>
      <c r="B8299" s="2" t="s">
        <v>12</v>
      </c>
      <c r="C8299" s="2" t="s">
        <v>12</v>
      </c>
      <c r="D8299" s="2" t="s">
        <v>12</v>
      </c>
      <c r="E8299" s="2" t="s">
        <v>12</v>
      </c>
      <c r="F8299" s="2" t="s">
        <v>12</v>
      </c>
      <c r="G8299" s="2" t="s">
        <v>12</v>
      </c>
      <c r="H8299" s="2" t="s">
        <v>12</v>
      </c>
      <c r="I8299" s="2" t="s">
        <v>12</v>
      </c>
      <c r="J8299" s="2" t="s">
        <v>12</v>
      </c>
      <c r="K8299" s="2" t="s">
        <v>12</v>
      </c>
    </row>
    <row r="8300" spans="1:11" ht="12.5" x14ac:dyDescent="0.25">
      <c r="A8300" s="3" t="e">
        <f ca="1"/>
        <v>#NAME?</v>
      </c>
      <c r="B8300" s="2" t="s">
        <v>12</v>
      </c>
      <c r="C8300" s="2" t="s">
        <v>12</v>
      </c>
      <c r="D8300" s="2" t="s">
        <v>12</v>
      </c>
      <c r="E8300" s="2" t="s">
        <v>12</v>
      </c>
      <c r="F8300" s="2" t="s">
        <v>12</v>
      </c>
      <c r="G8300" s="2" t="s">
        <v>12</v>
      </c>
      <c r="H8300" s="2" t="s">
        <v>12</v>
      </c>
      <c r="I8300" s="2" t="s">
        <v>12</v>
      </c>
      <c r="J8300" s="2" t="s">
        <v>12</v>
      </c>
      <c r="K8300" s="2" t="s">
        <v>12</v>
      </c>
    </row>
    <row r="8301" spans="1:11" ht="12.5" x14ac:dyDescent="0.25">
      <c r="A8301" s="3" t="e">
        <f ca="1"/>
        <v>#NAME?</v>
      </c>
      <c r="B8301" s="2" t="s">
        <v>12</v>
      </c>
      <c r="C8301" s="2" t="s">
        <v>12</v>
      </c>
      <c r="D8301" s="2" t="s">
        <v>12</v>
      </c>
      <c r="E8301" s="2" t="s">
        <v>12</v>
      </c>
      <c r="F8301" s="2" t="s">
        <v>12</v>
      </c>
      <c r="G8301" s="2" t="s">
        <v>12</v>
      </c>
      <c r="H8301" s="2" t="s">
        <v>12</v>
      </c>
      <c r="I8301" s="2" t="s">
        <v>12</v>
      </c>
      <c r="J8301" s="2" t="s">
        <v>12</v>
      </c>
      <c r="K8301" s="2" t="s">
        <v>12</v>
      </c>
    </row>
    <row r="8302" spans="1:11" ht="12.5" x14ac:dyDescent="0.25">
      <c r="A8302" s="3" t="e">
        <f ca="1"/>
        <v>#NAME?</v>
      </c>
      <c r="B8302" s="2" t="s">
        <v>12</v>
      </c>
      <c r="C8302" s="2" t="s">
        <v>12</v>
      </c>
      <c r="D8302" s="2" t="s">
        <v>12</v>
      </c>
      <c r="E8302" s="2" t="s">
        <v>12</v>
      </c>
      <c r="F8302" s="2" t="s">
        <v>12</v>
      </c>
      <c r="G8302" s="2" t="s">
        <v>12</v>
      </c>
      <c r="H8302" s="2" t="s">
        <v>12</v>
      </c>
      <c r="I8302" s="2" t="s">
        <v>12</v>
      </c>
      <c r="J8302" s="2" t="s">
        <v>12</v>
      </c>
      <c r="K8302" s="2" t="s">
        <v>12</v>
      </c>
    </row>
    <row r="8303" spans="1:11" ht="12.5" x14ac:dyDescent="0.25">
      <c r="A8303" s="3" t="e">
        <f ca="1"/>
        <v>#NAME?</v>
      </c>
      <c r="B8303" s="2" t="s">
        <v>12</v>
      </c>
      <c r="C8303" s="2" t="s">
        <v>12</v>
      </c>
      <c r="D8303" s="2" t="s">
        <v>12</v>
      </c>
      <c r="E8303" s="2" t="s">
        <v>12</v>
      </c>
      <c r="F8303" s="2" t="s">
        <v>12</v>
      </c>
      <c r="G8303" s="2" t="s">
        <v>12</v>
      </c>
      <c r="H8303" s="2" t="s">
        <v>12</v>
      </c>
      <c r="I8303" s="2" t="s">
        <v>12</v>
      </c>
      <c r="J8303" s="2" t="s">
        <v>12</v>
      </c>
      <c r="K8303" s="2" t="s">
        <v>12</v>
      </c>
    </row>
    <row r="8304" spans="1:11" ht="12.5" x14ac:dyDescent="0.25">
      <c r="A8304" s="3" t="e">
        <f ca="1"/>
        <v>#NAME?</v>
      </c>
      <c r="B8304" s="2" t="s">
        <v>12</v>
      </c>
      <c r="C8304" s="2" t="s">
        <v>12</v>
      </c>
      <c r="D8304" s="2" t="s">
        <v>12</v>
      </c>
      <c r="E8304" s="2" t="s">
        <v>12</v>
      </c>
      <c r="F8304" s="2" t="s">
        <v>12</v>
      </c>
      <c r="G8304" s="2" t="s">
        <v>12</v>
      </c>
      <c r="H8304" s="2" t="s">
        <v>12</v>
      </c>
      <c r="I8304" s="2" t="s">
        <v>12</v>
      </c>
      <c r="J8304" s="2" t="s">
        <v>12</v>
      </c>
      <c r="K8304" s="2" t="s">
        <v>12</v>
      </c>
    </row>
    <row r="8305" spans="1:11" ht="12.5" x14ac:dyDescent="0.25">
      <c r="A8305" s="3" t="e">
        <f ca="1"/>
        <v>#NAME?</v>
      </c>
      <c r="B8305" s="2" t="s">
        <v>12</v>
      </c>
      <c r="C8305" s="2" t="s">
        <v>12</v>
      </c>
      <c r="D8305" s="2" t="s">
        <v>12</v>
      </c>
      <c r="E8305" s="2" t="s">
        <v>12</v>
      </c>
      <c r="F8305" s="2" t="s">
        <v>12</v>
      </c>
      <c r="G8305" s="2" t="s">
        <v>12</v>
      </c>
      <c r="H8305" s="2" t="s">
        <v>12</v>
      </c>
      <c r="I8305" s="2" t="s">
        <v>12</v>
      </c>
      <c r="J8305" s="2" t="s">
        <v>12</v>
      </c>
      <c r="K8305" s="2" t="s">
        <v>12</v>
      </c>
    </row>
    <row r="8306" spans="1:11" ht="12.5" x14ac:dyDescent="0.25">
      <c r="A8306" s="3" t="e">
        <f ca="1"/>
        <v>#NAME?</v>
      </c>
      <c r="B8306" s="2" t="s">
        <v>12</v>
      </c>
      <c r="C8306" s="2" t="s">
        <v>12</v>
      </c>
      <c r="D8306" s="2" t="s">
        <v>12</v>
      </c>
      <c r="E8306" s="2" t="s">
        <v>12</v>
      </c>
      <c r="F8306" s="2" t="s">
        <v>12</v>
      </c>
      <c r="G8306" s="2" t="s">
        <v>12</v>
      </c>
      <c r="H8306" s="2" t="s">
        <v>12</v>
      </c>
      <c r="I8306" s="2" t="s">
        <v>12</v>
      </c>
      <c r="J8306" s="2" t="s">
        <v>12</v>
      </c>
      <c r="K8306" s="2" t="s">
        <v>12</v>
      </c>
    </row>
    <row r="8307" spans="1:11" ht="12.5" x14ac:dyDescent="0.25">
      <c r="A8307" s="3" t="e">
        <f ca="1"/>
        <v>#NAME?</v>
      </c>
      <c r="B8307" s="2" t="s">
        <v>12</v>
      </c>
      <c r="C8307" s="2" t="s">
        <v>12</v>
      </c>
      <c r="D8307" s="2" t="s">
        <v>12</v>
      </c>
      <c r="E8307" s="2" t="s">
        <v>12</v>
      </c>
      <c r="F8307" s="2" t="s">
        <v>12</v>
      </c>
      <c r="G8307" s="2" t="s">
        <v>12</v>
      </c>
      <c r="H8307" s="2" t="s">
        <v>12</v>
      </c>
      <c r="I8307" s="2" t="s">
        <v>12</v>
      </c>
      <c r="J8307" s="2" t="s">
        <v>12</v>
      </c>
      <c r="K8307" s="2" t="s">
        <v>12</v>
      </c>
    </row>
    <row r="8308" spans="1:11" ht="12.5" x14ac:dyDescent="0.25">
      <c r="A8308" s="3" t="e">
        <f ca="1"/>
        <v>#NAME?</v>
      </c>
      <c r="B8308" s="2" t="s">
        <v>12</v>
      </c>
      <c r="C8308" s="2" t="s">
        <v>12</v>
      </c>
      <c r="D8308" s="2" t="s">
        <v>12</v>
      </c>
      <c r="E8308" s="2" t="s">
        <v>12</v>
      </c>
      <c r="F8308" s="2" t="s">
        <v>12</v>
      </c>
      <c r="G8308" s="2" t="s">
        <v>12</v>
      </c>
      <c r="H8308" s="2" t="s">
        <v>12</v>
      </c>
      <c r="I8308" s="2" t="s">
        <v>12</v>
      </c>
      <c r="J8308" s="2" t="s">
        <v>12</v>
      </c>
      <c r="K8308" s="2" t="s">
        <v>12</v>
      </c>
    </row>
    <row r="8309" spans="1:11" ht="12.5" x14ac:dyDescent="0.25">
      <c r="A8309" s="3" t="e">
        <f ca="1"/>
        <v>#NAME?</v>
      </c>
      <c r="B8309" s="2" t="s">
        <v>12</v>
      </c>
      <c r="C8309" s="2" t="s">
        <v>12</v>
      </c>
      <c r="D8309" s="2" t="s">
        <v>12</v>
      </c>
      <c r="E8309" s="2" t="s">
        <v>12</v>
      </c>
      <c r="F8309" s="2" t="s">
        <v>12</v>
      </c>
      <c r="G8309" s="2" t="s">
        <v>12</v>
      </c>
      <c r="H8309" s="2" t="s">
        <v>12</v>
      </c>
      <c r="I8309" s="2" t="s">
        <v>12</v>
      </c>
      <c r="J8309" s="2" t="s">
        <v>12</v>
      </c>
      <c r="K8309" s="2" t="s">
        <v>12</v>
      </c>
    </row>
    <row r="8310" spans="1:11" ht="12.5" x14ac:dyDescent="0.25">
      <c r="A8310" s="3" t="e">
        <f ca="1"/>
        <v>#NAME?</v>
      </c>
      <c r="B8310" s="2" t="s">
        <v>12</v>
      </c>
      <c r="C8310" s="2" t="s">
        <v>12</v>
      </c>
      <c r="D8310" s="2" t="s">
        <v>12</v>
      </c>
      <c r="E8310" s="2" t="s">
        <v>12</v>
      </c>
      <c r="F8310" s="2" t="s">
        <v>12</v>
      </c>
      <c r="G8310" s="2" t="s">
        <v>12</v>
      </c>
      <c r="H8310" s="2" t="s">
        <v>12</v>
      </c>
      <c r="I8310" s="2" t="s">
        <v>12</v>
      </c>
      <c r="J8310" s="2" t="s">
        <v>12</v>
      </c>
      <c r="K8310" s="2" t="s">
        <v>12</v>
      </c>
    </row>
    <row r="8311" spans="1:11" ht="12.5" x14ac:dyDescent="0.25">
      <c r="A8311" s="3" t="e">
        <f ca="1"/>
        <v>#NAME?</v>
      </c>
      <c r="B8311" s="2" t="s">
        <v>12</v>
      </c>
      <c r="C8311" s="2" t="s">
        <v>12</v>
      </c>
      <c r="D8311" s="2" t="s">
        <v>12</v>
      </c>
      <c r="E8311" s="2" t="s">
        <v>12</v>
      </c>
      <c r="F8311" s="2" t="s">
        <v>12</v>
      </c>
      <c r="G8311" s="2" t="s">
        <v>12</v>
      </c>
      <c r="H8311" s="2" t="s">
        <v>12</v>
      </c>
      <c r="I8311" s="2" t="s">
        <v>12</v>
      </c>
      <c r="J8311" s="2" t="s">
        <v>12</v>
      </c>
      <c r="K8311" s="2" t="s">
        <v>12</v>
      </c>
    </row>
    <row r="8312" spans="1:11" ht="12.5" x14ac:dyDescent="0.25">
      <c r="A8312" s="3" t="e">
        <f ca="1"/>
        <v>#NAME?</v>
      </c>
      <c r="B8312" s="2" t="s">
        <v>12</v>
      </c>
      <c r="C8312" s="2" t="s">
        <v>12</v>
      </c>
      <c r="D8312" s="2" t="s">
        <v>12</v>
      </c>
      <c r="E8312" s="2" t="s">
        <v>12</v>
      </c>
      <c r="F8312" s="2" t="s">
        <v>12</v>
      </c>
      <c r="G8312" s="2" t="s">
        <v>12</v>
      </c>
      <c r="H8312" s="2" t="s">
        <v>12</v>
      </c>
      <c r="I8312" s="2" t="s">
        <v>12</v>
      </c>
      <c r="J8312" s="2" t="s">
        <v>12</v>
      </c>
      <c r="K8312" s="2" t="s">
        <v>12</v>
      </c>
    </row>
    <row r="8313" spans="1:11" ht="12.5" x14ac:dyDescent="0.25">
      <c r="A8313" s="3" t="e">
        <f ca="1"/>
        <v>#NAME?</v>
      </c>
      <c r="B8313" s="2" t="s">
        <v>12</v>
      </c>
      <c r="C8313" s="2" t="s">
        <v>12</v>
      </c>
      <c r="D8313" s="2" t="s">
        <v>12</v>
      </c>
      <c r="E8313" s="2" t="s">
        <v>12</v>
      </c>
      <c r="F8313" s="2" t="s">
        <v>12</v>
      </c>
      <c r="G8313" s="2" t="s">
        <v>12</v>
      </c>
      <c r="H8313" s="2" t="s">
        <v>12</v>
      </c>
      <c r="I8313" s="2" t="s">
        <v>12</v>
      </c>
      <c r="J8313" s="2" t="s">
        <v>12</v>
      </c>
      <c r="K8313" s="2" t="s">
        <v>12</v>
      </c>
    </row>
    <row r="8314" spans="1:11" ht="12.5" x14ac:dyDescent="0.25">
      <c r="A8314" s="3" t="e">
        <f ca="1"/>
        <v>#NAME?</v>
      </c>
      <c r="B8314" s="2" t="s">
        <v>12</v>
      </c>
      <c r="C8314" s="2" t="s">
        <v>12</v>
      </c>
      <c r="D8314" s="2" t="s">
        <v>12</v>
      </c>
      <c r="E8314" s="2" t="s">
        <v>12</v>
      </c>
      <c r="F8314" s="2" t="s">
        <v>12</v>
      </c>
      <c r="G8314" s="2" t="s">
        <v>12</v>
      </c>
      <c r="H8314" s="2" t="s">
        <v>12</v>
      </c>
      <c r="I8314" s="2" t="s">
        <v>12</v>
      </c>
      <c r="J8314" s="2" t="s">
        <v>12</v>
      </c>
      <c r="K8314" s="2" t="s">
        <v>12</v>
      </c>
    </row>
    <row r="8315" spans="1:11" ht="12.5" x14ac:dyDescent="0.25">
      <c r="A8315" s="3" t="e">
        <f ca="1"/>
        <v>#NAME?</v>
      </c>
      <c r="B8315" s="2" t="s">
        <v>12</v>
      </c>
      <c r="C8315" s="2" t="s">
        <v>12</v>
      </c>
      <c r="D8315" s="2" t="s">
        <v>12</v>
      </c>
      <c r="E8315" s="2" t="s">
        <v>12</v>
      </c>
      <c r="F8315" s="2" t="s">
        <v>12</v>
      </c>
      <c r="G8315" s="2" t="s">
        <v>12</v>
      </c>
      <c r="H8315" s="2" t="s">
        <v>12</v>
      </c>
      <c r="I8315" s="2" t="s">
        <v>12</v>
      </c>
      <c r="J8315" s="2" t="s">
        <v>12</v>
      </c>
      <c r="K8315" s="2" t="s">
        <v>12</v>
      </c>
    </row>
    <row r="8316" spans="1:11" ht="12.5" x14ac:dyDescent="0.25">
      <c r="A8316" s="3" t="e">
        <f ca="1"/>
        <v>#NAME?</v>
      </c>
      <c r="B8316" s="2" t="s">
        <v>12</v>
      </c>
      <c r="C8316" s="2" t="s">
        <v>12</v>
      </c>
      <c r="D8316" s="2" t="s">
        <v>12</v>
      </c>
      <c r="E8316" s="2" t="s">
        <v>12</v>
      </c>
      <c r="F8316" s="2" t="s">
        <v>12</v>
      </c>
      <c r="G8316" s="2" t="s">
        <v>12</v>
      </c>
      <c r="H8316" s="2" t="s">
        <v>12</v>
      </c>
      <c r="I8316" s="2" t="s">
        <v>12</v>
      </c>
      <c r="J8316" s="2" t="s">
        <v>12</v>
      </c>
      <c r="K8316" s="2" t="s">
        <v>12</v>
      </c>
    </row>
    <row r="8317" spans="1:11" ht="12.5" x14ac:dyDescent="0.25">
      <c r="A8317" s="3" t="e">
        <f ca="1"/>
        <v>#NAME?</v>
      </c>
      <c r="B8317" s="2" t="s">
        <v>12</v>
      </c>
      <c r="C8317" s="2" t="s">
        <v>12</v>
      </c>
      <c r="D8317" s="2" t="s">
        <v>12</v>
      </c>
      <c r="E8317" s="2" t="s">
        <v>12</v>
      </c>
      <c r="F8317" s="2" t="s">
        <v>12</v>
      </c>
      <c r="G8317" s="2" t="s">
        <v>12</v>
      </c>
      <c r="H8317" s="2" t="s">
        <v>12</v>
      </c>
      <c r="I8317" s="2" t="s">
        <v>12</v>
      </c>
      <c r="J8317" s="2" t="s">
        <v>12</v>
      </c>
      <c r="K8317" s="2" t="s">
        <v>12</v>
      </c>
    </row>
    <row r="8318" spans="1:11" ht="12.5" x14ac:dyDescent="0.25">
      <c r="A8318" s="3" t="e">
        <f ca="1"/>
        <v>#NAME?</v>
      </c>
      <c r="B8318" s="2" t="s">
        <v>12</v>
      </c>
      <c r="C8318" s="2" t="s">
        <v>12</v>
      </c>
      <c r="D8318" s="2" t="s">
        <v>12</v>
      </c>
      <c r="E8318" s="2" t="s">
        <v>12</v>
      </c>
      <c r="F8318" s="2" t="s">
        <v>12</v>
      </c>
      <c r="G8318" s="2" t="s">
        <v>12</v>
      </c>
      <c r="H8318" s="2" t="s">
        <v>12</v>
      </c>
      <c r="I8318" s="2" t="s">
        <v>12</v>
      </c>
      <c r="J8318" s="2" t="s">
        <v>12</v>
      </c>
      <c r="K8318" s="2" t="s">
        <v>12</v>
      </c>
    </row>
    <row r="8319" spans="1:11" ht="12.5" x14ac:dyDescent="0.25">
      <c r="A8319" s="3" t="e">
        <f ca="1"/>
        <v>#NAME?</v>
      </c>
      <c r="B8319" s="2" t="s">
        <v>12</v>
      </c>
      <c r="C8319" s="2" t="s">
        <v>12</v>
      </c>
      <c r="D8319" s="2" t="s">
        <v>12</v>
      </c>
      <c r="E8319" s="2" t="s">
        <v>12</v>
      </c>
      <c r="F8319" s="2" t="s">
        <v>12</v>
      </c>
      <c r="G8319" s="2" t="s">
        <v>12</v>
      </c>
      <c r="H8319" s="2" t="s">
        <v>12</v>
      </c>
      <c r="I8319" s="2" t="s">
        <v>12</v>
      </c>
      <c r="J8319" s="2" t="s">
        <v>12</v>
      </c>
      <c r="K8319" s="2" t="s">
        <v>12</v>
      </c>
    </row>
    <row r="8320" spans="1:11" ht="12.5" x14ac:dyDescent="0.25">
      <c r="A8320" s="3" t="e">
        <f ca="1"/>
        <v>#NAME?</v>
      </c>
      <c r="B8320" s="2" t="s">
        <v>12</v>
      </c>
      <c r="C8320" s="2" t="s">
        <v>12</v>
      </c>
      <c r="D8320" s="2" t="s">
        <v>12</v>
      </c>
      <c r="E8320" s="2" t="s">
        <v>12</v>
      </c>
      <c r="F8320" s="2" t="s">
        <v>12</v>
      </c>
      <c r="G8320" s="2" t="s">
        <v>12</v>
      </c>
      <c r="H8320" s="2" t="s">
        <v>12</v>
      </c>
      <c r="I8320" s="2" t="s">
        <v>12</v>
      </c>
      <c r="J8320" s="2" t="s">
        <v>12</v>
      </c>
      <c r="K8320" s="2" t="s">
        <v>12</v>
      </c>
    </row>
    <row r="8321" spans="1:11" ht="12.5" x14ac:dyDescent="0.25">
      <c r="A8321" s="3" t="e">
        <f ca="1"/>
        <v>#NAME?</v>
      </c>
      <c r="B8321" s="2" t="s">
        <v>12</v>
      </c>
      <c r="C8321" s="2" t="s">
        <v>12</v>
      </c>
      <c r="D8321" s="2" t="s">
        <v>12</v>
      </c>
      <c r="E8321" s="2" t="s">
        <v>12</v>
      </c>
      <c r="F8321" s="2" t="s">
        <v>12</v>
      </c>
      <c r="G8321" s="2" t="s">
        <v>12</v>
      </c>
      <c r="H8321" s="2" t="s">
        <v>12</v>
      </c>
      <c r="I8321" s="2" t="s">
        <v>12</v>
      </c>
      <c r="J8321" s="2" t="s">
        <v>12</v>
      </c>
      <c r="K8321" s="2" t="s">
        <v>12</v>
      </c>
    </row>
    <row r="8322" spans="1:11" ht="12.5" x14ac:dyDescent="0.25">
      <c r="A8322" s="3" t="e">
        <f ca="1"/>
        <v>#NAME?</v>
      </c>
      <c r="B8322" s="2" t="s">
        <v>12</v>
      </c>
      <c r="C8322" s="2" t="s">
        <v>12</v>
      </c>
      <c r="D8322" s="2" t="s">
        <v>12</v>
      </c>
      <c r="E8322" s="2" t="s">
        <v>12</v>
      </c>
      <c r="F8322" s="2" t="s">
        <v>12</v>
      </c>
      <c r="G8322" s="2" t="s">
        <v>12</v>
      </c>
      <c r="H8322" s="2" t="s">
        <v>12</v>
      </c>
      <c r="I8322" s="2" t="s">
        <v>12</v>
      </c>
      <c r="J8322" s="2" t="s">
        <v>12</v>
      </c>
      <c r="K8322" s="2" t="s">
        <v>12</v>
      </c>
    </row>
    <row r="8323" spans="1:11" ht="12.5" x14ac:dyDescent="0.25">
      <c r="A8323" s="3" t="e">
        <f ca="1"/>
        <v>#NAME?</v>
      </c>
      <c r="B8323" s="2" t="s">
        <v>12</v>
      </c>
      <c r="C8323" s="2" t="s">
        <v>12</v>
      </c>
      <c r="D8323" s="2" t="s">
        <v>12</v>
      </c>
      <c r="E8323" s="2" t="s">
        <v>12</v>
      </c>
      <c r="F8323" s="2" t="s">
        <v>12</v>
      </c>
      <c r="G8323" s="2" t="s">
        <v>12</v>
      </c>
      <c r="H8323" s="2" t="s">
        <v>12</v>
      </c>
      <c r="I8323" s="2" t="s">
        <v>12</v>
      </c>
      <c r="J8323" s="2" t="s">
        <v>12</v>
      </c>
      <c r="K8323" s="2" t="s">
        <v>12</v>
      </c>
    </row>
    <row r="8324" spans="1:11" ht="12.5" x14ac:dyDescent="0.25">
      <c r="A8324" s="3" t="e">
        <f ca="1"/>
        <v>#NAME?</v>
      </c>
      <c r="B8324" s="2" t="s">
        <v>12</v>
      </c>
      <c r="C8324" s="2" t="s">
        <v>12</v>
      </c>
      <c r="D8324" s="2" t="s">
        <v>12</v>
      </c>
      <c r="E8324" s="2" t="s">
        <v>12</v>
      </c>
      <c r="F8324" s="2" t="s">
        <v>12</v>
      </c>
      <c r="G8324" s="2" t="s">
        <v>12</v>
      </c>
      <c r="H8324" s="2" t="s">
        <v>12</v>
      </c>
      <c r="I8324" s="2" t="s">
        <v>12</v>
      </c>
      <c r="J8324" s="2" t="s">
        <v>12</v>
      </c>
      <c r="K8324" s="2" t="s">
        <v>12</v>
      </c>
    </row>
    <row r="8325" spans="1:11" ht="12.5" x14ac:dyDescent="0.25">
      <c r="A8325" s="3" t="e">
        <f ca="1"/>
        <v>#NAME?</v>
      </c>
      <c r="B8325" s="2" t="s">
        <v>12</v>
      </c>
      <c r="C8325" s="2" t="s">
        <v>12</v>
      </c>
      <c r="D8325" s="2" t="s">
        <v>12</v>
      </c>
      <c r="E8325" s="2" t="s">
        <v>12</v>
      </c>
      <c r="F8325" s="2" t="s">
        <v>12</v>
      </c>
      <c r="G8325" s="2" t="s">
        <v>12</v>
      </c>
      <c r="H8325" s="2" t="s">
        <v>12</v>
      </c>
      <c r="I8325" s="2" t="s">
        <v>12</v>
      </c>
      <c r="J8325" s="2" t="s">
        <v>12</v>
      </c>
      <c r="K8325" s="2" t="s">
        <v>12</v>
      </c>
    </row>
    <row r="8326" spans="1:11" ht="12.5" x14ac:dyDescent="0.25">
      <c r="A8326" s="3" t="e">
        <f ca="1"/>
        <v>#NAME?</v>
      </c>
      <c r="B8326" s="2" t="s">
        <v>12</v>
      </c>
      <c r="C8326" s="2" t="s">
        <v>12</v>
      </c>
      <c r="D8326" s="2" t="s">
        <v>12</v>
      </c>
      <c r="E8326" s="2" t="s">
        <v>12</v>
      </c>
      <c r="F8326" s="2" t="s">
        <v>12</v>
      </c>
      <c r="G8326" s="2" t="s">
        <v>12</v>
      </c>
      <c r="H8326" s="2" t="s">
        <v>12</v>
      </c>
      <c r="I8326" s="2" t="s">
        <v>12</v>
      </c>
      <c r="J8326" s="2" t="s">
        <v>12</v>
      </c>
      <c r="K8326" s="2" t="s">
        <v>12</v>
      </c>
    </row>
    <row r="8327" spans="1:11" ht="12.5" x14ac:dyDescent="0.25">
      <c r="A8327" s="3" t="e">
        <f ca="1"/>
        <v>#NAME?</v>
      </c>
      <c r="B8327" s="2" t="s">
        <v>12</v>
      </c>
      <c r="C8327" s="2" t="s">
        <v>12</v>
      </c>
      <c r="D8327" s="2" t="s">
        <v>12</v>
      </c>
      <c r="E8327" s="2" t="s">
        <v>12</v>
      </c>
      <c r="F8327" s="2" t="s">
        <v>12</v>
      </c>
      <c r="G8327" s="2" t="s">
        <v>12</v>
      </c>
      <c r="H8327" s="2" t="s">
        <v>12</v>
      </c>
      <c r="I8327" s="2" t="s">
        <v>12</v>
      </c>
      <c r="J8327" s="2" t="s">
        <v>12</v>
      </c>
      <c r="K8327" s="2" t="s">
        <v>12</v>
      </c>
    </row>
    <row r="8328" spans="1:11" ht="12.5" x14ac:dyDescent="0.25">
      <c r="A8328" s="3" t="e">
        <f ca="1"/>
        <v>#NAME?</v>
      </c>
      <c r="B8328" s="2" t="s">
        <v>12</v>
      </c>
      <c r="C8328" s="2" t="s">
        <v>12</v>
      </c>
      <c r="D8328" s="2" t="s">
        <v>12</v>
      </c>
      <c r="E8328" s="2" t="s">
        <v>12</v>
      </c>
      <c r="F8328" s="2" t="s">
        <v>12</v>
      </c>
      <c r="G8328" s="2" t="s">
        <v>12</v>
      </c>
      <c r="H8328" s="2" t="s">
        <v>12</v>
      </c>
      <c r="I8328" s="2" t="s">
        <v>12</v>
      </c>
      <c r="J8328" s="2" t="s">
        <v>12</v>
      </c>
      <c r="K8328" s="2" t="s">
        <v>12</v>
      </c>
    </row>
    <row r="8329" spans="1:11" ht="12.5" x14ac:dyDescent="0.25">
      <c r="A8329" s="3" t="e">
        <f ca="1"/>
        <v>#NAME?</v>
      </c>
      <c r="B8329" s="2" t="s">
        <v>12</v>
      </c>
      <c r="C8329" s="2" t="s">
        <v>12</v>
      </c>
      <c r="D8329" s="2" t="s">
        <v>12</v>
      </c>
      <c r="E8329" s="2" t="s">
        <v>12</v>
      </c>
      <c r="F8329" s="2" t="s">
        <v>12</v>
      </c>
      <c r="G8329" s="2" t="s">
        <v>12</v>
      </c>
      <c r="H8329" s="2" t="s">
        <v>12</v>
      </c>
      <c r="I8329" s="2" t="s">
        <v>12</v>
      </c>
      <c r="J8329" s="2" t="s">
        <v>12</v>
      </c>
      <c r="K8329" s="2" t="s">
        <v>12</v>
      </c>
    </row>
    <row r="8330" spans="1:11" ht="12.5" x14ac:dyDescent="0.25">
      <c r="A8330" s="3" t="e">
        <f ca="1"/>
        <v>#NAME?</v>
      </c>
      <c r="B8330" s="2" t="s">
        <v>12</v>
      </c>
      <c r="C8330" s="2" t="s">
        <v>12</v>
      </c>
      <c r="D8330" s="2" t="s">
        <v>12</v>
      </c>
      <c r="E8330" s="2" t="s">
        <v>12</v>
      </c>
      <c r="F8330" s="2" t="s">
        <v>12</v>
      </c>
      <c r="G8330" s="2" t="s">
        <v>12</v>
      </c>
      <c r="H8330" s="2" t="s">
        <v>12</v>
      </c>
      <c r="I8330" s="2" t="s">
        <v>12</v>
      </c>
      <c r="J8330" s="2" t="s">
        <v>12</v>
      </c>
      <c r="K8330" s="2" t="s">
        <v>12</v>
      </c>
    </row>
    <row r="8331" spans="1:11" ht="12.5" x14ac:dyDescent="0.25">
      <c r="A8331" s="3" t="e">
        <f ca="1"/>
        <v>#NAME?</v>
      </c>
      <c r="B8331" s="2" t="s">
        <v>12</v>
      </c>
      <c r="C8331" s="2" t="s">
        <v>12</v>
      </c>
      <c r="D8331" s="2" t="s">
        <v>12</v>
      </c>
      <c r="E8331" s="2" t="s">
        <v>12</v>
      </c>
      <c r="F8331" s="2" t="s">
        <v>12</v>
      </c>
      <c r="G8331" s="2" t="s">
        <v>12</v>
      </c>
      <c r="H8331" s="2" t="s">
        <v>12</v>
      </c>
      <c r="I8331" s="2" t="s">
        <v>12</v>
      </c>
      <c r="J8331" s="2" t="s">
        <v>12</v>
      </c>
      <c r="K8331" s="2" t="s">
        <v>12</v>
      </c>
    </row>
    <row r="8332" spans="1:11" ht="12.5" x14ac:dyDescent="0.25">
      <c r="A8332" s="3" t="e">
        <f ca="1"/>
        <v>#NAME?</v>
      </c>
      <c r="B8332" s="2" t="s">
        <v>12</v>
      </c>
      <c r="C8332" s="2" t="s">
        <v>12</v>
      </c>
      <c r="D8332" s="2" t="s">
        <v>12</v>
      </c>
      <c r="E8332" s="2" t="s">
        <v>12</v>
      </c>
      <c r="F8332" s="2" t="s">
        <v>12</v>
      </c>
      <c r="G8332" s="2" t="s">
        <v>12</v>
      </c>
      <c r="H8332" s="2" t="s">
        <v>12</v>
      </c>
      <c r="I8332" s="2" t="s">
        <v>12</v>
      </c>
      <c r="J8332" s="2" t="s">
        <v>12</v>
      </c>
      <c r="K8332" s="2" t="s">
        <v>12</v>
      </c>
    </row>
    <row r="8333" spans="1:11" ht="12.5" x14ac:dyDescent="0.25">
      <c r="A8333" s="3" t="e">
        <f ca="1"/>
        <v>#NAME?</v>
      </c>
      <c r="B8333" s="2" t="s">
        <v>12</v>
      </c>
      <c r="C8333" s="2" t="s">
        <v>12</v>
      </c>
      <c r="D8333" s="2" t="s">
        <v>12</v>
      </c>
      <c r="E8333" s="2" t="s">
        <v>12</v>
      </c>
      <c r="F8333" s="2" t="s">
        <v>12</v>
      </c>
      <c r="G8333" s="2" t="s">
        <v>12</v>
      </c>
      <c r="H8333" s="2" t="s">
        <v>12</v>
      </c>
      <c r="I8333" s="2" t="s">
        <v>12</v>
      </c>
      <c r="J8333" s="2" t="s">
        <v>12</v>
      </c>
      <c r="K8333" s="2" t="s">
        <v>12</v>
      </c>
    </row>
    <row r="8334" spans="1:11" ht="12.5" x14ac:dyDescent="0.25">
      <c r="A8334" s="3" t="e">
        <f ca="1"/>
        <v>#NAME?</v>
      </c>
      <c r="B8334" s="2" t="s">
        <v>12</v>
      </c>
      <c r="C8334" s="2" t="s">
        <v>12</v>
      </c>
      <c r="D8334" s="2" t="s">
        <v>12</v>
      </c>
      <c r="E8334" s="2" t="s">
        <v>12</v>
      </c>
      <c r="F8334" s="2" t="s">
        <v>12</v>
      </c>
      <c r="G8334" s="2" t="s">
        <v>12</v>
      </c>
      <c r="H8334" s="2" t="s">
        <v>12</v>
      </c>
      <c r="I8334" s="2" t="s">
        <v>12</v>
      </c>
      <c r="J8334" s="2" t="s">
        <v>12</v>
      </c>
      <c r="K8334" s="2" t="s">
        <v>12</v>
      </c>
    </row>
    <row r="8335" spans="1:11" ht="12.5" x14ac:dyDescent="0.25">
      <c r="A8335" s="3" t="e">
        <f ca="1"/>
        <v>#NAME?</v>
      </c>
      <c r="B8335" s="2" t="s">
        <v>12</v>
      </c>
      <c r="C8335" s="2" t="s">
        <v>12</v>
      </c>
      <c r="D8335" s="2" t="s">
        <v>12</v>
      </c>
      <c r="E8335" s="2" t="s">
        <v>12</v>
      </c>
      <c r="F8335" s="2" t="s">
        <v>12</v>
      </c>
      <c r="G8335" s="2" t="s">
        <v>12</v>
      </c>
      <c r="H8335" s="2" t="s">
        <v>12</v>
      </c>
      <c r="I8335" s="2" t="s">
        <v>12</v>
      </c>
      <c r="J8335" s="2" t="s">
        <v>12</v>
      </c>
      <c r="K8335" s="2" t="s">
        <v>12</v>
      </c>
    </row>
    <row r="8336" spans="1:11" ht="12.5" x14ac:dyDescent="0.25">
      <c r="A8336" s="3" t="e">
        <f ca="1"/>
        <v>#NAME?</v>
      </c>
      <c r="B8336" s="2" t="s">
        <v>12</v>
      </c>
      <c r="C8336" s="2" t="s">
        <v>12</v>
      </c>
      <c r="D8336" s="2" t="s">
        <v>12</v>
      </c>
      <c r="E8336" s="2" t="s">
        <v>12</v>
      </c>
      <c r="F8336" s="2" t="s">
        <v>12</v>
      </c>
      <c r="G8336" s="2" t="s">
        <v>12</v>
      </c>
      <c r="H8336" s="2" t="s">
        <v>12</v>
      </c>
      <c r="I8336" s="2" t="s">
        <v>12</v>
      </c>
      <c r="J8336" s="2" t="s">
        <v>12</v>
      </c>
      <c r="K8336" s="2" t="s">
        <v>12</v>
      </c>
    </row>
    <row r="8337" spans="1:11" ht="12.5" x14ac:dyDescent="0.25">
      <c r="A8337" s="3" t="e">
        <f ca="1"/>
        <v>#NAME?</v>
      </c>
      <c r="B8337" s="2" t="s">
        <v>12</v>
      </c>
      <c r="C8337" s="2" t="s">
        <v>12</v>
      </c>
      <c r="D8337" s="2" t="s">
        <v>12</v>
      </c>
      <c r="E8337" s="2" t="s">
        <v>12</v>
      </c>
      <c r="F8337" s="2" t="s">
        <v>12</v>
      </c>
      <c r="G8337" s="2" t="s">
        <v>12</v>
      </c>
      <c r="H8337" s="2" t="s">
        <v>12</v>
      </c>
      <c r="I8337" s="2" t="s">
        <v>12</v>
      </c>
      <c r="J8337" s="2" t="s">
        <v>12</v>
      </c>
      <c r="K8337" s="2" t="s">
        <v>12</v>
      </c>
    </row>
    <row r="8338" spans="1:11" ht="12.5" x14ac:dyDescent="0.25">
      <c r="A8338" s="3" t="e">
        <f ca="1"/>
        <v>#NAME?</v>
      </c>
      <c r="B8338" s="2" t="s">
        <v>12</v>
      </c>
      <c r="C8338" s="2" t="s">
        <v>12</v>
      </c>
      <c r="D8338" s="2" t="s">
        <v>12</v>
      </c>
      <c r="E8338" s="2" t="s">
        <v>12</v>
      </c>
      <c r="F8338" s="2" t="s">
        <v>12</v>
      </c>
      <c r="G8338" s="2" t="s">
        <v>12</v>
      </c>
      <c r="H8338" s="2" t="s">
        <v>12</v>
      </c>
      <c r="I8338" s="2" t="s">
        <v>12</v>
      </c>
      <c r="J8338" s="2" t="s">
        <v>12</v>
      </c>
      <c r="K8338" s="2" t="s">
        <v>12</v>
      </c>
    </row>
    <row r="8339" spans="1:11" ht="12.5" x14ac:dyDescent="0.25">
      <c r="A8339" s="3" t="e">
        <f ca="1"/>
        <v>#NAME?</v>
      </c>
      <c r="B8339" s="2" t="s">
        <v>12</v>
      </c>
      <c r="C8339" s="2" t="s">
        <v>12</v>
      </c>
      <c r="D8339" s="2" t="s">
        <v>12</v>
      </c>
      <c r="E8339" s="2" t="s">
        <v>12</v>
      </c>
      <c r="F8339" s="2" t="s">
        <v>12</v>
      </c>
      <c r="G8339" s="2" t="s">
        <v>12</v>
      </c>
      <c r="H8339" s="2" t="s">
        <v>12</v>
      </c>
      <c r="I8339" s="2" t="s">
        <v>12</v>
      </c>
      <c r="J8339" s="2" t="s">
        <v>12</v>
      </c>
      <c r="K8339" s="2" t="s">
        <v>12</v>
      </c>
    </row>
    <row r="8340" spans="1:11" ht="12.5" x14ac:dyDescent="0.25">
      <c r="A8340" s="3" t="e">
        <f ca="1"/>
        <v>#NAME?</v>
      </c>
      <c r="B8340" s="2" t="s">
        <v>12</v>
      </c>
      <c r="C8340" s="2" t="s">
        <v>12</v>
      </c>
      <c r="D8340" s="2" t="s">
        <v>12</v>
      </c>
      <c r="E8340" s="2" t="s">
        <v>12</v>
      </c>
      <c r="F8340" s="2" t="s">
        <v>12</v>
      </c>
      <c r="G8340" s="2" t="s">
        <v>12</v>
      </c>
      <c r="H8340" s="2" t="s">
        <v>12</v>
      </c>
      <c r="I8340" s="2" t="s">
        <v>12</v>
      </c>
      <c r="J8340" s="2" t="s">
        <v>12</v>
      </c>
      <c r="K8340" s="2" t="s">
        <v>12</v>
      </c>
    </row>
    <row r="8341" spans="1:11" ht="12.5" x14ac:dyDescent="0.25">
      <c r="A8341" s="3" t="e">
        <f ca="1"/>
        <v>#NAME?</v>
      </c>
      <c r="B8341" s="2" t="s">
        <v>12</v>
      </c>
      <c r="C8341" s="2" t="s">
        <v>12</v>
      </c>
      <c r="D8341" s="2" t="s">
        <v>12</v>
      </c>
      <c r="E8341" s="2" t="s">
        <v>12</v>
      </c>
      <c r="F8341" s="2" t="s">
        <v>12</v>
      </c>
      <c r="G8341" s="2" t="s">
        <v>12</v>
      </c>
      <c r="H8341" s="2" t="s">
        <v>12</v>
      </c>
      <c r="I8341" s="2" t="s">
        <v>12</v>
      </c>
      <c r="J8341" s="2" t="s">
        <v>12</v>
      </c>
      <c r="K8341" s="2" t="s">
        <v>12</v>
      </c>
    </row>
    <row r="8342" spans="1:11" ht="12.5" x14ac:dyDescent="0.25">
      <c r="A8342" s="3" t="e">
        <f ca="1"/>
        <v>#NAME?</v>
      </c>
      <c r="B8342" s="2" t="s">
        <v>12</v>
      </c>
      <c r="C8342" s="2" t="s">
        <v>12</v>
      </c>
      <c r="D8342" s="2" t="s">
        <v>12</v>
      </c>
      <c r="E8342" s="2" t="s">
        <v>12</v>
      </c>
      <c r="F8342" s="2" t="s">
        <v>12</v>
      </c>
      <c r="G8342" s="2" t="s">
        <v>12</v>
      </c>
      <c r="H8342" s="2" t="s">
        <v>12</v>
      </c>
      <c r="I8342" s="2" t="s">
        <v>12</v>
      </c>
      <c r="J8342" s="2" t="s">
        <v>12</v>
      </c>
      <c r="K8342" s="2" t="s">
        <v>12</v>
      </c>
    </row>
    <row r="8343" spans="1:11" ht="12.5" x14ac:dyDescent="0.25">
      <c r="A8343" s="3" t="e">
        <f ca="1"/>
        <v>#NAME?</v>
      </c>
      <c r="B8343" s="2" t="s">
        <v>12</v>
      </c>
      <c r="C8343" s="2" t="s">
        <v>12</v>
      </c>
      <c r="D8343" s="2" t="s">
        <v>12</v>
      </c>
      <c r="E8343" s="2" t="s">
        <v>12</v>
      </c>
      <c r="F8343" s="2" t="s">
        <v>12</v>
      </c>
      <c r="G8343" s="2" t="s">
        <v>12</v>
      </c>
      <c r="H8343" s="2" t="s">
        <v>12</v>
      </c>
      <c r="I8343" s="2" t="s">
        <v>12</v>
      </c>
      <c r="J8343" s="2" t="s">
        <v>12</v>
      </c>
      <c r="K8343" s="2" t="s">
        <v>12</v>
      </c>
    </row>
    <row r="8344" spans="1:11" ht="12.5" x14ac:dyDescent="0.25">
      <c r="A8344" s="3" t="e">
        <f ca="1"/>
        <v>#NAME?</v>
      </c>
      <c r="B8344" s="2" t="s">
        <v>12</v>
      </c>
      <c r="C8344" s="2" t="s">
        <v>12</v>
      </c>
      <c r="D8344" s="2" t="s">
        <v>12</v>
      </c>
      <c r="E8344" s="2" t="s">
        <v>12</v>
      </c>
      <c r="F8344" s="2" t="s">
        <v>12</v>
      </c>
      <c r="G8344" s="2" t="s">
        <v>12</v>
      </c>
      <c r="H8344" s="2" t="s">
        <v>12</v>
      </c>
      <c r="I8344" s="2" t="s">
        <v>12</v>
      </c>
      <c r="J8344" s="2" t="s">
        <v>12</v>
      </c>
      <c r="K8344" s="2" t="s">
        <v>12</v>
      </c>
    </row>
    <row r="8345" spans="1:11" ht="12.5" x14ac:dyDescent="0.25">
      <c r="A8345" s="3" t="e">
        <f ca="1"/>
        <v>#NAME?</v>
      </c>
      <c r="B8345" s="2" t="s">
        <v>12</v>
      </c>
      <c r="C8345" s="2" t="s">
        <v>12</v>
      </c>
      <c r="D8345" s="2" t="s">
        <v>12</v>
      </c>
      <c r="E8345" s="2" t="s">
        <v>12</v>
      </c>
      <c r="F8345" s="2" t="s">
        <v>12</v>
      </c>
      <c r="G8345" s="2" t="s">
        <v>12</v>
      </c>
      <c r="H8345" s="2" t="s">
        <v>12</v>
      </c>
      <c r="I8345" s="2" t="s">
        <v>12</v>
      </c>
      <c r="J8345" s="2" t="s">
        <v>12</v>
      </c>
      <c r="K8345" s="2" t="s">
        <v>12</v>
      </c>
    </row>
    <row r="8346" spans="1:11" ht="12.5" x14ac:dyDescent="0.25">
      <c r="A8346" s="3" t="e">
        <f ca="1"/>
        <v>#NAME?</v>
      </c>
      <c r="B8346" s="2" t="s">
        <v>12</v>
      </c>
      <c r="C8346" s="2" t="s">
        <v>12</v>
      </c>
      <c r="D8346" s="2" t="s">
        <v>12</v>
      </c>
      <c r="E8346" s="2" t="s">
        <v>12</v>
      </c>
      <c r="F8346" s="2" t="s">
        <v>12</v>
      </c>
      <c r="G8346" s="2" t="s">
        <v>12</v>
      </c>
      <c r="H8346" s="2" t="s">
        <v>12</v>
      </c>
      <c r="I8346" s="2" t="s">
        <v>12</v>
      </c>
      <c r="J8346" s="2" t="s">
        <v>12</v>
      </c>
      <c r="K8346" s="2" t="s">
        <v>12</v>
      </c>
    </row>
    <row r="8347" spans="1:11" ht="12.5" x14ac:dyDescent="0.25">
      <c r="A8347" s="3" t="e">
        <f ca="1"/>
        <v>#NAME?</v>
      </c>
      <c r="B8347" s="2" t="s">
        <v>12</v>
      </c>
      <c r="C8347" s="2" t="s">
        <v>12</v>
      </c>
      <c r="D8347" s="2" t="s">
        <v>12</v>
      </c>
      <c r="E8347" s="2" t="s">
        <v>12</v>
      </c>
      <c r="F8347" s="2" t="s">
        <v>12</v>
      </c>
      <c r="G8347" s="2" t="s">
        <v>12</v>
      </c>
      <c r="H8347" s="2" t="s">
        <v>12</v>
      </c>
      <c r="I8347" s="2" t="s">
        <v>12</v>
      </c>
      <c r="J8347" s="2" t="s">
        <v>12</v>
      </c>
      <c r="K8347" s="2" t="s">
        <v>12</v>
      </c>
    </row>
    <row r="8348" spans="1:11" ht="12.5" x14ac:dyDescent="0.25">
      <c r="A8348" s="3" t="e">
        <f ca="1"/>
        <v>#NAME?</v>
      </c>
      <c r="B8348" s="2" t="s">
        <v>12</v>
      </c>
      <c r="C8348" s="2" t="s">
        <v>12</v>
      </c>
      <c r="D8348" s="2" t="s">
        <v>12</v>
      </c>
      <c r="E8348" s="2" t="s">
        <v>12</v>
      </c>
      <c r="F8348" s="2" t="s">
        <v>12</v>
      </c>
      <c r="G8348" s="2" t="s">
        <v>12</v>
      </c>
      <c r="H8348" s="2" t="s">
        <v>12</v>
      </c>
      <c r="I8348" s="2" t="s">
        <v>12</v>
      </c>
      <c r="J8348" s="2" t="s">
        <v>12</v>
      </c>
      <c r="K8348" s="2" t="s">
        <v>12</v>
      </c>
    </row>
    <row r="8349" spans="1:11" ht="12.5" x14ac:dyDescent="0.25">
      <c r="A8349" s="3" t="e">
        <f ca="1"/>
        <v>#NAME?</v>
      </c>
      <c r="B8349" s="2" t="s">
        <v>12</v>
      </c>
      <c r="C8349" s="2" t="s">
        <v>12</v>
      </c>
      <c r="D8349" s="2" t="s">
        <v>12</v>
      </c>
      <c r="E8349" s="2" t="s">
        <v>12</v>
      </c>
      <c r="F8349" s="2" t="s">
        <v>12</v>
      </c>
      <c r="G8349" s="2" t="s">
        <v>12</v>
      </c>
      <c r="H8349" s="2" t="s">
        <v>12</v>
      </c>
      <c r="I8349" s="2" t="s">
        <v>12</v>
      </c>
      <c r="J8349" s="2" t="s">
        <v>12</v>
      </c>
      <c r="K8349" s="2" t="s">
        <v>12</v>
      </c>
    </row>
    <row r="8350" spans="1:11" ht="12.5" x14ac:dyDescent="0.25">
      <c r="A8350" s="3" t="e">
        <f ca="1"/>
        <v>#NAME?</v>
      </c>
      <c r="B8350" s="2" t="s">
        <v>12</v>
      </c>
      <c r="C8350" s="2" t="s">
        <v>12</v>
      </c>
      <c r="D8350" s="2" t="s">
        <v>12</v>
      </c>
      <c r="E8350" s="2" t="s">
        <v>12</v>
      </c>
      <c r="F8350" s="2" t="s">
        <v>12</v>
      </c>
      <c r="G8350" s="2" t="s">
        <v>12</v>
      </c>
      <c r="H8350" s="2" t="s">
        <v>12</v>
      </c>
      <c r="I8350" s="2" t="s">
        <v>12</v>
      </c>
      <c r="J8350" s="2" t="s">
        <v>12</v>
      </c>
      <c r="K8350" s="2" t="s">
        <v>12</v>
      </c>
    </row>
    <row r="8351" spans="1:11" ht="12.5" x14ac:dyDescent="0.25">
      <c r="A8351" s="3" t="e">
        <f ca="1"/>
        <v>#NAME?</v>
      </c>
      <c r="B8351" s="2" t="s">
        <v>12</v>
      </c>
      <c r="C8351" s="2" t="s">
        <v>12</v>
      </c>
      <c r="D8351" s="2" t="s">
        <v>12</v>
      </c>
      <c r="E8351" s="2" t="s">
        <v>12</v>
      </c>
      <c r="F8351" s="2" t="s">
        <v>12</v>
      </c>
      <c r="G8351" s="2" t="s">
        <v>12</v>
      </c>
      <c r="H8351" s="2" t="s">
        <v>12</v>
      </c>
      <c r="I8351" s="2" t="s">
        <v>12</v>
      </c>
      <c r="J8351" s="2" t="s">
        <v>12</v>
      </c>
      <c r="K8351" s="2" t="s">
        <v>12</v>
      </c>
    </row>
    <row r="8352" spans="1:11" ht="12.5" x14ac:dyDescent="0.25">
      <c r="A8352" s="3" t="e">
        <f ca="1"/>
        <v>#NAME?</v>
      </c>
      <c r="B8352" s="2" t="s">
        <v>12</v>
      </c>
      <c r="C8352" s="2" t="s">
        <v>12</v>
      </c>
      <c r="D8352" s="2" t="s">
        <v>12</v>
      </c>
      <c r="E8352" s="2" t="s">
        <v>12</v>
      </c>
      <c r="F8352" s="2" t="s">
        <v>12</v>
      </c>
      <c r="G8352" s="2" t="s">
        <v>12</v>
      </c>
      <c r="H8352" s="2" t="s">
        <v>12</v>
      </c>
      <c r="I8352" s="2" t="s">
        <v>12</v>
      </c>
      <c r="J8352" s="2" t="s">
        <v>12</v>
      </c>
      <c r="K8352" s="2" t="s">
        <v>12</v>
      </c>
    </row>
    <row r="8353" spans="1:11" ht="12.5" x14ac:dyDescent="0.25">
      <c r="A8353" s="3" t="e">
        <f ca="1"/>
        <v>#NAME?</v>
      </c>
      <c r="B8353" s="2" t="s">
        <v>12</v>
      </c>
      <c r="C8353" s="2" t="s">
        <v>12</v>
      </c>
      <c r="D8353" s="2" t="s">
        <v>12</v>
      </c>
      <c r="E8353" s="2" t="s">
        <v>12</v>
      </c>
      <c r="F8353" s="2" t="s">
        <v>12</v>
      </c>
      <c r="G8353" s="2" t="s">
        <v>12</v>
      </c>
      <c r="H8353" s="2" t="s">
        <v>12</v>
      </c>
      <c r="I8353" s="2" t="s">
        <v>12</v>
      </c>
      <c r="J8353" s="2" t="s">
        <v>12</v>
      </c>
      <c r="K8353" s="2" t="s">
        <v>12</v>
      </c>
    </row>
    <row r="8354" spans="1:11" ht="12.5" x14ac:dyDescent="0.25">
      <c r="A8354" s="3" t="e">
        <f ca="1"/>
        <v>#NAME?</v>
      </c>
      <c r="B8354" s="2" t="s">
        <v>12</v>
      </c>
      <c r="C8354" s="2" t="s">
        <v>12</v>
      </c>
      <c r="D8354" s="2" t="s">
        <v>12</v>
      </c>
      <c r="E8354" s="2" t="s">
        <v>12</v>
      </c>
      <c r="F8354" s="2" t="s">
        <v>12</v>
      </c>
      <c r="G8354" s="2" t="s">
        <v>12</v>
      </c>
      <c r="H8354" s="2" t="s">
        <v>12</v>
      </c>
      <c r="I8354" s="2" t="s">
        <v>12</v>
      </c>
      <c r="J8354" s="2" t="s">
        <v>12</v>
      </c>
      <c r="K8354" s="2" t="s">
        <v>12</v>
      </c>
    </row>
    <row r="8355" spans="1:11" ht="12.5" x14ac:dyDescent="0.25">
      <c r="A8355" s="3" t="e">
        <f ca="1"/>
        <v>#NAME?</v>
      </c>
      <c r="B8355" s="2" t="s">
        <v>12</v>
      </c>
      <c r="C8355" s="2" t="s">
        <v>12</v>
      </c>
      <c r="D8355" s="2" t="s">
        <v>12</v>
      </c>
      <c r="E8355" s="2" t="s">
        <v>12</v>
      </c>
      <c r="F8355" s="2" t="s">
        <v>12</v>
      </c>
      <c r="G8355" s="2" t="s">
        <v>12</v>
      </c>
      <c r="H8355" s="2" t="s">
        <v>12</v>
      </c>
      <c r="I8355" s="2" t="s">
        <v>12</v>
      </c>
      <c r="J8355" s="2" t="s">
        <v>12</v>
      </c>
      <c r="K8355" s="2" t="s">
        <v>12</v>
      </c>
    </row>
    <row r="8356" spans="1:11" ht="12.5" x14ac:dyDescent="0.25">
      <c r="A8356" s="3" t="e">
        <f ca="1"/>
        <v>#NAME?</v>
      </c>
      <c r="B8356" s="2" t="s">
        <v>12</v>
      </c>
      <c r="C8356" s="2" t="s">
        <v>12</v>
      </c>
      <c r="D8356" s="2" t="s">
        <v>12</v>
      </c>
      <c r="E8356" s="2" t="s">
        <v>12</v>
      </c>
      <c r="F8356" s="2" t="s">
        <v>12</v>
      </c>
      <c r="G8356" s="2" t="s">
        <v>12</v>
      </c>
      <c r="H8356" s="2" t="s">
        <v>12</v>
      </c>
      <c r="I8356" s="2" t="s">
        <v>12</v>
      </c>
      <c r="J8356" s="2" t="s">
        <v>12</v>
      </c>
      <c r="K8356" s="2" t="s">
        <v>12</v>
      </c>
    </row>
    <row r="8357" spans="1:11" ht="12.5" x14ac:dyDescent="0.25">
      <c r="A8357" s="3" t="e">
        <f ca="1"/>
        <v>#NAME?</v>
      </c>
      <c r="B8357" s="2" t="s">
        <v>12</v>
      </c>
      <c r="C8357" s="2" t="s">
        <v>12</v>
      </c>
      <c r="D8357" s="2" t="s">
        <v>12</v>
      </c>
      <c r="E8357" s="2" t="s">
        <v>12</v>
      </c>
      <c r="F8357" s="2" t="s">
        <v>12</v>
      </c>
      <c r="G8357" s="2" t="s">
        <v>12</v>
      </c>
      <c r="H8357" s="2" t="s">
        <v>12</v>
      </c>
      <c r="I8357" s="2" t="s">
        <v>12</v>
      </c>
      <c r="J8357" s="2" t="s">
        <v>12</v>
      </c>
      <c r="K8357" s="2" t="s">
        <v>12</v>
      </c>
    </row>
    <row r="8358" spans="1:11" ht="12.5" x14ac:dyDescent="0.25">
      <c r="A8358" s="3" t="e">
        <f ca="1"/>
        <v>#NAME?</v>
      </c>
      <c r="B8358" s="2" t="s">
        <v>12</v>
      </c>
      <c r="C8358" s="2" t="s">
        <v>12</v>
      </c>
      <c r="D8358" s="2" t="s">
        <v>12</v>
      </c>
      <c r="E8358" s="2" t="s">
        <v>12</v>
      </c>
      <c r="F8358" s="2" t="s">
        <v>12</v>
      </c>
      <c r="G8358" s="2" t="s">
        <v>12</v>
      </c>
      <c r="H8358" s="2" t="s">
        <v>12</v>
      </c>
      <c r="I8358" s="2" t="s">
        <v>12</v>
      </c>
      <c r="J8358" s="2" t="s">
        <v>12</v>
      </c>
      <c r="K8358" s="2" t="s">
        <v>12</v>
      </c>
    </row>
    <row r="8359" spans="1:11" ht="12.5" x14ac:dyDescent="0.25">
      <c r="A8359" s="3" t="e">
        <f ca="1"/>
        <v>#NAME?</v>
      </c>
      <c r="B8359" s="2" t="s">
        <v>12</v>
      </c>
      <c r="C8359" s="2" t="s">
        <v>12</v>
      </c>
      <c r="D8359" s="2" t="s">
        <v>12</v>
      </c>
      <c r="E8359" s="2" t="s">
        <v>12</v>
      </c>
      <c r="F8359" s="2" t="s">
        <v>12</v>
      </c>
      <c r="G8359" s="2" t="s">
        <v>12</v>
      </c>
      <c r="H8359" s="2" t="s">
        <v>12</v>
      </c>
      <c r="I8359" s="2" t="s">
        <v>12</v>
      </c>
      <c r="J8359" s="2" t="s">
        <v>12</v>
      </c>
      <c r="K8359" s="2" t="s">
        <v>12</v>
      </c>
    </row>
    <row r="8360" spans="1:11" ht="12.5" x14ac:dyDescent="0.25">
      <c r="A8360" s="3" t="e">
        <f ca="1"/>
        <v>#NAME?</v>
      </c>
      <c r="B8360" s="2" t="s">
        <v>12</v>
      </c>
      <c r="C8360" s="2" t="s">
        <v>12</v>
      </c>
      <c r="D8360" s="2" t="s">
        <v>12</v>
      </c>
      <c r="E8360" s="2" t="s">
        <v>12</v>
      </c>
      <c r="F8360" s="2" t="s">
        <v>12</v>
      </c>
      <c r="G8360" s="2" t="s">
        <v>12</v>
      </c>
      <c r="H8360" s="2" t="s">
        <v>12</v>
      </c>
      <c r="I8360" s="2" t="s">
        <v>12</v>
      </c>
      <c r="J8360" s="2" t="s">
        <v>12</v>
      </c>
      <c r="K8360" s="2" t="s">
        <v>12</v>
      </c>
    </row>
    <row r="8361" spans="1:11" ht="12.5" x14ac:dyDescent="0.25">
      <c r="A8361" s="3" t="e">
        <f ca="1"/>
        <v>#NAME?</v>
      </c>
      <c r="B8361" s="2" t="s">
        <v>12</v>
      </c>
      <c r="C8361" s="2" t="s">
        <v>12</v>
      </c>
      <c r="D8361" s="2" t="s">
        <v>12</v>
      </c>
      <c r="E8361" s="2" t="s">
        <v>12</v>
      </c>
      <c r="F8361" s="2" t="s">
        <v>12</v>
      </c>
      <c r="G8361" s="2" t="s">
        <v>12</v>
      </c>
      <c r="H8361" s="2" t="s">
        <v>12</v>
      </c>
      <c r="I8361" s="2" t="s">
        <v>12</v>
      </c>
      <c r="J8361" s="2" t="s">
        <v>12</v>
      </c>
      <c r="K8361" s="2" t="s">
        <v>12</v>
      </c>
    </row>
    <row r="8362" spans="1:11" ht="12.5" x14ac:dyDescent="0.25">
      <c r="A8362" s="3" t="e">
        <f ca="1"/>
        <v>#NAME?</v>
      </c>
      <c r="B8362" s="2" t="s">
        <v>12</v>
      </c>
      <c r="C8362" s="2" t="s">
        <v>12</v>
      </c>
      <c r="D8362" s="2" t="s">
        <v>12</v>
      </c>
      <c r="E8362" s="2" t="s">
        <v>12</v>
      </c>
      <c r="F8362" s="2" t="s">
        <v>12</v>
      </c>
      <c r="G8362" s="2" t="s">
        <v>12</v>
      </c>
      <c r="H8362" s="2" t="s">
        <v>12</v>
      </c>
      <c r="I8362" s="2" t="s">
        <v>12</v>
      </c>
      <c r="J8362" s="2" t="s">
        <v>12</v>
      </c>
      <c r="K8362" s="2" t="s">
        <v>12</v>
      </c>
    </row>
    <row r="8363" spans="1:11" ht="12.5" x14ac:dyDescent="0.25">
      <c r="A8363" s="3" t="e">
        <f ca="1"/>
        <v>#NAME?</v>
      </c>
      <c r="B8363" s="2" t="s">
        <v>12</v>
      </c>
      <c r="C8363" s="2" t="s">
        <v>12</v>
      </c>
      <c r="D8363" s="2" t="s">
        <v>12</v>
      </c>
      <c r="E8363" s="2" t="s">
        <v>12</v>
      </c>
      <c r="F8363" s="2" t="s">
        <v>12</v>
      </c>
      <c r="G8363" s="2" t="s">
        <v>12</v>
      </c>
      <c r="H8363" s="2" t="s">
        <v>12</v>
      </c>
      <c r="I8363" s="2" t="s">
        <v>12</v>
      </c>
      <c r="J8363" s="2" t="s">
        <v>12</v>
      </c>
      <c r="K8363" s="2" t="s">
        <v>12</v>
      </c>
    </row>
    <row r="8364" spans="1:11" ht="12.5" x14ac:dyDescent="0.25">
      <c r="A8364" s="3" t="e">
        <f ca="1"/>
        <v>#NAME?</v>
      </c>
      <c r="B8364" s="2" t="s">
        <v>12</v>
      </c>
      <c r="C8364" s="2" t="s">
        <v>12</v>
      </c>
      <c r="D8364" s="2" t="s">
        <v>12</v>
      </c>
      <c r="E8364" s="2" t="s">
        <v>12</v>
      </c>
      <c r="F8364" s="2" t="s">
        <v>12</v>
      </c>
      <c r="G8364" s="2" t="s">
        <v>12</v>
      </c>
      <c r="H8364" s="2" t="s">
        <v>12</v>
      </c>
      <c r="I8364" s="2" t="s">
        <v>12</v>
      </c>
      <c r="J8364" s="2" t="s">
        <v>12</v>
      </c>
      <c r="K8364" s="2" t="s">
        <v>12</v>
      </c>
    </row>
    <row r="8365" spans="1:11" ht="12.5" x14ac:dyDescent="0.25">
      <c r="A8365" s="3" t="e">
        <f ca="1"/>
        <v>#NAME?</v>
      </c>
      <c r="B8365" s="2" t="s">
        <v>12</v>
      </c>
      <c r="C8365" s="2" t="s">
        <v>12</v>
      </c>
      <c r="D8365" s="2" t="s">
        <v>12</v>
      </c>
      <c r="E8365" s="2" t="s">
        <v>12</v>
      </c>
      <c r="F8365" s="2" t="s">
        <v>12</v>
      </c>
      <c r="G8365" s="2" t="s">
        <v>12</v>
      </c>
      <c r="H8365" s="2" t="s">
        <v>12</v>
      </c>
      <c r="I8365" s="2" t="s">
        <v>12</v>
      </c>
      <c r="J8365" s="2" t="s">
        <v>12</v>
      </c>
      <c r="K8365" s="2" t="s">
        <v>12</v>
      </c>
    </row>
    <row r="8366" spans="1:11" ht="12.5" x14ac:dyDescent="0.25">
      <c r="A8366" s="3" t="e">
        <f ca="1"/>
        <v>#NAME?</v>
      </c>
      <c r="B8366" s="2" t="s">
        <v>12</v>
      </c>
      <c r="C8366" s="2" t="s">
        <v>12</v>
      </c>
      <c r="D8366" s="2" t="s">
        <v>12</v>
      </c>
      <c r="E8366" s="2" t="s">
        <v>12</v>
      </c>
      <c r="F8366" s="2" t="s">
        <v>12</v>
      </c>
      <c r="G8366" s="2" t="s">
        <v>12</v>
      </c>
      <c r="H8366" s="2" t="s">
        <v>12</v>
      </c>
      <c r="I8366" s="2" t="s">
        <v>12</v>
      </c>
      <c r="J8366" s="2" t="s">
        <v>12</v>
      </c>
      <c r="K8366" s="2" t="s">
        <v>12</v>
      </c>
    </row>
    <row r="8367" spans="1:11" ht="12.5" x14ac:dyDescent="0.25">
      <c r="A8367" s="3" t="e">
        <f ca="1"/>
        <v>#NAME?</v>
      </c>
      <c r="B8367" s="2" t="s">
        <v>12</v>
      </c>
      <c r="C8367" s="2" t="s">
        <v>12</v>
      </c>
      <c r="D8367" s="2" t="s">
        <v>12</v>
      </c>
      <c r="E8367" s="2" t="s">
        <v>12</v>
      </c>
      <c r="F8367" s="2" t="s">
        <v>12</v>
      </c>
      <c r="G8367" s="2" t="s">
        <v>12</v>
      </c>
      <c r="H8367" s="2" t="s">
        <v>12</v>
      </c>
      <c r="I8367" s="2" t="s">
        <v>12</v>
      </c>
      <c r="J8367" s="2" t="s">
        <v>12</v>
      </c>
      <c r="K8367" s="2" t="s">
        <v>12</v>
      </c>
    </row>
    <row r="8368" spans="1:11" ht="12.5" x14ac:dyDescent="0.25">
      <c r="A8368" s="3" t="e">
        <f ca="1"/>
        <v>#NAME?</v>
      </c>
      <c r="B8368" s="2" t="s">
        <v>12</v>
      </c>
      <c r="C8368" s="2" t="s">
        <v>12</v>
      </c>
      <c r="D8368" s="2" t="s">
        <v>12</v>
      </c>
      <c r="E8368" s="2" t="s">
        <v>12</v>
      </c>
      <c r="F8368" s="2" t="s">
        <v>12</v>
      </c>
      <c r="G8368" s="2" t="s">
        <v>12</v>
      </c>
      <c r="H8368" s="2" t="s">
        <v>12</v>
      </c>
      <c r="I8368" s="2" t="s">
        <v>12</v>
      </c>
      <c r="J8368" s="2" t="s">
        <v>12</v>
      </c>
      <c r="K8368" s="2" t="s">
        <v>12</v>
      </c>
    </row>
    <row r="8369" spans="1:11" ht="12.5" x14ac:dyDescent="0.25">
      <c r="A8369" s="3" t="e">
        <f ca="1"/>
        <v>#NAME?</v>
      </c>
      <c r="B8369" s="2" t="s">
        <v>12</v>
      </c>
      <c r="C8369" s="2" t="s">
        <v>12</v>
      </c>
      <c r="D8369" s="2" t="s">
        <v>12</v>
      </c>
      <c r="E8369" s="2" t="s">
        <v>12</v>
      </c>
      <c r="F8369" s="2" t="s">
        <v>12</v>
      </c>
      <c r="G8369" s="2" t="s">
        <v>12</v>
      </c>
      <c r="H8369" s="2" t="s">
        <v>12</v>
      </c>
      <c r="I8369" s="2" t="s">
        <v>12</v>
      </c>
      <c r="J8369" s="2" t="s">
        <v>12</v>
      </c>
      <c r="K8369" s="2" t="s">
        <v>12</v>
      </c>
    </row>
    <row r="8370" spans="1:11" ht="12.5" x14ac:dyDescent="0.25">
      <c r="A8370" s="3" t="e">
        <f ca="1"/>
        <v>#NAME?</v>
      </c>
      <c r="B8370" s="2" t="s">
        <v>12</v>
      </c>
      <c r="C8370" s="2" t="s">
        <v>12</v>
      </c>
      <c r="D8370" s="2" t="s">
        <v>12</v>
      </c>
      <c r="E8370" s="2" t="s">
        <v>12</v>
      </c>
      <c r="F8370" s="2" t="s">
        <v>12</v>
      </c>
      <c r="G8370" s="2" t="s">
        <v>12</v>
      </c>
      <c r="H8370" s="2" t="s">
        <v>12</v>
      </c>
      <c r="I8370" s="2" t="s">
        <v>12</v>
      </c>
      <c r="J8370" s="2" t="s">
        <v>12</v>
      </c>
      <c r="K8370" s="2" t="s">
        <v>12</v>
      </c>
    </row>
    <row r="8371" spans="1:11" ht="12.5" x14ac:dyDescent="0.25">
      <c r="A8371" s="3" t="e">
        <f ca="1"/>
        <v>#NAME?</v>
      </c>
      <c r="B8371" s="2" t="s">
        <v>12</v>
      </c>
      <c r="C8371" s="2" t="s">
        <v>12</v>
      </c>
      <c r="D8371" s="2" t="s">
        <v>12</v>
      </c>
      <c r="E8371" s="2" t="s">
        <v>12</v>
      </c>
      <c r="F8371" s="2" t="s">
        <v>12</v>
      </c>
      <c r="G8371" s="2" t="s">
        <v>12</v>
      </c>
      <c r="H8371" s="2" t="s">
        <v>12</v>
      </c>
      <c r="I8371" s="2" t="s">
        <v>12</v>
      </c>
      <c r="J8371" s="2" t="s">
        <v>12</v>
      </c>
      <c r="K8371" s="2" t="s">
        <v>12</v>
      </c>
    </row>
    <row r="8372" spans="1:11" ht="12.5" x14ac:dyDescent="0.25">
      <c r="A8372" s="3" t="e">
        <f ca="1"/>
        <v>#NAME?</v>
      </c>
      <c r="B8372" s="2" t="s">
        <v>12</v>
      </c>
      <c r="C8372" s="2" t="s">
        <v>12</v>
      </c>
      <c r="D8372" s="2" t="s">
        <v>12</v>
      </c>
      <c r="E8372" s="2" t="s">
        <v>12</v>
      </c>
      <c r="F8372" s="2" t="s">
        <v>12</v>
      </c>
      <c r="G8372" s="2" t="s">
        <v>12</v>
      </c>
      <c r="H8372" s="2" t="s">
        <v>12</v>
      </c>
      <c r="I8372" s="2" t="s">
        <v>12</v>
      </c>
      <c r="J8372" s="2" t="s">
        <v>12</v>
      </c>
      <c r="K8372" s="2" t="s">
        <v>12</v>
      </c>
    </row>
    <row r="8373" spans="1:11" ht="12.5" x14ac:dyDescent="0.25">
      <c r="A8373" s="3" t="e">
        <f ca="1"/>
        <v>#NAME?</v>
      </c>
      <c r="B8373" s="2" t="s">
        <v>12</v>
      </c>
      <c r="C8373" s="2" t="s">
        <v>12</v>
      </c>
      <c r="D8373" s="2" t="s">
        <v>12</v>
      </c>
      <c r="E8373" s="2" t="s">
        <v>12</v>
      </c>
      <c r="F8373" s="2" t="s">
        <v>12</v>
      </c>
      <c r="G8373" s="2" t="s">
        <v>12</v>
      </c>
      <c r="H8373" s="2" t="s">
        <v>12</v>
      </c>
      <c r="I8373" s="2" t="s">
        <v>12</v>
      </c>
      <c r="J8373" s="2" t="s">
        <v>12</v>
      </c>
      <c r="K8373" s="2" t="s">
        <v>12</v>
      </c>
    </row>
    <row r="8374" spans="1:11" ht="12.5" x14ac:dyDescent="0.25">
      <c r="A8374" s="3" t="e">
        <f ca="1"/>
        <v>#NAME?</v>
      </c>
      <c r="B8374" s="2" t="s">
        <v>12</v>
      </c>
      <c r="C8374" s="2" t="s">
        <v>12</v>
      </c>
      <c r="D8374" s="2" t="s">
        <v>12</v>
      </c>
      <c r="E8374" s="2" t="s">
        <v>12</v>
      </c>
      <c r="F8374" s="2" t="s">
        <v>12</v>
      </c>
      <c r="G8374" s="2" t="s">
        <v>12</v>
      </c>
      <c r="H8374" s="2" t="s">
        <v>12</v>
      </c>
      <c r="I8374" s="2" t="s">
        <v>12</v>
      </c>
      <c r="J8374" s="2" t="s">
        <v>12</v>
      </c>
      <c r="K8374" s="2" t="s">
        <v>12</v>
      </c>
    </row>
    <row r="8375" spans="1:11" ht="12.5" x14ac:dyDescent="0.25">
      <c r="A8375" s="3" t="e">
        <f ca="1"/>
        <v>#NAME?</v>
      </c>
      <c r="B8375" s="2" t="s">
        <v>12</v>
      </c>
      <c r="C8375" s="2" t="s">
        <v>12</v>
      </c>
      <c r="D8375" s="2" t="s">
        <v>12</v>
      </c>
      <c r="E8375" s="2" t="s">
        <v>12</v>
      </c>
      <c r="F8375" s="2" t="s">
        <v>12</v>
      </c>
      <c r="G8375" s="2" t="s">
        <v>12</v>
      </c>
      <c r="H8375" s="2" t="s">
        <v>12</v>
      </c>
      <c r="I8375" s="2" t="s">
        <v>12</v>
      </c>
      <c r="J8375" s="2" t="s">
        <v>12</v>
      </c>
      <c r="K8375" s="2" t="s">
        <v>12</v>
      </c>
    </row>
    <row r="8376" spans="1:11" ht="12.5" x14ac:dyDescent="0.25">
      <c r="A8376" s="3" t="e">
        <f ca="1"/>
        <v>#NAME?</v>
      </c>
      <c r="B8376" s="2" t="s">
        <v>12</v>
      </c>
      <c r="C8376" s="2" t="s">
        <v>12</v>
      </c>
      <c r="D8376" s="2" t="s">
        <v>12</v>
      </c>
      <c r="E8376" s="2" t="s">
        <v>12</v>
      </c>
      <c r="F8376" s="2" t="s">
        <v>12</v>
      </c>
      <c r="G8376" s="2" t="s">
        <v>12</v>
      </c>
      <c r="H8376" s="2" t="s">
        <v>12</v>
      </c>
      <c r="I8376" s="2" t="s">
        <v>12</v>
      </c>
      <c r="J8376" s="2" t="s">
        <v>12</v>
      </c>
      <c r="K8376" s="2" t="s">
        <v>12</v>
      </c>
    </row>
    <row r="8377" spans="1:11" ht="12.5" x14ac:dyDescent="0.25">
      <c r="A8377" s="3" t="e">
        <f ca="1"/>
        <v>#NAME?</v>
      </c>
      <c r="B8377" s="2" t="s">
        <v>12</v>
      </c>
      <c r="C8377" s="2" t="s">
        <v>12</v>
      </c>
      <c r="D8377" s="2" t="s">
        <v>12</v>
      </c>
      <c r="E8377" s="2" t="s">
        <v>12</v>
      </c>
      <c r="F8377" s="2" t="s">
        <v>12</v>
      </c>
      <c r="G8377" s="2" t="s">
        <v>12</v>
      </c>
      <c r="H8377" s="2" t="s">
        <v>12</v>
      </c>
      <c r="I8377" s="2" t="s">
        <v>12</v>
      </c>
      <c r="J8377" s="2" t="s">
        <v>12</v>
      </c>
      <c r="K8377" s="2" t="s">
        <v>12</v>
      </c>
    </row>
    <row r="8378" spans="1:11" ht="12.5" x14ac:dyDescent="0.25">
      <c r="A8378" s="3" t="e">
        <f ca="1"/>
        <v>#NAME?</v>
      </c>
      <c r="B8378" s="2" t="s">
        <v>12</v>
      </c>
      <c r="C8378" s="2" t="s">
        <v>12</v>
      </c>
      <c r="D8378" s="2" t="s">
        <v>12</v>
      </c>
      <c r="E8378" s="2" t="s">
        <v>12</v>
      </c>
      <c r="F8378" s="2" t="s">
        <v>12</v>
      </c>
      <c r="G8378" s="2" t="s">
        <v>12</v>
      </c>
      <c r="H8378" s="2" t="s">
        <v>12</v>
      </c>
      <c r="I8378" s="2" t="s">
        <v>12</v>
      </c>
      <c r="J8378" s="2" t="s">
        <v>12</v>
      </c>
      <c r="K8378" s="2" t="s">
        <v>12</v>
      </c>
    </row>
    <row r="8379" spans="1:11" ht="12.5" x14ac:dyDescent="0.25">
      <c r="A8379" s="3" t="e">
        <f ca="1"/>
        <v>#NAME?</v>
      </c>
      <c r="B8379" s="2" t="s">
        <v>12</v>
      </c>
      <c r="C8379" s="2" t="s">
        <v>12</v>
      </c>
      <c r="D8379" s="2" t="s">
        <v>12</v>
      </c>
      <c r="E8379" s="2" t="s">
        <v>12</v>
      </c>
      <c r="F8379" s="2" t="s">
        <v>12</v>
      </c>
      <c r="G8379" s="2" t="s">
        <v>12</v>
      </c>
      <c r="H8379" s="2" t="s">
        <v>12</v>
      </c>
      <c r="I8379" s="2" t="s">
        <v>12</v>
      </c>
      <c r="J8379" s="2" t="s">
        <v>12</v>
      </c>
      <c r="K8379" s="2" t="s">
        <v>12</v>
      </c>
    </row>
    <row r="8380" spans="1:11" ht="12.5" x14ac:dyDescent="0.25">
      <c r="A8380" s="3" t="e">
        <f ca="1"/>
        <v>#NAME?</v>
      </c>
      <c r="B8380" s="2" t="s">
        <v>12</v>
      </c>
      <c r="C8380" s="2" t="s">
        <v>12</v>
      </c>
      <c r="D8380" s="2" t="s">
        <v>12</v>
      </c>
      <c r="E8380" s="2" t="s">
        <v>12</v>
      </c>
      <c r="F8380" s="2" t="s">
        <v>12</v>
      </c>
      <c r="G8380" s="2" t="s">
        <v>12</v>
      </c>
      <c r="H8380" s="2" t="s">
        <v>12</v>
      </c>
      <c r="I8380" s="2" t="s">
        <v>12</v>
      </c>
      <c r="J8380" s="2" t="s">
        <v>12</v>
      </c>
      <c r="K8380" s="2" t="s">
        <v>12</v>
      </c>
    </row>
    <row r="8381" spans="1:11" ht="12.5" x14ac:dyDescent="0.25">
      <c r="A8381" s="3" t="e">
        <f ca="1"/>
        <v>#NAME?</v>
      </c>
      <c r="B8381" s="2" t="s">
        <v>12</v>
      </c>
      <c r="C8381" s="2" t="s">
        <v>12</v>
      </c>
      <c r="D8381" s="2" t="s">
        <v>12</v>
      </c>
      <c r="E8381" s="2" t="s">
        <v>12</v>
      </c>
      <c r="F8381" s="2" t="s">
        <v>12</v>
      </c>
      <c r="G8381" s="2" t="s">
        <v>12</v>
      </c>
      <c r="H8381" s="2" t="s">
        <v>12</v>
      </c>
      <c r="I8381" s="2" t="s">
        <v>12</v>
      </c>
      <c r="J8381" s="2" t="s">
        <v>12</v>
      </c>
      <c r="K8381" s="2" t="s">
        <v>12</v>
      </c>
    </row>
    <row r="8382" spans="1:11" ht="12.5" x14ac:dyDescent="0.25">
      <c r="A8382" s="3" t="e">
        <f ca="1"/>
        <v>#NAME?</v>
      </c>
      <c r="B8382" s="2" t="s">
        <v>12</v>
      </c>
      <c r="C8382" s="2" t="s">
        <v>12</v>
      </c>
      <c r="D8382" s="2" t="s">
        <v>12</v>
      </c>
      <c r="E8382" s="2" t="s">
        <v>12</v>
      </c>
      <c r="F8382" s="2" t="s">
        <v>12</v>
      </c>
      <c r="G8382" s="2" t="s">
        <v>12</v>
      </c>
      <c r="H8382" s="2" t="s">
        <v>12</v>
      </c>
      <c r="I8382" s="2" t="s">
        <v>12</v>
      </c>
      <c r="J8382" s="2" t="s">
        <v>12</v>
      </c>
      <c r="K8382" s="2" t="s">
        <v>12</v>
      </c>
    </row>
    <row r="8383" spans="1:11" ht="12.5" x14ac:dyDescent="0.25">
      <c r="A8383" s="3" t="e">
        <f ca="1"/>
        <v>#NAME?</v>
      </c>
      <c r="B8383" s="2" t="s">
        <v>12</v>
      </c>
      <c r="C8383" s="2" t="s">
        <v>12</v>
      </c>
      <c r="D8383" s="2" t="s">
        <v>12</v>
      </c>
      <c r="E8383" s="2" t="s">
        <v>12</v>
      </c>
      <c r="F8383" s="2" t="s">
        <v>12</v>
      </c>
      <c r="G8383" s="2" t="s">
        <v>12</v>
      </c>
      <c r="H8383" s="2" t="s">
        <v>12</v>
      </c>
      <c r="I8383" s="2" t="s">
        <v>12</v>
      </c>
      <c r="J8383" s="2" t="s">
        <v>12</v>
      </c>
      <c r="K8383" s="2" t="s">
        <v>12</v>
      </c>
    </row>
    <row r="8384" spans="1:11" ht="12.5" x14ac:dyDescent="0.25">
      <c r="A8384" s="3" t="e">
        <f ca="1"/>
        <v>#NAME?</v>
      </c>
      <c r="B8384" s="2" t="s">
        <v>12</v>
      </c>
      <c r="C8384" s="2" t="s">
        <v>12</v>
      </c>
      <c r="D8384" s="2" t="s">
        <v>12</v>
      </c>
      <c r="E8384" s="2" t="s">
        <v>12</v>
      </c>
      <c r="F8384" s="2" t="s">
        <v>12</v>
      </c>
      <c r="G8384" s="2" t="s">
        <v>12</v>
      </c>
      <c r="H8384" s="2" t="s">
        <v>12</v>
      </c>
      <c r="I8384" s="2" t="s">
        <v>12</v>
      </c>
      <c r="J8384" s="2" t="s">
        <v>12</v>
      </c>
      <c r="K8384" s="2" t="s">
        <v>12</v>
      </c>
    </row>
    <row r="8385" spans="1:11" ht="12.5" x14ac:dyDescent="0.25">
      <c r="A8385" s="3" t="e">
        <f ca="1"/>
        <v>#NAME?</v>
      </c>
      <c r="B8385" s="2" t="s">
        <v>12</v>
      </c>
      <c r="C8385" s="2" t="s">
        <v>12</v>
      </c>
      <c r="D8385" s="2" t="s">
        <v>12</v>
      </c>
      <c r="E8385" s="2" t="s">
        <v>12</v>
      </c>
      <c r="F8385" s="2" t="s">
        <v>12</v>
      </c>
      <c r="G8385" s="2" t="s">
        <v>12</v>
      </c>
      <c r="H8385" s="2" t="s">
        <v>12</v>
      </c>
      <c r="I8385" s="2" t="s">
        <v>12</v>
      </c>
      <c r="J8385" s="2" t="s">
        <v>12</v>
      </c>
      <c r="K8385" s="2" t="s">
        <v>12</v>
      </c>
    </row>
    <row r="8386" spans="1:11" ht="12.5" x14ac:dyDescent="0.25">
      <c r="A8386" s="3" t="e">
        <f ca="1"/>
        <v>#NAME?</v>
      </c>
      <c r="B8386" s="2" t="s">
        <v>12</v>
      </c>
      <c r="C8386" s="2" t="s">
        <v>12</v>
      </c>
      <c r="D8386" s="2" t="s">
        <v>12</v>
      </c>
      <c r="E8386" s="2" t="s">
        <v>12</v>
      </c>
      <c r="F8386" s="2" t="s">
        <v>12</v>
      </c>
      <c r="G8386" s="2" t="s">
        <v>12</v>
      </c>
      <c r="H8386" s="2" t="s">
        <v>12</v>
      </c>
      <c r="I8386" s="2" t="s">
        <v>12</v>
      </c>
      <c r="J8386" s="2" t="s">
        <v>12</v>
      </c>
      <c r="K8386" s="2" t="s">
        <v>12</v>
      </c>
    </row>
    <row r="8387" spans="1:11" ht="12.5" x14ac:dyDescent="0.25">
      <c r="A8387" s="3" t="e">
        <f ca="1"/>
        <v>#NAME?</v>
      </c>
      <c r="B8387" s="2" t="s">
        <v>12</v>
      </c>
      <c r="C8387" s="2" t="s">
        <v>12</v>
      </c>
      <c r="D8387" s="2" t="s">
        <v>12</v>
      </c>
      <c r="E8387" s="2" t="s">
        <v>12</v>
      </c>
      <c r="F8387" s="2" t="s">
        <v>12</v>
      </c>
      <c r="G8387" s="2" t="s">
        <v>12</v>
      </c>
      <c r="H8387" s="2" t="s">
        <v>12</v>
      </c>
      <c r="I8387" s="2" t="s">
        <v>12</v>
      </c>
      <c r="J8387" s="2" t="s">
        <v>12</v>
      </c>
      <c r="K8387" s="2" t="s">
        <v>12</v>
      </c>
    </row>
    <row r="8388" spans="1:11" ht="12.5" x14ac:dyDescent="0.25">
      <c r="A8388" s="3" t="e">
        <f ca="1"/>
        <v>#NAME?</v>
      </c>
      <c r="B8388" s="2" t="s">
        <v>12</v>
      </c>
      <c r="C8388" s="2" t="s">
        <v>12</v>
      </c>
      <c r="D8388" s="2" t="s">
        <v>12</v>
      </c>
      <c r="E8388" s="2" t="s">
        <v>12</v>
      </c>
      <c r="F8388" s="2" t="s">
        <v>12</v>
      </c>
      <c r="G8388" s="2" t="s">
        <v>12</v>
      </c>
      <c r="H8388" s="2" t="s">
        <v>12</v>
      </c>
      <c r="I8388" s="2" t="s">
        <v>12</v>
      </c>
      <c r="J8388" s="2" t="s">
        <v>12</v>
      </c>
      <c r="K8388" s="2" t="s">
        <v>12</v>
      </c>
    </row>
    <row r="8389" spans="1:11" ht="12.5" x14ac:dyDescent="0.25">
      <c r="A8389" s="3" t="e">
        <f ca="1"/>
        <v>#NAME?</v>
      </c>
      <c r="B8389" s="2" t="s">
        <v>12</v>
      </c>
      <c r="C8389" s="2" t="s">
        <v>12</v>
      </c>
      <c r="D8389" s="2" t="s">
        <v>12</v>
      </c>
      <c r="E8389" s="2" t="s">
        <v>12</v>
      </c>
      <c r="F8389" s="2" t="s">
        <v>12</v>
      </c>
      <c r="G8389" s="2" t="s">
        <v>12</v>
      </c>
      <c r="H8389" s="2" t="s">
        <v>12</v>
      </c>
      <c r="I8389" s="2" t="s">
        <v>12</v>
      </c>
      <c r="J8389" s="2" t="s">
        <v>12</v>
      </c>
      <c r="K8389" s="2" t="s">
        <v>12</v>
      </c>
    </row>
    <row r="8390" spans="1:11" ht="12.5" x14ac:dyDescent="0.25">
      <c r="A8390" s="3" t="e">
        <f ca="1"/>
        <v>#NAME?</v>
      </c>
      <c r="B8390" s="2" t="s">
        <v>12</v>
      </c>
      <c r="C8390" s="2" t="s">
        <v>12</v>
      </c>
      <c r="D8390" s="2" t="s">
        <v>12</v>
      </c>
      <c r="E8390" s="2" t="s">
        <v>12</v>
      </c>
      <c r="F8390" s="2" t="s">
        <v>12</v>
      </c>
      <c r="G8390" s="2" t="s">
        <v>12</v>
      </c>
      <c r="H8390" s="2" t="s">
        <v>12</v>
      </c>
      <c r="I8390" s="2" t="s">
        <v>12</v>
      </c>
      <c r="J8390" s="2" t="s">
        <v>12</v>
      </c>
      <c r="K8390" s="2" t="s">
        <v>12</v>
      </c>
    </row>
    <row r="8391" spans="1:11" ht="12.5" x14ac:dyDescent="0.25">
      <c r="A8391" s="3" t="e">
        <f ca="1"/>
        <v>#NAME?</v>
      </c>
      <c r="B8391" s="2" t="s">
        <v>12</v>
      </c>
      <c r="C8391" s="2" t="s">
        <v>12</v>
      </c>
      <c r="D8391" s="2" t="s">
        <v>12</v>
      </c>
      <c r="E8391" s="2" t="s">
        <v>12</v>
      </c>
      <c r="F8391" s="2" t="s">
        <v>12</v>
      </c>
      <c r="G8391" s="2" t="s">
        <v>12</v>
      </c>
      <c r="H8391" s="2" t="s">
        <v>12</v>
      </c>
      <c r="I8391" s="2" t="s">
        <v>12</v>
      </c>
      <c r="J8391" s="2" t="s">
        <v>12</v>
      </c>
      <c r="K8391" s="2" t="s">
        <v>12</v>
      </c>
    </row>
    <row r="8392" spans="1:11" ht="12.5" x14ac:dyDescent="0.25">
      <c r="A8392" s="3" t="e">
        <f ca="1"/>
        <v>#NAME?</v>
      </c>
      <c r="B8392" s="2" t="s">
        <v>12</v>
      </c>
      <c r="C8392" s="2" t="s">
        <v>12</v>
      </c>
      <c r="D8392" s="2" t="s">
        <v>12</v>
      </c>
      <c r="E8392" s="2" t="s">
        <v>12</v>
      </c>
      <c r="F8392" s="2" t="s">
        <v>12</v>
      </c>
      <c r="G8392" s="2" t="s">
        <v>12</v>
      </c>
      <c r="H8392" s="2" t="s">
        <v>12</v>
      </c>
      <c r="I8392" s="2" t="s">
        <v>12</v>
      </c>
      <c r="J8392" s="2" t="s">
        <v>12</v>
      </c>
      <c r="K8392" s="2" t="s">
        <v>12</v>
      </c>
    </row>
    <row r="8393" spans="1:11" ht="12.5" x14ac:dyDescent="0.25">
      <c r="A8393" s="3" t="e">
        <f ca="1"/>
        <v>#NAME?</v>
      </c>
      <c r="B8393" s="2" t="s">
        <v>12</v>
      </c>
      <c r="C8393" s="2" t="s">
        <v>12</v>
      </c>
      <c r="D8393" s="2" t="s">
        <v>12</v>
      </c>
      <c r="E8393" s="2" t="s">
        <v>12</v>
      </c>
      <c r="F8393" s="2" t="s">
        <v>12</v>
      </c>
      <c r="G8393" s="2" t="s">
        <v>12</v>
      </c>
      <c r="H8393" s="2" t="s">
        <v>12</v>
      </c>
      <c r="I8393" s="2" t="s">
        <v>12</v>
      </c>
      <c r="J8393" s="2" t="s">
        <v>12</v>
      </c>
      <c r="K8393" s="2" t="s">
        <v>12</v>
      </c>
    </row>
    <row r="8394" spans="1:11" ht="12.5" x14ac:dyDescent="0.25">
      <c r="A8394" s="3" t="e">
        <f ca="1"/>
        <v>#NAME?</v>
      </c>
      <c r="B8394" s="2" t="s">
        <v>12</v>
      </c>
      <c r="C8394" s="2" t="s">
        <v>12</v>
      </c>
      <c r="D8394" s="2" t="s">
        <v>12</v>
      </c>
      <c r="E8394" s="2" t="s">
        <v>12</v>
      </c>
      <c r="F8394" s="2" t="s">
        <v>12</v>
      </c>
      <c r="G8394" s="2" t="s">
        <v>12</v>
      </c>
      <c r="H8394" s="2" t="s">
        <v>12</v>
      </c>
      <c r="I8394" s="2" t="s">
        <v>12</v>
      </c>
      <c r="J8394" s="2" t="s">
        <v>12</v>
      </c>
      <c r="K8394" s="2" t="s">
        <v>12</v>
      </c>
    </row>
    <row r="8395" spans="1:11" ht="12.5" x14ac:dyDescent="0.25">
      <c r="A8395" s="3" t="e">
        <f ca="1"/>
        <v>#NAME?</v>
      </c>
      <c r="B8395" s="2" t="s">
        <v>12</v>
      </c>
      <c r="C8395" s="2" t="s">
        <v>12</v>
      </c>
      <c r="D8395" s="2" t="s">
        <v>12</v>
      </c>
      <c r="E8395" s="2" t="s">
        <v>12</v>
      </c>
      <c r="F8395" s="2" t="s">
        <v>12</v>
      </c>
      <c r="G8395" s="2" t="s">
        <v>12</v>
      </c>
      <c r="H8395" s="2" t="s">
        <v>12</v>
      </c>
      <c r="I8395" s="2" t="s">
        <v>12</v>
      </c>
      <c r="J8395" s="2" t="s">
        <v>12</v>
      </c>
      <c r="K8395" s="2" t="s">
        <v>12</v>
      </c>
    </row>
    <row r="8396" spans="1:11" ht="12.5" x14ac:dyDescent="0.25">
      <c r="A8396" s="3" t="e">
        <f ca="1"/>
        <v>#NAME?</v>
      </c>
      <c r="B8396" s="2" t="s">
        <v>12</v>
      </c>
      <c r="C8396" s="2" t="s">
        <v>12</v>
      </c>
      <c r="D8396" s="2" t="s">
        <v>12</v>
      </c>
      <c r="E8396" s="2" t="s">
        <v>12</v>
      </c>
      <c r="F8396" s="2" t="s">
        <v>12</v>
      </c>
      <c r="G8396" s="2" t="s">
        <v>12</v>
      </c>
      <c r="H8396" s="2" t="s">
        <v>12</v>
      </c>
      <c r="I8396" s="2" t="s">
        <v>12</v>
      </c>
      <c r="J8396" s="2" t="s">
        <v>12</v>
      </c>
      <c r="K8396" s="2" t="s">
        <v>12</v>
      </c>
    </row>
    <row r="8397" spans="1:11" ht="12.5" x14ac:dyDescent="0.25">
      <c r="A8397" s="3" t="e">
        <f ca="1"/>
        <v>#NAME?</v>
      </c>
      <c r="B8397" s="2" t="s">
        <v>12</v>
      </c>
      <c r="C8397" s="2" t="s">
        <v>12</v>
      </c>
      <c r="D8397" s="2" t="s">
        <v>12</v>
      </c>
      <c r="E8397" s="2" t="s">
        <v>12</v>
      </c>
      <c r="F8397" s="2" t="s">
        <v>12</v>
      </c>
      <c r="G8397" s="2" t="s">
        <v>12</v>
      </c>
      <c r="H8397" s="2" t="s">
        <v>12</v>
      </c>
      <c r="I8397" s="2" t="s">
        <v>12</v>
      </c>
      <c r="J8397" s="2" t="s">
        <v>12</v>
      </c>
      <c r="K8397" s="2" t="s">
        <v>12</v>
      </c>
    </row>
    <row r="8398" spans="1:11" ht="12.5" x14ac:dyDescent="0.25">
      <c r="A8398" s="3" t="e">
        <f ca="1"/>
        <v>#NAME?</v>
      </c>
      <c r="B8398" s="2" t="s">
        <v>12</v>
      </c>
      <c r="C8398" s="2" t="s">
        <v>12</v>
      </c>
      <c r="D8398" s="2" t="s">
        <v>12</v>
      </c>
      <c r="E8398" s="2" t="s">
        <v>12</v>
      </c>
      <c r="F8398" s="2" t="s">
        <v>12</v>
      </c>
      <c r="G8398" s="2" t="s">
        <v>12</v>
      </c>
      <c r="H8398" s="2" t="s">
        <v>12</v>
      </c>
      <c r="I8398" s="2" t="s">
        <v>12</v>
      </c>
      <c r="J8398" s="2" t="s">
        <v>12</v>
      </c>
      <c r="K8398" s="2" t="s">
        <v>12</v>
      </c>
    </row>
    <row r="8399" spans="1:11" ht="12.5" x14ac:dyDescent="0.25">
      <c r="A8399" s="3" t="e">
        <f ca="1"/>
        <v>#NAME?</v>
      </c>
      <c r="B8399" s="2" t="s">
        <v>12</v>
      </c>
      <c r="C8399" s="2" t="s">
        <v>12</v>
      </c>
      <c r="D8399" s="2" t="s">
        <v>12</v>
      </c>
      <c r="E8399" s="2" t="s">
        <v>12</v>
      </c>
      <c r="F8399" s="2" t="s">
        <v>12</v>
      </c>
      <c r="G8399" s="2" t="s">
        <v>12</v>
      </c>
      <c r="H8399" s="2" t="s">
        <v>12</v>
      </c>
      <c r="I8399" s="2" t="s">
        <v>12</v>
      </c>
      <c r="J8399" s="2" t="s">
        <v>12</v>
      </c>
      <c r="K8399" s="2" t="s">
        <v>12</v>
      </c>
    </row>
    <row r="8400" spans="1:11" ht="12.5" x14ac:dyDescent="0.25">
      <c r="A8400" s="3" t="e">
        <f ca="1"/>
        <v>#NAME?</v>
      </c>
      <c r="B8400" s="2" t="s">
        <v>12</v>
      </c>
      <c r="C8400" s="2" t="s">
        <v>12</v>
      </c>
      <c r="D8400" s="2" t="s">
        <v>12</v>
      </c>
      <c r="E8400" s="2" t="s">
        <v>12</v>
      </c>
      <c r="F8400" s="2" t="s">
        <v>12</v>
      </c>
      <c r="G8400" s="2" t="s">
        <v>12</v>
      </c>
      <c r="H8400" s="2" t="s">
        <v>12</v>
      </c>
      <c r="I8400" s="2" t="s">
        <v>12</v>
      </c>
      <c r="J8400" s="2" t="s">
        <v>12</v>
      </c>
      <c r="K8400" s="2" t="s">
        <v>12</v>
      </c>
    </row>
    <row r="8401" spans="1:11" ht="12.5" x14ac:dyDescent="0.25">
      <c r="A8401" s="3" t="e">
        <f ca="1"/>
        <v>#NAME?</v>
      </c>
      <c r="B8401" s="2" t="s">
        <v>12</v>
      </c>
      <c r="C8401" s="2" t="s">
        <v>12</v>
      </c>
      <c r="D8401" s="2" t="s">
        <v>12</v>
      </c>
      <c r="E8401" s="2" t="s">
        <v>12</v>
      </c>
      <c r="F8401" s="2" t="s">
        <v>12</v>
      </c>
      <c r="G8401" s="2" t="s">
        <v>12</v>
      </c>
      <c r="H8401" s="2" t="s">
        <v>12</v>
      </c>
      <c r="I8401" s="2" t="s">
        <v>12</v>
      </c>
      <c r="J8401" s="2" t="s">
        <v>12</v>
      </c>
      <c r="K8401" s="2" t="s">
        <v>12</v>
      </c>
    </row>
    <row r="8402" spans="1:11" ht="12.5" x14ac:dyDescent="0.25">
      <c r="A8402" s="3" t="e">
        <f ca="1"/>
        <v>#NAME?</v>
      </c>
      <c r="B8402" s="2" t="s">
        <v>12</v>
      </c>
      <c r="C8402" s="2" t="s">
        <v>12</v>
      </c>
      <c r="D8402" s="2" t="s">
        <v>12</v>
      </c>
      <c r="E8402" s="2" t="s">
        <v>12</v>
      </c>
      <c r="F8402" s="2" t="s">
        <v>12</v>
      </c>
      <c r="G8402" s="2" t="s">
        <v>12</v>
      </c>
      <c r="H8402" s="2" t="s">
        <v>12</v>
      </c>
      <c r="I8402" s="2" t="s">
        <v>12</v>
      </c>
      <c r="J8402" s="2" t="s">
        <v>12</v>
      </c>
      <c r="K8402" s="2" t="s">
        <v>12</v>
      </c>
    </row>
    <row r="8403" spans="1:11" ht="12.5" x14ac:dyDescent="0.25">
      <c r="A8403" s="3" t="e">
        <f ca="1"/>
        <v>#NAME?</v>
      </c>
      <c r="B8403" s="2" t="s">
        <v>12</v>
      </c>
      <c r="C8403" s="2" t="s">
        <v>12</v>
      </c>
      <c r="D8403" s="2" t="s">
        <v>12</v>
      </c>
      <c r="E8403" s="2" t="s">
        <v>12</v>
      </c>
      <c r="F8403" s="2" t="s">
        <v>12</v>
      </c>
      <c r="G8403" s="2" t="s">
        <v>12</v>
      </c>
      <c r="H8403" s="2" t="s">
        <v>12</v>
      </c>
      <c r="I8403" s="2" t="s">
        <v>12</v>
      </c>
      <c r="J8403" s="2" t="s">
        <v>12</v>
      </c>
      <c r="K8403" s="2" t="s">
        <v>12</v>
      </c>
    </row>
    <row r="8404" spans="1:11" ht="12.5" x14ac:dyDescent="0.25">
      <c r="A8404" s="3" t="e">
        <f ca="1"/>
        <v>#NAME?</v>
      </c>
      <c r="B8404" s="2" t="s">
        <v>12</v>
      </c>
      <c r="C8404" s="2" t="s">
        <v>12</v>
      </c>
      <c r="D8404" s="2" t="s">
        <v>12</v>
      </c>
      <c r="E8404" s="2" t="s">
        <v>12</v>
      </c>
      <c r="F8404" s="2" t="s">
        <v>12</v>
      </c>
      <c r="G8404" s="2" t="s">
        <v>12</v>
      </c>
      <c r="H8404" s="2" t="s">
        <v>12</v>
      </c>
      <c r="I8404" s="2" t="s">
        <v>12</v>
      </c>
      <c r="J8404" s="2" t="s">
        <v>12</v>
      </c>
      <c r="K8404" s="2" t="s">
        <v>12</v>
      </c>
    </row>
    <row r="8405" spans="1:11" ht="12.5" x14ac:dyDescent="0.25">
      <c r="A8405" s="3" t="e">
        <f ca="1"/>
        <v>#NAME?</v>
      </c>
      <c r="B8405" s="2" t="s">
        <v>12</v>
      </c>
      <c r="C8405" s="2" t="s">
        <v>12</v>
      </c>
      <c r="D8405" s="2" t="s">
        <v>12</v>
      </c>
      <c r="E8405" s="2" t="s">
        <v>12</v>
      </c>
      <c r="F8405" s="2" t="s">
        <v>12</v>
      </c>
      <c r="G8405" s="2" t="s">
        <v>12</v>
      </c>
      <c r="H8405" s="2" t="s">
        <v>12</v>
      </c>
      <c r="I8405" s="2" t="s">
        <v>12</v>
      </c>
      <c r="J8405" s="2" t="s">
        <v>12</v>
      </c>
      <c r="K8405" s="2" t="s">
        <v>12</v>
      </c>
    </row>
    <row r="8406" spans="1:11" ht="12.5" x14ac:dyDescent="0.25">
      <c r="A8406" s="3" t="e">
        <f ca="1"/>
        <v>#NAME?</v>
      </c>
      <c r="B8406" s="2" t="s">
        <v>12</v>
      </c>
      <c r="C8406" s="2" t="s">
        <v>12</v>
      </c>
      <c r="D8406" s="2" t="s">
        <v>12</v>
      </c>
      <c r="E8406" s="2" t="s">
        <v>12</v>
      </c>
      <c r="F8406" s="2" t="s">
        <v>12</v>
      </c>
      <c r="G8406" s="2" t="s">
        <v>12</v>
      </c>
      <c r="H8406" s="2" t="s">
        <v>12</v>
      </c>
      <c r="I8406" s="2" t="s">
        <v>12</v>
      </c>
      <c r="J8406" s="2" t="s">
        <v>12</v>
      </c>
      <c r="K8406" s="2" t="s">
        <v>12</v>
      </c>
    </row>
    <row r="8407" spans="1:11" ht="12.5" x14ac:dyDescent="0.25">
      <c r="A8407" s="3" t="e">
        <f ca="1"/>
        <v>#NAME?</v>
      </c>
      <c r="B8407" s="2" t="s">
        <v>12</v>
      </c>
      <c r="C8407" s="2" t="s">
        <v>12</v>
      </c>
      <c r="D8407" s="2" t="s">
        <v>12</v>
      </c>
      <c r="E8407" s="2" t="s">
        <v>12</v>
      </c>
      <c r="F8407" s="2" t="s">
        <v>12</v>
      </c>
      <c r="G8407" s="2" t="s">
        <v>12</v>
      </c>
      <c r="H8407" s="2" t="s">
        <v>12</v>
      </c>
      <c r="I8407" s="2" t="s">
        <v>12</v>
      </c>
      <c r="J8407" s="2" t="s">
        <v>12</v>
      </c>
      <c r="K8407" s="2" t="s">
        <v>12</v>
      </c>
    </row>
    <row r="8408" spans="1:11" ht="12.5" x14ac:dyDescent="0.25">
      <c r="A8408" s="3" t="e">
        <f ca="1"/>
        <v>#NAME?</v>
      </c>
      <c r="B8408" s="2" t="s">
        <v>12</v>
      </c>
      <c r="C8408" s="2" t="s">
        <v>12</v>
      </c>
      <c r="D8408" s="2" t="s">
        <v>12</v>
      </c>
      <c r="E8408" s="2" t="s">
        <v>12</v>
      </c>
      <c r="F8408" s="2" t="s">
        <v>12</v>
      </c>
      <c r="G8408" s="2" t="s">
        <v>12</v>
      </c>
      <c r="H8408" s="2" t="s">
        <v>12</v>
      </c>
      <c r="I8408" s="2" t="s">
        <v>12</v>
      </c>
      <c r="J8408" s="2" t="s">
        <v>12</v>
      </c>
      <c r="K8408" s="2" t="s">
        <v>12</v>
      </c>
    </row>
    <row r="8409" spans="1:11" ht="12.5" x14ac:dyDescent="0.25">
      <c r="A8409" s="3" t="e">
        <f ca="1"/>
        <v>#NAME?</v>
      </c>
      <c r="B8409" s="2" t="s">
        <v>12</v>
      </c>
      <c r="C8409" s="2" t="s">
        <v>12</v>
      </c>
      <c r="D8409" s="2" t="s">
        <v>12</v>
      </c>
      <c r="E8409" s="2" t="s">
        <v>12</v>
      </c>
      <c r="F8409" s="2" t="s">
        <v>12</v>
      </c>
      <c r="G8409" s="2" t="s">
        <v>12</v>
      </c>
      <c r="H8409" s="2" t="s">
        <v>12</v>
      </c>
      <c r="I8409" s="2" t="s">
        <v>12</v>
      </c>
      <c r="J8409" s="2" t="s">
        <v>12</v>
      </c>
      <c r="K8409" s="2" t="s">
        <v>12</v>
      </c>
    </row>
    <row r="8410" spans="1:11" ht="12.5" x14ac:dyDescent="0.25">
      <c r="A8410" s="3" t="e">
        <f ca="1"/>
        <v>#NAME?</v>
      </c>
      <c r="B8410" s="2" t="s">
        <v>12</v>
      </c>
      <c r="C8410" s="2" t="s">
        <v>12</v>
      </c>
      <c r="D8410" s="2" t="s">
        <v>12</v>
      </c>
      <c r="E8410" s="2" t="s">
        <v>12</v>
      </c>
      <c r="F8410" s="2" t="s">
        <v>12</v>
      </c>
      <c r="G8410" s="2" t="s">
        <v>12</v>
      </c>
      <c r="H8410" s="2" t="s">
        <v>12</v>
      </c>
      <c r="I8410" s="2" t="s">
        <v>12</v>
      </c>
      <c r="J8410" s="2" t="s">
        <v>12</v>
      </c>
      <c r="K8410" s="2" t="s">
        <v>12</v>
      </c>
    </row>
    <row r="8411" spans="1:11" ht="12.5" x14ac:dyDescent="0.25">
      <c r="A8411" s="3" t="e">
        <f ca="1"/>
        <v>#NAME?</v>
      </c>
      <c r="B8411" s="2" t="s">
        <v>12</v>
      </c>
      <c r="C8411" s="2" t="s">
        <v>12</v>
      </c>
      <c r="D8411" s="2" t="s">
        <v>12</v>
      </c>
      <c r="E8411" s="2" t="s">
        <v>12</v>
      </c>
      <c r="F8411" s="2" t="s">
        <v>12</v>
      </c>
      <c r="G8411" s="2" t="s">
        <v>12</v>
      </c>
      <c r="H8411" s="2" t="s">
        <v>12</v>
      </c>
      <c r="I8411" s="2" t="s">
        <v>12</v>
      </c>
      <c r="J8411" s="2" t="s">
        <v>12</v>
      </c>
      <c r="K8411" s="2" t="s">
        <v>12</v>
      </c>
    </row>
    <row r="8412" spans="1:11" ht="12.5" x14ac:dyDescent="0.25">
      <c r="A8412" s="3" t="e">
        <f ca="1"/>
        <v>#NAME?</v>
      </c>
      <c r="B8412" s="2" t="s">
        <v>12</v>
      </c>
      <c r="C8412" s="2" t="s">
        <v>12</v>
      </c>
      <c r="D8412" s="2" t="s">
        <v>12</v>
      </c>
      <c r="E8412" s="2" t="s">
        <v>12</v>
      </c>
      <c r="F8412" s="2" t="s">
        <v>12</v>
      </c>
      <c r="G8412" s="2" t="s">
        <v>12</v>
      </c>
      <c r="H8412" s="2" t="s">
        <v>12</v>
      </c>
      <c r="I8412" s="2" t="s">
        <v>12</v>
      </c>
      <c r="J8412" s="2" t="s">
        <v>12</v>
      </c>
      <c r="K8412" s="2" t="s">
        <v>12</v>
      </c>
    </row>
    <row r="8413" spans="1:11" ht="12.5" x14ac:dyDescent="0.25">
      <c r="A8413" s="3" t="e">
        <f ca="1"/>
        <v>#NAME?</v>
      </c>
      <c r="B8413" s="2" t="s">
        <v>12</v>
      </c>
      <c r="C8413" s="2" t="s">
        <v>12</v>
      </c>
      <c r="D8413" s="2" t="s">
        <v>12</v>
      </c>
      <c r="E8413" s="2" t="s">
        <v>12</v>
      </c>
      <c r="F8413" s="2" t="s">
        <v>12</v>
      </c>
      <c r="G8413" s="2" t="s">
        <v>12</v>
      </c>
      <c r="H8413" s="2" t="s">
        <v>12</v>
      </c>
      <c r="I8413" s="2" t="s">
        <v>12</v>
      </c>
      <c r="J8413" s="2" t="s">
        <v>12</v>
      </c>
      <c r="K8413" s="2" t="s">
        <v>12</v>
      </c>
    </row>
    <row r="8414" spans="1:11" ht="12.5" x14ac:dyDescent="0.25">
      <c r="A8414" s="3" t="e">
        <f ca="1"/>
        <v>#NAME?</v>
      </c>
      <c r="B8414" s="2" t="s">
        <v>12</v>
      </c>
      <c r="C8414" s="2" t="s">
        <v>12</v>
      </c>
      <c r="D8414" s="2" t="s">
        <v>12</v>
      </c>
      <c r="E8414" s="2" t="s">
        <v>12</v>
      </c>
      <c r="F8414" s="2" t="s">
        <v>12</v>
      </c>
      <c r="G8414" s="2" t="s">
        <v>12</v>
      </c>
      <c r="H8414" s="2" t="s">
        <v>12</v>
      </c>
      <c r="I8414" s="2" t="s">
        <v>12</v>
      </c>
      <c r="J8414" s="2" t="s">
        <v>12</v>
      </c>
      <c r="K8414" s="2" t="s">
        <v>12</v>
      </c>
    </row>
    <row r="8415" spans="1:11" ht="12.5" x14ac:dyDescent="0.25">
      <c r="A8415" s="3" t="e">
        <f ca="1"/>
        <v>#NAME?</v>
      </c>
      <c r="B8415" s="2" t="s">
        <v>12</v>
      </c>
      <c r="C8415" s="2" t="s">
        <v>12</v>
      </c>
      <c r="D8415" s="2" t="s">
        <v>12</v>
      </c>
      <c r="E8415" s="2" t="s">
        <v>12</v>
      </c>
      <c r="F8415" s="2" t="s">
        <v>12</v>
      </c>
      <c r="G8415" s="2" t="s">
        <v>12</v>
      </c>
      <c r="H8415" s="2" t="s">
        <v>12</v>
      </c>
      <c r="I8415" s="2" t="s">
        <v>12</v>
      </c>
      <c r="J8415" s="2" t="s">
        <v>12</v>
      </c>
      <c r="K8415" s="2" t="s">
        <v>12</v>
      </c>
    </row>
    <row r="8416" spans="1:11" ht="12.5" x14ac:dyDescent="0.25">
      <c r="A8416" s="3" t="e">
        <f ca="1"/>
        <v>#NAME?</v>
      </c>
      <c r="B8416" s="2" t="s">
        <v>12</v>
      </c>
      <c r="C8416" s="2" t="s">
        <v>12</v>
      </c>
      <c r="D8416" s="2" t="s">
        <v>12</v>
      </c>
      <c r="E8416" s="2" t="s">
        <v>12</v>
      </c>
      <c r="F8416" s="2" t="s">
        <v>12</v>
      </c>
      <c r="G8416" s="2" t="s">
        <v>12</v>
      </c>
      <c r="H8416" s="2" t="s">
        <v>12</v>
      </c>
      <c r="I8416" s="2" t="s">
        <v>12</v>
      </c>
      <c r="J8416" s="2" t="s">
        <v>12</v>
      </c>
      <c r="K8416" s="2" t="s">
        <v>12</v>
      </c>
    </row>
    <row r="8417" spans="1:11" ht="12.5" x14ac:dyDescent="0.25">
      <c r="A8417" s="3" t="e">
        <f ca="1"/>
        <v>#NAME?</v>
      </c>
      <c r="B8417" s="2" t="s">
        <v>12</v>
      </c>
      <c r="C8417" s="2" t="s">
        <v>12</v>
      </c>
      <c r="D8417" s="2" t="s">
        <v>12</v>
      </c>
      <c r="E8417" s="2" t="s">
        <v>12</v>
      </c>
      <c r="F8417" s="2" t="s">
        <v>12</v>
      </c>
      <c r="G8417" s="2" t="s">
        <v>12</v>
      </c>
      <c r="H8417" s="2" t="s">
        <v>12</v>
      </c>
      <c r="I8417" s="2" t="s">
        <v>12</v>
      </c>
      <c r="J8417" s="2" t="s">
        <v>12</v>
      </c>
      <c r="K8417" s="2" t="s">
        <v>12</v>
      </c>
    </row>
    <row r="8418" spans="1:11" ht="12.5" x14ac:dyDescent="0.25">
      <c r="A8418" s="3" t="e">
        <f ca="1"/>
        <v>#NAME?</v>
      </c>
      <c r="B8418" s="2" t="s">
        <v>12</v>
      </c>
      <c r="C8418" s="2" t="s">
        <v>12</v>
      </c>
      <c r="D8418" s="2" t="s">
        <v>12</v>
      </c>
      <c r="E8418" s="2" t="s">
        <v>12</v>
      </c>
      <c r="F8418" s="2" t="s">
        <v>12</v>
      </c>
      <c r="G8418" s="2" t="s">
        <v>12</v>
      </c>
      <c r="H8418" s="2" t="s">
        <v>12</v>
      </c>
      <c r="I8418" s="2" t="s">
        <v>12</v>
      </c>
      <c r="J8418" s="2" t="s">
        <v>12</v>
      </c>
      <c r="K8418" s="2" t="s">
        <v>12</v>
      </c>
    </row>
    <row r="8419" spans="1:11" ht="12.5" x14ac:dyDescent="0.25">
      <c r="A8419" s="3" t="e">
        <f ca="1"/>
        <v>#NAME?</v>
      </c>
      <c r="B8419" s="2" t="s">
        <v>12</v>
      </c>
      <c r="C8419" s="2" t="s">
        <v>12</v>
      </c>
      <c r="D8419" s="2" t="s">
        <v>12</v>
      </c>
      <c r="E8419" s="2" t="s">
        <v>12</v>
      </c>
      <c r="F8419" s="2" t="s">
        <v>12</v>
      </c>
      <c r="G8419" s="2" t="s">
        <v>12</v>
      </c>
      <c r="H8419" s="2" t="s">
        <v>12</v>
      </c>
      <c r="I8419" s="2" t="s">
        <v>12</v>
      </c>
      <c r="J8419" s="2" t="s">
        <v>12</v>
      </c>
      <c r="K8419" s="2" t="s">
        <v>12</v>
      </c>
    </row>
    <row r="8420" spans="1:11" ht="12.5" x14ac:dyDescent="0.25">
      <c r="A8420" s="3" t="e">
        <f ca="1"/>
        <v>#NAME?</v>
      </c>
      <c r="B8420" s="2" t="s">
        <v>12</v>
      </c>
      <c r="C8420" s="2" t="s">
        <v>12</v>
      </c>
      <c r="D8420" s="2" t="s">
        <v>12</v>
      </c>
      <c r="E8420" s="2" t="s">
        <v>12</v>
      </c>
      <c r="F8420" s="2" t="s">
        <v>12</v>
      </c>
      <c r="G8420" s="2" t="s">
        <v>12</v>
      </c>
      <c r="H8420" s="2" t="s">
        <v>12</v>
      </c>
      <c r="I8420" s="2" t="s">
        <v>12</v>
      </c>
      <c r="J8420" s="2" t="s">
        <v>12</v>
      </c>
      <c r="K8420" s="2" t="s">
        <v>12</v>
      </c>
    </row>
    <row r="8421" spans="1:11" ht="12.5" x14ac:dyDescent="0.25">
      <c r="A8421" s="3" t="e">
        <f ca="1"/>
        <v>#NAME?</v>
      </c>
      <c r="B8421" s="2" t="s">
        <v>12</v>
      </c>
      <c r="C8421" s="2" t="s">
        <v>12</v>
      </c>
      <c r="D8421" s="2" t="s">
        <v>12</v>
      </c>
      <c r="E8421" s="2" t="s">
        <v>12</v>
      </c>
      <c r="F8421" s="2" t="s">
        <v>12</v>
      </c>
      <c r="G8421" s="2" t="s">
        <v>12</v>
      </c>
      <c r="H8421" s="2" t="s">
        <v>12</v>
      </c>
      <c r="I8421" s="2" t="s">
        <v>12</v>
      </c>
      <c r="J8421" s="2" t="s">
        <v>12</v>
      </c>
      <c r="K8421" s="2" t="s">
        <v>12</v>
      </c>
    </row>
    <row r="8422" spans="1:11" ht="12.5" x14ac:dyDescent="0.25">
      <c r="A8422" s="3" t="e">
        <f ca="1"/>
        <v>#NAME?</v>
      </c>
      <c r="B8422" s="2" t="s">
        <v>12</v>
      </c>
      <c r="C8422" s="2" t="s">
        <v>12</v>
      </c>
      <c r="D8422" s="2" t="s">
        <v>12</v>
      </c>
      <c r="E8422" s="2" t="s">
        <v>12</v>
      </c>
      <c r="F8422" s="2" t="s">
        <v>12</v>
      </c>
      <c r="G8422" s="2" t="s">
        <v>12</v>
      </c>
      <c r="H8422" s="2" t="s">
        <v>12</v>
      </c>
      <c r="I8422" s="2" t="s">
        <v>12</v>
      </c>
      <c r="J8422" s="2" t="s">
        <v>12</v>
      </c>
      <c r="K8422" s="2" t="s">
        <v>12</v>
      </c>
    </row>
    <row r="8423" spans="1:11" ht="12.5" x14ac:dyDescent="0.25">
      <c r="A8423" s="3" t="e">
        <f ca="1"/>
        <v>#NAME?</v>
      </c>
      <c r="B8423" s="2" t="s">
        <v>12</v>
      </c>
      <c r="C8423" s="2" t="s">
        <v>12</v>
      </c>
      <c r="D8423" s="2" t="s">
        <v>12</v>
      </c>
      <c r="E8423" s="2" t="s">
        <v>12</v>
      </c>
      <c r="F8423" s="2" t="s">
        <v>12</v>
      </c>
      <c r="G8423" s="2" t="s">
        <v>12</v>
      </c>
      <c r="H8423" s="2" t="s">
        <v>12</v>
      </c>
      <c r="I8423" s="2" t="s">
        <v>12</v>
      </c>
      <c r="J8423" s="2" t="s">
        <v>12</v>
      </c>
      <c r="K8423" s="2" t="s">
        <v>12</v>
      </c>
    </row>
    <row r="8424" spans="1:11" ht="12.5" x14ac:dyDescent="0.25">
      <c r="A8424" s="3" t="e">
        <f ca="1"/>
        <v>#NAME?</v>
      </c>
      <c r="B8424" s="2" t="s">
        <v>12</v>
      </c>
      <c r="C8424" s="2" t="s">
        <v>12</v>
      </c>
      <c r="D8424" s="2" t="s">
        <v>12</v>
      </c>
      <c r="E8424" s="2" t="s">
        <v>12</v>
      </c>
      <c r="F8424" s="2" t="s">
        <v>12</v>
      </c>
      <c r="G8424" s="2" t="s">
        <v>12</v>
      </c>
      <c r="H8424" s="2" t="s">
        <v>12</v>
      </c>
      <c r="I8424" s="2" t="s">
        <v>12</v>
      </c>
      <c r="J8424" s="2" t="s">
        <v>12</v>
      </c>
      <c r="K8424" s="2" t="s">
        <v>12</v>
      </c>
    </row>
    <row r="8425" spans="1:11" ht="12.5" x14ac:dyDescent="0.25">
      <c r="A8425" s="3" t="e">
        <f ca="1"/>
        <v>#NAME?</v>
      </c>
      <c r="B8425" s="2" t="s">
        <v>12</v>
      </c>
      <c r="C8425" s="2" t="s">
        <v>12</v>
      </c>
      <c r="D8425" s="2" t="s">
        <v>12</v>
      </c>
      <c r="E8425" s="2" t="s">
        <v>12</v>
      </c>
      <c r="F8425" s="2" t="s">
        <v>12</v>
      </c>
      <c r="G8425" s="2" t="s">
        <v>12</v>
      </c>
      <c r="H8425" s="2" t="s">
        <v>12</v>
      </c>
      <c r="I8425" s="2" t="s">
        <v>12</v>
      </c>
      <c r="J8425" s="2" t="s">
        <v>12</v>
      </c>
      <c r="K8425" s="2" t="s">
        <v>12</v>
      </c>
    </row>
    <row r="8426" spans="1:11" ht="12.5" x14ac:dyDescent="0.25">
      <c r="A8426" s="3" t="e">
        <f ca="1"/>
        <v>#NAME?</v>
      </c>
      <c r="B8426" s="2" t="s">
        <v>12</v>
      </c>
      <c r="C8426" s="2" t="s">
        <v>12</v>
      </c>
      <c r="D8426" s="2" t="s">
        <v>12</v>
      </c>
      <c r="E8426" s="2" t="s">
        <v>12</v>
      </c>
      <c r="F8426" s="2" t="s">
        <v>12</v>
      </c>
      <c r="G8426" s="2" t="s">
        <v>12</v>
      </c>
      <c r="H8426" s="2" t="s">
        <v>12</v>
      </c>
      <c r="I8426" s="2" t="s">
        <v>12</v>
      </c>
      <c r="J8426" s="2" t="s">
        <v>12</v>
      </c>
      <c r="K8426" s="2" t="s">
        <v>12</v>
      </c>
    </row>
    <row r="8427" spans="1:11" ht="12.5" x14ac:dyDescent="0.25">
      <c r="A8427" s="3" t="e">
        <f ca="1"/>
        <v>#NAME?</v>
      </c>
      <c r="B8427" s="2" t="s">
        <v>12</v>
      </c>
      <c r="C8427" s="2" t="s">
        <v>12</v>
      </c>
      <c r="D8427" s="2" t="s">
        <v>12</v>
      </c>
      <c r="E8427" s="2" t="s">
        <v>12</v>
      </c>
      <c r="F8427" s="2" t="s">
        <v>12</v>
      </c>
      <c r="G8427" s="2" t="s">
        <v>12</v>
      </c>
      <c r="H8427" s="2" t="s">
        <v>12</v>
      </c>
      <c r="I8427" s="2" t="s">
        <v>12</v>
      </c>
      <c r="J8427" s="2" t="s">
        <v>12</v>
      </c>
      <c r="K8427" s="2" t="s">
        <v>12</v>
      </c>
    </row>
    <row r="8428" spans="1:11" ht="12.5" x14ac:dyDescent="0.25">
      <c r="A8428" s="3" t="e">
        <f ca="1"/>
        <v>#NAME?</v>
      </c>
      <c r="B8428" s="2" t="s">
        <v>12</v>
      </c>
      <c r="C8428" s="2" t="s">
        <v>12</v>
      </c>
      <c r="D8428" s="2" t="s">
        <v>12</v>
      </c>
      <c r="E8428" s="2" t="s">
        <v>12</v>
      </c>
      <c r="F8428" s="2" t="s">
        <v>12</v>
      </c>
      <c r="G8428" s="2" t="s">
        <v>12</v>
      </c>
      <c r="H8428" s="2" t="s">
        <v>12</v>
      </c>
      <c r="I8428" s="2" t="s">
        <v>12</v>
      </c>
      <c r="J8428" s="2" t="s">
        <v>12</v>
      </c>
      <c r="K8428" s="2" t="s">
        <v>12</v>
      </c>
    </row>
    <row r="8429" spans="1:11" ht="12.5" x14ac:dyDescent="0.25">
      <c r="A8429" s="3" t="e">
        <f ca="1"/>
        <v>#NAME?</v>
      </c>
      <c r="B8429" s="2" t="s">
        <v>12</v>
      </c>
      <c r="C8429" s="2" t="s">
        <v>12</v>
      </c>
      <c r="D8429" s="2" t="s">
        <v>12</v>
      </c>
      <c r="E8429" s="2" t="s">
        <v>12</v>
      </c>
      <c r="F8429" s="2" t="s">
        <v>12</v>
      </c>
      <c r="G8429" s="2" t="s">
        <v>12</v>
      </c>
      <c r="H8429" s="2" t="s">
        <v>12</v>
      </c>
      <c r="I8429" s="2" t="s">
        <v>12</v>
      </c>
      <c r="J8429" s="2" t="s">
        <v>12</v>
      </c>
      <c r="K8429" s="2" t="s">
        <v>12</v>
      </c>
    </row>
    <row r="8430" spans="1:11" ht="12.5" x14ac:dyDescent="0.25">
      <c r="A8430" s="3" t="e">
        <f ca="1"/>
        <v>#NAME?</v>
      </c>
      <c r="B8430" s="2" t="s">
        <v>12</v>
      </c>
      <c r="C8430" s="2" t="s">
        <v>12</v>
      </c>
      <c r="D8430" s="2" t="s">
        <v>12</v>
      </c>
      <c r="E8430" s="2" t="s">
        <v>12</v>
      </c>
      <c r="F8430" s="2" t="s">
        <v>12</v>
      </c>
      <c r="G8430" s="2" t="s">
        <v>12</v>
      </c>
      <c r="H8430" s="2" t="s">
        <v>12</v>
      </c>
      <c r="I8430" s="2" t="s">
        <v>12</v>
      </c>
      <c r="J8430" s="2" t="s">
        <v>12</v>
      </c>
      <c r="K8430" s="2" t="s">
        <v>12</v>
      </c>
    </row>
    <row r="8431" spans="1:11" ht="12.5" x14ac:dyDescent="0.25">
      <c r="A8431" s="3" t="e">
        <f ca="1"/>
        <v>#NAME?</v>
      </c>
      <c r="B8431" s="2" t="s">
        <v>12</v>
      </c>
      <c r="C8431" s="2" t="s">
        <v>12</v>
      </c>
      <c r="D8431" s="2" t="s">
        <v>12</v>
      </c>
      <c r="E8431" s="2" t="s">
        <v>12</v>
      </c>
      <c r="F8431" s="2" t="s">
        <v>12</v>
      </c>
      <c r="G8431" s="2" t="s">
        <v>12</v>
      </c>
      <c r="H8431" s="2" t="s">
        <v>12</v>
      </c>
      <c r="I8431" s="2" t="s">
        <v>12</v>
      </c>
      <c r="J8431" s="2" t="s">
        <v>12</v>
      </c>
      <c r="K8431" s="2" t="s">
        <v>12</v>
      </c>
    </row>
    <row r="8432" spans="1:11" ht="12.5" x14ac:dyDescent="0.25">
      <c r="A8432" s="3" t="e">
        <f ca="1"/>
        <v>#NAME?</v>
      </c>
      <c r="B8432" s="2" t="s">
        <v>12</v>
      </c>
      <c r="C8432" s="2" t="s">
        <v>12</v>
      </c>
      <c r="D8432" s="2" t="s">
        <v>12</v>
      </c>
      <c r="E8432" s="2" t="s">
        <v>12</v>
      </c>
      <c r="F8432" s="2" t="s">
        <v>12</v>
      </c>
      <c r="G8432" s="2" t="s">
        <v>12</v>
      </c>
      <c r="H8432" s="2" t="s">
        <v>12</v>
      </c>
      <c r="I8432" s="2" t="s">
        <v>12</v>
      </c>
      <c r="J8432" s="2" t="s">
        <v>12</v>
      </c>
      <c r="K8432" s="2" t="s">
        <v>12</v>
      </c>
    </row>
    <row r="8433" spans="1:11" ht="12.5" x14ac:dyDescent="0.25">
      <c r="A8433" s="3" t="e">
        <f ca="1"/>
        <v>#NAME?</v>
      </c>
      <c r="B8433" s="2" t="s">
        <v>12</v>
      </c>
      <c r="C8433" s="2" t="s">
        <v>12</v>
      </c>
      <c r="D8433" s="2" t="s">
        <v>12</v>
      </c>
      <c r="E8433" s="2" t="s">
        <v>12</v>
      </c>
      <c r="F8433" s="2" t="s">
        <v>12</v>
      </c>
      <c r="G8433" s="2" t="s">
        <v>12</v>
      </c>
      <c r="H8433" s="2" t="s">
        <v>12</v>
      </c>
      <c r="I8433" s="2" t="s">
        <v>12</v>
      </c>
      <c r="J8433" s="2" t="s">
        <v>12</v>
      </c>
      <c r="K8433" s="2" t="s">
        <v>12</v>
      </c>
    </row>
    <row r="8434" spans="1:11" ht="12.5" x14ac:dyDescent="0.25">
      <c r="A8434" s="3" t="e">
        <f ca="1"/>
        <v>#NAME?</v>
      </c>
      <c r="B8434" s="2" t="s">
        <v>12</v>
      </c>
      <c r="C8434" s="2" t="s">
        <v>12</v>
      </c>
      <c r="D8434" s="2" t="s">
        <v>12</v>
      </c>
      <c r="E8434" s="2" t="s">
        <v>12</v>
      </c>
      <c r="F8434" s="2" t="s">
        <v>12</v>
      </c>
      <c r="G8434" s="2" t="s">
        <v>12</v>
      </c>
      <c r="H8434" s="2" t="s">
        <v>12</v>
      </c>
      <c r="I8434" s="2" t="s">
        <v>12</v>
      </c>
      <c r="J8434" s="2" t="s">
        <v>12</v>
      </c>
      <c r="K8434" s="2" t="s">
        <v>12</v>
      </c>
    </row>
    <row r="8435" spans="1:11" ht="12.5" x14ac:dyDescent="0.25">
      <c r="A8435" s="3" t="e">
        <f ca="1"/>
        <v>#NAME?</v>
      </c>
      <c r="B8435" s="2" t="s">
        <v>12</v>
      </c>
      <c r="C8435" s="2" t="s">
        <v>12</v>
      </c>
      <c r="D8435" s="2" t="s">
        <v>12</v>
      </c>
      <c r="E8435" s="2" t="s">
        <v>12</v>
      </c>
      <c r="F8435" s="2" t="s">
        <v>12</v>
      </c>
      <c r="G8435" s="2" t="s">
        <v>12</v>
      </c>
      <c r="H8435" s="2" t="s">
        <v>12</v>
      </c>
      <c r="I8435" s="2" t="s">
        <v>12</v>
      </c>
      <c r="J8435" s="2" t="s">
        <v>12</v>
      </c>
      <c r="K8435" s="2" t="s">
        <v>12</v>
      </c>
    </row>
    <row r="8436" spans="1:11" ht="12.5" x14ac:dyDescent="0.25">
      <c r="A8436" s="3" t="e">
        <f ca="1"/>
        <v>#NAME?</v>
      </c>
      <c r="B8436" s="2" t="s">
        <v>12</v>
      </c>
      <c r="C8436" s="2" t="s">
        <v>12</v>
      </c>
      <c r="D8436" s="2" t="s">
        <v>12</v>
      </c>
      <c r="E8436" s="2" t="s">
        <v>12</v>
      </c>
      <c r="F8436" s="2" t="s">
        <v>12</v>
      </c>
      <c r="G8436" s="2" t="s">
        <v>12</v>
      </c>
      <c r="H8436" s="2" t="s">
        <v>12</v>
      </c>
      <c r="I8436" s="2" t="s">
        <v>12</v>
      </c>
      <c r="J8436" s="2" t="s">
        <v>12</v>
      </c>
      <c r="K8436" s="2" t="s">
        <v>12</v>
      </c>
    </row>
    <row r="8437" spans="1:11" ht="12.5" x14ac:dyDescent="0.25">
      <c r="A8437" s="3" t="e">
        <f ca="1"/>
        <v>#NAME?</v>
      </c>
      <c r="B8437" s="2" t="s">
        <v>12</v>
      </c>
      <c r="C8437" s="2" t="s">
        <v>12</v>
      </c>
      <c r="D8437" s="2" t="s">
        <v>12</v>
      </c>
      <c r="E8437" s="2" t="s">
        <v>12</v>
      </c>
      <c r="F8437" s="2" t="s">
        <v>12</v>
      </c>
      <c r="G8437" s="2" t="s">
        <v>12</v>
      </c>
      <c r="H8437" s="2" t="s">
        <v>12</v>
      </c>
      <c r="I8437" s="2" t="s">
        <v>12</v>
      </c>
      <c r="J8437" s="2" t="s">
        <v>12</v>
      </c>
      <c r="K8437" s="2" t="s">
        <v>12</v>
      </c>
    </row>
    <row r="8438" spans="1:11" ht="12.5" x14ac:dyDescent="0.25">
      <c r="A8438" s="3" t="e">
        <f ca="1"/>
        <v>#NAME?</v>
      </c>
      <c r="B8438" s="2" t="s">
        <v>12</v>
      </c>
      <c r="C8438" s="2" t="s">
        <v>12</v>
      </c>
      <c r="D8438" s="2" t="s">
        <v>12</v>
      </c>
      <c r="E8438" s="2" t="s">
        <v>12</v>
      </c>
      <c r="F8438" s="2" t="s">
        <v>12</v>
      </c>
      <c r="G8438" s="2" t="s">
        <v>12</v>
      </c>
      <c r="H8438" s="2" t="s">
        <v>12</v>
      </c>
      <c r="I8438" s="2" t="s">
        <v>12</v>
      </c>
      <c r="J8438" s="2" t="s">
        <v>12</v>
      </c>
      <c r="K8438" s="2" t="s">
        <v>12</v>
      </c>
    </row>
    <row r="8439" spans="1:11" ht="12.5" x14ac:dyDescent="0.25">
      <c r="A8439" s="3" t="e">
        <f ca="1"/>
        <v>#NAME?</v>
      </c>
      <c r="B8439" s="2" t="s">
        <v>12</v>
      </c>
      <c r="C8439" s="2" t="s">
        <v>12</v>
      </c>
      <c r="D8439" s="2" t="s">
        <v>12</v>
      </c>
      <c r="E8439" s="2" t="s">
        <v>12</v>
      </c>
      <c r="F8439" s="2" t="s">
        <v>12</v>
      </c>
      <c r="G8439" s="2" t="s">
        <v>12</v>
      </c>
      <c r="H8439" s="2" t="s">
        <v>12</v>
      </c>
      <c r="I8439" s="2" t="s">
        <v>12</v>
      </c>
      <c r="J8439" s="2" t="s">
        <v>12</v>
      </c>
      <c r="K8439" s="2" t="s">
        <v>12</v>
      </c>
    </row>
    <row r="8440" spans="1:11" ht="12.5" x14ac:dyDescent="0.25">
      <c r="A8440" s="3" t="e">
        <f ca="1"/>
        <v>#NAME?</v>
      </c>
      <c r="B8440" s="2" t="s">
        <v>12</v>
      </c>
      <c r="C8440" s="2" t="s">
        <v>12</v>
      </c>
      <c r="D8440" s="2" t="s">
        <v>12</v>
      </c>
      <c r="E8440" s="2" t="s">
        <v>12</v>
      </c>
      <c r="F8440" s="2" t="s">
        <v>12</v>
      </c>
      <c r="G8440" s="2" t="s">
        <v>12</v>
      </c>
      <c r="H8440" s="2" t="s">
        <v>12</v>
      </c>
      <c r="I8440" s="2" t="s">
        <v>12</v>
      </c>
      <c r="J8440" s="2" t="s">
        <v>12</v>
      </c>
      <c r="K8440" s="2" t="s">
        <v>12</v>
      </c>
    </row>
    <row r="8441" spans="1:11" ht="12.5" x14ac:dyDescent="0.25">
      <c r="A8441" s="3" t="e">
        <f ca="1"/>
        <v>#NAME?</v>
      </c>
      <c r="B8441" s="2" t="s">
        <v>12</v>
      </c>
      <c r="C8441" s="2" t="s">
        <v>12</v>
      </c>
      <c r="D8441" s="2" t="s">
        <v>12</v>
      </c>
      <c r="E8441" s="2" t="s">
        <v>12</v>
      </c>
      <c r="F8441" s="2" t="s">
        <v>12</v>
      </c>
      <c r="G8441" s="2" t="s">
        <v>12</v>
      </c>
      <c r="H8441" s="2" t="s">
        <v>12</v>
      </c>
      <c r="I8441" s="2" t="s">
        <v>12</v>
      </c>
      <c r="J8441" s="2" t="s">
        <v>12</v>
      </c>
      <c r="K8441" s="2" t="s">
        <v>12</v>
      </c>
    </row>
    <row r="8442" spans="1:11" ht="12.5" x14ac:dyDescent="0.25">
      <c r="A8442" s="3" t="e">
        <f ca="1"/>
        <v>#NAME?</v>
      </c>
      <c r="B8442" s="2" t="s">
        <v>12</v>
      </c>
      <c r="C8442" s="2" t="s">
        <v>12</v>
      </c>
      <c r="D8442" s="2" t="s">
        <v>12</v>
      </c>
      <c r="E8442" s="2" t="s">
        <v>12</v>
      </c>
      <c r="F8442" s="2" t="s">
        <v>12</v>
      </c>
      <c r="G8442" s="2" t="s">
        <v>12</v>
      </c>
      <c r="H8442" s="2" t="s">
        <v>12</v>
      </c>
      <c r="I8442" s="2" t="s">
        <v>12</v>
      </c>
      <c r="J8442" s="2" t="s">
        <v>12</v>
      </c>
      <c r="K8442" s="2" t="s">
        <v>12</v>
      </c>
    </row>
    <row r="8443" spans="1:11" ht="12.5" x14ac:dyDescent="0.25">
      <c r="A8443" s="3" t="e">
        <f ca="1"/>
        <v>#NAME?</v>
      </c>
      <c r="B8443" s="2" t="s">
        <v>12</v>
      </c>
      <c r="C8443" s="2" t="s">
        <v>12</v>
      </c>
      <c r="D8443" s="2" t="s">
        <v>12</v>
      </c>
      <c r="E8443" s="2" t="s">
        <v>12</v>
      </c>
      <c r="F8443" s="2" t="s">
        <v>12</v>
      </c>
      <c r="G8443" s="2" t="s">
        <v>12</v>
      </c>
      <c r="H8443" s="2" t="s">
        <v>12</v>
      </c>
      <c r="I8443" s="2" t="s">
        <v>12</v>
      </c>
      <c r="J8443" s="2" t="s">
        <v>12</v>
      </c>
      <c r="K8443" s="2" t="s">
        <v>12</v>
      </c>
    </row>
    <row r="8444" spans="1:11" ht="12.5" x14ac:dyDescent="0.25">
      <c r="A8444" s="3" t="e">
        <f ca="1"/>
        <v>#NAME?</v>
      </c>
      <c r="B8444" s="2" t="s">
        <v>12</v>
      </c>
      <c r="C8444" s="2" t="s">
        <v>12</v>
      </c>
      <c r="D8444" s="2" t="s">
        <v>12</v>
      </c>
      <c r="E8444" s="2" t="s">
        <v>12</v>
      </c>
      <c r="F8444" s="2" t="s">
        <v>12</v>
      </c>
      <c r="G8444" s="2" t="s">
        <v>12</v>
      </c>
      <c r="H8444" s="2" t="s">
        <v>12</v>
      </c>
      <c r="I8444" s="2" t="s">
        <v>12</v>
      </c>
      <c r="J8444" s="2" t="s">
        <v>12</v>
      </c>
      <c r="K8444" s="2" t="s">
        <v>12</v>
      </c>
    </row>
    <row r="8445" spans="1:11" ht="12.5" x14ac:dyDescent="0.25">
      <c r="A8445" s="3" t="e">
        <f ca="1"/>
        <v>#NAME?</v>
      </c>
      <c r="B8445" s="2" t="s">
        <v>12</v>
      </c>
      <c r="C8445" s="2" t="s">
        <v>12</v>
      </c>
      <c r="D8445" s="2" t="s">
        <v>12</v>
      </c>
      <c r="E8445" s="2" t="s">
        <v>12</v>
      </c>
      <c r="F8445" s="2" t="s">
        <v>12</v>
      </c>
      <c r="G8445" s="2" t="s">
        <v>12</v>
      </c>
      <c r="H8445" s="2" t="s">
        <v>12</v>
      </c>
      <c r="I8445" s="2" t="s">
        <v>12</v>
      </c>
      <c r="J8445" s="2" t="s">
        <v>12</v>
      </c>
      <c r="K8445" s="2" t="s">
        <v>12</v>
      </c>
    </row>
    <row r="8446" spans="1:11" ht="12.5" x14ac:dyDescent="0.25">
      <c r="A8446" s="3" t="e">
        <f ca="1"/>
        <v>#NAME?</v>
      </c>
      <c r="B8446" s="2" t="s">
        <v>12</v>
      </c>
      <c r="C8446" s="2" t="s">
        <v>12</v>
      </c>
      <c r="D8446" s="2" t="s">
        <v>12</v>
      </c>
      <c r="E8446" s="2" t="s">
        <v>12</v>
      </c>
      <c r="F8446" s="2" t="s">
        <v>12</v>
      </c>
      <c r="G8446" s="2" t="s">
        <v>12</v>
      </c>
      <c r="H8446" s="2" t="s">
        <v>12</v>
      </c>
      <c r="I8446" s="2" t="s">
        <v>12</v>
      </c>
      <c r="J8446" s="2" t="s">
        <v>12</v>
      </c>
      <c r="K8446" s="2" t="s">
        <v>12</v>
      </c>
    </row>
    <row r="8447" spans="1:11" ht="12.5" x14ac:dyDescent="0.25">
      <c r="A8447" s="3" t="e">
        <f ca="1"/>
        <v>#NAME?</v>
      </c>
      <c r="B8447" s="2" t="s">
        <v>12</v>
      </c>
      <c r="C8447" s="2" t="s">
        <v>12</v>
      </c>
      <c r="D8447" s="2" t="s">
        <v>12</v>
      </c>
      <c r="E8447" s="2" t="s">
        <v>12</v>
      </c>
      <c r="F8447" s="2" t="s">
        <v>12</v>
      </c>
      <c r="G8447" s="2" t="s">
        <v>12</v>
      </c>
      <c r="H8447" s="2" t="s">
        <v>12</v>
      </c>
      <c r="I8447" s="2" t="s">
        <v>12</v>
      </c>
      <c r="J8447" s="2" t="s">
        <v>12</v>
      </c>
      <c r="K8447" s="2" t="s">
        <v>12</v>
      </c>
    </row>
    <row r="8448" spans="1:11" ht="12.5" x14ac:dyDescent="0.25">
      <c r="A8448" s="3" t="e">
        <f ca="1"/>
        <v>#NAME?</v>
      </c>
      <c r="B8448" s="2" t="s">
        <v>12</v>
      </c>
      <c r="C8448" s="2" t="s">
        <v>12</v>
      </c>
      <c r="D8448" s="2" t="s">
        <v>12</v>
      </c>
      <c r="E8448" s="2" t="s">
        <v>12</v>
      </c>
      <c r="F8448" s="2" t="s">
        <v>12</v>
      </c>
      <c r="G8448" s="2" t="s">
        <v>12</v>
      </c>
      <c r="H8448" s="2" t="s">
        <v>12</v>
      </c>
      <c r="I8448" s="2" t="s">
        <v>12</v>
      </c>
      <c r="J8448" s="2" t="s">
        <v>12</v>
      </c>
      <c r="K8448" s="2" t="s">
        <v>12</v>
      </c>
    </row>
    <row r="8449" spans="1:11" ht="12.5" x14ac:dyDescent="0.25">
      <c r="A8449" s="3" t="e">
        <f ca="1"/>
        <v>#NAME?</v>
      </c>
      <c r="B8449" s="2" t="s">
        <v>12</v>
      </c>
      <c r="C8449" s="2" t="s">
        <v>12</v>
      </c>
      <c r="D8449" s="2" t="s">
        <v>12</v>
      </c>
      <c r="E8449" s="2" t="s">
        <v>12</v>
      </c>
      <c r="F8449" s="2" t="s">
        <v>12</v>
      </c>
      <c r="G8449" s="2" t="s">
        <v>12</v>
      </c>
      <c r="H8449" s="2" t="s">
        <v>12</v>
      </c>
      <c r="I8449" s="2" t="s">
        <v>12</v>
      </c>
      <c r="J8449" s="2" t="s">
        <v>12</v>
      </c>
      <c r="K8449" s="2" t="s">
        <v>12</v>
      </c>
    </row>
    <row r="8450" spans="1:11" ht="12.5" x14ac:dyDescent="0.25">
      <c r="A8450" s="3" t="e">
        <f ca="1"/>
        <v>#NAME?</v>
      </c>
      <c r="B8450" s="2" t="s">
        <v>12</v>
      </c>
      <c r="C8450" s="2" t="s">
        <v>12</v>
      </c>
      <c r="D8450" s="2" t="s">
        <v>12</v>
      </c>
      <c r="E8450" s="2" t="s">
        <v>12</v>
      </c>
      <c r="F8450" s="2" t="s">
        <v>12</v>
      </c>
      <c r="G8450" s="2" t="s">
        <v>12</v>
      </c>
      <c r="H8450" s="2" t="s">
        <v>12</v>
      </c>
      <c r="I8450" s="2" t="s">
        <v>12</v>
      </c>
      <c r="J8450" s="2" t="s">
        <v>12</v>
      </c>
      <c r="K8450" s="2" t="s">
        <v>12</v>
      </c>
    </row>
    <row r="8451" spans="1:11" ht="12.5" x14ac:dyDescent="0.25">
      <c r="A8451" s="3" t="e">
        <f ca="1"/>
        <v>#NAME?</v>
      </c>
      <c r="B8451" s="2" t="s">
        <v>12</v>
      </c>
      <c r="C8451" s="2" t="s">
        <v>12</v>
      </c>
      <c r="D8451" s="2" t="s">
        <v>12</v>
      </c>
      <c r="E8451" s="2" t="s">
        <v>12</v>
      </c>
      <c r="F8451" s="2" t="s">
        <v>12</v>
      </c>
      <c r="G8451" s="2" t="s">
        <v>12</v>
      </c>
      <c r="H8451" s="2" t="s">
        <v>12</v>
      </c>
      <c r="I8451" s="2" t="s">
        <v>12</v>
      </c>
      <c r="J8451" s="2" t="s">
        <v>12</v>
      </c>
      <c r="K8451" s="2" t="s">
        <v>12</v>
      </c>
    </row>
    <row r="8452" spans="1:11" ht="12.5" x14ac:dyDescent="0.25">
      <c r="A8452" s="3" t="e">
        <f ca="1"/>
        <v>#NAME?</v>
      </c>
      <c r="B8452" s="2" t="s">
        <v>12</v>
      </c>
      <c r="C8452" s="2" t="s">
        <v>12</v>
      </c>
      <c r="D8452" s="2" t="s">
        <v>12</v>
      </c>
      <c r="E8452" s="2" t="s">
        <v>12</v>
      </c>
      <c r="F8452" s="2" t="s">
        <v>12</v>
      </c>
      <c r="G8452" s="2" t="s">
        <v>12</v>
      </c>
      <c r="H8452" s="2" t="s">
        <v>12</v>
      </c>
      <c r="I8452" s="2" t="s">
        <v>12</v>
      </c>
      <c r="J8452" s="2" t="s">
        <v>12</v>
      </c>
      <c r="K8452" s="2" t="s">
        <v>12</v>
      </c>
    </row>
    <row r="8453" spans="1:11" ht="12.5" x14ac:dyDescent="0.25">
      <c r="A8453" s="3" t="e">
        <f ca="1"/>
        <v>#NAME?</v>
      </c>
      <c r="B8453" s="2" t="s">
        <v>12</v>
      </c>
      <c r="C8453" s="2" t="s">
        <v>12</v>
      </c>
      <c r="D8453" s="2" t="s">
        <v>12</v>
      </c>
      <c r="E8453" s="2" t="s">
        <v>12</v>
      </c>
      <c r="F8453" s="2" t="s">
        <v>12</v>
      </c>
      <c r="G8453" s="2" t="s">
        <v>12</v>
      </c>
      <c r="H8453" s="2" t="s">
        <v>12</v>
      </c>
      <c r="I8453" s="2" t="s">
        <v>12</v>
      </c>
      <c r="J8453" s="2" t="s">
        <v>12</v>
      </c>
      <c r="K8453" s="2" t="s">
        <v>12</v>
      </c>
    </row>
    <row r="8454" spans="1:11" ht="12.5" x14ac:dyDescent="0.25">
      <c r="A8454" s="3" t="e">
        <f ca="1"/>
        <v>#NAME?</v>
      </c>
      <c r="B8454" s="2" t="s">
        <v>12</v>
      </c>
      <c r="C8454" s="2" t="s">
        <v>12</v>
      </c>
      <c r="D8454" s="2" t="s">
        <v>12</v>
      </c>
      <c r="E8454" s="2" t="s">
        <v>12</v>
      </c>
      <c r="F8454" s="2" t="s">
        <v>12</v>
      </c>
      <c r="G8454" s="2" t="s">
        <v>12</v>
      </c>
      <c r="H8454" s="2" t="s">
        <v>12</v>
      </c>
      <c r="I8454" s="2" t="s">
        <v>12</v>
      </c>
      <c r="J8454" s="2" t="s">
        <v>12</v>
      </c>
      <c r="K8454" s="2" t="s">
        <v>12</v>
      </c>
    </row>
    <row r="8455" spans="1:11" ht="12.5" x14ac:dyDescent="0.25">
      <c r="A8455" s="3" t="e">
        <f ca="1"/>
        <v>#NAME?</v>
      </c>
      <c r="B8455" s="2" t="s">
        <v>12</v>
      </c>
      <c r="C8455" s="2" t="s">
        <v>12</v>
      </c>
      <c r="D8455" s="2" t="s">
        <v>12</v>
      </c>
      <c r="E8455" s="2" t="s">
        <v>12</v>
      </c>
      <c r="F8455" s="2" t="s">
        <v>12</v>
      </c>
      <c r="G8455" s="2" t="s">
        <v>12</v>
      </c>
      <c r="H8455" s="2" t="s">
        <v>12</v>
      </c>
      <c r="I8455" s="2" t="s">
        <v>12</v>
      </c>
      <c r="J8455" s="2" t="s">
        <v>12</v>
      </c>
      <c r="K8455" s="2" t="s">
        <v>12</v>
      </c>
    </row>
    <row r="8456" spans="1:11" ht="12.5" x14ac:dyDescent="0.25">
      <c r="A8456" s="3" t="e">
        <f ca="1"/>
        <v>#NAME?</v>
      </c>
      <c r="B8456" s="2" t="s">
        <v>12</v>
      </c>
      <c r="C8456" s="2" t="s">
        <v>12</v>
      </c>
      <c r="D8456" s="2" t="s">
        <v>12</v>
      </c>
      <c r="E8456" s="2" t="s">
        <v>12</v>
      </c>
      <c r="F8456" s="2" t="s">
        <v>12</v>
      </c>
      <c r="G8456" s="2" t="s">
        <v>12</v>
      </c>
      <c r="H8456" s="2" t="s">
        <v>12</v>
      </c>
      <c r="I8456" s="2" t="s">
        <v>12</v>
      </c>
      <c r="J8456" s="2" t="s">
        <v>12</v>
      </c>
      <c r="K8456" s="2" t="s">
        <v>12</v>
      </c>
    </row>
    <row r="8457" spans="1:11" ht="12.5" x14ac:dyDescent="0.25">
      <c r="A8457" s="3" t="e">
        <f ca="1"/>
        <v>#NAME?</v>
      </c>
      <c r="B8457" s="2" t="s">
        <v>12</v>
      </c>
      <c r="C8457" s="2" t="s">
        <v>12</v>
      </c>
      <c r="D8457" s="2" t="s">
        <v>12</v>
      </c>
      <c r="E8457" s="2" t="s">
        <v>12</v>
      </c>
      <c r="F8457" s="2" t="s">
        <v>12</v>
      </c>
      <c r="G8457" s="2" t="s">
        <v>12</v>
      </c>
      <c r="H8457" s="2" t="s">
        <v>12</v>
      </c>
      <c r="I8457" s="2" t="s">
        <v>12</v>
      </c>
      <c r="J8457" s="2" t="s">
        <v>12</v>
      </c>
      <c r="K8457" s="2" t="s">
        <v>12</v>
      </c>
    </row>
    <row r="8458" spans="1:11" ht="12.5" x14ac:dyDescent="0.25">
      <c r="A8458" s="3" t="e">
        <f ca="1"/>
        <v>#NAME?</v>
      </c>
      <c r="B8458" s="2" t="s">
        <v>12</v>
      </c>
      <c r="C8458" s="2" t="s">
        <v>12</v>
      </c>
      <c r="D8458" s="2" t="s">
        <v>12</v>
      </c>
      <c r="E8458" s="2" t="s">
        <v>12</v>
      </c>
      <c r="F8458" s="2" t="s">
        <v>12</v>
      </c>
      <c r="G8458" s="2" t="s">
        <v>12</v>
      </c>
      <c r="H8458" s="2" t="s">
        <v>12</v>
      </c>
      <c r="I8458" s="2" t="s">
        <v>12</v>
      </c>
      <c r="J8458" s="2" t="s">
        <v>12</v>
      </c>
      <c r="K8458" s="2" t="s">
        <v>12</v>
      </c>
    </row>
    <row r="8459" spans="1:11" ht="12.5" x14ac:dyDescent="0.25">
      <c r="A8459" s="3" t="e">
        <f ca="1"/>
        <v>#NAME?</v>
      </c>
      <c r="B8459" s="2" t="s">
        <v>12</v>
      </c>
      <c r="C8459" s="2" t="s">
        <v>12</v>
      </c>
      <c r="D8459" s="2" t="s">
        <v>12</v>
      </c>
      <c r="E8459" s="2" t="s">
        <v>12</v>
      </c>
      <c r="F8459" s="2" t="s">
        <v>12</v>
      </c>
      <c r="G8459" s="2" t="s">
        <v>12</v>
      </c>
      <c r="H8459" s="2" t="s">
        <v>12</v>
      </c>
      <c r="I8459" s="2" t="s">
        <v>12</v>
      </c>
      <c r="J8459" s="2" t="s">
        <v>12</v>
      </c>
      <c r="K8459" s="2" t="s">
        <v>12</v>
      </c>
    </row>
    <row r="8460" spans="1:11" ht="12.5" x14ac:dyDescent="0.25">
      <c r="A8460" s="3" t="e">
        <f ca="1"/>
        <v>#NAME?</v>
      </c>
      <c r="B8460" s="2" t="s">
        <v>12</v>
      </c>
      <c r="C8460" s="2" t="s">
        <v>12</v>
      </c>
      <c r="D8460" s="2" t="s">
        <v>12</v>
      </c>
      <c r="E8460" s="2" t="s">
        <v>12</v>
      </c>
      <c r="F8460" s="2" t="s">
        <v>12</v>
      </c>
      <c r="G8460" s="2" t="s">
        <v>12</v>
      </c>
      <c r="H8460" s="2" t="s">
        <v>12</v>
      </c>
      <c r="I8460" s="2" t="s">
        <v>12</v>
      </c>
      <c r="J8460" s="2" t="s">
        <v>12</v>
      </c>
      <c r="K8460" s="2" t="s">
        <v>12</v>
      </c>
    </row>
    <row r="8461" spans="1:11" ht="12.5" x14ac:dyDescent="0.25">
      <c r="A8461" s="3" t="e">
        <f ca="1"/>
        <v>#NAME?</v>
      </c>
      <c r="B8461" s="2" t="s">
        <v>12</v>
      </c>
      <c r="C8461" s="2" t="s">
        <v>12</v>
      </c>
      <c r="D8461" s="2" t="s">
        <v>12</v>
      </c>
      <c r="E8461" s="2" t="s">
        <v>12</v>
      </c>
      <c r="F8461" s="2" t="s">
        <v>12</v>
      </c>
      <c r="G8461" s="2" t="s">
        <v>12</v>
      </c>
      <c r="H8461" s="2" t="s">
        <v>12</v>
      </c>
      <c r="I8461" s="2" t="s">
        <v>12</v>
      </c>
      <c r="J8461" s="2" t="s">
        <v>12</v>
      </c>
      <c r="K8461" s="2" t="s">
        <v>12</v>
      </c>
    </row>
    <row r="8462" spans="1:11" ht="12.5" x14ac:dyDescent="0.25">
      <c r="A8462" s="3" t="e">
        <f ca="1"/>
        <v>#NAME?</v>
      </c>
      <c r="B8462" s="2" t="s">
        <v>12</v>
      </c>
      <c r="C8462" s="2" t="s">
        <v>12</v>
      </c>
      <c r="D8462" s="2" t="s">
        <v>12</v>
      </c>
      <c r="E8462" s="2" t="s">
        <v>12</v>
      </c>
      <c r="F8462" s="2" t="s">
        <v>12</v>
      </c>
      <c r="G8462" s="2" t="s">
        <v>12</v>
      </c>
      <c r="H8462" s="2" t="s">
        <v>12</v>
      </c>
      <c r="I8462" s="2" t="s">
        <v>12</v>
      </c>
      <c r="J8462" s="2" t="s">
        <v>12</v>
      </c>
      <c r="K8462" s="2" t="s">
        <v>12</v>
      </c>
    </row>
    <row r="8463" spans="1:11" ht="12.5" x14ac:dyDescent="0.25">
      <c r="A8463" s="3" t="e">
        <f ca="1"/>
        <v>#NAME?</v>
      </c>
      <c r="B8463" s="2" t="s">
        <v>12</v>
      </c>
      <c r="C8463" s="2" t="s">
        <v>12</v>
      </c>
      <c r="D8463" s="2" t="s">
        <v>12</v>
      </c>
      <c r="E8463" s="2" t="s">
        <v>12</v>
      </c>
      <c r="F8463" s="2" t="s">
        <v>12</v>
      </c>
      <c r="G8463" s="2" t="s">
        <v>12</v>
      </c>
      <c r="H8463" s="2" t="s">
        <v>12</v>
      </c>
      <c r="I8463" s="2" t="s">
        <v>12</v>
      </c>
      <c r="J8463" s="2" t="s">
        <v>12</v>
      </c>
      <c r="K8463" s="2" t="s">
        <v>12</v>
      </c>
    </row>
    <row r="8464" spans="1:11" ht="12.5" x14ac:dyDescent="0.25">
      <c r="A8464" s="3" t="e">
        <f ca="1"/>
        <v>#NAME?</v>
      </c>
      <c r="B8464" s="2" t="s">
        <v>12</v>
      </c>
      <c r="C8464" s="2" t="s">
        <v>12</v>
      </c>
      <c r="D8464" s="2" t="s">
        <v>12</v>
      </c>
      <c r="E8464" s="2" t="s">
        <v>12</v>
      </c>
      <c r="F8464" s="2" t="s">
        <v>12</v>
      </c>
      <c r="G8464" s="2" t="s">
        <v>12</v>
      </c>
      <c r="H8464" s="2" t="s">
        <v>12</v>
      </c>
      <c r="I8464" s="2" t="s">
        <v>12</v>
      </c>
      <c r="J8464" s="2" t="s">
        <v>12</v>
      </c>
      <c r="K8464" s="2" t="s">
        <v>12</v>
      </c>
    </row>
    <row r="8465" spans="1:11" ht="12.5" x14ac:dyDescent="0.25">
      <c r="A8465" s="3" t="e">
        <f ca="1"/>
        <v>#NAME?</v>
      </c>
      <c r="B8465" s="2" t="s">
        <v>12</v>
      </c>
      <c r="C8465" s="2" t="s">
        <v>12</v>
      </c>
      <c r="D8465" s="2" t="s">
        <v>12</v>
      </c>
      <c r="E8465" s="2" t="s">
        <v>12</v>
      </c>
      <c r="F8465" s="2" t="s">
        <v>12</v>
      </c>
      <c r="G8465" s="2" t="s">
        <v>12</v>
      </c>
      <c r="H8465" s="2" t="s">
        <v>12</v>
      </c>
      <c r="I8465" s="2" t="s">
        <v>12</v>
      </c>
      <c r="J8465" s="2" t="s">
        <v>12</v>
      </c>
      <c r="K8465" s="2" t="s">
        <v>12</v>
      </c>
    </row>
    <row r="8466" spans="1:11" ht="12.5" x14ac:dyDescent="0.25">
      <c r="A8466" s="3" t="e">
        <f ca="1"/>
        <v>#NAME?</v>
      </c>
      <c r="B8466" s="2" t="s">
        <v>12</v>
      </c>
      <c r="C8466" s="2" t="s">
        <v>12</v>
      </c>
      <c r="D8466" s="2" t="s">
        <v>12</v>
      </c>
      <c r="E8466" s="2" t="s">
        <v>12</v>
      </c>
      <c r="F8466" s="2" t="s">
        <v>12</v>
      </c>
      <c r="G8466" s="2" t="s">
        <v>12</v>
      </c>
      <c r="H8466" s="2" t="s">
        <v>12</v>
      </c>
      <c r="I8466" s="2" t="s">
        <v>12</v>
      </c>
      <c r="J8466" s="2" t="s">
        <v>12</v>
      </c>
      <c r="K8466" s="2" t="s">
        <v>12</v>
      </c>
    </row>
    <row r="8467" spans="1:11" ht="12.5" x14ac:dyDescent="0.25">
      <c r="A8467" s="3" t="e">
        <f ca="1"/>
        <v>#NAME?</v>
      </c>
      <c r="B8467" s="2" t="s">
        <v>12</v>
      </c>
      <c r="C8467" s="2" t="s">
        <v>12</v>
      </c>
      <c r="D8467" s="2" t="s">
        <v>12</v>
      </c>
      <c r="E8467" s="2" t="s">
        <v>12</v>
      </c>
      <c r="F8467" s="2" t="s">
        <v>12</v>
      </c>
      <c r="G8467" s="2" t="s">
        <v>12</v>
      </c>
      <c r="H8467" s="2" t="s">
        <v>12</v>
      </c>
      <c r="I8467" s="2" t="s">
        <v>12</v>
      </c>
      <c r="J8467" s="2" t="s">
        <v>12</v>
      </c>
      <c r="K8467" s="2" t="s">
        <v>12</v>
      </c>
    </row>
    <row r="8468" spans="1:11" ht="12.5" x14ac:dyDescent="0.25">
      <c r="A8468" s="3" t="e">
        <f ca="1"/>
        <v>#NAME?</v>
      </c>
      <c r="B8468" s="2" t="s">
        <v>12</v>
      </c>
      <c r="C8468" s="2" t="s">
        <v>12</v>
      </c>
      <c r="D8468" s="2" t="s">
        <v>12</v>
      </c>
      <c r="E8468" s="2" t="s">
        <v>12</v>
      </c>
      <c r="F8468" s="2" t="s">
        <v>12</v>
      </c>
      <c r="G8468" s="2" t="s">
        <v>12</v>
      </c>
      <c r="H8468" s="2" t="s">
        <v>12</v>
      </c>
      <c r="I8468" s="2" t="s">
        <v>12</v>
      </c>
      <c r="J8468" s="2" t="s">
        <v>12</v>
      </c>
      <c r="K8468" s="2" t="s">
        <v>12</v>
      </c>
    </row>
    <row r="8469" spans="1:11" ht="12.5" x14ac:dyDescent="0.25">
      <c r="A8469" s="3" t="e">
        <f ca="1"/>
        <v>#NAME?</v>
      </c>
      <c r="B8469" s="2" t="s">
        <v>12</v>
      </c>
      <c r="C8469" s="2" t="s">
        <v>12</v>
      </c>
      <c r="D8469" s="2" t="s">
        <v>12</v>
      </c>
      <c r="E8469" s="2" t="s">
        <v>12</v>
      </c>
      <c r="F8469" s="2" t="s">
        <v>12</v>
      </c>
      <c r="G8469" s="2" t="s">
        <v>12</v>
      </c>
      <c r="H8469" s="2" t="s">
        <v>12</v>
      </c>
      <c r="I8469" s="2" t="s">
        <v>12</v>
      </c>
      <c r="J8469" s="2" t="s">
        <v>12</v>
      </c>
      <c r="K8469" s="2" t="s">
        <v>12</v>
      </c>
    </row>
    <row r="8470" spans="1:11" ht="12.5" x14ac:dyDescent="0.25">
      <c r="A8470" s="3" t="e">
        <f ca="1"/>
        <v>#NAME?</v>
      </c>
      <c r="B8470" s="2" t="s">
        <v>12</v>
      </c>
      <c r="C8470" s="2" t="s">
        <v>12</v>
      </c>
      <c r="D8470" s="2" t="s">
        <v>12</v>
      </c>
      <c r="E8470" s="2" t="s">
        <v>12</v>
      </c>
      <c r="F8470" s="2" t="s">
        <v>12</v>
      </c>
      <c r="G8470" s="2" t="s">
        <v>12</v>
      </c>
      <c r="H8470" s="2" t="s">
        <v>12</v>
      </c>
      <c r="I8470" s="2" t="s">
        <v>12</v>
      </c>
      <c r="J8470" s="2" t="s">
        <v>12</v>
      </c>
      <c r="K8470" s="2" t="s">
        <v>12</v>
      </c>
    </row>
    <row r="8471" spans="1:11" ht="12.5" x14ac:dyDescent="0.25">
      <c r="A8471" s="3" t="e">
        <f ca="1"/>
        <v>#NAME?</v>
      </c>
      <c r="B8471" s="2" t="s">
        <v>12</v>
      </c>
      <c r="C8471" s="2" t="s">
        <v>12</v>
      </c>
      <c r="D8471" s="2" t="s">
        <v>12</v>
      </c>
      <c r="E8471" s="2" t="s">
        <v>12</v>
      </c>
      <c r="F8471" s="2" t="s">
        <v>12</v>
      </c>
      <c r="G8471" s="2" t="s">
        <v>12</v>
      </c>
      <c r="H8471" s="2" t="s">
        <v>12</v>
      </c>
      <c r="I8471" s="2" t="s">
        <v>12</v>
      </c>
      <c r="J8471" s="2" t="s">
        <v>12</v>
      </c>
      <c r="K8471" s="2" t="s">
        <v>12</v>
      </c>
    </row>
    <row r="8472" spans="1:11" ht="12.5" x14ac:dyDescent="0.25">
      <c r="A8472" s="3" t="e">
        <f ca="1"/>
        <v>#NAME?</v>
      </c>
      <c r="B8472" s="2" t="s">
        <v>12</v>
      </c>
      <c r="C8472" s="2" t="s">
        <v>12</v>
      </c>
      <c r="D8472" s="2" t="s">
        <v>12</v>
      </c>
      <c r="E8472" s="2" t="s">
        <v>12</v>
      </c>
      <c r="F8472" s="2" t="s">
        <v>12</v>
      </c>
      <c r="G8472" s="2" t="s">
        <v>12</v>
      </c>
      <c r="H8472" s="2" t="s">
        <v>12</v>
      </c>
      <c r="I8472" s="2" t="s">
        <v>12</v>
      </c>
      <c r="J8472" s="2" t="s">
        <v>12</v>
      </c>
      <c r="K8472" s="2" t="s">
        <v>12</v>
      </c>
    </row>
    <row r="8473" spans="1:11" ht="12.5" x14ac:dyDescent="0.25">
      <c r="A8473" s="3" t="e">
        <f ca="1"/>
        <v>#NAME?</v>
      </c>
      <c r="B8473" s="2" t="s">
        <v>12</v>
      </c>
      <c r="C8473" s="2" t="s">
        <v>12</v>
      </c>
      <c r="D8473" s="2" t="s">
        <v>12</v>
      </c>
      <c r="E8473" s="2" t="s">
        <v>12</v>
      </c>
      <c r="F8473" s="2" t="s">
        <v>12</v>
      </c>
      <c r="G8473" s="2" t="s">
        <v>12</v>
      </c>
      <c r="H8473" s="2" t="s">
        <v>12</v>
      </c>
      <c r="I8473" s="2" t="s">
        <v>12</v>
      </c>
      <c r="J8473" s="2" t="s">
        <v>12</v>
      </c>
      <c r="K8473" s="2" t="s">
        <v>12</v>
      </c>
    </row>
    <row r="8474" spans="1:11" ht="12.5" x14ac:dyDescent="0.25">
      <c r="A8474" s="3" t="e">
        <f ca="1"/>
        <v>#NAME?</v>
      </c>
      <c r="B8474" s="2" t="s">
        <v>12</v>
      </c>
      <c r="C8474" s="2" t="s">
        <v>12</v>
      </c>
      <c r="D8474" s="2" t="s">
        <v>12</v>
      </c>
      <c r="E8474" s="2" t="s">
        <v>12</v>
      </c>
      <c r="F8474" s="2" t="s">
        <v>12</v>
      </c>
      <c r="G8474" s="2" t="s">
        <v>12</v>
      </c>
      <c r="H8474" s="2" t="s">
        <v>12</v>
      </c>
      <c r="I8474" s="2" t="s">
        <v>12</v>
      </c>
      <c r="J8474" s="2" t="s">
        <v>12</v>
      </c>
      <c r="K8474" s="2" t="s">
        <v>12</v>
      </c>
    </row>
    <row r="8475" spans="1:11" ht="12.5" x14ac:dyDescent="0.25">
      <c r="A8475" s="3" t="e">
        <f ca="1"/>
        <v>#NAME?</v>
      </c>
      <c r="B8475" s="2" t="s">
        <v>12</v>
      </c>
      <c r="C8475" s="2" t="s">
        <v>12</v>
      </c>
      <c r="D8475" s="2" t="s">
        <v>12</v>
      </c>
      <c r="E8475" s="2" t="s">
        <v>12</v>
      </c>
      <c r="F8475" s="2" t="s">
        <v>12</v>
      </c>
      <c r="G8475" s="2" t="s">
        <v>12</v>
      </c>
      <c r="H8475" s="2" t="s">
        <v>12</v>
      </c>
      <c r="I8475" s="2" t="s">
        <v>12</v>
      </c>
      <c r="J8475" s="2" t="s">
        <v>12</v>
      </c>
      <c r="K8475" s="2" t="s">
        <v>12</v>
      </c>
    </row>
    <row r="8476" spans="1:11" ht="12.5" x14ac:dyDescent="0.25">
      <c r="A8476" s="3" t="e">
        <f ca="1"/>
        <v>#NAME?</v>
      </c>
      <c r="B8476" s="2" t="s">
        <v>12</v>
      </c>
      <c r="C8476" s="2" t="s">
        <v>12</v>
      </c>
      <c r="D8476" s="2" t="s">
        <v>12</v>
      </c>
      <c r="E8476" s="2" t="s">
        <v>12</v>
      </c>
      <c r="F8476" s="2" t="s">
        <v>12</v>
      </c>
      <c r="G8476" s="2" t="s">
        <v>12</v>
      </c>
      <c r="H8476" s="2" t="s">
        <v>12</v>
      </c>
      <c r="I8476" s="2" t="s">
        <v>12</v>
      </c>
      <c r="J8476" s="2" t="s">
        <v>12</v>
      </c>
      <c r="K8476" s="2" t="s">
        <v>12</v>
      </c>
    </row>
    <row r="8477" spans="1:11" ht="12.5" x14ac:dyDescent="0.25">
      <c r="A8477" s="3" t="e">
        <f ca="1"/>
        <v>#NAME?</v>
      </c>
      <c r="B8477" s="2" t="s">
        <v>12</v>
      </c>
      <c r="C8477" s="2" t="s">
        <v>12</v>
      </c>
      <c r="D8477" s="2" t="s">
        <v>12</v>
      </c>
      <c r="E8477" s="2" t="s">
        <v>12</v>
      </c>
      <c r="F8477" s="2" t="s">
        <v>12</v>
      </c>
      <c r="G8477" s="2" t="s">
        <v>12</v>
      </c>
      <c r="H8477" s="2" t="s">
        <v>12</v>
      </c>
      <c r="I8477" s="2" t="s">
        <v>12</v>
      </c>
      <c r="J8477" s="2" t="s">
        <v>12</v>
      </c>
      <c r="K8477" s="2" t="s">
        <v>12</v>
      </c>
    </row>
    <row r="8478" spans="1:11" ht="12.5" x14ac:dyDescent="0.25">
      <c r="A8478" s="3" t="e">
        <f ca="1"/>
        <v>#NAME?</v>
      </c>
      <c r="B8478" s="2" t="s">
        <v>12</v>
      </c>
      <c r="C8478" s="2" t="s">
        <v>12</v>
      </c>
      <c r="D8478" s="2" t="s">
        <v>12</v>
      </c>
      <c r="E8478" s="2" t="s">
        <v>12</v>
      </c>
      <c r="F8478" s="2" t="s">
        <v>12</v>
      </c>
      <c r="G8478" s="2" t="s">
        <v>12</v>
      </c>
      <c r="H8478" s="2" t="s">
        <v>12</v>
      </c>
      <c r="I8478" s="2" t="s">
        <v>12</v>
      </c>
      <c r="J8478" s="2" t="s">
        <v>12</v>
      </c>
      <c r="K8478" s="2" t="s">
        <v>12</v>
      </c>
    </row>
    <row r="8479" spans="1:11" ht="12.5" x14ac:dyDescent="0.25">
      <c r="A8479" s="3" t="e">
        <f ca="1"/>
        <v>#NAME?</v>
      </c>
      <c r="B8479" s="2" t="s">
        <v>12</v>
      </c>
      <c r="C8479" s="2" t="s">
        <v>12</v>
      </c>
      <c r="D8479" s="2" t="s">
        <v>12</v>
      </c>
      <c r="E8479" s="2" t="s">
        <v>12</v>
      </c>
      <c r="F8479" s="2" t="s">
        <v>12</v>
      </c>
      <c r="G8479" s="2" t="s">
        <v>12</v>
      </c>
      <c r="H8479" s="2" t="s">
        <v>12</v>
      </c>
      <c r="I8479" s="2" t="s">
        <v>12</v>
      </c>
      <c r="J8479" s="2" t="s">
        <v>12</v>
      </c>
      <c r="K8479" s="2" t="s">
        <v>12</v>
      </c>
    </row>
    <row r="8480" spans="1:11" ht="12.5" x14ac:dyDescent="0.25">
      <c r="A8480" s="3" t="e">
        <f ca="1"/>
        <v>#NAME?</v>
      </c>
      <c r="B8480" s="2" t="s">
        <v>12</v>
      </c>
      <c r="C8480" s="2" t="s">
        <v>12</v>
      </c>
      <c r="D8480" s="2" t="s">
        <v>12</v>
      </c>
      <c r="E8480" s="2" t="s">
        <v>12</v>
      </c>
      <c r="F8480" s="2" t="s">
        <v>12</v>
      </c>
      <c r="G8480" s="2" t="s">
        <v>12</v>
      </c>
      <c r="H8480" s="2" t="s">
        <v>12</v>
      </c>
      <c r="I8480" s="2" t="s">
        <v>12</v>
      </c>
      <c r="J8480" s="2" t="s">
        <v>12</v>
      </c>
      <c r="K8480" s="2" t="s">
        <v>12</v>
      </c>
    </row>
    <row r="8481" spans="1:11" ht="12.5" x14ac:dyDescent="0.25">
      <c r="A8481" s="3" t="e">
        <f ca="1"/>
        <v>#NAME?</v>
      </c>
      <c r="B8481" s="2" t="s">
        <v>12</v>
      </c>
      <c r="C8481" s="2" t="s">
        <v>12</v>
      </c>
      <c r="D8481" s="2" t="s">
        <v>12</v>
      </c>
      <c r="E8481" s="2" t="s">
        <v>12</v>
      </c>
      <c r="F8481" s="2" t="s">
        <v>12</v>
      </c>
      <c r="G8481" s="2" t="s">
        <v>12</v>
      </c>
      <c r="H8481" s="2" t="s">
        <v>12</v>
      </c>
      <c r="I8481" s="2" t="s">
        <v>12</v>
      </c>
      <c r="J8481" s="2" t="s">
        <v>12</v>
      </c>
      <c r="K8481" s="2" t="s">
        <v>12</v>
      </c>
    </row>
    <row r="8482" spans="1:11" ht="12.5" x14ac:dyDescent="0.25">
      <c r="A8482" s="3" t="e">
        <f ca="1"/>
        <v>#NAME?</v>
      </c>
      <c r="B8482" s="2" t="s">
        <v>12</v>
      </c>
      <c r="C8482" s="2" t="s">
        <v>12</v>
      </c>
      <c r="D8482" s="2" t="s">
        <v>12</v>
      </c>
      <c r="E8482" s="2" t="s">
        <v>12</v>
      </c>
      <c r="F8482" s="2" t="s">
        <v>12</v>
      </c>
      <c r="G8482" s="2" t="s">
        <v>12</v>
      </c>
      <c r="H8482" s="2" t="s">
        <v>12</v>
      </c>
      <c r="I8482" s="2" t="s">
        <v>12</v>
      </c>
      <c r="J8482" s="2" t="s">
        <v>12</v>
      </c>
      <c r="K8482" s="2" t="s">
        <v>12</v>
      </c>
    </row>
    <row r="8483" spans="1:11" ht="12.5" x14ac:dyDescent="0.25">
      <c r="A8483" s="3" t="e">
        <f ca="1"/>
        <v>#NAME?</v>
      </c>
      <c r="B8483" s="2" t="s">
        <v>12</v>
      </c>
      <c r="C8483" s="2" t="s">
        <v>12</v>
      </c>
      <c r="D8483" s="2" t="s">
        <v>12</v>
      </c>
      <c r="E8483" s="2" t="s">
        <v>12</v>
      </c>
      <c r="F8483" s="2" t="s">
        <v>12</v>
      </c>
      <c r="G8483" s="2" t="s">
        <v>12</v>
      </c>
      <c r="H8483" s="2" t="s">
        <v>12</v>
      </c>
      <c r="I8483" s="2" t="s">
        <v>12</v>
      </c>
      <c r="J8483" s="2" t="s">
        <v>12</v>
      </c>
      <c r="K8483" s="2" t="s">
        <v>12</v>
      </c>
    </row>
    <row r="8484" spans="1:11" ht="12.5" x14ac:dyDescent="0.25">
      <c r="A8484" s="3" t="e">
        <f ca="1"/>
        <v>#NAME?</v>
      </c>
      <c r="B8484" s="2" t="s">
        <v>12</v>
      </c>
      <c r="C8484" s="2" t="s">
        <v>12</v>
      </c>
      <c r="D8484" s="2" t="s">
        <v>12</v>
      </c>
      <c r="E8484" s="2" t="s">
        <v>12</v>
      </c>
      <c r="F8484" s="2" t="s">
        <v>12</v>
      </c>
      <c r="G8484" s="2" t="s">
        <v>12</v>
      </c>
      <c r="H8484" s="2" t="s">
        <v>12</v>
      </c>
      <c r="I8484" s="2" t="s">
        <v>12</v>
      </c>
      <c r="J8484" s="2" t="s">
        <v>12</v>
      </c>
      <c r="K8484" s="2" t="s">
        <v>12</v>
      </c>
    </row>
    <row r="8485" spans="1:11" ht="12.5" x14ac:dyDescent="0.25">
      <c r="A8485" s="3" t="e">
        <f ca="1"/>
        <v>#NAME?</v>
      </c>
      <c r="B8485" s="2" t="s">
        <v>12</v>
      </c>
      <c r="C8485" s="2" t="s">
        <v>12</v>
      </c>
      <c r="D8485" s="2" t="s">
        <v>12</v>
      </c>
      <c r="E8485" s="2" t="s">
        <v>12</v>
      </c>
      <c r="F8485" s="2" t="s">
        <v>12</v>
      </c>
      <c r="G8485" s="2" t="s">
        <v>12</v>
      </c>
      <c r="H8485" s="2" t="s">
        <v>12</v>
      </c>
      <c r="I8485" s="2" t="s">
        <v>12</v>
      </c>
      <c r="J8485" s="2" t="s">
        <v>12</v>
      </c>
      <c r="K8485" s="2" t="s">
        <v>12</v>
      </c>
    </row>
    <row r="8486" spans="1:11" ht="12.5" x14ac:dyDescent="0.25">
      <c r="A8486" s="3" t="e">
        <f ca="1"/>
        <v>#NAME?</v>
      </c>
      <c r="B8486" s="2" t="s">
        <v>12</v>
      </c>
      <c r="C8486" s="2" t="s">
        <v>12</v>
      </c>
      <c r="D8486" s="2" t="s">
        <v>12</v>
      </c>
      <c r="E8486" s="2" t="s">
        <v>12</v>
      </c>
      <c r="F8486" s="2" t="s">
        <v>12</v>
      </c>
      <c r="G8486" s="2" t="s">
        <v>12</v>
      </c>
      <c r="H8486" s="2" t="s">
        <v>12</v>
      </c>
      <c r="I8486" s="2" t="s">
        <v>12</v>
      </c>
      <c r="J8486" s="2" t="s">
        <v>12</v>
      </c>
      <c r="K8486" s="2" t="s">
        <v>12</v>
      </c>
    </row>
    <row r="8487" spans="1:11" ht="12.5" x14ac:dyDescent="0.25">
      <c r="A8487" s="3" t="e">
        <f ca="1"/>
        <v>#NAME?</v>
      </c>
      <c r="B8487" s="2" t="s">
        <v>12</v>
      </c>
      <c r="C8487" s="2" t="s">
        <v>12</v>
      </c>
      <c r="D8487" s="2" t="s">
        <v>12</v>
      </c>
      <c r="E8487" s="2" t="s">
        <v>12</v>
      </c>
      <c r="F8487" s="2" t="s">
        <v>12</v>
      </c>
      <c r="G8487" s="2" t="s">
        <v>12</v>
      </c>
      <c r="H8487" s="2" t="s">
        <v>12</v>
      </c>
      <c r="I8487" s="2" t="s">
        <v>12</v>
      </c>
      <c r="J8487" s="2" t="s">
        <v>12</v>
      </c>
      <c r="K8487" s="2" t="s">
        <v>12</v>
      </c>
    </row>
    <row r="8488" spans="1:11" ht="12.5" x14ac:dyDescent="0.25">
      <c r="A8488" s="3" t="e">
        <f ca="1"/>
        <v>#NAME?</v>
      </c>
      <c r="B8488" s="2" t="s">
        <v>12</v>
      </c>
      <c r="C8488" s="2" t="s">
        <v>12</v>
      </c>
      <c r="D8488" s="2" t="s">
        <v>12</v>
      </c>
      <c r="E8488" s="2" t="s">
        <v>12</v>
      </c>
      <c r="F8488" s="2" t="s">
        <v>12</v>
      </c>
      <c r="G8488" s="2" t="s">
        <v>12</v>
      </c>
      <c r="H8488" s="2" t="s">
        <v>12</v>
      </c>
      <c r="I8488" s="2" t="s">
        <v>12</v>
      </c>
      <c r="J8488" s="2" t="s">
        <v>12</v>
      </c>
      <c r="K8488" s="2" t="s">
        <v>12</v>
      </c>
    </row>
    <row r="8489" spans="1:11" ht="12.5" x14ac:dyDescent="0.25">
      <c r="A8489" s="3" t="e">
        <f ca="1"/>
        <v>#NAME?</v>
      </c>
      <c r="B8489" s="2" t="s">
        <v>12</v>
      </c>
      <c r="C8489" s="2" t="s">
        <v>12</v>
      </c>
      <c r="D8489" s="2" t="s">
        <v>12</v>
      </c>
      <c r="E8489" s="2" t="s">
        <v>12</v>
      </c>
      <c r="F8489" s="2" t="s">
        <v>12</v>
      </c>
      <c r="G8489" s="2" t="s">
        <v>12</v>
      </c>
      <c r="H8489" s="2" t="s">
        <v>12</v>
      </c>
      <c r="I8489" s="2" t="s">
        <v>12</v>
      </c>
      <c r="J8489" s="2" t="s">
        <v>12</v>
      </c>
      <c r="K8489" s="2" t="s">
        <v>12</v>
      </c>
    </row>
    <row r="8490" spans="1:11" ht="12.5" x14ac:dyDescent="0.25">
      <c r="A8490" s="3" t="e">
        <f ca="1"/>
        <v>#NAME?</v>
      </c>
      <c r="B8490" s="2" t="s">
        <v>12</v>
      </c>
      <c r="C8490" s="2" t="s">
        <v>12</v>
      </c>
      <c r="D8490" s="2" t="s">
        <v>12</v>
      </c>
      <c r="E8490" s="2" t="s">
        <v>12</v>
      </c>
      <c r="F8490" s="2" t="s">
        <v>12</v>
      </c>
      <c r="G8490" s="2" t="s">
        <v>12</v>
      </c>
      <c r="H8490" s="2" t="s">
        <v>12</v>
      </c>
      <c r="I8490" s="2" t="s">
        <v>12</v>
      </c>
      <c r="J8490" s="2" t="s">
        <v>12</v>
      </c>
      <c r="K8490" s="2" t="s">
        <v>12</v>
      </c>
    </row>
    <row r="8491" spans="1:11" ht="12.5" x14ac:dyDescent="0.25">
      <c r="A8491" s="3" t="e">
        <f ca="1"/>
        <v>#NAME?</v>
      </c>
      <c r="B8491" s="2" t="s">
        <v>12</v>
      </c>
      <c r="C8491" s="2" t="s">
        <v>12</v>
      </c>
      <c r="D8491" s="2" t="s">
        <v>12</v>
      </c>
      <c r="E8491" s="2" t="s">
        <v>12</v>
      </c>
      <c r="F8491" s="2" t="s">
        <v>12</v>
      </c>
      <c r="G8491" s="2" t="s">
        <v>12</v>
      </c>
      <c r="H8491" s="2" t="s">
        <v>12</v>
      </c>
      <c r="I8491" s="2" t="s">
        <v>12</v>
      </c>
      <c r="J8491" s="2" t="s">
        <v>12</v>
      </c>
      <c r="K8491" s="2" t="s">
        <v>12</v>
      </c>
    </row>
    <row r="8492" spans="1:11" ht="12.5" x14ac:dyDescent="0.25">
      <c r="A8492" s="3" t="e">
        <f ca="1"/>
        <v>#NAME?</v>
      </c>
      <c r="B8492" s="2" t="s">
        <v>12</v>
      </c>
      <c r="C8492" s="2" t="s">
        <v>12</v>
      </c>
      <c r="D8492" s="2" t="s">
        <v>12</v>
      </c>
      <c r="E8492" s="2" t="s">
        <v>12</v>
      </c>
      <c r="F8492" s="2" t="s">
        <v>12</v>
      </c>
      <c r="G8492" s="2" t="s">
        <v>12</v>
      </c>
      <c r="H8492" s="2" t="s">
        <v>12</v>
      </c>
      <c r="I8492" s="2" t="s">
        <v>12</v>
      </c>
      <c r="J8492" s="2" t="s">
        <v>12</v>
      </c>
      <c r="K8492" s="2" t="s">
        <v>12</v>
      </c>
    </row>
    <row r="8493" spans="1:11" ht="12.5" x14ac:dyDescent="0.25">
      <c r="A8493" s="3" t="e">
        <f ca="1"/>
        <v>#NAME?</v>
      </c>
      <c r="B8493" s="2" t="s">
        <v>12</v>
      </c>
      <c r="C8493" s="2" t="s">
        <v>12</v>
      </c>
      <c r="D8493" s="2" t="s">
        <v>12</v>
      </c>
      <c r="E8493" s="2" t="s">
        <v>12</v>
      </c>
      <c r="F8493" s="2" t="s">
        <v>12</v>
      </c>
      <c r="G8493" s="2" t="s">
        <v>12</v>
      </c>
      <c r="H8493" s="2" t="s">
        <v>12</v>
      </c>
      <c r="I8493" s="2" t="s">
        <v>12</v>
      </c>
      <c r="J8493" s="2" t="s">
        <v>12</v>
      </c>
      <c r="K8493" s="2" t="s">
        <v>12</v>
      </c>
    </row>
    <row r="8494" spans="1:11" ht="12.5" x14ac:dyDescent="0.25">
      <c r="A8494" s="3" t="e">
        <f ca="1"/>
        <v>#NAME?</v>
      </c>
      <c r="B8494" s="2" t="s">
        <v>12</v>
      </c>
      <c r="C8494" s="2" t="s">
        <v>12</v>
      </c>
      <c r="D8494" s="2" t="s">
        <v>12</v>
      </c>
      <c r="E8494" s="2" t="s">
        <v>12</v>
      </c>
      <c r="F8494" s="2" t="s">
        <v>12</v>
      </c>
      <c r="G8494" s="2" t="s">
        <v>12</v>
      </c>
      <c r="H8494" s="2" t="s">
        <v>12</v>
      </c>
      <c r="I8494" s="2" t="s">
        <v>12</v>
      </c>
      <c r="J8494" s="2" t="s">
        <v>12</v>
      </c>
      <c r="K8494" s="2" t="s">
        <v>12</v>
      </c>
    </row>
    <row r="8495" spans="1:11" ht="12.5" x14ac:dyDescent="0.25">
      <c r="A8495" s="3" t="e">
        <f ca="1"/>
        <v>#NAME?</v>
      </c>
      <c r="B8495" s="2" t="s">
        <v>12</v>
      </c>
      <c r="C8495" s="2" t="s">
        <v>12</v>
      </c>
      <c r="D8495" s="2" t="s">
        <v>12</v>
      </c>
      <c r="E8495" s="2" t="s">
        <v>12</v>
      </c>
      <c r="F8495" s="2" t="s">
        <v>12</v>
      </c>
      <c r="G8495" s="2" t="s">
        <v>12</v>
      </c>
      <c r="H8495" s="2" t="s">
        <v>12</v>
      </c>
      <c r="I8495" s="2" t="s">
        <v>12</v>
      </c>
      <c r="J8495" s="2" t="s">
        <v>12</v>
      </c>
      <c r="K8495" s="2" t="s">
        <v>12</v>
      </c>
    </row>
    <row r="8496" spans="1:11" ht="12.5" x14ac:dyDescent="0.25">
      <c r="A8496" s="3" t="e">
        <f ca="1"/>
        <v>#NAME?</v>
      </c>
      <c r="B8496" s="2" t="s">
        <v>12</v>
      </c>
      <c r="C8496" s="2" t="s">
        <v>12</v>
      </c>
      <c r="D8496" s="2" t="s">
        <v>12</v>
      </c>
      <c r="E8496" s="2" t="s">
        <v>12</v>
      </c>
      <c r="F8496" s="2" t="s">
        <v>12</v>
      </c>
      <c r="G8496" s="2" t="s">
        <v>12</v>
      </c>
      <c r="H8496" s="2" t="s">
        <v>12</v>
      </c>
      <c r="I8496" s="2" t="s">
        <v>12</v>
      </c>
      <c r="J8496" s="2" t="s">
        <v>12</v>
      </c>
      <c r="K8496" s="2" t="s">
        <v>12</v>
      </c>
    </row>
    <row r="8497" spans="1:11" ht="12.5" x14ac:dyDescent="0.25">
      <c r="A8497" s="3" t="e">
        <f ca="1"/>
        <v>#NAME?</v>
      </c>
      <c r="B8497" s="2" t="s">
        <v>12</v>
      </c>
      <c r="C8497" s="2" t="s">
        <v>12</v>
      </c>
      <c r="D8497" s="2" t="s">
        <v>12</v>
      </c>
      <c r="E8497" s="2" t="s">
        <v>12</v>
      </c>
      <c r="F8497" s="2" t="s">
        <v>12</v>
      </c>
      <c r="G8497" s="2" t="s">
        <v>12</v>
      </c>
      <c r="H8497" s="2" t="s">
        <v>12</v>
      </c>
      <c r="I8497" s="2" t="s">
        <v>12</v>
      </c>
      <c r="J8497" s="2" t="s">
        <v>12</v>
      </c>
      <c r="K8497" s="2" t="s">
        <v>12</v>
      </c>
    </row>
    <row r="8498" spans="1:11" ht="12.5" x14ac:dyDescent="0.25">
      <c r="A8498" s="3" t="e">
        <f ca="1"/>
        <v>#NAME?</v>
      </c>
      <c r="B8498" s="2" t="s">
        <v>12</v>
      </c>
      <c r="C8498" s="2" t="s">
        <v>12</v>
      </c>
      <c r="D8498" s="2" t="s">
        <v>12</v>
      </c>
      <c r="E8498" s="2" t="s">
        <v>12</v>
      </c>
      <c r="F8498" s="2" t="s">
        <v>12</v>
      </c>
      <c r="G8498" s="2" t="s">
        <v>12</v>
      </c>
      <c r="H8498" s="2" t="s">
        <v>12</v>
      </c>
      <c r="I8498" s="2" t="s">
        <v>12</v>
      </c>
      <c r="J8498" s="2" t="s">
        <v>12</v>
      </c>
      <c r="K8498" s="2" t="s">
        <v>12</v>
      </c>
    </row>
    <row r="8499" spans="1:11" ht="12.5" x14ac:dyDescent="0.25">
      <c r="A8499" s="3" t="e">
        <f ca="1"/>
        <v>#NAME?</v>
      </c>
      <c r="B8499" s="2" t="s">
        <v>12</v>
      </c>
      <c r="C8499" s="2" t="s">
        <v>12</v>
      </c>
      <c r="D8499" s="2" t="s">
        <v>12</v>
      </c>
      <c r="E8499" s="2" t="s">
        <v>12</v>
      </c>
      <c r="F8499" s="2" t="s">
        <v>12</v>
      </c>
      <c r="G8499" s="2" t="s">
        <v>12</v>
      </c>
      <c r="H8499" s="2" t="s">
        <v>12</v>
      </c>
      <c r="I8499" s="2" t="s">
        <v>12</v>
      </c>
      <c r="J8499" s="2" t="s">
        <v>12</v>
      </c>
      <c r="K8499" s="2" t="s">
        <v>12</v>
      </c>
    </row>
    <row r="8500" spans="1:11" ht="12.5" x14ac:dyDescent="0.25">
      <c r="A8500" s="3" t="e">
        <f ca="1"/>
        <v>#NAME?</v>
      </c>
      <c r="B8500" s="2" t="s">
        <v>12</v>
      </c>
      <c r="C8500" s="2" t="s">
        <v>12</v>
      </c>
      <c r="D8500" s="2" t="s">
        <v>12</v>
      </c>
      <c r="E8500" s="2" t="s">
        <v>12</v>
      </c>
      <c r="F8500" s="2" t="s">
        <v>12</v>
      </c>
      <c r="G8500" s="2" t="s">
        <v>12</v>
      </c>
      <c r="H8500" s="2" t="s">
        <v>12</v>
      </c>
      <c r="I8500" s="2" t="s">
        <v>12</v>
      </c>
      <c r="J8500" s="2" t="s">
        <v>12</v>
      </c>
      <c r="K8500" s="2" t="s">
        <v>12</v>
      </c>
    </row>
    <row r="8501" spans="1:11" ht="12.5" x14ac:dyDescent="0.25">
      <c r="A8501" s="3" t="e">
        <f ca="1"/>
        <v>#NAME?</v>
      </c>
      <c r="B8501" s="2" t="s">
        <v>12</v>
      </c>
      <c r="C8501" s="2" t="s">
        <v>12</v>
      </c>
      <c r="D8501" s="2" t="s">
        <v>12</v>
      </c>
      <c r="E8501" s="2" t="s">
        <v>12</v>
      </c>
      <c r="F8501" s="2" t="s">
        <v>12</v>
      </c>
      <c r="G8501" s="2" t="s">
        <v>12</v>
      </c>
      <c r="H8501" s="2" t="s">
        <v>12</v>
      </c>
      <c r="I8501" s="2" t="s">
        <v>12</v>
      </c>
      <c r="J8501" s="2" t="s">
        <v>12</v>
      </c>
      <c r="K8501" s="2" t="s">
        <v>12</v>
      </c>
    </row>
    <row r="8502" spans="1:11" ht="12.5" x14ac:dyDescent="0.25">
      <c r="A8502" s="3" t="e">
        <f ca="1"/>
        <v>#NAME?</v>
      </c>
      <c r="B8502" s="2" t="s">
        <v>12</v>
      </c>
      <c r="C8502" s="2" t="s">
        <v>12</v>
      </c>
      <c r="D8502" s="2" t="s">
        <v>12</v>
      </c>
      <c r="E8502" s="2" t="s">
        <v>12</v>
      </c>
      <c r="F8502" s="2" t="s">
        <v>12</v>
      </c>
      <c r="G8502" s="2" t="s">
        <v>12</v>
      </c>
      <c r="H8502" s="2" t="s">
        <v>12</v>
      </c>
      <c r="I8502" s="2" t="s">
        <v>12</v>
      </c>
      <c r="J8502" s="2" t="s">
        <v>12</v>
      </c>
      <c r="K8502" s="2" t="s">
        <v>12</v>
      </c>
    </row>
    <row r="8503" spans="1:11" ht="12.5" x14ac:dyDescent="0.25">
      <c r="A8503" s="3" t="e">
        <f ca="1"/>
        <v>#NAME?</v>
      </c>
      <c r="B8503" s="2" t="s">
        <v>12</v>
      </c>
      <c r="C8503" s="2" t="s">
        <v>12</v>
      </c>
      <c r="D8503" s="2" t="s">
        <v>12</v>
      </c>
      <c r="E8503" s="2" t="s">
        <v>12</v>
      </c>
      <c r="F8503" s="2" t="s">
        <v>12</v>
      </c>
      <c r="G8503" s="2" t="s">
        <v>12</v>
      </c>
      <c r="H8503" s="2" t="s">
        <v>12</v>
      </c>
      <c r="I8503" s="2" t="s">
        <v>12</v>
      </c>
      <c r="J8503" s="2" t="s">
        <v>12</v>
      </c>
      <c r="K8503" s="2" t="s">
        <v>12</v>
      </c>
    </row>
    <row r="8504" spans="1:11" ht="12.5" x14ac:dyDescent="0.25">
      <c r="A8504" s="3" t="e">
        <f ca="1"/>
        <v>#NAME?</v>
      </c>
      <c r="B8504" s="2" t="s">
        <v>12</v>
      </c>
      <c r="C8504" s="2" t="s">
        <v>12</v>
      </c>
      <c r="D8504" s="2" t="s">
        <v>12</v>
      </c>
      <c r="E8504" s="2" t="s">
        <v>12</v>
      </c>
      <c r="F8504" s="2" t="s">
        <v>12</v>
      </c>
      <c r="G8504" s="2" t="s">
        <v>12</v>
      </c>
      <c r="H8504" s="2" t="s">
        <v>12</v>
      </c>
      <c r="I8504" s="2" t="s">
        <v>12</v>
      </c>
      <c r="J8504" s="2" t="s">
        <v>12</v>
      </c>
      <c r="K8504" s="2" t="s">
        <v>12</v>
      </c>
    </row>
    <row r="8505" spans="1:11" ht="12.5" x14ac:dyDescent="0.25">
      <c r="A8505" s="3" t="e">
        <f ca="1"/>
        <v>#NAME?</v>
      </c>
      <c r="B8505" s="2" t="s">
        <v>12</v>
      </c>
      <c r="C8505" s="2" t="s">
        <v>12</v>
      </c>
      <c r="D8505" s="2" t="s">
        <v>12</v>
      </c>
      <c r="E8505" s="2" t="s">
        <v>12</v>
      </c>
      <c r="F8505" s="2" t="s">
        <v>12</v>
      </c>
      <c r="G8505" s="2" t="s">
        <v>12</v>
      </c>
      <c r="H8505" s="2" t="s">
        <v>12</v>
      </c>
      <c r="I8505" s="2" t="s">
        <v>12</v>
      </c>
      <c r="J8505" s="2" t="s">
        <v>12</v>
      </c>
      <c r="K8505" s="2" t="s">
        <v>12</v>
      </c>
    </row>
    <row r="8506" spans="1:11" ht="12.5" x14ac:dyDescent="0.25">
      <c r="A8506" s="3" t="e">
        <f ca="1"/>
        <v>#NAME?</v>
      </c>
      <c r="B8506" s="2" t="s">
        <v>12</v>
      </c>
      <c r="C8506" s="2" t="s">
        <v>12</v>
      </c>
      <c r="D8506" s="2" t="s">
        <v>12</v>
      </c>
      <c r="E8506" s="2" t="s">
        <v>12</v>
      </c>
      <c r="F8506" s="2" t="s">
        <v>12</v>
      </c>
      <c r="G8506" s="2" t="s">
        <v>12</v>
      </c>
      <c r="H8506" s="2" t="s">
        <v>12</v>
      </c>
      <c r="I8506" s="2" t="s">
        <v>12</v>
      </c>
      <c r="J8506" s="2" t="s">
        <v>12</v>
      </c>
      <c r="K8506" s="2" t="s">
        <v>12</v>
      </c>
    </row>
    <row r="8507" spans="1:11" ht="12.5" x14ac:dyDescent="0.25">
      <c r="A8507" s="3" t="e">
        <f ca="1"/>
        <v>#NAME?</v>
      </c>
      <c r="B8507" s="2" t="s">
        <v>12</v>
      </c>
      <c r="C8507" s="2" t="s">
        <v>12</v>
      </c>
      <c r="D8507" s="2" t="s">
        <v>12</v>
      </c>
      <c r="E8507" s="2" t="s">
        <v>12</v>
      </c>
      <c r="F8507" s="2" t="s">
        <v>12</v>
      </c>
      <c r="G8507" s="2" t="s">
        <v>12</v>
      </c>
      <c r="H8507" s="2" t="s">
        <v>12</v>
      </c>
      <c r="I8507" s="2" t="s">
        <v>12</v>
      </c>
      <c r="J8507" s="2" t="s">
        <v>12</v>
      </c>
      <c r="K8507" s="2" t="s">
        <v>12</v>
      </c>
    </row>
    <row r="8508" spans="1:11" ht="12.5" x14ac:dyDescent="0.25">
      <c r="A8508" s="3" t="e">
        <f ca="1"/>
        <v>#NAME?</v>
      </c>
      <c r="B8508" s="2" t="s">
        <v>12</v>
      </c>
      <c r="C8508" s="2" t="s">
        <v>12</v>
      </c>
      <c r="D8508" s="2" t="s">
        <v>12</v>
      </c>
      <c r="E8508" s="2" t="s">
        <v>12</v>
      </c>
      <c r="F8508" s="2" t="s">
        <v>12</v>
      </c>
      <c r="G8508" s="2" t="s">
        <v>12</v>
      </c>
      <c r="H8508" s="2" t="s">
        <v>12</v>
      </c>
      <c r="I8508" s="2" t="s">
        <v>12</v>
      </c>
      <c r="J8508" s="2" t="s">
        <v>12</v>
      </c>
      <c r="K8508" s="2" t="s">
        <v>12</v>
      </c>
    </row>
    <row r="8509" spans="1:11" ht="12.5" x14ac:dyDescent="0.25">
      <c r="A8509" s="3" t="e">
        <f ca="1"/>
        <v>#NAME?</v>
      </c>
      <c r="B8509" s="2" t="s">
        <v>12</v>
      </c>
      <c r="C8509" s="2" t="s">
        <v>12</v>
      </c>
      <c r="D8509" s="2" t="s">
        <v>12</v>
      </c>
      <c r="E8509" s="2" t="s">
        <v>12</v>
      </c>
      <c r="F8509" s="2" t="s">
        <v>12</v>
      </c>
      <c r="G8509" s="2" t="s">
        <v>12</v>
      </c>
      <c r="H8509" s="2" t="s">
        <v>12</v>
      </c>
      <c r="I8509" s="2" t="s">
        <v>12</v>
      </c>
      <c r="J8509" s="2" t="s">
        <v>12</v>
      </c>
      <c r="K8509" s="2" t="s">
        <v>12</v>
      </c>
    </row>
    <row r="8510" spans="1:11" ht="12.5" x14ac:dyDescent="0.25">
      <c r="A8510" s="3" t="e">
        <f ca="1"/>
        <v>#NAME?</v>
      </c>
      <c r="B8510" s="2" t="s">
        <v>12</v>
      </c>
      <c r="C8510" s="2" t="s">
        <v>12</v>
      </c>
      <c r="D8510" s="2" t="s">
        <v>12</v>
      </c>
      <c r="E8510" s="2" t="s">
        <v>12</v>
      </c>
      <c r="F8510" s="2" t="s">
        <v>12</v>
      </c>
      <c r="G8510" s="2" t="s">
        <v>12</v>
      </c>
      <c r="H8510" s="2" t="s">
        <v>12</v>
      </c>
      <c r="I8510" s="2" t="s">
        <v>12</v>
      </c>
      <c r="J8510" s="2" t="s">
        <v>12</v>
      </c>
      <c r="K8510" s="2" t="s">
        <v>12</v>
      </c>
    </row>
    <row r="8511" spans="1:11" ht="12.5" x14ac:dyDescent="0.25">
      <c r="A8511" s="3" t="e">
        <f ca="1"/>
        <v>#NAME?</v>
      </c>
      <c r="B8511" s="2" t="s">
        <v>12</v>
      </c>
      <c r="C8511" s="2" t="s">
        <v>12</v>
      </c>
      <c r="D8511" s="2" t="s">
        <v>12</v>
      </c>
      <c r="E8511" s="2" t="s">
        <v>12</v>
      </c>
      <c r="F8511" s="2" t="s">
        <v>12</v>
      </c>
      <c r="G8511" s="2" t="s">
        <v>12</v>
      </c>
      <c r="H8511" s="2" t="s">
        <v>12</v>
      </c>
      <c r="I8511" s="2" t="s">
        <v>12</v>
      </c>
      <c r="J8511" s="2" t="s">
        <v>12</v>
      </c>
      <c r="K8511" s="2" t="s">
        <v>12</v>
      </c>
    </row>
    <row r="8512" spans="1:11" ht="12.5" x14ac:dyDescent="0.25">
      <c r="A8512" s="3" t="e">
        <f ca="1"/>
        <v>#NAME?</v>
      </c>
      <c r="B8512" s="2" t="s">
        <v>12</v>
      </c>
      <c r="C8512" s="2" t="s">
        <v>12</v>
      </c>
      <c r="D8512" s="2" t="s">
        <v>12</v>
      </c>
      <c r="E8512" s="2" t="s">
        <v>12</v>
      </c>
      <c r="F8512" s="2" t="s">
        <v>12</v>
      </c>
      <c r="G8512" s="2" t="s">
        <v>12</v>
      </c>
      <c r="H8512" s="2" t="s">
        <v>12</v>
      </c>
      <c r="I8512" s="2" t="s">
        <v>12</v>
      </c>
      <c r="J8512" s="2" t="s">
        <v>12</v>
      </c>
      <c r="K8512" s="2" t="s">
        <v>12</v>
      </c>
    </row>
    <row r="8513" spans="1:11" ht="12.5" x14ac:dyDescent="0.25">
      <c r="A8513" s="3" t="e">
        <f ca="1"/>
        <v>#NAME?</v>
      </c>
      <c r="B8513" s="2" t="s">
        <v>12</v>
      </c>
      <c r="C8513" s="2" t="s">
        <v>12</v>
      </c>
      <c r="D8513" s="2" t="s">
        <v>12</v>
      </c>
      <c r="E8513" s="2" t="s">
        <v>12</v>
      </c>
      <c r="F8513" s="2" t="s">
        <v>12</v>
      </c>
      <c r="G8513" s="2" t="s">
        <v>12</v>
      </c>
      <c r="H8513" s="2" t="s">
        <v>12</v>
      </c>
      <c r="I8513" s="2" t="s">
        <v>12</v>
      </c>
      <c r="J8513" s="2" t="s">
        <v>12</v>
      </c>
      <c r="K8513" s="2" t="s">
        <v>12</v>
      </c>
    </row>
    <row r="8514" spans="1:11" ht="12.5" x14ac:dyDescent="0.25">
      <c r="A8514" s="3" t="e">
        <f ca="1"/>
        <v>#NAME?</v>
      </c>
      <c r="B8514" s="2" t="s">
        <v>12</v>
      </c>
      <c r="C8514" s="2" t="s">
        <v>12</v>
      </c>
      <c r="D8514" s="2" t="s">
        <v>12</v>
      </c>
      <c r="E8514" s="2" t="s">
        <v>12</v>
      </c>
      <c r="F8514" s="2" t="s">
        <v>12</v>
      </c>
      <c r="G8514" s="2" t="s">
        <v>12</v>
      </c>
      <c r="H8514" s="2" t="s">
        <v>12</v>
      </c>
      <c r="I8514" s="2" t="s">
        <v>12</v>
      </c>
      <c r="J8514" s="2" t="s">
        <v>12</v>
      </c>
      <c r="K8514" s="2" t="s">
        <v>12</v>
      </c>
    </row>
    <row r="8515" spans="1:11" ht="12.5" x14ac:dyDescent="0.25">
      <c r="A8515" s="3" t="e">
        <f ca="1"/>
        <v>#NAME?</v>
      </c>
      <c r="B8515" s="2" t="s">
        <v>12</v>
      </c>
      <c r="C8515" s="2" t="s">
        <v>12</v>
      </c>
      <c r="D8515" s="2" t="s">
        <v>12</v>
      </c>
      <c r="E8515" s="2" t="s">
        <v>12</v>
      </c>
      <c r="F8515" s="2" t="s">
        <v>12</v>
      </c>
      <c r="G8515" s="2" t="s">
        <v>12</v>
      </c>
      <c r="H8515" s="2" t="s">
        <v>12</v>
      </c>
      <c r="I8515" s="2" t="s">
        <v>12</v>
      </c>
      <c r="J8515" s="2" t="s">
        <v>12</v>
      </c>
      <c r="K8515" s="2" t="s">
        <v>12</v>
      </c>
    </row>
    <row r="8516" spans="1:11" ht="12.5" x14ac:dyDescent="0.25">
      <c r="A8516" s="3" t="e">
        <f ca="1"/>
        <v>#NAME?</v>
      </c>
      <c r="B8516" s="2" t="s">
        <v>12</v>
      </c>
      <c r="C8516" s="2" t="s">
        <v>12</v>
      </c>
      <c r="D8516" s="2" t="s">
        <v>12</v>
      </c>
      <c r="E8516" s="2" t="s">
        <v>12</v>
      </c>
      <c r="F8516" s="2" t="s">
        <v>12</v>
      </c>
      <c r="G8516" s="2" t="s">
        <v>12</v>
      </c>
      <c r="H8516" s="2" t="s">
        <v>12</v>
      </c>
      <c r="I8516" s="2" t="s">
        <v>12</v>
      </c>
      <c r="J8516" s="2" t="s">
        <v>12</v>
      </c>
      <c r="K8516" s="2" t="s">
        <v>12</v>
      </c>
    </row>
    <row r="8517" spans="1:11" ht="12.5" x14ac:dyDescent="0.25">
      <c r="A8517" s="3" t="e">
        <f ca="1"/>
        <v>#NAME?</v>
      </c>
      <c r="B8517" s="2" t="s">
        <v>12</v>
      </c>
      <c r="C8517" s="2" t="s">
        <v>12</v>
      </c>
      <c r="D8517" s="2" t="s">
        <v>12</v>
      </c>
      <c r="E8517" s="2" t="s">
        <v>12</v>
      </c>
      <c r="F8517" s="2" t="s">
        <v>12</v>
      </c>
      <c r="G8517" s="2" t="s">
        <v>12</v>
      </c>
      <c r="H8517" s="2" t="s">
        <v>12</v>
      </c>
      <c r="I8517" s="2" t="s">
        <v>12</v>
      </c>
      <c r="J8517" s="2" t="s">
        <v>12</v>
      </c>
      <c r="K8517" s="2" t="s">
        <v>12</v>
      </c>
    </row>
    <row r="8518" spans="1:11" ht="12.5" x14ac:dyDescent="0.25">
      <c r="A8518" s="3" t="e">
        <f ca="1"/>
        <v>#NAME?</v>
      </c>
      <c r="B8518" s="2" t="s">
        <v>12</v>
      </c>
      <c r="C8518" s="2" t="s">
        <v>12</v>
      </c>
      <c r="D8518" s="2" t="s">
        <v>12</v>
      </c>
      <c r="E8518" s="2" t="s">
        <v>12</v>
      </c>
      <c r="F8518" s="2" t="s">
        <v>12</v>
      </c>
      <c r="G8518" s="2" t="s">
        <v>12</v>
      </c>
      <c r="H8518" s="2" t="s">
        <v>12</v>
      </c>
      <c r="I8518" s="2" t="s">
        <v>12</v>
      </c>
      <c r="J8518" s="2" t="s">
        <v>12</v>
      </c>
      <c r="K8518" s="2" t="s">
        <v>12</v>
      </c>
    </row>
    <row r="8519" spans="1:11" ht="12.5" x14ac:dyDescent="0.25">
      <c r="A8519" s="3" t="e">
        <f ca="1"/>
        <v>#NAME?</v>
      </c>
      <c r="B8519" s="2" t="s">
        <v>12</v>
      </c>
      <c r="C8519" s="2" t="s">
        <v>12</v>
      </c>
      <c r="D8519" s="2" t="s">
        <v>12</v>
      </c>
      <c r="E8519" s="2" t="s">
        <v>12</v>
      </c>
      <c r="F8519" s="2" t="s">
        <v>12</v>
      </c>
      <c r="G8519" s="2" t="s">
        <v>12</v>
      </c>
      <c r="H8519" s="2" t="s">
        <v>12</v>
      </c>
      <c r="I8519" s="2" t="s">
        <v>12</v>
      </c>
      <c r="J8519" s="2" t="s">
        <v>12</v>
      </c>
      <c r="K8519" s="2" t="s">
        <v>12</v>
      </c>
    </row>
    <row r="8520" spans="1:11" ht="12.5" x14ac:dyDescent="0.25">
      <c r="A8520" s="3" t="e">
        <f ca="1"/>
        <v>#NAME?</v>
      </c>
      <c r="B8520" s="2" t="s">
        <v>12</v>
      </c>
      <c r="C8520" s="2" t="s">
        <v>12</v>
      </c>
      <c r="D8520" s="2" t="s">
        <v>12</v>
      </c>
      <c r="E8520" s="2" t="s">
        <v>12</v>
      </c>
      <c r="F8520" s="2" t="s">
        <v>12</v>
      </c>
      <c r="G8520" s="2" t="s">
        <v>12</v>
      </c>
      <c r="H8520" s="2" t="s">
        <v>12</v>
      </c>
      <c r="I8520" s="2" t="s">
        <v>12</v>
      </c>
      <c r="J8520" s="2" t="s">
        <v>12</v>
      </c>
      <c r="K8520" s="2" t="s">
        <v>12</v>
      </c>
    </row>
    <row r="8521" spans="1:11" ht="12.5" x14ac:dyDescent="0.25">
      <c r="A8521" s="3" t="e">
        <f ca="1"/>
        <v>#NAME?</v>
      </c>
      <c r="B8521" s="2" t="s">
        <v>12</v>
      </c>
      <c r="C8521" s="2" t="s">
        <v>12</v>
      </c>
      <c r="D8521" s="2" t="s">
        <v>12</v>
      </c>
      <c r="E8521" s="2" t="s">
        <v>12</v>
      </c>
      <c r="F8521" s="2" t="s">
        <v>12</v>
      </c>
      <c r="G8521" s="2" t="s">
        <v>12</v>
      </c>
      <c r="H8521" s="2" t="s">
        <v>12</v>
      </c>
      <c r="I8521" s="2" t="s">
        <v>12</v>
      </c>
      <c r="J8521" s="2" t="s">
        <v>12</v>
      </c>
      <c r="K8521" s="2" t="s">
        <v>12</v>
      </c>
    </row>
    <row r="8522" spans="1:11" ht="12.5" x14ac:dyDescent="0.25">
      <c r="A8522" s="3" t="e">
        <f ca="1"/>
        <v>#NAME?</v>
      </c>
      <c r="B8522" s="2" t="s">
        <v>12</v>
      </c>
      <c r="C8522" s="2" t="s">
        <v>12</v>
      </c>
      <c r="D8522" s="2" t="s">
        <v>12</v>
      </c>
      <c r="E8522" s="2" t="s">
        <v>12</v>
      </c>
      <c r="F8522" s="2" t="s">
        <v>12</v>
      </c>
      <c r="G8522" s="2" t="s">
        <v>12</v>
      </c>
      <c r="H8522" s="2" t="s">
        <v>12</v>
      </c>
      <c r="I8522" s="2" t="s">
        <v>12</v>
      </c>
      <c r="J8522" s="2" t="s">
        <v>12</v>
      </c>
      <c r="K8522" s="2" t="s">
        <v>12</v>
      </c>
    </row>
    <row r="8523" spans="1:11" ht="12.5" x14ac:dyDescent="0.25">
      <c r="A8523" s="3" t="e">
        <f ca="1"/>
        <v>#NAME?</v>
      </c>
      <c r="B8523" s="2" t="s">
        <v>12</v>
      </c>
      <c r="C8523" s="2" t="s">
        <v>12</v>
      </c>
      <c r="D8523" s="2" t="s">
        <v>12</v>
      </c>
      <c r="E8523" s="2" t="s">
        <v>12</v>
      </c>
      <c r="F8523" s="2" t="s">
        <v>12</v>
      </c>
      <c r="G8523" s="2" t="s">
        <v>12</v>
      </c>
      <c r="H8523" s="2" t="s">
        <v>12</v>
      </c>
      <c r="I8523" s="2" t="s">
        <v>12</v>
      </c>
      <c r="J8523" s="2" t="s">
        <v>12</v>
      </c>
      <c r="K8523" s="2" t="s">
        <v>12</v>
      </c>
    </row>
    <row r="8524" spans="1:11" ht="12.5" x14ac:dyDescent="0.25">
      <c r="A8524" s="3" t="e">
        <f ca="1"/>
        <v>#NAME?</v>
      </c>
      <c r="B8524" s="2" t="s">
        <v>12</v>
      </c>
      <c r="C8524" s="2" t="s">
        <v>12</v>
      </c>
      <c r="D8524" s="2" t="s">
        <v>12</v>
      </c>
      <c r="E8524" s="2" t="s">
        <v>12</v>
      </c>
      <c r="F8524" s="2" t="s">
        <v>12</v>
      </c>
      <c r="G8524" s="2" t="s">
        <v>12</v>
      </c>
      <c r="H8524" s="2" t="s">
        <v>12</v>
      </c>
      <c r="I8524" s="2" t="s">
        <v>12</v>
      </c>
      <c r="J8524" s="2" t="s">
        <v>12</v>
      </c>
      <c r="K8524" s="2" t="s">
        <v>12</v>
      </c>
    </row>
    <row r="8525" spans="1:11" ht="12.5" x14ac:dyDescent="0.25">
      <c r="A8525" s="3" t="e">
        <f ca="1"/>
        <v>#NAME?</v>
      </c>
      <c r="B8525" s="2" t="s">
        <v>12</v>
      </c>
      <c r="C8525" s="2" t="s">
        <v>12</v>
      </c>
      <c r="D8525" s="2" t="s">
        <v>12</v>
      </c>
      <c r="E8525" s="2" t="s">
        <v>12</v>
      </c>
      <c r="F8525" s="2" t="s">
        <v>12</v>
      </c>
      <c r="G8525" s="2" t="s">
        <v>12</v>
      </c>
      <c r="H8525" s="2" t="s">
        <v>12</v>
      </c>
      <c r="I8525" s="2" t="s">
        <v>12</v>
      </c>
      <c r="J8525" s="2" t="s">
        <v>12</v>
      </c>
      <c r="K8525" s="2" t="s">
        <v>12</v>
      </c>
    </row>
    <row r="8526" spans="1:11" ht="12.5" x14ac:dyDescent="0.25">
      <c r="A8526" s="3" t="e">
        <f ca="1"/>
        <v>#NAME?</v>
      </c>
      <c r="B8526" s="2" t="s">
        <v>12</v>
      </c>
      <c r="C8526" s="2" t="s">
        <v>12</v>
      </c>
      <c r="D8526" s="2" t="s">
        <v>12</v>
      </c>
      <c r="E8526" s="2" t="s">
        <v>12</v>
      </c>
      <c r="F8526" s="2" t="s">
        <v>12</v>
      </c>
      <c r="G8526" s="2" t="s">
        <v>12</v>
      </c>
      <c r="H8526" s="2" t="s">
        <v>12</v>
      </c>
      <c r="I8526" s="2" t="s">
        <v>12</v>
      </c>
      <c r="J8526" s="2" t="s">
        <v>12</v>
      </c>
      <c r="K8526" s="2" t="s">
        <v>12</v>
      </c>
    </row>
    <row r="8527" spans="1:11" ht="12.5" x14ac:dyDescent="0.25">
      <c r="A8527" s="3" t="e">
        <f ca="1"/>
        <v>#NAME?</v>
      </c>
      <c r="B8527" s="2" t="s">
        <v>12</v>
      </c>
      <c r="C8527" s="2" t="s">
        <v>12</v>
      </c>
      <c r="D8527" s="2" t="s">
        <v>12</v>
      </c>
      <c r="E8527" s="2" t="s">
        <v>12</v>
      </c>
      <c r="F8527" s="2" t="s">
        <v>12</v>
      </c>
      <c r="G8527" s="2" t="s">
        <v>12</v>
      </c>
      <c r="H8527" s="2" t="s">
        <v>12</v>
      </c>
      <c r="I8527" s="2" t="s">
        <v>12</v>
      </c>
      <c r="J8527" s="2" t="s">
        <v>12</v>
      </c>
      <c r="K8527" s="2" t="s">
        <v>12</v>
      </c>
    </row>
    <row r="8528" spans="1:11" ht="12.5" x14ac:dyDescent="0.25">
      <c r="A8528" s="3" t="e">
        <f ca="1"/>
        <v>#NAME?</v>
      </c>
      <c r="B8528" s="2" t="s">
        <v>12</v>
      </c>
      <c r="C8528" s="2" t="s">
        <v>12</v>
      </c>
      <c r="D8528" s="2" t="s">
        <v>12</v>
      </c>
      <c r="E8528" s="2" t="s">
        <v>12</v>
      </c>
      <c r="F8528" s="2" t="s">
        <v>12</v>
      </c>
      <c r="G8528" s="2" t="s">
        <v>12</v>
      </c>
      <c r="H8528" s="2" t="s">
        <v>12</v>
      </c>
      <c r="I8528" s="2" t="s">
        <v>12</v>
      </c>
      <c r="J8528" s="2" t="s">
        <v>12</v>
      </c>
      <c r="K8528" s="2" t="s">
        <v>12</v>
      </c>
    </row>
    <row r="8529" spans="1:11" ht="12.5" x14ac:dyDescent="0.25">
      <c r="A8529" s="3" t="e">
        <f ca="1"/>
        <v>#NAME?</v>
      </c>
      <c r="B8529" s="2" t="s">
        <v>12</v>
      </c>
      <c r="C8529" s="2" t="s">
        <v>12</v>
      </c>
      <c r="D8529" s="2" t="s">
        <v>12</v>
      </c>
      <c r="E8529" s="2" t="s">
        <v>12</v>
      </c>
      <c r="F8529" s="2" t="s">
        <v>12</v>
      </c>
      <c r="G8529" s="2" t="s">
        <v>12</v>
      </c>
      <c r="H8529" s="2" t="s">
        <v>12</v>
      </c>
      <c r="I8529" s="2" t="s">
        <v>12</v>
      </c>
      <c r="J8529" s="2" t="s">
        <v>12</v>
      </c>
      <c r="K8529" s="2" t="s">
        <v>12</v>
      </c>
    </row>
    <row r="8530" spans="1:11" ht="12.5" x14ac:dyDescent="0.25">
      <c r="A8530" s="3" t="e">
        <f ca="1"/>
        <v>#NAME?</v>
      </c>
      <c r="B8530" s="2" t="s">
        <v>12</v>
      </c>
      <c r="C8530" s="2" t="s">
        <v>12</v>
      </c>
      <c r="D8530" s="2" t="s">
        <v>12</v>
      </c>
      <c r="E8530" s="2" t="s">
        <v>12</v>
      </c>
      <c r="F8530" s="2" t="s">
        <v>12</v>
      </c>
      <c r="G8530" s="2" t="s">
        <v>12</v>
      </c>
      <c r="H8530" s="2" t="s">
        <v>12</v>
      </c>
      <c r="I8530" s="2" t="s">
        <v>12</v>
      </c>
      <c r="J8530" s="2" t="s">
        <v>12</v>
      </c>
      <c r="K8530" s="2" t="s">
        <v>12</v>
      </c>
    </row>
    <row r="8531" spans="1:11" ht="12.5" x14ac:dyDescent="0.25">
      <c r="A8531" s="3" t="e">
        <f ca="1"/>
        <v>#NAME?</v>
      </c>
      <c r="B8531" s="2" t="s">
        <v>12</v>
      </c>
      <c r="C8531" s="2" t="s">
        <v>12</v>
      </c>
      <c r="D8531" s="2" t="s">
        <v>12</v>
      </c>
      <c r="E8531" s="2" t="s">
        <v>12</v>
      </c>
      <c r="F8531" s="2" t="s">
        <v>12</v>
      </c>
      <c r="G8531" s="2" t="s">
        <v>12</v>
      </c>
      <c r="H8531" s="2" t="s">
        <v>12</v>
      </c>
      <c r="I8531" s="2" t="s">
        <v>12</v>
      </c>
      <c r="J8531" s="2" t="s">
        <v>12</v>
      </c>
      <c r="K8531" s="2" t="s">
        <v>12</v>
      </c>
    </row>
    <row r="8532" spans="1:11" ht="12.5" x14ac:dyDescent="0.25">
      <c r="A8532" s="3" t="e">
        <f ca="1"/>
        <v>#NAME?</v>
      </c>
      <c r="B8532" s="2" t="s">
        <v>12</v>
      </c>
      <c r="C8532" s="2" t="s">
        <v>12</v>
      </c>
      <c r="D8532" s="2" t="s">
        <v>12</v>
      </c>
      <c r="E8532" s="2" t="s">
        <v>12</v>
      </c>
      <c r="F8532" s="2" t="s">
        <v>12</v>
      </c>
      <c r="G8532" s="2" t="s">
        <v>12</v>
      </c>
      <c r="H8532" s="2" t="s">
        <v>12</v>
      </c>
      <c r="I8532" s="2" t="s">
        <v>12</v>
      </c>
      <c r="J8532" s="2" t="s">
        <v>12</v>
      </c>
      <c r="K8532" s="2" t="s">
        <v>12</v>
      </c>
    </row>
    <row r="8533" spans="1:11" ht="12.5" x14ac:dyDescent="0.25">
      <c r="A8533" s="3" t="e">
        <f ca="1"/>
        <v>#NAME?</v>
      </c>
      <c r="B8533" s="2" t="s">
        <v>12</v>
      </c>
      <c r="C8533" s="2" t="s">
        <v>12</v>
      </c>
      <c r="D8533" s="2" t="s">
        <v>12</v>
      </c>
      <c r="E8533" s="2" t="s">
        <v>12</v>
      </c>
      <c r="F8533" s="2" t="s">
        <v>12</v>
      </c>
      <c r="G8533" s="2" t="s">
        <v>12</v>
      </c>
      <c r="H8533" s="2" t="s">
        <v>12</v>
      </c>
      <c r="I8533" s="2" t="s">
        <v>12</v>
      </c>
      <c r="J8533" s="2" t="s">
        <v>12</v>
      </c>
      <c r="K8533" s="2" t="s">
        <v>12</v>
      </c>
    </row>
    <row r="8534" spans="1:11" ht="12.5" x14ac:dyDescent="0.25">
      <c r="A8534" s="3" t="e">
        <f ca="1"/>
        <v>#NAME?</v>
      </c>
      <c r="B8534" s="2" t="s">
        <v>12</v>
      </c>
      <c r="C8534" s="2" t="s">
        <v>12</v>
      </c>
      <c r="D8534" s="2" t="s">
        <v>12</v>
      </c>
      <c r="E8534" s="2" t="s">
        <v>12</v>
      </c>
      <c r="F8534" s="2" t="s">
        <v>12</v>
      </c>
      <c r="G8534" s="2" t="s">
        <v>12</v>
      </c>
      <c r="H8534" s="2" t="s">
        <v>12</v>
      </c>
      <c r="I8534" s="2" t="s">
        <v>12</v>
      </c>
      <c r="J8534" s="2" t="s">
        <v>12</v>
      </c>
      <c r="K8534" s="2" t="s">
        <v>12</v>
      </c>
    </row>
    <row r="8535" spans="1:11" ht="12.5" x14ac:dyDescent="0.25">
      <c r="A8535" s="3" t="e">
        <f ca="1"/>
        <v>#NAME?</v>
      </c>
      <c r="B8535" s="2" t="s">
        <v>12</v>
      </c>
      <c r="C8535" s="2" t="s">
        <v>12</v>
      </c>
      <c r="D8535" s="2" t="s">
        <v>12</v>
      </c>
      <c r="E8535" s="2" t="s">
        <v>12</v>
      </c>
      <c r="F8535" s="2" t="s">
        <v>12</v>
      </c>
      <c r="G8535" s="2" t="s">
        <v>12</v>
      </c>
      <c r="H8535" s="2" t="s">
        <v>12</v>
      </c>
      <c r="I8535" s="2" t="s">
        <v>12</v>
      </c>
      <c r="J8535" s="2" t="s">
        <v>12</v>
      </c>
      <c r="K8535" s="2" t="s">
        <v>12</v>
      </c>
    </row>
    <row r="8536" spans="1:11" ht="12.5" x14ac:dyDescent="0.25">
      <c r="A8536" s="3" t="e">
        <f ca="1"/>
        <v>#NAME?</v>
      </c>
      <c r="B8536" s="2" t="s">
        <v>12</v>
      </c>
      <c r="C8536" s="2" t="s">
        <v>12</v>
      </c>
      <c r="D8536" s="2" t="s">
        <v>12</v>
      </c>
      <c r="E8536" s="2" t="s">
        <v>12</v>
      </c>
      <c r="F8536" s="2" t="s">
        <v>12</v>
      </c>
      <c r="G8536" s="2" t="s">
        <v>12</v>
      </c>
      <c r="H8536" s="2" t="s">
        <v>12</v>
      </c>
      <c r="I8536" s="2" t="s">
        <v>12</v>
      </c>
      <c r="J8536" s="2" t="s">
        <v>12</v>
      </c>
      <c r="K8536" s="2" t="s">
        <v>12</v>
      </c>
    </row>
    <row r="8537" spans="1:11" ht="12.5" x14ac:dyDescent="0.25">
      <c r="A8537" s="3" t="e">
        <f ca="1"/>
        <v>#NAME?</v>
      </c>
      <c r="B8537" s="2" t="s">
        <v>12</v>
      </c>
      <c r="C8537" s="2" t="s">
        <v>12</v>
      </c>
      <c r="D8537" s="2" t="s">
        <v>12</v>
      </c>
      <c r="E8537" s="2" t="s">
        <v>12</v>
      </c>
      <c r="F8537" s="2" t="s">
        <v>12</v>
      </c>
      <c r="G8537" s="2" t="s">
        <v>12</v>
      </c>
      <c r="H8537" s="2" t="s">
        <v>12</v>
      </c>
      <c r="I8537" s="2" t="s">
        <v>12</v>
      </c>
      <c r="J8537" s="2" t="s">
        <v>12</v>
      </c>
      <c r="K8537" s="2" t="s">
        <v>12</v>
      </c>
    </row>
    <row r="8538" spans="1:11" ht="12.5" x14ac:dyDescent="0.25">
      <c r="A8538" s="3" t="e">
        <f ca="1"/>
        <v>#NAME?</v>
      </c>
      <c r="B8538" s="2" t="s">
        <v>12</v>
      </c>
      <c r="C8538" s="2" t="s">
        <v>12</v>
      </c>
      <c r="D8538" s="2" t="s">
        <v>12</v>
      </c>
      <c r="E8538" s="2" t="s">
        <v>12</v>
      </c>
      <c r="F8538" s="2" t="s">
        <v>12</v>
      </c>
      <c r="G8538" s="2" t="s">
        <v>12</v>
      </c>
      <c r="H8538" s="2" t="s">
        <v>12</v>
      </c>
      <c r="I8538" s="2" t="s">
        <v>12</v>
      </c>
      <c r="J8538" s="2" t="s">
        <v>12</v>
      </c>
      <c r="K8538" s="2" t="s">
        <v>12</v>
      </c>
    </row>
    <row r="8539" spans="1:11" ht="12.5" x14ac:dyDescent="0.25">
      <c r="A8539" s="3" t="e">
        <f ca="1"/>
        <v>#NAME?</v>
      </c>
      <c r="B8539" s="2" t="s">
        <v>12</v>
      </c>
      <c r="C8539" s="2" t="s">
        <v>12</v>
      </c>
      <c r="D8539" s="2" t="s">
        <v>12</v>
      </c>
      <c r="E8539" s="2" t="s">
        <v>12</v>
      </c>
      <c r="F8539" s="2" t="s">
        <v>12</v>
      </c>
      <c r="G8539" s="2" t="s">
        <v>12</v>
      </c>
      <c r="H8539" s="2" t="s">
        <v>12</v>
      </c>
      <c r="I8539" s="2" t="s">
        <v>12</v>
      </c>
      <c r="J8539" s="2" t="s">
        <v>12</v>
      </c>
      <c r="K8539" s="2" t="s">
        <v>12</v>
      </c>
    </row>
    <row r="8540" spans="1:11" ht="12.5" x14ac:dyDescent="0.25">
      <c r="A8540" s="3" t="e">
        <f ca="1"/>
        <v>#NAME?</v>
      </c>
      <c r="B8540" s="2" t="s">
        <v>12</v>
      </c>
      <c r="C8540" s="2" t="s">
        <v>12</v>
      </c>
      <c r="D8540" s="2" t="s">
        <v>12</v>
      </c>
      <c r="E8540" s="2" t="s">
        <v>12</v>
      </c>
      <c r="F8540" s="2" t="s">
        <v>12</v>
      </c>
      <c r="G8540" s="2" t="s">
        <v>12</v>
      </c>
      <c r="H8540" s="2" t="s">
        <v>12</v>
      </c>
      <c r="I8540" s="2" t="s">
        <v>12</v>
      </c>
      <c r="J8540" s="2" t="s">
        <v>12</v>
      </c>
      <c r="K8540" s="2" t="s">
        <v>12</v>
      </c>
    </row>
    <row r="8541" spans="1:11" ht="12.5" x14ac:dyDescent="0.25">
      <c r="A8541" s="3" t="e">
        <f ca="1"/>
        <v>#NAME?</v>
      </c>
      <c r="B8541" s="2" t="s">
        <v>12</v>
      </c>
      <c r="C8541" s="2" t="s">
        <v>12</v>
      </c>
      <c r="D8541" s="2" t="s">
        <v>12</v>
      </c>
      <c r="E8541" s="2" t="s">
        <v>12</v>
      </c>
      <c r="F8541" s="2" t="s">
        <v>12</v>
      </c>
      <c r="G8541" s="2" t="s">
        <v>12</v>
      </c>
      <c r="H8541" s="2" t="s">
        <v>12</v>
      </c>
      <c r="I8541" s="2" t="s">
        <v>12</v>
      </c>
      <c r="J8541" s="2" t="s">
        <v>12</v>
      </c>
      <c r="K8541" s="2" t="s">
        <v>12</v>
      </c>
    </row>
    <row r="8542" spans="1:11" ht="12.5" x14ac:dyDescent="0.25">
      <c r="A8542" s="3" t="e">
        <f ca="1"/>
        <v>#NAME?</v>
      </c>
      <c r="B8542" s="2" t="s">
        <v>12</v>
      </c>
      <c r="C8542" s="2" t="s">
        <v>12</v>
      </c>
      <c r="D8542" s="2" t="s">
        <v>12</v>
      </c>
      <c r="E8542" s="2" t="s">
        <v>12</v>
      </c>
      <c r="F8542" s="2" t="s">
        <v>12</v>
      </c>
      <c r="G8542" s="2" t="s">
        <v>12</v>
      </c>
      <c r="H8542" s="2" t="s">
        <v>12</v>
      </c>
      <c r="I8542" s="2" t="s">
        <v>12</v>
      </c>
      <c r="J8542" s="2" t="s">
        <v>12</v>
      </c>
      <c r="K8542" s="2" t="s">
        <v>12</v>
      </c>
    </row>
    <row r="8543" spans="1:11" ht="12.5" x14ac:dyDescent="0.25">
      <c r="A8543" s="3" t="e">
        <f ca="1"/>
        <v>#NAME?</v>
      </c>
      <c r="B8543" s="2" t="s">
        <v>12</v>
      </c>
      <c r="C8543" s="2" t="s">
        <v>12</v>
      </c>
      <c r="D8543" s="2" t="s">
        <v>12</v>
      </c>
      <c r="E8543" s="2" t="s">
        <v>12</v>
      </c>
      <c r="F8543" s="2" t="s">
        <v>12</v>
      </c>
      <c r="G8543" s="2" t="s">
        <v>12</v>
      </c>
      <c r="H8543" s="2" t="s">
        <v>12</v>
      </c>
      <c r="I8543" s="2" t="s">
        <v>12</v>
      </c>
      <c r="J8543" s="2" t="s">
        <v>12</v>
      </c>
      <c r="K8543" s="2" t="s">
        <v>12</v>
      </c>
    </row>
    <row r="8544" spans="1:11" ht="12.5" x14ac:dyDescent="0.25">
      <c r="A8544" s="3" t="e">
        <f ca="1"/>
        <v>#NAME?</v>
      </c>
      <c r="B8544" s="2" t="s">
        <v>12</v>
      </c>
      <c r="C8544" s="2" t="s">
        <v>12</v>
      </c>
      <c r="D8544" s="2" t="s">
        <v>12</v>
      </c>
      <c r="E8544" s="2" t="s">
        <v>12</v>
      </c>
      <c r="F8544" s="2" t="s">
        <v>12</v>
      </c>
      <c r="G8544" s="2" t="s">
        <v>12</v>
      </c>
      <c r="H8544" s="2" t="s">
        <v>12</v>
      </c>
      <c r="I8544" s="2" t="s">
        <v>12</v>
      </c>
      <c r="J8544" s="2" t="s">
        <v>12</v>
      </c>
      <c r="K8544" s="2" t="s">
        <v>12</v>
      </c>
    </row>
    <row r="8545" spans="1:11" ht="12.5" x14ac:dyDescent="0.25">
      <c r="A8545" s="3" t="e">
        <f ca="1"/>
        <v>#NAME?</v>
      </c>
      <c r="B8545" s="2" t="s">
        <v>12</v>
      </c>
      <c r="C8545" s="2" t="s">
        <v>12</v>
      </c>
      <c r="D8545" s="2" t="s">
        <v>12</v>
      </c>
      <c r="E8545" s="2" t="s">
        <v>12</v>
      </c>
      <c r="F8545" s="2" t="s">
        <v>12</v>
      </c>
      <c r="G8545" s="2" t="s">
        <v>12</v>
      </c>
      <c r="H8545" s="2" t="s">
        <v>12</v>
      </c>
      <c r="I8545" s="2" t="s">
        <v>12</v>
      </c>
      <c r="J8545" s="2" t="s">
        <v>12</v>
      </c>
      <c r="K8545" s="2" t="s">
        <v>12</v>
      </c>
    </row>
    <row r="8546" spans="1:11" ht="12.5" x14ac:dyDescent="0.25">
      <c r="A8546" s="3" t="e">
        <f ca="1"/>
        <v>#NAME?</v>
      </c>
      <c r="B8546" s="2" t="s">
        <v>12</v>
      </c>
      <c r="C8546" s="2" t="s">
        <v>12</v>
      </c>
      <c r="D8546" s="2" t="s">
        <v>12</v>
      </c>
      <c r="E8546" s="2" t="s">
        <v>12</v>
      </c>
      <c r="F8546" s="2" t="s">
        <v>12</v>
      </c>
      <c r="G8546" s="2" t="s">
        <v>12</v>
      </c>
      <c r="H8546" s="2" t="s">
        <v>12</v>
      </c>
      <c r="I8546" s="2" t="s">
        <v>12</v>
      </c>
      <c r="J8546" s="2" t="s">
        <v>12</v>
      </c>
      <c r="K8546" s="2" t="s">
        <v>12</v>
      </c>
    </row>
    <row r="8547" spans="1:11" ht="12.5" x14ac:dyDescent="0.25">
      <c r="A8547" s="3" t="e">
        <f ca="1"/>
        <v>#NAME?</v>
      </c>
      <c r="B8547" s="2" t="s">
        <v>12</v>
      </c>
      <c r="C8547" s="2" t="s">
        <v>12</v>
      </c>
      <c r="D8547" s="2" t="s">
        <v>12</v>
      </c>
      <c r="E8547" s="2" t="s">
        <v>12</v>
      </c>
      <c r="F8547" s="2" t="s">
        <v>12</v>
      </c>
      <c r="G8547" s="2" t="s">
        <v>12</v>
      </c>
      <c r="H8547" s="2" t="s">
        <v>12</v>
      </c>
      <c r="I8547" s="2" t="s">
        <v>12</v>
      </c>
      <c r="J8547" s="2" t="s">
        <v>12</v>
      </c>
      <c r="K8547" s="2" t="s">
        <v>12</v>
      </c>
    </row>
    <row r="8548" spans="1:11" ht="12.5" x14ac:dyDescent="0.25">
      <c r="A8548" s="3" t="e">
        <f ca="1"/>
        <v>#NAME?</v>
      </c>
      <c r="B8548" s="2" t="s">
        <v>12</v>
      </c>
      <c r="C8548" s="2" t="s">
        <v>12</v>
      </c>
      <c r="D8548" s="2" t="s">
        <v>12</v>
      </c>
      <c r="E8548" s="2" t="s">
        <v>12</v>
      </c>
      <c r="F8548" s="2" t="s">
        <v>12</v>
      </c>
      <c r="G8548" s="2" t="s">
        <v>12</v>
      </c>
      <c r="H8548" s="2" t="s">
        <v>12</v>
      </c>
      <c r="I8548" s="2" t="s">
        <v>12</v>
      </c>
      <c r="J8548" s="2" t="s">
        <v>12</v>
      </c>
      <c r="K8548" s="2" t="s">
        <v>12</v>
      </c>
    </row>
    <row r="8549" spans="1:11" ht="12.5" x14ac:dyDescent="0.25">
      <c r="A8549" s="3" t="e">
        <f ca="1"/>
        <v>#NAME?</v>
      </c>
      <c r="B8549" s="2" t="s">
        <v>12</v>
      </c>
      <c r="C8549" s="2" t="s">
        <v>12</v>
      </c>
      <c r="D8549" s="2" t="s">
        <v>12</v>
      </c>
      <c r="E8549" s="2" t="s">
        <v>12</v>
      </c>
      <c r="F8549" s="2" t="s">
        <v>12</v>
      </c>
      <c r="G8549" s="2" t="s">
        <v>12</v>
      </c>
      <c r="H8549" s="2" t="s">
        <v>12</v>
      </c>
      <c r="I8549" s="2" t="s">
        <v>12</v>
      </c>
      <c r="J8549" s="2" t="s">
        <v>12</v>
      </c>
      <c r="K8549" s="2" t="s">
        <v>12</v>
      </c>
    </row>
    <row r="8550" spans="1:11" ht="12.5" x14ac:dyDescent="0.25">
      <c r="A8550" s="3" t="e">
        <f ca="1"/>
        <v>#NAME?</v>
      </c>
      <c r="B8550" s="2" t="s">
        <v>12</v>
      </c>
      <c r="C8550" s="2" t="s">
        <v>12</v>
      </c>
      <c r="D8550" s="2" t="s">
        <v>12</v>
      </c>
      <c r="E8550" s="2" t="s">
        <v>12</v>
      </c>
      <c r="F8550" s="2" t="s">
        <v>12</v>
      </c>
      <c r="G8550" s="2" t="s">
        <v>12</v>
      </c>
      <c r="H8550" s="2" t="s">
        <v>12</v>
      </c>
      <c r="I8550" s="2" t="s">
        <v>12</v>
      </c>
      <c r="J8550" s="2" t="s">
        <v>12</v>
      </c>
      <c r="K8550" s="2" t="s">
        <v>12</v>
      </c>
    </row>
    <row r="8551" spans="1:11" ht="12.5" x14ac:dyDescent="0.25">
      <c r="A8551" s="3" t="e">
        <f ca="1"/>
        <v>#NAME?</v>
      </c>
      <c r="B8551" s="2" t="s">
        <v>12</v>
      </c>
      <c r="C8551" s="2" t="s">
        <v>12</v>
      </c>
      <c r="D8551" s="2" t="s">
        <v>12</v>
      </c>
      <c r="E8551" s="2" t="s">
        <v>12</v>
      </c>
      <c r="F8551" s="2" t="s">
        <v>12</v>
      </c>
      <c r="G8551" s="2" t="s">
        <v>12</v>
      </c>
      <c r="H8551" s="2" t="s">
        <v>12</v>
      </c>
      <c r="I8551" s="2" t="s">
        <v>12</v>
      </c>
      <c r="J8551" s="2" t="s">
        <v>12</v>
      </c>
      <c r="K8551" s="2" t="s">
        <v>12</v>
      </c>
    </row>
    <row r="8552" spans="1:11" ht="12.5" x14ac:dyDescent="0.25">
      <c r="A8552" s="3" t="e">
        <f ca="1"/>
        <v>#NAME?</v>
      </c>
      <c r="B8552" s="2" t="s">
        <v>12</v>
      </c>
      <c r="C8552" s="2" t="s">
        <v>12</v>
      </c>
      <c r="D8552" s="2" t="s">
        <v>12</v>
      </c>
      <c r="E8552" s="2" t="s">
        <v>12</v>
      </c>
      <c r="F8552" s="2" t="s">
        <v>12</v>
      </c>
      <c r="G8552" s="2" t="s">
        <v>12</v>
      </c>
      <c r="H8552" s="2" t="s">
        <v>12</v>
      </c>
      <c r="I8552" s="2" t="s">
        <v>12</v>
      </c>
      <c r="J8552" s="2" t="s">
        <v>12</v>
      </c>
      <c r="K8552" s="2" t="s">
        <v>12</v>
      </c>
    </row>
    <row r="8553" spans="1:11" ht="12.5" x14ac:dyDescent="0.25">
      <c r="A8553" s="3" t="e">
        <f ca="1"/>
        <v>#NAME?</v>
      </c>
      <c r="B8553" s="2" t="s">
        <v>12</v>
      </c>
      <c r="C8553" s="2" t="s">
        <v>12</v>
      </c>
      <c r="D8553" s="2" t="s">
        <v>12</v>
      </c>
      <c r="E8553" s="2" t="s">
        <v>12</v>
      </c>
      <c r="F8553" s="2" t="s">
        <v>12</v>
      </c>
      <c r="G8553" s="2" t="s">
        <v>12</v>
      </c>
      <c r="H8553" s="2" t="s">
        <v>12</v>
      </c>
      <c r="I8553" s="2" t="s">
        <v>12</v>
      </c>
      <c r="J8553" s="2" t="s">
        <v>12</v>
      </c>
      <c r="K8553" s="2" t="s">
        <v>12</v>
      </c>
    </row>
    <row r="8554" spans="1:11" ht="12.5" x14ac:dyDescent="0.25">
      <c r="A8554" s="3" t="e">
        <f ca="1"/>
        <v>#NAME?</v>
      </c>
      <c r="B8554" s="2" t="s">
        <v>12</v>
      </c>
      <c r="C8554" s="2" t="s">
        <v>12</v>
      </c>
      <c r="D8554" s="2" t="s">
        <v>12</v>
      </c>
      <c r="E8554" s="2" t="s">
        <v>12</v>
      </c>
      <c r="F8554" s="2" t="s">
        <v>12</v>
      </c>
      <c r="G8554" s="2" t="s">
        <v>12</v>
      </c>
      <c r="H8554" s="2" t="s">
        <v>12</v>
      </c>
      <c r="I8554" s="2" t="s">
        <v>12</v>
      </c>
      <c r="J8554" s="2" t="s">
        <v>12</v>
      </c>
      <c r="K8554" s="2" t="s">
        <v>12</v>
      </c>
    </row>
    <row r="8555" spans="1:11" ht="12.5" x14ac:dyDescent="0.25">
      <c r="A8555" s="3" t="e">
        <f ca="1"/>
        <v>#NAME?</v>
      </c>
      <c r="B8555" s="2" t="s">
        <v>12</v>
      </c>
      <c r="C8555" s="2" t="s">
        <v>12</v>
      </c>
      <c r="D8555" s="2" t="s">
        <v>12</v>
      </c>
      <c r="E8555" s="2" t="s">
        <v>12</v>
      </c>
      <c r="F8555" s="2" t="s">
        <v>12</v>
      </c>
      <c r="G8555" s="2" t="s">
        <v>12</v>
      </c>
      <c r="H8555" s="2" t="s">
        <v>12</v>
      </c>
      <c r="I8555" s="2" t="s">
        <v>12</v>
      </c>
      <c r="J8555" s="2" t="s">
        <v>12</v>
      </c>
      <c r="K8555" s="2" t="s">
        <v>12</v>
      </c>
    </row>
    <row r="8556" spans="1:11" ht="12.5" x14ac:dyDescent="0.25">
      <c r="A8556" s="3" t="e">
        <f ca="1"/>
        <v>#NAME?</v>
      </c>
      <c r="B8556" s="2" t="s">
        <v>12</v>
      </c>
      <c r="C8556" s="2" t="s">
        <v>12</v>
      </c>
      <c r="D8556" s="2" t="s">
        <v>12</v>
      </c>
      <c r="E8556" s="2" t="s">
        <v>12</v>
      </c>
      <c r="F8556" s="2" t="s">
        <v>12</v>
      </c>
      <c r="G8556" s="2" t="s">
        <v>12</v>
      </c>
      <c r="H8556" s="2" t="s">
        <v>12</v>
      </c>
      <c r="I8556" s="2" t="s">
        <v>12</v>
      </c>
      <c r="J8556" s="2" t="s">
        <v>12</v>
      </c>
      <c r="K8556" s="2" t="s">
        <v>12</v>
      </c>
    </row>
    <row r="8557" spans="1:11" ht="12.5" x14ac:dyDescent="0.25">
      <c r="A8557" s="3" t="e">
        <f ca="1"/>
        <v>#NAME?</v>
      </c>
      <c r="B8557" s="2" t="s">
        <v>12</v>
      </c>
      <c r="C8557" s="2" t="s">
        <v>12</v>
      </c>
      <c r="D8557" s="2" t="s">
        <v>12</v>
      </c>
      <c r="E8557" s="2" t="s">
        <v>12</v>
      </c>
      <c r="F8557" s="2" t="s">
        <v>12</v>
      </c>
      <c r="G8557" s="2" t="s">
        <v>12</v>
      </c>
      <c r="H8557" s="2" t="s">
        <v>12</v>
      </c>
      <c r="I8557" s="2" t="s">
        <v>12</v>
      </c>
      <c r="J8557" s="2" t="s">
        <v>12</v>
      </c>
      <c r="K8557" s="2" t="s">
        <v>12</v>
      </c>
    </row>
    <row r="8558" spans="1:11" ht="12.5" x14ac:dyDescent="0.25">
      <c r="A8558" s="3" t="e">
        <f ca="1"/>
        <v>#NAME?</v>
      </c>
      <c r="B8558" s="2" t="s">
        <v>12</v>
      </c>
      <c r="C8558" s="2" t="s">
        <v>12</v>
      </c>
      <c r="D8558" s="2" t="s">
        <v>12</v>
      </c>
      <c r="E8558" s="2" t="s">
        <v>12</v>
      </c>
      <c r="F8558" s="2" t="s">
        <v>12</v>
      </c>
      <c r="G8558" s="2" t="s">
        <v>12</v>
      </c>
      <c r="H8558" s="2" t="s">
        <v>12</v>
      </c>
      <c r="I8558" s="2" t="s">
        <v>12</v>
      </c>
      <c r="J8558" s="2" t="s">
        <v>12</v>
      </c>
      <c r="K8558" s="2" t="s">
        <v>12</v>
      </c>
    </row>
    <row r="8559" spans="1:11" ht="12.5" x14ac:dyDescent="0.25">
      <c r="A8559" s="3" t="e">
        <f ca="1"/>
        <v>#NAME?</v>
      </c>
      <c r="B8559" s="2" t="s">
        <v>12</v>
      </c>
      <c r="C8559" s="2" t="s">
        <v>12</v>
      </c>
      <c r="D8559" s="2" t="s">
        <v>12</v>
      </c>
      <c r="E8559" s="2" t="s">
        <v>12</v>
      </c>
      <c r="F8559" s="2" t="s">
        <v>12</v>
      </c>
      <c r="G8559" s="2" t="s">
        <v>12</v>
      </c>
      <c r="H8559" s="2" t="s">
        <v>12</v>
      </c>
      <c r="I8559" s="2" t="s">
        <v>12</v>
      </c>
      <c r="J8559" s="2" t="s">
        <v>12</v>
      </c>
      <c r="K8559" s="2" t="s">
        <v>12</v>
      </c>
    </row>
    <row r="8560" spans="1:11" ht="12.5" x14ac:dyDescent="0.25">
      <c r="A8560" s="3" t="e">
        <f ca="1"/>
        <v>#NAME?</v>
      </c>
      <c r="B8560" s="2" t="s">
        <v>12</v>
      </c>
      <c r="C8560" s="2" t="s">
        <v>12</v>
      </c>
      <c r="D8560" s="2" t="s">
        <v>12</v>
      </c>
      <c r="E8560" s="2" t="s">
        <v>12</v>
      </c>
      <c r="F8560" s="2" t="s">
        <v>12</v>
      </c>
      <c r="G8560" s="2" t="s">
        <v>12</v>
      </c>
      <c r="H8560" s="2" t="s">
        <v>12</v>
      </c>
      <c r="I8560" s="2" t="s">
        <v>12</v>
      </c>
      <c r="J8560" s="2" t="s">
        <v>12</v>
      </c>
      <c r="K8560" s="2" t="s">
        <v>12</v>
      </c>
    </row>
    <row r="8561" spans="1:11" ht="12.5" x14ac:dyDescent="0.25">
      <c r="A8561" s="3" t="e">
        <f ca="1"/>
        <v>#NAME?</v>
      </c>
      <c r="B8561" s="2" t="s">
        <v>12</v>
      </c>
      <c r="C8561" s="2" t="s">
        <v>12</v>
      </c>
      <c r="D8561" s="2" t="s">
        <v>12</v>
      </c>
      <c r="E8561" s="2" t="s">
        <v>12</v>
      </c>
      <c r="F8561" s="2" t="s">
        <v>12</v>
      </c>
      <c r="G8561" s="2" t="s">
        <v>12</v>
      </c>
      <c r="H8561" s="2" t="s">
        <v>12</v>
      </c>
      <c r="I8561" s="2" t="s">
        <v>12</v>
      </c>
      <c r="J8561" s="2" t="s">
        <v>12</v>
      </c>
      <c r="K8561" s="2" t="s">
        <v>12</v>
      </c>
    </row>
    <row r="8562" spans="1:11" ht="12.5" x14ac:dyDescent="0.25">
      <c r="A8562" s="3" t="e">
        <f ca="1"/>
        <v>#NAME?</v>
      </c>
      <c r="B8562" s="2" t="s">
        <v>12</v>
      </c>
      <c r="C8562" s="2" t="s">
        <v>12</v>
      </c>
      <c r="D8562" s="2" t="s">
        <v>12</v>
      </c>
      <c r="E8562" s="2" t="s">
        <v>12</v>
      </c>
      <c r="F8562" s="2" t="s">
        <v>12</v>
      </c>
      <c r="G8562" s="2" t="s">
        <v>12</v>
      </c>
      <c r="H8562" s="2" t="s">
        <v>12</v>
      </c>
      <c r="I8562" s="2" t="s">
        <v>12</v>
      </c>
      <c r="J8562" s="2" t="s">
        <v>12</v>
      </c>
      <c r="K8562" s="2" t="s">
        <v>12</v>
      </c>
    </row>
    <row r="8563" spans="1:11" ht="12.5" x14ac:dyDescent="0.25">
      <c r="A8563" s="3" t="e">
        <f ca="1"/>
        <v>#NAME?</v>
      </c>
      <c r="B8563" s="2" t="s">
        <v>12</v>
      </c>
      <c r="C8563" s="2" t="s">
        <v>12</v>
      </c>
      <c r="D8563" s="2" t="s">
        <v>12</v>
      </c>
      <c r="E8563" s="2" t="s">
        <v>12</v>
      </c>
      <c r="F8563" s="2" t="s">
        <v>12</v>
      </c>
      <c r="G8563" s="2" t="s">
        <v>12</v>
      </c>
      <c r="H8563" s="2" t="s">
        <v>12</v>
      </c>
      <c r="I8563" s="2" t="s">
        <v>12</v>
      </c>
      <c r="J8563" s="2" t="s">
        <v>12</v>
      </c>
      <c r="K8563" s="2" t="s">
        <v>12</v>
      </c>
    </row>
    <row r="8564" spans="1:11" ht="12.5" x14ac:dyDescent="0.25">
      <c r="A8564" s="3" t="e">
        <f ca="1"/>
        <v>#NAME?</v>
      </c>
      <c r="B8564" s="2" t="s">
        <v>12</v>
      </c>
      <c r="C8564" s="2" t="s">
        <v>12</v>
      </c>
      <c r="D8564" s="2" t="s">
        <v>12</v>
      </c>
      <c r="E8564" s="2" t="s">
        <v>12</v>
      </c>
      <c r="F8564" s="2" t="s">
        <v>12</v>
      </c>
      <c r="G8564" s="2" t="s">
        <v>12</v>
      </c>
      <c r="H8564" s="2" t="s">
        <v>12</v>
      </c>
      <c r="I8564" s="2" t="s">
        <v>12</v>
      </c>
      <c r="J8564" s="2" t="s">
        <v>12</v>
      </c>
      <c r="K8564" s="2" t="s">
        <v>12</v>
      </c>
    </row>
    <row r="8565" spans="1:11" ht="12.5" x14ac:dyDescent="0.25">
      <c r="A8565" s="3" t="e">
        <f ca="1"/>
        <v>#NAME?</v>
      </c>
      <c r="B8565" s="2" t="s">
        <v>12</v>
      </c>
      <c r="C8565" s="2" t="s">
        <v>12</v>
      </c>
      <c r="D8565" s="2" t="s">
        <v>12</v>
      </c>
      <c r="E8565" s="2" t="s">
        <v>12</v>
      </c>
      <c r="F8565" s="2" t="s">
        <v>12</v>
      </c>
      <c r="G8565" s="2" t="s">
        <v>12</v>
      </c>
      <c r="H8565" s="2" t="s">
        <v>12</v>
      </c>
      <c r="I8565" s="2" t="s">
        <v>12</v>
      </c>
      <c r="J8565" s="2" t="s">
        <v>12</v>
      </c>
      <c r="K8565" s="2" t="s">
        <v>12</v>
      </c>
    </row>
    <row r="8566" spans="1:11" ht="12.5" x14ac:dyDescent="0.25">
      <c r="A8566" s="3" t="e">
        <f ca="1"/>
        <v>#NAME?</v>
      </c>
      <c r="B8566" s="2" t="s">
        <v>12</v>
      </c>
      <c r="C8566" s="2" t="s">
        <v>12</v>
      </c>
      <c r="D8566" s="2" t="s">
        <v>12</v>
      </c>
      <c r="E8566" s="2" t="s">
        <v>12</v>
      </c>
      <c r="F8566" s="2" t="s">
        <v>12</v>
      </c>
      <c r="G8566" s="2" t="s">
        <v>12</v>
      </c>
      <c r="H8566" s="2" t="s">
        <v>12</v>
      </c>
      <c r="I8566" s="2" t="s">
        <v>12</v>
      </c>
      <c r="J8566" s="2" t="s">
        <v>12</v>
      </c>
      <c r="K8566" s="2" t="s">
        <v>12</v>
      </c>
    </row>
    <row r="8567" spans="1:11" ht="12.5" x14ac:dyDescent="0.25">
      <c r="A8567" s="3" t="e">
        <f ca="1"/>
        <v>#NAME?</v>
      </c>
      <c r="B8567" s="2" t="s">
        <v>12</v>
      </c>
      <c r="C8567" s="2" t="s">
        <v>12</v>
      </c>
      <c r="D8567" s="2" t="s">
        <v>12</v>
      </c>
      <c r="E8567" s="2" t="s">
        <v>12</v>
      </c>
      <c r="F8567" s="2" t="s">
        <v>12</v>
      </c>
      <c r="G8567" s="2" t="s">
        <v>12</v>
      </c>
      <c r="H8567" s="2" t="s">
        <v>12</v>
      </c>
      <c r="I8567" s="2" t="s">
        <v>12</v>
      </c>
      <c r="J8567" s="2" t="s">
        <v>12</v>
      </c>
      <c r="K8567" s="2" t="s">
        <v>12</v>
      </c>
    </row>
    <row r="8568" spans="1:11" ht="12.5" x14ac:dyDescent="0.25">
      <c r="A8568" s="3" t="e">
        <f ca="1"/>
        <v>#NAME?</v>
      </c>
      <c r="B8568" s="2" t="s">
        <v>12</v>
      </c>
      <c r="C8568" s="2" t="s">
        <v>12</v>
      </c>
      <c r="D8568" s="2" t="s">
        <v>12</v>
      </c>
      <c r="E8568" s="2" t="s">
        <v>12</v>
      </c>
      <c r="F8568" s="2" t="s">
        <v>12</v>
      </c>
      <c r="G8568" s="2" t="s">
        <v>12</v>
      </c>
      <c r="H8568" s="2" t="s">
        <v>12</v>
      </c>
      <c r="I8568" s="2" t="s">
        <v>12</v>
      </c>
      <c r="J8568" s="2" t="s">
        <v>12</v>
      </c>
      <c r="K8568" s="2" t="s">
        <v>12</v>
      </c>
    </row>
    <row r="8569" spans="1:11" ht="12.5" x14ac:dyDescent="0.25">
      <c r="A8569" s="3" t="e">
        <f ca="1"/>
        <v>#NAME?</v>
      </c>
      <c r="B8569" s="2" t="s">
        <v>12</v>
      </c>
      <c r="C8569" s="2" t="s">
        <v>12</v>
      </c>
      <c r="D8569" s="2" t="s">
        <v>12</v>
      </c>
      <c r="E8569" s="2" t="s">
        <v>12</v>
      </c>
      <c r="F8569" s="2" t="s">
        <v>12</v>
      </c>
      <c r="G8569" s="2" t="s">
        <v>12</v>
      </c>
      <c r="H8569" s="2" t="s">
        <v>12</v>
      </c>
      <c r="I8569" s="2" t="s">
        <v>12</v>
      </c>
      <c r="J8569" s="2" t="s">
        <v>12</v>
      </c>
      <c r="K8569" s="2" t="s">
        <v>12</v>
      </c>
    </row>
    <row r="8570" spans="1:11" ht="12.5" x14ac:dyDescent="0.25">
      <c r="A8570" s="3" t="e">
        <f ca="1"/>
        <v>#NAME?</v>
      </c>
      <c r="B8570" s="2" t="s">
        <v>12</v>
      </c>
      <c r="C8570" s="2" t="s">
        <v>12</v>
      </c>
      <c r="D8570" s="2" t="s">
        <v>12</v>
      </c>
      <c r="E8570" s="2" t="s">
        <v>12</v>
      </c>
      <c r="F8570" s="2" t="s">
        <v>12</v>
      </c>
      <c r="G8570" s="2" t="s">
        <v>12</v>
      </c>
      <c r="H8570" s="2" t="s">
        <v>12</v>
      </c>
      <c r="I8570" s="2" t="s">
        <v>12</v>
      </c>
      <c r="J8570" s="2" t="s">
        <v>12</v>
      </c>
      <c r="K8570" s="2" t="s">
        <v>12</v>
      </c>
    </row>
    <row r="8571" spans="1:11" ht="12.5" x14ac:dyDescent="0.25">
      <c r="A8571" s="3" t="e">
        <f ca="1"/>
        <v>#NAME?</v>
      </c>
      <c r="B8571" s="2" t="s">
        <v>12</v>
      </c>
      <c r="C8571" s="2" t="s">
        <v>12</v>
      </c>
      <c r="D8571" s="2" t="s">
        <v>12</v>
      </c>
      <c r="E8571" s="2" t="s">
        <v>12</v>
      </c>
      <c r="F8571" s="2" t="s">
        <v>12</v>
      </c>
      <c r="G8571" s="2" t="s">
        <v>12</v>
      </c>
      <c r="H8571" s="2" t="s">
        <v>12</v>
      </c>
      <c r="I8571" s="2" t="s">
        <v>12</v>
      </c>
      <c r="J8571" s="2" t="s">
        <v>12</v>
      </c>
      <c r="K8571" s="2" t="s">
        <v>12</v>
      </c>
    </row>
    <row r="8572" spans="1:11" ht="12.5" x14ac:dyDescent="0.25">
      <c r="A8572" s="3" t="e">
        <f ca="1"/>
        <v>#NAME?</v>
      </c>
      <c r="B8572" s="2" t="s">
        <v>12</v>
      </c>
      <c r="C8572" s="2" t="s">
        <v>12</v>
      </c>
      <c r="D8572" s="2" t="s">
        <v>12</v>
      </c>
      <c r="E8572" s="2" t="s">
        <v>12</v>
      </c>
      <c r="F8572" s="2" t="s">
        <v>12</v>
      </c>
      <c r="G8572" s="2" t="s">
        <v>12</v>
      </c>
      <c r="H8572" s="2" t="s">
        <v>12</v>
      </c>
      <c r="I8572" s="2" t="s">
        <v>12</v>
      </c>
      <c r="J8572" s="2" t="s">
        <v>12</v>
      </c>
      <c r="K8572" s="2" t="s">
        <v>12</v>
      </c>
    </row>
    <row r="8573" spans="1:11" ht="12.5" x14ac:dyDescent="0.25">
      <c r="A8573" s="3" t="e">
        <f ca="1"/>
        <v>#NAME?</v>
      </c>
      <c r="B8573" s="2" t="s">
        <v>12</v>
      </c>
      <c r="C8573" s="2" t="s">
        <v>12</v>
      </c>
      <c r="D8573" s="2" t="s">
        <v>12</v>
      </c>
      <c r="E8573" s="2" t="s">
        <v>12</v>
      </c>
      <c r="F8573" s="2" t="s">
        <v>12</v>
      </c>
      <c r="G8573" s="2" t="s">
        <v>12</v>
      </c>
      <c r="H8573" s="2" t="s">
        <v>12</v>
      </c>
      <c r="I8573" s="2" t="s">
        <v>12</v>
      </c>
      <c r="J8573" s="2" t="s">
        <v>12</v>
      </c>
      <c r="K8573" s="2" t="s">
        <v>12</v>
      </c>
    </row>
    <row r="8574" spans="1:11" ht="12.5" x14ac:dyDescent="0.25">
      <c r="A8574" s="3" t="e">
        <f ca="1"/>
        <v>#NAME?</v>
      </c>
      <c r="B8574" s="2" t="s">
        <v>12</v>
      </c>
      <c r="C8574" s="2" t="s">
        <v>12</v>
      </c>
      <c r="D8574" s="2" t="s">
        <v>12</v>
      </c>
      <c r="E8574" s="2" t="s">
        <v>12</v>
      </c>
      <c r="F8574" s="2" t="s">
        <v>12</v>
      </c>
      <c r="G8574" s="2" t="s">
        <v>12</v>
      </c>
      <c r="H8574" s="2" t="s">
        <v>12</v>
      </c>
      <c r="I8574" s="2" t="s">
        <v>12</v>
      </c>
      <c r="J8574" s="2" t="s">
        <v>12</v>
      </c>
      <c r="K8574" s="2" t="s">
        <v>12</v>
      </c>
    </row>
    <row r="8575" spans="1:11" ht="12.5" x14ac:dyDescent="0.25">
      <c r="A8575" s="3" t="e">
        <f ca="1"/>
        <v>#NAME?</v>
      </c>
      <c r="B8575" s="2" t="s">
        <v>12</v>
      </c>
      <c r="C8575" s="2" t="s">
        <v>12</v>
      </c>
      <c r="D8575" s="2" t="s">
        <v>12</v>
      </c>
      <c r="E8575" s="2" t="s">
        <v>12</v>
      </c>
      <c r="F8575" s="2" t="s">
        <v>12</v>
      </c>
      <c r="G8575" s="2" t="s">
        <v>12</v>
      </c>
      <c r="H8575" s="2" t="s">
        <v>12</v>
      </c>
      <c r="I8575" s="2" t="s">
        <v>12</v>
      </c>
      <c r="J8575" s="2" t="s">
        <v>12</v>
      </c>
      <c r="K8575" s="2" t="s">
        <v>12</v>
      </c>
    </row>
    <row r="8576" spans="1:11" ht="12.5" x14ac:dyDescent="0.25">
      <c r="A8576" s="3" t="e">
        <f ca="1"/>
        <v>#NAME?</v>
      </c>
      <c r="B8576" s="2" t="s">
        <v>12</v>
      </c>
      <c r="C8576" s="2" t="s">
        <v>12</v>
      </c>
      <c r="D8576" s="2" t="s">
        <v>12</v>
      </c>
      <c r="E8576" s="2" t="s">
        <v>12</v>
      </c>
      <c r="F8576" s="2" t="s">
        <v>12</v>
      </c>
      <c r="G8576" s="2" t="s">
        <v>12</v>
      </c>
      <c r="H8576" s="2" t="s">
        <v>12</v>
      </c>
      <c r="I8576" s="2" t="s">
        <v>12</v>
      </c>
      <c r="J8576" s="2" t="s">
        <v>12</v>
      </c>
      <c r="K8576" s="2" t="s">
        <v>12</v>
      </c>
    </row>
    <row r="8577" spans="1:11" ht="12.5" x14ac:dyDescent="0.25">
      <c r="A8577" s="3" t="e">
        <f ca="1"/>
        <v>#NAME?</v>
      </c>
      <c r="B8577" s="2" t="s">
        <v>12</v>
      </c>
      <c r="C8577" s="2" t="s">
        <v>12</v>
      </c>
      <c r="D8577" s="2" t="s">
        <v>12</v>
      </c>
      <c r="E8577" s="2" t="s">
        <v>12</v>
      </c>
      <c r="F8577" s="2" t="s">
        <v>12</v>
      </c>
      <c r="G8577" s="2" t="s">
        <v>12</v>
      </c>
      <c r="H8577" s="2" t="s">
        <v>12</v>
      </c>
      <c r="I8577" s="2" t="s">
        <v>12</v>
      </c>
      <c r="J8577" s="2" t="s">
        <v>12</v>
      </c>
      <c r="K8577" s="2" t="s">
        <v>12</v>
      </c>
    </row>
    <row r="8578" spans="1:11" ht="12.5" x14ac:dyDescent="0.25">
      <c r="A8578" s="3" t="e">
        <f ca="1"/>
        <v>#NAME?</v>
      </c>
      <c r="B8578" s="2" t="s">
        <v>12</v>
      </c>
      <c r="C8578" s="2" t="s">
        <v>12</v>
      </c>
      <c r="D8578" s="2" t="s">
        <v>12</v>
      </c>
      <c r="E8578" s="2" t="s">
        <v>12</v>
      </c>
      <c r="F8578" s="2" t="s">
        <v>12</v>
      </c>
      <c r="G8578" s="2" t="s">
        <v>12</v>
      </c>
      <c r="H8578" s="2" t="s">
        <v>12</v>
      </c>
      <c r="I8578" s="2" t="s">
        <v>12</v>
      </c>
      <c r="J8578" s="2" t="s">
        <v>12</v>
      </c>
      <c r="K8578" s="2" t="s">
        <v>12</v>
      </c>
    </row>
    <row r="8579" spans="1:11" ht="12.5" x14ac:dyDescent="0.25">
      <c r="A8579" s="3" t="e">
        <f ca="1"/>
        <v>#NAME?</v>
      </c>
      <c r="B8579" s="2" t="s">
        <v>12</v>
      </c>
      <c r="C8579" s="2" t="s">
        <v>12</v>
      </c>
      <c r="D8579" s="2" t="s">
        <v>12</v>
      </c>
      <c r="E8579" s="2" t="s">
        <v>12</v>
      </c>
      <c r="F8579" s="2" t="s">
        <v>12</v>
      </c>
      <c r="G8579" s="2" t="s">
        <v>12</v>
      </c>
      <c r="H8579" s="2" t="s">
        <v>12</v>
      </c>
      <c r="I8579" s="2" t="s">
        <v>12</v>
      </c>
      <c r="J8579" s="2" t="s">
        <v>12</v>
      </c>
      <c r="K8579" s="2" t="s">
        <v>12</v>
      </c>
    </row>
    <row r="8580" spans="1:11" ht="12.5" x14ac:dyDescent="0.25">
      <c r="A8580" s="3" t="e">
        <f ca="1"/>
        <v>#NAME?</v>
      </c>
      <c r="B8580" s="2" t="s">
        <v>12</v>
      </c>
      <c r="C8580" s="2" t="s">
        <v>12</v>
      </c>
      <c r="D8580" s="2" t="s">
        <v>12</v>
      </c>
      <c r="E8580" s="2" t="s">
        <v>12</v>
      </c>
      <c r="F8580" s="2" t="s">
        <v>12</v>
      </c>
      <c r="G8580" s="2" t="s">
        <v>12</v>
      </c>
      <c r="H8580" s="2" t="s">
        <v>12</v>
      </c>
      <c r="I8580" s="2" t="s">
        <v>12</v>
      </c>
      <c r="J8580" s="2" t="s">
        <v>12</v>
      </c>
      <c r="K8580" s="2" t="s">
        <v>12</v>
      </c>
    </row>
    <row r="8581" spans="1:11" ht="12.5" x14ac:dyDescent="0.25">
      <c r="A8581" s="3" t="e">
        <f ca="1"/>
        <v>#NAME?</v>
      </c>
      <c r="B8581" s="2" t="s">
        <v>12</v>
      </c>
      <c r="C8581" s="2" t="s">
        <v>12</v>
      </c>
      <c r="D8581" s="2" t="s">
        <v>12</v>
      </c>
      <c r="E8581" s="2" t="s">
        <v>12</v>
      </c>
      <c r="F8581" s="2" t="s">
        <v>12</v>
      </c>
      <c r="G8581" s="2" t="s">
        <v>12</v>
      </c>
      <c r="H8581" s="2" t="s">
        <v>12</v>
      </c>
      <c r="I8581" s="2" t="s">
        <v>12</v>
      </c>
      <c r="J8581" s="2" t="s">
        <v>12</v>
      </c>
      <c r="K8581" s="2" t="s">
        <v>12</v>
      </c>
    </row>
    <row r="8582" spans="1:11" ht="12.5" x14ac:dyDescent="0.25">
      <c r="A8582" s="3" t="e">
        <f ca="1"/>
        <v>#NAME?</v>
      </c>
      <c r="B8582" s="2" t="s">
        <v>12</v>
      </c>
      <c r="C8582" s="2" t="s">
        <v>12</v>
      </c>
      <c r="D8582" s="2" t="s">
        <v>12</v>
      </c>
      <c r="E8582" s="2" t="s">
        <v>12</v>
      </c>
      <c r="F8582" s="2" t="s">
        <v>12</v>
      </c>
      <c r="G8582" s="2" t="s">
        <v>12</v>
      </c>
      <c r="H8582" s="2" t="s">
        <v>12</v>
      </c>
      <c r="I8582" s="2" t="s">
        <v>12</v>
      </c>
      <c r="J8582" s="2" t="s">
        <v>12</v>
      </c>
      <c r="K8582" s="2" t="s">
        <v>12</v>
      </c>
    </row>
    <row r="8583" spans="1:11" ht="12.5" x14ac:dyDescent="0.25">
      <c r="A8583" s="3" t="e">
        <f ca="1"/>
        <v>#NAME?</v>
      </c>
      <c r="B8583" s="2" t="s">
        <v>12</v>
      </c>
      <c r="C8583" s="2" t="s">
        <v>12</v>
      </c>
      <c r="D8583" s="2" t="s">
        <v>12</v>
      </c>
      <c r="E8583" s="2" t="s">
        <v>12</v>
      </c>
      <c r="F8583" s="2" t="s">
        <v>12</v>
      </c>
      <c r="G8583" s="2" t="s">
        <v>12</v>
      </c>
      <c r="H8583" s="2" t="s">
        <v>12</v>
      </c>
      <c r="I8583" s="2" t="s">
        <v>12</v>
      </c>
      <c r="J8583" s="2" t="s">
        <v>12</v>
      </c>
      <c r="K8583" s="2" t="s">
        <v>12</v>
      </c>
    </row>
    <row r="8584" spans="1:11" ht="12.5" x14ac:dyDescent="0.25">
      <c r="A8584" s="3" t="e">
        <f ca="1"/>
        <v>#NAME?</v>
      </c>
      <c r="B8584" s="2" t="s">
        <v>12</v>
      </c>
      <c r="C8584" s="2" t="s">
        <v>12</v>
      </c>
      <c r="D8584" s="2" t="s">
        <v>12</v>
      </c>
      <c r="E8584" s="2" t="s">
        <v>12</v>
      </c>
      <c r="F8584" s="2" t="s">
        <v>12</v>
      </c>
      <c r="G8584" s="2" t="s">
        <v>12</v>
      </c>
      <c r="H8584" s="2" t="s">
        <v>12</v>
      </c>
      <c r="I8584" s="2" t="s">
        <v>12</v>
      </c>
      <c r="J8584" s="2" t="s">
        <v>12</v>
      </c>
      <c r="K8584" s="2" t="s">
        <v>12</v>
      </c>
    </row>
    <row r="8585" spans="1:11" ht="12.5" x14ac:dyDescent="0.25">
      <c r="A8585" s="3" t="e">
        <f ca="1"/>
        <v>#NAME?</v>
      </c>
      <c r="B8585" s="2" t="s">
        <v>12</v>
      </c>
      <c r="C8585" s="2" t="s">
        <v>12</v>
      </c>
      <c r="D8585" s="2" t="s">
        <v>12</v>
      </c>
      <c r="E8585" s="2" t="s">
        <v>12</v>
      </c>
      <c r="F8585" s="2" t="s">
        <v>12</v>
      </c>
      <c r="G8585" s="2" t="s">
        <v>12</v>
      </c>
      <c r="H8585" s="2" t="s">
        <v>12</v>
      </c>
      <c r="I8585" s="2" t="s">
        <v>12</v>
      </c>
      <c r="J8585" s="2" t="s">
        <v>12</v>
      </c>
      <c r="K8585" s="2" t="s">
        <v>12</v>
      </c>
    </row>
    <row r="8586" spans="1:11" ht="12.5" x14ac:dyDescent="0.25">
      <c r="A8586" s="3" t="e">
        <f ca="1"/>
        <v>#NAME?</v>
      </c>
      <c r="B8586" s="2" t="s">
        <v>12</v>
      </c>
      <c r="C8586" s="2" t="s">
        <v>12</v>
      </c>
      <c r="D8586" s="2" t="s">
        <v>12</v>
      </c>
      <c r="E8586" s="2" t="s">
        <v>12</v>
      </c>
      <c r="F8586" s="2" t="s">
        <v>12</v>
      </c>
      <c r="G8586" s="2" t="s">
        <v>12</v>
      </c>
      <c r="H8586" s="2" t="s">
        <v>12</v>
      </c>
      <c r="I8586" s="2" t="s">
        <v>12</v>
      </c>
      <c r="J8586" s="2" t="s">
        <v>12</v>
      </c>
      <c r="K8586" s="2" t="s">
        <v>12</v>
      </c>
    </row>
    <row r="8587" spans="1:11" ht="12.5" x14ac:dyDescent="0.25">
      <c r="A8587" s="3" t="e">
        <f ca="1"/>
        <v>#NAME?</v>
      </c>
      <c r="B8587" s="2" t="s">
        <v>12</v>
      </c>
      <c r="C8587" s="2" t="s">
        <v>12</v>
      </c>
      <c r="D8587" s="2" t="s">
        <v>12</v>
      </c>
      <c r="E8587" s="2" t="s">
        <v>12</v>
      </c>
      <c r="F8587" s="2" t="s">
        <v>12</v>
      </c>
      <c r="G8587" s="2" t="s">
        <v>12</v>
      </c>
      <c r="H8587" s="2" t="s">
        <v>12</v>
      </c>
      <c r="I8587" s="2" t="s">
        <v>12</v>
      </c>
      <c r="J8587" s="2" t="s">
        <v>12</v>
      </c>
      <c r="K8587" s="2" t="s">
        <v>12</v>
      </c>
    </row>
    <row r="8588" spans="1:11" ht="12.5" x14ac:dyDescent="0.25">
      <c r="A8588" s="3" t="e">
        <f ca="1"/>
        <v>#NAME?</v>
      </c>
      <c r="B8588" s="2" t="s">
        <v>12</v>
      </c>
      <c r="C8588" s="2" t="s">
        <v>12</v>
      </c>
      <c r="D8588" s="2" t="s">
        <v>12</v>
      </c>
      <c r="E8588" s="2" t="s">
        <v>12</v>
      </c>
      <c r="F8588" s="2" t="s">
        <v>12</v>
      </c>
      <c r="G8588" s="2" t="s">
        <v>12</v>
      </c>
      <c r="H8588" s="2" t="s">
        <v>12</v>
      </c>
      <c r="I8588" s="2" t="s">
        <v>12</v>
      </c>
      <c r="J8588" s="2" t="s">
        <v>12</v>
      </c>
      <c r="K8588" s="2" t="s">
        <v>12</v>
      </c>
    </row>
    <row r="8589" spans="1:11" ht="12.5" x14ac:dyDescent="0.25">
      <c r="A8589" s="3" t="e">
        <f ca="1"/>
        <v>#NAME?</v>
      </c>
      <c r="B8589" s="2" t="s">
        <v>12</v>
      </c>
      <c r="C8589" s="2" t="s">
        <v>12</v>
      </c>
      <c r="D8589" s="2" t="s">
        <v>12</v>
      </c>
      <c r="E8589" s="2" t="s">
        <v>12</v>
      </c>
      <c r="F8589" s="2" t="s">
        <v>12</v>
      </c>
      <c r="G8589" s="2" t="s">
        <v>12</v>
      </c>
      <c r="H8589" s="2" t="s">
        <v>12</v>
      </c>
      <c r="I8589" s="2" t="s">
        <v>12</v>
      </c>
      <c r="J8589" s="2" t="s">
        <v>12</v>
      </c>
      <c r="K8589" s="2" t="s">
        <v>12</v>
      </c>
    </row>
    <row r="8590" spans="1:11" ht="12.5" x14ac:dyDescent="0.25">
      <c r="A8590" s="3" t="e">
        <f ca="1"/>
        <v>#NAME?</v>
      </c>
      <c r="B8590" s="2" t="s">
        <v>12</v>
      </c>
      <c r="C8590" s="2" t="s">
        <v>12</v>
      </c>
      <c r="D8590" s="2" t="s">
        <v>12</v>
      </c>
      <c r="E8590" s="2" t="s">
        <v>12</v>
      </c>
      <c r="F8590" s="2" t="s">
        <v>12</v>
      </c>
      <c r="G8590" s="2" t="s">
        <v>12</v>
      </c>
      <c r="H8590" s="2" t="s">
        <v>12</v>
      </c>
      <c r="I8590" s="2" t="s">
        <v>12</v>
      </c>
      <c r="J8590" s="2" t="s">
        <v>12</v>
      </c>
      <c r="K8590" s="2" t="s">
        <v>12</v>
      </c>
    </row>
    <row r="8591" spans="1:11" ht="12.5" x14ac:dyDescent="0.25">
      <c r="A8591" s="3" t="e">
        <f ca="1"/>
        <v>#NAME?</v>
      </c>
      <c r="B8591" s="2" t="s">
        <v>12</v>
      </c>
      <c r="C8591" s="2" t="s">
        <v>12</v>
      </c>
      <c r="D8591" s="2" t="s">
        <v>12</v>
      </c>
      <c r="E8591" s="2" t="s">
        <v>12</v>
      </c>
      <c r="F8591" s="2" t="s">
        <v>12</v>
      </c>
      <c r="G8591" s="2" t="s">
        <v>12</v>
      </c>
      <c r="H8591" s="2" t="s">
        <v>12</v>
      </c>
      <c r="I8591" s="2" t="s">
        <v>12</v>
      </c>
      <c r="J8591" s="2" t="s">
        <v>12</v>
      </c>
      <c r="K8591" s="2" t="s">
        <v>12</v>
      </c>
    </row>
    <row r="8592" spans="1:11" ht="12.5" x14ac:dyDescent="0.25">
      <c r="A8592" s="3" t="e">
        <f ca="1"/>
        <v>#NAME?</v>
      </c>
      <c r="B8592" s="2" t="s">
        <v>12</v>
      </c>
      <c r="C8592" s="2" t="s">
        <v>12</v>
      </c>
      <c r="D8592" s="2" t="s">
        <v>12</v>
      </c>
      <c r="E8592" s="2" t="s">
        <v>12</v>
      </c>
      <c r="F8592" s="2" t="s">
        <v>12</v>
      </c>
      <c r="G8592" s="2" t="s">
        <v>12</v>
      </c>
      <c r="H8592" s="2" t="s">
        <v>12</v>
      </c>
      <c r="I8592" s="2" t="s">
        <v>12</v>
      </c>
      <c r="J8592" s="2" t="s">
        <v>12</v>
      </c>
      <c r="K8592" s="2" t="s">
        <v>12</v>
      </c>
    </row>
    <row r="8593" spans="1:11" ht="12.5" x14ac:dyDescent="0.25">
      <c r="A8593" s="3" t="e">
        <f ca="1"/>
        <v>#NAME?</v>
      </c>
      <c r="B8593" s="2" t="s">
        <v>12</v>
      </c>
      <c r="C8593" s="2" t="s">
        <v>12</v>
      </c>
      <c r="D8593" s="2" t="s">
        <v>12</v>
      </c>
      <c r="E8593" s="2" t="s">
        <v>12</v>
      </c>
      <c r="F8593" s="2" t="s">
        <v>12</v>
      </c>
      <c r="G8593" s="2" t="s">
        <v>12</v>
      </c>
      <c r="H8593" s="2" t="s">
        <v>12</v>
      </c>
      <c r="I8593" s="2" t="s">
        <v>12</v>
      </c>
      <c r="J8593" s="2" t="s">
        <v>12</v>
      </c>
      <c r="K8593" s="2" t="s">
        <v>12</v>
      </c>
    </row>
    <row r="8594" spans="1:11" ht="12.5" x14ac:dyDescent="0.25">
      <c r="A8594" s="3" t="e">
        <f ca="1"/>
        <v>#NAME?</v>
      </c>
      <c r="B8594" s="2" t="s">
        <v>12</v>
      </c>
      <c r="C8594" s="2" t="s">
        <v>12</v>
      </c>
      <c r="D8594" s="2" t="s">
        <v>12</v>
      </c>
      <c r="E8594" s="2" t="s">
        <v>12</v>
      </c>
      <c r="F8594" s="2" t="s">
        <v>12</v>
      </c>
      <c r="G8594" s="2" t="s">
        <v>12</v>
      </c>
      <c r="H8594" s="2" t="s">
        <v>12</v>
      </c>
      <c r="I8594" s="2" t="s">
        <v>12</v>
      </c>
      <c r="J8594" s="2" t="s">
        <v>12</v>
      </c>
      <c r="K8594" s="2" t="s">
        <v>12</v>
      </c>
    </row>
    <row r="8595" spans="1:11" ht="12.5" x14ac:dyDescent="0.25">
      <c r="A8595" s="3" t="e">
        <f ca="1"/>
        <v>#NAME?</v>
      </c>
      <c r="B8595" s="2" t="s">
        <v>12</v>
      </c>
      <c r="C8595" s="2" t="s">
        <v>12</v>
      </c>
      <c r="D8595" s="2" t="s">
        <v>12</v>
      </c>
      <c r="E8595" s="2" t="s">
        <v>12</v>
      </c>
      <c r="F8595" s="2" t="s">
        <v>12</v>
      </c>
      <c r="G8595" s="2" t="s">
        <v>12</v>
      </c>
      <c r="H8595" s="2" t="s">
        <v>12</v>
      </c>
      <c r="I8595" s="2" t="s">
        <v>12</v>
      </c>
      <c r="J8595" s="2" t="s">
        <v>12</v>
      </c>
      <c r="K8595" s="2" t="s">
        <v>12</v>
      </c>
    </row>
    <row r="8596" spans="1:11" ht="12.5" x14ac:dyDescent="0.25">
      <c r="A8596" s="3" t="e">
        <f ca="1"/>
        <v>#NAME?</v>
      </c>
      <c r="B8596" s="2" t="s">
        <v>12</v>
      </c>
      <c r="C8596" s="2" t="s">
        <v>12</v>
      </c>
      <c r="D8596" s="2" t="s">
        <v>12</v>
      </c>
      <c r="E8596" s="2" t="s">
        <v>12</v>
      </c>
      <c r="F8596" s="2" t="s">
        <v>12</v>
      </c>
      <c r="G8596" s="2" t="s">
        <v>12</v>
      </c>
      <c r="H8596" s="2" t="s">
        <v>12</v>
      </c>
      <c r="I8596" s="2" t="s">
        <v>12</v>
      </c>
      <c r="J8596" s="2" t="s">
        <v>12</v>
      </c>
      <c r="K8596" s="2" t="s">
        <v>12</v>
      </c>
    </row>
    <row r="8597" spans="1:11" ht="12.5" x14ac:dyDescent="0.25">
      <c r="A8597" s="3" t="e">
        <f ca="1"/>
        <v>#NAME?</v>
      </c>
      <c r="B8597" s="2" t="s">
        <v>12</v>
      </c>
      <c r="C8597" s="2" t="s">
        <v>12</v>
      </c>
      <c r="D8597" s="2" t="s">
        <v>12</v>
      </c>
      <c r="E8597" s="2" t="s">
        <v>12</v>
      </c>
      <c r="F8597" s="2" t="s">
        <v>12</v>
      </c>
      <c r="G8597" s="2" t="s">
        <v>12</v>
      </c>
      <c r="H8597" s="2" t="s">
        <v>12</v>
      </c>
      <c r="I8597" s="2" t="s">
        <v>12</v>
      </c>
      <c r="J8597" s="2" t="s">
        <v>12</v>
      </c>
      <c r="K8597" s="2" t="s">
        <v>12</v>
      </c>
    </row>
    <row r="8598" spans="1:11" ht="12.5" x14ac:dyDescent="0.25">
      <c r="A8598" s="3" t="e">
        <f ca="1"/>
        <v>#NAME?</v>
      </c>
      <c r="B8598" s="2" t="s">
        <v>12</v>
      </c>
      <c r="C8598" s="2" t="s">
        <v>12</v>
      </c>
      <c r="D8598" s="2" t="s">
        <v>12</v>
      </c>
      <c r="E8598" s="2" t="s">
        <v>12</v>
      </c>
      <c r="F8598" s="2" t="s">
        <v>12</v>
      </c>
      <c r="G8598" s="2" t="s">
        <v>12</v>
      </c>
      <c r="H8598" s="2" t="s">
        <v>12</v>
      </c>
      <c r="I8598" s="2" t="s">
        <v>12</v>
      </c>
      <c r="J8598" s="2" t="s">
        <v>12</v>
      </c>
      <c r="K8598" s="2" t="s">
        <v>12</v>
      </c>
    </row>
    <row r="8599" spans="1:11" ht="12.5" x14ac:dyDescent="0.25">
      <c r="A8599" s="3" t="e">
        <f ca="1"/>
        <v>#NAME?</v>
      </c>
      <c r="B8599" s="2" t="s">
        <v>12</v>
      </c>
      <c r="C8599" s="2" t="s">
        <v>12</v>
      </c>
      <c r="D8599" s="2" t="s">
        <v>12</v>
      </c>
      <c r="E8599" s="2" t="s">
        <v>12</v>
      </c>
      <c r="F8599" s="2" t="s">
        <v>12</v>
      </c>
      <c r="G8599" s="2" t="s">
        <v>12</v>
      </c>
      <c r="H8599" s="2" t="s">
        <v>12</v>
      </c>
      <c r="I8599" s="2" t="s">
        <v>12</v>
      </c>
      <c r="J8599" s="2" t="s">
        <v>12</v>
      </c>
      <c r="K8599" s="2" t="s">
        <v>12</v>
      </c>
    </row>
    <row r="8600" spans="1:11" ht="12.5" x14ac:dyDescent="0.25">
      <c r="A8600" s="3" t="e">
        <f ca="1"/>
        <v>#NAME?</v>
      </c>
      <c r="B8600" s="2" t="s">
        <v>12</v>
      </c>
      <c r="C8600" s="2" t="s">
        <v>12</v>
      </c>
      <c r="D8600" s="2" t="s">
        <v>12</v>
      </c>
      <c r="E8600" s="2" t="s">
        <v>12</v>
      </c>
      <c r="F8600" s="2" t="s">
        <v>12</v>
      </c>
      <c r="G8600" s="2" t="s">
        <v>12</v>
      </c>
      <c r="H8600" s="2" t="s">
        <v>12</v>
      </c>
      <c r="I8600" s="2" t="s">
        <v>12</v>
      </c>
      <c r="J8600" s="2" t="s">
        <v>12</v>
      </c>
      <c r="K8600" s="2" t="s">
        <v>12</v>
      </c>
    </row>
    <row r="8601" spans="1:11" ht="12.5" x14ac:dyDescent="0.25">
      <c r="A8601" s="3" t="e">
        <f ca="1"/>
        <v>#NAME?</v>
      </c>
      <c r="B8601" s="2" t="s">
        <v>12</v>
      </c>
      <c r="C8601" s="2" t="s">
        <v>12</v>
      </c>
      <c r="D8601" s="2" t="s">
        <v>12</v>
      </c>
      <c r="E8601" s="2" t="s">
        <v>12</v>
      </c>
      <c r="F8601" s="2" t="s">
        <v>12</v>
      </c>
      <c r="G8601" s="2" t="s">
        <v>12</v>
      </c>
      <c r="H8601" s="2" t="s">
        <v>12</v>
      </c>
      <c r="I8601" s="2" t="s">
        <v>12</v>
      </c>
      <c r="J8601" s="2" t="s">
        <v>12</v>
      </c>
      <c r="K8601" s="2" t="s">
        <v>12</v>
      </c>
    </row>
    <row r="8602" spans="1:11" ht="12.5" x14ac:dyDescent="0.25">
      <c r="A8602" s="3" t="e">
        <f ca="1"/>
        <v>#NAME?</v>
      </c>
      <c r="B8602" s="2" t="s">
        <v>12</v>
      </c>
      <c r="C8602" s="2" t="s">
        <v>12</v>
      </c>
      <c r="D8602" s="2" t="s">
        <v>12</v>
      </c>
      <c r="E8602" s="2" t="s">
        <v>12</v>
      </c>
      <c r="F8602" s="2" t="s">
        <v>12</v>
      </c>
      <c r="G8602" s="2" t="s">
        <v>12</v>
      </c>
      <c r="H8602" s="2" t="s">
        <v>12</v>
      </c>
      <c r="I8602" s="2" t="s">
        <v>12</v>
      </c>
      <c r="J8602" s="2" t="s">
        <v>12</v>
      </c>
      <c r="K8602" s="2" t="s">
        <v>12</v>
      </c>
    </row>
    <row r="8603" spans="1:11" ht="12.5" x14ac:dyDescent="0.25">
      <c r="A8603" s="3" t="e">
        <f ca="1"/>
        <v>#NAME?</v>
      </c>
      <c r="B8603" s="2" t="s">
        <v>12</v>
      </c>
      <c r="C8603" s="2" t="s">
        <v>12</v>
      </c>
      <c r="D8603" s="2" t="s">
        <v>12</v>
      </c>
      <c r="E8603" s="2" t="s">
        <v>12</v>
      </c>
      <c r="F8603" s="2" t="s">
        <v>12</v>
      </c>
      <c r="G8603" s="2" t="s">
        <v>12</v>
      </c>
      <c r="H8603" s="2" t="s">
        <v>12</v>
      </c>
      <c r="I8603" s="2" t="s">
        <v>12</v>
      </c>
      <c r="J8603" s="2" t="s">
        <v>12</v>
      </c>
      <c r="K8603" s="2" t="s">
        <v>12</v>
      </c>
    </row>
    <row r="8604" spans="1:11" ht="12.5" x14ac:dyDescent="0.25">
      <c r="A8604" s="3" t="e">
        <f ca="1"/>
        <v>#NAME?</v>
      </c>
      <c r="B8604" s="2" t="s">
        <v>12</v>
      </c>
      <c r="C8604" s="2" t="s">
        <v>12</v>
      </c>
      <c r="D8604" s="2" t="s">
        <v>12</v>
      </c>
      <c r="E8604" s="2" t="s">
        <v>12</v>
      </c>
      <c r="F8604" s="2" t="s">
        <v>12</v>
      </c>
      <c r="G8604" s="2" t="s">
        <v>12</v>
      </c>
      <c r="H8604" s="2" t="s">
        <v>12</v>
      </c>
      <c r="I8604" s="2" t="s">
        <v>12</v>
      </c>
      <c r="J8604" s="2" t="s">
        <v>12</v>
      </c>
      <c r="K8604" s="2" t="s">
        <v>12</v>
      </c>
    </row>
    <row r="8605" spans="1:11" ht="12.5" x14ac:dyDescent="0.25">
      <c r="A8605" s="3" t="e">
        <f ca="1"/>
        <v>#NAME?</v>
      </c>
      <c r="B8605" s="2" t="s">
        <v>12</v>
      </c>
      <c r="C8605" s="2" t="s">
        <v>12</v>
      </c>
      <c r="D8605" s="2" t="s">
        <v>12</v>
      </c>
      <c r="E8605" s="2" t="s">
        <v>12</v>
      </c>
      <c r="F8605" s="2" t="s">
        <v>12</v>
      </c>
      <c r="G8605" s="2" t="s">
        <v>12</v>
      </c>
      <c r="H8605" s="2" t="s">
        <v>12</v>
      </c>
      <c r="I8605" s="2" t="s">
        <v>12</v>
      </c>
      <c r="J8605" s="2" t="s">
        <v>12</v>
      </c>
      <c r="K8605" s="2" t="s">
        <v>12</v>
      </c>
    </row>
    <row r="8606" spans="1:11" ht="12.5" x14ac:dyDescent="0.25">
      <c r="A8606" s="3" t="e">
        <f ca="1"/>
        <v>#NAME?</v>
      </c>
      <c r="B8606" s="2" t="s">
        <v>12</v>
      </c>
      <c r="C8606" s="2" t="s">
        <v>12</v>
      </c>
      <c r="D8606" s="2" t="s">
        <v>12</v>
      </c>
      <c r="E8606" s="2" t="s">
        <v>12</v>
      </c>
      <c r="F8606" s="2" t="s">
        <v>12</v>
      </c>
      <c r="G8606" s="2" t="s">
        <v>12</v>
      </c>
      <c r="H8606" s="2" t="s">
        <v>12</v>
      </c>
      <c r="I8606" s="2" t="s">
        <v>12</v>
      </c>
      <c r="J8606" s="2" t="s">
        <v>12</v>
      </c>
      <c r="K8606" s="2" t="s">
        <v>12</v>
      </c>
    </row>
    <row r="8607" spans="1:11" ht="12.5" x14ac:dyDescent="0.25">
      <c r="A8607" s="3" t="e">
        <f ca="1"/>
        <v>#NAME?</v>
      </c>
      <c r="B8607" s="2" t="s">
        <v>12</v>
      </c>
      <c r="C8607" s="2" t="s">
        <v>12</v>
      </c>
      <c r="D8607" s="2" t="s">
        <v>12</v>
      </c>
      <c r="E8607" s="2" t="s">
        <v>12</v>
      </c>
      <c r="F8607" s="2" t="s">
        <v>12</v>
      </c>
      <c r="G8607" s="2" t="s">
        <v>12</v>
      </c>
      <c r="H8607" s="2" t="s">
        <v>12</v>
      </c>
      <c r="I8607" s="2" t="s">
        <v>12</v>
      </c>
      <c r="J8607" s="2" t="s">
        <v>12</v>
      </c>
      <c r="K8607" s="2" t="s">
        <v>12</v>
      </c>
    </row>
    <row r="8608" spans="1:11" ht="12.5" x14ac:dyDescent="0.25">
      <c r="A8608" s="3" t="e">
        <f ca="1"/>
        <v>#NAME?</v>
      </c>
      <c r="B8608" s="2" t="s">
        <v>12</v>
      </c>
      <c r="C8608" s="2" t="s">
        <v>12</v>
      </c>
      <c r="D8608" s="2" t="s">
        <v>12</v>
      </c>
      <c r="E8608" s="2" t="s">
        <v>12</v>
      </c>
      <c r="F8608" s="2" t="s">
        <v>12</v>
      </c>
      <c r="G8608" s="2" t="s">
        <v>12</v>
      </c>
      <c r="H8608" s="2" t="s">
        <v>12</v>
      </c>
      <c r="I8608" s="2" t="s">
        <v>12</v>
      </c>
      <c r="J8608" s="2" t="s">
        <v>12</v>
      </c>
      <c r="K8608" s="2" t="s">
        <v>12</v>
      </c>
    </row>
    <row r="8609" spans="1:11" ht="12.5" x14ac:dyDescent="0.25">
      <c r="A8609" s="3" t="e">
        <f ca="1"/>
        <v>#NAME?</v>
      </c>
      <c r="B8609" s="2" t="s">
        <v>12</v>
      </c>
      <c r="C8609" s="2" t="s">
        <v>12</v>
      </c>
      <c r="D8609" s="2" t="s">
        <v>12</v>
      </c>
      <c r="E8609" s="2" t="s">
        <v>12</v>
      </c>
      <c r="F8609" s="2" t="s">
        <v>12</v>
      </c>
      <c r="G8609" s="2" t="s">
        <v>12</v>
      </c>
      <c r="H8609" s="2" t="s">
        <v>12</v>
      </c>
      <c r="I8609" s="2" t="s">
        <v>12</v>
      </c>
      <c r="J8609" s="2" t="s">
        <v>12</v>
      </c>
      <c r="K8609" s="2" t="s">
        <v>12</v>
      </c>
    </row>
    <row r="8610" spans="1:11" ht="12.5" x14ac:dyDescent="0.25">
      <c r="A8610" s="3" t="e">
        <f ca="1"/>
        <v>#NAME?</v>
      </c>
      <c r="B8610" s="2" t="s">
        <v>12</v>
      </c>
      <c r="C8610" s="2" t="s">
        <v>12</v>
      </c>
      <c r="D8610" s="2" t="s">
        <v>12</v>
      </c>
      <c r="E8610" s="2" t="s">
        <v>12</v>
      </c>
      <c r="F8610" s="2" t="s">
        <v>12</v>
      </c>
      <c r="G8610" s="2" t="s">
        <v>12</v>
      </c>
      <c r="H8610" s="2" t="s">
        <v>12</v>
      </c>
      <c r="I8610" s="2" t="s">
        <v>12</v>
      </c>
      <c r="J8610" s="2" t="s">
        <v>12</v>
      </c>
      <c r="K8610" s="2" t="s">
        <v>12</v>
      </c>
    </row>
    <row r="8611" spans="1:11" ht="12.5" x14ac:dyDescent="0.25">
      <c r="A8611" s="3" t="e">
        <f ca="1"/>
        <v>#NAME?</v>
      </c>
      <c r="B8611" s="2" t="s">
        <v>12</v>
      </c>
      <c r="C8611" s="2" t="s">
        <v>12</v>
      </c>
      <c r="D8611" s="2" t="s">
        <v>12</v>
      </c>
      <c r="E8611" s="2" t="s">
        <v>12</v>
      </c>
      <c r="F8611" s="2" t="s">
        <v>12</v>
      </c>
      <c r="G8611" s="2" t="s">
        <v>12</v>
      </c>
      <c r="H8611" s="2" t="s">
        <v>12</v>
      </c>
      <c r="I8611" s="2" t="s">
        <v>12</v>
      </c>
      <c r="J8611" s="2" t="s">
        <v>12</v>
      </c>
      <c r="K8611" s="2" t="s">
        <v>12</v>
      </c>
    </row>
    <row r="8612" spans="1:11" ht="12.5" x14ac:dyDescent="0.25">
      <c r="A8612" s="3" t="e">
        <f ca="1"/>
        <v>#NAME?</v>
      </c>
      <c r="B8612" s="2" t="s">
        <v>12</v>
      </c>
      <c r="C8612" s="2" t="s">
        <v>12</v>
      </c>
      <c r="D8612" s="2" t="s">
        <v>12</v>
      </c>
      <c r="E8612" s="2" t="s">
        <v>12</v>
      </c>
      <c r="F8612" s="2" t="s">
        <v>12</v>
      </c>
      <c r="G8612" s="2" t="s">
        <v>12</v>
      </c>
      <c r="H8612" s="2" t="s">
        <v>12</v>
      </c>
      <c r="I8612" s="2" t="s">
        <v>12</v>
      </c>
      <c r="J8612" s="2" t="s">
        <v>12</v>
      </c>
      <c r="K8612" s="2" t="s">
        <v>12</v>
      </c>
    </row>
    <row r="8613" spans="1:11" ht="12.5" x14ac:dyDescent="0.25">
      <c r="A8613" s="3" t="e">
        <f ca="1"/>
        <v>#NAME?</v>
      </c>
      <c r="B8613" s="2" t="s">
        <v>12</v>
      </c>
      <c r="C8613" s="2" t="s">
        <v>12</v>
      </c>
      <c r="D8613" s="2" t="s">
        <v>12</v>
      </c>
      <c r="E8613" s="2" t="s">
        <v>12</v>
      </c>
      <c r="F8613" s="2" t="s">
        <v>12</v>
      </c>
      <c r="G8613" s="2" t="s">
        <v>12</v>
      </c>
      <c r="H8613" s="2" t="s">
        <v>12</v>
      </c>
      <c r="I8613" s="2" t="s">
        <v>12</v>
      </c>
      <c r="J8613" s="2" t="s">
        <v>12</v>
      </c>
      <c r="K8613" s="2" t="s">
        <v>12</v>
      </c>
    </row>
    <row r="8614" spans="1:11" ht="12.5" x14ac:dyDescent="0.25">
      <c r="A8614" s="3" t="e">
        <f ca="1"/>
        <v>#NAME?</v>
      </c>
      <c r="B8614" s="2" t="s">
        <v>12</v>
      </c>
      <c r="C8614" s="2" t="s">
        <v>12</v>
      </c>
      <c r="D8614" s="2" t="s">
        <v>12</v>
      </c>
      <c r="E8614" s="2" t="s">
        <v>12</v>
      </c>
      <c r="F8614" s="2" t="s">
        <v>12</v>
      </c>
      <c r="G8614" s="2" t="s">
        <v>12</v>
      </c>
      <c r="H8614" s="2" t="s">
        <v>12</v>
      </c>
      <c r="I8614" s="2" t="s">
        <v>12</v>
      </c>
      <c r="J8614" s="2" t="s">
        <v>12</v>
      </c>
      <c r="K8614" s="2" t="s">
        <v>12</v>
      </c>
    </row>
    <row r="8615" spans="1:11" ht="12.5" x14ac:dyDescent="0.25">
      <c r="A8615" s="3" t="e">
        <f ca="1"/>
        <v>#NAME?</v>
      </c>
      <c r="B8615" s="2" t="s">
        <v>12</v>
      </c>
      <c r="C8615" s="2" t="s">
        <v>12</v>
      </c>
      <c r="D8615" s="2" t="s">
        <v>12</v>
      </c>
      <c r="E8615" s="2" t="s">
        <v>12</v>
      </c>
      <c r="F8615" s="2" t="s">
        <v>12</v>
      </c>
      <c r="G8615" s="2" t="s">
        <v>12</v>
      </c>
      <c r="H8615" s="2" t="s">
        <v>12</v>
      </c>
      <c r="I8615" s="2" t="s">
        <v>12</v>
      </c>
      <c r="J8615" s="2" t="s">
        <v>12</v>
      </c>
      <c r="K8615" s="2" t="s">
        <v>12</v>
      </c>
    </row>
    <row r="8616" spans="1:11" ht="12.5" x14ac:dyDescent="0.25">
      <c r="A8616" s="3" t="e">
        <f ca="1"/>
        <v>#NAME?</v>
      </c>
      <c r="B8616" s="2" t="s">
        <v>12</v>
      </c>
      <c r="C8616" s="2" t="s">
        <v>12</v>
      </c>
      <c r="D8616" s="2" t="s">
        <v>12</v>
      </c>
      <c r="E8616" s="2" t="s">
        <v>12</v>
      </c>
      <c r="F8616" s="2" t="s">
        <v>12</v>
      </c>
      <c r="G8616" s="2" t="s">
        <v>12</v>
      </c>
      <c r="H8616" s="2" t="s">
        <v>12</v>
      </c>
      <c r="I8616" s="2" t="s">
        <v>12</v>
      </c>
      <c r="J8616" s="2" t="s">
        <v>12</v>
      </c>
      <c r="K8616" s="2" t="s">
        <v>12</v>
      </c>
    </row>
    <row r="8617" spans="1:11" ht="12.5" x14ac:dyDescent="0.25">
      <c r="A8617" s="3" t="e">
        <f ca="1"/>
        <v>#NAME?</v>
      </c>
      <c r="B8617" s="2" t="s">
        <v>12</v>
      </c>
      <c r="C8617" s="2" t="s">
        <v>12</v>
      </c>
      <c r="D8617" s="2" t="s">
        <v>12</v>
      </c>
      <c r="E8617" s="2" t="s">
        <v>12</v>
      </c>
      <c r="F8617" s="2" t="s">
        <v>12</v>
      </c>
      <c r="G8617" s="2" t="s">
        <v>12</v>
      </c>
      <c r="H8617" s="2" t="s">
        <v>12</v>
      </c>
      <c r="I8617" s="2" t="s">
        <v>12</v>
      </c>
      <c r="J8617" s="2" t="s">
        <v>12</v>
      </c>
      <c r="K8617" s="2" t="s">
        <v>12</v>
      </c>
    </row>
    <row r="8618" spans="1:11" ht="12.5" x14ac:dyDescent="0.25">
      <c r="A8618" s="3" t="e">
        <f ca="1"/>
        <v>#NAME?</v>
      </c>
      <c r="B8618" s="2" t="s">
        <v>12</v>
      </c>
      <c r="C8618" s="2" t="s">
        <v>12</v>
      </c>
      <c r="D8618" s="2" t="s">
        <v>12</v>
      </c>
      <c r="E8618" s="2" t="s">
        <v>12</v>
      </c>
      <c r="F8618" s="2" t="s">
        <v>12</v>
      </c>
      <c r="G8618" s="2" t="s">
        <v>12</v>
      </c>
      <c r="H8618" s="2" t="s">
        <v>12</v>
      </c>
      <c r="I8618" s="2" t="s">
        <v>12</v>
      </c>
      <c r="J8618" s="2" t="s">
        <v>12</v>
      </c>
      <c r="K8618" s="2" t="s">
        <v>12</v>
      </c>
    </row>
    <row r="8619" spans="1:11" ht="12.5" x14ac:dyDescent="0.25">
      <c r="A8619" s="3" t="e">
        <f ca="1"/>
        <v>#NAME?</v>
      </c>
      <c r="B8619" s="2" t="s">
        <v>12</v>
      </c>
      <c r="C8619" s="2" t="s">
        <v>12</v>
      </c>
      <c r="D8619" s="2" t="s">
        <v>12</v>
      </c>
      <c r="E8619" s="2" t="s">
        <v>12</v>
      </c>
      <c r="F8619" s="2" t="s">
        <v>12</v>
      </c>
      <c r="G8619" s="2" t="s">
        <v>12</v>
      </c>
      <c r="H8619" s="2" t="s">
        <v>12</v>
      </c>
      <c r="I8619" s="2" t="s">
        <v>12</v>
      </c>
      <c r="J8619" s="2" t="s">
        <v>12</v>
      </c>
      <c r="K8619" s="2" t="s">
        <v>12</v>
      </c>
    </row>
    <row r="8620" spans="1:11" ht="12.5" x14ac:dyDescent="0.25">
      <c r="A8620" s="3" t="e">
        <f ca="1"/>
        <v>#NAME?</v>
      </c>
      <c r="B8620" s="2" t="s">
        <v>12</v>
      </c>
      <c r="C8620" s="2" t="s">
        <v>12</v>
      </c>
      <c r="D8620" s="2" t="s">
        <v>12</v>
      </c>
      <c r="E8620" s="2" t="s">
        <v>12</v>
      </c>
      <c r="F8620" s="2" t="s">
        <v>12</v>
      </c>
      <c r="G8620" s="2" t="s">
        <v>12</v>
      </c>
      <c r="H8620" s="2" t="s">
        <v>12</v>
      </c>
      <c r="I8620" s="2" t="s">
        <v>12</v>
      </c>
      <c r="J8620" s="2" t="s">
        <v>12</v>
      </c>
      <c r="K8620" s="2" t="s">
        <v>12</v>
      </c>
    </row>
    <row r="8621" spans="1:11" ht="12.5" x14ac:dyDescent="0.25">
      <c r="A8621" s="3" t="e">
        <f ca="1"/>
        <v>#NAME?</v>
      </c>
      <c r="B8621" s="2" t="s">
        <v>12</v>
      </c>
      <c r="C8621" s="2" t="s">
        <v>12</v>
      </c>
      <c r="D8621" s="2" t="s">
        <v>12</v>
      </c>
      <c r="E8621" s="2" t="s">
        <v>12</v>
      </c>
      <c r="F8621" s="2" t="s">
        <v>12</v>
      </c>
      <c r="G8621" s="2" t="s">
        <v>12</v>
      </c>
      <c r="H8621" s="2" t="s">
        <v>12</v>
      </c>
      <c r="I8621" s="2" t="s">
        <v>12</v>
      </c>
      <c r="J8621" s="2" t="s">
        <v>12</v>
      </c>
      <c r="K8621" s="2" t="s">
        <v>12</v>
      </c>
    </row>
    <row r="8622" spans="1:11" ht="12.5" x14ac:dyDescent="0.25">
      <c r="A8622" s="3" t="e">
        <f ca="1"/>
        <v>#NAME?</v>
      </c>
      <c r="B8622" s="2" t="s">
        <v>12</v>
      </c>
      <c r="C8622" s="2" t="s">
        <v>12</v>
      </c>
      <c r="D8622" s="2" t="s">
        <v>12</v>
      </c>
      <c r="E8622" s="2" t="s">
        <v>12</v>
      </c>
      <c r="F8622" s="2" t="s">
        <v>12</v>
      </c>
      <c r="G8622" s="2" t="s">
        <v>12</v>
      </c>
      <c r="H8622" s="2" t="s">
        <v>12</v>
      </c>
      <c r="I8622" s="2" t="s">
        <v>12</v>
      </c>
      <c r="J8622" s="2" t="s">
        <v>12</v>
      </c>
      <c r="K8622" s="2" t="s">
        <v>12</v>
      </c>
    </row>
    <row r="8623" spans="1:11" ht="12.5" x14ac:dyDescent="0.25">
      <c r="A8623" s="3" t="e">
        <f ca="1"/>
        <v>#NAME?</v>
      </c>
      <c r="B8623" s="2" t="s">
        <v>12</v>
      </c>
      <c r="C8623" s="2" t="s">
        <v>12</v>
      </c>
      <c r="D8623" s="2" t="s">
        <v>12</v>
      </c>
      <c r="E8623" s="2" t="s">
        <v>12</v>
      </c>
      <c r="F8623" s="2" t="s">
        <v>12</v>
      </c>
      <c r="G8623" s="2" t="s">
        <v>12</v>
      </c>
      <c r="H8623" s="2" t="s">
        <v>12</v>
      </c>
      <c r="I8623" s="2" t="s">
        <v>12</v>
      </c>
      <c r="J8623" s="2" t="s">
        <v>12</v>
      </c>
      <c r="K8623" s="2" t="s">
        <v>12</v>
      </c>
    </row>
    <row r="8624" spans="1:11" ht="12.5" x14ac:dyDescent="0.25">
      <c r="A8624" s="3" t="e">
        <f ca="1"/>
        <v>#NAME?</v>
      </c>
      <c r="B8624" s="2" t="s">
        <v>12</v>
      </c>
      <c r="C8624" s="2" t="s">
        <v>12</v>
      </c>
      <c r="D8624" s="2" t="s">
        <v>12</v>
      </c>
      <c r="E8624" s="2" t="s">
        <v>12</v>
      </c>
      <c r="F8624" s="2" t="s">
        <v>12</v>
      </c>
      <c r="G8624" s="2" t="s">
        <v>12</v>
      </c>
      <c r="H8624" s="2" t="s">
        <v>12</v>
      </c>
      <c r="I8624" s="2" t="s">
        <v>12</v>
      </c>
      <c r="J8624" s="2" t="s">
        <v>12</v>
      </c>
      <c r="K8624" s="2" t="s">
        <v>12</v>
      </c>
    </row>
    <row r="8625" spans="1:11" ht="12.5" x14ac:dyDescent="0.25">
      <c r="A8625" s="3" t="e">
        <f ca="1"/>
        <v>#NAME?</v>
      </c>
      <c r="B8625" s="2" t="s">
        <v>12</v>
      </c>
      <c r="C8625" s="2" t="s">
        <v>12</v>
      </c>
      <c r="D8625" s="2" t="s">
        <v>12</v>
      </c>
      <c r="E8625" s="2" t="s">
        <v>12</v>
      </c>
      <c r="F8625" s="2" t="s">
        <v>12</v>
      </c>
      <c r="G8625" s="2" t="s">
        <v>12</v>
      </c>
      <c r="H8625" s="2" t="s">
        <v>12</v>
      </c>
      <c r="I8625" s="2" t="s">
        <v>12</v>
      </c>
      <c r="J8625" s="2" t="s">
        <v>12</v>
      </c>
      <c r="K8625" s="2" t="s">
        <v>12</v>
      </c>
    </row>
    <row r="8626" spans="1:11" ht="12.5" x14ac:dyDescent="0.25">
      <c r="A8626" s="3" t="e">
        <f ca="1"/>
        <v>#NAME?</v>
      </c>
      <c r="B8626" s="2" t="s">
        <v>12</v>
      </c>
      <c r="C8626" s="2" t="s">
        <v>12</v>
      </c>
      <c r="D8626" s="2" t="s">
        <v>12</v>
      </c>
      <c r="E8626" s="2" t="s">
        <v>12</v>
      </c>
      <c r="F8626" s="2" t="s">
        <v>12</v>
      </c>
      <c r="G8626" s="2" t="s">
        <v>12</v>
      </c>
      <c r="H8626" s="2" t="s">
        <v>12</v>
      </c>
      <c r="I8626" s="2" t="s">
        <v>12</v>
      </c>
      <c r="J8626" s="2" t="s">
        <v>12</v>
      </c>
      <c r="K8626" s="2" t="s">
        <v>12</v>
      </c>
    </row>
    <row r="8627" spans="1:11" ht="12.5" x14ac:dyDescent="0.25">
      <c r="A8627" s="3" t="e">
        <f ca="1"/>
        <v>#NAME?</v>
      </c>
      <c r="B8627" s="2" t="s">
        <v>12</v>
      </c>
      <c r="C8627" s="2" t="s">
        <v>12</v>
      </c>
      <c r="D8627" s="2" t="s">
        <v>12</v>
      </c>
      <c r="E8627" s="2" t="s">
        <v>12</v>
      </c>
      <c r="F8627" s="2" t="s">
        <v>12</v>
      </c>
      <c r="G8627" s="2" t="s">
        <v>12</v>
      </c>
      <c r="H8627" s="2" t="s">
        <v>12</v>
      </c>
      <c r="I8627" s="2" t="s">
        <v>12</v>
      </c>
      <c r="J8627" s="2" t="s">
        <v>12</v>
      </c>
      <c r="K8627" s="2" t="s">
        <v>12</v>
      </c>
    </row>
    <row r="8628" spans="1:11" ht="12.5" x14ac:dyDescent="0.25">
      <c r="A8628" s="3" t="e">
        <f ca="1"/>
        <v>#NAME?</v>
      </c>
      <c r="B8628" s="2" t="s">
        <v>12</v>
      </c>
      <c r="C8628" s="2" t="s">
        <v>12</v>
      </c>
      <c r="D8628" s="2" t="s">
        <v>12</v>
      </c>
      <c r="E8628" s="2" t="s">
        <v>12</v>
      </c>
      <c r="F8628" s="2" t="s">
        <v>12</v>
      </c>
      <c r="G8628" s="2" t="s">
        <v>12</v>
      </c>
      <c r="H8628" s="2" t="s">
        <v>12</v>
      </c>
      <c r="I8628" s="2" t="s">
        <v>12</v>
      </c>
      <c r="J8628" s="2" t="s">
        <v>12</v>
      </c>
      <c r="K8628" s="2" t="s">
        <v>12</v>
      </c>
    </row>
    <row r="8629" spans="1:11" ht="12.5" x14ac:dyDescent="0.25">
      <c r="A8629" s="3" t="e">
        <f ca="1"/>
        <v>#NAME?</v>
      </c>
      <c r="B8629" s="2" t="s">
        <v>12</v>
      </c>
      <c r="C8629" s="2" t="s">
        <v>12</v>
      </c>
      <c r="D8629" s="2" t="s">
        <v>12</v>
      </c>
      <c r="E8629" s="2" t="s">
        <v>12</v>
      </c>
      <c r="F8629" s="2" t="s">
        <v>12</v>
      </c>
      <c r="G8629" s="2" t="s">
        <v>12</v>
      </c>
      <c r="H8629" s="2" t="s">
        <v>12</v>
      </c>
      <c r="I8629" s="2" t="s">
        <v>12</v>
      </c>
      <c r="J8629" s="2" t="s">
        <v>12</v>
      </c>
      <c r="K8629" s="2" t="s">
        <v>12</v>
      </c>
    </row>
    <row r="8630" spans="1:11" ht="12.5" x14ac:dyDescent="0.25">
      <c r="A8630" s="3" t="e">
        <f ca="1"/>
        <v>#NAME?</v>
      </c>
      <c r="B8630" s="2" t="s">
        <v>12</v>
      </c>
      <c r="C8630" s="2" t="s">
        <v>12</v>
      </c>
      <c r="D8630" s="2" t="s">
        <v>12</v>
      </c>
      <c r="E8630" s="2" t="s">
        <v>12</v>
      </c>
      <c r="F8630" s="2" t="s">
        <v>12</v>
      </c>
      <c r="G8630" s="2" t="s">
        <v>12</v>
      </c>
      <c r="H8630" s="2" t="s">
        <v>12</v>
      </c>
      <c r="I8630" s="2" t="s">
        <v>12</v>
      </c>
      <c r="J8630" s="2" t="s">
        <v>12</v>
      </c>
      <c r="K8630" s="2" t="s">
        <v>12</v>
      </c>
    </row>
    <row r="8631" spans="1:11" ht="12.5" x14ac:dyDescent="0.25">
      <c r="A8631" s="3" t="e">
        <f ca="1"/>
        <v>#NAME?</v>
      </c>
      <c r="B8631" s="2" t="s">
        <v>12</v>
      </c>
      <c r="C8631" s="2" t="s">
        <v>12</v>
      </c>
      <c r="D8631" s="2" t="s">
        <v>12</v>
      </c>
      <c r="E8631" s="2" t="s">
        <v>12</v>
      </c>
      <c r="F8631" s="2" t="s">
        <v>12</v>
      </c>
      <c r="G8631" s="2" t="s">
        <v>12</v>
      </c>
      <c r="H8631" s="2" t="s">
        <v>12</v>
      </c>
      <c r="I8631" s="2" t="s">
        <v>12</v>
      </c>
      <c r="J8631" s="2" t="s">
        <v>12</v>
      </c>
      <c r="K8631" s="2" t="s">
        <v>12</v>
      </c>
    </row>
    <row r="8632" spans="1:11" ht="12.5" x14ac:dyDescent="0.25">
      <c r="A8632" s="3" t="e">
        <f ca="1"/>
        <v>#NAME?</v>
      </c>
      <c r="B8632" s="2" t="s">
        <v>12</v>
      </c>
      <c r="C8632" s="2" t="s">
        <v>12</v>
      </c>
      <c r="D8632" s="2" t="s">
        <v>12</v>
      </c>
      <c r="E8632" s="2" t="s">
        <v>12</v>
      </c>
      <c r="F8632" s="2" t="s">
        <v>12</v>
      </c>
      <c r="G8632" s="2" t="s">
        <v>12</v>
      </c>
      <c r="H8632" s="2" t="s">
        <v>12</v>
      </c>
      <c r="I8632" s="2" t="s">
        <v>12</v>
      </c>
      <c r="J8632" s="2" t="s">
        <v>12</v>
      </c>
      <c r="K8632" s="2" t="s">
        <v>12</v>
      </c>
    </row>
    <row r="8633" spans="1:11" ht="12.5" x14ac:dyDescent="0.25">
      <c r="A8633" s="3" t="e">
        <f ca="1"/>
        <v>#NAME?</v>
      </c>
      <c r="B8633" s="2" t="s">
        <v>12</v>
      </c>
      <c r="C8633" s="2" t="s">
        <v>12</v>
      </c>
      <c r="D8633" s="2" t="s">
        <v>12</v>
      </c>
      <c r="E8633" s="2" t="s">
        <v>12</v>
      </c>
      <c r="F8633" s="2" t="s">
        <v>12</v>
      </c>
      <c r="G8633" s="2" t="s">
        <v>12</v>
      </c>
      <c r="H8633" s="2" t="s">
        <v>12</v>
      </c>
      <c r="I8633" s="2" t="s">
        <v>12</v>
      </c>
      <c r="J8633" s="2" t="s">
        <v>12</v>
      </c>
      <c r="K8633" s="2" t="s">
        <v>12</v>
      </c>
    </row>
    <row r="8634" spans="1:11" ht="12.5" x14ac:dyDescent="0.25">
      <c r="A8634" s="3" t="e">
        <f ca="1"/>
        <v>#NAME?</v>
      </c>
      <c r="B8634" s="2" t="s">
        <v>12</v>
      </c>
      <c r="C8634" s="2" t="s">
        <v>12</v>
      </c>
      <c r="D8634" s="2" t="s">
        <v>12</v>
      </c>
      <c r="E8634" s="2" t="s">
        <v>12</v>
      </c>
      <c r="F8634" s="2" t="s">
        <v>12</v>
      </c>
      <c r="G8634" s="2" t="s">
        <v>12</v>
      </c>
      <c r="H8634" s="2" t="s">
        <v>12</v>
      </c>
      <c r="I8634" s="2" t="s">
        <v>12</v>
      </c>
      <c r="J8634" s="2" t="s">
        <v>12</v>
      </c>
      <c r="K8634" s="2" t="s">
        <v>12</v>
      </c>
    </row>
    <row r="8635" spans="1:11" ht="12.5" x14ac:dyDescent="0.25">
      <c r="A8635" s="3" t="e">
        <f ca="1"/>
        <v>#NAME?</v>
      </c>
      <c r="B8635" s="2" t="s">
        <v>12</v>
      </c>
      <c r="C8635" s="2" t="s">
        <v>12</v>
      </c>
      <c r="D8635" s="2" t="s">
        <v>12</v>
      </c>
      <c r="E8635" s="2" t="s">
        <v>12</v>
      </c>
      <c r="F8635" s="2" t="s">
        <v>12</v>
      </c>
      <c r="G8635" s="2" t="s">
        <v>12</v>
      </c>
      <c r="H8635" s="2" t="s">
        <v>12</v>
      </c>
      <c r="I8635" s="2" t="s">
        <v>12</v>
      </c>
      <c r="J8635" s="2" t="s">
        <v>12</v>
      </c>
      <c r="K8635" s="2" t="s">
        <v>12</v>
      </c>
    </row>
    <row r="8636" spans="1:11" ht="12.5" x14ac:dyDescent="0.25">
      <c r="A8636" s="3" t="e">
        <f ca="1"/>
        <v>#NAME?</v>
      </c>
      <c r="B8636" s="2" t="s">
        <v>12</v>
      </c>
      <c r="C8636" s="2" t="s">
        <v>12</v>
      </c>
      <c r="D8636" s="2" t="s">
        <v>12</v>
      </c>
      <c r="E8636" s="2" t="s">
        <v>12</v>
      </c>
      <c r="F8636" s="2" t="s">
        <v>12</v>
      </c>
      <c r="G8636" s="2" t="s">
        <v>12</v>
      </c>
      <c r="H8636" s="2" t="s">
        <v>12</v>
      </c>
      <c r="I8636" s="2" t="s">
        <v>12</v>
      </c>
      <c r="J8636" s="2" t="s">
        <v>12</v>
      </c>
      <c r="K8636" s="2" t="s">
        <v>12</v>
      </c>
    </row>
    <row r="8637" spans="1:11" ht="12.5" x14ac:dyDescent="0.25">
      <c r="A8637" s="3" t="e">
        <f ca="1"/>
        <v>#NAME?</v>
      </c>
      <c r="B8637" s="2" t="s">
        <v>12</v>
      </c>
      <c r="C8637" s="2" t="s">
        <v>12</v>
      </c>
      <c r="D8637" s="2" t="s">
        <v>12</v>
      </c>
      <c r="E8637" s="2" t="s">
        <v>12</v>
      </c>
      <c r="F8637" s="2" t="s">
        <v>12</v>
      </c>
      <c r="G8637" s="2" t="s">
        <v>12</v>
      </c>
      <c r="H8637" s="2" t="s">
        <v>12</v>
      </c>
      <c r="I8637" s="2" t="s">
        <v>12</v>
      </c>
      <c r="J8637" s="2" t="s">
        <v>12</v>
      </c>
      <c r="K8637" s="2" t="s">
        <v>12</v>
      </c>
    </row>
    <row r="8638" spans="1:11" ht="12.5" x14ac:dyDescent="0.25">
      <c r="A8638" s="3" t="e">
        <f ca="1"/>
        <v>#NAME?</v>
      </c>
      <c r="B8638" s="2" t="s">
        <v>12</v>
      </c>
      <c r="C8638" s="2" t="s">
        <v>12</v>
      </c>
      <c r="D8638" s="2" t="s">
        <v>12</v>
      </c>
      <c r="E8638" s="2" t="s">
        <v>12</v>
      </c>
      <c r="F8638" s="2" t="s">
        <v>12</v>
      </c>
      <c r="G8638" s="2" t="s">
        <v>12</v>
      </c>
      <c r="H8638" s="2" t="s">
        <v>12</v>
      </c>
      <c r="I8638" s="2" t="s">
        <v>12</v>
      </c>
      <c r="J8638" s="2" t="s">
        <v>12</v>
      </c>
      <c r="K8638" s="2" t="s">
        <v>12</v>
      </c>
    </row>
    <row r="8639" spans="1:11" ht="12.5" x14ac:dyDescent="0.25">
      <c r="A8639" s="3" t="e">
        <f ca="1"/>
        <v>#NAME?</v>
      </c>
      <c r="B8639" s="2" t="s">
        <v>12</v>
      </c>
      <c r="C8639" s="2" t="s">
        <v>12</v>
      </c>
      <c r="D8639" s="2" t="s">
        <v>12</v>
      </c>
      <c r="E8639" s="2" t="s">
        <v>12</v>
      </c>
      <c r="F8639" s="2" t="s">
        <v>12</v>
      </c>
      <c r="G8639" s="2" t="s">
        <v>12</v>
      </c>
      <c r="H8639" s="2" t="s">
        <v>12</v>
      </c>
      <c r="I8639" s="2" t="s">
        <v>12</v>
      </c>
      <c r="J8639" s="2" t="s">
        <v>12</v>
      </c>
      <c r="K8639" s="2" t="s">
        <v>12</v>
      </c>
    </row>
    <row r="8640" spans="1:11" ht="12.5" x14ac:dyDescent="0.25">
      <c r="A8640" s="3" t="e">
        <f ca="1"/>
        <v>#NAME?</v>
      </c>
      <c r="B8640" s="2" t="s">
        <v>12</v>
      </c>
      <c r="C8640" s="2" t="s">
        <v>12</v>
      </c>
      <c r="D8640" s="2" t="s">
        <v>12</v>
      </c>
      <c r="E8640" s="2" t="s">
        <v>12</v>
      </c>
      <c r="F8640" s="2" t="s">
        <v>12</v>
      </c>
      <c r="G8640" s="2" t="s">
        <v>12</v>
      </c>
      <c r="H8640" s="2" t="s">
        <v>12</v>
      </c>
      <c r="I8640" s="2" t="s">
        <v>12</v>
      </c>
      <c r="J8640" s="2" t="s">
        <v>12</v>
      </c>
      <c r="K8640" s="2" t="s">
        <v>12</v>
      </c>
    </row>
    <row r="8641" spans="1:11" ht="12.5" x14ac:dyDescent="0.25">
      <c r="A8641" s="3" t="e">
        <f ca="1"/>
        <v>#NAME?</v>
      </c>
      <c r="B8641" s="2" t="s">
        <v>12</v>
      </c>
      <c r="C8641" s="2" t="s">
        <v>12</v>
      </c>
      <c r="D8641" s="2" t="s">
        <v>12</v>
      </c>
      <c r="E8641" s="2" t="s">
        <v>12</v>
      </c>
      <c r="F8641" s="2" t="s">
        <v>12</v>
      </c>
      <c r="G8641" s="2" t="s">
        <v>12</v>
      </c>
      <c r="H8641" s="2" t="s">
        <v>12</v>
      </c>
      <c r="I8641" s="2" t="s">
        <v>12</v>
      </c>
      <c r="J8641" s="2" t="s">
        <v>12</v>
      </c>
      <c r="K8641" s="2" t="s">
        <v>12</v>
      </c>
    </row>
    <row r="8642" spans="1:11" ht="12.5" x14ac:dyDescent="0.25">
      <c r="A8642" s="3" t="e">
        <f ca="1"/>
        <v>#NAME?</v>
      </c>
      <c r="B8642" s="2" t="s">
        <v>12</v>
      </c>
      <c r="C8642" s="2" t="s">
        <v>12</v>
      </c>
      <c r="D8642" s="2" t="s">
        <v>12</v>
      </c>
      <c r="E8642" s="2" t="s">
        <v>12</v>
      </c>
      <c r="F8642" s="2" t="s">
        <v>12</v>
      </c>
      <c r="G8642" s="2" t="s">
        <v>12</v>
      </c>
      <c r="H8642" s="2" t="s">
        <v>12</v>
      </c>
      <c r="I8642" s="2" t="s">
        <v>12</v>
      </c>
      <c r="J8642" s="2" t="s">
        <v>12</v>
      </c>
      <c r="K8642" s="2" t="s">
        <v>12</v>
      </c>
    </row>
    <row r="8643" spans="1:11" ht="12.5" x14ac:dyDescent="0.25">
      <c r="A8643" s="3" t="e">
        <f ca="1"/>
        <v>#NAME?</v>
      </c>
      <c r="B8643" s="2" t="s">
        <v>12</v>
      </c>
      <c r="C8643" s="2" t="s">
        <v>12</v>
      </c>
      <c r="D8643" s="2" t="s">
        <v>12</v>
      </c>
      <c r="E8643" s="2" t="s">
        <v>12</v>
      </c>
      <c r="F8643" s="2" t="s">
        <v>12</v>
      </c>
      <c r="G8643" s="2" t="s">
        <v>12</v>
      </c>
      <c r="H8643" s="2" t="s">
        <v>12</v>
      </c>
      <c r="I8643" s="2" t="s">
        <v>12</v>
      </c>
      <c r="J8643" s="2" t="s">
        <v>12</v>
      </c>
      <c r="K8643" s="2" t="s">
        <v>12</v>
      </c>
    </row>
    <row r="8644" spans="1:11" ht="12.5" x14ac:dyDescent="0.25">
      <c r="A8644" s="3" t="e">
        <f ca="1"/>
        <v>#NAME?</v>
      </c>
      <c r="B8644" s="2" t="s">
        <v>12</v>
      </c>
      <c r="C8644" s="2" t="s">
        <v>12</v>
      </c>
      <c r="D8644" s="2" t="s">
        <v>12</v>
      </c>
      <c r="E8644" s="2" t="s">
        <v>12</v>
      </c>
      <c r="F8644" s="2" t="s">
        <v>12</v>
      </c>
      <c r="G8644" s="2" t="s">
        <v>12</v>
      </c>
      <c r="H8644" s="2" t="s">
        <v>12</v>
      </c>
      <c r="I8644" s="2" t="s">
        <v>12</v>
      </c>
      <c r="J8644" s="2" t="s">
        <v>12</v>
      </c>
      <c r="K8644" s="2" t="s">
        <v>12</v>
      </c>
    </row>
    <row r="8645" spans="1:11" ht="12.5" x14ac:dyDescent="0.25">
      <c r="A8645" s="3" t="e">
        <f ca="1"/>
        <v>#NAME?</v>
      </c>
      <c r="B8645" s="2" t="s">
        <v>12</v>
      </c>
      <c r="C8645" s="2" t="s">
        <v>12</v>
      </c>
      <c r="D8645" s="2" t="s">
        <v>12</v>
      </c>
      <c r="E8645" s="2" t="s">
        <v>12</v>
      </c>
      <c r="F8645" s="2" t="s">
        <v>12</v>
      </c>
      <c r="G8645" s="2" t="s">
        <v>12</v>
      </c>
      <c r="H8645" s="2" t="s">
        <v>12</v>
      </c>
      <c r="I8645" s="2" t="s">
        <v>12</v>
      </c>
      <c r="J8645" s="2" t="s">
        <v>12</v>
      </c>
      <c r="K8645" s="2" t="s">
        <v>12</v>
      </c>
    </row>
    <row r="8646" spans="1:11" ht="12.5" x14ac:dyDescent="0.25">
      <c r="A8646" s="3" t="e">
        <f ca="1"/>
        <v>#NAME?</v>
      </c>
      <c r="B8646" s="2" t="s">
        <v>12</v>
      </c>
      <c r="C8646" s="2" t="s">
        <v>12</v>
      </c>
      <c r="D8646" s="2" t="s">
        <v>12</v>
      </c>
      <c r="E8646" s="2" t="s">
        <v>12</v>
      </c>
      <c r="F8646" s="2" t="s">
        <v>12</v>
      </c>
      <c r="G8646" s="2" t="s">
        <v>12</v>
      </c>
      <c r="H8646" s="2" t="s">
        <v>12</v>
      </c>
      <c r="I8646" s="2" t="s">
        <v>12</v>
      </c>
      <c r="J8646" s="2" t="s">
        <v>12</v>
      </c>
      <c r="K8646" s="2" t="s">
        <v>12</v>
      </c>
    </row>
    <row r="8647" spans="1:11" ht="12.5" x14ac:dyDescent="0.25">
      <c r="A8647" s="3" t="e">
        <f ca="1"/>
        <v>#NAME?</v>
      </c>
      <c r="B8647" s="2" t="s">
        <v>12</v>
      </c>
      <c r="C8647" s="2" t="s">
        <v>12</v>
      </c>
      <c r="D8647" s="2" t="s">
        <v>12</v>
      </c>
      <c r="E8647" s="2" t="s">
        <v>12</v>
      </c>
      <c r="F8647" s="2" t="s">
        <v>12</v>
      </c>
      <c r="G8647" s="2" t="s">
        <v>12</v>
      </c>
      <c r="H8647" s="2" t="s">
        <v>12</v>
      </c>
      <c r="I8647" s="2" t="s">
        <v>12</v>
      </c>
      <c r="J8647" s="2" t="s">
        <v>12</v>
      </c>
      <c r="K8647" s="2" t="s">
        <v>12</v>
      </c>
    </row>
    <row r="8648" spans="1:11" ht="12.5" x14ac:dyDescent="0.25">
      <c r="A8648" s="3" t="e">
        <f ca="1"/>
        <v>#NAME?</v>
      </c>
      <c r="B8648" s="2" t="s">
        <v>12</v>
      </c>
      <c r="C8648" s="2" t="s">
        <v>12</v>
      </c>
      <c r="D8648" s="2" t="s">
        <v>12</v>
      </c>
      <c r="E8648" s="2" t="s">
        <v>12</v>
      </c>
      <c r="F8648" s="2" t="s">
        <v>12</v>
      </c>
      <c r="G8648" s="2" t="s">
        <v>12</v>
      </c>
      <c r="H8648" s="2" t="s">
        <v>12</v>
      </c>
      <c r="I8648" s="2" t="s">
        <v>12</v>
      </c>
      <c r="J8648" s="2" t="s">
        <v>12</v>
      </c>
      <c r="K8648" s="2" t="s">
        <v>12</v>
      </c>
    </row>
    <row r="8649" spans="1:11" ht="12.5" x14ac:dyDescent="0.25">
      <c r="A8649" s="3" t="e">
        <f ca="1"/>
        <v>#NAME?</v>
      </c>
      <c r="B8649" s="2" t="s">
        <v>12</v>
      </c>
      <c r="C8649" s="2" t="s">
        <v>12</v>
      </c>
      <c r="D8649" s="2" t="s">
        <v>12</v>
      </c>
      <c r="E8649" s="2" t="s">
        <v>12</v>
      </c>
      <c r="F8649" s="2" t="s">
        <v>12</v>
      </c>
      <c r="G8649" s="2" t="s">
        <v>12</v>
      </c>
      <c r="H8649" s="2" t="s">
        <v>12</v>
      </c>
      <c r="I8649" s="2" t="s">
        <v>12</v>
      </c>
      <c r="J8649" s="2" t="s">
        <v>12</v>
      </c>
      <c r="K8649" s="2" t="s">
        <v>12</v>
      </c>
    </row>
    <row r="8650" spans="1:11" ht="12.5" x14ac:dyDescent="0.25">
      <c r="A8650" s="3" t="e">
        <f ca="1"/>
        <v>#NAME?</v>
      </c>
      <c r="B8650" s="2" t="s">
        <v>12</v>
      </c>
      <c r="C8650" s="2" t="s">
        <v>12</v>
      </c>
      <c r="D8650" s="2" t="s">
        <v>12</v>
      </c>
      <c r="E8650" s="2" t="s">
        <v>12</v>
      </c>
      <c r="F8650" s="2" t="s">
        <v>12</v>
      </c>
      <c r="G8650" s="2" t="s">
        <v>12</v>
      </c>
      <c r="H8650" s="2" t="s">
        <v>12</v>
      </c>
      <c r="I8650" s="2" t="s">
        <v>12</v>
      </c>
      <c r="J8650" s="2" t="s">
        <v>12</v>
      </c>
      <c r="K8650" s="2" t="s">
        <v>12</v>
      </c>
    </row>
    <row r="8651" spans="1:11" ht="12.5" x14ac:dyDescent="0.25">
      <c r="A8651" s="3" t="e">
        <f ca="1"/>
        <v>#NAME?</v>
      </c>
      <c r="B8651" s="2" t="s">
        <v>12</v>
      </c>
      <c r="C8651" s="2" t="s">
        <v>12</v>
      </c>
      <c r="D8651" s="2" t="s">
        <v>12</v>
      </c>
      <c r="E8651" s="2" t="s">
        <v>12</v>
      </c>
      <c r="F8651" s="2" t="s">
        <v>12</v>
      </c>
      <c r="G8651" s="2" t="s">
        <v>12</v>
      </c>
      <c r="H8651" s="2" t="s">
        <v>12</v>
      </c>
      <c r="I8651" s="2" t="s">
        <v>12</v>
      </c>
      <c r="J8651" s="2" t="s">
        <v>12</v>
      </c>
      <c r="K8651" s="2" t="s">
        <v>12</v>
      </c>
    </row>
    <row r="8652" spans="1:11" ht="12.5" x14ac:dyDescent="0.25">
      <c r="A8652" s="3" t="e">
        <f ca="1"/>
        <v>#NAME?</v>
      </c>
      <c r="B8652" s="2" t="s">
        <v>12</v>
      </c>
      <c r="C8652" s="2" t="s">
        <v>12</v>
      </c>
      <c r="D8652" s="2" t="s">
        <v>12</v>
      </c>
      <c r="E8652" s="2" t="s">
        <v>12</v>
      </c>
      <c r="F8652" s="2" t="s">
        <v>12</v>
      </c>
      <c r="G8652" s="2" t="s">
        <v>12</v>
      </c>
      <c r="H8652" s="2" t="s">
        <v>12</v>
      </c>
      <c r="I8652" s="2" t="s">
        <v>12</v>
      </c>
      <c r="J8652" s="2" t="s">
        <v>12</v>
      </c>
      <c r="K8652" s="2" t="s">
        <v>12</v>
      </c>
    </row>
    <row r="8653" spans="1:11" ht="12.5" x14ac:dyDescent="0.25">
      <c r="A8653" s="3" t="e">
        <f ca="1"/>
        <v>#NAME?</v>
      </c>
      <c r="B8653" s="2" t="s">
        <v>12</v>
      </c>
      <c r="C8653" s="2" t="s">
        <v>12</v>
      </c>
      <c r="D8653" s="2" t="s">
        <v>12</v>
      </c>
      <c r="E8653" s="2" t="s">
        <v>12</v>
      </c>
      <c r="F8653" s="2" t="s">
        <v>12</v>
      </c>
      <c r="G8653" s="2" t="s">
        <v>12</v>
      </c>
      <c r="H8653" s="2" t="s">
        <v>12</v>
      </c>
      <c r="I8653" s="2" t="s">
        <v>12</v>
      </c>
      <c r="J8653" s="2" t="s">
        <v>12</v>
      </c>
      <c r="K8653" s="2" t="s">
        <v>12</v>
      </c>
    </row>
    <row r="8654" spans="1:11" ht="12.5" x14ac:dyDescent="0.25">
      <c r="A8654" s="3" t="e">
        <f ca="1"/>
        <v>#NAME?</v>
      </c>
      <c r="B8654" s="2" t="s">
        <v>12</v>
      </c>
      <c r="C8654" s="2" t="s">
        <v>12</v>
      </c>
      <c r="D8654" s="2" t="s">
        <v>12</v>
      </c>
      <c r="E8654" s="2" t="s">
        <v>12</v>
      </c>
      <c r="F8654" s="2" t="s">
        <v>12</v>
      </c>
      <c r="G8654" s="2" t="s">
        <v>12</v>
      </c>
      <c r="H8654" s="2" t="s">
        <v>12</v>
      </c>
      <c r="I8654" s="2" t="s">
        <v>12</v>
      </c>
      <c r="J8654" s="2" t="s">
        <v>12</v>
      </c>
      <c r="K8654" s="2" t="s">
        <v>12</v>
      </c>
    </row>
    <row r="8655" spans="1:11" ht="12.5" x14ac:dyDescent="0.25">
      <c r="A8655" s="3" t="e">
        <f ca="1"/>
        <v>#NAME?</v>
      </c>
      <c r="B8655" s="2" t="s">
        <v>12</v>
      </c>
      <c r="C8655" s="2" t="s">
        <v>12</v>
      </c>
      <c r="D8655" s="2" t="s">
        <v>12</v>
      </c>
      <c r="E8655" s="2" t="s">
        <v>12</v>
      </c>
      <c r="F8655" s="2" t="s">
        <v>12</v>
      </c>
      <c r="G8655" s="2" t="s">
        <v>12</v>
      </c>
      <c r="H8655" s="2" t="s">
        <v>12</v>
      </c>
      <c r="I8655" s="2" t="s">
        <v>12</v>
      </c>
      <c r="J8655" s="2" t="s">
        <v>12</v>
      </c>
      <c r="K8655" s="2" t="s">
        <v>12</v>
      </c>
    </row>
    <row r="8656" spans="1:11" ht="12.5" x14ac:dyDescent="0.25">
      <c r="A8656" s="3" t="e">
        <f ca="1"/>
        <v>#NAME?</v>
      </c>
      <c r="B8656" s="2" t="s">
        <v>12</v>
      </c>
      <c r="C8656" s="2" t="s">
        <v>12</v>
      </c>
      <c r="D8656" s="2" t="s">
        <v>12</v>
      </c>
      <c r="E8656" s="2" t="s">
        <v>12</v>
      </c>
      <c r="F8656" s="2" t="s">
        <v>12</v>
      </c>
      <c r="G8656" s="2" t="s">
        <v>12</v>
      </c>
      <c r="H8656" s="2" t="s">
        <v>12</v>
      </c>
      <c r="I8656" s="2" t="s">
        <v>12</v>
      </c>
      <c r="J8656" s="2" t="s">
        <v>12</v>
      </c>
      <c r="K8656" s="2" t="s">
        <v>12</v>
      </c>
    </row>
    <row r="8657" spans="1:11" ht="12.5" x14ac:dyDescent="0.25">
      <c r="A8657" s="3" t="e">
        <f ca="1"/>
        <v>#NAME?</v>
      </c>
      <c r="B8657" s="2" t="s">
        <v>12</v>
      </c>
      <c r="C8657" s="2" t="s">
        <v>12</v>
      </c>
      <c r="D8657" s="2" t="s">
        <v>12</v>
      </c>
      <c r="E8657" s="2" t="s">
        <v>12</v>
      </c>
      <c r="F8657" s="2" t="s">
        <v>12</v>
      </c>
      <c r="G8657" s="2" t="s">
        <v>12</v>
      </c>
      <c r="H8657" s="2" t="s">
        <v>12</v>
      </c>
      <c r="I8657" s="2" t="s">
        <v>12</v>
      </c>
      <c r="J8657" s="2" t="s">
        <v>12</v>
      </c>
      <c r="K8657" s="2" t="s">
        <v>12</v>
      </c>
    </row>
    <row r="8658" spans="1:11" ht="12.5" x14ac:dyDescent="0.25">
      <c r="A8658" s="3" t="e">
        <f ca="1"/>
        <v>#NAME?</v>
      </c>
      <c r="B8658" s="2" t="s">
        <v>12</v>
      </c>
      <c r="C8658" s="2" t="s">
        <v>12</v>
      </c>
      <c r="D8658" s="2" t="s">
        <v>12</v>
      </c>
      <c r="E8658" s="2" t="s">
        <v>12</v>
      </c>
      <c r="F8658" s="2" t="s">
        <v>12</v>
      </c>
      <c r="G8658" s="2" t="s">
        <v>12</v>
      </c>
      <c r="H8658" s="2" t="s">
        <v>12</v>
      </c>
      <c r="I8658" s="2" t="s">
        <v>12</v>
      </c>
      <c r="J8658" s="2" t="s">
        <v>12</v>
      </c>
      <c r="K8658" s="2" t="s">
        <v>12</v>
      </c>
    </row>
    <row r="8659" spans="1:11" ht="12.5" x14ac:dyDescent="0.25">
      <c r="A8659" s="3" t="e">
        <f ca="1"/>
        <v>#NAME?</v>
      </c>
      <c r="B8659" s="2" t="s">
        <v>12</v>
      </c>
      <c r="C8659" s="2" t="s">
        <v>12</v>
      </c>
      <c r="D8659" s="2" t="s">
        <v>12</v>
      </c>
      <c r="E8659" s="2" t="s">
        <v>12</v>
      </c>
      <c r="F8659" s="2" t="s">
        <v>12</v>
      </c>
      <c r="G8659" s="2" t="s">
        <v>12</v>
      </c>
      <c r="H8659" s="2" t="s">
        <v>12</v>
      </c>
      <c r="I8659" s="2" t="s">
        <v>12</v>
      </c>
      <c r="J8659" s="2" t="s">
        <v>12</v>
      </c>
      <c r="K8659" s="2" t="s">
        <v>12</v>
      </c>
    </row>
    <row r="8660" spans="1:11" ht="12.5" x14ac:dyDescent="0.25">
      <c r="A8660" s="3" t="e">
        <f ca="1"/>
        <v>#NAME?</v>
      </c>
      <c r="B8660" s="2" t="s">
        <v>12</v>
      </c>
      <c r="C8660" s="2" t="s">
        <v>12</v>
      </c>
      <c r="D8660" s="2" t="s">
        <v>12</v>
      </c>
      <c r="E8660" s="2" t="s">
        <v>12</v>
      </c>
      <c r="F8660" s="2" t="s">
        <v>12</v>
      </c>
      <c r="G8660" s="2" t="s">
        <v>12</v>
      </c>
      <c r="H8660" s="2" t="s">
        <v>12</v>
      </c>
      <c r="I8660" s="2" t="s">
        <v>12</v>
      </c>
      <c r="J8660" s="2" t="s">
        <v>12</v>
      </c>
      <c r="K8660" s="2" t="s">
        <v>12</v>
      </c>
    </row>
    <row r="8661" spans="1:11" ht="12.5" x14ac:dyDescent="0.25">
      <c r="A8661" s="3" t="e">
        <f ca="1"/>
        <v>#NAME?</v>
      </c>
      <c r="B8661" s="2" t="s">
        <v>12</v>
      </c>
      <c r="C8661" s="2" t="s">
        <v>12</v>
      </c>
      <c r="D8661" s="2" t="s">
        <v>12</v>
      </c>
      <c r="E8661" s="2" t="s">
        <v>12</v>
      </c>
      <c r="F8661" s="2" t="s">
        <v>12</v>
      </c>
      <c r="G8661" s="2" t="s">
        <v>12</v>
      </c>
      <c r="H8661" s="2" t="s">
        <v>12</v>
      </c>
      <c r="I8661" s="2" t="s">
        <v>12</v>
      </c>
      <c r="J8661" s="2" t="s">
        <v>12</v>
      </c>
      <c r="K8661" s="2" t="s">
        <v>12</v>
      </c>
    </row>
    <row r="8662" spans="1:11" ht="12.5" x14ac:dyDescent="0.25">
      <c r="A8662" s="3" t="e">
        <f ca="1"/>
        <v>#NAME?</v>
      </c>
      <c r="B8662" s="2" t="s">
        <v>12</v>
      </c>
      <c r="C8662" s="2" t="s">
        <v>12</v>
      </c>
      <c r="D8662" s="2" t="s">
        <v>12</v>
      </c>
      <c r="E8662" s="2" t="s">
        <v>12</v>
      </c>
      <c r="F8662" s="2" t="s">
        <v>12</v>
      </c>
      <c r="G8662" s="2" t="s">
        <v>12</v>
      </c>
      <c r="H8662" s="2" t="s">
        <v>12</v>
      </c>
      <c r="I8662" s="2" t="s">
        <v>12</v>
      </c>
      <c r="J8662" s="2" t="s">
        <v>12</v>
      </c>
      <c r="K8662" s="2" t="s">
        <v>12</v>
      </c>
    </row>
    <row r="8663" spans="1:11" ht="12.5" x14ac:dyDescent="0.25">
      <c r="A8663" s="3" t="e">
        <f ca="1"/>
        <v>#NAME?</v>
      </c>
      <c r="B8663" s="2" t="s">
        <v>12</v>
      </c>
      <c r="C8663" s="2" t="s">
        <v>12</v>
      </c>
      <c r="D8663" s="2" t="s">
        <v>12</v>
      </c>
      <c r="E8663" s="2" t="s">
        <v>12</v>
      </c>
      <c r="F8663" s="2" t="s">
        <v>12</v>
      </c>
      <c r="G8663" s="2" t="s">
        <v>12</v>
      </c>
      <c r="H8663" s="2" t="s">
        <v>12</v>
      </c>
      <c r="I8663" s="2" t="s">
        <v>12</v>
      </c>
      <c r="J8663" s="2" t="s">
        <v>12</v>
      </c>
      <c r="K8663" s="2" t="s">
        <v>12</v>
      </c>
    </row>
    <row r="8664" spans="1:11" ht="12.5" x14ac:dyDescent="0.25">
      <c r="A8664" s="3" t="e">
        <f ca="1"/>
        <v>#NAME?</v>
      </c>
      <c r="B8664" s="2" t="s">
        <v>12</v>
      </c>
      <c r="C8664" s="2" t="s">
        <v>12</v>
      </c>
      <c r="D8664" s="2" t="s">
        <v>12</v>
      </c>
      <c r="E8664" s="2" t="s">
        <v>12</v>
      </c>
      <c r="F8664" s="2" t="s">
        <v>12</v>
      </c>
      <c r="G8664" s="2" t="s">
        <v>12</v>
      </c>
      <c r="H8664" s="2" t="s">
        <v>12</v>
      </c>
      <c r="I8664" s="2" t="s">
        <v>12</v>
      </c>
      <c r="J8664" s="2" t="s">
        <v>12</v>
      </c>
      <c r="K8664" s="2" t="s">
        <v>12</v>
      </c>
    </row>
    <row r="8665" spans="1:11" ht="12.5" x14ac:dyDescent="0.25">
      <c r="A8665" s="3" t="e">
        <f ca="1"/>
        <v>#NAME?</v>
      </c>
      <c r="B8665" s="2" t="s">
        <v>12</v>
      </c>
      <c r="C8665" s="2" t="s">
        <v>12</v>
      </c>
      <c r="D8665" s="2" t="s">
        <v>12</v>
      </c>
      <c r="E8665" s="2" t="s">
        <v>12</v>
      </c>
      <c r="F8665" s="2" t="s">
        <v>12</v>
      </c>
      <c r="G8665" s="2" t="s">
        <v>12</v>
      </c>
      <c r="H8665" s="2" t="s">
        <v>12</v>
      </c>
      <c r="I8665" s="2" t="s">
        <v>12</v>
      </c>
      <c r="J8665" s="2" t="s">
        <v>12</v>
      </c>
      <c r="K8665" s="2" t="s">
        <v>12</v>
      </c>
    </row>
    <row r="8666" spans="1:11" ht="12.5" x14ac:dyDescent="0.25">
      <c r="A8666" s="3" t="e">
        <f ca="1"/>
        <v>#NAME?</v>
      </c>
      <c r="B8666" s="2" t="s">
        <v>12</v>
      </c>
      <c r="C8666" s="2" t="s">
        <v>12</v>
      </c>
      <c r="D8666" s="2" t="s">
        <v>12</v>
      </c>
      <c r="E8666" s="2" t="s">
        <v>12</v>
      </c>
      <c r="F8666" s="2" t="s">
        <v>12</v>
      </c>
      <c r="G8666" s="2" t="s">
        <v>12</v>
      </c>
      <c r="H8666" s="2" t="s">
        <v>12</v>
      </c>
      <c r="I8666" s="2" t="s">
        <v>12</v>
      </c>
      <c r="J8666" s="2" t="s">
        <v>12</v>
      </c>
      <c r="K8666" s="2" t="s">
        <v>12</v>
      </c>
    </row>
    <row r="8667" spans="1:11" ht="12.5" x14ac:dyDescent="0.25">
      <c r="A8667" s="3" t="e">
        <f ca="1"/>
        <v>#NAME?</v>
      </c>
      <c r="B8667" s="2" t="s">
        <v>12</v>
      </c>
      <c r="C8667" s="2" t="s">
        <v>12</v>
      </c>
      <c r="D8667" s="2" t="s">
        <v>12</v>
      </c>
      <c r="E8667" s="2" t="s">
        <v>12</v>
      </c>
      <c r="F8667" s="2" t="s">
        <v>12</v>
      </c>
      <c r="G8667" s="2" t="s">
        <v>12</v>
      </c>
      <c r="H8667" s="2" t="s">
        <v>12</v>
      </c>
      <c r="I8667" s="2" t="s">
        <v>12</v>
      </c>
      <c r="J8667" s="2" t="s">
        <v>12</v>
      </c>
      <c r="K8667" s="2" t="s">
        <v>12</v>
      </c>
    </row>
    <row r="8668" spans="1:11" ht="12.5" x14ac:dyDescent="0.25">
      <c r="A8668" s="3" t="e">
        <f ca="1"/>
        <v>#NAME?</v>
      </c>
      <c r="B8668" s="2" t="s">
        <v>12</v>
      </c>
      <c r="C8668" s="2" t="s">
        <v>12</v>
      </c>
      <c r="D8668" s="2" t="s">
        <v>12</v>
      </c>
      <c r="E8668" s="2" t="s">
        <v>12</v>
      </c>
      <c r="F8668" s="2" t="s">
        <v>12</v>
      </c>
      <c r="G8668" s="2" t="s">
        <v>12</v>
      </c>
      <c r="H8668" s="2" t="s">
        <v>12</v>
      </c>
      <c r="I8668" s="2" t="s">
        <v>12</v>
      </c>
      <c r="J8668" s="2" t="s">
        <v>12</v>
      </c>
      <c r="K8668" s="2" t="s">
        <v>12</v>
      </c>
    </row>
    <row r="8669" spans="1:11" ht="12.5" x14ac:dyDescent="0.25">
      <c r="A8669" s="3" t="e">
        <f ca="1"/>
        <v>#NAME?</v>
      </c>
      <c r="B8669" s="2" t="s">
        <v>12</v>
      </c>
      <c r="C8669" s="2" t="s">
        <v>12</v>
      </c>
      <c r="D8669" s="2" t="s">
        <v>12</v>
      </c>
      <c r="E8669" s="2" t="s">
        <v>12</v>
      </c>
      <c r="F8669" s="2" t="s">
        <v>12</v>
      </c>
      <c r="G8669" s="2" t="s">
        <v>12</v>
      </c>
      <c r="H8669" s="2" t="s">
        <v>12</v>
      </c>
      <c r="I8669" s="2" t="s">
        <v>12</v>
      </c>
      <c r="J8669" s="2" t="s">
        <v>12</v>
      </c>
      <c r="K8669" s="2" t="s">
        <v>12</v>
      </c>
    </row>
    <row r="8670" spans="1:11" ht="12.5" x14ac:dyDescent="0.25">
      <c r="A8670" s="3" t="e">
        <f ca="1"/>
        <v>#NAME?</v>
      </c>
      <c r="B8670" s="2" t="s">
        <v>12</v>
      </c>
      <c r="C8670" s="2" t="s">
        <v>12</v>
      </c>
      <c r="D8670" s="2" t="s">
        <v>12</v>
      </c>
      <c r="E8670" s="2" t="s">
        <v>12</v>
      </c>
      <c r="F8670" s="2" t="s">
        <v>12</v>
      </c>
      <c r="G8670" s="2" t="s">
        <v>12</v>
      </c>
      <c r="H8670" s="2" t="s">
        <v>12</v>
      </c>
      <c r="I8670" s="2" t="s">
        <v>12</v>
      </c>
      <c r="J8670" s="2" t="s">
        <v>12</v>
      </c>
      <c r="K8670" s="2" t="s">
        <v>12</v>
      </c>
    </row>
    <row r="8671" spans="1:11" ht="12.5" x14ac:dyDescent="0.25">
      <c r="A8671" s="3" t="e">
        <f ca="1"/>
        <v>#NAME?</v>
      </c>
      <c r="B8671" s="2" t="s">
        <v>12</v>
      </c>
      <c r="C8671" s="2" t="s">
        <v>12</v>
      </c>
      <c r="D8671" s="2" t="s">
        <v>12</v>
      </c>
      <c r="E8671" s="2" t="s">
        <v>12</v>
      </c>
      <c r="F8671" s="2" t="s">
        <v>12</v>
      </c>
      <c r="G8671" s="2" t="s">
        <v>12</v>
      </c>
      <c r="H8671" s="2" t="s">
        <v>12</v>
      </c>
      <c r="I8671" s="2" t="s">
        <v>12</v>
      </c>
      <c r="J8671" s="2" t="s">
        <v>12</v>
      </c>
      <c r="K8671" s="2" t="s">
        <v>12</v>
      </c>
    </row>
    <row r="8672" spans="1:11" ht="12.5" x14ac:dyDescent="0.25">
      <c r="A8672" s="3" t="e">
        <f ca="1"/>
        <v>#NAME?</v>
      </c>
      <c r="B8672" s="2" t="s">
        <v>12</v>
      </c>
      <c r="C8672" s="2" t="s">
        <v>12</v>
      </c>
      <c r="D8672" s="2" t="s">
        <v>12</v>
      </c>
      <c r="E8672" s="2" t="s">
        <v>12</v>
      </c>
      <c r="F8672" s="2" t="s">
        <v>12</v>
      </c>
      <c r="G8672" s="2" t="s">
        <v>12</v>
      </c>
      <c r="H8672" s="2" t="s">
        <v>12</v>
      </c>
      <c r="I8672" s="2" t="s">
        <v>12</v>
      </c>
      <c r="J8672" s="2" t="s">
        <v>12</v>
      </c>
      <c r="K8672" s="2" t="s">
        <v>12</v>
      </c>
    </row>
    <row r="8673" spans="1:11" ht="12.5" x14ac:dyDescent="0.25">
      <c r="A8673" s="3" t="e">
        <f ca="1"/>
        <v>#NAME?</v>
      </c>
      <c r="B8673" s="2" t="s">
        <v>12</v>
      </c>
      <c r="C8673" s="2" t="s">
        <v>12</v>
      </c>
      <c r="D8673" s="2" t="s">
        <v>12</v>
      </c>
      <c r="E8673" s="2" t="s">
        <v>12</v>
      </c>
      <c r="F8673" s="2" t="s">
        <v>12</v>
      </c>
      <c r="G8673" s="2" t="s">
        <v>12</v>
      </c>
      <c r="H8673" s="2" t="s">
        <v>12</v>
      </c>
      <c r="I8673" s="2" t="s">
        <v>12</v>
      </c>
      <c r="J8673" s="2" t="s">
        <v>12</v>
      </c>
      <c r="K8673" s="2" t="s">
        <v>12</v>
      </c>
    </row>
    <row r="8674" spans="1:11" ht="12.5" x14ac:dyDescent="0.25">
      <c r="A8674" s="3" t="e">
        <f ca="1"/>
        <v>#NAME?</v>
      </c>
      <c r="B8674" s="2" t="s">
        <v>12</v>
      </c>
      <c r="C8674" s="2" t="s">
        <v>12</v>
      </c>
      <c r="D8674" s="2" t="s">
        <v>12</v>
      </c>
      <c r="E8674" s="2" t="s">
        <v>12</v>
      </c>
      <c r="F8674" s="2" t="s">
        <v>12</v>
      </c>
      <c r="G8674" s="2" t="s">
        <v>12</v>
      </c>
      <c r="H8674" s="2" t="s">
        <v>12</v>
      </c>
      <c r="I8674" s="2" t="s">
        <v>12</v>
      </c>
      <c r="J8674" s="2" t="s">
        <v>12</v>
      </c>
      <c r="K8674" s="2" t="s">
        <v>12</v>
      </c>
    </row>
    <row r="8675" spans="1:11" ht="12.5" x14ac:dyDescent="0.25">
      <c r="A8675" s="3" t="e">
        <f ca="1"/>
        <v>#NAME?</v>
      </c>
      <c r="B8675" s="2" t="s">
        <v>12</v>
      </c>
      <c r="C8675" s="2" t="s">
        <v>12</v>
      </c>
      <c r="D8675" s="2" t="s">
        <v>12</v>
      </c>
      <c r="E8675" s="2" t="s">
        <v>12</v>
      </c>
      <c r="F8675" s="2" t="s">
        <v>12</v>
      </c>
      <c r="G8675" s="2" t="s">
        <v>12</v>
      </c>
      <c r="H8675" s="2" t="s">
        <v>12</v>
      </c>
      <c r="I8675" s="2" t="s">
        <v>12</v>
      </c>
      <c r="J8675" s="2" t="s">
        <v>12</v>
      </c>
      <c r="K8675" s="2" t="s">
        <v>12</v>
      </c>
    </row>
    <row r="8676" spans="1:11" ht="12.5" x14ac:dyDescent="0.25">
      <c r="A8676" s="3" t="e">
        <f ca="1"/>
        <v>#NAME?</v>
      </c>
      <c r="B8676" s="2" t="s">
        <v>12</v>
      </c>
      <c r="C8676" s="2" t="s">
        <v>12</v>
      </c>
      <c r="D8676" s="2" t="s">
        <v>12</v>
      </c>
      <c r="E8676" s="2" t="s">
        <v>12</v>
      </c>
      <c r="F8676" s="2" t="s">
        <v>12</v>
      </c>
      <c r="G8676" s="2" t="s">
        <v>12</v>
      </c>
      <c r="H8676" s="2" t="s">
        <v>12</v>
      </c>
      <c r="I8676" s="2" t="s">
        <v>12</v>
      </c>
      <c r="J8676" s="2" t="s">
        <v>12</v>
      </c>
      <c r="K8676" s="2" t="s">
        <v>12</v>
      </c>
    </row>
    <row r="8677" spans="1:11" ht="12.5" x14ac:dyDescent="0.25">
      <c r="A8677" s="3" t="e">
        <f ca="1"/>
        <v>#NAME?</v>
      </c>
      <c r="B8677" s="2" t="s">
        <v>12</v>
      </c>
      <c r="C8677" s="2" t="s">
        <v>12</v>
      </c>
      <c r="D8677" s="2" t="s">
        <v>12</v>
      </c>
      <c r="E8677" s="2" t="s">
        <v>12</v>
      </c>
      <c r="F8677" s="2" t="s">
        <v>12</v>
      </c>
      <c r="G8677" s="2" t="s">
        <v>12</v>
      </c>
      <c r="H8677" s="2" t="s">
        <v>12</v>
      </c>
      <c r="I8677" s="2" t="s">
        <v>12</v>
      </c>
      <c r="J8677" s="2" t="s">
        <v>12</v>
      </c>
      <c r="K8677" s="2" t="s">
        <v>12</v>
      </c>
    </row>
    <row r="8678" spans="1:11" ht="12.5" x14ac:dyDescent="0.25">
      <c r="A8678" s="3" t="e">
        <f ca="1"/>
        <v>#NAME?</v>
      </c>
      <c r="B8678" s="2" t="s">
        <v>12</v>
      </c>
      <c r="C8678" s="2" t="s">
        <v>12</v>
      </c>
      <c r="D8678" s="2" t="s">
        <v>12</v>
      </c>
      <c r="E8678" s="2" t="s">
        <v>12</v>
      </c>
      <c r="F8678" s="2" t="s">
        <v>12</v>
      </c>
      <c r="G8678" s="2" t="s">
        <v>12</v>
      </c>
      <c r="H8678" s="2" t="s">
        <v>12</v>
      </c>
      <c r="I8678" s="2" t="s">
        <v>12</v>
      </c>
      <c r="J8678" s="2" t="s">
        <v>12</v>
      </c>
      <c r="K8678" s="2" t="s">
        <v>12</v>
      </c>
    </row>
    <row r="8679" spans="1:11" ht="12.5" x14ac:dyDescent="0.25">
      <c r="A8679" s="3" t="e">
        <f ca="1"/>
        <v>#NAME?</v>
      </c>
      <c r="B8679" s="2" t="s">
        <v>12</v>
      </c>
      <c r="C8679" s="2" t="s">
        <v>12</v>
      </c>
      <c r="D8679" s="2" t="s">
        <v>12</v>
      </c>
      <c r="E8679" s="2" t="s">
        <v>12</v>
      </c>
      <c r="F8679" s="2" t="s">
        <v>12</v>
      </c>
      <c r="G8679" s="2" t="s">
        <v>12</v>
      </c>
      <c r="H8679" s="2" t="s">
        <v>12</v>
      </c>
      <c r="I8679" s="2" t="s">
        <v>12</v>
      </c>
      <c r="J8679" s="2" t="s">
        <v>12</v>
      </c>
      <c r="K8679" s="2" t="s">
        <v>12</v>
      </c>
    </row>
    <row r="8680" spans="1:11" ht="12.5" x14ac:dyDescent="0.25">
      <c r="A8680" s="3" t="e">
        <f ca="1"/>
        <v>#NAME?</v>
      </c>
      <c r="B8680" s="2" t="s">
        <v>12</v>
      </c>
      <c r="C8680" s="2" t="s">
        <v>12</v>
      </c>
      <c r="D8680" s="2" t="s">
        <v>12</v>
      </c>
      <c r="E8680" s="2" t="s">
        <v>12</v>
      </c>
      <c r="F8680" s="2" t="s">
        <v>12</v>
      </c>
      <c r="G8680" s="2" t="s">
        <v>12</v>
      </c>
      <c r="H8680" s="2" t="s">
        <v>12</v>
      </c>
      <c r="I8680" s="2" t="s">
        <v>12</v>
      </c>
      <c r="J8680" s="2" t="s">
        <v>12</v>
      </c>
      <c r="K8680" s="2" t="s">
        <v>12</v>
      </c>
    </row>
    <row r="8681" spans="1:11" ht="12.5" x14ac:dyDescent="0.25">
      <c r="A8681" s="3" t="e">
        <f ca="1"/>
        <v>#NAME?</v>
      </c>
      <c r="B8681" s="2" t="s">
        <v>12</v>
      </c>
      <c r="C8681" s="2" t="s">
        <v>12</v>
      </c>
      <c r="D8681" s="2" t="s">
        <v>12</v>
      </c>
      <c r="E8681" s="2" t="s">
        <v>12</v>
      </c>
      <c r="F8681" s="2" t="s">
        <v>12</v>
      </c>
      <c r="G8681" s="2" t="s">
        <v>12</v>
      </c>
      <c r="H8681" s="2" t="s">
        <v>12</v>
      </c>
      <c r="I8681" s="2" t="s">
        <v>12</v>
      </c>
      <c r="J8681" s="2" t="s">
        <v>12</v>
      </c>
      <c r="K8681" s="2" t="s">
        <v>12</v>
      </c>
    </row>
    <row r="8682" spans="1:11" ht="12.5" x14ac:dyDescent="0.25">
      <c r="A8682" s="3" t="e">
        <f ca="1"/>
        <v>#NAME?</v>
      </c>
      <c r="B8682" s="2" t="s">
        <v>12</v>
      </c>
      <c r="C8682" s="2" t="s">
        <v>12</v>
      </c>
      <c r="D8682" s="2" t="s">
        <v>12</v>
      </c>
      <c r="E8682" s="2" t="s">
        <v>12</v>
      </c>
      <c r="F8682" s="2" t="s">
        <v>12</v>
      </c>
      <c r="G8682" s="2" t="s">
        <v>12</v>
      </c>
      <c r="H8682" s="2" t="s">
        <v>12</v>
      </c>
      <c r="I8682" s="2" t="s">
        <v>12</v>
      </c>
      <c r="J8682" s="2" t="s">
        <v>12</v>
      </c>
      <c r="K8682" s="2" t="s">
        <v>12</v>
      </c>
    </row>
    <row r="8683" spans="1:11" ht="12.5" x14ac:dyDescent="0.25">
      <c r="A8683" s="3" t="e">
        <f ca="1"/>
        <v>#NAME?</v>
      </c>
      <c r="B8683" s="2" t="s">
        <v>12</v>
      </c>
      <c r="C8683" s="2" t="s">
        <v>12</v>
      </c>
      <c r="D8683" s="2" t="s">
        <v>12</v>
      </c>
      <c r="E8683" s="2" t="s">
        <v>12</v>
      </c>
      <c r="F8683" s="2" t="s">
        <v>12</v>
      </c>
      <c r="G8683" s="2" t="s">
        <v>12</v>
      </c>
      <c r="H8683" s="2" t="s">
        <v>12</v>
      </c>
      <c r="I8683" s="2" t="s">
        <v>12</v>
      </c>
      <c r="J8683" s="2" t="s">
        <v>12</v>
      </c>
      <c r="K8683" s="2" t="s">
        <v>12</v>
      </c>
    </row>
    <row r="8684" spans="1:11" ht="12.5" x14ac:dyDescent="0.25">
      <c r="A8684" s="3" t="e">
        <f ca="1"/>
        <v>#NAME?</v>
      </c>
      <c r="B8684" s="2" t="s">
        <v>12</v>
      </c>
      <c r="C8684" s="2" t="s">
        <v>12</v>
      </c>
      <c r="D8684" s="2" t="s">
        <v>12</v>
      </c>
      <c r="E8684" s="2" t="s">
        <v>12</v>
      </c>
      <c r="F8684" s="2" t="s">
        <v>12</v>
      </c>
      <c r="G8684" s="2" t="s">
        <v>12</v>
      </c>
      <c r="H8684" s="2" t="s">
        <v>12</v>
      </c>
      <c r="I8684" s="2" t="s">
        <v>12</v>
      </c>
      <c r="J8684" s="2" t="s">
        <v>12</v>
      </c>
      <c r="K8684" s="2" t="s">
        <v>12</v>
      </c>
    </row>
    <row r="8685" spans="1:11" ht="12.5" x14ac:dyDescent="0.25">
      <c r="A8685" s="3" t="e">
        <f ca="1"/>
        <v>#NAME?</v>
      </c>
      <c r="B8685" s="2" t="s">
        <v>12</v>
      </c>
      <c r="C8685" s="2" t="s">
        <v>12</v>
      </c>
      <c r="D8685" s="2" t="s">
        <v>12</v>
      </c>
      <c r="E8685" s="2" t="s">
        <v>12</v>
      </c>
      <c r="F8685" s="2" t="s">
        <v>12</v>
      </c>
      <c r="G8685" s="2" t="s">
        <v>12</v>
      </c>
      <c r="H8685" s="2" t="s">
        <v>12</v>
      </c>
      <c r="I8685" s="2" t="s">
        <v>12</v>
      </c>
      <c r="J8685" s="2" t="s">
        <v>12</v>
      </c>
      <c r="K8685" s="2" t="s">
        <v>12</v>
      </c>
    </row>
    <row r="8686" spans="1:11" ht="12.5" x14ac:dyDescent="0.25">
      <c r="A8686" s="3" t="e">
        <f ca="1"/>
        <v>#NAME?</v>
      </c>
      <c r="B8686" s="2" t="s">
        <v>12</v>
      </c>
      <c r="C8686" s="2" t="s">
        <v>12</v>
      </c>
      <c r="D8686" s="2" t="s">
        <v>12</v>
      </c>
      <c r="E8686" s="2" t="s">
        <v>12</v>
      </c>
      <c r="F8686" s="2" t="s">
        <v>12</v>
      </c>
      <c r="G8686" s="2" t="s">
        <v>12</v>
      </c>
      <c r="H8686" s="2" t="s">
        <v>12</v>
      </c>
      <c r="I8686" s="2" t="s">
        <v>12</v>
      </c>
      <c r="J8686" s="2" t="s">
        <v>12</v>
      </c>
      <c r="K8686" s="2" t="s">
        <v>12</v>
      </c>
    </row>
    <row r="8687" spans="1:11" ht="12.5" x14ac:dyDescent="0.25">
      <c r="A8687" s="3" t="e">
        <f ca="1"/>
        <v>#NAME?</v>
      </c>
      <c r="B8687" s="2" t="s">
        <v>12</v>
      </c>
      <c r="C8687" s="2" t="s">
        <v>12</v>
      </c>
      <c r="D8687" s="2" t="s">
        <v>12</v>
      </c>
      <c r="E8687" s="2" t="s">
        <v>12</v>
      </c>
      <c r="F8687" s="2" t="s">
        <v>12</v>
      </c>
      <c r="G8687" s="2" t="s">
        <v>12</v>
      </c>
      <c r="H8687" s="2" t="s">
        <v>12</v>
      </c>
      <c r="I8687" s="2" t="s">
        <v>12</v>
      </c>
      <c r="J8687" s="2" t="s">
        <v>12</v>
      </c>
      <c r="K8687" s="2" t="s">
        <v>12</v>
      </c>
    </row>
    <row r="8688" spans="1:11" ht="12.5" x14ac:dyDescent="0.25">
      <c r="A8688" s="3" t="e">
        <f ca="1"/>
        <v>#NAME?</v>
      </c>
      <c r="B8688" s="2" t="s">
        <v>12</v>
      </c>
      <c r="C8688" s="2" t="s">
        <v>12</v>
      </c>
      <c r="D8688" s="2" t="s">
        <v>12</v>
      </c>
      <c r="E8688" s="2" t="s">
        <v>12</v>
      </c>
      <c r="F8688" s="2" t="s">
        <v>12</v>
      </c>
      <c r="G8688" s="2" t="s">
        <v>12</v>
      </c>
      <c r="H8688" s="2" t="s">
        <v>12</v>
      </c>
      <c r="I8688" s="2" t="s">
        <v>12</v>
      </c>
      <c r="J8688" s="2" t="s">
        <v>12</v>
      </c>
      <c r="K8688" s="2" t="s">
        <v>12</v>
      </c>
    </row>
    <row r="8689" spans="1:11" ht="12.5" x14ac:dyDescent="0.25">
      <c r="A8689" s="3" t="e">
        <f ca="1"/>
        <v>#NAME?</v>
      </c>
      <c r="B8689" s="2" t="s">
        <v>12</v>
      </c>
      <c r="C8689" s="2" t="s">
        <v>12</v>
      </c>
      <c r="D8689" s="2" t="s">
        <v>12</v>
      </c>
      <c r="E8689" s="2" t="s">
        <v>12</v>
      </c>
      <c r="F8689" s="2" t="s">
        <v>12</v>
      </c>
      <c r="G8689" s="2" t="s">
        <v>12</v>
      </c>
      <c r="H8689" s="2" t="s">
        <v>12</v>
      </c>
      <c r="I8689" s="2" t="s">
        <v>12</v>
      </c>
      <c r="J8689" s="2" t="s">
        <v>12</v>
      </c>
      <c r="K8689" s="2" t="s">
        <v>12</v>
      </c>
    </row>
    <row r="8690" spans="1:11" ht="12.5" x14ac:dyDescent="0.25">
      <c r="A8690" s="3" t="e">
        <f ca="1"/>
        <v>#NAME?</v>
      </c>
      <c r="B8690" s="2" t="s">
        <v>12</v>
      </c>
      <c r="C8690" s="2" t="s">
        <v>12</v>
      </c>
      <c r="D8690" s="2" t="s">
        <v>12</v>
      </c>
      <c r="E8690" s="2" t="s">
        <v>12</v>
      </c>
      <c r="F8690" s="2" t="s">
        <v>12</v>
      </c>
      <c r="G8690" s="2" t="s">
        <v>12</v>
      </c>
      <c r="H8690" s="2" t="s">
        <v>12</v>
      </c>
      <c r="I8690" s="2" t="s">
        <v>12</v>
      </c>
      <c r="J8690" s="2" t="s">
        <v>12</v>
      </c>
      <c r="K8690" s="2" t="s">
        <v>12</v>
      </c>
    </row>
    <row r="8691" spans="1:11" ht="12.5" x14ac:dyDescent="0.25">
      <c r="A8691" s="3" t="e">
        <f ca="1"/>
        <v>#NAME?</v>
      </c>
      <c r="B8691" s="2" t="s">
        <v>12</v>
      </c>
      <c r="C8691" s="2" t="s">
        <v>12</v>
      </c>
      <c r="D8691" s="2" t="s">
        <v>12</v>
      </c>
      <c r="E8691" s="2" t="s">
        <v>12</v>
      </c>
      <c r="F8691" s="2" t="s">
        <v>12</v>
      </c>
      <c r="G8691" s="2" t="s">
        <v>12</v>
      </c>
      <c r="H8691" s="2" t="s">
        <v>12</v>
      </c>
      <c r="I8691" s="2" t="s">
        <v>12</v>
      </c>
      <c r="J8691" s="2" t="s">
        <v>12</v>
      </c>
      <c r="K8691" s="2" t="s">
        <v>12</v>
      </c>
    </row>
    <row r="8692" spans="1:11" ht="12.5" x14ac:dyDescent="0.25">
      <c r="A8692" s="3" t="e">
        <f ca="1"/>
        <v>#NAME?</v>
      </c>
      <c r="B8692" s="2" t="s">
        <v>12</v>
      </c>
      <c r="C8692" s="2" t="s">
        <v>12</v>
      </c>
      <c r="D8692" s="2" t="s">
        <v>12</v>
      </c>
      <c r="E8692" s="2" t="s">
        <v>12</v>
      </c>
      <c r="F8692" s="2" t="s">
        <v>12</v>
      </c>
      <c r="G8692" s="2" t="s">
        <v>12</v>
      </c>
      <c r="H8692" s="2" t="s">
        <v>12</v>
      </c>
      <c r="I8692" s="2" t="s">
        <v>12</v>
      </c>
      <c r="J8692" s="2" t="s">
        <v>12</v>
      </c>
      <c r="K8692" s="2" t="s">
        <v>12</v>
      </c>
    </row>
    <row r="8693" spans="1:11" ht="12.5" x14ac:dyDescent="0.25">
      <c r="A8693" s="3" t="e">
        <f ca="1"/>
        <v>#NAME?</v>
      </c>
      <c r="B8693" s="2" t="s">
        <v>12</v>
      </c>
      <c r="C8693" s="2" t="s">
        <v>12</v>
      </c>
      <c r="D8693" s="2" t="s">
        <v>12</v>
      </c>
      <c r="E8693" s="2" t="s">
        <v>12</v>
      </c>
      <c r="F8693" s="2" t="s">
        <v>12</v>
      </c>
      <c r="G8693" s="2" t="s">
        <v>12</v>
      </c>
      <c r="H8693" s="2" t="s">
        <v>12</v>
      </c>
      <c r="I8693" s="2" t="s">
        <v>12</v>
      </c>
      <c r="J8693" s="2" t="s">
        <v>12</v>
      </c>
      <c r="K8693" s="2" t="s">
        <v>12</v>
      </c>
    </row>
    <row r="8694" spans="1:11" ht="12.5" x14ac:dyDescent="0.25">
      <c r="A8694" s="3" t="e">
        <f ca="1"/>
        <v>#NAME?</v>
      </c>
      <c r="B8694" s="2" t="s">
        <v>12</v>
      </c>
      <c r="C8694" s="2" t="s">
        <v>12</v>
      </c>
      <c r="D8694" s="2" t="s">
        <v>12</v>
      </c>
      <c r="E8694" s="2" t="s">
        <v>12</v>
      </c>
      <c r="F8694" s="2" t="s">
        <v>12</v>
      </c>
      <c r="G8694" s="2" t="s">
        <v>12</v>
      </c>
      <c r="H8694" s="2" t="s">
        <v>12</v>
      </c>
      <c r="I8694" s="2" t="s">
        <v>12</v>
      </c>
      <c r="J8694" s="2" t="s">
        <v>12</v>
      </c>
      <c r="K8694" s="2" t="s">
        <v>12</v>
      </c>
    </row>
    <row r="8695" spans="1:11" ht="12.5" x14ac:dyDescent="0.25">
      <c r="A8695" s="3" t="e">
        <f ca="1"/>
        <v>#NAME?</v>
      </c>
      <c r="B8695" s="2" t="s">
        <v>12</v>
      </c>
      <c r="C8695" s="2" t="s">
        <v>12</v>
      </c>
      <c r="D8695" s="2" t="s">
        <v>12</v>
      </c>
      <c r="E8695" s="2" t="s">
        <v>12</v>
      </c>
      <c r="F8695" s="2" t="s">
        <v>12</v>
      </c>
      <c r="G8695" s="2" t="s">
        <v>12</v>
      </c>
      <c r="H8695" s="2" t="s">
        <v>12</v>
      </c>
      <c r="I8695" s="2" t="s">
        <v>12</v>
      </c>
      <c r="J8695" s="2" t="s">
        <v>12</v>
      </c>
      <c r="K8695" s="2" t="s">
        <v>12</v>
      </c>
    </row>
    <row r="8696" spans="1:11" ht="12.5" x14ac:dyDescent="0.25">
      <c r="A8696" s="3" t="e">
        <f ca="1"/>
        <v>#NAME?</v>
      </c>
      <c r="B8696" s="2" t="s">
        <v>12</v>
      </c>
      <c r="C8696" s="2" t="s">
        <v>12</v>
      </c>
      <c r="D8696" s="2" t="s">
        <v>12</v>
      </c>
      <c r="E8696" s="2" t="s">
        <v>12</v>
      </c>
      <c r="F8696" s="2" t="s">
        <v>12</v>
      </c>
      <c r="G8696" s="2" t="s">
        <v>12</v>
      </c>
      <c r="H8696" s="2" t="s">
        <v>12</v>
      </c>
      <c r="I8696" s="2" t="s">
        <v>12</v>
      </c>
      <c r="J8696" s="2" t="s">
        <v>12</v>
      </c>
      <c r="K8696" s="2" t="s">
        <v>12</v>
      </c>
    </row>
    <row r="8697" spans="1:11" ht="12.5" x14ac:dyDescent="0.25">
      <c r="A8697" s="3" t="e">
        <f ca="1"/>
        <v>#NAME?</v>
      </c>
      <c r="B8697" s="2" t="s">
        <v>12</v>
      </c>
      <c r="C8697" s="2" t="s">
        <v>12</v>
      </c>
      <c r="D8697" s="2" t="s">
        <v>12</v>
      </c>
      <c r="E8697" s="2" t="s">
        <v>12</v>
      </c>
      <c r="F8697" s="2" t="s">
        <v>12</v>
      </c>
      <c r="G8697" s="2" t="s">
        <v>12</v>
      </c>
      <c r="H8697" s="2" t="s">
        <v>12</v>
      </c>
      <c r="I8697" s="2" t="s">
        <v>12</v>
      </c>
      <c r="J8697" s="2" t="s">
        <v>12</v>
      </c>
      <c r="K8697" s="2" t="s">
        <v>12</v>
      </c>
    </row>
    <row r="8698" spans="1:11" ht="12.5" x14ac:dyDescent="0.25">
      <c r="A8698" s="3" t="e">
        <f ca="1"/>
        <v>#NAME?</v>
      </c>
      <c r="B8698" s="2" t="s">
        <v>12</v>
      </c>
      <c r="C8698" s="2" t="s">
        <v>12</v>
      </c>
      <c r="D8698" s="2" t="s">
        <v>12</v>
      </c>
      <c r="E8698" s="2" t="s">
        <v>12</v>
      </c>
      <c r="F8698" s="2" t="s">
        <v>12</v>
      </c>
      <c r="G8698" s="2" t="s">
        <v>12</v>
      </c>
      <c r="H8698" s="2" t="s">
        <v>12</v>
      </c>
      <c r="I8698" s="2" t="s">
        <v>12</v>
      </c>
      <c r="J8698" s="2" t="s">
        <v>12</v>
      </c>
      <c r="K8698" s="2" t="s">
        <v>12</v>
      </c>
    </row>
    <row r="8699" spans="1:11" ht="12.5" x14ac:dyDescent="0.25">
      <c r="A8699" s="3" t="e">
        <f ca="1"/>
        <v>#NAME?</v>
      </c>
      <c r="B8699" s="2" t="s">
        <v>12</v>
      </c>
      <c r="C8699" s="2" t="s">
        <v>12</v>
      </c>
      <c r="D8699" s="2" t="s">
        <v>12</v>
      </c>
      <c r="E8699" s="2" t="s">
        <v>12</v>
      </c>
      <c r="F8699" s="2" t="s">
        <v>12</v>
      </c>
      <c r="G8699" s="2" t="s">
        <v>12</v>
      </c>
      <c r="H8699" s="2" t="s">
        <v>12</v>
      </c>
      <c r="I8699" s="2" t="s">
        <v>12</v>
      </c>
      <c r="J8699" s="2" t="s">
        <v>12</v>
      </c>
      <c r="K8699" s="2" t="s">
        <v>12</v>
      </c>
    </row>
    <row r="8700" spans="1:11" ht="12.5" x14ac:dyDescent="0.25">
      <c r="A8700" s="3" t="e">
        <f ca="1"/>
        <v>#NAME?</v>
      </c>
      <c r="B8700" s="2" t="s">
        <v>12</v>
      </c>
      <c r="C8700" s="2" t="s">
        <v>12</v>
      </c>
      <c r="D8700" s="2" t="s">
        <v>12</v>
      </c>
      <c r="E8700" s="2" t="s">
        <v>12</v>
      </c>
      <c r="F8700" s="2" t="s">
        <v>12</v>
      </c>
      <c r="G8700" s="2" t="s">
        <v>12</v>
      </c>
      <c r="H8700" s="2" t="s">
        <v>12</v>
      </c>
      <c r="I8700" s="2" t="s">
        <v>12</v>
      </c>
      <c r="J8700" s="2" t="s">
        <v>12</v>
      </c>
      <c r="K8700" s="2" t="s">
        <v>12</v>
      </c>
    </row>
    <row r="8701" spans="1:11" ht="12.5" x14ac:dyDescent="0.25">
      <c r="A8701" s="3" t="e">
        <f ca="1"/>
        <v>#NAME?</v>
      </c>
      <c r="B8701" s="2" t="s">
        <v>12</v>
      </c>
      <c r="C8701" s="2" t="s">
        <v>12</v>
      </c>
      <c r="D8701" s="2" t="s">
        <v>12</v>
      </c>
      <c r="E8701" s="2" t="s">
        <v>12</v>
      </c>
      <c r="F8701" s="2" t="s">
        <v>12</v>
      </c>
      <c r="G8701" s="2" t="s">
        <v>12</v>
      </c>
      <c r="H8701" s="2" t="s">
        <v>12</v>
      </c>
      <c r="I8701" s="2" t="s">
        <v>12</v>
      </c>
      <c r="J8701" s="2" t="s">
        <v>12</v>
      </c>
      <c r="K8701" s="2" t="s">
        <v>12</v>
      </c>
    </row>
    <row r="8702" spans="1:11" ht="12.5" x14ac:dyDescent="0.25">
      <c r="A8702" s="3" t="e">
        <f ca="1"/>
        <v>#NAME?</v>
      </c>
      <c r="B8702" s="2" t="s">
        <v>12</v>
      </c>
      <c r="C8702" s="2" t="s">
        <v>12</v>
      </c>
      <c r="D8702" s="2" t="s">
        <v>12</v>
      </c>
      <c r="E8702" s="2" t="s">
        <v>12</v>
      </c>
      <c r="F8702" s="2" t="s">
        <v>12</v>
      </c>
      <c r="G8702" s="2" t="s">
        <v>12</v>
      </c>
      <c r="H8702" s="2" t="s">
        <v>12</v>
      </c>
      <c r="I8702" s="2" t="s">
        <v>12</v>
      </c>
      <c r="J8702" s="2" t="s">
        <v>12</v>
      </c>
      <c r="K8702" s="2" t="s">
        <v>12</v>
      </c>
    </row>
    <row r="8703" spans="1:11" ht="12.5" x14ac:dyDescent="0.25">
      <c r="A8703" s="3" t="e">
        <f ca="1"/>
        <v>#NAME?</v>
      </c>
      <c r="B8703" s="2" t="s">
        <v>12</v>
      </c>
      <c r="C8703" s="2" t="s">
        <v>12</v>
      </c>
      <c r="D8703" s="2" t="s">
        <v>12</v>
      </c>
      <c r="E8703" s="2" t="s">
        <v>12</v>
      </c>
      <c r="F8703" s="2" t="s">
        <v>12</v>
      </c>
      <c r="G8703" s="2" t="s">
        <v>12</v>
      </c>
      <c r="H8703" s="2" t="s">
        <v>12</v>
      </c>
      <c r="I8703" s="2" t="s">
        <v>12</v>
      </c>
      <c r="J8703" s="2" t="s">
        <v>12</v>
      </c>
      <c r="K8703" s="2" t="s">
        <v>12</v>
      </c>
    </row>
    <row r="8704" spans="1:11" ht="12.5" x14ac:dyDescent="0.25">
      <c r="A8704" s="3" t="e">
        <f ca="1"/>
        <v>#NAME?</v>
      </c>
      <c r="B8704" s="2" t="s">
        <v>12</v>
      </c>
      <c r="C8704" s="2" t="s">
        <v>12</v>
      </c>
      <c r="D8704" s="2" t="s">
        <v>12</v>
      </c>
      <c r="E8704" s="2" t="s">
        <v>12</v>
      </c>
      <c r="F8704" s="2" t="s">
        <v>12</v>
      </c>
      <c r="G8704" s="2" t="s">
        <v>12</v>
      </c>
      <c r="H8704" s="2" t="s">
        <v>12</v>
      </c>
      <c r="I8704" s="2" t="s">
        <v>12</v>
      </c>
      <c r="J8704" s="2" t="s">
        <v>12</v>
      </c>
      <c r="K8704" s="2" t="s">
        <v>12</v>
      </c>
    </row>
    <row r="8705" spans="1:11" ht="12.5" x14ac:dyDescent="0.25">
      <c r="A8705" s="3" t="e">
        <f ca="1"/>
        <v>#NAME?</v>
      </c>
      <c r="B8705" s="2" t="s">
        <v>12</v>
      </c>
      <c r="C8705" s="2" t="s">
        <v>12</v>
      </c>
      <c r="D8705" s="2" t="s">
        <v>12</v>
      </c>
      <c r="E8705" s="2" t="s">
        <v>12</v>
      </c>
      <c r="F8705" s="2" t="s">
        <v>12</v>
      </c>
      <c r="G8705" s="2" t="s">
        <v>12</v>
      </c>
      <c r="H8705" s="2" t="s">
        <v>12</v>
      </c>
      <c r="I8705" s="2" t="s">
        <v>12</v>
      </c>
      <c r="J8705" s="2" t="s">
        <v>12</v>
      </c>
      <c r="K8705" s="2" t="s">
        <v>12</v>
      </c>
    </row>
    <row r="8706" spans="1:11" ht="12.5" x14ac:dyDescent="0.25">
      <c r="A8706" s="3" t="e">
        <f ca="1"/>
        <v>#NAME?</v>
      </c>
      <c r="B8706" s="2" t="s">
        <v>12</v>
      </c>
      <c r="C8706" s="2" t="s">
        <v>12</v>
      </c>
      <c r="D8706" s="2" t="s">
        <v>12</v>
      </c>
      <c r="E8706" s="2" t="s">
        <v>12</v>
      </c>
      <c r="F8706" s="2" t="s">
        <v>12</v>
      </c>
      <c r="G8706" s="2" t="s">
        <v>12</v>
      </c>
      <c r="H8706" s="2" t="s">
        <v>12</v>
      </c>
      <c r="I8706" s="2" t="s">
        <v>12</v>
      </c>
      <c r="J8706" s="2" t="s">
        <v>12</v>
      </c>
      <c r="K8706" s="2" t="s">
        <v>12</v>
      </c>
    </row>
    <row r="8707" spans="1:11" ht="12.5" x14ac:dyDescent="0.25">
      <c r="A8707" s="3" t="e">
        <f ca="1"/>
        <v>#NAME?</v>
      </c>
      <c r="B8707" s="2" t="s">
        <v>12</v>
      </c>
      <c r="C8707" s="2" t="s">
        <v>12</v>
      </c>
      <c r="D8707" s="2" t="s">
        <v>12</v>
      </c>
      <c r="E8707" s="2" t="s">
        <v>12</v>
      </c>
      <c r="F8707" s="2" t="s">
        <v>12</v>
      </c>
      <c r="G8707" s="2" t="s">
        <v>12</v>
      </c>
      <c r="H8707" s="2" t="s">
        <v>12</v>
      </c>
      <c r="I8707" s="2" t="s">
        <v>12</v>
      </c>
      <c r="J8707" s="2" t="s">
        <v>12</v>
      </c>
      <c r="K8707" s="2" t="s">
        <v>12</v>
      </c>
    </row>
    <row r="8708" spans="1:11" ht="12.5" x14ac:dyDescent="0.25">
      <c r="A8708" s="3" t="e">
        <f ca="1"/>
        <v>#NAME?</v>
      </c>
      <c r="B8708" s="2" t="s">
        <v>12</v>
      </c>
      <c r="C8708" s="2" t="s">
        <v>12</v>
      </c>
      <c r="D8708" s="2" t="s">
        <v>12</v>
      </c>
      <c r="E8708" s="2" t="s">
        <v>12</v>
      </c>
      <c r="F8708" s="2" t="s">
        <v>12</v>
      </c>
      <c r="G8708" s="2" t="s">
        <v>12</v>
      </c>
      <c r="H8708" s="2" t="s">
        <v>12</v>
      </c>
      <c r="I8708" s="2" t="s">
        <v>12</v>
      </c>
      <c r="J8708" s="2" t="s">
        <v>12</v>
      </c>
      <c r="K8708" s="2" t="s">
        <v>12</v>
      </c>
    </row>
    <row r="8709" spans="1:11" ht="12.5" x14ac:dyDescent="0.25">
      <c r="A8709" s="3" t="e">
        <f ca="1"/>
        <v>#NAME?</v>
      </c>
      <c r="B8709" s="2" t="s">
        <v>12</v>
      </c>
      <c r="C8709" s="2" t="s">
        <v>12</v>
      </c>
      <c r="D8709" s="2" t="s">
        <v>12</v>
      </c>
      <c r="E8709" s="2" t="s">
        <v>12</v>
      </c>
      <c r="F8709" s="2" t="s">
        <v>12</v>
      </c>
      <c r="G8709" s="2" t="s">
        <v>12</v>
      </c>
      <c r="H8709" s="2" t="s">
        <v>12</v>
      </c>
      <c r="I8709" s="2" t="s">
        <v>12</v>
      </c>
      <c r="J8709" s="2" t="s">
        <v>12</v>
      </c>
      <c r="K8709" s="2" t="s">
        <v>12</v>
      </c>
    </row>
    <row r="8710" spans="1:11" ht="12.5" x14ac:dyDescent="0.25">
      <c r="A8710" s="3" t="e">
        <f ca="1"/>
        <v>#NAME?</v>
      </c>
      <c r="B8710" s="2" t="s">
        <v>12</v>
      </c>
      <c r="C8710" s="2" t="s">
        <v>12</v>
      </c>
      <c r="D8710" s="2" t="s">
        <v>12</v>
      </c>
      <c r="E8710" s="2" t="s">
        <v>12</v>
      </c>
      <c r="F8710" s="2" t="s">
        <v>12</v>
      </c>
      <c r="G8710" s="2" t="s">
        <v>12</v>
      </c>
      <c r="H8710" s="2" t="s">
        <v>12</v>
      </c>
      <c r="I8710" s="2" t="s">
        <v>12</v>
      </c>
      <c r="J8710" s="2" t="s">
        <v>12</v>
      </c>
      <c r="K8710" s="2" t="s">
        <v>12</v>
      </c>
    </row>
    <row r="8711" spans="1:11" ht="12.5" x14ac:dyDescent="0.25">
      <c r="A8711" s="3" t="e">
        <f ca="1"/>
        <v>#NAME?</v>
      </c>
      <c r="B8711" s="2" t="s">
        <v>12</v>
      </c>
      <c r="C8711" s="2" t="s">
        <v>12</v>
      </c>
      <c r="D8711" s="2" t="s">
        <v>12</v>
      </c>
      <c r="E8711" s="2" t="s">
        <v>12</v>
      </c>
      <c r="F8711" s="2" t="s">
        <v>12</v>
      </c>
      <c r="G8711" s="2" t="s">
        <v>12</v>
      </c>
      <c r="H8711" s="2" t="s">
        <v>12</v>
      </c>
      <c r="I8711" s="2" t="s">
        <v>12</v>
      </c>
      <c r="J8711" s="2" t="s">
        <v>12</v>
      </c>
      <c r="K8711" s="2" t="s">
        <v>12</v>
      </c>
    </row>
    <row r="8712" spans="1:11" ht="12.5" x14ac:dyDescent="0.25">
      <c r="A8712" s="3" t="e">
        <f ca="1"/>
        <v>#NAME?</v>
      </c>
      <c r="B8712" s="2" t="s">
        <v>12</v>
      </c>
      <c r="C8712" s="2" t="s">
        <v>12</v>
      </c>
      <c r="D8712" s="2" t="s">
        <v>12</v>
      </c>
      <c r="E8712" s="2" t="s">
        <v>12</v>
      </c>
      <c r="F8712" s="2" t="s">
        <v>12</v>
      </c>
      <c r="G8712" s="2" t="s">
        <v>12</v>
      </c>
      <c r="H8712" s="2" t="s">
        <v>12</v>
      </c>
      <c r="I8712" s="2" t="s">
        <v>12</v>
      </c>
      <c r="J8712" s="2" t="s">
        <v>12</v>
      </c>
      <c r="K8712" s="2" t="s">
        <v>12</v>
      </c>
    </row>
    <row r="8713" spans="1:11" ht="12.5" x14ac:dyDescent="0.25">
      <c r="A8713" s="3" t="e">
        <f ca="1"/>
        <v>#NAME?</v>
      </c>
      <c r="B8713" s="2" t="s">
        <v>12</v>
      </c>
      <c r="C8713" s="2" t="s">
        <v>12</v>
      </c>
      <c r="D8713" s="2" t="s">
        <v>12</v>
      </c>
      <c r="E8713" s="2" t="s">
        <v>12</v>
      </c>
      <c r="F8713" s="2" t="s">
        <v>12</v>
      </c>
      <c r="G8713" s="2" t="s">
        <v>12</v>
      </c>
      <c r="H8713" s="2" t="s">
        <v>12</v>
      </c>
      <c r="I8713" s="2" t="s">
        <v>12</v>
      </c>
      <c r="J8713" s="2" t="s">
        <v>12</v>
      </c>
      <c r="K8713" s="2" t="s">
        <v>12</v>
      </c>
    </row>
    <row r="8714" spans="1:11" ht="12.5" x14ac:dyDescent="0.25">
      <c r="A8714" s="3" t="e">
        <f ca="1"/>
        <v>#NAME?</v>
      </c>
      <c r="B8714" s="2" t="s">
        <v>12</v>
      </c>
      <c r="C8714" s="2" t="s">
        <v>12</v>
      </c>
      <c r="D8714" s="2" t="s">
        <v>12</v>
      </c>
      <c r="E8714" s="2" t="s">
        <v>12</v>
      </c>
      <c r="F8714" s="2" t="s">
        <v>12</v>
      </c>
      <c r="G8714" s="2" t="s">
        <v>12</v>
      </c>
      <c r="H8714" s="2" t="s">
        <v>12</v>
      </c>
      <c r="I8714" s="2" t="s">
        <v>12</v>
      </c>
      <c r="J8714" s="2" t="s">
        <v>12</v>
      </c>
      <c r="K8714" s="2" t="s">
        <v>12</v>
      </c>
    </row>
    <row r="8715" spans="1:11" ht="12.5" x14ac:dyDescent="0.25">
      <c r="A8715" s="3" t="e">
        <f ca="1"/>
        <v>#NAME?</v>
      </c>
      <c r="B8715" s="2" t="s">
        <v>12</v>
      </c>
      <c r="C8715" s="2" t="s">
        <v>12</v>
      </c>
      <c r="D8715" s="2" t="s">
        <v>12</v>
      </c>
      <c r="E8715" s="2" t="s">
        <v>12</v>
      </c>
      <c r="F8715" s="2" t="s">
        <v>12</v>
      </c>
      <c r="G8715" s="2" t="s">
        <v>12</v>
      </c>
      <c r="H8715" s="2" t="s">
        <v>12</v>
      </c>
      <c r="I8715" s="2" t="s">
        <v>12</v>
      </c>
      <c r="J8715" s="2" t="s">
        <v>12</v>
      </c>
      <c r="K8715" s="2" t="s">
        <v>12</v>
      </c>
    </row>
    <row r="8716" spans="1:11" ht="12.5" x14ac:dyDescent="0.25">
      <c r="A8716" s="3" t="e">
        <f ca="1"/>
        <v>#NAME?</v>
      </c>
      <c r="B8716" s="2" t="s">
        <v>12</v>
      </c>
      <c r="C8716" s="2" t="s">
        <v>12</v>
      </c>
      <c r="D8716" s="2" t="s">
        <v>12</v>
      </c>
      <c r="E8716" s="2" t="s">
        <v>12</v>
      </c>
      <c r="F8716" s="2" t="s">
        <v>12</v>
      </c>
      <c r="G8716" s="2" t="s">
        <v>12</v>
      </c>
      <c r="H8716" s="2" t="s">
        <v>12</v>
      </c>
      <c r="I8716" s="2" t="s">
        <v>12</v>
      </c>
      <c r="J8716" s="2" t="s">
        <v>12</v>
      </c>
      <c r="K8716" s="2" t="s">
        <v>12</v>
      </c>
    </row>
    <row r="8717" spans="1:11" ht="12.5" x14ac:dyDescent="0.25">
      <c r="A8717" s="3" t="e">
        <f ca="1"/>
        <v>#NAME?</v>
      </c>
      <c r="B8717" s="2" t="s">
        <v>12</v>
      </c>
      <c r="C8717" s="2" t="s">
        <v>12</v>
      </c>
      <c r="D8717" s="2" t="s">
        <v>12</v>
      </c>
      <c r="E8717" s="2" t="s">
        <v>12</v>
      </c>
      <c r="F8717" s="2" t="s">
        <v>12</v>
      </c>
      <c r="G8717" s="2" t="s">
        <v>12</v>
      </c>
      <c r="H8717" s="2" t="s">
        <v>12</v>
      </c>
      <c r="I8717" s="2" t="s">
        <v>12</v>
      </c>
      <c r="J8717" s="2" t="s">
        <v>12</v>
      </c>
      <c r="K8717" s="2" t="s">
        <v>12</v>
      </c>
    </row>
    <row r="8718" spans="1:11" ht="12.5" x14ac:dyDescent="0.25">
      <c r="A8718" s="3" t="e">
        <f ca="1"/>
        <v>#NAME?</v>
      </c>
      <c r="B8718" s="2" t="s">
        <v>12</v>
      </c>
      <c r="C8718" s="2" t="s">
        <v>12</v>
      </c>
      <c r="D8718" s="2" t="s">
        <v>12</v>
      </c>
      <c r="E8718" s="2" t="s">
        <v>12</v>
      </c>
      <c r="F8718" s="2" t="s">
        <v>12</v>
      </c>
      <c r="G8718" s="2" t="s">
        <v>12</v>
      </c>
      <c r="H8718" s="2" t="s">
        <v>12</v>
      </c>
      <c r="I8718" s="2" t="s">
        <v>12</v>
      </c>
      <c r="J8718" s="2" t="s">
        <v>12</v>
      </c>
      <c r="K8718" s="2" t="s">
        <v>12</v>
      </c>
    </row>
    <row r="8719" spans="1:11" ht="12.5" x14ac:dyDescent="0.25">
      <c r="A8719" s="3" t="e">
        <f ca="1"/>
        <v>#NAME?</v>
      </c>
      <c r="B8719" s="2" t="s">
        <v>12</v>
      </c>
      <c r="C8719" s="2" t="s">
        <v>12</v>
      </c>
      <c r="D8719" s="2" t="s">
        <v>12</v>
      </c>
      <c r="E8719" s="2" t="s">
        <v>12</v>
      </c>
      <c r="F8719" s="2" t="s">
        <v>12</v>
      </c>
      <c r="G8719" s="2" t="s">
        <v>12</v>
      </c>
      <c r="H8719" s="2" t="s">
        <v>12</v>
      </c>
      <c r="I8719" s="2" t="s">
        <v>12</v>
      </c>
      <c r="J8719" s="2" t="s">
        <v>12</v>
      </c>
      <c r="K8719" s="2" t="s">
        <v>12</v>
      </c>
    </row>
    <row r="8720" spans="1:11" ht="12.5" x14ac:dyDescent="0.25">
      <c r="A8720" s="3" t="e">
        <f ca="1"/>
        <v>#NAME?</v>
      </c>
      <c r="B8720" s="2" t="s">
        <v>12</v>
      </c>
      <c r="C8720" s="2" t="s">
        <v>12</v>
      </c>
      <c r="D8720" s="2" t="s">
        <v>12</v>
      </c>
      <c r="E8720" s="2" t="s">
        <v>12</v>
      </c>
      <c r="F8720" s="2" t="s">
        <v>12</v>
      </c>
      <c r="G8720" s="2" t="s">
        <v>12</v>
      </c>
      <c r="H8720" s="2" t="s">
        <v>12</v>
      </c>
      <c r="I8720" s="2" t="s">
        <v>12</v>
      </c>
      <c r="J8720" s="2" t="s">
        <v>12</v>
      </c>
      <c r="K8720" s="2" t="s">
        <v>12</v>
      </c>
    </row>
    <row r="8721" spans="1:11" ht="12.5" x14ac:dyDescent="0.25">
      <c r="A8721" s="3" t="e">
        <f ca="1"/>
        <v>#NAME?</v>
      </c>
      <c r="B8721" s="2" t="s">
        <v>12</v>
      </c>
      <c r="C8721" s="2" t="s">
        <v>12</v>
      </c>
      <c r="D8721" s="2" t="s">
        <v>12</v>
      </c>
      <c r="E8721" s="2" t="s">
        <v>12</v>
      </c>
      <c r="F8721" s="2" t="s">
        <v>12</v>
      </c>
      <c r="G8721" s="2" t="s">
        <v>12</v>
      </c>
      <c r="H8721" s="2" t="s">
        <v>12</v>
      </c>
      <c r="I8721" s="2" t="s">
        <v>12</v>
      </c>
      <c r="J8721" s="2" t="s">
        <v>12</v>
      </c>
      <c r="K8721" s="2" t="s">
        <v>12</v>
      </c>
    </row>
    <row r="8722" spans="1:11" ht="12.5" x14ac:dyDescent="0.25">
      <c r="A8722" s="3" t="e">
        <f ca="1"/>
        <v>#NAME?</v>
      </c>
      <c r="B8722" s="2" t="s">
        <v>12</v>
      </c>
      <c r="C8722" s="2" t="s">
        <v>12</v>
      </c>
      <c r="D8722" s="2" t="s">
        <v>12</v>
      </c>
      <c r="E8722" s="2" t="s">
        <v>12</v>
      </c>
      <c r="F8722" s="2" t="s">
        <v>12</v>
      </c>
      <c r="G8722" s="2" t="s">
        <v>12</v>
      </c>
      <c r="H8722" s="2" t="s">
        <v>12</v>
      </c>
      <c r="I8722" s="2" t="s">
        <v>12</v>
      </c>
      <c r="J8722" s="2" t="s">
        <v>12</v>
      </c>
      <c r="K8722" s="2" t="s">
        <v>12</v>
      </c>
    </row>
    <row r="8723" spans="1:11" ht="12.5" x14ac:dyDescent="0.25">
      <c r="A8723" s="3" t="e">
        <f ca="1"/>
        <v>#NAME?</v>
      </c>
      <c r="B8723" s="2" t="s">
        <v>12</v>
      </c>
      <c r="C8723" s="2" t="s">
        <v>12</v>
      </c>
      <c r="D8723" s="2" t="s">
        <v>12</v>
      </c>
      <c r="E8723" s="2" t="s">
        <v>12</v>
      </c>
      <c r="F8723" s="2" t="s">
        <v>12</v>
      </c>
      <c r="G8723" s="2" t="s">
        <v>12</v>
      </c>
      <c r="H8723" s="2" t="s">
        <v>12</v>
      </c>
      <c r="I8723" s="2" t="s">
        <v>12</v>
      </c>
      <c r="J8723" s="2" t="s">
        <v>12</v>
      </c>
      <c r="K8723" s="2" t="s">
        <v>12</v>
      </c>
    </row>
    <row r="8724" spans="1:11" ht="12.5" x14ac:dyDescent="0.25">
      <c r="A8724" s="3" t="e">
        <f ca="1"/>
        <v>#NAME?</v>
      </c>
      <c r="B8724" s="2" t="s">
        <v>12</v>
      </c>
      <c r="C8724" s="2" t="s">
        <v>12</v>
      </c>
      <c r="D8724" s="2" t="s">
        <v>12</v>
      </c>
      <c r="E8724" s="2" t="s">
        <v>12</v>
      </c>
      <c r="F8724" s="2" t="s">
        <v>12</v>
      </c>
      <c r="G8724" s="2" t="s">
        <v>12</v>
      </c>
      <c r="H8724" s="2" t="s">
        <v>12</v>
      </c>
      <c r="I8724" s="2" t="s">
        <v>12</v>
      </c>
      <c r="J8724" s="2" t="s">
        <v>12</v>
      </c>
      <c r="K8724" s="2" t="s">
        <v>12</v>
      </c>
    </row>
    <row r="8725" spans="1:11" ht="12.5" x14ac:dyDescent="0.25">
      <c r="A8725" s="3" t="e">
        <f ca="1"/>
        <v>#NAME?</v>
      </c>
      <c r="B8725" s="2" t="s">
        <v>12</v>
      </c>
      <c r="C8725" s="2" t="s">
        <v>12</v>
      </c>
      <c r="D8725" s="2" t="s">
        <v>12</v>
      </c>
      <c r="E8725" s="2" t="s">
        <v>12</v>
      </c>
      <c r="F8725" s="2" t="s">
        <v>12</v>
      </c>
      <c r="G8725" s="2" t="s">
        <v>12</v>
      </c>
      <c r="H8725" s="2" t="s">
        <v>12</v>
      </c>
      <c r="I8725" s="2" t="s">
        <v>12</v>
      </c>
      <c r="J8725" s="2" t="s">
        <v>12</v>
      </c>
      <c r="K8725" s="2" t="s">
        <v>12</v>
      </c>
    </row>
    <row r="8726" spans="1:11" ht="12.5" x14ac:dyDescent="0.25">
      <c r="A8726" s="3" t="e">
        <f ca="1"/>
        <v>#NAME?</v>
      </c>
      <c r="B8726" s="2" t="s">
        <v>12</v>
      </c>
      <c r="C8726" s="2" t="s">
        <v>12</v>
      </c>
      <c r="D8726" s="2" t="s">
        <v>12</v>
      </c>
      <c r="E8726" s="2" t="s">
        <v>12</v>
      </c>
      <c r="F8726" s="2" t="s">
        <v>12</v>
      </c>
      <c r="G8726" s="2" t="s">
        <v>12</v>
      </c>
      <c r="H8726" s="2" t="s">
        <v>12</v>
      </c>
      <c r="I8726" s="2" t="s">
        <v>12</v>
      </c>
      <c r="J8726" s="2" t="s">
        <v>12</v>
      </c>
      <c r="K8726" s="2" t="s">
        <v>12</v>
      </c>
    </row>
    <row r="8727" spans="1:11" ht="12.5" x14ac:dyDescent="0.25">
      <c r="A8727" s="3" t="e">
        <f ca="1"/>
        <v>#NAME?</v>
      </c>
      <c r="B8727" s="2" t="s">
        <v>12</v>
      </c>
      <c r="C8727" s="2" t="s">
        <v>12</v>
      </c>
      <c r="D8727" s="2" t="s">
        <v>12</v>
      </c>
      <c r="E8727" s="2" t="s">
        <v>12</v>
      </c>
      <c r="F8727" s="2" t="s">
        <v>12</v>
      </c>
      <c r="G8727" s="2" t="s">
        <v>12</v>
      </c>
      <c r="H8727" s="2" t="s">
        <v>12</v>
      </c>
      <c r="I8727" s="2" t="s">
        <v>12</v>
      </c>
      <c r="J8727" s="2" t="s">
        <v>12</v>
      </c>
      <c r="K8727" s="2" t="s">
        <v>12</v>
      </c>
    </row>
    <row r="8728" spans="1:11" ht="12.5" x14ac:dyDescent="0.25">
      <c r="A8728" s="3" t="e">
        <f ca="1"/>
        <v>#NAME?</v>
      </c>
      <c r="B8728" s="2" t="s">
        <v>12</v>
      </c>
      <c r="C8728" s="2" t="s">
        <v>12</v>
      </c>
      <c r="D8728" s="2" t="s">
        <v>12</v>
      </c>
      <c r="E8728" s="2" t="s">
        <v>12</v>
      </c>
      <c r="F8728" s="2" t="s">
        <v>12</v>
      </c>
      <c r="G8728" s="2" t="s">
        <v>12</v>
      </c>
      <c r="H8728" s="2" t="s">
        <v>12</v>
      </c>
      <c r="I8728" s="2" t="s">
        <v>12</v>
      </c>
      <c r="J8728" s="2" t="s">
        <v>12</v>
      </c>
      <c r="K8728" s="2" t="s">
        <v>12</v>
      </c>
    </row>
    <row r="8729" spans="1:11" ht="12.5" x14ac:dyDescent="0.25">
      <c r="A8729" s="3" t="e">
        <f ca="1"/>
        <v>#NAME?</v>
      </c>
      <c r="B8729" s="2" t="s">
        <v>12</v>
      </c>
      <c r="C8729" s="2" t="s">
        <v>12</v>
      </c>
      <c r="D8729" s="2" t="s">
        <v>12</v>
      </c>
      <c r="E8729" s="2" t="s">
        <v>12</v>
      </c>
      <c r="F8729" s="2" t="s">
        <v>12</v>
      </c>
      <c r="G8729" s="2" t="s">
        <v>12</v>
      </c>
      <c r="H8729" s="2" t="s">
        <v>12</v>
      </c>
      <c r="I8729" s="2" t="s">
        <v>12</v>
      </c>
      <c r="J8729" s="2" t="s">
        <v>12</v>
      </c>
      <c r="K8729" s="2" t="s">
        <v>12</v>
      </c>
    </row>
    <row r="8730" spans="1:11" ht="12.5" x14ac:dyDescent="0.25">
      <c r="A8730" s="3" t="e">
        <f ca="1"/>
        <v>#NAME?</v>
      </c>
      <c r="B8730" s="2" t="s">
        <v>12</v>
      </c>
      <c r="C8730" s="2" t="s">
        <v>12</v>
      </c>
      <c r="D8730" s="2" t="s">
        <v>12</v>
      </c>
      <c r="E8730" s="2" t="s">
        <v>12</v>
      </c>
      <c r="F8730" s="2" t="s">
        <v>12</v>
      </c>
      <c r="G8730" s="2" t="s">
        <v>12</v>
      </c>
      <c r="H8730" s="2" t="s">
        <v>12</v>
      </c>
      <c r="I8730" s="2" t="s">
        <v>12</v>
      </c>
      <c r="J8730" s="2" t="s">
        <v>12</v>
      </c>
      <c r="K8730" s="2" t="s">
        <v>12</v>
      </c>
    </row>
    <row r="8731" spans="1:11" ht="12.5" x14ac:dyDescent="0.25">
      <c r="A8731" s="3" t="e">
        <f ca="1"/>
        <v>#NAME?</v>
      </c>
      <c r="B8731" s="2" t="s">
        <v>12</v>
      </c>
      <c r="C8731" s="2" t="s">
        <v>12</v>
      </c>
      <c r="D8731" s="2" t="s">
        <v>12</v>
      </c>
      <c r="E8731" s="2" t="s">
        <v>12</v>
      </c>
      <c r="F8731" s="2" t="s">
        <v>12</v>
      </c>
      <c r="G8731" s="2" t="s">
        <v>12</v>
      </c>
      <c r="H8731" s="2" t="s">
        <v>12</v>
      </c>
      <c r="I8731" s="2" t="s">
        <v>12</v>
      </c>
      <c r="J8731" s="2" t="s">
        <v>12</v>
      </c>
      <c r="K8731" s="2" t="s">
        <v>12</v>
      </c>
    </row>
    <row r="8732" spans="1:11" ht="12.5" x14ac:dyDescent="0.25">
      <c r="A8732" s="3" t="e">
        <f ca="1"/>
        <v>#NAME?</v>
      </c>
      <c r="B8732" s="2" t="s">
        <v>12</v>
      </c>
      <c r="C8732" s="2" t="s">
        <v>12</v>
      </c>
      <c r="D8732" s="2" t="s">
        <v>12</v>
      </c>
      <c r="E8732" s="2" t="s">
        <v>12</v>
      </c>
      <c r="F8732" s="2" t="s">
        <v>12</v>
      </c>
      <c r="G8732" s="2" t="s">
        <v>12</v>
      </c>
      <c r="H8732" s="2" t="s">
        <v>12</v>
      </c>
      <c r="I8732" s="2" t="s">
        <v>12</v>
      </c>
      <c r="J8732" s="2" t="s">
        <v>12</v>
      </c>
      <c r="K8732" s="2" t="s">
        <v>12</v>
      </c>
    </row>
    <row r="8733" spans="1:11" ht="12.5" x14ac:dyDescent="0.25">
      <c r="A8733" s="3" t="e">
        <f ca="1"/>
        <v>#NAME?</v>
      </c>
      <c r="B8733" s="2" t="s">
        <v>12</v>
      </c>
      <c r="C8733" s="2" t="s">
        <v>12</v>
      </c>
      <c r="D8733" s="2" t="s">
        <v>12</v>
      </c>
      <c r="E8733" s="2" t="s">
        <v>12</v>
      </c>
      <c r="F8733" s="2" t="s">
        <v>12</v>
      </c>
      <c r="G8733" s="2" t="s">
        <v>12</v>
      </c>
      <c r="H8733" s="2" t="s">
        <v>12</v>
      </c>
      <c r="I8733" s="2" t="s">
        <v>12</v>
      </c>
      <c r="J8733" s="2" t="s">
        <v>12</v>
      </c>
      <c r="K8733" s="2" t="s">
        <v>12</v>
      </c>
    </row>
    <row r="8734" spans="1:11" ht="12.5" x14ac:dyDescent="0.25">
      <c r="A8734" s="3" t="e">
        <f ca="1"/>
        <v>#NAME?</v>
      </c>
      <c r="B8734" s="2" t="s">
        <v>12</v>
      </c>
      <c r="C8734" s="2" t="s">
        <v>12</v>
      </c>
      <c r="D8734" s="2" t="s">
        <v>12</v>
      </c>
      <c r="E8734" s="2" t="s">
        <v>12</v>
      </c>
      <c r="F8734" s="2" t="s">
        <v>12</v>
      </c>
      <c r="G8734" s="2" t="s">
        <v>12</v>
      </c>
      <c r="H8734" s="2" t="s">
        <v>12</v>
      </c>
      <c r="I8734" s="2" t="s">
        <v>12</v>
      </c>
      <c r="J8734" s="2" t="s">
        <v>12</v>
      </c>
      <c r="K8734" s="2" t="s">
        <v>12</v>
      </c>
    </row>
    <row r="8735" spans="1:11" ht="12.5" x14ac:dyDescent="0.25">
      <c r="A8735" s="3" t="e">
        <f ca="1"/>
        <v>#NAME?</v>
      </c>
      <c r="B8735" s="2" t="s">
        <v>12</v>
      </c>
      <c r="C8735" s="2" t="s">
        <v>12</v>
      </c>
      <c r="D8735" s="2" t="s">
        <v>12</v>
      </c>
      <c r="E8735" s="2" t="s">
        <v>12</v>
      </c>
      <c r="F8735" s="2" t="s">
        <v>12</v>
      </c>
      <c r="G8735" s="2" t="s">
        <v>12</v>
      </c>
      <c r="H8735" s="2" t="s">
        <v>12</v>
      </c>
      <c r="I8735" s="2" t="s">
        <v>12</v>
      </c>
      <c r="J8735" s="2" t="s">
        <v>12</v>
      </c>
      <c r="K8735" s="2" t="s">
        <v>12</v>
      </c>
    </row>
    <row r="8736" spans="1:11" ht="12.5" x14ac:dyDescent="0.25">
      <c r="A8736" s="3" t="e">
        <f ca="1"/>
        <v>#NAME?</v>
      </c>
      <c r="B8736" s="2" t="s">
        <v>12</v>
      </c>
      <c r="C8736" s="2" t="s">
        <v>12</v>
      </c>
      <c r="D8736" s="2" t="s">
        <v>12</v>
      </c>
      <c r="E8736" s="2" t="s">
        <v>12</v>
      </c>
      <c r="F8736" s="2" t="s">
        <v>12</v>
      </c>
      <c r="G8736" s="2" t="s">
        <v>12</v>
      </c>
      <c r="H8736" s="2" t="s">
        <v>12</v>
      </c>
      <c r="I8736" s="2" t="s">
        <v>12</v>
      </c>
      <c r="J8736" s="2" t="s">
        <v>12</v>
      </c>
      <c r="K8736" s="2" t="s">
        <v>12</v>
      </c>
    </row>
    <row r="8737" spans="1:11" ht="12.5" x14ac:dyDescent="0.25">
      <c r="A8737" s="3" t="e">
        <f ca="1"/>
        <v>#NAME?</v>
      </c>
      <c r="B8737" s="2" t="s">
        <v>12</v>
      </c>
      <c r="C8737" s="2" t="s">
        <v>12</v>
      </c>
      <c r="D8737" s="2" t="s">
        <v>12</v>
      </c>
      <c r="E8737" s="2" t="s">
        <v>12</v>
      </c>
      <c r="F8737" s="2" t="s">
        <v>12</v>
      </c>
      <c r="G8737" s="2" t="s">
        <v>12</v>
      </c>
      <c r="H8737" s="2" t="s">
        <v>12</v>
      </c>
      <c r="I8737" s="2" t="s">
        <v>12</v>
      </c>
      <c r="J8737" s="2" t="s">
        <v>12</v>
      </c>
      <c r="K8737" s="2" t="s">
        <v>12</v>
      </c>
    </row>
    <row r="8738" spans="1:11" ht="12.5" x14ac:dyDescent="0.25">
      <c r="A8738" s="3" t="e">
        <f ca="1"/>
        <v>#NAME?</v>
      </c>
      <c r="B8738" s="2" t="s">
        <v>12</v>
      </c>
      <c r="C8738" s="2" t="s">
        <v>12</v>
      </c>
      <c r="D8738" s="2" t="s">
        <v>12</v>
      </c>
      <c r="E8738" s="2" t="s">
        <v>12</v>
      </c>
      <c r="F8738" s="2" t="s">
        <v>12</v>
      </c>
      <c r="G8738" s="2" t="s">
        <v>12</v>
      </c>
      <c r="H8738" s="2" t="s">
        <v>12</v>
      </c>
      <c r="I8738" s="2" t="s">
        <v>12</v>
      </c>
      <c r="J8738" s="2" t="s">
        <v>12</v>
      </c>
      <c r="K8738" s="2" t="s">
        <v>12</v>
      </c>
    </row>
    <row r="8739" spans="1:11" ht="12.5" x14ac:dyDescent="0.25">
      <c r="A8739" s="3" t="e">
        <f ca="1"/>
        <v>#NAME?</v>
      </c>
      <c r="B8739" s="2" t="s">
        <v>12</v>
      </c>
      <c r="C8739" s="2" t="s">
        <v>12</v>
      </c>
      <c r="D8739" s="2" t="s">
        <v>12</v>
      </c>
      <c r="E8739" s="2" t="s">
        <v>12</v>
      </c>
      <c r="F8739" s="2" t="s">
        <v>12</v>
      </c>
      <c r="G8739" s="2" t="s">
        <v>12</v>
      </c>
      <c r="H8739" s="2" t="s">
        <v>12</v>
      </c>
      <c r="I8739" s="2" t="s">
        <v>12</v>
      </c>
      <c r="J8739" s="2" t="s">
        <v>12</v>
      </c>
      <c r="K8739" s="2" t="s">
        <v>12</v>
      </c>
    </row>
    <row r="8740" spans="1:11" ht="12.5" x14ac:dyDescent="0.25">
      <c r="A8740" s="3" t="e">
        <f ca="1"/>
        <v>#NAME?</v>
      </c>
      <c r="B8740" s="2" t="s">
        <v>12</v>
      </c>
      <c r="C8740" s="2" t="s">
        <v>12</v>
      </c>
      <c r="D8740" s="2" t="s">
        <v>12</v>
      </c>
      <c r="E8740" s="2" t="s">
        <v>12</v>
      </c>
      <c r="F8740" s="2" t="s">
        <v>12</v>
      </c>
      <c r="G8740" s="2" t="s">
        <v>12</v>
      </c>
      <c r="H8740" s="2" t="s">
        <v>12</v>
      </c>
      <c r="I8740" s="2" t="s">
        <v>12</v>
      </c>
      <c r="J8740" s="2" t="s">
        <v>12</v>
      </c>
      <c r="K8740" s="2" t="s">
        <v>12</v>
      </c>
    </row>
    <row r="8741" spans="1:11" ht="12.5" x14ac:dyDescent="0.25">
      <c r="A8741" s="3" t="e">
        <f ca="1"/>
        <v>#NAME?</v>
      </c>
      <c r="B8741" s="2" t="s">
        <v>12</v>
      </c>
      <c r="C8741" s="2" t="s">
        <v>12</v>
      </c>
      <c r="D8741" s="2" t="s">
        <v>12</v>
      </c>
      <c r="E8741" s="2" t="s">
        <v>12</v>
      </c>
      <c r="F8741" s="2" t="s">
        <v>12</v>
      </c>
      <c r="G8741" s="2" t="s">
        <v>12</v>
      </c>
      <c r="H8741" s="2" t="s">
        <v>12</v>
      </c>
      <c r="I8741" s="2" t="s">
        <v>12</v>
      </c>
      <c r="J8741" s="2" t="s">
        <v>12</v>
      </c>
      <c r="K8741" s="2" t="s">
        <v>12</v>
      </c>
    </row>
    <row r="8742" spans="1:11" ht="12.5" x14ac:dyDescent="0.25">
      <c r="A8742" s="3" t="e">
        <f ca="1"/>
        <v>#NAME?</v>
      </c>
      <c r="B8742" s="2" t="s">
        <v>12</v>
      </c>
      <c r="C8742" s="2" t="s">
        <v>12</v>
      </c>
      <c r="D8742" s="2" t="s">
        <v>12</v>
      </c>
      <c r="E8742" s="2" t="s">
        <v>12</v>
      </c>
      <c r="F8742" s="2" t="s">
        <v>12</v>
      </c>
      <c r="G8742" s="2" t="s">
        <v>12</v>
      </c>
      <c r="H8742" s="2" t="s">
        <v>12</v>
      </c>
      <c r="I8742" s="2" t="s">
        <v>12</v>
      </c>
      <c r="J8742" s="2" t="s">
        <v>12</v>
      </c>
      <c r="K8742" s="2" t="s">
        <v>12</v>
      </c>
    </row>
    <row r="8743" spans="1:11" ht="12.5" x14ac:dyDescent="0.25">
      <c r="A8743" s="3" t="e">
        <f ca="1"/>
        <v>#NAME?</v>
      </c>
      <c r="B8743" s="2" t="s">
        <v>12</v>
      </c>
      <c r="C8743" s="2" t="s">
        <v>12</v>
      </c>
      <c r="D8743" s="2" t="s">
        <v>12</v>
      </c>
      <c r="E8743" s="2" t="s">
        <v>12</v>
      </c>
      <c r="F8743" s="2" t="s">
        <v>12</v>
      </c>
      <c r="G8743" s="2" t="s">
        <v>12</v>
      </c>
      <c r="H8743" s="2" t="s">
        <v>12</v>
      </c>
      <c r="I8743" s="2" t="s">
        <v>12</v>
      </c>
      <c r="J8743" s="2" t="s">
        <v>12</v>
      </c>
      <c r="K8743" s="2" t="s">
        <v>12</v>
      </c>
    </row>
    <row r="8744" spans="1:11" ht="12.5" x14ac:dyDescent="0.25">
      <c r="A8744" s="3" t="e">
        <f ca="1"/>
        <v>#NAME?</v>
      </c>
      <c r="B8744" s="2" t="s">
        <v>12</v>
      </c>
      <c r="C8744" s="2" t="s">
        <v>12</v>
      </c>
      <c r="D8744" s="2" t="s">
        <v>12</v>
      </c>
      <c r="E8744" s="2" t="s">
        <v>12</v>
      </c>
      <c r="F8744" s="2" t="s">
        <v>12</v>
      </c>
      <c r="G8744" s="2" t="s">
        <v>12</v>
      </c>
      <c r="H8744" s="2" t="s">
        <v>12</v>
      </c>
      <c r="I8744" s="2" t="s">
        <v>12</v>
      </c>
      <c r="J8744" s="2" t="s">
        <v>12</v>
      </c>
      <c r="K8744" s="2" t="s">
        <v>12</v>
      </c>
    </row>
    <row r="8745" spans="1:11" ht="12.5" x14ac:dyDescent="0.25">
      <c r="A8745" s="3" t="e">
        <f ca="1"/>
        <v>#NAME?</v>
      </c>
      <c r="B8745" s="2" t="s">
        <v>12</v>
      </c>
      <c r="C8745" s="2" t="s">
        <v>12</v>
      </c>
      <c r="D8745" s="2" t="s">
        <v>12</v>
      </c>
      <c r="E8745" s="2" t="s">
        <v>12</v>
      </c>
      <c r="F8745" s="2" t="s">
        <v>12</v>
      </c>
      <c r="G8745" s="2" t="s">
        <v>12</v>
      </c>
      <c r="H8745" s="2" t="s">
        <v>12</v>
      </c>
      <c r="I8745" s="2" t="s">
        <v>12</v>
      </c>
      <c r="J8745" s="2" t="s">
        <v>12</v>
      </c>
      <c r="K8745" s="2" t="s">
        <v>12</v>
      </c>
    </row>
    <row r="8746" spans="1:11" ht="12.5" x14ac:dyDescent="0.25">
      <c r="A8746" s="3" t="e">
        <f ca="1"/>
        <v>#NAME?</v>
      </c>
      <c r="B8746" s="2" t="s">
        <v>12</v>
      </c>
      <c r="C8746" s="2" t="s">
        <v>12</v>
      </c>
      <c r="D8746" s="2" t="s">
        <v>12</v>
      </c>
      <c r="E8746" s="2" t="s">
        <v>12</v>
      </c>
      <c r="F8746" s="2" t="s">
        <v>12</v>
      </c>
      <c r="G8746" s="2" t="s">
        <v>12</v>
      </c>
      <c r="H8746" s="2" t="s">
        <v>12</v>
      </c>
      <c r="I8746" s="2" t="s">
        <v>12</v>
      </c>
      <c r="J8746" s="2" t="s">
        <v>12</v>
      </c>
      <c r="K8746" s="2" t="s">
        <v>12</v>
      </c>
    </row>
    <row r="8747" spans="1:11" ht="12.5" x14ac:dyDescent="0.25">
      <c r="A8747" s="3" t="e">
        <f ca="1"/>
        <v>#NAME?</v>
      </c>
      <c r="B8747" s="2" t="s">
        <v>12</v>
      </c>
      <c r="C8747" s="2" t="s">
        <v>12</v>
      </c>
      <c r="D8747" s="2" t="s">
        <v>12</v>
      </c>
      <c r="E8747" s="2" t="s">
        <v>12</v>
      </c>
      <c r="F8747" s="2" t="s">
        <v>12</v>
      </c>
      <c r="G8747" s="2" t="s">
        <v>12</v>
      </c>
      <c r="H8747" s="2" t="s">
        <v>12</v>
      </c>
      <c r="I8747" s="2" t="s">
        <v>12</v>
      </c>
      <c r="J8747" s="2" t="s">
        <v>12</v>
      </c>
      <c r="K8747" s="2" t="s">
        <v>12</v>
      </c>
    </row>
    <row r="8748" spans="1:11" ht="12.5" x14ac:dyDescent="0.25">
      <c r="A8748" s="3" t="e">
        <f ca="1"/>
        <v>#NAME?</v>
      </c>
      <c r="B8748" s="2" t="s">
        <v>12</v>
      </c>
      <c r="C8748" s="2" t="s">
        <v>12</v>
      </c>
      <c r="D8748" s="2" t="s">
        <v>12</v>
      </c>
      <c r="E8748" s="2" t="s">
        <v>12</v>
      </c>
      <c r="F8748" s="2" t="s">
        <v>12</v>
      </c>
      <c r="G8748" s="2" t="s">
        <v>12</v>
      </c>
      <c r="H8748" s="2" t="s">
        <v>12</v>
      </c>
      <c r="I8748" s="2" t="s">
        <v>12</v>
      </c>
      <c r="J8748" s="2" t="s">
        <v>12</v>
      </c>
      <c r="K8748" s="2" t="s">
        <v>12</v>
      </c>
    </row>
    <row r="8749" spans="1:11" ht="12.5" x14ac:dyDescent="0.25">
      <c r="A8749" s="3" t="e">
        <f ca="1"/>
        <v>#NAME?</v>
      </c>
      <c r="B8749" s="2" t="s">
        <v>12</v>
      </c>
      <c r="C8749" s="2" t="s">
        <v>12</v>
      </c>
      <c r="D8749" s="2" t="s">
        <v>12</v>
      </c>
      <c r="E8749" s="2" t="s">
        <v>12</v>
      </c>
      <c r="F8749" s="2" t="s">
        <v>12</v>
      </c>
      <c r="G8749" s="2" t="s">
        <v>12</v>
      </c>
      <c r="H8749" s="2" t="s">
        <v>12</v>
      </c>
      <c r="I8749" s="2" t="s">
        <v>12</v>
      </c>
      <c r="J8749" s="2" t="s">
        <v>12</v>
      </c>
      <c r="K8749" s="2" t="s">
        <v>12</v>
      </c>
    </row>
    <row r="8750" spans="1:11" ht="12.5" x14ac:dyDescent="0.25">
      <c r="A8750" s="3" t="e">
        <f ca="1"/>
        <v>#NAME?</v>
      </c>
      <c r="B8750" s="2" t="s">
        <v>12</v>
      </c>
      <c r="C8750" s="2" t="s">
        <v>12</v>
      </c>
      <c r="D8750" s="2" t="s">
        <v>12</v>
      </c>
      <c r="E8750" s="2" t="s">
        <v>12</v>
      </c>
      <c r="F8750" s="2" t="s">
        <v>12</v>
      </c>
      <c r="G8750" s="2" t="s">
        <v>12</v>
      </c>
      <c r="H8750" s="2" t="s">
        <v>12</v>
      </c>
      <c r="I8750" s="2" t="s">
        <v>12</v>
      </c>
      <c r="J8750" s="2" t="s">
        <v>12</v>
      </c>
      <c r="K8750" s="2" t="s">
        <v>12</v>
      </c>
    </row>
    <row r="8751" spans="1:11" ht="12.5" x14ac:dyDescent="0.25">
      <c r="A8751" s="3" t="e">
        <f ca="1"/>
        <v>#NAME?</v>
      </c>
      <c r="B8751" s="2" t="s">
        <v>12</v>
      </c>
      <c r="C8751" s="2" t="s">
        <v>12</v>
      </c>
      <c r="D8751" s="2" t="s">
        <v>12</v>
      </c>
      <c r="E8751" s="2" t="s">
        <v>12</v>
      </c>
      <c r="F8751" s="2" t="s">
        <v>12</v>
      </c>
      <c r="G8751" s="2" t="s">
        <v>12</v>
      </c>
      <c r="H8751" s="2" t="s">
        <v>12</v>
      </c>
      <c r="I8751" s="2" t="s">
        <v>12</v>
      </c>
      <c r="J8751" s="2" t="s">
        <v>12</v>
      </c>
      <c r="K8751" s="2" t="s">
        <v>12</v>
      </c>
    </row>
    <row r="8752" spans="1:11" ht="12.5" x14ac:dyDescent="0.25">
      <c r="A8752" s="3" t="e">
        <f ca="1"/>
        <v>#NAME?</v>
      </c>
      <c r="B8752" s="2" t="s">
        <v>12</v>
      </c>
      <c r="C8752" s="2" t="s">
        <v>12</v>
      </c>
      <c r="D8752" s="2" t="s">
        <v>12</v>
      </c>
      <c r="E8752" s="2" t="s">
        <v>12</v>
      </c>
      <c r="F8752" s="2" t="s">
        <v>12</v>
      </c>
      <c r="G8752" s="2" t="s">
        <v>12</v>
      </c>
      <c r="H8752" s="2" t="s">
        <v>12</v>
      </c>
      <c r="I8752" s="2" t="s">
        <v>12</v>
      </c>
      <c r="J8752" s="2" t="s">
        <v>12</v>
      </c>
      <c r="K8752" s="2" t="s">
        <v>12</v>
      </c>
    </row>
    <row r="8753" spans="1:11" ht="12.5" x14ac:dyDescent="0.25">
      <c r="A8753" s="3" t="e">
        <f ca="1"/>
        <v>#NAME?</v>
      </c>
      <c r="B8753" s="2" t="s">
        <v>12</v>
      </c>
      <c r="C8753" s="2" t="s">
        <v>12</v>
      </c>
      <c r="D8753" s="2" t="s">
        <v>12</v>
      </c>
      <c r="E8753" s="2" t="s">
        <v>12</v>
      </c>
      <c r="F8753" s="2" t="s">
        <v>12</v>
      </c>
      <c r="G8753" s="2" t="s">
        <v>12</v>
      </c>
      <c r="H8753" s="2" t="s">
        <v>12</v>
      </c>
      <c r="I8753" s="2" t="s">
        <v>12</v>
      </c>
      <c r="J8753" s="2" t="s">
        <v>12</v>
      </c>
      <c r="K8753" s="2" t="s">
        <v>12</v>
      </c>
    </row>
    <row r="8754" spans="1:11" ht="12.5" x14ac:dyDescent="0.25">
      <c r="A8754" s="3" t="e">
        <f ca="1"/>
        <v>#NAME?</v>
      </c>
      <c r="B8754" s="2" t="s">
        <v>12</v>
      </c>
      <c r="C8754" s="2" t="s">
        <v>12</v>
      </c>
      <c r="D8754" s="2" t="s">
        <v>12</v>
      </c>
      <c r="E8754" s="2" t="s">
        <v>12</v>
      </c>
      <c r="F8754" s="2" t="s">
        <v>12</v>
      </c>
      <c r="G8754" s="2" t="s">
        <v>12</v>
      </c>
      <c r="H8754" s="2" t="s">
        <v>12</v>
      </c>
      <c r="I8754" s="2" t="s">
        <v>12</v>
      </c>
      <c r="J8754" s="2" t="s">
        <v>12</v>
      </c>
      <c r="K8754" s="2" t="s">
        <v>12</v>
      </c>
    </row>
    <row r="8755" spans="1:11" ht="12.5" x14ac:dyDescent="0.25">
      <c r="A8755" s="3" t="e">
        <f ca="1"/>
        <v>#NAME?</v>
      </c>
      <c r="B8755" s="2" t="s">
        <v>12</v>
      </c>
      <c r="C8755" s="2" t="s">
        <v>12</v>
      </c>
      <c r="D8755" s="2" t="s">
        <v>12</v>
      </c>
      <c r="E8755" s="2" t="s">
        <v>12</v>
      </c>
      <c r="F8755" s="2" t="s">
        <v>12</v>
      </c>
      <c r="G8755" s="2" t="s">
        <v>12</v>
      </c>
      <c r="H8755" s="2" t="s">
        <v>12</v>
      </c>
      <c r="I8755" s="2" t="s">
        <v>12</v>
      </c>
      <c r="J8755" s="2" t="s">
        <v>12</v>
      </c>
      <c r="K8755" s="2" t="s">
        <v>12</v>
      </c>
    </row>
    <row r="8756" spans="1:11" ht="12.5" x14ac:dyDescent="0.25">
      <c r="A8756" s="3" t="e">
        <f ca="1"/>
        <v>#NAME?</v>
      </c>
      <c r="B8756" s="2" t="s">
        <v>12</v>
      </c>
      <c r="C8756" s="2" t="s">
        <v>12</v>
      </c>
      <c r="D8756" s="2" t="s">
        <v>12</v>
      </c>
      <c r="E8756" s="2" t="s">
        <v>12</v>
      </c>
      <c r="F8756" s="2" t="s">
        <v>12</v>
      </c>
      <c r="G8756" s="2" t="s">
        <v>12</v>
      </c>
      <c r="H8756" s="2" t="s">
        <v>12</v>
      </c>
      <c r="I8756" s="2" t="s">
        <v>12</v>
      </c>
      <c r="J8756" s="2" t="s">
        <v>12</v>
      </c>
      <c r="K8756" s="2" t="s">
        <v>12</v>
      </c>
    </row>
    <row r="8757" spans="1:11" ht="12.5" x14ac:dyDescent="0.25">
      <c r="A8757" s="3" t="e">
        <f ca="1"/>
        <v>#NAME?</v>
      </c>
      <c r="B8757" s="2" t="s">
        <v>12</v>
      </c>
      <c r="C8757" s="2" t="s">
        <v>12</v>
      </c>
      <c r="D8757" s="2" t="s">
        <v>12</v>
      </c>
      <c r="E8757" s="2" t="s">
        <v>12</v>
      </c>
      <c r="F8757" s="2" t="s">
        <v>12</v>
      </c>
      <c r="G8757" s="2" t="s">
        <v>12</v>
      </c>
      <c r="H8757" s="2" t="s">
        <v>12</v>
      </c>
      <c r="I8757" s="2" t="s">
        <v>12</v>
      </c>
      <c r="J8757" s="2" t="s">
        <v>12</v>
      </c>
      <c r="K8757" s="2" t="s">
        <v>12</v>
      </c>
    </row>
    <row r="8758" spans="1:11" ht="12.5" x14ac:dyDescent="0.25">
      <c r="A8758" s="3" t="e">
        <f ca="1"/>
        <v>#NAME?</v>
      </c>
      <c r="B8758" s="2" t="s">
        <v>12</v>
      </c>
      <c r="C8758" s="2" t="s">
        <v>12</v>
      </c>
      <c r="D8758" s="2" t="s">
        <v>12</v>
      </c>
      <c r="E8758" s="2" t="s">
        <v>12</v>
      </c>
      <c r="F8758" s="2" t="s">
        <v>12</v>
      </c>
      <c r="G8758" s="2" t="s">
        <v>12</v>
      </c>
      <c r="H8758" s="2" t="s">
        <v>12</v>
      </c>
      <c r="I8758" s="2" t="s">
        <v>12</v>
      </c>
      <c r="J8758" s="2" t="s">
        <v>12</v>
      </c>
      <c r="K8758" s="2" t="s">
        <v>12</v>
      </c>
    </row>
    <row r="8759" spans="1:11" ht="12.5" x14ac:dyDescent="0.25">
      <c r="A8759" s="3" t="e">
        <f ca="1"/>
        <v>#NAME?</v>
      </c>
      <c r="B8759" s="2" t="s">
        <v>12</v>
      </c>
      <c r="C8759" s="2" t="s">
        <v>12</v>
      </c>
      <c r="D8759" s="2" t="s">
        <v>12</v>
      </c>
      <c r="E8759" s="2" t="s">
        <v>12</v>
      </c>
      <c r="F8759" s="2" t="s">
        <v>12</v>
      </c>
      <c r="G8759" s="2" t="s">
        <v>12</v>
      </c>
      <c r="H8759" s="2" t="s">
        <v>12</v>
      </c>
      <c r="I8759" s="2" t="s">
        <v>12</v>
      </c>
      <c r="J8759" s="2" t="s">
        <v>12</v>
      </c>
      <c r="K8759" s="2" t="s">
        <v>12</v>
      </c>
    </row>
    <row r="8760" spans="1:11" ht="12.5" x14ac:dyDescent="0.25">
      <c r="A8760" s="3" t="e">
        <f ca="1"/>
        <v>#NAME?</v>
      </c>
      <c r="B8760" s="2" t="s">
        <v>12</v>
      </c>
      <c r="C8760" s="2" t="s">
        <v>12</v>
      </c>
      <c r="D8760" s="2" t="s">
        <v>12</v>
      </c>
      <c r="E8760" s="2" t="s">
        <v>12</v>
      </c>
      <c r="F8760" s="2" t="s">
        <v>12</v>
      </c>
      <c r="G8760" s="2" t="s">
        <v>12</v>
      </c>
      <c r="H8760" s="2" t="s">
        <v>12</v>
      </c>
      <c r="I8760" s="2" t="s">
        <v>12</v>
      </c>
      <c r="J8760" s="2" t="s">
        <v>12</v>
      </c>
      <c r="K8760" s="2" t="s">
        <v>12</v>
      </c>
    </row>
    <row r="8761" spans="1:11" ht="12.5" x14ac:dyDescent="0.25">
      <c r="A8761" s="3" t="e">
        <f ca="1"/>
        <v>#NAME?</v>
      </c>
      <c r="B8761" s="2" t="s">
        <v>12</v>
      </c>
      <c r="C8761" s="2" t="s">
        <v>12</v>
      </c>
      <c r="D8761" s="2" t="s">
        <v>12</v>
      </c>
      <c r="E8761" s="2" t="s">
        <v>12</v>
      </c>
      <c r="F8761" s="2" t="s">
        <v>12</v>
      </c>
      <c r="G8761" s="2" t="s">
        <v>12</v>
      </c>
      <c r="H8761" s="2" t="s">
        <v>12</v>
      </c>
      <c r="I8761" s="2" t="s">
        <v>12</v>
      </c>
      <c r="J8761" s="2" t="s">
        <v>12</v>
      </c>
      <c r="K8761" s="2" t="s">
        <v>12</v>
      </c>
    </row>
    <row r="8762" spans="1:11" ht="12.5" x14ac:dyDescent="0.25">
      <c r="A8762" s="3" t="e">
        <f ca="1"/>
        <v>#NAME?</v>
      </c>
      <c r="B8762" s="2" t="s">
        <v>12</v>
      </c>
      <c r="C8762" s="2" t="s">
        <v>12</v>
      </c>
      <c r="D8762" s="2" t="s">
        <v>12</v>
      </c>
      <c r="E8762" s="2" t="s">
        <v>12</v>
      </c>
      <c r="F8762" s="2" t="s">
        <v>12</v>
      </c>
      <c r="G8762" s="2" t="s">
        <v>12</v>
      </c>
      <c r="H8762" s="2" t="s">
        <v>12</v>
      </c>
      <c r="I8762" s="2" t="s">
        <v>12</v>
      </c>
      <c r="J8762" s="2" t="s">
        <v>12</v>
      </c>
      <c r="K8762" s="2" t="s">
        <v>12</v>
      </c>
    </row>
    <row r="8763" spans="1:11" ht="12.5" x14ac:dyDescent="0.25">
      <c r="A8763" s="3" t="e">
        <f ca="1"/>
        <v>#NAME?</v>
      </c>
      <c r="B8763" s="2" t="s">
        <v>12</v>
      </c>
      <c r="C8763" s="2" t="s">
        <v>12</v>
      </c>
      <c r="D8763" s="2" t="s">
        <v>12</v>
      </c>
      <c r="E8763" s="2" t="s">
        <v>12</v>
      </c>
      <c r="F8763" s="2" t="s">
        <v>12</v>
      </c>
      <c r="G8763" s="2" t="s">
        <v>12</v>
      </c>
      <c r="H8763" s="2" t="s">
        <v>12</v>
      </c>
      <c r="I8763" s="2" t="s">
        <v>12</v>
      </c>
      <c r="J8763" s="2" t="s">
        <v>12</v>
      </c>
      <c r="K8763" s="2" t="s">
        <v>12</v>
      </c>
    </row>
    <row r="8764" spans="1:11" ht="12.5" x14ac:dyDescent="0.25">
      <c r="A8764" s="3" t="e">
        <f ca="1"/>
        <v>#NAME?</v>
      </c>
      <c r="B8764" s="2" t="s">
        <v>12</v>
      </c>
      <c r="C8764" s="2" t="s">
        <v>12</v>
      </c>
      <c r="D8764" s="2" t="s">
        <v>12</v>
      </c>
      <c r="E8764" s="2" t="s">
        <v>12</v>
      </c>
      <c r="F8764" s="2" t="s">
        <v>12</v>
      </c>
      <c r="G8764" s="2" t="s">
        <v>12</v>
      </c>
      <c r="H8764" s="2" t="s">
        <v>12</v>
      </c>
      <c r="I8764" s="2" t="s">
        <v>12</v>
      </c>
      <c r="J8764" s="2" t="s">
        <v>12</v>
      </c>
      <c r="K8764" s="2" t="s">
        <v>12</v>
      </c>
    </row>
    <row r="8765" spans="1:11" ht="12.5" x14ac:dyDescent="0.25">
      <c r="A8765" s="3" t="e">
        <f ca="1"/>
        <v>#NAME?</v>
      </c>
      <c r="B8765" s="2" t="s">
        <v>12</v>
      </c>
      <c r="C8765" s="2" t="s">
        <v>12</v>
      </c>
      <c r="D8765" s="2" t="s">
        <v>12</v>
      </c>
      <c r="E8765" s="2" t="s">
        <v>12</v>
      </c>
      <c r="F8765" s="2" t="s">
        <v>12</v>
      </c>
      <c r="G8765" s="2" t="s">
        <v>12</v>
      </c>
      <c r="H8765" s="2" t="s">
        <v>12</v>
      </c>
      <c r="I8765" s="2" t="s">
        <v>12</v>
      </c>
      <c r="J8765" s="2" t="s">
        <v>12</v>
      </c>
      <c r="K8765" s="2" t="s">
        <v>12</v>
      </c>
    </row>
    <row r="8766" spans="1:11" ht="12.5" x14ac:dyDescent="0.25">
      <c r="A8766" s="3" t="e">
        <f ca="1"/>
        <v>#NAME?</v>
      </c>
      <c r="B8766" s="2" t="s">
        <v>12</v>
      </c>
      <c r="C8766" s="2" t="s">
        <v>12</v>
      </c>
      <c r="D8766" s="2" t="s">
        <v>12</v>
      </c>
      <c r="E8766" s="2" t="s">
        <v>12</v>
      </c>
      <c r="F8766" s="2" t="s">
        <v>12</v>
      </c>
      <c r="G8766" s="2" t="s">
        <v>12</v>
      </c>
      <c r="H8766" s="2" t="s">
        <v>12</v>
      </c>
      <c r="I8766" s="2" t="s">
        <v>12</v>
      </c>
      <c r="J8766" s="2" t="s">
        <v>12</v>
      </c>
      <c r="K8766" s="2" t="s">
        <v>12</v>
      </c>
    </row>
    <row r="8767" spans="1:11" ht="12.5" x14ac:dyDescent="0.25">
      <c r="A8767" s="3" t="e">
        <f ca="1"/>
        <v>#NAME?</v>
      </c>
      <c r="B8767" s="2" t="s">
        <v>12</v>
      </c>
      <c r="C8767" s="2" t="s">
        <v>12</v>
      </c>
      <c r="D8767" s="2" t="s">
        <v>12</v>
      </c>
      <c r="E8767" s="2" t="s">
        <v>12</v>
      </c>
      <c r="F8767" s="2" t="s">
        <v>12</v>
      </c>
      <c r="G8767" s="2" t="s">
        <v>12</v>
      </c>
      <c r="H8767" s="2" t="s">
        <v>12</v>
      </c>
      <c r="I8767" s="2" t="s">
        <v>12</v>
      </c>
      <c r="J8767" s="2" t="s">
        <v>12</v>
      </c>
      <c r="K8767" s="2" t="s">
        <v>12</v>
      </c>
    </row>
    <row r="8768" spans="1:11" ht="12.5" x14ac:dyDescent="0.25">
      <c r="A8768" s="3" t="e">
        <f ca="1"/>
        <v>#NAME?</v>
      </c>
      <c r="B8768" s="2" t="s">
        <v>12</v>
      </c>
      <c r="C8768" s="2" t="s">
        <v>12</v>
      </c>
      <c r="D8768" s="2" t="s">
        <v>12</v>
      </c>
      <c r="E8768" s="2" t="s">
        <v>12</v>
      </c>
      <c r="F8768" s="2" t="s">
        <v>12</v>
      </c>
      <c r="G8768" s="2" t="s">
        <v>12</v>
      </c>
      <c r="H8768" s="2" t="s">
        <v>12</v>
      </c>
      <c r="I8768" s="2" t="s">
        <v>12</v>
      </c>
      <c r="J8768" s="2" t="s">
        <v>12</v>
      </c>
      <c r="K8768" s="2" t="s">
        <v>12</v>
      </c>
    </row>
    <row r="8769" spans="1:11" ht="12.5" x14ac:dyDescent="0.25">
      <c r="A8769" s="3" t="e">
        <f ca="1"/>
        <v>#NAME?</v>
      </c>
      <c r="B8769" s="2" t="s">
        <v>12</v>
      </c>
      <c r="C8769" s="2" t="s">
        <v>12</v>
      </c>
      <c r="D8769" s="2" t="s">
        <v>12</v>
      </c>
      <c r="E8769" s="2" t="s">
        <v>12</v>
      </c>
      <c r="F8769" s="2" t="s">
        <v>12</v>
      </c>
      <c r="G8769" s="2" t="s">
        <v>12</v>
      </c>
      <c r="H8769" s="2" t="s">
        <v>12</v>
      </c>
      <c r="I8769" s="2" t="s">
        <v>12</v>
      </c>
      <c r="J8769" s="2" t="s">
        <v>12</v>
      </c>
      <c r="K8769" s="2" t="s">
        <v>12</v>
      </c>
    </row>
    <row r="8770" spans="1:11" ht="12.5" x14ac:dyDescent="0.25">
      <c r="A8770" s="3" t="e">
        <f ca="1"/>
        <v>#NAME?</v>
      </c>
      <c r="B8770" s="2" t="s">
        <v>12</v>
      </c>
      <c r="C8770" s="2" t="s">
        <v>12</v>
      </c>
      <c r="D8770" s="2" t="s">
        <v>12</v>
      </c>
      <c r="E8770" s="2" t="s">
        <v>12</v>
      </c>
      <c r="F8770" s="2" t="s">
        <v>12</v>
      </c>
      <c r="G8770" s="2" t="s">
        <v>12</v>
      </c>
      <c r="H8770" s="2" t="s">
        <v>12</v>
      </c>
      <c r="I8770" s="2" t="s">
        <v>12</v>
      </c>
      <c r="J8770" s="2" t="s">
        <v>12</v>
      </c>
      <c r="K8770" s="2" t="s">
        <v>12</v>
      </c>
    </row>
    <row r="8771" spans="1:11" ht="12.5" x14ac:dyDescent="0.25">
      <c r="A8771" s="3" t="e">
        <f ca="1"/>
        <v>#NAME?</v>
      </c>
      <c r="B8771" s="2" t="s">
        <v>12</v>
      </c>
      <c r="C8771" s="2" t="s">
        <v>12</v>
      </c>
      <c r="D8771" s="2" t="s">
        <v>12</v>
      </c>
      <c r="E8771" s="2" t="s">
        <v>12</v>
      </c>
      <c r="F8771" s="2" t="s">
        <v>12</v>
      </c>
      <c r="G8771" s="2" t="s">
        <v>12</v>
      </c>
      <c r="H8771" s="2" t="s">
        <v>12</v>
      </c>
      <c r="I8771" s="2" t="s">
        <v>12</v>
      </c>
      <c r="J8771" s="2" t="s">
        <v>12</v>
      </c>
      <c r="K8771" s="2" t="s">
        <v>12</v>
      </c>
    </row>
    <row r="8772" spans="1:11" ht="12.5" x14ac:dyDescent="0.25">
      <c r="A8772" s="3" t="e">
        <f ca="1"/>
        <v>#NAME?</v>
      </c>
      <c r="B8772" s="2" t="s">
        <v>12</v>
      </c>
      <c r="C8772" s="2" t="s">
        <v>12</v>
      </c>
      <c r="D8772" s="2" t="s">
        <v>12</v>
      </c>
      <c r="E8772" s="2" t="s">
        <v>12</v>
      </c>
      <c r="F8772" s="2" t="s">
        <v>12</v>
      </c>
      <c r="G8772" s="2" t="s">
        <v>12</v>
      </c>
      <c r="H8772" s="2" t="s">
        <v>12</v>
      </c>
      <c r="I8772" s="2" t="s">
        <v>12</v>
      </c>
      <c r="J8772" s="2" t="s">
        <v>12</v>
      </c>
      <c r="K8772" s="2" t="s">
        <v>12</v>
      </c>
    </row>
    <row r="8773" spans="1:11" ht="12.5" x14ac:dyDescent="0.25">
      <c r="A8773" s="3" t="e">
        <f ca="1"/>
        <v>#NAME?</v>
      </c>
      <c r="B8773" s="2" t="s">
        <v>12</v>
      </c>
      <c r="C8773" s="2" t="s">
        <v>12</v>
      </c>
      <c r="D8773" s="2" t="s">
        <v>12</v>
      </c>
      <c r="E8773" s="2" t="s">
        <v>12</v>
      </c>
      <c r="F8773" s="2" t="s">
        <v>12</v>
      </c>
      <c r="G8773" s="2" t="s">
        <v>12</v>
      </c>
      <c r="H8773" s="2" t="s">
        <v>12</v>
      </c>
      <c r="I8773" s="2" t="s">
        <v>12</v>
      </c>
      <c r="J8773" s="2" t="s">
        <v>12</v>
      </c>
      <c r="K8773" s="2" t="s">
        <v>12</v>
      </c>
    </row>
    <row r="8774" spans="1:11" ht="12.5" x14ac:dyDescent="0.25">
      <c r="A8774" s="3" t="e">
        <f ca="1"/>
        <v>#NAME?</v>
      </c>
      <c r="B8774" s="2" t="s">
        <v>12</v>
      </c>
      <c r="C8774" s="2" t="s">
        <v>12</v>
      </c>
      <c r="D8774" s="2" t="s">
        <v>12</v>
      </c>
      <c r="E8774" s="2" t="s">
        <v>12</v>
      </c>
      <c r="F8774" s="2" t="s">
        <v>12</v>
      </c>
      <c r="G8774" s="2" t="s">
        <v>12</v>
      </c>
      <c r="H8774" s="2" t="s">
        <v>12</v>
      </c>
      <c r="I8774" s="2" t="s">
        <v>12</v>
      </c>
      <c r="J8774" s="2" t="s">
        <v>12</v>
      </c>
      <c r="K8774" s="2" t="s">
        <v>12</v>
      </c>
    </row>
    <row r="8775" spans="1:11" ht="12.5" x14ac:dyDescent="0.25">
      <c r="A8775" s="3" t="e">
        <f ca="1"/>
        <v>#NAME?</v>
      </c>
      <c r="B8775" s="2" t="s">
        <v>12</v>
      </c>
      <c r="C8775" s="2" t="s">
        <v>12</v>
      </c>
      <c r="D8775" s="2" t="s">
        <v>12</v>
      </c>
      <c r="E8775" s="2" t="s">
        <v>12</v>
      </c>
      <c r="F8775" s="2" t="s">
        <v>12</v>
      </c>
      <c r="G8775" s="2" t="s">
        <v>12</v>
      </c>
      <c r="H8775" s="2" t="s">
        <v>12</v>
      </c>
      <c r="I8775" s="2" t="s">
        <v>12</v>
      </c>
      <c r="J8775" s="2" t="s">
        <v>12</v>
      </c>
      <c r="K8775" s="2" t="s">
        <v>12</v>
      </c>
    </row>
    <row r="8776" spans="1:11" ht="12.5" x14ac:dyDescent="0.25">
      <c r="A8776" s="3" t="e">
        <f ca="1"/>
        <v>#NAME?</v>
      </c>
      <c r="B8776" s="2" t="s">
        <v>12</v>
      </c>
      <c r="C8776" s="2" t="s">
        <v>12</v>
      </c>
      <c r="D8776" s="2" t="s">
        <v>12</v>
      </c>
      <c r="E8776" s="2" t="s">
        <v>12</v>
      </c>
      <c r="F8776" s="2" t="s">
        <v>12</v>
      </c>
      <c r="G8776" s="2" t="s">
        <v>12</v>
      </c>
      <c r="H8776" s="2" t="s">
        <v>12</v>
      </c>
      <c r="I8776" s="2" t="s">
        <v>12</v>
      </c>
      <c r="J8776" s="2" t="s">
        <v>12</v>
      </c>
      <c r="K8776" s="2" t="s">
        <v>12</v>
      </c>
    </row>
    <row r="8777" spans="1:11" ht="12.5" x14ac:dyDescent="0.25">
      <c r="A8777" s="3" t="e">
        <f ca="1"/>
        <v>#NAME?</v>
      </c>
      <c r="B8777" s="2" t="s">
        <v>12</v>
      </c>
      <c r="C8777" s="2" t="s">
        <v>12</v>
      </c>
      <c r="D8777" s="2" t="s">
        <v>12</v>
      </c>
      <c r="E8777" s="2" t="s">
        <v>12</v>
      </c>
      <c r="F8777" s="2" t="s">
        <v>12</v>
      </c>
      <c r="G8777" s="2" t="s">
        <v>12</v>
      </c>
      <c r="H8777" s="2" t="s">
        <v>12</v>
      </c>
      <c r="I8777" s="2" t="s">
        <v>12</v>
      </c>
      <c r="J8777" s="2" t="s">
        <v>12</v>
      </c>
      <c r="K8777" s="2" t="s">
        <v>12</v>
      </c>
    </row>
    <row r="8778" spans="1:11" ht="12.5" x14ac:dyDescent="0.25">
      <c r="A8778" s="3" t="e">
        <f ca="1"/>
        <v>#NAME?</v>
      </c>
      <c r="B8778" s="2" t="s">
        <v>12</v>
      </c>
      <c r="C8778" s="2" t="s">
        <v>12</v>
      </c>
      <c r="D8778" s="2" t="s">
        <v>12</v>
      </c>
      <c r="E8778" s="2" t="s">
        <v>12</v>
      </c>
      <c r="F8778" s="2" t="s">
        <v>12</v>
      </c>
      <c r="G8778" s="2" t="s">
        <v>12</v>
      </c>
      <c r="H8778" s="2" t="s">
        <v>12</v>
      </c>
      <c r="I8778" s="2" t="s">
        <v>12</v>
      </c>
      <c r="J8778" s="2" t="s">
        <v>12</v>
      </c>
      <c r="K8778" s="2" t="s">
        <v>12</v>
      </c>
    </row>
    <row r="8779" spans="1:11" ht="12.5" x14ac:dyDescent="0.25">
      <c r="A8779" s="3" t="e">
        <f ca="1"/>
        <v>#NAME?</v>
      </c>
      <c r="B8779" s="2" t="s">
        <v>12</v>
      </c>
      <c r="C8779" s="2" t="s">
        <v>12</v>
      </c>
      <c r="D8779" s="2" t="s">
        <v>12</v>
      </c>
      <c r="E8779" s="2" t="s">
        <v>12</v>
      </c>
      <c r="F8779" s="2" t="s">
        <v>12</v>
      </c>
      <c r="G8779" s="2" t="s">
        <v>12</v>
      </c>
      <c r="H8779" s="2" t="s">
        <v>12</v>
      </c>
      <c r="I8779" s="2" t="s">
        <v>12</v>
      </c>
      <c r="J8779" s="2" t="s">
        <v>12</v>
      </c>
      <c r="K8779" s="2" t="s">
        <v>12</v>
      </c>
    </row>
    <row r="8780" spans="1:11" ht="12.5" x14ac:dyDescent="0.25">
      <c r="A8780" s="3" t="e">
        <f ca="1"/>
        <v>#NAME?</v>
      </c>
      <c r="B8780" s="2" t="s">
        <v>12</v>
      </c>
      <c r="C8780" s="2" t="s">
        <v>12</v>
      </c>
      <c r="D8780" s="2" t="s">
        <v>12</v>
      </c>
      <c r="E8780" s="2" t="s">
        <v>12</v>
      </c>
      <c r="F8780" s="2" t="s">
        <v>12</v>
      </c>
      <c r="G8780" s="2" t="s">
        <v>12</v>
      </c>
      <c r="H8780" s="2" t="s">
        <v>12</v>
      </c>
      <c r="I8780" s="2" t="s">
        <v>12</v>
      </c>
      <c r="J8780" s="2" t="s">
        <v>12</v>
      </c>
      <c r="K8780" s="2" t="s">
        <v>12</v>
      </c>
    </row>
    <row r="8781" spans="1:11" ht="12.5" x14ac:dyDescent="0.25">
      <c r="A8781" s="3" t="e">
        <f ca="1"/>
        <v>#NAME?</v>
      </c>
      <c r="B8781" s="2" t="s">
        <v>12</v>
      </c>
      <c r="C8781" s="2" t="s">
        <v>12</v>
      </c>
      <c r="D8781" s="2" t="s">
        <v>12</v>
      </c>
      <c r="E8781" s="2" t="s">
        <v>12</v>
      </c>
      <c r="F8781" s="2" t="s">
        <v>12</v>
      </c>
      <c r="G8781" s="2" t="s">
        <v>12</v>
      </c>
      <c r="H8781" s="2" t="s">
        <v>12</v>
      </c>
      <c r="I8781" s="2" t="s">
        <v>12</v>
      </c>
      <c r="J8781" s="2" t="s">
        <v>12</v>
      </c>
      <c r="K8781" s="2" t="s">
        <v>12</v>
      </c>
    </row>
    <row r="8782" spans="1:11" ht="12.5" x14ac:dyDescent="0.25">
      <c r="A8782" s="3" t="e">
        <f ca="1"/>
        <v>#NAME?</v>
      </c>
      <c r="B8782" s="2" t="s">
        <v>12</v>
      </c>
      <c r="C8782" s="2" t="s">
        <v>12</v>
      </c>
      <c r="D8782" s="2" t="s">
        <v>12</v>
      </c>
      <c r="E8782" s="2" t="s">
        <v>12</v>
      </c>
      <c r="F8782" s="2" t="s">
        <v>12</v>
      </c>
      <c r="G8782" s="2" t="s">
        <v>12</v>
      </c>
      <c r="H8782" s="2" t="s">
        <v>12</v>
      </c>
      <c r="I8782" s="2" t="s">
        <v>12</v>
      </c>
      <c r="J8782" s="2" t="s">
        <v>12</v>
      </c>
      <c r="K8782" s="2" t="s">
        <v>12</v>
      </c>
    </row>
    <row r="8783" spans="1:11" ht="12.5" x14ac:dyDescent="0.25">
      <c r="A8783" s="3" t="e">
        <f ca="1"/>
        <v>#NAME?</v>
      </c>
      <c r="B8783" s="2" t="s">
        <v>12</v>
      </c>
      <c r="C8783" s="2" t="s">
        <v>12</v>
      </c>
      <c r="D8783" s="2" t="s">
        <v>12</v>
      </c>
      <c r="E8783" s="2" t="s">
        <v>12</v>
      </c>
      <c r="F8783" s="2" t="s">
        <v>12</v>
      </c>
      <c r="G8783" s="2" t="s">
        <v>12</v>
      </c>
      <c r="H8783" s="2" t="s">
        <v>12</v>
      </c>
      <c r="I8783" s="2" t="s">
        <v>12</v>
      </c>
      <c r="J8783" s="2" t="s">
        <v>12</v>
      </c>
      <c r="K8783" s="2" t="s">
        <v>12</v>
      </c>
    </row>
    <row r="8784" spans="1:11" ht="12.5" x14ac:dyDescent="0.25">
      <c r="A8784" s="3" t="e">
        <f ca="1"/>
        <v>#NAME?</v>
      </c>
      <c r="B8784" s="2" t="s">
        <v>12</v>
      </c>
      <c r="C8784" s="2" t="s">
        <v>12</v>
      </c>
      <c r="D8784" s="2" t="s">
        <v>12</v>
      </c>
      <c r="E8784" s="2" t="s">
        <v>12</v>
      </c>
      <c r="F8784" s="2" t="s">
        <v>12</v>
      </c>
      <c r="G8784" s="2" t="s">
        <v>12</v>
      </c>
      <c r="H8784" s="2" t="s">
        <v>12</v>
      </c>
      <c r="I8784" s="2" t="s">
        <v>12</v>
      </c>
      <c r="J8784" s="2" t="s">
        <v>12</v>
      </c>
      <c r="K8784" s="2" t="s">
        <v>12</v>
      </c>
    </row>
    <row r="8785" spans="1:11" ht="12.5" x14ac:dyDescent="0.25">
      <c r="A8785" s="3" t="e">
        <f ca="1"/>
        <v>#NAME?</v>
      </c>
      <c r="B8785" s="2" t="s">
        <v>12</v>
      </c>
      <c r="C8785" s="2" t="s">
        <v>12</v>
      </c>
      <c r="D8785" s="2" t="s">
        <v>12</v>
      </c>
      <c r="E8785" s="2" t="s">
        <v>12</v>
      </c>
      <c r="F8785" s="2" t="s">
        <v>12</v>
      </c>
      <c r="G8785" s="2" t="s">
        <v>12</v>
      </c>
      <c r="H8785" s="2" t="s">
        <v>12</v>
      </c>
      <c r="I8785" s="2" t="s">
        <v>12</v>
      </c>
      <c r="J8785" s="2" t="s">
        <v>12</v>
      </c>
      <c r="K8785" s="2" t="s">
        <v>12</v>
      </c>
    </row>
    <row r="8786" spans="1:11" ht="12.5" x14ac:dyDescent="0.25">
      <c r="A8786" s="3" t="e">
        <f ca="1"/>
        <v>#NAME?</v>
      </c>
      <c r="B8786" s="2" t="s">
        <v>12</v>
      </c>
      <c r="C8786" s="2" t="s">
        <v>12</v>
      </c>
      <c r="D8786" s="2" t="s">
        <v>12</v>
      </c>
      <c r="E8786" s="2" t="s">
        <v>12</v>
      </c>
      <c r="F8786" s="2" t="s">
        <v>12</v>
      </c>
      <c r="G8786" s="2" t="s">
        <v>12</v>
      </c>
      <c r="H8786" s="2" t="s">
        <v>12</v>
      </c>
      <c r="I8786" s="2" t="s">
        <v>12</v>
      </c>
      <c r="J8786" s="2" t="s">
        <v>12</v>
      </c>
      <c r="K8786" s="2" t="s">
        <v>12</v>
      </c>
    </row>
    <row r="8787" spans="1:11" ht="12.5" x14ac:dyDescent="0.25">
      <c r="A8787" s="3" t="e">
        <f ca="1"/>
        <v>#NAME?</v>
      </c>
      <c r="B8787" s="2" t="s">
        <v>12</v>
      </c>
      <c r="C8787" s="2" t="s">
        <v>12</v>
      </c>
      <c r="D8787" s="2" t="s">
        <v>12</v>
      </c>
      <c r="E8787" s="2" t="s">
        <v>12</v>
      </c>
      <c r="F8787" s="2" t="s">
        <v>12</v>
      </c>
      <c r="G8787" s="2" t="s">
        <v>12</v>
      </c>
      <c r="H8787" s="2" t="s">
        <v>12</v>
      </c>
      <c r="I8787" s="2" t="s">
        <v>12</v>
      </c>
      <c r="J8787" s="2" t="s">
        <v>12</v>
      </c>
      <c r="K8787" s="2" t="s">
        <v>12</v>
      </c>
    </row>
    <row r="8788" spans="1:11" ht="12.5" x14ac:dyDescent="0.25">
      <c r="A8788" s="3" t="e">
        <f ca="1"/>
        <v>#NAME?</v>
      </c>
      <c r="B8788" s="2" t="s">
        <v>12</v>
      </c>
      <c r="C8788" s="2" t="s">
        <v>12</v>
      </c>
      <c r="D8788" s="2" t="s">
        <v>12</v>
      </c>
      <c r="E8788" s="2" t="s">
        <v>12</v>
      </c>
      <c r="F8788" s="2" t="s">
        <v>12</v>
      </c>
      <c r="G8788" s="2" t="s">
        <v>12</v>
      </c>
      <c r="H8788" s="2" t="s">
        <v>12</v>
      </c>
      <c r="I8788" s="2" t="s">
        <v>12</v>
      </c>
      <c r="J8788" s="2" t="s">
        <v>12</v>
      </c>
      <c r="K8788" s="2" t="s">
        <v>12</v>
      </c>
    </row>
    <row r="8789" spans="1:11" ht="12.5" x14ac:dyDescent="0.25">
      <c r="A8789" s="3" t="e">
        <f ca="1"/>
        <v>#NAME?</v>
      </c>
      <c r="B8789" s="2" t="s">
        <v>12</v>
      </c>
      <c r="C8789" s="2" t="s">
        <v>12</v>
      </c>
      <c r="D8789" s="2" t="s">
        <v>12</v>
      </c>
      <c r="E8789" s="2" t="s">
        <v>12</v>
      </c>
      <c r="F8789" s="2" t="s">
        <v>12</v>
      </c>
      <c r="G8789" s="2" t="s">
        <v>12</v>
      </c>
      <c r="H8789" s="2" t="s">
        <v>12</v>
      </c>
      <c r="I8789" s="2" t="s">
        <v>12</v>
      </c>
      <c r="J8789" s="2" t="s">
        <v>12</v>
      </c>
      <c r="K8789" s="2" t="s">
        <v>12</v>
      </c>
    </row>
    <row r="8790" spans="1:11" ht="12.5" x14ac:dyDescent="0.25">
      <c r="A8790" s="3" t="e">
        <f ca="1"/>
        <v>#NAME?</v>
      </c>
      <c r="B8790" s="2" t="s">
        <v>12</v>
      </c>
      <c r="C8790" s="2" t="s">
        <v>12</v>
      </c>
      <c r="D8790" s="2" t="s">
        <v>12</v>
      </c>
      <c r="E8790" s="2" t="s">
        <v>12</v>
      </c>
      <c r="F8790" s="2" t="s">
        <v>12</v>
      </c>
      <c r="G8790" s="2" t="s">
        <v>12</v>
      </c>
      <c r="H8790" s="2" t="s">
        <v>12</v>
      </c>
      <c r="I8790" s="2" t="s">
        <v>12</v>
      </c>
      <c r="J8790" s="2" t="s">
        <v>12</v>
      </c>
      <c r="K8790" s="2" t="s">
        <v>12</v>
      </c>
    </row>
    <row r="8791" spans="1:11" ht="12.5" x14ac:dyDescent="0.25">
      <c r="A8791" s="3" t="e">
        <f ca="1"/>
        <v>#NAME?</v>
      </c>
      <c r="B8791" s="2" t="s">
        <v>12</v>
      </c>
      <c r="C8791" s="2" t="s">
        <v>12</v>
      </c>
      <c r="D8791" s="2" t="s">
        <v>12</v>
      </c>
      <c r="E8791" s="2" t="s">
        <v>12</v>
      </c>
      <c r="F8791" s="2" t="s">
        <v>12</v>
      </c>
      <c r="G8791" s="2" t="s">
        <v>12</v>
      </c>
      <c r="H8791" s="2" t="s">
        <v>12</v>
      </c>
      <c r="I8791" s="2" t="s">
        <v>12</v>
      </c>
      <c r="J8791" s="2" t="s">
        <v>12</v>
      </c>
      <c r="K8791" s="2" t="s">
        <v>12</v>
      </c>
    </row>
    <row r="8792" spans="1:11" ht="12.5" x14ac:dyDescent="0.25">
      <c r="A8792" s="3" t="e">
        <f ca="1"/>
        <v>#NAME?</v>
      </c>
      <c r="B8792" s="2" t="s">
        <v>12</v>
      </c>
      <c r="C8792" s="2" t="s">
        <v>12</v>
      </c>
      <c r="D8792" s="2" t="s">
        <v>12</v>
      </c>
      <c r="E8792" s="2" t="s">
        <v>12</v>
      </c>
      <c r="F8792" s="2" t="s">
        <v>12</v>
      </c>
      <c r="G8792" s="2" t="s">
        <v>12</v>
      </c>
      <c r="H8792" s="2" t="s">
        <v>12</v>
      </c>
      <c r="I8792" s="2" t="s">
        <v>12</v>
      </c>
      <c r="J8792" s="2" t="s">
        <v>12</v>
      </c>
      <c r="K8792" s="2" t="s">
        <v>12</v>
      </c>
    </row>
    <row r="8793" spans="1:11" ht="12.5" x14ac:dyDescent="0.25">
      <c r="A8793" s="3" t="e">
        <f ca="1"/>
        <v>#NAME?</v>
      </c>
      <c r="B8793" s="2" t="s">
        <v>12</v>
      </c>
      <c r="C8793" s="2" t="s">
        <v>12</v>
      </c>
      <c r="D8793" s="2" t="s">
        <v>12</v>
      </c>
      <c r="E8793" s="2" t="s">
        <v>12</v>
      </c>
      <c r="F8793" s="2" t="s">
        <v>12</v>
      </c>
      <c r="G8793" s="2" t="s">
        <v>12</v>
      </c>
      <c r="H8793" s="2" t="s">
        <v>12</v>
      </c>
      <c r="I8793" s="2" t="s">
        <v>12</v>
      </c>
      <c r="J8793" s="2" t="s">
        <v>12</v>
      </c>
      <c r="K8793" s="2" t="s">
        <v>12</v>
      </c>
    </row>
    <row r="8794" spans="1:11" ht="12.5" x14ac:dyDescent="0.25">
      <c r="A8794" s="3" t="e">
        <f ca="1"/>
        <v>#NAME?</v>
      </c>
      <c r="B8794" s="2" t="s">
        <v>12</v>
      </c>
      <c r="C8794" s="2" t="s">
        <v>12</v>
      </c>
      <c r="D8794" s="2" t="s">
        <v>12</v>
      </c>
      <c r="E8794" s="2" t="s">
        <v>12</v>
      </c>
      <c r="F8794" s="2" t="s">
        <v>12</v>
      </c>
      <c r="G8794" s="2" t="s">
        <v>12</v>
      </c>
      <c r="H8794" s="2" t="s">
        <v>12</v>
      </c>
      <c r="I8794" s="2" t="s">
        <v>12</v>
      </c>
      <c r="J8794" s="2" t="s">
        <v>12</v>
      </c>
      <c r="K8794" s="2" t="s">
        <v>12</v>
      </c>
    </row>
    <row r="8795" spans="1:11" ht="12.5" x14ac:dyDescent="0.25">
      <c r="A8795" s="3" t="e">
        <f ca="1"/>
        <v>#NAME?</v>
      </c>
      <c r="B8795" s="2" t="s">
        <v>12</v>
      </c>
      <c r="C8795" s="2" t="s">
        <v>12</v>
      </c>
      <c r="D8795" s="2" t="s">
        <v>12</v>
      </c>
      <c r="E8795" s="2" t="s">
        <v>12</v>
      </c>
      <c r="F8795" s="2" t="s">
        <v>12</v>
      </c>
      <c r="G8795" s="2" t="s">
        <v>12</v>
      </c>
      <c r="H8795" s="2" t="s">
        <v>12</v>
      </c>
      <c r="I8795" s="2" t="s">
        <v>12</v>
      </c>
      <c r="J8795" s="2" t="s">
        <v>12</v>
      </c>
      <c r="K8795" s="2" t="s">
        <v>12</v>
      </c>
    </row>
    <row r="8796" spans="1:11" ht="12.5" x14ac:dyDescent="0.25">
      <c r="A8796" s="3" t="e">
        <f ca="1"/>
        <v>#NAME?</v>
      </c>
      <c r="B8796" s="2" t="s">
        <v>12</v>
      </c>
      <c r="C8796" s="2" t="s">
        <v>12</v>
      </c>
      <c r="D8796" s="2" t="s">
        <v>12</v>
      </c>
      <c r="E8796" s="2" t="s">
        <v>12</v>
      </c>
      <c r="F8796" s="2" t="s">
        <v>12</v>
      </c>
      <c r="G8796" s="2" t="s">
        <v>12</v>
      </c>
      <c r="H8796" s="2" t="s">
        <v>12</v>
      </c>
      <c r="I8796" s="2" t="s">
        <v>12</v>
      </c>
      <c r="J8796" s="2" t="s">
        <v>12</v>
      </c>
      <c r="K8796" s="2" t="s">
        <v>12</v>
      </c>
    </row>
    <row r="8797" spans="1:11" ht="12.5" x14ac:dyDescent="0.25">
      <c r="A8797" s="3" t="e">
        <f ca="1"/>
        <v>#NAME?</v>
      </c>
      <c r="B8797" s="2" t="s">
        <v>12</v>
      </c>
      <c r="C8797" s="2" t="s">
        <v>12</v>
      </c>
      <c r="D8797" s="2" t="s">
        <v>12</v>
      </c>
      <c r="E8797" s="2" t="s">
        <v>12</v>
      </c>
      <c r="F8797" s="2" t="s">
        <v>12</v>
      </c>
      <c r="G8797" s="2" t="s">
        <v>12</v>
      </c>
      <c r="H8797" s="2" t="s">
        <v>12</v>
      </c>
      <c r="I8797" s="2" t="s">
        <v>12</v>
      </c>
      <c r="J8797" s="2" t="s">
        <v>12</v>
      </c>
      <c r="K8797" s="2" t="s">
        <v>12</v>
      </c>
    </row>
    <row r="8798" spans="1:11" ht="12.5" x14ac:dyDescent="0.25">
      <c r="A8798" s="3" t="e">
        <f ca="1"/>
        <v>#NAME?</v>
      </c>
      <c r="B8798" s="2" t="s">
        <v>12</v>
      </c>
      <c r="C8798" s="2" t="s">
        <v>12</v>
      </c>
      <c r="D8798" s="2" t="s">
        <v>12</v>
      </c>
      <c r="E8798" s="2" t="s">
        <v>12</v>
      </c>
      <c r="F8798" s="2" t="s">
        <v>12</v>
      </c>
      <c r="G8798" s="2" t="s">
        <v>12</v>
      </c>
      <c r="H8798" s="2" t="s">
        <v>12</v>
      </c>
      <c r="I8798" s="2" t="s">
        <v>12</v>
      </c>
      <c r="J8798" s="2" t="s">
        <v>12</v>
      </c>
      <c r="K8798" s="2" t="s">
        <v>12</v>
      </c>
    </row>
    <row r="8799" spans="1:11" ht="12.5" x14ac:dyDescent="0.25">
      <c r="A8799" s="3" t="e">
        <f ca="1"/>
        <v>#NAME?</v>
      </c>
      <c r="B8799" s="2" t="s">
        <v>12</v>
      </c>
      <c r="C8799" s="2" t="s">
        <v>12</v>
      </c>
      <c r="D8799" s="2" t="s">
        <v>12</v>
      </c>
      <c r="E8799" s="2" t="s">
        <v>12</v>
      </c>
      <c r="F8799" s="2" t="s">
        <v>12</v>
      </c>
      <c r="G8799" s="2" t="s">
        <v>12</v>
      </c>
      <c r="H8799" s="2" t="s">
        <v>12</v>
      </c>
      <c r="I8799" s="2" t="s">
        <v>12</v>
      </c>
      <c r="J8799" s="2" t="s">
        <v>12</v>
      </c>
      <c r="K8799" s="2" t="s">
        <v>12</v>
      </c>
    </row>
    <row r="8800" spans="1:11" ht="12.5" x14ac:dyDescent="0.25">
      <c r="A8800" s="3" t="e">
        <f ca="1"/>
        <v>#NAME?</v>
      </c>
      <c r="B8800" s="2" t="s">
        <v>12</v>
      </c>
      <c r="C8800" s="2" t="s">
        <v>12</v>
      </c>
      <c r="D8800" s="2" t="s">
        <v>12</v>
      </c>
      <c r="E8800" s="2" t="s">
        <v>12</v>
      </c>
      <c r="F8800" s="2" t="s">
        <v>12</v>
      </c>
      <c r="G8800" s="2" t="s">
        <v>12</v>
      </c>
      <c r="H8800" s="2" t="s">
        <v>12</v>
      </c>
      <c r="I8800" s="2" t="s">
        <v>12</v>
      </c>
      <c r="J8800" s="2" t="s">
        <v>12</v>
      </c>
      <c r="K8800" s="2" t="s">
        <v>12</v>
      </c>
    </row>
    <row r="8801" spans="1:11" ht="12.5" x14ac:dyDescent="0.25">
      <c r="A8801" s="3" t="e">
        <f ca="1"/>
        <v>#NAME?</v>
      </c>
      <c r="B8801" s="2" t="s">
        <v>12</v>
      </c>
      <c r="C8801" s="2" t="s">
        <v>12</v>
      </c>
      <c r="D8801" s="2" t="s">
        <v>12</v>
      </c>
      <c r="E8801" s="2" t="s">
        <v>12</v>
      </c>
      <c r="F8801" s="2" t="s">
        <v>12</v>
      </c>
      <c r="G8801" s="2" t="s">
        <v>12</v>
      </c>
      <c r="H8801" s="2" t="s">
        <v>12</v>
      </c>
      <c r="I8801" s="2" t="s">
        <v>12</v>
      </c>
      <c r="J8801" s="2" t="s">
        <v>12</v>
      </c>
      <c r="K8801" s="2" t="s">
        <v>12</v>
      </c>
    </row>
    <row r="8802" spans="1:11" ht="12.5" x14ac:dyDescent="0.25">
      <c r="A8802" s="3" t="e">
        <f ca="1"/>
        <v>#NAME?</v>
      </c>
      <c r="B8802" s="2" t="s">
        <v>12</v>
      </c>
      <c r="C8802" s="2" t="s">
        <v>12</v>
      </c>
      <c r="D8802" s="2" t="s">
        <v>12</v>
      </c>
      <c r="E8802" s="2" t="s">
        <v>12</v>
      </c>
      <c r="F8802" s="2" t="s">
        <v>12</v>
      </c>
      <c r="G8802" s="2" t="s">
        <v>12</v>
      </c>
      <c r="H8802" s="2" t="s">
        <v>12</v>
      </c>
      <c r="I8802" s="2" t="s">
        <v>12</v>
      </c>
      <c r="J8802" s="2" t="s">
        <v>12</v>
      </c>
      <c r="K8802" s="2" t="s">
        <v>12</v>
      </c>
    </row>
    <row r="8803" spans="1:11" ht="12.5" x14ac:dyDescent="0.25">
      <c r="A8803" s="3" t="e">
        <f ca="1"/>
        <v>#NAME?</v>
      </c>
      <c r="B8803" s="2" t="s">
        <v>12</v>
      </c>
      <c r="C8803" s="2" t="s">
        <v>12</v>
      </c>
      <c r="D8803" s="2" t="s">
        <v>12</v>
      </c>
      <c r="E8803" s="2" t="s">
        <v>12</v>
      </c>
      <c r="F8803" s="2" t="s">
        <v>12</v>
      </c>
      <c r="G8803" s="2" t="s">
        <v>12</v>
      </c>
      <c r="H8803" s="2" t="s">
        <v>12</v>
      </c>
      <c r="I8803" s="2" t="s">
        <v>12</v>
      </c>
      <c r="J8803" s="2" t="s">
        <v>12</v>
      </c>
      <c r="K8803" s="2" t="s">
        <v>12</v>
      </c>
    </row>
    <row r="8804" spans="1:11" ht="12.5" x14ac:dyDescent="0.25">
      <c r="A8804" s="3" t="e">
        <f ca="1"/>
        <v>#NAME?</v>
      </c>
      <c r="B8804" s="2" t="s">
        <v>12</v>
      </c>
      <c r="C8804" s="2" t="s">
        <v>12</v>
      </c>
      <c r="D8804" s="2" t="s">
        <v>12</v>
      </c>
      <c r="E8804" s="2" t="s">
        <v>12</v>
      </c>
      <c r="F8804" s="2" t="s">
        <v>12</v>
      </c>
      <c r="G8804" s="2" t="s">
        <v>12</v>
      </c>
      <c r="H8804" s="2" t="s">
        <v>12</v>
      </c>
      <c r="I8804" s="2" t="s">
        <v>12</v>
      </c>
      <c r="J8804" s="2" t="s">
        <v>12</v>
      </c>
      <c r="K8804" s="2" t="s">
        <v>12</v>
      </c>
    </row>
    <row r="8805" spans="1:11" ht="12.5" x14ac:dyDescent="0.25">
      <c r="A8805" s="3" t="e">
        <f ca="1"/>
        <v>#NAME?</v>
      </c>
      <c r="B8805" s="2" t="s">
        <v>12</v>
      </c>
      <c r="C8805" s="2" t="s">
        <v>12</v>
      </c>
      <c r="D8805" s="2" t="s">
        <v>12</v>
      </c>
      <c r="E8805" s="2" t="s">
        <v>12</v>
      </c>
      <c r="F8805" s="2" t="s">
        <v>12</v>
      </c>
      <c r="G8805" s="2" t="s">
        <v>12</v>
      </c>
      <c r="H8805" s="2" t="s">
        <v>12</v>
      </c>
      <c r="I8805" s="2" t="s">
        <v>12</v>
      </c>
      <c r="J8805" s="2" t="s">
        <v>12</v>
      </c>
      <c r="K8805" s="2" t="s">
        <v>12</v>
      </c>
    </row>
    <row r="8806" spans="1:11" ht="12.5" x14ac:dyDescent="0.25">
      <c r="A8806" s="3" t="e">
        <f ca="1"/>
        <v>#NAME?</v>
      </c>
      <c r="B8806" s="2" t="s">
        <v>12</v>
      </c>
      <c r="C8806" s="2" t="s">
        <v>12</v>
      </c>
      <c r="D8806" s="2" t="s">
        <v>12</v>
      </c>
      <c r="E8806" s="2" t="s">
        <v>12</v>
      </c>
      <c r="F8806" s="2" t="s">
        <v>12</v>
      </c>
      <c r="G8806" s="2" t="s">
        <v>12</v>
      </c>
      <c r="H8806" s="2" t="s">
        <v>12</v>
      </c>
      <c r="I8806" s="2" t="s">
        <v>12</v>
      </c>
      <c r="J8806" s="2" t="s">
        <v>12</v>
      </c>
      <c r="K8806" s="2" t="s">
        <v>12</v>
      </c>
    </row>
    <row r="8807" spans="1:11" ht="12.5" x14ac:dyDescent="0.25">
      <c r="A8807" s="3" t="e">
        <f ca="1"/>
        <v>#NAME?</v>
      </c>
      <c r="B8807" s="2" t="s">
        <v>12</v>
      </c>
      <c r="C8807" s="2" t="s">
        <v>12</v>
      </c>
      <c r="D8807" s="2" t="s">
        <v>12</v>
      </c>
      <c r="E8807" s="2" t="s">
        <v>12</v>
      </c>
      <c r="F8807" s="2" t="s">
        <v>12</v>
      </c>
      <c r="G8807" s="2" t="s">
        <v>12</v>
      </c>
      <c r="H8807" s="2" t="s">
        <v>12</v>
      </c>
      <c r="I8807" s="2" t="s">
        <v>12</v>
      </c>
      <c r="J8807" s="2" t="s">
        <v>12</v>
      </c>
      <c r="K8807" s="2" t="s">
        <v>12</v>
      </c>
    </row>
    <row r="8808" spans="1:11" ht="12.5" x14ac:dyDescent="0.25">
      <c r="A8808" s="3" t="e">
        <f ca="1"/>
        <v>#NAME?</v>
      </c>
      <c r="B8808" s="2" t="s">
        <v>12</v>
      </c>
      <c r="C8808" s="2" t="s">
        <v>12</v>
      </c>
      <c r="D8808" s="2" t="s">
        <v>12</v>
      </c>
      <c r="E8808" s="2" t="s">
        <v>12</v>
      </c>
      <c r="F8808" s="2" t="s">
        <v>12</v>
      </c>
      <c r="G8808" s="2" t="s">
        <v>12</v>
      </c>
      <c r="H8808" s="2" t="s">
        <v>12</v>
      </c>
      <c r="I8808" s="2" t="s">
        <v>12</v>
      </c>
      <c r="J8808" s="2" t="s">
        <v>12</v>
      </c>
      <c r="K8808" s="2" t="s">
        <v>12</v>
      </c>
    </row>
    <row r="8809" spans="1:11" ht="12.5" x14ac:dyDescent="0.25">
      <c r="A8809" s="3" t="e">
        <f ca="1"/>
        <v>#NAME?</v>
      </c>
      <c r="B8809" s="2" t="s">
        <v>12</v>
      </c>
      <c r="C8809" s="2" t="s">
        <v>12</v>
      </c>
      <c r="D8809" s="2" t="s">
        <v>12</v>
      </c>
      <c r="E8809" s="2" t="s">
        <v>12</v>
      </c>
      <c r="F8809" s="2" t="s">
        <v>12</v>
      </c>
      <c r="G8809" s="2" t="s">
        <v>12</v>
      </c>
      <c r="H8809" s="2" t="s">
        <v>12</v>
      </c>
      <c r="I8809" s="2" t="s">
        <v>12</v>
      </c>
      <c r="J8809" s="2" t="s">
        <v>12</v>
      </c>
      <c r="K8809" s="2" t="s">
        <v>12</v>
      </c>
    </row>
    <row r="8810" spans="1:11" ht="12.5" x14ac:dyDescent="0.25">
      <c r="B8810" s="2"/>
      <c r="C8810" s="2"/>
      <c r="D8810" s="2"/>
      <c r="E8810" s="2"/>
      <c r="F8810" s="2"/>
      <c r="G8810" s="2"/>
      <c r="H8810" s="2"/>
      <c r="I8810" s="2"/>
      <c r="J8810" s="2"/>
      <c r="K8810" s="2"/>
    </row>
    <row r="8811" spans="1:11" ht="12.5" x14ac:dyDescent="0.25">
      <c r="B8811" s="2"/>
      <c r="C8811" s="2"/>
      <c r="D8811" s="2"/>
      <c r="E8811" s="2"/>
      <c r="F8811" s="2"/>
      <c r="G8811" s="2"/>
      <c r="H8811" s="2"/>
      <c r="I8811" s="2"/>
      <c r="J8811" s="2"/>
      <c r="K8811" s="2"/>
    </row>
    <row r="8812" spans="1:11" ht="12.5" x14ac:dyDescent="0.25">
      <c r="B8812" s="2"/>
      <c r="C8812" s="2"/>
      <c r="D8812" s="2"/>
      <c r="E8812" s="2"/>
      <c r="F8812" s="2"/>
      <c r="G8812" s="2"/>
      <c r="H8812" s="2"/>
      <c r="I8812" s="2"/>
      <c r="J8812" s="2"/>
      <c r="K8812" s="2"/>
    </row>
    <row r="8813" spans="1:11" ht="12.5" x14ac:dyDescent="0.25">
      <c r="B8813" s="2"/>
      <c r="C8813" s="2"/>
      <c r="D8813" s="2"/>
      <c r="E8813" s="2"/>
      <c r="F8813" s="2"/>
      <c r="G8813" s="2"/>
      <c r="H8813" s="2"/>
      <c r="I8813" s="2"/>
      <c r="J8813" s="2"/>
      <c r="K8813" s="2"/>
    </row>
    <row r="8814" spans="1:11" ht="12.5" x14ac:dyDescent="0.25">
      <c r="B8814" s="2"/>
      <c r="C8814" s="2"/>
      <c r="D8814" s="2"/>
      <c r="E8814" s="2"/>
      <c r="F8814" s="2"/>
      <c r="G8814" s="2"/>
      <c r="H8814" s="2"/>
      <c r="I8814" s="2"/>
      <c r="J8814" s="2"/>
      <c r="K8814" s="2"/>
    </row>
    <row r="8815" spans="1:11" ht="12.5" x14ac:dyDescent="0.25">
      <c r="B8815" s="2"/>
      <c r="C8815" s="2"/>
      <c r="D8815" s="2"/>
      <c r="E8815" s="2"/>
      <c r="F8815" s="2"/>
      <c r="G8815" s="2"/>
      <c r="H8815" s="2"/>
      <c r="I8815" s="2"/>
      <c r="J8815" s="2"/>
      <c r="K8815" s="2"/>
    </row>
    <row r="8816" spans="1:11" ht="12.5" x14ac:dyDescent="0.25">
      <c r="B8816" s="2"/>
      <c r="C8816" s="2"/>
      <c r="D8816" s="2"/>
      <c r="E8816" s="2"/>
      <c r="F8816" s="2"/>
      <c r="G8816" s="2"/>
      <c r="H8816" s="2"/>
      <c r="I8816" s="2"/>
      <c r="J8816" s="2"/>
      <c r="K8816" s="2"/>
    </row>
    <row r="8817" spans="2:11" ht="12.5" x14ac:dyDescent="0.25">
      <c r="B8817" s="2"/>
      <c r="C8817" s="2"/>
      <c r="D8817" s="2"/>
      <c r="E8817" s="2"/>
      <c r="F8817" s="2"/>
      <c r="G8817" s="2"/>
      <c r="H8817" s="2"/>
      <c r="I8817" s="2"/>
      <c r="J8817" s="2"/>
      <c r="K8817" s="2"/>
    </row>
    <row r="8818" spans="2:11" ht="12.5" x14ac:dyDescent="0.25">
      <c r="B8818" s="2"/>
      <c r="C8818" s="2"/>
      <c r="D8818" s="2"/>
      <c r="E8818" s="2"/>
      <c r="F8818" s="2"/>
      <c r="G8818" s="2"/>
      <c r="H8818" s="2"/>
      <c r="I8818" s="2"/>
      <c r="J8818" s="2"/>
      <c r="K8818" s="2"/>
    </row>
    <row r="8819" spans="2:11" ht="12.5" x14ac:dyDescent="0.25">
      <c r="B8819" s="2"/>
      <c r="C8819" s="2"/>
      <c r="D8819" s="2"/>
      <c r="E8819" s="2"/>
      <c r="F8819" s="2"/>
      <c r="G8819" s="2"/>
      <c r="H8819" s="2"/>
      <c r="I8819" s="2"/>
      <c r="J8819" s="2"/>
      <c r="K8819" s="2"/>
    </row>
    <row r="8820" spans="2:11" ht="12.5" x14ac:dyDescent="0.25">
      <c r="B8820" s="2"/>
      <c r="C8820" s="2"/>
      <c r="D8820" s="2"/>
      <c r="E8820" s="2"/>
      <c r="F8820" s="2"/>
      <c r="G8820" s="2"/>
      <c r="H8820" s="2"/>
      <c r="I8820" s="2"/>
      <c r="J8820" s="2"/>
      <c r="K8820" s="2"/>
    </row>
    <row r="8821" spans="2:11" ht="12.5" x14ac:dyDescent="0.25">
      <c r="B8821" s="2"/>
      <c r="C8821" s="2"/>
      <c r="D8821" s="2"/>
      <c r="E8821" s="2"/>
      <c r="F8821" s="2"/>
      <c r="G8821" s="2"/>
      <c r="H8821" s="2"/>
      <c r="I8821" s="2"/>
      <c r="J8821" s="2"/>
      <c r="K8821" s="2"/>
    </row>
    <row r="8822" spans="2:11" ht="12.5" x14ac:dyDescent="0.25">
      <c r="B8822" s="2"/>
      <c r="C8822" s="2"/>
      <c r="D8822" s="2"/>
      <c r="E8822" s="2"/>
      <c r="F8822" s="2"/>
      <c r="G8822" s="2"/>
      <c r="H8822" s="2"/>
      <c r="I8822" s="2"/>
      <c r="J8822" s="2"/>
      <c r="K8822" s="2"/>
    </row>
    <row r="8823" spans="2:11" ht="12.5" x14ac:dyDescent="0.25">
      <c r="B8823" s="2"/>
      <c r="C8823" s="2"/>
      <c r="D8823" s="2"/>
      <c r="E8823" s="2"/>
      <c r="F8823" s="2"/>
      <c r="G8823" s="2"/>
      <c r="H8823" s="2"/>
      <c r="I8823" s="2"/>
      <c r="J8823" s="2"/>
      <c r="K8823" s="2"/>
    </row>
    <row r="8824" spans="2:11" ht="12.5" x14ac:dyDescent="0.25">
      <c r="B8824" s="2"/>
      <c r="C8824" s="2"/>
      <c r="D8824" s="2"/>
      <c r="E8824" s="2"/>
      <c r="F8824" s="2"/>
      <c r="G8824" s="2"/>
      <c r="H8824" s="2"/>
      <c r="I8824" s="2"/>
      <c r="J8824" s="2"/>
      <c r="K8824" s="2"/>
    </row>
    <row r="8825" spans="2:11" ht="12.5" x14ac:dyDescent="0.25">
      <c r="B8825" s="2"/>
      <c r="C8825" s="2"/>
      <c r="D8825" s="2"/>
      <c r="E8825" s="2"/>
      <c r="F8825" s="2"/>
      <c r="G8825" s="2"/>
      <c r="H8825" s="2"/>
      <c r="I8825" s="2"/>
      <c r="J8825" s="2"/>
      <c r="K8825" s="2"/>
    </row>
    <row r="8826" spans="2:11" ht="12.5" x14ac:dyDescent="0.25">
      <c r="B8826" s="2"/>
      <c r="C8826" s="2"/>
      <c r="D8826" s="2"/>
      <c r="E8826" s="2"/>
      <c r="F8826" s="2"/>
      <c r="G8826" s="2"/>
      <c r="H8826" s="2"/>
      <c r="I8826" s="2"/>
      <c r="J8826" s="2"/>
      <c r="K8826" s="2"/>
    </row>
    <row r="8827" spans="2:11" ht="12.5" x14ac:dyDescent="0.25">
      <c r="B8827" s="2"/>
      <c r="C8827" s="2"/>
      <c r="D8827" s="2"/>
      <c r="E8827" s="2"/>
      <c r="F8827" s="2"/>
      <c r="G8827" s="2"/>
      <c r="H8827" s="2"/>
      <c r="I8827" s="2"/>
      <c r="J8827" s="2"/>
      <c r="K8827" s="2"/>
    </row>
    <row r="8828" spans="2:11" ht="12.5" x14ac:dyDescent="0.25">
      <c r="B8828" s="2"/>
      <c r="C8828" s="2"/>
      <c r="D8828" s="2"/>
      <c r="E8828" s="2"/>
      <c r="F8828" s="2"/>
      <c r="G8828" s="2"/>
      <c r="H8828" s="2"/>
      <c r="I8828" s="2"/>
      <c r="J8828" s="2"/>
      <c r="K8828" s="2"/>
    </row>
    <row r="8829" spans="2:11" ht="12.5" x14ac:dyDescent="0.25">
      <c r="B8829" s="2"/>
      <c r="C8829" s="2"/>
      <c r="D8829" s="2"/>
      <c r="E8829" s="2"/>
      <c r="F8829" s="2"/>
      <c r="G8829" s="2"/>
      <c r="H8829" s="2"/>
      <c r="I8829" s="2"/>
      <c r="J8829" s="2"/>
      <c r="K8829" s="2"/>
    </row>
    <row r="8830" spans="2:11" ht="12.5" x14ac:dyDescent="0.25">
      <c r="B8830" s="2"/>
      <c r="C8830" s="2"/>
      <c r="D8830" s="2"/>
      <c r="E8830" s="2"/>
      <c r="F8830" s="2"/>
      <c r="G8830" s="2"/>
      <c r="H8830" s="2"/>
      <c r="I8830" s="2"/>
      <c r="J8830" s="2"/>
      <c r="K8830" s="2"/>
    </row>
    <row r="8831" spans="2:11" ht="12.5" x14ac:dyDescent="0.25">
      <c r="B8831" s="2"/>
      <c r="C8831" s="2"/>
      <c r="D8831" s="2"/>
      <c r="E8831" s="2"/>
      <c r="F8831" s="2"/>
      <c r="G8831" s="2"/>
      <c r="H8831" s="2"/>
      <c r="I8831" s="2"/>
      <c r="J8831" s="2"/>
      <c r="K8831" s="2"/>
    </row>
    <row r="8832" spans="2:11" ht="12.5" x14ac:dyDescent="0.25">
      <c r="B8832" s="2"/>
      <c r="C8832" s="2"/>
      <c r="D8832" s="2"/>
      <c r="E8832" s="2"/>
      <c r="F8832" s="2"/>
      <c r="G8832" s="2"/>
      <c r="H8832" s="2"/>
      <c r="I8832" s="2"/>
      <c r="J8832" s="2"/>
      <c r="K8832" s="2"/>
    </row>
    <row r="8833" spans="2:11" ht="12.5" x14ac:dyDescent="0.25">
      <c r="B8833" s="2"/>
      <c r="C8833" s="2"/>
      <c r="D8833" s="2"/>
      <c r="E8833" s="2"/>
      <c r="F8833" s="2"/>
      <c r="G8833" s="2"/>
      <c r="H8833" s="2"/>
      <c r="I8833" s="2"/>
      <c r="J8833" s="2"/>
      <c r="K8833" s="2"/>
    </row>
    <row r="8834" spans="2:11" ht="12.5" x14ac:dyDescent="0.25">
      <c r="B8834" s="2"/>
      <c r="C8834" s="2"/>
      <c r="D8834" s="2"/>
      <c r="E8834" s="2"/>
      <c r="F8834" s="2"/>
      <c r="G8834" s="2"/>
      <c r="H8834" s="2"/>
      <c r="I8834" s="2"/>
      <c r="J8834" s="2"/>
      <c r="K8834" s="2"/>
    </row>
    <row r="8835" spans="2:11" ht="12.5" x14ac:dyDescent="0.25">
      <c r="B8835" s="2"/>
      <c r="C8835" s="2"/>
      <c r="D8835" s="2"/>
      <c r="E8835" s="2"/>
      <c r="F8835" s="2"/>
      <c r="G8835" s="2"/>
      <c r="H8835" s="2"/>
      <c r="I8835" s="2"/>
      <c r="J8835" s="2"/>
      <c r="K8835" s="2"/>
    </row>
    <row r="8836" spans="2:11" ht="12.5" x14ac:dyDescent="0.25">
      <c r="B8836" s="2"/>
      <c r="C8836" s="2"/>
      <c r="D8836" s="2"/>
      <c r="E8836" s="2"/>
      <c r="F8836" s="2"/>
      <c r="G8836" s="2"/>
      <c r="H8836" s="2"/>
      <c r="I8836" s="2"/>
      <c r="J8836" s="2"/>
      <c r="K8836" s="2"/>
    </row>
    <row r="8837" spans="2:11" ht="12.5" x14ac:dyDescent="0.25">
      <c r="B8837" s="2"/>
      <c r="C8837" s="2"/>
      <c r="D8837" s="2"/>
      <c r="E8837" s="2"/>
      <c r="F8837" s="2"/>
      <c r="G8837" s="2"/>
      <c r="H8837" s="2"/>
      <c r="I8837" s="2"/>
      <c r="J8837" s="2"/>
      <c r="K8837" s="2"/>
    </row>
    <row r="8838" spans="2:11" ht="12.5" x14ac:dyDescent="0.25">
      <c r="B8838" s="2"/>
      <c r="C8838" s="2"/>
      <c r="D8838" s="2"/>
      <c r="E8838" s="2"/>
      <c r="F8838" s="2"/>
      <c r="G8838" s="2"/>
      <c r="H8838" s="2"/>
      <c r="I8838" s="2"/>
      <c r="J8838" s="2"/>
      <c r="K8838" s="2"/>
    </row>
    <row r="8839" spans="2:11" ht="12.5" x14ac:dyDescent="0.25">
      <c r="B8839" s="2"/>
      <c r="C8839" s="2"/>
      <c r="D8839" s="2"/>
      <c r="E8839" s="2"/>
      <c r="F8839" s="2"/>
      <c r="G8839" s="2"/>
      <c r="H8839" s="2"/>
      <c r="I8839" s="2"/>
      <c r="J8839" s="2"/>
      <c r="K8839" s="2"/>
    </row>
    <row r="8840" spans="2:11" ht="12.5" x14ac:dyDescent="0.25">
      <c r="B8840" s="2"/>
      <c r="C8840" s="2"/>
      <c r="D8840" s="2"/>
      <c r="E8840" s="2"/>
      <c r="F8840" s="2"/>
      <c r="G8840" s="2"/>
      <c r="H8840" s="2"/>
      <c r="I8840" s="2"/>
      <c r="J8840" s="2"/>
      <c r="K8840" s="2"/>
    </row>
    <row r="8841" spans="2:11" ht="12.5" x14ac:dyDescent="0.25">
      <c r="B8841" s="2"/>
      <c r="C8841" s="2"/>
      <c r="D8841" s="2"/>
      <c r="E8841" s="2"/>
      <c r="F8841" s="2"/>
      <c r="G8841" s="2"/>
      <c r="H8841" s="2"/>
      <c r="I8841" s="2"/>
      <c r="J8841" s="2"/>
      <c r="K8841" s="2"/>
    </row>
    <row r="8842" spans="2:11" ht="12.5" x14ac:dyDescent="0.25">
      <c r="B8842" s="2"/>
      <c r="C8842" s="2"/>
      <c r="D8842" s="2"/>
      <c r="E8842" s="2"/>
      <c r="F8842" s="2"/>
      <c r="G8842" s="2"/>
      <c r="H8842" s="2"/>
      <c r="I8842" s="2"/>
      <c r="J8842" s="2"/>
      <c r="K8842" s="2"/>
    </row>
    <row r="8843" spans="2:11" ht="12.5" x14ac:dyDescent="0.25">
      <c r="B8843" s="2"/>
      <c r="C8843" s="2"/>
      <c r="D8843" s="2"/>
      <c r="E8843" s="2"/>
      <c r="F8843" s="2"/>
      <c r="G8843" s="2"/>
      <c r="H8843" s="2"/>
      <c r="I8843" s="2"/>
      <c r="J8843" s="2"/>
      <c r="K8843" s="2"/>
    </row>
    <row r="8844" spans="2:11" ht="12.5" x14ac:dyDescent="0.25">
      <c r="B8844" s="2"/>
      <c r="C8844" s="2"/>
      <c r="D8844" s="2"/>
      <c r="E8844" s="2"/>
      <c r="F8844" s="2"/>
      <c r="G8844" s="2"/>
      <c r="H8844" s="2"/>
      <c r="I8844" s="2"/>
      <c r="J8844" s="2"/>
      <c r="K8844" s="2"/>
    </row>
    <row r="8845" spans="2:11" ht="12.5" x14ac:dyDescent="0.25">
      <c r="B8845" s="2"/>
      <c r="C8845" s="2"/>
      <c r="D8845" s="2"/>
      <c r="E8845" s="2"/>
      <c r="F8845" s="2"/>
      <c r="G8845" s="2"/>
      <c r="H8845" s="2"/>
      <c r="I8845" s="2"/>
      <c r="J8845" s="2"/>
      <c r="K8845" s="2"/>
    </row>
    <row r="8846" spans="2:11" ht="12.5" x14ac:dyDescent="0.25">
      <c r="B8846" s="2"/>
      <c r="C8846" s="2"/>
      <c r="D8846" s="2"/>
      <c r="E8846" s="2"/>
      <c r="F8846" s="2"/>
      <c r="G8846" s="2"/>
      <c r="H8846" s="2"/>
      <c r="I8846" s="2"/>
      <c r="J8846" s="2"/>
      <c r="K8846" s="2"/>
    </row>
    <row r="8847" spans="2:11" ht="12.5" x14ac:dyDescent="0.25">
      <c r="B8847" s="2"/>
      <c r="C8847" s="2"/>
      <c r="D8847" s="2"/>
      <c r="E8847" s="2"/>
      <c r="F8847" s="2"/>
      <c r="G8847" s="2"/>
      <c r="H8847" s="2"/>
      <c r="I8847" s="2"/>
      <c r="J8847" s="2"/>
      <c r="K8847" s="2"/>
    </row>
    <row r="8848" spans="2:11" ht="12.5" x14ac:dyDescent="0.25">
      <c r="B8848" s="2"/>
      <c r="C8848" s="2"/>
      <c r="D8848" s="2"/>
      <c r="E8848" s="2"/>
      <c r="F8848" s="2"/>
      <c r="G8848" s="2"/>
      <c r="H8848" s="2"/>
      <c r="I8848" s="2"/>
      <c r="J8848" s="2"/>
      <c r="K8848" s="2"/>
    </row>
    <row r="8849" spans="2:11" ht="12.5" x14ac:dyDescent="0.25">
      <c r="B8849" s="2"/>
      <c r="C8849" s="2"/>
      <c r="D8849" s="2"/>
      <c r="E8849" s="2"/>
      <c r="F8849" s="2"/>
      <c r="G8849" s="2"/>
      <c r="H8849" s="2"/>
      <c r="I8849" s="2"/>
      <c r="J8849" s="2"/>
      <c r="K8849" s="2"/>
    </row>
    <row r="8850" spans="2:11" ht="12.5" x14ac:dyDescent="0.25">
      <c r="B8850" s="2"/>
      <c r="C8850" s="2"/>
      <c r="D8850" s="2"/>
      <c r="E8850" s="2"/>
      <c r="F8850" s="2"/>
      <c r="G8850" s="2"/>
      <c r="H8850" s="2"/>
      <c r="I8850" s="2"/>
      <c r="J8850" s="2"/>
      <c r="K8850" s="2"/>
    </row>
    <row r="8851" spans="2:11" ht="12.5" x14ac:dyDescent="0.25">
      <c r="B8851" s="2"/>
      <c r="C8851" s="2"/>
      <c r="D8851" s="2"/>
      <c r="E8851" s="2"/>
      <c r="F8851" s="2"/>
      <c r="G8851" s="2"/>
      <c r="H8851" s="2"/>
      <c r="I8851" s="2"/>
      <c r="J8851" s="2"/>
      <c r="K8851" s="2"/>
    </row>
    <row r="8852" spans="2:11" ht="12.5" x14ac:dyDescent="0.25">
      <c r="B8852" s="2"/>
      <c r="C8852" s="2"/>
      <c r="D8852" s="2"/>
      <c r="E8852" s="2"/>
      <c r="F8852" s="2"/>
      <c r="G8852" s="2"/>
      <c r="H8852" s="2"/>
      <c r="I8852" s="2"/>
      <c r="J8852" s="2"/>
      <c r="K8852" s="2"/>
    </row>
    <row r="8853" spans="2:11" ht="12.5" x14ac:dyDescent="0.25">
      <c r="B8853" s="2"/>
      <c r="C8853" s="2"/>
      <c r="D8853" s="2"/>
      <c r="E8853" s="2"/>
      <c r="F8853" s="2"/>
      <c r="G8853" s="2"/>
      <c r="H8853" s="2"/>
      <c r="I8853" s="2"/>
      <c r="J8853" s="2"/>
      <c r="K8853" s="2"/>
    </row>
    <row r="8854" spans="2:11" ht="12.5" x14ac:dyDescent="0.25">
      <c r="B8854" s="2"/>
      <c r="C8854" s="2"/>
      <c r="D8854" s="2"/>
      <c r="E8854" s="2"/>
      <c r="F8854" s="2"/>
      <c r="G8854" s="2"/>
      <c r="H8854" s="2"/>
      <c r="I8854" s="2"/>
      <c r="J8854" s="2"/>
      <c r="K8854" s="2"/>
    </row>
    <row r="8855" spans="2:11" ht="12.5" x14ac:dyDescent="0.25">
      <c r="B8855" s="2"/>
      <c r="C8855" s="2"/>
      <c r="D8855" s="2"/>
      <c r="E8855" s="2"/>
      <c r="F8855" s="2"/>
      <c r="G8855" s="2"/>
      <c r="H8855" s="2"/>
      <c r="I8855" s="2"/>
      <c r="J8855" s="2"/>
      <c r="K8855" s="2"/>
    </row>
    <row r="8856" spans="2:11" ht="12.5" x14ac:dyDescent="0.25">
      <c r="B8856" s="2"/>
      <c r="C8856" s="2"/>
      <c r="D8856" s="2"/>
      <c r="E8856" s="2"/>
      <c r="F8856" s="2"/>
      <c r="G8856" s="2"/>
      <c r="H8856" s="2"/>
      <c r="I8856" s="2"/>
      <c r="J8856" s="2"/>
      <c r="K8856" s="2"/>
    </row>
    <row r="8857" spans="2:11" ht="12.5" x14ac:dyDescent="0.25">
      <c r="B8857" s="2"/>
      <c r="C8857" s="2"/>
      <c r="D8857" s="2"/>
      <c r="E8857" s="2"/>
      <c r="F8857" s="2"/>
      <c r="G8857" s="2"/>
      <c r="H8857" s="2"/>
      <c r="I8857" s="2"/>
      <c r="J8857" s="2"/>
      <c r="K8857" s="2"/>
    </row>
    <row r="8858" spans="2:11" ht="12.5" x14ac:dyDescent="0.25">
      <c r="B8858" s="2"/>
      <c r="C8858" s="2"/>
      <c r="D8858" s="2"/>
      <c r="E8858" s="2"/>
      <c r="F8858" s="2"/>
      <c r="G8858" s="2"/>
      <c r="H8858" s="2"/>
      <c r="I8858" s="2"/>
      <c r="J8858" s="2"/>
      <c r="K8858" s="2"/>
    </row>
    <row r="8859" spans="2:11" ht="12.5" x14ac:dyDescent="0.25">
      <c r="B8859" s="2"/>
      <c r="C8859" s="2"/>
      <c r="D8859" s="2"/>
      <c r="E8859" s="2"/>
      <c r="F8859" s="2"/>
      <c r="G8859" s="2"/>
      <c r="H8859" s="2"/>
      <c r="I8859" s="2"/>
      <c r="J8859" s="2"/>
      <c r="K8859" s="2"/>
    </row>
    <row r="8860" spans="2:11" ht="12.5" x14ac:dyDescent="0.25">
      <c r="B8860" s="2"/>
      <c r="C8860" s="2"/>
      <c r="D8860" s="2"/>
      <c r="E8860" s="2"/>
      <c r="F8860" s="2"/>
      <c r="G8860" s="2"/>
      <c r="H8860" s="2"/>
      <c r="I8860" s="2"/>
      <c r="J8860" s="2"/>
      <c r="K8860" s="2"/>
    </row>
    <row r="8861" spans="2:11" ht="12.5" x14ac:dyDescent="0.25">
      <c r="B8861" s="2"/>
      <c r="C8861" s="2"/>
      <c r="D8861" s="2"/>
      <c r="E8861" s="2"/>
      <c r="F8861" s="2"/>
      <c r="G8861" s="2"/>
      <c r="H8861" s="2"/>
      <c r="I8861" s="2"/>
      <c r="J8861" s="2"/>
      <c r="K8861" s="2"/>
    </row>
    <row r="8862" spans="2:11" ht="12.5" x14ac:dyDescent="0.25">
      <c r="B8862" s="2"/>
      <c r="C8862" s="2"/>
      <c r="D8862" s="2"/>
      <c r="E8862" s="2"/>
      <c r="F8862" s="2"/>
      <c r="G8862" s="2"/>
      <c r="H8862" s="2"/>
      <c r="I8862" s="2"/>
      <c r="J8862" s="2"/>
      <c r="K8862" s="2"/>
    </row>
    <row r="8863" spans="2:11" ht="12.5" x14ac:dyDescent="0.25">
      <c r="B8863" s="2"/>
      <c r="C8863" s="2"/>
      <c r="D8863" s="2"/>
      <c r="E8863" s="2"/>
      <c r="F8863" s="2"/>
      <c r="G8863" s="2"/>
      <c r="H8863" s="2"/>
      <c r="I8863" s="2"/>
      <c r="J8863" s="2"/>
      <c r="K8863" s="2"/>
    </row>
    <row r="8864" spans="2:11" ht="12.5" x14ac:dyDescent="0.25">
      <c r="B8864" s="2"/>
      <c r="C8864" s="2"/>
      <c r="D8864" s="2"/>
      <c r="E8864" s="2"/>
      <c r="F8864" s="2"/>
      <c r="G8864" s="2"/>
      <c r="H8864" s="2"/>
      <c r="I8864" s="2"/>
      <c r="J8864" s="2"/>
      <c r="K8864" s="2"/>
    </row>
    <row r="8865" spans="2:11" ht="12.5" x14ac:dyDescent="0.25">
      <c r="B8865" s="2"/>
      <c r="C8865" s="2"/>
      <c r="D8865" s="2"/>
      <c r="E8865" s="2"/>
      <c r="F8865" s="2"/>
      <c r="G8865" s="2"/>
      <c r="H8865" s="2"/>
      <c r="I8865" s="2"/>
      <c r="J8865" s="2"/>
      <c r="K8865" s="2"/>
    </row>
    <row r="8866" spans="2:11" ht="12.5" x14ac:dyDescent="0.25">
      <c r="B8866" s="2"/>
      <c r="C8866" s="2"/>
      <c r="D8866" s="2"/>
      <c r="E8866" s="2"/>
      <c r="F8866" s="2"/>
      <c r="G8866" s="2"/>
      <c r="H8866" s="2"/>
      <c r="I8866" s="2"/>
      <c r="J8866" s="2"/>
      <c r="K8866" s="2"/>
    </row>
    <row r="8867" spans="2:11" ht="12.5" x14ac:dyDescent="0.25">
      <c r="B8867" s="2"/>
      <c r="C8867" s="2"/>
      <c r="D8867" s="2"/>
      <c r="E8867" s="2"/>
      <c r="F8867" s="2"/>
      <c r="G8867" s="2"/>
      <c r="H8867" s="2"/>
      <c r="I8867" s="2"/>
      <c r="J8867" s="2"/>
      <c r="K8867" s="2"/>
    </row>
    <row r="8868" spans="2:11" ht="12.5" x14ac:dyDescent="0.25">
      <c r="B8868" s="2"/>
      <c r="C8868" s="2"/>
      <c r="D8868" s="2"/>
      <c r="E8868" s="2"/>
      <c r="F8868" s="2"/>
      <c r="G8868" s="2"/>
      <c r="H8868" s="2"/>
      <c r="I8868" s="2"/>
      <c r="J8868" s="2"/>
      <c r="K8868" s="2"/>
    </row>
    <row r="8869" spans="2:11" ht="12.5" x14ac:dyDescent="0.25">
      <c r="B8869" s="2"/>
      <c r="C8869" s="2"/>
      <c r="D8869" s="2"/>
      <c r="E8869" s="2"/>
      <c r="F8869" s="2"/>
      <c r="G8869" s="2"/>
      <c r="H8869" s="2"/>
      <c r="I8869" s="2"/>
      <c r="J8869" s="2"/>
      <c r="K8869" s="2"/>
    </row>
    <row r="8870" spans="2:11" ht="12.5" x14ac:dyDescent="0.25">
      <c r="B8870" s="2"/>
      <c r="C8870" s="2"/>
      <c r="D8870" s="2"/>
      <c r="E8870" s="2"/>
      <c r="F8870" s="2"/>
      <c r="G8870" s="2"/>
      <c r="H8870" s="2"/>
      <c r="I8870" s="2"/>
      <c r="J8870" s="2"/>
      <c r="K8870" s="2"/>
    </row>
    <row r="8871" spans="2:11" ht="12.5" x14ac:dyDescent="0.25">
      <c r="B8871" s="2"/>
      <c r="C8871" s="2"/>
      <c r="D8871" s="2"/>
      <c r="E8871" s="2"/>
      <c r="F8871" s="2"/>
      <c r="G8871" s="2"/>
      <c r="H8871" s="2"/>
      <c r="I8871" s="2"/>
      <c r="J8871" s="2"/>
      <c r="K8871" s="2"/>
    </row>
    <row r="8872" spans="2:11" ht="12.5" x14ac:dyDescent="0.25">
      <c r="B8872" s="2"/>
      <c r="C8872" s="2"/>
      <c r="D8872" s="2"/>
      <c r="E8872" s="2"/>
      <c r="F8872" s="2"/>
      <c r="G8872" s="2"/>
      <c r="H8872" s="2"/>
      <c r="I8872" s="2"/>
      <c r="J8872" s="2"/>
      <c r="K8872" s="2"/>
    </row>
    <row r="8873" spans="2:11" ht="12.5" x14ac:dyDescent="0.25">
      <c r="B8873" s="2"/>
      <c r="C8873" s="2"/>
      <c r="D8873" s="2"/>
      <c r="E8873" s="2"/>
      <c r="F8873" s="2"/>
      <c r="G8873" s="2"/>
      <c r="H8873" s="2"/>
      <c r="I8873" s="2"/>
      <c r="J8873" s="2"/>
      <c r="K8873" s="2"/>
    </row>
    <row r="8874" spans="2:11" ht="12.5" x14ac:dyDescent="0.25">
      <c r="B8874" s="2"/>
      <c r="C8874" s="2"/>
      <c r="D8874" s="2"/>
      <c r="E8874" s="2"/>
      <c r="F8874" s="2"/>
      <c r="G8874" s="2"/>
      <c r="H8874" s="2"/>
      <c r="I8874" s="2"/>
      <c r="J8874" s="2"/>
      <c r="K8874" s="2"/>
    </row>
    <row r="8875" spans="2:11" ht="12.5" x14ac:dyDescent="0.25">
      <c r="B8875" s="2"/>
      <c r="C8875" s="2"/>
      <c r="D8875" s="2"/>
      <c r="E8875" s="2"/>
      <c r="F8875" s="2"/>
      <c r="G8875" s="2"/>
      <c r="H8875" s="2"/>
      <c r="I8875" s="2"/>
      <c r="J8875" s="2"/>
      <c r="K8875" s="2"/>
    </row>
    <row r="8876" spans="2:11" ht="12.5" x14ac:dyDescent="0.25">
      <c r="B8876" s="2"/>
      <c r="C8876" s="2"/>
      <c r="D8876" s="2"/>
      <c r="E8876" s="2"/>
      <c r="F8876" s="2"/>
      <c r="G8876" s="2"/>
      <c r="H8876" s="2"/>
      <c r="I8876" s="2"/>
      <c r="J8876" s="2"/>
      <c r="K8876" s="2"/>
    </row>
    <row r="8877" spans="2:11" ht="12.5" x14ac:dyDescent="0.25">
      <c r="B8877" s="2"/>
      <c r="C8877" s="2"/>
      <c r="D8877" s="2"/>
      <c r="E8877" s="2"/>
      <c r="F8877" s="2"/>
      <c r="G8877" s="2"/>
      <c r="H8877" s="2"/>
      <c r="I8877" s="2"/>
      <c r="J8877" s="2"/>
      <c r="K8877" s="2"/>
    </row>
    <row r="8878" spans="2:11" ht="12.5" x14ac:dyDescent="0.25">
      <c r="B8878" s="2"/>
      <c r="C8878" s="2"/>
      <c r="D8878" s="2"/>
      <c r="E8878" s="2"/>
      <c r="F8878" s="2"/>
      <c r="G8878" s="2"/>
      <c r="H8878" s="2"/>
      <c r="I8878" s="2"/>
      <c r="J8878" s="2"/>
      <c r="K8878" s="2"/>
    </row>
    <row r="8879" spans="2:11" ht="12.5" x14ac:dyDescent="0.25">
      <c r="B8879" s="2"/>
      <c r="C8879" s="2"/>
      <c r="D8879" s="2"/>
      <c r="E8879" s="2"/>
      <c r="F8879" s="2"/>
      <c r="G8879" s="2"/>
      <c r="H8879" s="2"/>
      <c r="I8879" s="2"/>
      <c r="J8879" s="2"/>
      <c r="K8879" s="2"/>
    </row>
    <row r="8880" spans="2:11" ht="12.5" x14ac:dyDescent="0.25">
      <c r="B8880" s="2"/>
      <c r="C8880" s="2"/>
      <c r="D8880" s="2"/>
      <c r="E8880" s="2"/>
      <c r="F8880" s="2"/>
      <c r="G8880" s="2"/>
      <c r="H8880" s="2"/>
      <c r="I8880" s="2"/>
      <c r="J8880" s="2"/>
      <c r="K8880" s="2"/>
    </row>
    <row r="8881" spans="2:11" ht="12.5" x14ac:dyDescent="0.25">
      <c r="B8881" s="2"/>
      <c r="C8881" s="2"/>
      <c r="D8881" s="2"/>
      <c r="E8881" s="2"/>
      <c r="F8881" s="2"/>
      <c r="G8881" s="2"/>
      <c r="H8881" s="2"/>
      <c r="I8881" s="2"/>
      <c r="J8881" s="2"/>
      <c r="K8881" s="2"/>
    </row>
    <row r="8882" spans="2:11" ht="12.5" x14ac:dyDescent="0.25">
      <c r="B8882" s="2"/>
      <c r="C8882" s="2"/>
      <c r="D8882" s="2"/>
      <c r="E8882" s="2"/>
      <c r="F8882" s="2"/>
      <c r="G8882" s="2"/>
      <c r="H8882" s="2"/>
      <c r="I8882" s="2"/>
      <c r="J8882" s="2"/>
      <c r="K8882" s="2"/>
    </row>
    <row r="8883" spans="2:11" ht="12.5" x14ac:dyDescent="0.25">
      <c r="B8883" s="2"/>
      <c r="C8883" s="2"/>
      <c r="D8883" s="2"/>
      <c r="E8883" s="2"/>
      <c r="F8883" s="2"/>
      <c r="G8883" s="2"/>
      <c r="H8883" s="2"/>
      <c r="I8883" s="2"/>
      <c r="J8883" s="2"/>
      <c r="K8883" s="2"/>
    </row>
    <row r="8884" spans="2:11" ht="12.5" x14ac:dyDescent="0.25">
      <c r="B8884" s="2"/>
      <c r="C8884" s="2"/>
      <c r="D8884" s="2"/>
      <c r="E8884" s="2"/>
      <c r="F8884" s="2"/>
      <c r="G8884" s="2"/>
      <c r="H8884" s="2"/>
      <c r="I8884" s="2"/>
      <c r="J8884" s="2"/>
      <c r="K8884" s="2"/>
    </row>
    <row r="8885" spans="2:11" ht="12.5" x14ac:dyDescent="0.25">
      <c r="B8885" s="2"/>
      <c r="C8885" s="2"/>
      <c r="D8885" s="2"/>
      <c r="E8885" s="2"/>
      <c r="F8885" s="2"/>
      <c r="G8885" s="2"/>
      <c r="H8885" s="2"/>
      <c r="I8885" s="2"/>
      <c r="J8885" s="2"/>
      <c r="K8885" s="2"/>
    </row>
    <row r="8886" spans="2:11" ht="12.5" x14ac:dyDescent="0.25">
      <c r="B8886" s="2"/>
      <c r="C8886" s="2"/>
      <c r="D8886" s="2"/>
      <c r="E8886" s="2"/>
      <c r="F8886" s="2"/>
      <c r="G8886" s="2"/>
      <c r="H8886" s="2"/>
      <c r="I8886" s="2"/>
      <c r="J8886" s="2"/>
      <c r="K8886" s="2"/>
    </row>
    <row r="8887" spans="2:11" ht="12.5" x14ac:dyDescent="0.25">
      <c r="B8887" s="2"/>
      <c r="C8887" s="2"/>
      <c r="D8887" s="2"/>
      <c r="E8887" s="2"/>
      <c r="F8887" s="2"/>
      <c r="G8887" s="2"/>
      <c r="H8887" s="2"/>
      <c r="I8887" s="2"/>
      <c r="J8887" s="2"/>
      <c r="K8887" s="2"/>
    </row>
    <row r="8888" spans="2:11" ht="12.5" x14ac:dyDescent="0.25">
      <c r="B8888" s="2"/>
      <c r="C8888" s="2"/>
      <c r="D8888" s="2"/>
      <c r="E8888" s="2"/>
      <c r="F8888" s="2"/>
      <c r="G8888" s="2"/>
      <c r="H8888" s="2"/>
      <c r="I8888" s="2"/>
      <c r="J8888" s="2"/>
      <c r="K8888" s="2"/>
    </row>
    <row r="8889" spans="2:11" ht="12.5" x14ac:dyDescent="0.25">
      <c r="B8889" s="2"/>
      <c r="C8889" s="2"/>
      <c r="D8889" s="2"/>
      <c r="E8889" s="2"/>
      <c r="F8889" s="2"/>
      <c r="G8889" s="2"/>
      <c r="H8889" s="2"/>
      <c r="I8889" s="2"/>
      <c r="J8889" s="2"/>
      <c r="K8889" s="2"/>
    </row>
    <row r="8890" spans="2:11" ht="12.5" x14ac:dyDescent="0.25">
      <c r="B8890" s="2"/>
      <c r="C8890" s="2"/>
      <c r="D8890" s="2"/>
      <c r="E8890" s="2"/>
      <c r="F8890" s="2"/>
      <c r="G8890" s="2"/>
      <c r="H8890" s="2"/>
      <c r="I8890" s="2"/>
      <c r="J8890" s="2"/>
      <c r="K8890" s="2"/>
    </row>
    <row r="8891" spans="2:11" ht="12.5" x14ac:dyDescent="0.25">
      <c r="B8891" s="2"/>
      <c r="C8891" s="2"/>
      <c r="D8891" s="2"/>
      <c r="E8891" s="2"/>
      <c r="F8891" s="2"/>
      <c r="G8891" s="2"/>
      <c r="H8891" s="2"/>
      <c r="I8891" s="2"/>
      <c r="J8891" s="2"/>
      <c r="K8891" s="2"/>
    </row>
    <row r="8892" spans="2:11" ht="12.5" x14ac:dyDescent="0.25">
      <c r="B8892" s="2"/>
      <c r="C8892" s="2"/>
      <c r="D8892" s="2"/>
      <c r="E8892" s="2"/>
      <c r="F8892" s="2"/>
      <c r="G8892" s="2"/>
      <c r="H8892" s="2"/>
      <c r="I8892" s="2"/>
      <c r="J8892" s="2"/>
      <c r="K8892" s="2"/>
    </row>
    <row r="8893" spans="2:11" ht="12.5" x14ac:dyDescent="0.25">
      <c r="B8893" s="2"/>
      <c r="C8893" s="2"/>
      <c r="D8893" s="2"/>
      <c r="E8893" s="2"/>
      <c r="F8893" s="2"/>
      <c r="G8893" s="2"/>
      <c r="H8893" s="2"/>
      <c r="I8893" s="2"/>
      <c r="J8893" s="2"/>
      <c r="K8893" s="2"/>
    </row>
    <row r="8894" spans="2:11" ht="12.5" x14ac:dyDescent="0.25">
      <c r="B8894" s="2"/>
      <c r="C8894" s="2"/>
      <c r="D8894" s="2"/>
      <c r="E8894" s="2"/>
      <c r="F8894" s="2"/>
      <c r="G8894" s="2"/>
      <c r="H8894" s="2"/>
      <c r="I8894" s="2"/>
      <c r="J8894" s="2"/>
      <c r="K8894" s="2"/>
    </row>
    <row r="8895" spans="2:11" ht="12.5" x14ac:dyDescent="0.25">
      <c r="B8895" s="2"/>
      <c r="C8895" s="2"/>
      <c r="D8895" s="2"/>
      <c r="E8895" s="2"/>
      <c r="F8895" s="2"/>
      <c r="G8895" s="2"/>
      <c r="H8895" s="2"/>
      <c r="I8895" s="2"/>
      <c r="J8895" s="2"/>
      <c r="K8895" s="2"/>
    </row>
    <row r="8896" spans="2:11" ht="12.5" x14ac:dyDescent="0.25">
      <c r="B8896" s="2"/>
      <c r="C8896" s="2"/>
      <c r="D8896" s="2"/>
      <c r="E8896" s="2"/>
      <c r="F8896" s="2"/>
      <c r="G8896" s="2"/>
      <c r="H8896" s="2"/>
      <c r="I8896" s="2"/>
      <c r="J8896" s="2"/>
      <c r="K8896" s="2"/>
    </row>
    <row r="8897" spans="2:11" ht="12.5" x14ac:dyDescent="0.25">
      <c r="B8897" s="2"/>
      <c r="C8897" s="2"/>
      <c r="D8897" s="2"/>
      <c r="E8897" s="2"/>
      <c r="F8897" s="2"/>
      <c r="G8897" s="2"/>
      <c r="H8897" s="2"/>
      <c r="I8897" s="2"/>
      <c r="J8897" s="2"/>
      <c r="K8897" s="2"/>
    </row>
    <row r="8898" spans="2:11" ht="12.5" x14ac:dyDescent="0.25">
      <c r="B8898" s="2"/>
      <c r="C8898" s="2"/>
      <c r="D8898" s="2"/>
      <c r="E8898" s="2"/>
      <c r="F8898" s="2"/>
      <c r="G8898" s="2"/>
      <c r="H8898" s="2"/>
      <c r="I8898" s="2"/>
      <c r="J8898" s="2"/>
      <c r="K8898" s="2"/>
    </row>
    <row r="8899" spans="2:11" ht="12.5" x14ac:dyDescent="0.25">
      <c r="B8899" s="2"/>
      <c r="C8899" s="2"/>
      <c r="D8899" s="2"/>
      <c r="E8899" s="2"/>
      <c r="F8899" s="2"/>
      <c r="G8899" s="2"/>
      <c r="H8899" s="2"/>
      <c r="I8899" s="2"/>
      <c r="J8899" s="2"/>
      <c r="K8899" s="2"/>
    </row>
    <row r="8900" spans="2:11" ht="12.5" x14ac:dyDescent="0.25">
      <c r="B8900" s="2"/>
      <c r="C8900" s="2"/>
      <c r="D8900" s="2"/>
      <c r="E8900" s="2"/>
      <c r="F8900" s="2"/>
      <c r="G8900" s="2"/>
      <c r="H8900" s="2"/>
      <c r="I8900" s="2"/>
      <c r="J8900" s="2"/>
      <c r="K8900" s="2"/>
    </row>
    <row r="8901" spans="2:11" ht="12.5" x14ac:dyDescent="0.25">
      <c r="B8901" s="2"/>
      <c r="C8901" s="2"/>
      <c r="D8901" s="2"/>
      <c r="E8901" s="2"/>
      <c r="F8901" s="2"/>
      <c r="G8901" s="2"/>
      <c r="H8901" s="2"/>
      <c r="I8901" s="2"/>
      <c r="J8901" s="2"/>
      <c r="K8901" s="2"/>
    </row>
    <row r="8902" spans="2:11" ht="12.5" x14ac:dyDescent="0.25">
      <c r="B8902" s="2"/>
      <c r="C8902" s="2"/>
      <c r="D8902" s="2"/>
      <c r="E8902" s="2"/>
      <c r="F8902" s="2"/>
      <c r="G8902" s="2"/>
      <c r="H8902" s="2"/>
      <c r="I8902" s="2"/>
      <c r="J8902" s="2"/>
      <c r="K8902" s="2"/>
    </row>
    <row r="8903" spans="2:11" ht="12.5" x14ac:dyDescent="0.25">
      <c r="B8903" s="2"/>
      <c r="C8903" s="2"/>
      <c r="D8903" s="2"/>
      <c r="E8903" s="2"/>
      <c r="F8903" s="2"/>
      <c r="G8903" s="2"/>
      <c r="H8903" s="2"/>
      <c r="I8903" s="2"/>
      <c r="J8903" s="2"/>
      <c r="K8903" s="2"/>
    </row>
    <row r="8904" spans="2:11" ht="12.5" x14ac:dyDescent="0.25">
      <c r="B8904" s="2"/>
      <c r="C8904" s="2"/>
      <c r="D8904" s="2"/>
      <c r="E8904" s="2"/>
      <c r="F8904" s="2"/>
      <c r="G8904" s="2"/>
      <c r="H8904" s="2"/>
      <c r="I8904" s="2"/>
      <c r="J8904" s="2"/>
      <c r="K8904" s="2"/>
    </row>
    <row r="8905" spans="2:11" ht="12.5" x14ac:dyDescent="0.25">
      <c r="B8905" s="2"/>
      <c r="C8905" s="2"/>
      <c r="D8905" s="2"/>
      <c r="E8905" s="2"/>
      <c r="F8905" s="2"/>
      <c r="G8905" s="2"/>
      <c r="H8905" s="2"/>
      <c r="I8905" s="2"/>
      <c r="J8905" s="2"/>
      <c r="K8905" s="2"/>
    </row>
    <row r="8906" spans="2:11" ht="12.5" x14ac:dyDescent="0.25">
      <c r="B8906" s="2"/>
      <c r="C8906" s="2"/>
      <c r="D8906" s="2"/>
      <c r="E8906" s="2"/>
      <c r="F8906" s="2"/>
      <c r="G8906" s="2"/>
      <c r="H8906" s="2"/>
      <c r="I8906" s="2"/>
      <c r="J8906" s="2"/>
      <c r="K8906" s="2"/>
    </row>
    <row r="8907" spans="2:11" ht="12.5" x14ac:dyDescent="0.25">
      <c r="B8907" s="2"/>
      <c r="C8907" s="2"/>
      <c r="D8907" s="2"/>
      <c r="E8907" s="2"/>
      <c r="F8907" s="2"/>
      <c r="G8907" s="2"/>
      <c r="H8907" s="2"/>
      <c r="I8907" s="2"/>
      <c r="J8907" s="2"/>
      <c r="K8907" s="2"/>
    </row>
    <row r="8908" spans="2:11" ht="12.5" x14ac:dyDescent="0.25">
      <c r="B8908" s="2"/>
      <c r="C8908" s="2"/>
      <c r="D8908" s="2"/>
      <c r="E8908" s="2"/>
      <c r="F8908" s="2"/>
      <c r="G8908" s="2"/>
      <c r="H8908" s="2"/>
      <c r="I8908" s="2"/>
      <c r="J8908" s="2"/>
      <c r="K8908" s="2"/>
    </row>
    <row r="8909" spans="2:11" ht="12.5" x14ac:dyDescent="0.25">
      <c r="B8909" s="2"/>
      <c r="C8909" s="2"/>
      <c r="D8909" s="2"/>
      <c r="E8909" s="2"/>
      <c r="F8909" s="2"/>
      <c r="G8909" s="2"/>
      <c r="H8909" s="2"/>
      <c r="I8909" s="2"/>
      <c r="J8909" s="2"/>
      <c r="K8909" s="2"/>
    </row>
    <row r="8910" spans="2:11" ht="12.5" x14ac:dyDescent="0.25">
      <c r="B8910" s="2"/>
      <c r="C8910" s="2"/>
      <c r="D8910" s="2"/>
      <c r="E8910" s="2"/>
      <c r="F8910" s="2"/>
      <c r="G8910" s="2"/>
      <c r="H8910" s="2"/>
      <c r="I8910" s="2"/>
      <c r="J8910" s="2"/>
      <c r="K8910" s="2"/>
    </row>
    <row r="8911" spans="2:11" ht="12.5" x14ac:dyDescent="0.25">
      <c r="B8911" s="2"/>
      <c r="C8911" s="2"/>
      <c r="D8911" s="2"/>
      <c r="E8911" s="2"/>
      <c r="F8911" s="2"/>
      <c r="G8911" s="2"/>
      <c r="H8911" s="2"/>
      <c r="I8911" s="2"/>
      <c r="J8911" s="2"/>
      <c r="K8911" s="2"/>
    </row>
    <row r="8912" spans="2:11" ht="12.5" x14ac:dyDescent="0.25">
      <c r="B8912" s="2"/>
      <c r="C8912" s="2"/>
      <c r="D8912" s="2"/>
      <c r="E8912" s="2"/>
      <c r="F8912" s="2"/>
      <c r="G8912" s="2"/>
      <c r="H8912" s="2"/>
      <c r="I8912" s="2"/>
      <c r="J8912" s="2"/>
      <c r="K8912" s="2"/>
    </row>
    <row r="8913" spans="2:11" ht="12.5" x14ac:dyDescent="0.25">
      <c r="B8913" s="2"/>
      <c r="C8913" s="2"/>
      <c r="D8913" s="2"/>
      <c r="E8913" s="2"/>
      <c r="F8913" s="2"/>
      <c r="G8913" s="2"/>
      <c r="H8913" s="2"/>
      <c r="I8913" s="2"/>
      <c r="J8913" s="2"/>
      <c r="K8913" s="2"/>
    </row>
    <row r="8914" spans="2:11" ht="12.5" x14ac:dyDescent="0.25">
      <c r="B8914" s="2"/>
      <c r="C8914" s="2"/>
      <c r="D8914" s="2"/>
      <c r="E8914" s="2"/>
      <c r="F8914" s="2"/>
      <c r="G8914" s="2"/>
      <c r="H8914" s="2"/>
      <c r="I8914" s="2"/>
      <c r="J8914" s="2"/>
      <c r="K8914" s="2"/>
    </row>
    <row r="8915" spans="2:11" ht="12.5" x14ac:dyDescent="0.25">
      <c r="B8915" s="2"/>
      <c r="C8915" s="2"/>
      <c r="D8915" s="2"/>
      <c r="E8915" s="2"/>
      <c r="F8915" s="2"/>
      <c r="G8915" s="2"/>
      <c r="H8915" s="2"/>
      <c r="I8915" s="2"/>
      <c r="J8915" s="2"/>
      <c r="K8915" s="2"/>
    </row>
    <row r="8916" spans="2:11" ht="12.5" x14ac:dyDescent="0.25">
      <c r="B8916" s="2"/>
      <c r="C8916" s="2"/>
      <c r="D8916" s="2"/>
      <c r="E8916" s="2"/>
      <c r="F8916" s="2"/>
      <c r="G8916" s="2"/>
      <c r="H8916" s="2"/>
      <c r="I8916" s="2"/>
      <c r="J8916" s="2"/>
      <c r="K8916" s="2"/>
    </row>
    <row r="8917" spans="2:11" ht="12.5" x14ac:dyDescent="0.25">
      <c r="B8917" s="2"/>
      <c r="C8917" s="2"/>
      <c r="D8917" s="2"/>
      <c r="E8917" s="2"/>
      <c r="F8917" s="2"/>
      <c r="G8917" s="2"/>
      <c r="H8917" s="2"/>
      <c r="I8917" s="2"/>
      <c r="J8917" s="2"/>
      <c r="K8917" s="2"/>
    </row>
    <row r="8918" spans="2:11" ht="12.5" x14ac:dyDescent="0.25">
      <c r="B8918" s="2"/>
      <c r="C8918" s="2"/>
      <c r="D8918" s="2"/>
      <c r="E8918" s="2"/>
      <c r="F8918" s="2"/>
      <c r="G8918" s="2"/>
      <c r="H8918" s="2"/>
      <c r="I8918" s="2"/>
      <c r="J8918" s="2"/>
      <c r="K8918" s="2"/>
    </row>
    <row r="8919" spans="2:11" ht="12.5" x14ac:dyDescent="0.25">
      <c r="B8919" s="2"/>
      <c r="C8919" s="2"/>
      <c r="D8919" s="2"/>
      <c r="E8919" s="2"/>
      <c r="F8919" s="2"/>
      <c r="G8919" s="2"/>
      <c r="H8919" s="2"/>
      <c r="I8919" s="2"/>
      <c r="J8919" s="2"/>
      <c r="K8919" s="2"/>
    </row>
    <row r="8920" spans="2:11" ht="12.5" x14ac:dyDescent="0.25">
      <c r="B8920" s="2"/>
      <c r="C8920" s="2"/>
      <c r="D8920" s="2"/>
      <c r="E8920" s="2"/>
      <c r="F8920" s="2"/>
      <c r="G8920" s="2"/>
      <c r="H8920" s="2"/>
      <c r="I8920" s="2"/>
      <c r="J8920" s="2"/>
      <c r="K8920" s="2"/>
    </row>
    <row r="8921" spans="2:11" ht="12.5" x14ac:dyDescent="0.25">
      <c r="B8921" s="2"/>
      <c r="C8921" s="2"/>
      <c r="D8921" s="2"/>
      <c r="E8921" s="2"/>
      <c r="F8921" s="2"/>
      <c r="G8921" s="2"/>
      <c r="H8921" s="2"/>
      <c r="I8921" s="2"/>
      <c r="J8921" s="2"/>
      <c r="K8921" s="2"/>
    </row>
    <row r="8922" spans="2:11" ht="12.5" x14ac:dyDescent="0.25">
      <c r="B8922" s="2"/>
      <c r="C8922" s="2"/>
      <c r="D8922" s="2"/>
      <c r="E8922" s="2"/>
      <c r="F8922" s="2"/>
      <c r="G8922" s="2"/>
      <c r="H8922" s="2"/>
      <c r="I8922" s="2"/>
      <c r="J8922" s="2"/>
      <c r="K8922" s="2"/>
    </row>
    <row r="8923" spans="2:11" ht="12.5" x14ac:dyDescent="0.25">
      <c r="B8923" s="2"/>
      <c r="C8923" s="2"/>
      <c r="D8923" s="2"/>
      <c r="E8923" s="2"/>
      <c r="F8923" s="2"/>
      <c r="G8923" s="2"/>
      <c r="H8923" s="2"/>
      <c r="I8923" s="2"/>
      <c r="J8923" s="2"/>
      <c r="K8923" s="2"/>
    </row>
    <row r="8924" spans="2:11" ht="12.5" x14ac:dyDescent="0.25">
      <c r="B8924" s="2"/>
      <c r="C8924" s="2"/>
      <c r="D8924" s="2"/>
      <c r="E8924" s="2"/>
      <c r="F8924" s="2"/>
      <c r="G8924" s="2"/>
      <c r="H8924" s="2"/>
      <c r="I8924" s="2"/>
      <c r="J8924" s="2"/>
      <c r="K8924" s="2"/>
    </row>
    <row r="8925" spans="2:11" ht="12.5" x14ac:dyDescent="0.25">
      <c r="B8925" s="2"/>
      <c r="C8925" s="2"/>
      <c r="D8925" s="2"/>
      <c r="E8925" s="2"/>
      <c r="F8925" s="2"/>
      <c r="G8925" s="2"/>
      <c r="H8925" s="2"/>
      <c r="I8925" s="2"/>
      <c r="J8925" s="2"/>
      <c r="K8925" s="2"/>
    </row>
    <row r="8926" spans="2:11" ht="12.5" x14ac:dyDescent="0.25">
      <c r="B8926" s="2"/>
      <c r="C8926" s="2"/>
      <c r="D8926" s="2"/>
      <c r="E8926" s="2"/>
      <c r="F8926" s="2"/>
      <c r="G8926" s="2"/>
      <c r="H8926" s="2"/>
      <c r="I8926" s="2"/>
      <c r="J8926" s="2"/>
      <c r="K8926" s="2"/>
    </row>
    <row r="8927" spans="2:11" ht="12.5" x14ac:dyDescent="0.25">
      <c r="B8927" s="2"/>
      <c r="C8927" s="2"/>
      <c r="D8927" s="2"/>
      <c r="E8927" s="2"/>
      <c r="F8927" s="2"/>
      <c r="G8927" s="2"/>
      <c r="H8927" s="2"/>
      <c r="I8927" s="2"/>
      <c r="J8927" s="2"/>
      <c r="K8927" s="2"/>
    </row>
    <row r="8928" spans="2:11" ht="12.5" x14ac:dyDescent="0.25">
      <c r="B8928" s="2"/>
      <c r="C8928" s="2"/>
      <c r="D8928" s="2"/>
      <c r="E8928" s="2"/>
      <c r="F8928" s="2"/>
      <c r="G8928" s="2"/>
      <c r="H8928" s="2"/>
      <c r="I8928" s="2"/>
      <c r="J8928" s="2"/>
      <c r="K8928" s="2"/>
    </row>
    <row r="8929" spans="2:11" ht="12.5" x14ac:dyDescent="0.25">
      <c r="B8929" s="2"/>
      <c r="C8929" s="2"/>
      <c r="D8929" s="2"/>
      <c r="E8929" s="2"/>
      <c r="F8929" s="2"/>
      <c r="G8929" s="2"/>
      <c r="H8929" s="2"/>
      <c r="I8929" s="2"/>
      <c r="J8929" s="2"/>
      <c r="K8929" s="2"/>
    </row>
    <row r="8930" spans="2:11" ht="12.5" x14ac:dyDescent="0.25">
      <c r="B8930" s="2"/>
      <c r="C8930" s="2"/>
      <c r="D8930" s="2"/>
      <c r="E8930" s="2"/>
      <c r="F8930" s="2"/>
      <c r="G8930" s="2"/>
      <c r="H8930" s="2"/>
      <c r="I8930" s="2"/>
      <c r="J8930" s="2"/>
      <c r="K8930" s="2"/>
    </row>
    <row r="8931" spans="2:11" ht="12.5" x14ac:dyDescent="0.25">
      <c r="B8931" s="2"/>
      <c r="C8931" s="2"/>
      <c r="D8931" s="2"/>
      <c r="E8931" s="2"/>
      <c r="F8931" s="2"/>
      <c r="G8931" s="2"/>
      <c r="H8931" s="2"/>
      <c r="I8931" s="2"/>
      <c r="J8931" s="2"/>
      <c r="K8931" s="2"/>
    </row>
    <row r="8932" spans="2:11" ht="12.5" x14ac:dyDescent="0.25">
      <c r="B8932" s="2"/>
      <c r="C8932" s="2"/>
      <c r="D8932" s="2"/>
      <c r="E8932" s="2"/>
      <c r="F8932" s="2"/>
      <c r="G8932" s="2"/>
      <c r="H8932" s="2"/>
      <c r="I8932" s="2"/>
      <c r="J8932" s="2"/>
      <c r="K8932" s="2"/>
    </row>
    <row r="8933" spans="2:11" ht="12.5" x14ac:dyDescent="0.25">
      <c r="B8933" s="2"/>
      <c r="C8933" s="2"/>
      <c r="D8933" s="2"/>
      <c r="E8933" s="2"/>
      <c r="F8933" s="2"/>
      <c r="G8933" s="2"/>
      <c r="H8933" s="2"/>
      <c r="I8933" s="2"/>
      <c r="J8933" s="2"/>
      <c r="K8933" s="2"/>
    </row>
    <row r="8934" spans="2:11" ht="12.5" x14ac:dyDescent="0.25">
      <c r="B8934" s="2"/>
      <c r="C8934" s="2"/>
      <c r="D8934" s="2"/>
      <c r="E8934" s="2"/>
      <c r="F8934" s="2"/>
      <c r="G8934" s="2"/>
      <c r="H8934" s="2"/>
      <c r="I8934" s="2"/>
      <c r="J8934" s="2"/>
      <c r="K8934" s="2"/>
    </row>
    <row r="8935" spans="2:11" ht="12.5" x14ac:dyDescent="0.25">
      <c r="B8935" s="2"/>
      <c r="C8935" s="2"/>
      <c r="D8935" s="2"/>
      <c r="E8935" s="2"/>
      <c r="F8935" s="2"/>
      <c r="G8935" s="2"/>
      <c r="H8935" s="2"/>
      <c r="I8935" s="2"/>
      <c r="J8935" s="2"/>
      <c r="K8935" s="2"/>
    </row>
    <row r="8936" spans="2:11" ht="12.5" x14ac:dyDescent="0.25">
      <c r="B8936" s="2"/>
      <c r="C8936" s="2"/>
      <c r="D8936" s="2"/>
      <c r="E8936" s="2"/>
      <c r="F8936" s="2"/>
      <c r="G8936" s="2"/>
      <c r="H8936" s="2"/>
      <c r="I8936" s="2"/>
      <c r="J8936" s="2"/>
      <c r="K8936" s="2"/>
    </row>
    <row r="8937" spans="2:11" ht="12.5" x14ac:dyDescent="0.25">
      <c r="B8937" s="2"/>
      <c r="C8937" s="2"/>
      <c r="D8937" s="2"/>
      <c r="E8937" s="2"/>
      <c r="F8937" s="2"/>
      <c r="G8937" s="2"/>
      <c r="H8937" s="2"/>
      <c r="I8937" s="2"/>
      <c r="J8937" s="2"/>
      <c r="K8937" s="2"/>
    </row>
    <row r="8938" spans="2:11" ht="12.5" x14ac:dyDescent="0.25">
      <c r="B8938" s="2"/>
      <c r="C8938" s="2"/>
      <c r="D8938" s="2"/>
      <c r="E8938" s="2"/>
      <c r="F8938" s="2"/>
      <c r="G8938" s="2"/>
      <c r="H8938" s="2"/>
      <c r="I8938" s="2"/>
      <c r="J8938" s="2"/>
      <c r="K8938" s="2"/>
    </row>
    <row r="8939" spans="2:11" ht="12.5" x14ac:dyDescent="0.25">
      <c r="B8939" s="2"/>
      <c r="C8939" s="2"/>
      <c r="D8939" s="2"/>
      <c r="E8939" s="2"/>
      <c r="F8939" s="2"/>
      <c r="G8939" s="2"/>
      <c r="H8939" s="2"/>
      <c r="I8939" s="2"/>
      <c r="J8939" s="2"/>
      <c r="K8939" s="2"/>
    </row>
    <row r="8940" spans="2:11" ht="12.5" x14ac:dyDescent="0.25">
      <c r="B8940" s="2"/>
      <c r="C8940" s="2"/>
      <c r="D8940" s="2"/>
      <c r="E8940" s="2"/>
      <c r="F8940" s="2"/>
      <c r="G8940" s="2"/>
      <c r="H8940" s="2"/>
      <c r="I8940" s="2"/>
      <c r="J8940" s="2"/>
      <c r="K8940" s="2"/>
    </row>
    <row r="8941" spans="2:11" ht="12.5" x14ac:dyDescent="0.25">
      <c r="B8941" s="2"/>
      <c r="C8941" s="2"/>
      <c r="D8941" s="2"/>
      <c r="E8941" s="2"/>
      <c r="F8941" s="2"/>
      <c r="G8941" s="2"/>
      <c r="H8941" s="2"/>
      <c r="I8941" s="2"/>
      <c r="J8941" s="2"/>
      <c r="K8941" s="2"/>
    </row>
    <row r="8942" spans="2:11" ht="12.5" x14ac:dyDescent="0.25">
      <c r="B8942" s="2"/>
      <c r="C8942" s="2"/>
      <c r="D8942" s="2"/>
      <c r="E8942" s="2"/>
      <c r="F8942" s="2"/>
      <c r="G8942" s="2"/>
      <c r="H8942" s="2"/>
      <c r="I8942" s="2"/>
      <c r="J8942" s="2"/>
      <c r="K8942" s="2"/>
    </row>
    <row r="8943" spans="2:11" ht="12.5" x14ac:dyDescent="0.25">
      <c r="B8943" s="2"/>
      <c r="C8943" s="2"/>
      <c r="D8943" s="2"/>
      <c r="E8943" s="2"/>
      <c r="F8943" s="2"/>
      <c r="G8943" s="2"/>
      <c r="H8943" s="2"/>
      <c r="I8943" s="2"/>
      <c r="J8943" s="2"/>
      <c r="K8943" s="2"/>
    </row>
    <row r="8944" spans="2:11" ht="12.5" x14ac:dyDescent="0.25">
      <c r="B8944" s="2"/>
      <c r="C8944" s="2"/>
      <c r="D8944" s="2"/>
      <c r="E8944" s="2"/>
      <c r="F8944" s="2"/>
      <c r="G8944" s="2"/>
      <c r="H8944" s="2"/>
      <c r="I8944" s="2"/>
      <c r="J8944" s="2"/>
      <c r="K8944" s="2"/>
    </row>
    <row r="8945" spans="2:11" ht="12.5" x14ac:dyDescent="0.25">
      <c r="B8945" s="2"/>
      <c r="C8945" s="2"/>
      <c r="D8945" s="2"/>
      <c r="E8945" s="2"/>
      <c r="F8945" s="2"/>
      <c r="G8945" s="2"/>
      <c r="H8945" s="2"/>
      <c r="I8945" s="2"/>
      <c r="J8945" s="2"/>
      <c r="K8945" s="2"/>
    </row>
    <row r="8946" spans="2:11" ht="12.5" x14ac:dyDescent="0.25">
      <c r="B8946" s="2"/>
      <c r="C8946" s="2"/>
      <c r="D8946" s="2"/>
      <c r="E8946" s="2"/>
      <c r="F8946" s="2"/>
      <c r="G8946" s="2"/>
      <c r="H8946" s="2"/>
      <c r="I8946" s="2"/>
      <c r="J8946" s="2"/>
      <c r="K8946" s="2"/>
    </row>
    <row r="8947" spans="2:11" ht="12.5" x14ac:dyDescent="0.25">
      <c r="B8947" s="2"/>
      <c r="C8947" s="2"/>
      <c r="D8947" s="2"/>
      <c r="E8947" s="2"/>
      <c r="F8947" s="2"/>
      <c r="G8947" s="2"/>
      <c r="H8947" s="2"/>
      <c r="I8947" s="2"/>
      <c r="J8947" s="2"/>
      <c r="K8947" s="2"/>
    </row>
    <row r="8948" spans="2:11" ht="12.5" x14ac:dyDescent="0.25">
      <c r="B8948" s="2"/>
      <c r="C8948" s="2"/>
      <c r="D8948" s="2"/>
      <c r="E8948" s="2"/>
      <c r="F8948" s="2"/>
      <c r="G8948" s="2"/>
      <c r="H8948" s="2"/>
      <c r="I8948" s="2"/>
      <c r="J8948" s="2"/>
      <c r="K8948" s="2"/>
    </row>
    <row r="8949" spans="2:11" ht="12.5" x14ac:dyDescent="0.25">
      <c r="B8949" s="2"/>
      <c r="C8949" s="2"/>
      <c r="D8949" s="2"/>
      <c r="E8949" s="2"/>
      <c r="F8949" s="2"/>
      <c r="G8949" s="2"/>
      <c r="H8949" s="2"/>
      <c r="I8949" s="2"/>
      <c r="J8949" s="2"/>
      <c r="K8949" s="2"/>
    </row>
    <row r="8950" spans="2:11" ht="12.5" x14ac:dyDescent="0.25">
      <c r="B8950" s="2"/>
      <c r="C8950" s="2"/>
      <c r="D8950" s="2"/>
      <c r="E8950" s="2"/>
      <c r="F8950" s="2"/>
      <c r="G8950" s="2"/>
      <c r="H8950" s="2"/>
      <c r="I8950" s="2"/>
      <c r="J8950" s="2"/>
      <c r="K8950" s="2"/>
    </row>
    <row r="8951" spans="2:11" ht="12.5" x14ac:dyDescent="0.25">
      <c r="B8951" s="2"/>
      <c r="C8951" s="2"/>
      <c r="D8951" s="2"/>
      <c r="E8951" s="2"/>
      <c r="F8951" s="2"/>
      <c r="G8951" s="2"/>
      <c r="H8951" s="2"/>
      <c r="I8951" s="2"/>
      <c r="J8951" s="2"/>
      <c r="K8951" s="2"/>
    </row>
    <row r="8952" spans="2:11" ht="12.5" x14ac:dyDescent="0.25">
      <c r="B8952" s="2"/>
      <c r="C8952" s="2"/>
      <c r="D8952" s="2"/>
      <c r="E8952" s="2"/>
      <c r="F8952" s="2"/>
      <c r="G8952" s="2"/>
      <c r="H8952" s="2"/>
      <c r="I8952" s="2"/>
      <c r="J8952" s="2"/>
      <c r="K8952" s="2"/>
    </row>
    <row r="8953" spans="2:11" ht="12.5" x14ac:dyDescent="0.25">
      <c r="B8953" s="2"/>
      <c r="C8953" s="2"/>
      <c r="D8953" s="2"/>
      <c r="E8953" s="2"/>
      <c r="F8953" s="2"/>
      <c r="G8953" s="2"/>
      <c r="H8953" s="2"/>
      <c r="I8953" s="2"/>
      <c r="J8953" s="2"/>
      <c r="K8953" s="2"/>
    </row>
    <row r="8954" spans="2:11" ht="12.5" x14ac:dyDescent="0.25">
      <c r="B8954" s="2"/>
      <c r="C8954" s="2"/>
      <c r="D8954" s="2"/>
      <c r="E8954" s="2"/>
      <c r="F8954" s="2"/>
      <c r="G8954" s="2"/>
      <c r="H8954" s="2"/>
      <c r="I8954" s="2"/>
      <c r="J8954" s="2"/>
      <c r="K8954" s="2"/>
    </row>
    <row r="8955" spans="2:11" ht="12.5" x14ac:dyDescent="0.25">
      <c r="B8955" s="2"/>
      <c r="C8955" s="2"/>
      <c r="D8955" s="2"/>
      <c r="E8955" s="2"/>
      <c r="F8955" s="2"/>
      <c r="G8955" s="2"/>
      <c r="H8955" s="2"/>
      <c r="I8955" s="2"/>
      <c r="J8955" s="2"/>
      <c r="K8955" s="2"/>
    </row>
    <row r="8956" spans="2:11" ht="12.5" x14ac:dyDescent="0.25">
      <c r="B8956" s="2"/>
      <c r="C8956" s="2"/>
      <c r="D8956" s="2"/>
      <c r="E8956" s="2"/>
      <c r="F8956" s="2"/>
      <c r="G8956" s="2"/>
      <c r="H8956" s="2"/>
      <c r="I8956" s="2"/>
      <c r="J8956" s="2"/>
      <c r="K8956" s="2"/>
    </row>
    <row r="8957" spans="2:11" ht="12.5" x14ac:dyDescent="0.25">
      <c r="B8957" s="2"/>
      <c r="C8957" s="2"/>
      <c r="D8957" s="2"/>
      <c r="E8957" s="2"/>
      <c r="F8957" s="2"/>
      <c r="G8957" s="2"/>
      <c r="H8957" s="2"/>
      <c r="I8957" s="2"/>
      <c r="J8957" s="2"/>
      <c r="K8957" s="2"/>
    </row>
    <row r="8958" spans="2:11" ht="12.5" x14ac:dyDescent="0.25">
      <c r="B8958" s="2"/>
      <c r="C8958" s="2"/>
      <c r="D8958" s="2"/>
      <c r="E8958" s="2"/>
      <c r="F8958" s="2"/>
      <c r="G8958" s="2"/>
      <c r="H8958" s="2"/>
      <c r="I8958" s="2"/>
      <c r="J8958" s="2"/>
      <c r="K8958" s="2"/>
    </row>
    <row r="8959" spans="2:11" ht="12.5" x14ac:dyDescent="0.25">
      <c r="B8959" s="2"/>
      <c r="C8959" s="2"/>
      <c r="D8959" s="2"/>
      <c r="E8959" s="2"/>
      <c r="F8959" s="2"/>
      <c r="G8959" s="2"/>
      <c r="H8959" s="2"/>
      <c r="I8959" s="2"/>
      <c r="J8959" s="2"/>
      <c r="K8959" s="2"/>
    </row>
    <row r="8960" spans="2:11" ht="12.5" x14ac:dyDescent="0.25">
      <c r="B8960" s="2"/>
      <c r="C8960" s="2"/>
      <c r="D8960" s="2"/>
      <c r="E8960" s="2"/>
      <c r="F8960" s="2"/>
      <c r="G8960" s="2"/>
      <c r="H8960" s="2"/>
      <c r="I8960" s="2"/>
      <c r="J8960" s="2"/>
      <c r="K8960" s="2"/>
    </row>
    <row r="8961" spans="2:11" ht="12.5" x14ac:dyDescent="0.25">
      <c r="B8961" s="2"/>
      <c r="C8961" s="2"/>
      <c r="D8961" s="2"/>
      <c r="E8961" s="2"/>
      <c r="F8961" s="2"/>
      <c r="G8961" s="2"/>
      <c r="H8961" s="2"/>
      <c r="I8961" s="2"/>
      <c r="J8961" s="2"/>
      <c r="K8961" s="2"/>
    </row>
    <row r="8962" spans="2:11" ht="12.5" x14ac:dyDescent="0.25">
      <c r="B8962" s="2"/>
      <c r="C8962" s="2"/>
      <c r="D8962" s="2"/>
      <c r="E8962" s="2"/>
      <c r="F8962" s="2"/>
      <c r="G8962" s="2"/>
      <c r="H8962" s="2"/>
      <c r="I8962" s="2"/>
      <c r="J8962" s="2"/>
      <c r="K8962" s="2"/>
    </row>
    <row r="8963" spans="2:11" ht="12.5" x14ac:dyDescent="0.25">
      <c r="B8963" s="2"/>
      <c r="C8963" s="2"/>
      <c r="D8963" s="2"/>
      <c r="E8963" s="2"/>
      <c r="F8963" s="2"/>
      <c r="G8963" s="2"/>
      <c r="H8963" s="2"/>
      <c r="I8963" s="2"/>
      <c r="J8963" s="2"/>
      <c r="K8963" s="2"/>
    </row>
    <row r="8964" spans="2:11" ht="12.5" x14ac:dyDescent="0.25">
      <c r="B8964" s="2"/>
      <c r="C8964" s="2"/>
      <c r="D8964" s="2"/>
      <c r="E8964" s="2"/>
      <c r="F8964" s="2"/>
      <c r="G8964" s="2"/>
      <c r="H8964" s="2"/>
      <c r="I8964" s="2"/>
      <c r="J8964" s="2"/>
      <c r="K8964" s="2"/>
    </row>
    <row r="8965" spans="2:11" ht="12.5" x14ac:dyDescent="0.25">
      <c r="B8965" s="2"/>
      <c r="C8965" s="2"/>
      <c r="D8965" s="2"/>
      <c r="E8965" s="2"/>
      <c r="F8965" s="2"/>
      <c r="G8965" s="2"/>
      <c r="H8965" s="2"/>
      <c r="I8965" s="2"/>
      <c r="J8965" s="2"/>
      <c r="K8965" s="2"/>
    </row>
    <row r="8966" spans="2:11" ht="12.5" x14ac:dyDescent="0.25">
      <c r="B8966" s="2"/>
      <c r="C8966" s="2"/>
      <c r="D8966" s="2"/>
      <c r="E8966" s="2"/>
      <c r="F8966" s="2"/>
      <c r="G8966" s="2"/>
      <c r="H8966" s="2"/>
      <c r="I8966" s="2"/>
      <c r="J8966" s="2"/>
      <c r="K8966" s="2"/>
    </row>
    <row r="8967" spans="2:11" ht="12.5" x14ac:dyDescent="0.25">
      <c r="B8967" s="2"/>
      <c r="C8967" s="2"/>
      <c r="D8967" s="2"/>
      <c r="E8967" s="2"/>
      <c r="F8967" s="2"/>
      <c r="G8967" s="2"/>
      <c r="H8967" s="2"/>
      <c r="I8967" s="2"/>
      <c r="J8967" s="2"/>
      <c r="K8967" s="2"/>
    </row>
    <row r="8968" spans="2:11" ht="12.5" x14ac:dyDescent="0.25">
      <c r="B8968" s="2"/>
      <c r="C8968" s="2"/>
      <c r="D8968" s="2"/>
      <c r="E8968" s="2"/>
      <c r="F8968" s="2"/>
      <c r="G8968" s="2"/>
      <c r="H8968" s="2"/>
      <c r="I8968" s="2"/>
      <c r="J8968" s="2"/>
      <c r="K8968" s="2"/>
    </row>
    <row r="8969" spans="2:11" ht="12.5" x14ac:dyDescent="0.25">
      <c r="B8969" s="2"/>
      <c r="C8969" s="2"/>
      <c r="D8969" s="2"/>
      <c r="E8969" s="2"/>
      <c r="F8969" s="2"/>
      <c r="G8969" s="2"/>
      <c r="H8969" s="2"/>
      <c r="I8969" s="2"/>
      <c r="J8969" s="2"/>
      <c r="K8969" s="2"/>
    </row>
    <row r="8970" spans="2:11" ht="12.5" x14ac:dyDescent="0.25">
      <c r="B8970" s="2"/>
      <c r="C8970" s="2"/>
      <c r="D8970" s="2"/>
      <c r="E8970" s="2"/>
      <c r="F8970" s="2"/>
      <c r="G8970" s="2"/>
      <c r="H8970" s="2"/>
      <c r="I8970" s="2"/>
      <c r="J8970" s="2"/>
      <c r="K8970" s="2"/>
    </row>
    <row r="8971" spans="2:11" ht="12.5" x14ac:dyDescent="0.25">
      <c r="B8971" s="2"/>
      <c r="C8971" s="2"/>
      <c r="D8971" s="2"/>
      <c r="E8971" s="2"/>
      <c r="F8971" s="2"/>
      <c r="G8971" s="2"/>
      <c r="H8971" s="2"/>
      <c r="I8971" s="2"/>
      <c r="J8971" s="2"/>
      <c r="K8971" s="2"/>
    </row>
    <row r="8972" spans="2:11" ht="12.5" x14ac:dyDescent="0.25">
      <c r="B8972" s="2"/>
      <c r="C8972" s="2"/>
      <c r="D8972" s="2"/>
      <c r="E8972" s="2"/>
      <c r="F8972" s="2"/>
      <c r="G8972" s="2"/>
      <c r="H8972" s="2"/>
      <c r="I8972" s="2"/>
      <c r="J8972" s="2"/>
      <c r="K8972" s="2"/>
    </row>
    <row r="8973" spans="2:11" ht="12.5" x14ac:dyDescent="0.25">
      <c r="B8973" s="2"/>
      <c r="C8973" s="2"/>
      <c r="D8973" s="2"/>
      <c r="E8973" s="2"/>
      <c r="F8973" s="2"/>
      <c r="G8973" s="2"/>
      <c r="H8973" s="2"/>
      <c r="I8973" s="2"/>
      <c r="J8973" s="2"/>
      <c r="K8973" s="2"/>
    </row>
    <row r="8974" spans="2:11" ht="12.5" x14ac:dyDescent="0.25">
      <c r="B8974" s="2"/>
      <c r="C8974" s="2"/>
      <c r="D8974" s="2"/>
      <c r="E8974" s="2"/>
      <c r="F8974" s="2"/>
      <c r="G8974" s="2"/>
      <c r="H8974" s="2"/>
      <c r="I8974" s="2"/>
      <c r="J8974" s="2"/>
      <c r="K8974" s="2"/>
    </row>
    <row r="8975" spans="2:11" ht="12.5" x14ac:dyDescent="0.25">
      <c r="B8975" s="2"/>
      <c r="C8975" s="2"/>
      <c r="D8975" s="2"/>
      <c r="E8975" s="2"/>
      <c r="F8975" s="2"/>
      <c r="G8975" s="2"/>
      <c r="H8975" s="2"/>
      <c r="I8975" s="2"/>
      <c r="J8975" s="2"/>
      <c r="K8975" s="2"/>
    </row>
    <row r="8976" spans="2:11" ht="12.5" x14ac:dyDescent="0.25">
      <c r="B8976" s="2"/>
      <c r="C8976" s="2"/>
      <c r="D8976" s="2"/>
      <c r="E8976" s="2"/>
      <c r="F8976" s="2"/>
      <c r="G8976" s="2"/>
      <c r="H8976" s="2"/>
      <c r="I8976" s="2"/>
      <c r="J8976" s="2"/>
      <c r="K8976" s="2"/>
    </row>
    <row r="8977" spans="2:11" ht="12.5" x14ac:dyDescent="0.25">
      <c r="B8977" s="2"/>
      <c r="C8977" s="2"/>
      <c r="D8977" s="2"/>
      <c r="E8977" s="2"/>
      <c r="F8977" s="2"/>
      <c r="G8977" s="2"/>
      <c r="H8977" s="2"/>
      <c r="I8977" s="2"/>
      <c r="J8977" s="2"/>
      <c r="K8977" s="2"/>
    </row>
    <row r="8978" spans="2:11" ht="12.5" x14ac:dyDescent="0.25">
      <c r="B8978" s="2"/>
      <c r="C8978" s="2"/>
      <c r="D8978" s="2"/>
      <c r="E8978" s="2"/>
      <c r="F8978" s="2"/>
      <c r="G8978" s="2"/>
      <c r="H8978" s="2"/>
      <c r="I8978" s="2"/>
      <c r="J8978" s="2"/>
      <c r="K8978" s="2"/>
    </row>
    <row r="8979" spans="2:11" ht="12.5" x14ac:dyDescent="0.25">
      <c r="B8979" s="2"/>
      <c r="C8979" s="2"/>
      <c r="D8979" s="2"/>
      <c r="E8979" s="2"/>
      <c r="F8979" s="2"/>
      <c r="G8979" s="2"/>
      <c r="H8979" s="2"/>
      <c r="I8979" s="2"/>
      <c r="J8979" s="2"/>
      <c r="K8979" s="2"/>
    </row>
    <row r="8980" spans="2:11" ht="12.5" x14ac:dyDescent="0.25">
      <c r="B8980" s="2"/>
      <c r="C8980" s="2"/>
      <c r="D8980" s="2"/>
      <c r="E8980" s="2"/>
      <c r="F8980" s="2"/>
      <c r="G8980" s="2"/>
      <c r="H8980" s="2"/>
      <c r="I8980" s="2"/>
      <c r="J8980" s="2"/>
      <c r="K8980" s="2"/>
    </row>
    <row r="8981" spans="2:11" ht="12.5" x14ac:dyDescent="0.25">
      <c r="B8981" s="2"/>
      <c r="C8981" s="2"/>
      <c r="D8981" s="2"/>
      <c r="E8981" s="2"/>
      <c r="F8981" s="2"/>
      <c r="G8981" s="2"/>
      <c r="H8981" s="2"/>
      <c r="I8981" s="2"/>
      <c r="J8981" s="2"/>
      <c r="K8981" s="2"/>
    </row>
    <row r="8982" spans="2:11" ht="12.5" x14ac:dyDescent="0.25">
      <c r="B8982" s="2"/>
      <c r="C8982" s="2"/>
      <c r="D8982" s="2"/>
      <c r="E8982" s="2"/>
      <c r="F8982" s="2"/>
      <c r="G8982" s="2"/>
      <c r="H8982" s="2"/>
      <c r="I8982" s="2"/>
      <c r="J8982" s="2"/>
      <c r="K8982" s="2"/>
    </row>
    <row r="8983" spans="2:11" ht="12.5" x14ac:dyDescent="0.25">
      <c r="B8983" s="2"/>
      <c r="C8983" s="2"/>
      <c r="D8983" s="2"/>
      <c r="E8983" s="2"/>
      <c r="F8983" s="2"/>
      <c r="G8983" s="2"/>
      <c r="H8983" s="2"/>
      <c r="I8983" s="2"/>
      <c r="J8983" s="2"/>
      <c r="K8983" s="2"/>
    </row>
    <row r="8984" spans="2:11" ht="12.5" x14ac:dyDescent="0.25">
      <c r="B8984" s="2"/>
      <c r="C8984" s="2"/>
      <c r="D8984" s="2"/>
      <c r="E8984" s="2"/>
      <c r="F8984" s="2"/>
      <c r="G8984" s="2"/>
      <c r="H8984" s="2"/>
      <c r="I8984" s="2"/>
      <c r="J8984" s="2"/>
      <c r="K8984" s="2"/>
    </row>
    <row r="8985" spans="2:11" ht="12.5" x14ac:dyDescent="0.25">
      <c r="B8985" s="2"/>
      <c r="C8985" s="2"/>
      <c r="D8985" s="2"/>
      <c r="E8985" s="2"/>
      <c r="F8985" s="2"/>
      <c r="G8985" s="2"/>
      <c r="H8985" s="2"/>
      <c r="I8985" s="2"/>
      <c r="J8985" s="2"/>
      <c r="K8985" s="2"/>
    </row>
    <row r="8986" spans="2:11" ht="12.5" x14ac:dyDescent="0.25">
      <c r="B8986" s="2"/>
      <c r="C8986" s="2"/>
      <c r="D8986" s="2"/>
      <c r="E8986" s="2"/>
      <c r="F8986" s="2"/>
      <c r="G8986" s="2"/>
      <c r="H8986" s="2"/>
      <c r="I8986" s="2"/>
      <c r="J8986" s="2"/>
      <c r="K8986" s="2"/>
    </row>
    <row r="8987" spans="2:11" ht="12.5" x14ac:dyDescent="0.25">
      <c r="B8987" s="2"/>
      <c r="C8987" s="2"/>
      <c r="D8987" s="2"/>
      <c r="E8987" s="2"/>
      <c r="F8987" s="2"/>
      <c r="G8987" s="2"/>
      <c r="H8987" s="2"/>
      <c r="I8987" s="2"/>
      <c r="J8987" s="2"/>
      <c r="K8987" s="2"/>
    </row>
    <row r="8988" spans="2:11" ht="12.5" x14ac:dyDescent="0.25">
      <c r="B8988" s="2"/>
      <c r="C8988" s="2"/>
      <c r="D8988" s="2"/>
      <c r="E8988" s="2"/>
      <c r="F8988" s="2"/>
      <c r="G8988" s="2"/>
      <c r="H8988" s="2"/>
      <c r="I8988" s="2"/>
      <c r="J8988" s="2"/>
      <c r="K8988" s="2"/>
    </row>
    <row r="8989" spans="2:11" ht="12.5" x14ac:dyDescent="0.25">
      <c r="B8989" s="2"/>
      <c r="C8989" s="2"/>
      <c r="D8989" s="2"/>
      <c r="E8989" s="2"/>
      <c r="F8989" s="2"/>
      <c r="G8989" s="2"/>
      <c r="H8989" s="2"/>
      <c r="I8989" s="2"/>
      <c r="J8989" s="2"/>
      <c r="K8989" s="2"/>
    </row>
    <row r="8990" spans="2:11" ht="12.5" x14ac:dyDescent="0.25">
      <c r="B8990" s="2"/>
      <c r="C8990" s="2"/>
      <c r="D8990" s="2"/>
      <c r="E8990" s="2"/>
      <c r="F8990" s="2"/>
      <c r="G8990" s="2"/>
      <c r="H8990" s="2"/>
      <c r="I8990" s="2"/>
      <c r="J8990" s="2"/>
      <c r="K8990" s="2"/>
    </row>
    <row r="8991" spans="2:11" ht="12.5" x14ac:dyDescent="0.25">
      <c r="B8991" s="2"/>
      <c r="C8991" s="2"/>
      <c r="D8991" s="2"/>
      <c r="E8991" s="2"/>
      <c r="F8991" s="2"/>
      <c r="G8991" s="2"/>
      <c r="H8991" s="2"/>
      <c r="I8991" s="2"/>
      <c r="J8991" s="2"/>
      <c r="K8991" s="2"/>
    </row>
    <row r="8992" spans="2:11" ht="12.5" x14ac:dyDescent="0.25">
      <c r="B8992" s="2"/>
      <c r="C8992" s="2"/>
      <c r="D8992" s="2"/>
      <c r="E8992" s="2"/>
      <c r="F8992" s="2"/>
      <c r="G8992" s="2"/>
      <c r="H8992" s="2"/>
      <c r="I8992" s="2"/>
      <c r="J8992" s="2"/>
      <c r="K8992" s="2"/>
    </row>
    <row r="8993" spans="2:11" ht="12.5" x14ac:dyDescent="0.25">
      <c r="B8993" s="2"/>
      <c r="C8993" s="2"/>
      <c r="D8993" s="2"/>
      <c r="E8993" s="2"/>
      <c r="F8993" s="2"/>
      <c r="G8993" s="2"/>
      <c r="H8993" s="2"/>
      <c r="I8993" s="2"/>
      <c r="J8993" s="2"/>
      <c r="K8993" s="2"/>
    </row>
    <row r="8994" spans="2:11" ht="12.5" x14ac:dyDescent="0.25">
      <c r="B8994" s="2"/>
      <c r="C8994" s="2"/>
      <c r="D8994" s="2"/>
      <c r="E8994" s="2"/>
      <c r="F8994" s="2"/>
      <c r="G8994" s="2"/>
      <c r="H8994" s="2"/>
      <c r="I8994" s="2"/>
      <c r="J8994" s="2"/>
      <c r="K8994" s="2"/>
    </row>
    <row r="8995" spans="2:11" ht="12.5" x14ac:dyDescent="0.25">
      <c r="B8995" s="2"/>
      <c r="C8995" s="2"/>
      <c r="D8995" s="2"/>
      <c r="E8995" s="2"/>
      <c r="F8995" s="2"/>
      <c r="G8995" s="2"/>
      <c r="H8995" s="2"/>
      <c r="I8995" s="2"/>
      <c r="J8995" s="2"/>
      <c r="K8995" s="2"/>
    </row>
    <row r="8996" spans="2:11" ht="12.5" x14ac:dyDescent="0.25">
      <c r="B8996" s="2"/>
      <c r="C8996" s="2"/>
      <c r="D8996" s="2"/>
      <c r="E8996" s="2"/>
      <c r="F8996" s="2"/>
      <c r="G8996" s="2"/>
      <c r="H8996" s="2"/>
      <c r="I8996" s="2"/>
      <c r="J8996" s="2"/>
      <c r="K8996" s="2"/>
    </row>
    <row r="8997" spans="2:11" ht="12.5" x14ac:dyDescent="0.25">
      <c r="B8997" s="2"/>
      <c r="C8997" s="2"/>
      <c r="D8997" s="2"/>
      <c r="E8997" s="2"/>
      <c r="F8997" s="2"/>
      <c r="G8997" s="2"/>
      <c r="H8997" s="2"/>
      <c r="I8997" s="2"/>
      <c r="J8997" s="2"/>
      <c r="K8997" s="2"/>
    </row>
    <row r="8998" spans="2:11" ht="12.5" x14ac:dyDescent="0.25">
      <c r="B8998" s="2"/>
      <c r="C8998" s="2"/>
      <c r="D8998" s="2"/>
      <c r="E8998" s="2"/>
      <c r="F8998" s="2"/>
      <c r="G8998" s="2"/>
      <c r="H8998" s="2"/>
      <c r="I8998" s="2"/>
      <c r="J8998" s="2"/>
      <c r="K8998" s="2"/>
    </row>
    <row r="8999" spans="2:11" ht="12.5" x14ac:dyDescent="0.25">
      <c r="B8999" s="2"/>
      <c r="C8999" s="2"/>
      <c r="D8999" s="2"/>
      <c r="E8999" s="2"/>
      <c r="F8999" s="2"/>
      <c r="G8999" s="2"/>
      <c r="H8999" s="2"/>
      <c r="I8999" s="2"/>
      <c r="J8999" s="2"/>
      <c r="K8999" s="2"/>
    </row>
    <row r="9000" spans="2:11" ht="12.5" x14ac:dyDescent="0.25">
      <c r="B9000" s="2"/>
      <c r="C9000" s="2"/>
      <c r="D9000" s="2"/>
      <c r="E9000" s="2"/>
      <c r="F9000" s="2"/>
      <c r="G9000" s="2"/>
      <c r="H9000" s="2"/>
      <c r="I9000" s="2"/>
      <c r="J9000" s="2"/>
      <c r="K9000" s="2"/>
    </row>
    <row r="9001" spans="2:11" ht="12.5" x14ac:dyDescent="0.25">
      <c r="B9001" s="2"/>
      <c r="C9001" s="2"/>
      <c r="D9001" s="2"/>
      <c r="E9001" s="2"/>
      <c r="F9001" s="2"/>
      <c r="G9001" s="2"/>
      <c r="H9001" s="2"/>
      <c r="I9001" s="2"/>
      <c r="J9001" s="2"/>
      <c r="K9001" s="2"/>
    </row>
    <row r="9002" spans="2:11" ht="12.5" x14ac:dyDescent="0.25">
      <c r="B9002" s="2"/>
      <c r="C9002" s="2"/>
      <c r="D9002" s="2"/>
      <c r="E9002" s="2"/>
      <c r="F9002" s="2"/>
      <c r="G9002" s="2"/>
      <c r="H9002" s="2"/>
      <c r="I9002" s="2"/>
      <c r="J9002" s="2"/>
      <c r="K9002" s="2"/>
    </row>
    <row r="9003" spans="2:11" ht="12.5" x14ac:dyDescent="0.25">
      <c r="B9003" s="2"/>
      <c r="C9003" s="2"/>
      <c r="D9003" s="2"/>
      <c r="E9003" s="2"/>
      <c r="F9003" s="2"/>
      <c r="G9003" s="2"/>
      <c r="H9003" s="2"/>
      <c r="I9003" s="2"/>
      <c r="J9003" s="2"/>
      <c r="K9003" s="2"/>
    </row>
    <row r="9004" spans="2:11" ht="12.5" x14ac:dyDescent="0.25">
      <c r="B9004" s="2"/>
      <c r="C9004" s="2"/>
      <c r="D9004" s="2"/>
      <c r="E9004" s="2"/>
      <c r="F9004" s="2"/>
      <c r="G9004" s="2"/>
      <c r="H9004" s="2"/>
      <c r="I9004" s="2"/>
      <c r="J9004" s="2"/>
      <c r="K9004" s="2"/>
    </row>
    <row r="9005" spans="2:11" ht="12.5" x14ac:dyDescent="0.25">
      <c r="B9005" s="2"/>
      <c r="C9005" s="2"/>
      <c r="D9005" s="2"/>
      <c r="E9005" s="2"/>
      <c r="F9005" s="2"/>
      <c r="G9005" s="2"/>
      <c r="H9005" s="2"/>
      <c r="I9005" s="2"/>
      <c r="J9005" s="2"/>
      <c r="K9005" s="2"/>
    </row>
    <row r="9006" spans="2:11" ht="12.5" x14ac:dyDescent="0.25">
      <c r="B9006" s="2"/>
      <c r="C9006" s="2"/>
      <c r="D9006" s="2"/>
      <c r="E9006" s="2"/>
      <c r="F9006" s="2"/>
      <c r="G9006" s="2"/>
      <c r="H9006" s="2"/>
      <c r="I9006" s="2"/>
      <c r="J9006" s="2"/>
      <c r="K9006" s="2"/>
    </row>
    <row r="9007" spans="2:11" ht="12.5" x14ac:dyDescent="0.25">
      <c r="B9007" s="2"/>
      <c r="C9007" s="2"/>
      <c r="D9007" s="2"/>
      <c r="E9007" s="2"/>
      <c r="F9007" s="2"/>
      <c r="G9007" s="2"/>
      <c r="H9007" s="2"/>
      <c r="I9007" s="2"/>
      <c r="J9007" s="2"/>
      <c r="K9007" s="2"/>
    </row>
    <row r="9008" spans="2:11" ht="12.5" x14ac:dyDescent="0.25">
      <c r="B9008" s="2"/>
      <c r="C9008" s="2"/>
      <c r="D9008" s="2"/>
      <c r="E9008" s="2"/>
      <c r="F9008" s="2"/>
      <c r="G9008" s="2"/>
      <c r="H9008" s="2"/>
      <c r="I9008" s="2"/>
      <c r="J9008" s="2"/>
      <c r="K9008" s="2"/>
    </row>
    <row r="9009" spans="2:11" ht="12.5" x14ac:dyDescent="0.25">
      <c r="B9009" s="2"/>
      <c r="C9009" s="2"/>
      <c r="D9009" s="2"/>
      <c r="E9009" s="2"/>
      <c r="F9009" s="2"/>
      <c r="G9009" s="2"/>
      <c r="H9009" s="2"/>
      <c r="I9009" s="2"/>
      <c r="J9009" s="2"/>
      <c r="K9009" s="2"/>
    </row>
    <row r="9010" spans="2:11" ht="12.5" x14ac:dyDescent="0.25">
      <c r="B9010" s="2"/>
      <c r="C9010" s="2"/>
      <c r="D9010" s="2"/>
      <c r="E9010" s="2"/>
      <c r="F9010" s="2"/>
      <c r="G9010" s="2"/>
      <c r="H9010" s="2"/>
      <c r="I9010" s="2"/>
      <c r="J9010" s="2"/>
      <c r="K9010" s="2"/>
    </row>
    <row r="9011" spans="2:11" ht="12.5" x14ac:dyDescent="0.25">
      <c r="B9011" s="2"/>
      <c r="C9011" s="2"/>
      <c r="D9011" s="2"/>
      <c r="E9011" s="2"/>
      <c r="F9011" s="2"/>
      <c r="G9011" s="2"/>
      <c r="H9011" s="2"/>
      <c r="I9011" s="2"/>
      <c r="J9011" s="2"/>
      <c r="K9011" s="2"/>
    </row>
    <row r="9012" spans="2:11" ht="12.5" x14ac:dyDescent="0.25">
      <c r="B9012" s="2"/>
      <c r="C9012" s="2"/>
      <c r="D9012" s="2"/>
      <c r="E9012" s="2"/>
      <c r="F9012" s="2"/>
      <c r="G9012" s="2"/>
      <c r="H9012" s="2"/>
      <c r="I9012" s="2"/>
      <c r="J9012" s="2"/>
      <c r="K9012" s="2"/>
    </row>
    <row r="9013" spans="2:11" ht="12.5" x14ac:dyDescent="0.25">
      <c r="B9013" s="2"/>
      <c r="C9013" s="2"/>
      <c r="D9013" s="2"/>
      <c r="E9013" s="2"/>
      <c r="F9013" s="2"/>
      <c r="G9013" s="2"/>
      <c r="H9013" s="2"/>
      <c r="I9013" s="2"/>
      <c r="J9013" s="2"/>
      <c r="K9013" s="2"/>
    </row>
    <row r="9014" spans="2:11" ht="12.5" x14ac:dyDescent="0.25">
      <c r="B9014" s="2"/>
      <c r="C9014" s="2"/>
      <c r="D9014" s="2"/>
      <c r="E9014" s="2"/>
      <c r="F9014" s="2"/>
      <c r="G9014" s="2"/>
      <c r="H9014" s="2"/>
      <c r="I9014" s="2"/>
      <c r="J9014" s="2"/>
      <c r="K9014" s="2"/>
    </row>
    <row r="9015" spans="2:11" ht="12.5" x14ac:dyDescent="0.25">
      <c r="B9015" s="2"/>
      <c r="C9015" s="2"/>
      <c r="D9015" s="2"/>
      <c r="E9015" s="2"/>
      <c r="F9015" s="2"/>
      <c r="G9015" s="2"/>
      <c r="H9015" s="2"/>
      <c r="I9015" s="2"/>
      <c r="J9015" s="2"/>
      <c r="K9015" s="2"/>
    </row>
    <row r="9016" spans="2:11" ht="12.5" x14ac:dyDescent="0.25">
      <c r="B9016" s="2"/>
      <c r="C9016" s="2"/>
      <c r="D9016" s="2"/>
      <c r="E9016" s="2"/>
      <c r="F9016" s="2"/>
      <c r="G9016" s="2"/>
      <c r="H9016" s="2"/>
      <c r="I9016" s="2"/>
      <c r="J9016" s="2"/>
      <c r="K9016" s="2"/>
    </row>
    <row r="9017" spans="2:11" ht="12.5" x14ac:dyDescent="0.25">
      <c r="B9017" s="2"/>
      <c r="C9017" s="2"/>
      <c r="D9017" s="2"/>
      <c r="E9017" s="2"/>
      <c r="F9017" s="2"/>
      <c r="G9017" s="2"/>
      <c r="H9017" s="2"/>
      <c r="I9017" s="2"/>
      <c r="J9017" s="2"/>
      <c r="K9017" s="2"/>
    </row>
    <row r="9018" spans="2:11" ht="12.5" x14ac:dyDescent="0.25">
      <c r="B9018" s="2"/>
      <c r="C9018" s="2"/>
      <c r="D9018" s="2"/>
      <c r="E9018" s="2"/>
      <c r="F9018" s="2"/>
      <c r="G9018" s="2"/>
      <c r="H9018" s="2"/>
      <c r="I9018" s="2"/>
      <c r="J9018" s="2"/>
      <c r="K9018" s="2"/>
    </row>
    <row r="9019" spans="2:11" ht="12.5" x14ac:dyDescent="0.25">
      <c r="B9019" s="2"/>
      <c r="C9019" s="2"/>
      <c r="D9019" s="2"/>
      <c r="E9019" s="2"/>
      <c r="F9019" s="2"/>
      <c r="G9019" s="2"/>
      <c r="H9019" s="2"/>
      <c r="I9019" s="2"/>
      <c r="J9019" s="2"/>
      <c r="K9019" s="2"/>
    </row>
    <row r="9020" spans="2:11" ht="12.5" x14ac:dyDescent="0.25">
      <c r="B9020" s="2"/>
      <c r="C9020" s="2"/>
      <c r="D9020" s="2"/>
      <c r="E9020" s="2"/>
      <c r="F9020" s="2"/>
      <c r="G9020" s="2"/>
      <c r="H9020" s="2"/>
      <c r="I9020" s="2"/>
      <c r="J9020" s="2"/>
      <c r="K9020" s="2"/>
    </row>
    <row r="9021" spans="2:11" ht="12.5" x14ac:dyDescent="0.25">
      <c r="B9021" s="2"/>
      <c r="C9021" s="2"/>
      <c r="D9021" s="2"/>
      <c r="E9021" s="2"/>
      <c r="F9021" s="2"/>
      <c r="G9021" s="2"/>
      <c r="H9021" s="2"/>
      <c r="I9021" s="2"/>
      <c r="J9021" s="2"/>
      <c r="K9021" s="2"/>
    </row>
    <row r="9022" spans="2:11" ht="12.5" x14ac:dyDescent="0.25">
      <c r="B9022" s="2"/>
      <c r="C9022" s="2"/>
      <c r="D9022" s="2"/>
      <c r="E9022" s="2"/>
      <c r="F9022" s="2"/>
      <c r="G9022" s="2"/>
      <c r="H9022" s="2"/>
      <c r="I9022" s="2"/>
      <c r="J9022" s="2"/>
      <c r="K9022" s="2"/>
    </row>
    <row r="9023" spans="2:11" ht="12.5" x14ac:dyDescent="0.25">
      <c r="B9023" s="2"/>
      <c r="C9023" s="2"/>
      <c r="D9023" s="2"/>
      <c r="E9023" s="2"/>
      <c r="F9023" s="2"/>
      <c r="G9023" s="2"/>
      <c r="H9023" s="2"/>
      <c r="I9023" s="2"/>
      <c r="J9023" s="2"/>
      <c r="K9023" s="2"/>
    </row>
    <row r="9024" spans="2:11" ht="12.5" x14ac:dyDescent="0.25">
      <c r="B9024" s="2"/>
      <c r="C9024" s="2"/>
      <c r="D9024" s="2"/>
      <c r="E9024" s="2"/>
      <c r="F9024" s="2"/>
      <c r="G9024" s="2"/>
      <c r="H9024" s="2"/>
      <c r="I9024" s="2"/>
      <c r="J9024" s="2"/>
      <c r="K9024" s="2"/>
    </row>
    <row r="9025" spans="2:11" ht="12.5" x14ac:dyDescent="0.25">
      <c r="B9025" s="2"/>
      <c r="C9025" s="2"/>
      <c r="D9025" s="2"/>
      <c r="E9025" s="2"/>
      <c r="F9025" s="2"/>
      <c r="G9025" s="2"/>
      <c r="H9025" s="2"/>
      <c r="I9025" s="2"/>
      <c r="J9025" s="2"/>
      <c r="K9025" s="2"/>
    </row>
    <row r="9026" spans="2:11" ht="12.5" x14ac:dyDescent="0.25">
      <c r="B9026" s="2"/>
      <c r="C9026" s="2"/>
      <c r="D9026" s="2"/>
      <c r="E9026" s="2"/>
      <c r="F9026" s="2"/>
      <c r="G9026" s="2"/>
      <c r="H9026" s="2"/>
      <c r="I9026" s="2"/>
      <c r="J9026" s="2"/>
      <c r="K9026" s="2"/>
    </row>
    <row r="9027" spans="2:11" ht="12.5" x14ac:dyDescent="0.25">
      <c r="B9027" s="2"/>
      <c r="C9027" s="2"/>
      <c r="D9027" s="2"/>
      <c r="E9027" s="2"/>
      <c r="F9027" s="2"/>
      <c r="G9027" s="2"/>
      <c r="H9027" s="2"/>
      <c r="I9027" s="2"/>
      <c r="J9027" s="2"/>
      <c r="K9027" s="2"/>
    </row>
    <row r="9028" spans="2:11" ht="12.5" x14ac:dyDescent="0.25">
      <c r="B9028" s="2"/>
      <c r="C9028" s="2"/>
      <c r="D9028" s="2"/>
      <c r="E9028" s="2"/>
      <c r="F9028" s="2"/>
      <c r="G9028" s="2"/>
      <c r="H9028" s="2"/>
      <c r="I9028" s="2"/>
      <c r="J9028" s="2"/>
      <c r="K9028" s="2"/>
    </row>
    <row r="9029" spans="2:11" ht="12.5" x14ac:dyDescent="0.25">
      <c r="B9029" s="2"/>
      <c r="C9029" s="2"/>
      <c r="D9029" s="2"/>
      <c r="E9029" s="2"/>
      <c r="F9029" s="2"/>
      <c r="G9029" s="2"/>
      <c r="H9029" s="2"/>
      <c r="I9029" s="2"/>
      <c r="J9029" s="2"/>
      <c r="K9029" s="2"/>
    </row>
    <row r="9030" spans="2:11" ht="12.5" x14ac:dyDescent="0.25">
      <c r="B9030" s="2"/>
      <c r="C9030" s="2"/>
      <c r="D9030" s="2"/>
      <c r="E9030" s="2"/>
      <c r="F9030" s="2"/>
      <c r="G9030" s="2"/>
      <c r="H9030" s="2"/>
      <c r="I9030" s="2"/>
      <c r="J9030" s="2"/>
      <c r="K9030" s="2"/>
    </row>
    <row r="9031" spans="2:11" ht="12.5" x14ac:dyDescent="0.25">
      <c r="B9031" s="2"/>
      <c r="C9031" s="2"/>
      <c r="D9031" s="2"/>
      <c r="E9031" s="2"/>
      <c r="F9031" s="2"/>
      <c r="G9031" s="2"/>
      <c r="H9031" s="2"/>
      <c r="I9031" s="2"/>
      <c r="J9031" s="2"/>
      <c r="K9031" s="2"/>
    </row>
    <row r="9032" spans="2:11" ht="12.5" x14ac:dyDescent="0.25">
      <c r="B9032" s="2"/>
      <c r="C9032" s="2"/>
      <c r="D9032" s="2"/>
      <c r="E9032" s="2"/>
      <c r="F9032" s="2"/>
      <c r="G9032" s="2"/>
      <c r="H9032" s="2"/>
      <c r="I9032" s="2"/>
      <c r="J9032" s="2"/>
      <c r="K9032" s="2"/>
    </row>
    <row r="9033" spans="2:11" ht="12.5" x14ac:dyDescent="0.25">
      <c r="B9033" s="2"/>
      <c r="C9033" s="2"/>
      <c r="D9033" s="2"/>
      <c r="E9033" s="2"/>
      <c r="F9033" s="2"/>
      <c r="G9033" s="2"/>
      <c r="H9033" s="2"/>
      <c r="I9033" s="2"/>
      <c r="J9033" s="2"/>
      <c r="K9033" s="2"/>
    </row>
    <row r="9034" spans="2:11" ht="12.5" x14ac:dyDescent="0.25">
      <c r="B9034" s="2"/>
      <c r="C9034" s="2"/>
      <c r="D9034" s="2"/>
      <c r="E9034" s="2"/>
      <c r="F9034" s="2"/>
      <c r="G9034" s="2"/>
      <c r="H9034" s="2"/>
      <c r="I9034" s="2"/>
      <c r="J9034" s="2"/>
      <c r="K9034" s="2"/>
    </row>
    <row r="9035" spans="2:11" ht="12.5" x14ac:dyDescent="0.25">
      <c r="B9035" s="2"/>
      <c r="C9035" s="2"/>
      <c r="D9035" s="2"/>
      <c r="E9035" s="2"/>
      <c r="F9035" s="2"/>
      <c r="G9035" s="2"/>
      <c r="H9035" s="2"/>
      <c r="I9035" s="2"/>
      <c r="J9035" s="2"/>
      <c r="K9035" s="2"/>
    </row>
    <row r="9036" spans="2:11" ht="12.5" x14ac:dyDescent="0.25">
      <c r="B9036" s="2"/>
      <c r="C9036" s="2"/>
      <c r="D9036" s="2"/>
      <c r="E9036" s="2"/>
      <c r="F9036" s="2"/>
      <c r="G9036" s="2"/>
      <c r="H9036" s="2"/>
      <c r="I9036" s="2"/>
      <c r="J9036" s="2"/>
      <c r="K9036" s="2"/>
    </row>
    <row r="9037" spans="2:11" ht="12.5" x14ac:dyDescent="0.25">
      <c r="B9037" s="2"/>
      <c r="C9037" s="2"/>
      <c r="D9037" s="2"/>
      <c r="E9037" s="2"/>
      <c r="F9037" s="2"/>
      <c r="G9037" s="2"/>
      <c r="H9037" s="2"/>
      <c r="I9037" s="2"/>
      <c r="J9037" s="2"/>
      <c r="K9037" s="2"/>
    </row>
    <row r="9038" spans="2:11" ht="12.5" x14ac:dyDescent="0.25">
      <c r="B9038" s="2"/>
      <c r="C9038" s="2"/>
      <c r="D9038" s="2"/>
      <c r="E9038" s="2"/>
      <c r="F9038" s="2"/>
      <c r="G9038" s="2"/>
      <c r="H9038" s="2"/>
      <c r="I9038" s="2"/>
      <c r="J9038" s="2"/>
      <c r="K9038" s="2"/>
    </row>
    <row r="9039" spans="2:11" ht="12.5" x14ac:dyDescent="0.25">
      <c r="B9039" s="2"/>
      <c r="C9039" s="2"/>
      <c r="D9039" s="2"/>
      <c r="E9039" s="2"/>
      <c r="F9039" s="2"/>
      <c r="G9039" s="2"/>
      <c r="H9039" s="2"/>
      <c r="I9039" s="2"/>
      <c r="J9039" s="2"/>
      <c r="K9039" s="2"/>
    </row>
    <row r="9040" spans="2:11" ht="12.5" x14ac:dyDescent="0.25">
      <c r="B9040" s="2"/>
      <c r="C9040" s="2"/>
      <c r="D9040" s="2"/>
      <c r="E9040" s="2"/>
      <c r="F9040" s="2"/>
      <c r="G9040" s="2"/>
      <c r="H9040" s="2"/>
      <c r="I9040" s="2"/>
      <c r="J9040" s="2"/>
      <c r="K9040" s="2"/>
    </row>
    <row r="9041" spans="2:11" ht="12.5" x14ac:dyDescent="0.25">
      <c r="B9041" s="2"/>
      <c r="C9041" s="2"/>
      <c r="D9041" s="2"/>
      <c r="E9041" s="2"/>
      <c r="F9041" s="2"/>
      <c r="G9041" s="2"/>
      <c r="H9041" s="2"/>
      <c r="I9041" s="2"/>
      <c r="J9041" s="2"/>
      <c r="K9041" s="2"/>
    </row>
    <row r="9042" spans="2:11" ht="12.5" x14ac:dyDescent="0.25">
      <c r="B9042" s="2"/>
      <c r="C9042" s="2"/>
      <c r="D9042" s="2"/>
      <c r="E9042" s="2"/>
      <c r="F9042" s="2"/>
      <c r="G9042" s="2"/>
      <c r="H9042" s="2"/>
      <c r="I9042" s="2"/>
      <c r="J9042" s="2"/>
      <c r="K9042" s="2"/>
    </row>
    <row r="9043" spans="2:11" ht="12.5" x14ac:dyDescent="0.25">
      <c r="B9043" s="2"/>
      <c r="C9043" s="2"/>
      <c r="D9043" s="2"/>
      <c r="E9043" s="2"/>
      <c r="F9043" s="2"/>
      <c r="G9043" s="2"/>
      <c r="H9043" s="2"/>
      <c r="I9043" s="2"/>
      <c r="J9043" s="2"/>
      <c r="K9043" s="2"/>
    </row>
    <row r="9044" spans="2:11" ht="12.5" x14ac:dyDescent="0.25">
      <c r="B9044" s="2"/>
      <c r="C9044" s="2"/>
      <c r="D9044" s="2"/>
      <c r="E9044" s="2"/>
      <c r="F9044" s="2"/>
      <c r="G9044" s="2"/>
      <c r="H9044" s="2"/>
      <c r="I9044" s="2"/>
      <c r="J9044" s="2"/>
      <c r="K9044" s="2"/>
    </row>
    <row r="9045" spans="2:11" ht="12.5" x14ac:dyDescent="0.25">
      <c r="B9045" s="2"/>
      <c r="C9045" s="2"/>
      <c r="D9045" s="2"/>
      <c r="E9045" s="2"/>
      <c r="F9045" s="2"/>
      <c r="G9045" s="2"/>
      <c r="H9045" s="2"/>
      <c r="I9045" s="2"/>
      <c r="J9045" s="2"/>
      <c r="K9045" s="2"/>
    </row>
    <row r="9046" spans="2:11" ht="12.5" x14ac:dyDescent="0.25">
      <c r="B9046" s="2"/>
      <c r="C9046" s="2"/>
      <c r="D9046" s="2"/>
      <c r="E9046" s="2"/>
      <c r="F9046" s="2"/>
      <c r="G9046" s="2"/>
      <c r="H9046" s="2"/>
      <c r="I9046" s="2"/>
      <c r="J9046" s="2"/>
      <c r="K9046" s="2"/>
    </row>
    <row r="9047" spans="2:11" ht="12.5" x14ac:dyDescent="0.25">
      <c r="B9047" s="2"/>
      <c r="C9047" s="2"/>
      <c r="D9047" s="2"/>
      <c r="E9047" s="2"/>
      <c r="F9047" s="2"/>
      <c r="G9047" s="2"/>
      <c r="H9047" s="2"/>
      <c r="I9047" s="2"/>
      <c r="J9047" s="2"/>
      <c r="K9047" s="2"/>
    </row>
    <row r="9048" spans="2:11" ht="12.5" x14ac:dyDescent="0.25">
      <c r="B9048" s="2"/>
      <c r="C9048" s="2"/>
      <c r="D9048" s="2"/>
      <c r="E9048" s="2"/>
      <c r="F9048" s="2"/>
      <c r="G9048" s="2"/>
      <c r="H9048" s="2"/>
      <c r="I9048" s="2"/>
      <c r="J9048" s="2"/>
      <c r="K9048" s="2"/>
    </row>
    <row r="9049" spans="2:11" ht="12.5" x14ac:dyDescent="0.25">
      <c r="B9049" s="2"/>
      <c r="C9049" s="2"/>
      <c r="D9049" s="2"/>
      <c r="E9049" s="2"/>
      <c r="F9049" s="2"/>
      <c r="G9049" s="2"/>
      <c r="H9049" s="2"/>
      <c r="I9049" s="2"/>
      <c r="J9049" s="2"/>
      <c r="K9049" s="2"/>
    </row>
    <row r="9050" spans="2:11" ht="12.5" x14ac:dyDescent="0.25">
      <c r="B9050" s="2"/>
      <c r="C9050" s="2"/>
      <c r="D9050" s="2"/>
      <c r="E9050" s="2"/>
      <c r="F9050" s="2"/>
      <c r="G9050" s="2"/>
      <c r="H9050" s="2"/>
      <c r="I9050" s="2"/>
      <c r="J9050" s="2"/>
      <c r="K9050" s="2"/>
    </row>
    <row r="9051" spans="2:11" ht="12.5" x14ac:dyDescent="0.25">
      <c r="B9051" s="2"/>
      <c r="C9051" s="2"/>
      <c r="D9051" s="2"/>
      <c r="E9051" s="2"/>
      <c r="F9051" s="2"/>
      <c r="G9051" s="2"/>
      <c r="H9051" s="2"/>
      <c r="I9051" s="2"/>
      <c r="J9051" s="2"/>
      <c r="K9051" s="2"/>
    </row>
    <row r="9052" spans="2:11" ht="12.5" x14ac:dyDescent="0.25">
      <c r="B9052" s="2"/>
      <c r="C9052" s="2"/>
      <c r="D9052" s="2"/>
      <c r="E9052" s="2"/>
      <c r="F9052" s="2"/>
      <c r="G9052" s="2"/>
      <c r="H9052" s="2"/>
      <c r="I9052" s="2"/>
      <c r="J9052" s="2"/>
      <c r="K9052" s="2"/>
    </row>
    <row r="9053" spans="2:11" ht="12.5" x14ac:dyDescent="0.25">
      <c r="B9053" s="2"/>
      <c r="C9053" s="2"/>
      <c r="D9053" s="2"/>
      <c r="E9053" s="2"/>
      <c r="F9053" s="2"/>
      <c r="G9053" s="2"/>
      <c r="H9053" s="2"/>
      <c r="I9053" s="2"/>
      <c r="J9053" s="2"/>
      <c r="K9053" s="2"/>
    </row>
    <row r="9054" spans="2:11" ht="12.5" x14ac:dyDescent="0.25">
      <c r="B9054" s="2"/>
      <c r="C9054" s="2"/>
      <c r="D9054" s="2"/>
      <c r="E9054" s="2"/>
      <c r="F9054" s="2"/>
      <c r="G9054" s="2"/>
      <c r="H9054" s="2"/>
      <c r="I9054" s="2"/>
      <c r="J9054" s="2"/>
      <c r="K9054" s="2"/>
    </row>
    <row r="9055" spans="2:11" ht="12.5" x14ac:dyDescent="0.25">
      <c r="B9055" s="2"/>
      <c r="C9055" s="2"/>
      <c r="D9055" s="2"/>
      <c r="E9055" s="2"/>
      <c r="F9055" s="2"/>
      <c r="G9055" s="2"/>
      <c r="H9055" s="2"/>
      <c r="I9055" s="2"/>
      <c r="J9055" s="2"/>
      <c r="K9055" s="2"/>
    </row>
    <row r="9056" spans="2:11" ht="12.5" x14ac:dyDescent="0.25">
      <c r="B9056" s="2"/>
      <c r="C9056" s="2"/>
      <c r="D9056" s="2"/>
      <c r="E9056" s="2"/>
      <c r="F9056" s="2"/>
      <c r="G9056" s="2"/>
      <c r="H9056" s="2"/>
      <c r="I9056" s="2"/>
      <c r="J9056" s="2"/>
      <c r="K9056" s="2"/>
    </row>
    <row r="9057" spans="2:11" ht="12.5" x14ac:dyDescent="0.25">
      <c r="B9057" s="2"/>
      <c r="C9057" s="2"/>
      <c r="D9057" s="2"/>
      <c r="E9057" s="2"/>
      <c r="F9057" s="2"/>
      <c r="G9057" s="2"/>
      <c r="H9057" s="2"/>
      <c r="I9057" s="2"/>
      <c r="J9057" s="2"/>
      <c r="K9057" s="2"/>
    </row>
    <row r="9058" spans="2:11" ht="12.5" x14ac:dyDescent="0.25">
      <c r="B9058" s="2"/>
      <c r="C9058" s="2"/>
      <c r="D9058" s="2"/>
      <c r="E9058" s="2"/>
      <c r="F9058" s="2"/>
      <c r="G9058" s="2"/>
      <c r="H9058" s="2"/>
      <c r="I9058" s="2"/>
      <c r="J9058" s="2"/>
      <c r="K9058" s="2"/>
    </row>
    <row r="9059" spans="2:11" ht="12.5" x14ac:dyDescent="0.25">
      <c r="B9059" s="2"/>
      <c r="C9059" s="2"/>
      <c r="D9059" s="2"/>
      <c r="E9059" s="2"/>
      <c r="F9059" s="2"/>
      <c r="G9059" s="2"/>
      <c r="H9059" s="2"/>
      <c r="I9059" s="2"/>
      <c r="J9059" s="2"/>
      <c r="K9059" s="2"/>
    </row>
    <row r="9060" spans="2:11" ht="12.5" x14ac:dyDescent="0.25">
      <c r="B9060" s="2"/>
      <c r="C9060" s="2"/>
      <c r="D9060" s="2"/>
      <c r="E9060" s="2"/>
      <c r="F9060" s="2"/>
      <c r="G9060" s="2"/>
      <c r="H9060" s="2"/>
      <c r="I9060" s="2"/>
      <c r="J9060" s="2"/>
      <c r="K9060" s="2"/>
    </row>
    <row r="9061" spans="2:11" ht="12.5" x14ac:dyDescent="0.25">
      <c r="B9061" s="2"/>
      <c r="C9061" s="2"/>
      <c r="D9061" s="2"/>
      <c r="E9061" s="2"/>
      <c r="F9061" s="2"/>
      <c r="G9061" s="2"/>
      <c r="H9061" s="2"/>
      <c r="I9061" s="2"/>
      <c r="J9061" s="2"/>
      <c r="K9061" s="2"/>
    </row>
    <row r="9062" spans="2:11" ht="12.5" x14ac:dyDescent="0.25">
      <c r="B9062" s="2"/>
      <c r="C9062" s="2"/>
      <c r="D9062" s="2"/>
      <c r="E9062" s="2"/>
      <c r="F9062" s="2"/>
      <c r="G9062" s="2"/>
      <c r="H9062" s="2"/>
      <c r="I9062" s="2"/>
      <c r="J9062" s="2"/>
      <c r="K9062" s="2"/>
    </row>
    <row r="9063" spans="2:11" ht="12.5" x14ac:dyDescent="0.25">
      <c r="B9063" s="2"/>
      <c r="C9063" s="2"/>
      <c r="D9063" s="2"/>
      <c r="E9063" s="2"/>
      <c r="F9063" s="2"/>
      <c r="G9063" s="2"/>
      <c r="H9063" s="2"/>
      <c r="I9063" s="2"/>
      <c r="J9063" s="2"/>
      <c r="K9063" s="2"/>
    </row>
    <row r="9064" spans="2:11" ht="12.5" x14ac:dyDescent="0.25">
      <c r="B9064" s="2"/>
      <c r="C9064" s="2"/>
      <c r="D9064" s="2"/>
      <c r="E9064" s="2"/>
      <c r="F9064" s="2"/>
      <c r="G9064" s="2"/>
      <c r="H9064" s="2"/>
      <c r="I9064" s="2"/>
      <c r="J9064" s="2"/>
      <c r="K9064" s="2"/>
    </row>
    <row r="9065" spans="2:11" ht="12.5" x14ac:dyDescent="0.25">
      <c r="B9065" s="2"/>
      <c r="C9065" s="2"/>
      <c r="D9065" s="2"/>
      <c r="E9065" s="2"/>
      <c r="F9065" s="2"/>
      <c r="G9065" s="2"/>
      <c r="H9065" s="2"/>
      <c r="I9065" s="2"/>
      <c r="J9065" s="2"/>
      <c r="K9065" s="2"/>
    </row>
    <row r="9066" spans="2:11" ht="12.5" x14ac:dyDescent="0.25">
      <c r="B9066" s="2"/>
      <c r="C9066" s="2"/>
      <c r="D9066" s="2"/>
      <c r="E9066" s="2"/>
      <c r="F9066" s="2"/>
      <c r="G9066" s="2"/>
      <c r="H9066" s="2"/>
      <c r="I9066" s="2"/>
      <c r="J9066" s="2"/>
      <c r="K9066" s="2"/>
    </row>
    <row r="9067" spans="2:11" ht="12.5" x14ac:dyDescent="0.25">
      <c r="B9067" s="2"/>
      <c r="C9067" s="2"/>
      <c r="D9067" s="2"/>
      <c r="E9067" s="2"/>
      <c r="F9067" s="2"/>
      <c r="G9067" s="2"/>
      <c r="H9067" s="2"/>
      <c r="I9067" s="2"/>
      <c r="J9067" s="2"/>
      <c r="K9067" s="2"/>
    </row>
    <row r="9068" spans="2:11" ht="12.5" x14ac:dyDescent="0.25">
      <c r="B9068" s="2"/>
      <c r="C9068" s="2"/>
      <c r="D9068" s="2"/>
      <c r="E9068" s="2"/>
      <c r="F9068" s="2"/>
      <c r="G9068" s="2"/>
      <c r="H9068" s="2"/>
      <c r="I9068" s="2"/>
      <c r="J9068" s="2"/>
      <c r="K9068" s="2"/>
    </row>
    <row r="9069" spans="2:11" ht="12.5" x14ac:dyDescent="0.25">
      <c r="B9069" s="2"/>
      <c r="C9069" s="2"/>
      <c r="D9069" s="2"/>
      <c r="E9069" s="2"/>
      <c r="F9069" s="2"/>
      <c r="G9069" s="2"/>
      <c r="H9069" s="2"/>
      <c r="I9069" s="2"/>
      <c r="J9069" s="2"/>
      <c r="K9069" s="2"/>
    </row>
    <row r="9070" spans="2:11" ht="12.5" x14ac:dyDescent="0.25">
      <c r="B9070" s="2"/>
      <c r="C9070" s="2"/>
      <c r="D9070" s="2"/>
      <c r="E9070" s="2"/>
      <c r="F9070" s="2"/>
      <c r="G9070" s="2"/>
      <c r="H9070" s="2"/>
      <c r="I9070" s="2"/>
      <c r="J9070" s="2"/>
      <c r="K9070" s="2"/>
    </row>
    <row r="9071" spans="2:11" ht="12.5" x14ac:dyDescent="0.25">
      <c r="B9071" s="2"/>
      <c r="C9071" s="2"/>
      <c r="D9071" s="2"/>
      <c r="E9071" s="2"/>
      <c r="F9071" s="2"/>
      <c r="G9071" s="2"/>
      <c r="H9071" s="2"/>
      <c r="I9071" s="2"/>
      <c r="J9071" s="2"/>
      <c r="K9071" s="2"/>
    </row>
    <row r="9072" spans="2:11" ht="12.5" x14ac:dyDescent="0.25">
      <c r="B9072" s="2"/>
      <c r="C9072" s="2"/>
      <c r="D9072" s="2"/>
      <c r="E9072" s="2"/>
      <c r="F9072" s="2"/>
      <c r="G9072" s="2"/>
      <c r="H9072" s="2"/>
      <c r="I9072" s="2"/>
      <c r="J9072" s="2"/>
      <c r="K9072" s="2"/>
    </row>
    <row r="9073" spans="2:11" ht="12.5" x14ac:dyDescent="0.25">
      <c r="B9073" s="2"/>
      <c r="C9073" s="2"/>
      <c r="D9073" s="2"/>
      <c r="E9073" s="2"/>
      <c r="F9073" s="2"/>
      <c r="G9073" s="2"/>
      <c r="H9073" s="2"/>
      <c r="I9073" s="2"/>
      <c r="J9073" s="2"/>
      <c r="K9073" s="2"/>
    </row>
    <row r="9074" spans="2:11" ht="12.5" x14ac:dyDescent="0.25">
      <c r="B9074" s="2"/>
      <c r="C9074" s="2"/>
      <c r="D9074" s="2"/>
      <c r="E9074" s="2"/>
      <c r="F9074" s="2"/>
      <c r="G9074" s="2"/>
      <c r="H9074" s="2"/>
      <c r="I9074" s="2"/>
      <c r="J9074" s="2"/>
      <c r="K9074" s="2"/>
    </row>
    <row r="9075" spans="2:11" ht="12.5" x14ac:dyDescent="0.25">
      <c r="B9075" s="2"/>
      <c r="C9075" s="2"/>
      <c r="D9075" s="2"/>
      <c r="E9075" s="2"/>
      <c r="F9075" s="2"/>
      <c r="G9075" s="2"/>
      <c r="H9075" s="2"/>
      <c r="I9075" s="2"/>
      <c r="J9075" s="2"/>
      <c r="K9075" s="2"/>
    </row>
    <row r="9076" spans="2:11" ht="12.5" x14ac:dyDescent="0.25">
      <c r="B9076" s="2"/>
      <c r="C9076" s="2"/>
      <c r="D9076" s="2"/>
      <c r="E9076" s="2"/>
      <c r="F9076" s="2"/>
      <c r="G9076" s="2"/>
      <c r="H9076" s="2"/>
      <c r="I9076" s="2"/>
      <c r="J9076" s="2"/>
      <c r="K9076" s="2"/>
    </row>
    <row r="9077" spans="2:11" ht="12.5" x14ac:dyDescent="0.25">
      <c r="B9077" s="2"/>
      <c r="C9077" s="2"/>
      <c r="D9077" s="2"/>
      <c r="E9077" s="2"/>
      <c r="F9077" s="2"/>
      <c r="G9077" s="2"/>
      <c r="H9077" s="2"/>
      <c r="I9077" s="2"/>
      <c r="J9077" s="2"/>
      <c r="K9077" s="2"/>
    </row>
    <row r="9078" spans="2:11" ht="12.5" x14ac:dyDescent="0.25">
      <c r="B9078" s="2"/>
      <c r="C9078" s="2"/>
      <c r="D9078" s="2"/>
      <c r="E9078" s="2"/>
      <c r="F9078" s="2"/>
      <c r="G9078" s="2"/>
      <c r="H9078" s="2"/>
      <c r="I9078" s="2"/>
      <c r="J9078" s="2"/>
      <c r="K9078" s="2"/>
    </row>
    <row r="9079" spans="2:11" ht="12.5" x14ac:dyDescent="0.25">
      <c r="B9079" s="2"/>
      <c r="C9079" s="2"/>
      <c r="D9079" s="2"/>
      <c r="E9079" s="2"/>
      <c r="F9079" s="2"/>
      <c r="G9079" s="2"/>
      <c r="H9079" s="2"/>
      <c r="I9079" s="2"/>
      <c r="J9079" s="2"/>
      <c r="K9079" s="2"/>
    </row>
    <row r="9080" spans="2:11" ht="12.5" x14ac:dyDescent="0.25">
      <c r="B9080" s="2"/>
      <c r="C9080" s="2"/>
      <c r="D9080" s="2"/>
      <c r="E9080" s="2"/>
      <c r="F9080" s="2"/>
      <c r="G9080" s="2"/>
      <c r="H9080" s="2"/>
      <c r="I9080" s="2"/>
      <c r="J9080" s="2"/>
      <c r="K9080" s="2"/>
    </row>
    <row r="9081" spans="2:11" ht="12.5" x14ac:dyDescent="0.25">
      <c r="B9081" s="2"/>
      <c r="C9081" s="2"/>
      <c r="D9081" s="2"/>
      <c r="E9081" s="2"/>
      <c r="F9081" s="2"/>
      <c r="G9081" s="2"/>
      <c r="H9081" s="2"/>
      <c r="I9081" s="2"/>
      <c r="J9081" s="2"/>
      <c r="K9081" s="2"/>
    </row>
    <row r="9082" spans="2:11" ht="12.5" x14ac:dyDescent="0.25">
      <c r="B9082" s="2"/>
      <c r="C9082" s="2"/>
      <c r="D9082" s="2"/>
      <c r="E9082" s="2"/>
      <c r="F9082" s="2"/>
      <c r="G9082" s="2"/>
      <c r="H9082" s="2"/>
      <c r="I9082" s="2"/>
      <c r="J9082" s="2"/>
      <c r="K9082" s="2"/>
    </row>
    <row r="9083" spans="2:11" ht="12.5" x14ac:dyDescent="0.25">
      <c r="B9083" s="2"/>
      <c r="C9083" s="2"/>
      <c r="D9083" s="2"/>
      <c r="E9083" s="2"/>
      <c r="F9083" s="2"/>
      <c r="G9083" s="2"/>
      <c r="H9083" s="2"/>
      <c r="I9083" s="2"/>
      <c r="J9083" s="2"/>
      <c r="K9083" s="2"/>
    </row>
    <row r="9084" spans="2:11" ht="12.5" x14ac:dyDescent="0.25">
      <c r="B9084" s="2"/>
      <c r="C9084" s="2"/>
      <c r="D9084" s="2"/>
      <c r="E9084" s="2"/>
      <c r="F9084" s="2"/>
      <c r="G9084" s="2"/>
      <c r="H9084" s="2"/>
      <c r="I9084" s="2"/>
      <c r="J9084" s="2"/>
      <c r="K9084" s="2"/>
    </row>
    <row r="9085" spans="2:11" ht="12.5" x14ac:dyDescent="0.25">
      <c r="B9085" s="2"/>
      <c r="C9085" s="2"/>
      <c r="D9085" s="2"/>
      <c r="E9085" s="2"/>
      <c r="F9085" s="2"/>
      <c r="G9085" s="2"/>
      <c r="H9085" s="2"/>
      <c r="I9085" s="2"/>
      <c r="J9085" s="2"/>
      <c r="K9085" s="2"/>
    </row>
    <row r="9086" spans="2:11" ht="12.5" x14ac:dyDescent="0.25">
      <c r="B9086" s="2"/>
      <c r="C9086" s="2"/>
      <c r="D9086" s="2"/>
      <c r="E9086" s="2"/>
      <c r="F9086" s="2"/>
      <c r="G9086" s="2"/>
      <c r="H9086" s="2"/>
      <c r="I9086" s="2"/>
      <c r="J9086" s="2"/>
      <c r="K9086" s="2"/>
    </row>
    <row r="9087" spans="2:11" ht="12.5" x14ac:dyDescent="0.25">
      <c r="B9087" s="2"/>
      <c r="C9087" s="2"/>
      <c r="D9087" s="2"/>
      <c r="E9087" s="2"/>
      <c r="F9087" s="2"/>
      <c r="G9087" s="2"/>
      <c r="H9087" s="2"/>
      <c r="I9087" s="2"/>
      <c r="J9087" s="2"/>
      <c r="K9087" s="2"/>
    </row>
    <row r="9088" spans="2:11" ht="12.5" x14ac:dyDescent="0.25">
      <c r="B9088" s="2"/>
      <c r="C9088" s="2"/>
      <c r="D9088" s="2"/>
      <c r="E9088" s="2"/>
      <c r="F9088" s="2"/>
      <c r="G9088" s="2"/>
      <c r="H9088" s="2"/>
      <c r="I9088" s="2"/>
      <c r="J9088" s="2"/>
      <c r="K9088" s="2"/>
    </row>
    <row r="9089" spans="2:11" ht="12.5" x14ac:dyDescent="0.25">
      <c r="B9089" s="2"/>
      <c r="C9089" s="2"/>
      <c r="D9089" s="2"/>
      <c r="E9089" s="2"/>
      <c r="F9089" s="2"/>
      <c r="G9089" s="2"/>
      <c r="H9089" s="2"/>
      <c r="I9089" s="2"/>
      <c r="J9089" s="2"/>
      <c r="K9089" s="2"/>
    </row>
    <row r="9090" spans="2:11" ht="12.5" x14ac:dyDescent="0.25">
      <c r="B9090" s="2"/>
      <c r="C9090" s="2"/>
      <c r="D9090" s="2"/>
      <c r="E9090" s="2"/>
      <c r="F9090" s="2"/>
      <c r="G9090" s="2"/>
      <c r="H9090" s="2"/>
      <c r="I9090" s="2"/>
      <c r="J9090" s="2"/>
      <c r="K9090" s="2"/>
    </row>
    <row r="9091" spans="2:11" ht="12.5" x14ac:dyDescent="0.25">
      <c r="B9091" s="2"/>
      <c r="C9091" s="2"/>
      <c r="D9091" s="2"/>
      <c r="E9091" s="2"/>
      <c r="F9091" s="2"/>
      <c r="G9091" s="2"/>
      <c r="H9091" s="2"/>
      <c r="I9091" s="2"/>
      <c r="J9091" s="2"/>
      <c r="K9091" s="2"/>
    </row>
    <row r="9092" spans="2:11" ht="12.5" x14ac:dyDescent="0.25">
      <c r="B9092" s="2"/>
      <c r="C9092" s="2"/>
      <c r="D9092" s="2"/>
      <c r="E9092" s="2"/>
      <c r="F9092" s="2"/>
      <c r="G9092" s="2"/>
      <c r="H9092" s="2"/>
      <c r="I9092" s="2"/>
      <c r="J9092" s="2"/>
      <c r="K9092" s="2"/>
    </row>
    <row r="9093" spans="2:11" ht="12.5" x14ac:dyDescent="0.25">
      <c r="B9093" s="2"/>
      <c r="C9093" s="2"/>
      <c r="D9093" s="2"/>
      <c r="E9093" s="2"/>
      <c r="F9093" s="2"/>
      <c r="G9093" s="2"/>
      <c r="H9093" s="2"/>
      <c r="I9093" s="2"/>
      <c r="J9093" s="2"/>
      <c r="K9093" s="2"/>
    </row>
    <row r="9094" spans="2:11" ht="12.5" x14ac:dyDescent="0.25">
      <c r="B9094" s="2"/>
      <c r="C9094" s="2"/>
      <c r="D9094" s="2"/>
      <c r="E9094" s="2"/>
      <c r="F9094" s="2"/>
      <c r="G9094" s="2"/>
      <c r="H9094" s="2"/>
      <c r="I9094" s="2"/>
      <c r="J9094" s="2"/>
      <c r="K9094" s="2"/>
    </row>
    <row r="9095" spans="2:11" ht="12.5" x14ac:dyDescent="0.25">
      <c r="B9095" s="2"/>
      <c r="C9095" s="2"/>
      <c r="D9095" s="2"/>
      <c r="E9095" s="2"/>
      <c r="F9095" s="2"/>
      <c r="G9095" s="2"/>
      <c r="H9095" s="2"/>
      <c r="I9095" s="2"/>
      <c r="J9095" s="2"/>
      <c r="K9095" s="2"/>
    </row>
    <row r="9096" spans="2:11" ht="12.5" x14ac:dyDescent="0.25">
      <c r="B9096" s="2"/>
      <c r="C9096" s="2"/>
      <c r="D9096" s="2"/>
      <c r="E9096" s="2"/>
      <c r="F9096" s="2"/>
      <c r="G9096" s="2"/>
      <c r="H9096" s="2"/>
      <c r="I9096" s="2"/>
      <c r="J9096" s="2"/>
      <c r="K9096" s="2"/>
    </row>
    <row r="9097" spans="2:11" ht="12.5" x14ac:dyDescent="0.25">
      <c r="B9097" s="2"/>
      <c r="C9097" s="2"/>
      <c r="D9097" s="2"/>
      <c r="E9097" s="2"/>
      <c r="F9097" s="2"/>
      <c r="G9097" s="2"/>
      <c r="H9097" s="2"/>
      <c r="I9097" s="2"/>
      <c r="J9097" s="2"/>
      <c r="K9097" s="2"/>
    </row>
    <row r="9098" spans="2:11" ht="12.5" x14ac:dyDescent="0.25">
      <c r="B9098" s="2"/>
      <c r="C9098" s="2"/>
      <c r="D9098" s="2"/>
      <c r="E9098" s="2"/>
      <c r="F9098" s="2"/>
      <c r="G9098" s="2"/>
      <c r="H9098" s="2"/>
      <c r="I9098" s="2"/>
      <c r="J9098" s="2"/>
      <c r="K9098" s="2"/>
    </row>
    <row r="9099" spans="2:11" ht="12.5" x14ac:dyDescent="0.25">
      <c r="B9099" s="2"/>
      <c r="C9099" s="2"/>
      <c r="D9099" s="2"/>
      <c r="E9099" s="2"/>
      <c r="F9099" s="2"/>
      <c r="G9099" s="2"/>
      <c r="H9099" s="2"/>
      <c r="I9099" s="2"/>
      <c r="J9099" s="2"/>
      <c r="K9099" s="2"/>
    </row>
    <row r="9100" spans="2:11" ht="12.5" x14ac:dyDescent="0.25">
      <c r="B9100" s="2"/>
      <c r="C9100" s="2"/>
      <c r="D9100" s="2"/>
      <c r="E9100" s="2"/>
      <c r="F9100" s="2"/>
      <c r="G9100" s="2"/>
      <c r="H9100" s="2"/>
      <c r="I9100" s="2"/>
      <c r="J9100" s="2"/>
      <c r="K9100" s="2"/>
    </row>
    <row r="9101" spans="2:11" ht="12.5" x14ac:dyDescent="0.25">
      <c r="B9101" s="2"/>
      <c r="C9101" s="2"/>
      <c r="D9101" s="2"/>
      <c r="E9101" s="2"/>
      <c r="F9101" s="2"/>
      <c r="G9101" s="2"/>
      <c r="H9101" s="2"/>
      <c r="I9101" s="2"/>
      <c r="J9101" s="2"/>
      <c r="K9101" s="2"/>
    </row>
    <row r="9102" spans="2:11" ht="12.5" x14ac:dyDescent="0.25">
      <c r="B9102" s="2"/>
      <c r="C9102" s="2"/>
      <c r="D9102" s="2"/>
      <c r="E9102" s="2"/>
      <c r="F9102" s="2"/>
      <c r="G9102" s="2"/>
      <c r="H9102" s="2"/>
      <c r="I9102" s="2"/>
      <c r="J9102" s="2"/>
      <c r="K9102" s="2"/>
    </row>
    <row r="9103" spans="2:11" ht="12.5" x14ac:dyDescent="0.25">
      <c r="B9103" s="2"/>
      <c r="C9103" s="2"/>
      <c r="D9103" s="2"/>
      <c r="E9103" s="2"/>
      <c r="F9103" s="2"/>
      <c r="G9103" s="2"/>
      <c r="H9103" s="2"/>
      <c r="I9103" s="2"/>
      <c r="J9103" s="2"/>
      <c r="K9103" s="2"/>
    </row>
    <row r="9104" spans="2:11" ht="12.5" x14ac:dyDescent="0.25">
      <c r="B9104" s="2"/>
      <c r="C9104" s="2"/>
      <c r="D9104" s="2"/>
      <c r="E9104" s="2"/>
      <c r="F9104" s="2"/>
      <c r="G9104" s="2"/>
      <c r="H9104" s="2"/>
      <c r="I9104" s="2"/>
      <c r="J9104" s="2"/>
      <c r="K9104" s="2"/>
    </row>
    <row r="9105" spans="2:11" ht="12.5" x14ac:dyDescent="0.25">
      <c r="B9105" s="2"/>
      <c r="C9105" s="2"/>
      <c r="D9105" s="2"/>
      <c r="E9105" s="2"/>
      <c r="F9105" s="2"/>
      <c r="G9105" s="2"/>
      <c r="H9105" s="2"/>
      <c r="I9105" s="2"/>
      <c r="J9105" s="2"/>
      <c r="K9105" s="2"/>
    </row>
    <row r="9106" spans="2:11" ht="12.5" x14ac:dyDescent="0.25">
      <c r="B9106" s="2"/>
      <c r="C9106" s="2"/>
      <c r="D9106" s="2"/>
      <c r="E9106" s="2"/>
      <c r="F9106" s="2"/>
      <c r="G9106" s="2"/>
      <c r="H9106" s="2"/>
      <c r="I9106" s="2"/>
      <c r="J9106" s="2"/>
      <c r="K9106" s="2"/>
    </row>
    <row r="9107" spans="2:11" ht="12.5" x14ac:dyDescent="0.25">
      <c r="B9107" s="2"/>
      <c r="C9107" s="2"/>
      <c r="D9107" s="2"/>
      <c r="E9107" s="2"/>
      <c r="F9107" s="2"/>
      <c r="G9107" s="2"/>
      <c r="H9107" s="2"/>
      <c r="I9107" s="2"/>
      <c r="J9107" s="2"/>
      <c r="K9107" s="2"/>
    </row>
    <row r="9108" spans="2:11" ht="12.5" x14ac:dyDescent="0.25">
      <c r="B9108" s="2"/>
      <c r="C9108" s="2"/>
      <c r="D9108" s="2"/>
      <c r="E9108" s="2"/>
      <c r="F9108" s="2"/>
      <c r="G9108" s="2"/>
      <c r="H9108" s="2"/>
      <c r="I9108" s="2"/>
      <c r="J9108" s="2"/>
      <c r="K9108" s="2"/>
    </row>
    <row r="9109" spans="2:11" ht="12.5" x14ac:dyDescent="0.25">
      <c r="B9109" s="2"/>
      <c r="C9109" s="2"/>
      <c r="D9109" s="2"/>
      <c r="E9109" s="2"/>
      <c r="F9109" s="2"/>
      <c r="G9109" s="2"/>
      <c r="H9109" s="2"/>
      <c r="I9109" s="2"/>
      <c r="J9109" s="2"/>
      <c r="K9109" s="2"/>
    </row>
    <row r="9110" spans="2:11" ht="12.5" x14ac:dyDescent="0.25">
      <c r="B9110" s="2"/>
      <c r="C9110" s="2"/>
      <c r="D9110" s="2"/>
      <c r="E9110" s="2"/>
      <c r="F9110" s="2"/>
      <c r="G9110" s="2"/>
      <c r="H9110" s="2"/>
      <c r="I9110" s="2"/>
      <c r="J9110" s="2"/>
      <c r="K9110" s="2"/>
    </row>
    <row r="9111" spans="2:11" ht="12.5" x14ac:dyDescent="0.25">
      <c r="B9111" s="2"/>
      <c r="C9111" s="2"/>
      <c r="D9111" s="2"/>
      <c r="E9111" s="2"/>
      <c r="F9111" s="2"/>
      <c r="G9111" s="2"/>
      <c r="H9111" s="2"/>
      <c r="I9111" s="2"/>
      <c r="J9111" s="2"/>
      <c r="K9111" s="2"/>
    </row>
    <row r="9112" spans="2:11" ht="12.5" x14ac:dyDescent="0.25">
      <c r="B9112" s="2"/>
      <c r="C9112" s="2"/>
      <c r="D9112" s="2"/>
      <c r="E9112" s="2"/>
      <c r="F9112" s="2"/>
      <c r="G9112" s="2"/>
      <c r="H9112" s="2"/>
      <c r="I9112" s="2"/>
      <c r="J9112" s="2"/>
      <c r="K9112" s="2"/>
    </row>
    <row r="9113" spans="2:11" ht="12.5" x14ac:dyDescent="0.25">
      <c r="B9113" s="2"/>
      <c r="C9113" s="2"/>
      <c r="D9113" s="2"/>
      <c r="E9113" s="2"/>
      <c r="F9113" s="2"/>
      <c r="G9113" s="2"/>
      <c r="H9113" s="2"/>
      <c r="I9113" s="2"/>
      <c r="J9113" s="2"/>
      <c r="K9113" s="2"/>
    </row>
    <row r="9114" spans="2:11" ht="12.5" x14ac:dyDescent="0.25">
      <c r="B9114" s="2"/>
      <c r="C9114" s="2"/>
      <c r="D9114" s="2"/>
      <c r="E9114" s="2"/>
      <c r="F9114" s="2"/>
      <c r="G9114" s="2"/>
      <c r="H9114" s="2"/>
      <c r="I9114" s="2"/>
      <c r="J9114" s="2"/>
      <c r="K9114" s="2"/>
    </row>
    <row r="9115" spans="2:11" ht="12.5" x14ac:dyDescent="0.25">
      <c r="B9115" s="2"/>
      <c r="C9115" s="2"/>
      <c r="D9115" s="2"/>
      <c r="E9115" s="2"/>
      <c r="F9115" s="2"/>
      <c r="G9115" s="2"/>
      <c r="H9115" s="2"/>
      <c r="I9115" s="2"/>
      <c r="J9115" s="2"/>
      <c r="K9115" s="2"/>
    </row>
    <row r="9116" spans="2:11" ht="12.5" x14ac:dyDescent="0.25">
      <c r="B9116" s="2"/>
      <c r="C9116" s="2"/>
      <c r="D9116" s="2"/>
      <c r="E9116" s="2"/>
      <c r="F9116" s="2"/>
      <c r="G9116" s="2"/>
      <c r="H9116" s="2"/>
      <c r="I9116" s="2"/>
      <c r="J9116" s="2"/>
      <c r="K9116" s="2"/>
    </row>
    <row r="9117" spans="2:11" ht="12.5" x14ac:dyDescent="0.25">
      <c r="B9117" s="2"/>
      <c r="C9117" s="2"/>
      <c r="D9117" s="2"/>
      <c r="E9117" s="2"/>
      <c r="F9117" s="2"/>
      <c r="G9117" s="2"/>
      <c r="H9117" s="2"/>
      <c r="I9117" s="2"/>
      <c r="J9117" s="2"/>
      <c r="K9117" s="2"/>
    </row>
    <row r="9118" spans="2:11" ht="12.5" x14ac:dyDescent="0.25">
      <c r="B9118" s="2"/>
      <c r="C9118" s="2"/>
      <c r="D9118" s="2"/>
      <c r="E9118" s="2"/>
      <c r="F9118" s="2"/>
      <c r="G9118" s="2"/>
      <c r="H9118" s="2"/>
      <c r="I9118" s="2"/>
      <c r="J9118" s="2"/>
      <c r="K9118" s="2"/>
    </row>
    <row r="9119" spans="2:11" ht="12.5" x14ac:dyDescent="0.25">
      <c r="B9119" s="2"/>
      <c r="C9119" s="2"/>
      <c r="D9119" s="2"/>
      <c r="E9119" s="2"/>
      <c r="F9119" s="2"/>
      <c r="G9119" s="2"/>
      <c r="H9119" s="2"/>
      <c r="I9119" s="2"/>
      <c r="J9119" s="2"/>
      <c r="K9119" s="2"/>
    </row>
    <row r="9120" spans="2:11" ht="12.5" x14ac:dyDescent="0.25">
      <c r="B9120" s="2"/>
      <c r="C9120" s="2"/>
      <c r="D9120" s="2"/>
      <c r="E9120" s="2"/>
      <c r="F9120" s="2"/>
      <c r="G9120" s="2"/>
      <c r="H9120" s="2"/>
      <c r="I9120" s="2"/>
      <c r="J9120" s="2"/>
      <c r="K9120" s="2"/>
    </row>
    <row r="9121" spans="2:11" ht="12.5" x14ac:dyDescent="0.25">
      <c r="B9121" s="2"/>
      <c r="C9121" s="2"/>
      <c r="D9121" s="2"/>
      <c r="E9121" s="2"/>
      <c r="F9121" s="2"/>
      <c r="G9121" s="2"/>
      <c r="H9121" s="2"/>
      <c r="I9121" s="2"/>
      <c r="J9121" s="2"/>
      <c r="K9121" s="2"/>
    </row>
    <row r="9122" spans="2:11" ht="12.5" x14ac:dyDescent="0.25">
      <c r="B9122" s="2"/>
      <c r="C9122" s="2"/>
      <c r="D9122" s="2"/>
      <c r="E9122" s="2"/>
      <c r="F9122" s="2"/>
      <c r="G9122" s="2"/>
      <c r="H9122" s="2"/>
      <c r="I9122" s="2"/>
      <c r="J9122" s="2"/>
      <c r="K9122" s="2"/>
    </row>
    <row r="9123" spans="2:11" ht="12.5" x14ac:dyDescent="0.25">
      <c r="B9123" s="2"/>
      <c r="C9123" s="2"/>
      <c r="D9123" s="2"/>
      <c r="E9123" s="2"/>
      <c r="F9123" s="2"/>
      <c r="G9123" s="2"/>
      <c r="H9123" s="2"/>
      <c r="I9123" s="2"/>
      <c r="J9123" s="2"/>
      <c r="K9123" s="2"/>
    </row>
    <row r="9124" spans="2:11" ht="12.5" x14ac:dyDescent="0.25">
      <c r="B9124" s="2"/>
      <c r="C9124" s="2"/>
      <c r="D9124" s="2"/>
      <c r="E9124" s="2"/>
      <c r="F9124" s="2"/>
      <c r="G9124" s="2"/>
      <c r="H9124" s="2"/>
      <c r="I9124" s="2"/>
      <c r="J9124" s="2"/>
      <c r="K9124" s="2"/>
    </row>
    <row r="9125" spans="2:11" ht="12.5" x14ac:dyDescent="0.25">
      <c r="B9125" s="2"/>
      <c r="C9125" s="2"/>
      <c r="D9125" s="2"/>
      <c r="E9125" s="2"/>
      <c r="F9125" s="2"/>
      <c r="G9125" s="2"/>
      <c r="H9125" s="2"/>
      <c r="I9125" s="2"/>
      <c r="J9125" s="2"/>
      <c r="K9125" s="2"/>
    </row>
    <row r="9126" spans="2:11" ht="12.5" x14ac:dyDescent="0.25">
      <c r="B9126" s="2"/>
      <c r="C9126" s="2"/>
      <c r="D9126" s="2"/>
      <c r="E9126" s="2"/>
      <c r="F9126" s="2"/>
      <c r="G9126" s="2"/>
      <c r="H9126" s="2"/>
      <c r="I9126" s="2"/>
      <c r="J9126" s="2"/>
      <c r="K9126" s="2"/>
    </row>
    <row r="9127" spans="2:11" ht="12.5" x14ac:dyDescent="0.25">
      <c r="B9127" s="2"/>
      <c r="C9127" s="2"/>
      <c r="D9127" s="2"/>
      <c r="E9127" s="2"/>
      <c r="F9127" s="2"/>
      <c r="G9127" s="2"/>
      <c r="H9127" s="2"/>
      <c r="I9127" s="2"/>
      <c r="J9127" s="2"/>
      <c r="K9127" s="2"/>
    </row>
    <row r="9128" spans="2:11" ht="12.5" x14ac:dyDescent="0.25">
      <c r="B9128" s="2"/>
      <c r="C9128" s="2"/>
      <c r="D9128" s="2"/>
      <c r="E9128" s="2"/>
      <c r="F9128" s="2"/>
      <c r="G9128" s="2"/>
      <c r="H9128" s="2"/>
      <c r="I9128" s="2"/>
      <c r="J9128" s="2"/>
      <c r="K9128" s="2"/>
    </row>
    <row r="9129" spans="2:11" ht="12.5" x14ac:dyDescent="0.25">
      <c r="B9129" s="2"/>
      <c r="C9129" s="2"/>
      <c r="D9129" s="2"/>
      <c r="E9129" s="2"/>
      <c r="F9129" s="2"/>
      <c r="G9129" s="2"/>
      <c r="H9129" s="2"/>
      <c r="I9129" s="2"/>
      <c r="J9129" s="2"/>
      <c r="K9129" s="2"/>
    </row>
    <row r="9130" spans="2:11" ht="12.5" x14ac:dyDescent="0.25">
      <c r="B9130" s="2"/>
      <c r="C9130" s="2"/>
      <c r="D9130" s="2"/>
      <c r="E9130" s="2"/>
      <c r="F9130" s="2"/>
      <c r="G9130" s="2"/>
      <c r="H9130" s="2"/>
      <c r="I9130" s="2"/>
      <c r="J9130" s="2"/>
      <c r="K9130" s="2"/>
    </row>
    <row r="9131" spans="2:11" ht="12.5" x14ac:dyDescent="0.25">
      <c r="B9131" s="2"/>
      <c r="C9131" s="2"/>
      <c r="D9131" s="2"/>
      <c r="E9131" s="2"/>
      <c r="F9131" s="2"/>
      <c r="G9131" s="2"/>
      <c r="H9131" s="2"/>
      <c r="I9131" s="2"/>
      <c r="J9131" s="2"/>
      <c r="K9131" s="2"/>
    </row>
    <row r="9132" spans="2:11" ht="12.5" x14ac:dyDescent="0.25">
      <c r="B9132" s="2"/>
      <c r="C9132" s="2"/>
      <c r="D9132" s="2"/>
      <c r="E9132" s="2"/>
      <c r="F9132" s="2"/>
      <c r="G9132" s="2"/>
      <c r="H9132" s="2"/>
      <c r="I9132" s="2"/>
      <c r="J9132" s="2"/>
      <c r="K9132" s="2"/>
    </row>
    <row r="9133" spans="2:11" ht="12.5" x14ac:dyDescent="0.25">
      <c r="B9133" s="2"/>
      <c r="C9133" s="2"/>
      <c r="D9133" s="2"/>
      <c r="E9133" s="2"/>
      <c r="F9133" s="2"/>
      <c r="G9133" s="2"/>
      <c r="H9133" s="2"/>
      <c r="I9133" s="2"/>
      <c r="J9133" s="2"/>
      <c r="K9133" s="2"/>
    </row>
    <row r="9134" spans="2:11" ht="12.5" x14ac:dyDescent="0.25">
      <c r="B9134" s="2"/>
      <c r="C9134" s="2"/>
      <c r="D9134" s="2"/>
      <c r="E9134" s="2"/>
      <c r="F9134" s="2"/>
      <c r="G9134" s="2"/>
      <c r="H9134" s="2"/>
      <c r="I9134" s="2"/>
      <c r="J9134" s="2"/>
      <c r="K9134" s="2"/>
    </row>
    <row r="9135" spans="2:11" ht="12.5" x14ac:dyDescent="0.25">
      <c r="B9135" s="2"/>
      <c r="C9135" s="2"/>
      <c r="D9135" s="2"/>
      <c r="E9135" s="2"/>
      <c r="F9135" s="2"/>
      <c r="G9135" s="2"/>
      <c r="H9135" s="2"/>
      <c r="I9135" s="2"/>
      <c r="J9135" s="2"/>
      <c r="K9135" s="2"/>
    </row>
    <row r="9136" spans="2:11" ht="12.5" x14ac:dyDescent="0.25">
      <c r="B9136" s="2"/>
      <c r="C9136" s="2"/>
      <c r="D9136" s="2"/>
      <c r="E9136" s="2"/>
      <c r="F9136" s="2"/>
      <c r="G9136" s="2"/>
      <c r="H9136" s="2"/>
      <c r="I9136" s="2"/>
      <c r="J9136" s="2"/>
      <c r="K9136" s="2"/>
    </row>
    <row r="9137" spans="2:11" ht="12.5" x14ac:dyDescent="0.25">
      <c r="B9137" s="2"/>
      <c r="C9137" s="2"/>
      <c r="D9137" s="2"/>
      <c r="E9137" s="2"/>
      <c r="F9137" s="2"/>
      <c r="G9137" s="2"/>
      <c r="H9137" s="2"/>
      <c r="I9137" s="2"/>
      <c r="J9137" s="2"/>
      <c r="K9137" s="2"/>
    </row>
    <row r="9138" spans="2:11" ht="12.5" x14ac:dyDescent="0.25">
      <c r="B9138" s="2"/>
      <c r="C9138" s="2"/>
      <c r="D9138" s="2"/>
      <c r="E9138" s="2"/>
      <c r="F9138" s="2"/>
      <c r="G9138" s="2"/>
      <c r="H9138" s="2"/>
      <c r="I9138" s="2"/>
      <c r="J9138" s="2"/>
      <c r="K9138" s="2"/>
    </row>
    <row r="9139" spans="2:11" ht="12.5" x14ac:dyDescent="0.25">
      <c r="B9139" s="2"/>
      <c r="C9139" s="2"/>
      <c r="D9139" s="2"/>
      <c r="E9139" s="2"/>
      <c r="F9139" s="2"/>
      <c r="G9139" s="2"/>
      <c r="H9139" s="2"/>
      <c r="I9139" s="2"/>
      <c r="J9139" s="2"/>
      <c r="K9139" s="2"/>
    </row>
    <row r="9140" spans="2:11" ht="12.5" x14ac:dyDescent="0.25">
      <c r="B9140" s="2"/>
      <c r="C9140" s="2"/>
      <c r="D9140" s="2"/>
      <c r="E9140" s="2"/>
      <c r="F9140" s="2"/>
      <c r="G9140" s="2"/>
      <c r="H9140" s="2"/>
      <c r="I9140" s="2"/>
      <c r="J9140" s="2"/>
      <c r="K9140" s="2"/>
    </row>
    <row r="9141" spans="2:11" ht="12.5" x14ac:dyDescent="0.25">
      <c r="B9141" s="2"/>
      <c r="C9141" s="2"/>
      <c r="D9141" s="2"/>
      <c r="E9141" s="2"/>
      <c r="F9141" s="2"/>
      <c r="G9141" s="2"/>
      <c r="H9141" s="2"/>
      <c r="I9141" s="2"/>
      <c r="J9141" s="2"/>
      <c r="K9141" s="2"/>
    </row>
    <row r="9142" spans="2:11" ht="12.5" x14ac:dyDescent="0.25">
      <c r="B9142" s="2"/>
      <c r="C9142" s="2"/>
      <c r="D9142" s="2"/>
      <c r="E9142" s="2"/>
      <c r="F9142" s="2"/>
      <c r="G9142" s="2"/>
      <c r="H9142" s="2"/>
      <c r="I9142" s="2"/>
      <c r="J9142" s="2"/>
      <c r="K9142" s="2"/>
    </row>
    <row r="9143" spans="2:11" ht="12.5" x14ac:dyDescent="0.25">
      <c r="B9143" s="2"/>
      <c r="C9143" s="2"/>
      <c r="D9143" s="2"/>
      <c r="E9143" s="2"/>
      <c r="F9143" s="2"/>
      <c r="G9143" s="2"/>
      <c r="H9143" s="2"/>
      <c r="I9143" s="2"/>
      <c r="J9143" s="2"/>
      <c r="K9143" s="2"/>
    </row>
    <row r="9144" spans="2:11" ht="12.5" x14ac:dyDescent="0.25">
      <c r="B9144" s="2"/>
      <c r="C9144" s="2"/>
      <c r="D9144" s="2"/>
      <c r="E9144" s="2"/>
      <c r="F9144" s="2"/>
      <c r="G9144" s="2"/>
      <c r="H9144" s="2"/>
      <c r="I9144" s="2"/>
      <c r="J9144" s="2"/>
      <c r="K9144" s="2"/>
    </row>
    <row r="9145" spans="2:11" ht="12.5" x14ac:dyDescent="0.25">
      <c r="B9145" s="2"/>
      <c r="C9145" s="2"/>
      <c r="D9145" s="2"/>
      <c r="E9145" s="2"/>
      <c r="F9145" s="2"/>
      <c r="G9145" s="2"/>
      <c r="H9145" s="2"/>
      <c r="I9145" s="2"/>
      <c r="J9145" s="2"/>
      <c r="K9145" s="2"/>
    </row>
    <row r="9146" spans="2:11" ht="12.5" x14ac:dyDescent="0.25">
      <c r="B9146" s="2"/>
      <c r="C9146" s="2"/>
      <c r="D9146" s="2"/>
      <c r="E9146" s="2"/>
      <c r="F9146" s="2"/>
      <c r="G9146" s="2"/>
      <c r="H9146" s="2"/>
      <c r="I9146" s="2"/>
      <c r="J9146" s="2"/>
      <c r="K9146" s="2"/>
    </row>
    <row r="9147" spans="2:11" ht="12.5" x14ac:dyDescent="0.25">
      <c r="B9147" s="2"/>
      <c r="C9147" s="2"/>
      <c r="D9147" s="2"/>
      <c r="E9147" s="2"/>
      <c r="F9147" s="2"/>
      <c r="G9147" s="2"/>
      <c r="H9147" s="2"/>
      <c r="I9147" s="2"/>
      <c r="J9147" s="2"/>
      <c r="K9147" s="2"/>
    </row>
    <row r="9148" spans="2:11" ht="12.5" x14ac:dyDescent="0.25">
      <c r="B9148" s="2"/>
      <c r="C9148" s="2"/>
      <c r="D9148" s="2"/>
      <c r="E9148" s="2"/>
      <c r="F9148" s="2"/>
      <c r="G9148" s="2"/>
      <c r="H9148" s="2"/>
      <c r="I9148" s="2"/>
      <c r="J9148" s="2"/>
      <c r="K9148" s="2"/>
    </row>
    <row r="9149" spans="2:11" ht="12.5" x14ac:dyDescent="0.25">
      <c r="B9149" s="2"/>
      <c r="C9149" s="2"/>
      <c r="D9149" s="2"/>
      <c r="E9149" s="2"/>
      <c r="F9149" s="2"/>
      <c r="G9149" s="2"/>
      <c r="H9149" s="2"/>
      <c r="I9149" s="2"/>
      <c r="J9149" s="2"/>
      <c r="K9149" s="2"/>
    </row>
    <row r="9150" spans="2:11" ht="12.5" x14ac:dyDescent="0.25">
      <c r="B9150" s="2"/>
      <c r="C9150" s="2"/>
      <c r="D9150" s="2"/>
      <c r="E9150" s="2"/>
      <c r="F9150" s="2"/>
      <c r="G9150" s="2"/>
      <c r="H9150" s="2"/>
      <c r="I9150" s="2"/>
      <c r="J9150" s="2"/>
      <c r="K9150" s="2"/>
    </row>
    <row r="9151" spans="2:11" ht="12.5" x14ac:dyDescent="0.25">
      <c r="B9151" s="2"/>
      <c r="C9151" s="2"/>
      <c r="D9151" s="2"/>
      <c r="E9151" s="2"/>
      <c r="F9151" s="2"/>
      <c r="G9151" s="2"/>
      <c r="H9151" s="2"/>
      <c r="I9151" s="2"/>
      <c r="J9151" s="2"/>
      <c r="K9151" s="2"/>
    </row>
    <row r="9152" spans="2:11" ht="12.5" x14ac:dyDescent="0.25">
      <c r="B9152" s="2"/>
      <c r="C9152" s="2"/>
      <c r="D9152" s="2"/>
      <c r="E9152" s="2"/>
      <c r="F9152" s="2"/>
      <c r="G9152" s="2"/>
      <c r="H9152" s="2"/>
      <c r="I9152" s="2"/>
      <c r="J9152" s="2"/>
      <c r="K9152" s="2"/>
    </row>
    <row r="9153" spans="2:11" ht="12.5" x14ac:dyDescent="0.25">
      <c r="B9153" s="2"/>
      <c r="C9153" s="2"/>
      <c r="D9153" s="2"/>
      <c r="E9153" s="2"/>
      <c r="F9153" s="2"/>
      <c r="G9153" s="2"/>
      <c r="H9153" s="2"/>
      <c r="I9153" s="2"/>
      <c r="J9153" s="2"/>
      <c r="K9153" s="2"/>
    </row>
    <row r="9154" spans="2:11" ht="12.5" x14ac:dyDescent="0.25">
      <c r="B9154" s="2"/>
      <c r="C9154" s="2"/>
      <c r="D9154" s="2"/>
      <c r="E9154" s="2"/>
      <c r="F9154" s="2"/>
      <c r="G9154" s="2"/>
      <c r="H9154" s="2"/>
      <c r="I9154" s="2"/>
      <c r="J9154" s="2"/>
      <c r="K9154" s="2"/>
    </row>
    <row r="9155" spans="2:11" ht="12.5" x14ac:dyDescent="0.25">
      <c r="B9155" s="2"/>
      <c r="C9155" s="2"/>
      <c r="D9155" s="2"/>
      <c r="E9155" s="2"/>
      <c r="F9155" s="2"/>
      <c r="G9155" s="2"/>
      <c r="H9155" s="2"/>
      <c r="I9155" s="2"/>
      <c r="J9155" s="2"/>
      <c r="K9155" s="2"/>
    </row>
    <row r="9156" spans="2:11" ht="12.5" x14ac:dyDescent="0.25">
      <c r="B9156" s="2"/>
      <c r="C9156" s="2"/>
      <c r="D9156" s="2"/>
      <c r="E9156" s="2"/>
      <c r="F9156" s="2"/>
      <c r="G9156" s="2"/>
      <c r="H9156" s="2"/>
      <c r="I9156" s="2"/>
      <c r="J9156" s="2"/>
      <c r="K9156" s="2"/>
    </row>
    <row r="9157" spans="2:11" ht="12.5" x14ac:dyDescent="0.25">
      <c r="B9157" s="2"/>
      <c r="C9157" s="2"/>
      <c r="D9157" s="2"/>
      <c r="E9157" s="2"/>
      <c r="F9157" s="2"/>
      <c r="G9157" s="2"/>
      <c r="H9157" s="2"/>
      <c r="I9157" s="2"/>
      <c r="J9157" s="2"/>
      <c r="K9157" s="2"/>
    </row>
    <row r="9158" spans="2:11" ht="12.5" x14ac:dyDescent="0.25">
      <c r="B9158" s="2"/>
      <c r="C9158" s="2"/>
      <c r="D9158" s="2"/>
      <c r="E9158" s="2"/>
      <c r="F9158" s="2"/>
      <c r="G9158" s="2"/>
      <c r="H9158" s="2"/>
      <c r="I9158" s="2"/>
      <c r="J9158" s="2"/>
      <c r="K9158" s="2"/>
    </row>
    <row r="9159" spans="2:11" ht="12.5" x14ac:dyDescent="0.25">
      <c r="B9159" s="2"/>
      <c r="C9159" s="2"/>
      <c r="D9159" s="2"/>
      <c r="E9159" s="2"/>
      <c r="F9159" s="2"/>
      <c r="G9159" s="2"/>
      <c r="H9159" s="2"/>
      <c r="I9159" s="2"/>
      <c r="J9159" s="2"/>
      <c r="K9159" s="2"/>
    </row>
    <row r="9160" spans="2:11" ht="12.5" x14ac:dyDescent="0.25">
      <c r="B9160" s="2"/>
      <c r="C9160" s="2"/>
      <c r="D9160" s="2"/>
      <c r="E9160" s="2"/>
      <c r="F9160" s="2"/>
      <c r="G9160" s="2"/>
      <c r="H9160" s="2"/>
      <c r="I9160" s="2"/>
      <c r="J9160" s="2"/>
      <c r="K9160" s="2"/>
    </row>
    <row r="9161" spans="2:11" ht="12.5" x14ac:dyDescent="0.25">
      <c r="B9161" s="2"/>
      <c r="C9161" s="2"/>
      <c r="D9161" s="2"/>
      <c r="E9161" s="2"/>
      <c r="F9161" s="2"/>
      <c r="G9161" s="2"/>
      <c r="H9161" s="2"/>
      <c r="I9161" s="2"/>
      <c r="J9161" s="2"/>
      <c r="K9161" s="2"/>
    </row>
    <row r="9162" spans="2:11" ht="12.5" x14ac:dyDescent="0.25">
      <c r="B9162" s="2"/>
      <c r="C9162" s="2"/>
      <c r="D9162" s="2"/>
      <c r="E9162" s="2"/>
      <c r="F9162" s="2"/>
      <c r="G9162" s="2"/>
      <c r="H9162" s="2"/>
      <c r="I9162" s="2"/>
      <c r="J9162" s="2"/>
      <c r="K9162" s="2"/>
    </row>
    <row r="9163" spans="2:11" ht="12.5" x14ac:dyDescent="0.25">
      <c r="B9163" s="2"/>
      <c r="C9163" s="2"/>
      <c r="D9163" s="2"/>
      <c r="E9163" s="2"/>
      <c r="F9163" s="2"/>
      <c r="G9163" s="2"/>
      <c r="H9163" s="2"/>
      <c r="I9163" s="2"/>
      <c r="J9163" s="2"/>
      <c r="K9163" s="2"/>
    </row>
    <row r="9164" spans="2:11" ht="12.5" x14ac:dyDescent="0.25">
      <c r="B9164" s="2"/>
      <c r="C9164" s="2"/>
      <c r="D9164" s="2"/>
      <c r="E9164" s="2"/>
      <c r="F9164" s="2"/>
      <c r="G9164" s="2"/>
      <c r="H9164" s="2"/>
      <c r="I9164" s="2"/>
      <c r="J9164" s="2"/>
      <c r="K9164" s="2"/>
    </row>
    <row r="9165" spans="2:11" ht="12.5" x14ac:dyDescent="0.25">
      <c r="B9165" s="2"/>
      <c r="C9165" s="2"/>
      <c r="D9165" s="2"/>
      <c r="E9165" s="2"/>
      <c r="F9165" s="2"/>
      <c r="G9165" s="2"/>
      <c r="H9165" s="2"/>
      <c r="I9165" s="2"/>
      <c r="J9165" s="2"/>
      <c r="K9165" s="2"/>
    </row>
    <row r="9166" spans="2:11" ht="12.5" x14ac:dyDescent="0.25">
      <c r="B9166" s="2"/>
      <c r="C9166" s="2"/>
      <c r="D9166" s="2"/>
      <c r="E9166" s="2"/>
      <c r="F9166" s="2"/>
      <c r="G9166" s="2"/>
      <c r="H9166" s="2"/>
      <c r="I9166" s="2"/>
      <c r="J9166" s="2"/>
      <c r="K9166" s="2"/>
    </row>
    <row r="9167" spans="2:11" ht="12.5" x14ac:dyDescent="0.25">
      <c r="B9167" s="2"/>
      <c r="C9167" s="2"/>
      <c r="D9167" s="2"/>
      <c r="E9167" s="2"/>
      <c r="F9167" s="2"/>
      <c r="G9167" s="2"/>
      <c r="H9167" s="2"/>
      <c r="I9167" s="2"/>
      <c r="J9167" s="2"/>
      <c r="K9167" s="2"/>
    </row>
    <row r="9168" spans="2:11" ht="12.5" x14ac:dyDescent="0.25">
      <c r="B9168" s="2"/>
      <c r="C9168" s="2"/>
      <c r="D9168" s="2"/>
      <c r="E9168" s="2"/>
      <c r="F9168" s="2"/>
      <c r="G9168" s="2"/>
      <c r="H9168" s="2"/>
      <c r="I9168" s="2"/>
      <c r="J9168" s="2"/>
      <c r="K9168" s="2"/>
    </row>
    <row r="9169" spans="2:11" ht="12.5" x14ac:dyDescent="0.25">
      <c r="B9169" s="2"/>
      <c r="C9169" s="2"/>
      <c r="D9169" s="2"/>
      <c r="E9169" s="2"/>
      <c r="F9169" s="2"/>
      <c r="G9169" s="2"/>
      <c r="H9169" s="2"/>
      <c r="I9169" s="2"/>
      <c r="J9169" s="2"/>
      <c r="K9169" s="2"/>
    </row>
    <row r="9170" spans="2:11" ht="12.5" x14ac:dyDescent="0.25">
      <c r="B9170" s="2"/>
      <c r="C9170" s="2"/>
      <c r="D9170" s="2"/>
      <c r="E9170" s="2"/>
      <c r="F9170" s="2"/>
      <c r="G9170" s="2"/>
      <c r="H9170" s="2"/>
      <c r="I9170" s="2"/>
      <c r="J9170" s="2"/>
      <c r="K9170" s="2"/>
    </row>
    <row r="9171" spans="2:11" ht="12.5" x14ac:dyDescent="0.25">
      <c r="B9171" s="2"/>
      <c r="C9171" s="2"/>
      <c r="D9171" s="2"/>
      <c r="E9171" s="2"/>
      <c r="F9171" s="2"/>
      <c r="G9171" s="2"/>
      <c r="H9171" s="2"/>
      <c r="I9171" s="2"/>
      <c r="J9171" s="2"/>
      <c r="K9171" s="2"/>
    </row>
    <row r="9172" spans="2:11" ht="12.5" x14ac:dyDescent="0.25">
      <c r="B9172" s="2"/>
      <c r="C9172" s="2"/>
      <c r="D9172" s="2"/>
      <c r="E9172" s="2"/>
      <c r="F9172" s="2"/>
      <c r="G9172" s="2"/>
      <c r="H9172" s="2"/>
      <c r="I9172" s="2"/>
      <c r="J9172" s="2"/>
      <c r="K9172" s="2"/>
    </row>
    <row r="9173" spans="2:11" ht="12.5" x14ac:dyDescent="0.25">
      <c r="B9173" s="2"/>
      <c r="C9173" s="2"/>
      <c r="D9173" s="2"/>
      <c r="E9173" s="2"/>
      <c r="F9173" s="2"/>
      <c r="G9173" s="2"/>
      <c r="H9173" s="2"/>
      <c r="I9173" s="2"/>
      <c r="J9173" s="2"/>
      <c r="K9173" s="2"/>
    </row>
    <row r="9174" spans="2:11" ht="12.5" x14ac:dyDescent="0.25">
      <c r="B9174" s="2"/>
      <c r="C9174" s="2"/>
      <c r="D9174" s="2"/>
      <c r="E9174" s="2"/>
      <c r="F9174" s="2"/>
      <c r="G9174" s="2"/>
      <c r="H9174" s="2"/>
      <c r="I9174" s="2"/>
      <c r="J9174" s="2"/>
      <c r="K9174" s="2"/>
    </row>
    <row r="9175" spans="2:11" ht="12.5" x14ac:dyDescent="0.25">
      <c r="B9175" s="2"/>
      <c r="C9175" s="2"/>
      <c r="D9175" s="2"/>
      <c r="E9175" s="2"/>
      <c r="F9175" s="2"/>
      <c r="G9175" s="2"/>
      <c r="H9175" s="2"/>
      <c r="I9175" s="2"/>
      <c r="J9175" s="2"/>
      <c r="K9175" s="2"/>
    </row>
    <row r="9176" spans="2:11" ht="12.5" x14ac:dyDescent="0.25">
      <c r="B9176" s="2"/>
      <c r="C9176" s="2"/>
      <c r="D9176" s="2"/>
      <c r="E9176" s="2"/>
      <c r="F9176" s="2"/>
      <c r="G9176" s="2"/>
      <c r="H9176" s="2"/>
      <c r="I9176" s="2"/>
      <c r="J9176" s="2"/>
      <c r="K9176" s="2"/>
    </row>
    <row r="9177" spans="2:11" ht="12.5" x14ac:dyDescent="0.25">
      <c r="B9177" s="2"/>
      <c r="C9177" s="2"/>
      <c r="D9177" s="2"/>
      <c r="E9177" s="2"/>
      <c r="F9177" s="2"/>
      <c r="G9177" s="2"/>
      <c r="H9177" s="2"/>
      <c r="I9177" s="2"/>
      <c r="J9177" s="2"/>
      <c r="K9177" s="2"/>
    </row>
    <row r="9178" spans="2:11" ht="12.5" x14ac:dyDescent="0.25">
      <c r="B9178" s="2"/>
      <c r="C9178" s="2"/>
      <c r="D9178" s="2"/>
      <c r="E9178" s="2"/>
      <c r="F9178" s="2"/>
      <c r="G9178" s="2"/>
      <c r="H9178" s="2"/>
      <c r="I9178" s="2"/>
      <c r="J9178" s="2"/>
      <c r="K9178" s="2"/>
    </row>
    <row r="9179" spans="2:11" ht="12.5" x14ac:dyDescent="0.25">
      <c r="B9179" s="2"/>
      <c r="C9179" s="2"/>
      <c r="D9179" s="2"/>
      <c r="E9179" s="2"/>
      <c r="F9179" s="2"/>
      <c r="G9179" s="2"/>
      <c r="H9179" s="2"/>
      <c r="I9179" s="2"/>
      <c r="J9179" s="2"/>
      <c r="K9179" s="2"/>
    </row>
    <row r="9180" spans="2:11" ht="12.5" x14ac:dyDescent="0.25">
      <c r="B9180" s="2"/>
      <c r="C9180" s="2"/>
      <c r="D9180" s="2"/>
      <c r="E9180" s="2"/>
      <c r="F9180" s="2"/>
      <c r="G9180" s="2"/>
      <c r="H9180" s="2"/>
      <c r="I9180" s="2"/>
      <c r="J9180" s="2"/>
      <c r="K9180" s="2"/>
    </row>
    <row r="9181" spans="2:11" ht="12.5" x14ac:dyDescent="0.25">
      <c r="B9181" s="2"/>
      <c r="C9181" s="2"/>
      <c r="D9181" s="2"/>
      <c r="E9181" s="2"/>
      <c r="F9181" s="2"/>
      <c r="G9181" s="2"/>
      <c r="H9181" s="2"/>
      <c r="I9181" s="2"/>
      <c r="J9181" s="2"/>
      <c r="K9181" s="2"/>
    </row>
    <row r="9182" spans="2:11" ht="12.5" x14ac:dyDescent="0.25">
      <c r="B9182" s="2"/>
      <c r="C9182" s="2"/>
      <c r="D9182" s="2"/>
      <c r="E9182" s="2"/>
      <c r="F9182" s="2"/>
      <c r="G9182" s="2"/>
      <c r="H9182" s="2"/>
      <c r="I9182" s="2"/>
      <c r="J9182" s="2"/>
      <c r="K9182" s="2"/>
    </row>
    <row r="9183" spans="2:11" ht="12.5" x14ac:dyDescent="0.25">
      <c r="B9183" s="2"/>
      <c r="C9183" s="2"/>
      <c r="D9183" s="2"/>
      <c r="E9183" s="2"/>
      <c r="F9183" s="2"/>
      <c r="G9183" s="2"/>
      <c r="H9183" s="2"/>
      <c r="I9183" s="2"/>
      <c r="J9183" s="2"/>
      <c r="K9183" s="2"/>
    </row>
    <row r="9184" spans="2:11" ht="12.5" x14ac:dyDescent="0.25">
      <c r="B9184" s="2"/>
      <c r="C9184" s="2"/>
      <c r="D9184" s="2"/>
      <c r="E9184" s="2"/>
      <c r="F9184" s="2"/>
      <c r="G9184" s="2"/>
      <c r="H9184" s="2"/>
      <c r="I9184" s="2"/>
      <c r="J9184" s="2"/>
      <c r="K9184" s="2"/>
    </row>
    <row r="9185" spans="2:11" ht="12.5" x14ac:dyDescent="0.25">
      <c r="B9185" s="2"/>
      <c r="C9185" s="2"/>
      <c r="D9185" s="2"/>
      <c r="E9185" s="2"/>
      <c r="F9185" s="2"/>
      <c r="G9185" s="2"/>
      <c r="H9185" s="2"/>
      <c r="I9185" s="2"/>
      <c r="J9185" s="2"/>
      <c r="K9185" s="2"/>
    </row>
    <row r="9186" spans="2:11" ht="12.5" x14ac:dyDescent="0.25">
      <c r="B9186" s="2"/>
      <c r="C9186" s="2"/>
      <c r="D9186" s="2"/>
      <c r="E9186" s="2"/>
      <c r="F9186" s="2"/>
      <c r="G9186" s="2"/>
      <c r="H9186" s="2"/>
      <c r="I9186" s="2"/>
      <c r="J9186" s="2"/>
      <c r="K9186" s="2"/>
    </row>
    <row r="9187" spans="2:11" ht="12.5" x14ac:dyDescent="0.25">
      <c r="B9187" s="2"/>
      <c r="C9187" s="2"/>
      <c r="D9187" s="2"/>
      <c r="E9187" s="2"/>
      <c r="F9187" s="2"/>
      <c r="G9187" s="2"/>
      <c r="H9187" s="2"/>
      <c r="I9187" s="2"/>
      <c r="J9187" s="2"/>
      <c r="K9187" s="2"/>
    </row>
    <row r="9188" spans="2:11" ht="12.5" x14ac:dyDescent="0.25">
      <c r="B9188" s="2"/>
      <c r="C9188" s="2"/>
      <c r="D9188" s="2"/>
      <c r="E9188" s="2"/>
      <c r="F9188" s="2"/>
      <c r="G9188" s="2"/>
      <c r="H9188" s="2"/>
      <c r="I9188" s="2"/>
      <c r="J9188" s="2"/>
      <c r="K9188" s="2"/>
    </row>
    <row r="9189" spans="2:11" ht="12.5" x14ac:dyDescent="0.25">
      <c r="B9189" s="2"/>
      <c r="C9189" s="2"/>
      <c r="D9189" s="2"/>
      <c r="E9189" s="2"/>
      <c r="F9189" s="2"/>
      <c r="G9189" s="2"/>
      <c r="H9189" s="2"/>
      <c r="I9189" s="2"/>
      <c r="J9189" s="2"/>
      <c r="K9189" s="2"/>
    </row>
    <row r="9190" spans="2:11" ht="12.5" x14ac:dyDescent="0.25">
      <c r="B9190" s="2"/>
      <c r="C9190" s="2"/>
      <c r="D9190" s="2"/>
      <c r="E9190" s="2"/>
      <c r="F9190" s="2"/>
      <c r="G9190" s="2"/>
      <c r="H9190" s="2"/>
      <c r="I9190" s="2"/>
      <c r="J9190" s="2"/>
      <c r="K9190" s="2"/>
    </row>
    <row r="9191" spans="2:11" ht="12.5" x14ac:dyDescent="0.25">
      <c r="B9191" s="2"/>
      <c r="C9191" s="2"/>
      <c r="D9191" s="2"/>
      <c r="E9191" s="2"/>
      <c r="F9191" s="2"/>
      <c r="G9191" s="2"/>
      <c r="H9191" s="2"/>
      <c r="I9191" s="2"/>
      <c r="J9191" s="2"/>
      <c r="K9191" s="2"/>
    </row>
    <row r="9192" spans="2:11" ht="12.5" x14ac:dyDescent="0.25">
      <c r="B9192" s="2"/>
      <c r="C9192" s="2"/>
      <c r="D9192" s="2"/>
      <c r="E9192" s="2"/>
      <c r="F9192" s="2"/>
      <c r="G9192" s="2"/>
      <c r="H9192" s="2"/>
      <c r="I9192" s="2"/>
      <c r="J9192" s="2"/>
      <c r="K9192" s="2"/>
    </row>
    <row r="9193" spans="2:11" ht="12.5" x14ac:dyDescent="0.25">
      <c r="B9193" s="2"/>
      <c r="C9193" s="2"/>
      <c r="D9193" s="2"/>
      <c r="E9193" s="2"/>
      <c r="F9193" s="2"/>
      <c r="G9193" s="2"/>
      <c r="H9193" s="2"/>
      <c r="I9193" s="2"/>
      <c r="J9193" s="2"/>
      <c r="K9193" s="2"/>
    </row>
    <row r="9194" spans="2:11" ht="12.5" x14ac:dyDescent="0.25">
      <c r="B9194" s="2"/>
      <c r="C9194" s="2"/>
      <c r="D9194" s="2"/>
      <c r="E9194" s="2"/>
      <c r="F9194" s="2"/>
      <c r="G9194" s="2"/>
      <c r="H9194" s="2"/>
      <c r="I9194" s="2"/>
      <c r="J9194" s="2"/>
      <c r="K9194" s="2"/>
    </row>
    <row r="9195" spans="2:11" ht="12.5" x14ac:dyDescent="0.25">
      <c r="B9195" s="2"/>
      <c r="C9195" s="2"/>
      <c r="D9195" s="2"/>
      <c r="E9195" s="2"/>
      <c r="F9195" s="2"/>
      <c r="G9195" s="2"/>
      <c r="H9195" s="2"/>
      <c r="I9195" s="2"/>
      <c r="J9195" s="2"/>
      <c r="K9195" s="2"/>
    </row>
    <row r="9196" spans="2:11" ht="12.5" x14ac:dyDescent="0.25">
      <c r="B9196" s="2"/>
      <c r="C9196" s="2"/>
      <c r="D9196" s="2"/>
      <c r="E9196" s="2"/>
      <c r="F9196" s="2"/>
      <c r="G9196" s="2"/>
      <c r="H9196" s="2"/>
      <c r="I9196" s="2"/>
      <c r="J9196" s="2"/>
      <c r="K9196" s="2"/>
    </row>
    <row r="9197" spans="2:11" ht="12.5" x14ac:dyDescent="0.25">
      <c r="B9197" s="2"/>
      <c r="C9197" s="2"/>
      <c r="D9197" s="2"/>
      <c r="E9197" s="2"/>
      <c r="F9197" s="2"/>
      <c r="G9197" s="2"/>
      <c r="H9197" s="2"/>
      <c r="I9197" s="2"/>
      <c r="J9197" s="2"/>
      <c r="K9197" s="2"/>
    </row>
    <row r="9198" spans="2:11" ht="12.5" x14ac:dyDescent="0.25">
      <c r="B9198" s="2"/>
      <c r="C9198" s="2"/>
      <c r="D9198" s="2"/>
      <c r="E9198" s="2"/>
      <c r="F9198" s="2"/>
      <c r="G9198" s="2"/>
      <c r="H9198" s="2"/>
      <c r="I9198" s="2"/>
      <c r="J9198" s="2"/>
      <c r="K9198" s="2"/>
    </row>
    <row r="9199" spans="2:11" ht="12.5" x14ac:dyDescent="0.25">
      <c r="B9199" s="2"/>
      <c r="C9199" s="2"/>
      <c r="D9199" s="2"/>
      <c r="E9199" s="2"/>
      <c r="F9199" s="2"/>
      <c r="G9199" s="2"/>
      <c r="H9199" s="2"/>
      <c r="I9199" s="2"/>
      <c r="J9199" s="2"/>
      <c r="K9199" s="2"/>
    </row>
    <row r="9200" spans="2:11" ht="12.5" x14ac:dyDescent="0.25">
      <c r="B9200" s="2"/>
      <c r="C9200" s="2"/>
      <c r="D9200" s="2"/>
      <c r="E9200" s="2"/>
      <c r="F9200" s="2"/>
      <c r="G9200" s="2"/>
      <c r="H9200" s="2"/>
      <c r="I9200" s="2"/>
      <c r="J9200" s="2"/>
      <c r="K9200" s="2"/>
    </row>
    <row r="9201" spans="2:11" ht="12.5" x14ac:dyDescent="0.25">
      <c r="B9201" s="2"/>
      <c r="C9201" s="2"/>
      <c r="D9201" s="2"/>
      <c r="E9201" s="2"/>
      <c r="F9201" s="2"/>
      <c r="G9201" s="2"/>
      <c r="H9201" s="2"/>
      <c r="I9201" s="2"/>
      <c r="J9201" s="2"/>
      <c r="K9201" s="2"/>
    </row>
    <row r="9202" spans="2:11" ht="12.5" x14ac:dyDescent="0.25">
      <c r="B9202" s="2"/>
      <c r="C9202" s="2"/>
      <c r="D9202" s="2"/>
      <c r="E9202" s="2"/>
      <c r="F9202" s="2"/>
      <c r="G9202" s="2"/>
      <c r="H9202" s="2"/>
      <c r="I9202" s="2"/>
      <c r="J9202" s="2"/>
      <c r="K9202" s="2"/>
    </row>
    <row r="9203" spans="2:11" ht="12.5" x14ac:dyDescent="0.25">
      <c r="B9203" s="2"/>
      <c r="C9203" s="2"/>
      <c r="D9203" s="2"/>
      <c r="E9203" s="2"/>
      <c r="F9203" s="2"/>
      <c r="G9203" s="2"/>
      <c r="H9203" s="2"/>
      <c r="I9203" s="2"/>
      <c r="J9203" s="2"/>
      <c r="K9203" s="2"/>
    </row>
    <row r="9204" spans="2:11" ht="12.5" x14ac:dyDescent="0.25">
      <c r="B9204" s="2"/>
      <c r="C9204" s="2"/>
      <c r="D9204" s="2"/>
      <c r="E9204" s="2"/>
      <c r="F9204" s="2"/>
      <c r="G9204" s="2"/>
      <c r="H9204" s="2"/>
      <c r="I9204" s="2"/>
      <c r="J9204" s="2"/>
      <c r="K9204" s="2"/>
    </row>
    <row r="9205" spans="2:11" ht="12.5" x14ac:dyDescent="0.25">
      <c r="B9205" s="2"/>
      <c r="C9205" s="2"/>
      <c r="D9205" s="2"/>
      <c r="E9205" s="2"/>
      <c r="F9205" s="2"/>
      <c r="G9205" s="2"/>
      <c r="H9205" s="2"/>
      <c r="I9205" s="2"/>
      <c r="J9205" s="2"/>
      <c r="K9205" s="2"/>
    </row>
    <row r="9206" spans="2:11" ht="12.5" x14ac:dyDescent="0.25">
      <c r="B9206" s="2"/>
      <c r="C9206" s="2"/>
      <c r="D9206" s="2"/>
      <c r="E9206" s="2"/>
      <c r="F9206" s="2"/>
      <c r="G9206" s="2"/>
      <c r="H9206" s="2"/>
      <c r="I9206" s="2"/>
      <c r="J9206" s="2"/>
      <c r="K9206" s="2"/>
    </row>
    <row r="9207" spans="2:11" ht="12.5" x14ac:dyDescent="0.25">
      <c r="B9207" s="2"/>
      <c r="C9207" s="2"/>
      <c r="D9207" s="2"/>
      <c r="E9207" s="2"/>
      <c r="F9207" s="2"/>
      <c r="G9207" s="2"/>
      <c r="H9207" s="2"/>
      <c r="I9207" s="2"/>
      <c r="J9207" s="2"/>
      <c r="K9207" s="2"/>
    </row>
    <row r="9208" spans="2:11" ht="12.5" x14ac:dyDescent="0.25">
      <c r="B9208" s="2"/>
      <c r="C9208" s="2"/>
      <c r="D9208" s="2"/>
      <c r="E9208" s="2"/>
      <c r="F9208" s="2"/>
      <c r="G9208" s="2"/>
      <c r="H9208" s="2"/>
      <c r="I9208" s="2"/>
      <c r="J9208" s="2"/>
      <c r="K9208" s="2"/>
    </row>
    <row r="9209" spans="2:11" ht="12.5" x14ac:dyDescent="0.25">
      <c r="B9209" s="2"/>
      <c r="C9209" s="2"/>
      <c r="D9209" s="2"/>
      <c r="E9209" s="2"/>
      <c r="F9209" s="2"/>
      <c r="G9209" s="2"/>
      <c r="H9209" s="2"/>
      <c r="I9209" s="2"/>
      <c r="J9209" s="2"/>
      <c r="K9209" s="2"/>
    </row>
    <row r="9210" spans="2:11" ht="12.5" x14ac:dyDescent="0.25">
      <c r="B9210" s="2"/>
      <c r="C9210" s="2"/>
      <c r="D9210" s="2"/>
      <c r="E9210" s="2"/>
      <c r="F9210" s="2"/>
      <c r="G9210" s="2"/>
      <c r="H9210" s="2"/>
      <c r="I9210" s="2"/>
      <c r="J9210" s="2"/>
      <c r="K9210" s="2"/>
    </row>
    <row r="9211" spans="2:11" ht="12.5" x14ac:dyDescent="0.25">
      <c r="B9211" s="2"/>
      <c r="C9211" s="2"/>
      <c r="D9211" s="2"/>
      <c r="E9211" s="2"/>
      <c r="F9211" s="2"/>
      <c r="G9211" s="2"/>
      <c r="H9211" s="2"/>
      <c r="I9211" s="2"/>
      <c r="J9211" s="2"/>
      <c r="K9211" s="2"/>
    </row>
    <row r="9212" spans="2:11" ht="12.5" x14ac:dyDescent="0.25">
      <c r="B9212" s="2"/>
      <c r="C9212" s="2"/>
      <c r="D9212" s="2"/>
      <c r="E9212" s="2"/>
      <c r="F9212" s="2"/>
      <c r="G9212" s="2"/>
      <c r="H9212" s="2"/>
      <c r="I9212" s="2"/>
      <c r="J9212" s="2"/>
      <c r="K9212" s="2"/>
    </row>
    <row r="9213" spans="2:11" ht="12.5" x14ac:dyDescent="0.25">
      <c r="B9213" s="2"/>
      <c r="C9213" s="2"/>
      <c r="D9213" s="2"/>
      <c r="E9213" s="2"/>
      <c r="F9213" s="2"/>
      <c r="G9213" s="2"/>
      <c r="H9213" s="2"/>
      <c r="I9213" s="2"/>
      <c r="J9213" s="2"/>
      <c r="K9213" s="2"/>
    </row>
    <row r="9214" spans="2:11" ht="12.5" x14ac:dyDescent="0.25">
      <c r="B9214" s="2"/>
      <c r="C9214" s="2"/>
      <c r="D9214" s="2"/>
      <c r="E9214" s="2"/>
      <c r="F9214" s="2"/>
      <c r="G9214" s="2"/>
      <c r="H9214" s="2"/>
      <c r="I9214" s="2"/>
      <c r="J9214" s="2"/>
      <c r="K9214" s="2"/>
    </row>
    <row r="9215" spans="2:11" ht="12.5" x14ac:dyDescent="0.25">
      <c r="B9215" s="2"/>
      <c r="C9215" s="2"/>
      <c r="D9215" s="2"/>
      <c r="E9215" s="2"/>
      <c r="F9215" s="2"/>
      <c r="G9215" s="2"/>
      <c r="H9215" s="2"/>
      <c r="I9215" s="2"/>
      <c r="J9215" s="2"/>
      <c r="K9215" s="2"/>
    </row>
    <row r="9216" spans="2:11" ht="12.5" x14ac:dyDescent="0.25">
      <c r="B9216" s="2"/>
      <c r="C9216" s="2"/>
      <c r="D9216" s="2"/>
      <c r="E9216" s="2"/>
      <c r="F9216" s="2"/>
      <c r="G9216" s="2"/>
      <c r="H9216" s="2"/>
      <c r="I9216" s="2"/>
      <c r="J9216" s="2"/>
      <c r="K9216" s="2"/>
    </row>
    <row r="9217" spans="2:11" ht="12.5" x14ac:dyDescent="0.25">
      <c r="B9217" s="2"/>
      <c r="C9217" s="2"/>
      <c r="D9217" s="2"/>
      <c r="E9217" s="2"/>
      <c r="F9217" s="2"/>
      <c r="G9217" s="2"/>
      <c r="H9217" s="2"/>
      <c r="I9217" s="2"/>
      <c r="J9217" s="2"/>
      <c r="K9217" s="2"/>
    </row>
    <row r="9218" spans="2:11" ht="12.5" x14ac:dyDescent="0.25">
      <c r="B9218" s="2"/>
      <c r="C9218" s="2"/>
      <c r="D9218" s="2"/>
      <c r="E9218" s="2"/>
      <c r="F9218" s="2"/>
      <c r="G9218" s="2"/>
      <c r="H9218" s="2"/>
      <c r="I9218" s="2"/>
      <c r="J9218" s="2"/>
      <c r="K9218" s="2"/>
    </row>
    <row r="9219" spans="2:11" ht="12.5" x14ac:dyDescent="0.25">
      <c r="B9219" s="2"/>
      <c r="C9219" s="2"/>
      <c r="D9219" s="2"/>
      <c r="E9219" s="2"/>
      <c r="F9219" s="2"/>
      <c r="G9219" s="2"/>
      <c r="H9219" s="2"/>
      <c r="I9219" s="2"/>
      <c r="J9219" s="2"/>
      <c r="K9219" s="2"/>
    </row>
    <row r="9220" spans="2:11" ht="12.5" x14ac:dyDescent="0.25">
      <c r="B9220" s="2"/>
      <c r="C9220" s="2"/>
      <c r="D9220" s="2"/>
      <c r="E9220" s="2"/>
      <c r="F9220" s="2"/>
      <c r="G9220" s="2"/>
      <c r="H9220" s="2"/>
      <c r="I9220" s="2"/>
      <c r="J9220" s="2"/>
      <c r="K9220" s="2"/>
    </row>
    <row r="9221" spans="2:11" ht="12.5" x14ac:dyDescent="0.25">
      <c r="B9221" s="2"/>
      <c r="C9221" s="2"/>
      <c r="D9221" s="2"/>
      <c r="E9221" s="2"/>
      <c r="F9221" s="2"/>
      <c r="G9221" s="2"/>
      <c r="H9221" s="2"/>
      <c r="I9221" s="2"/>
      <c r="J9221" s="2"/>
      <c r="K9221" s="2"/>
    </row>
    <row r="9222" spans="2:11" ht="12.5" x14ac:dyDescent="0.25">
      <c r="B9222" s="2"/>
      <c r="C9222" s="2"/>
      <c r="D9222" s="2"/>
      <c r="E9222" s="2"/>
      <c r="F9222" s="2"/>
      <c r="G9222" s="2"/>
      <c r="H9222" s="2"/>
      <c r="I9222" s="2"/>
      <c r="J9222" s="2"/>
      <c r="K9222" s="2"/>
    </row>
    <row r="9223" spans="2:11" ht="12.5" x14ac:dyDescent="0.25">
      <c r="B9223" s="2"/>
      <c r="C9223" s="2"/>
      <c r="D9223" s="2"/>
      <c r="E9223" s="2"/>
      <c r="F9223" s="2"/>
      <c r="G9223" s="2"/>
      <c r="H9223" s="2"/>
      <c r="I9223" s="2"/>
      <c r="J9223" s="2"/>
      <c r="K9223" s="2"/>
    </row>
    <row r="9224" spans="2:11" ht="12.5" x14ac:dyDescent="0.25">
      <c r="B9224" s="2"/>
      <c r="C9224" s="2"/>
      <c r="D9224" s="2"/>
      <c r="E9224" s="2"/>
      <c r="F9224" s="2"/>
      <c r="G9224" s="2"/>
      <c r="H9224" s="2"/>
      <c r="I9224" s="2"/>
      <c r="J9224" s="2"/>
      <c r="K9224" s="2"/>
    </row>
    <row r="9225" spans="2:11" ht="12.5" x14ac:dyDescent="0.25">
      <c r="B9225" s="2"/>
      <c r="C9225" s="2"/>
      <c r="D9225" s="2"/>
      <c r="E9225" s="2"/>
      <c r="F9225" s="2"/>
      <c r="G9225" s="2"/>
      <c r="H9225" s="2"/>
      <c r="I9225" s="2"/>
      <c r="J9225" s="2"/>
      <c r="K9225" s="2"/>
    </row>
    <row r="9226" spans="2:11" ht="12.5" x14ac:dyDescent="0.25">
      <c r="B9226" s="2"/>
      <c r="C9226" s="2"/>
      <c r="D9226" s="2"/>
      <c r="E9226" s="2"/>
      <c r="F9226" s="2"/>
      <c r="G9226" s="2"/>
      <c r="H9226" s="2"/>
      <c r="I9226" s="2"/>
      <c r="J9226" s="2"/>
      <c r="K9226" s="2"/>
    </row>
    <row r="9227" spans="2:11" ht="12.5" x14ac:dyDescent="0.25">
      <c r="B9227" s="2"/>
      <c r="C9227" s="2"/>
      <c r="D9227" s="2"/>
      <c r="E9227" s="2"/>
      <c r="F9227" s="2"/>
      <c r="G9227" s="2"/>
      <c r="H9227" s="2"/>
      <c r="I9227" s="2"/>
      <c r="J9227" s="2"/>
      <c r="K9227" s="2"/>
    </row>
    <row r="9228" spans="2:11" ht="12.5" x14ac:dyDescent="0.25">
      <c r="B9228" s="2"/>
      <c r="C9228" s="2"/>
      <c r="D9228" s="2"/>
      <c r="E9228" s="2"/>
      <c r="F9228" s="2"/>
      <c r="G9228" s="2"/>
      <c r="H9228" s="2"/>
      <c r="I9228" s="2"/>
      <c r="J9228" s="2"/>
      <c r="K9228" s="2"/>
    </row>
    <row r="9229" spans="2:11" ht="12.5" x14ac:dyDescent="0.25">
      <c r="B9229" s="2"/>
      <c r="C9229" s="2"/>
      <c r="D9229" s="2"/>
      <c r="E9229" s="2"/>
      <c r="F9229" s="2"/>
      <c r="G9229" s="2"/>
      <c r="H9229" s="2"/>
      <c r="I9229" s="2"/>
      <c r="J9229" s="2"/>
      <c r="K9229" s="2"/>
    </row>
    <row r="9230" spans="2:11" ht="12.5" x14ac:dyDescent="0.25">
      <c r="B9230" s="2"/>
      <c r="C9230" s="2"/>
      <c r="D9230" s="2"/>
      <c r="E9230" s="2"/>
      <c r="F9230" s="2"/>
      <c r="G9230" s="2"/>
      <c r="H9230" s="2"/>
      <c r="I9230" s="2"/>
      <c r="J9230" s="2"/>
      <c r="K9230" s="2"/>
    </row>
    <row r="9231" spans="2:11" ht="12.5" x14ac:dyDescent="0.25">
      <c r="B9231" s="2"/>
      <c r="C9231" s="2"/>
      <c r="D9231" s="2"/>
      <c r="E9231" s="2"/>
      <c r="F9231" s="2"/>
      <c r="G9231" s="2"/>
      <c r="H9231" s="2"/>
      <c r="I9231" s="2"/>
      <c r="J9231" s="2"/>
      <c r="K9231" s="2"/>
    </row>
    <row r="9232" spans="2:11" ht="12.5" x14ac:dyDescent="0.25">
      <c r="B9232" s="2"/>
      <c r="C9232" s="2"/>
      <c r="D9232" s="2"/>
      <c r="E9232" s="2"/>
      <c r="F9232" s="2"/>
      <c r="G9232" s="2"/>
      <c r="H9232" s="2"/>
      <c r="I9232" s="2"/>
      <c r="J9232" s="2"/>
      <c r="K9232" s="2"/>
    </row>
    <row r="9233" spans="2:11" ht="12.5" x14ac:dyDescent="0.25">
      <c r="B9233" s="2"/>
      <c r="C9233" s="2"/>
      <c r="D9233" s="2"/>
      <c r="E9233" s="2"/>
      <c r="F9233" s="2"/>
      <c r="G9233" s="2"/>
      <c r="H9233" s="2"/>
      <c r="I9233" s="2"/>
      <c r="J9233" s="2"/>
      <c r="K9233" s="2"/>
    </row>
    <row r="9234" spans="2:11" ht="12.5" x14ac:dyDescent="0.25">
      <c r="B9234" s="2"/>
      <c r="C9234" s="2"/>
      <c r="D9234" s="2"/>
      <c r="E9234" s="2"/>
      <c r="F9234" s="2"/>
      <c r="G9234" s="2"/>
      <c r="H9234" s="2"/>
      <c r="I9234" s="2"/>
      <c r="J9234" s="2"/>
      <c r="K9234" s="2"/>
    </row>
    <row r="9235" spans="2:11" ht="12.5" x14ac:dyDescent="0.25">
      <c r="B9235" s="2"/>
      <c r="C9235" s="2"/>
      <c r="D9235" s="2"/>
      <c r="E9235" s="2"/>
      <c r="F9235" s="2"/>
      <c r="G9235" s="2"/>
      <c r="H9235" s="2"/>
      <c r="I9235" s="2"/>
      <c r="J9235" s="2"/>
      <c r="K9235" s="2"/>
    </row>
    <row r="9236" spans="2:11" ht="12.5" x14ac:dyDescent="0.25">
      <c r="B9236" s="2"/>
      <c r="C9236" s="2"/>
      <c r="D9236" s="2"/>
      <c r="E9236" s="2"/>
      <c r="F9236" s="2"/>
      <c r="G9236" s="2"/>
      <c r="H9236" s="2"/>
      <c r="I9236" s="2"/>
      <c r="J9236" s="2"/>
      <c r="K9236" s="2"/>
    </row>
    <row r="9237" spans="2:11" ht="12.5" x14ac:dyDescent="0.25">
      <c r="B9237" s="2"/>
      <c r="C9237" s="2"/>
      <c r="D9237" s="2"/>
      <c r="E9237" s="2"/>
      <c r="F9237" s="2"/>
      <c r="G9237" s="2"/>
      <c r="H9237" s="2"/>
      <c r="I9237" s="2"/>
      <c r="J9237" s="2"/>
      <c r="K9237" s="2"/>
    </row>
    <row r="9238" spans="2:11" ht="12.5" x14ac:dyDescent="0.25">
      <c r="B9238" s="2"/>
      <c r="C9238" s="2"/>
      <c r="D9238" s="2"/>
      <c r="E9238" s="2"/>
      <c r="F9238" s="2"/>
      <c r="G9238" s="2"/>
      <c r="H9238" s="2"/>
      <c r="I9238" s="2"/>
      <c r="J9238" s="2"/>
      <c r="K9238" s="2"/>
    </row>
    <row r="9239" spans="2:11" ht="12.5" x14ac:dyDescent="0.25">
      <c r="B9239" s="2"/>
      <c r="C9239" s="2"/>
      <c r="D9239" s="2"/>
      <c r="E9239" s="2"/>
      <c r="F9239" s="2"/>
      <c r="G9239" s="2"/>
      <c r="H9239" s="2"/>
      <c r="I9239" s="2"/>
      <c r="J9239" s="2"/>
      <c r="K9239" s="2"/>
    </row>
    <row r="9240" spans="2:11" ht="12.5" x14ac:dyDescent="0.25">
      <c r="B9240" s="2"/>
      <c r="C9240" s="2"/>
      <c r="D9240" s="2"/>
      <c r="E9240" s="2"/>
      <c r="F9240" s="2"/>
      <c r="G9240" s="2"/>
      <c r="H9240" s="2"/>
      <c r="I9240" s="2"/>
      <c r="J9240" s="2"/>
      <c r="K9240" s="2"/>
    </row>
    <row r="9241" spans="2:11" ht="12.5" x14ac:dyDescent="0.25">
      <c r="B9241" s="2"/>
      <c r="C9241" s="2"/>
      <c r="D9241" s="2"/>
      <c r="E9241" s="2"/>
      <c r="F9241" s="2"/>
      <c r="G9241" s="2"/>
      <c r="H9241" s="2"/>
      <c r="I9241" s="2"/>
      <c r="J9241" s="2"/>
      <c r="K9241" s="2"/>
    </row>
    <row r="9242" spans="2:11" ht="12.5" x14ac:dyDescent="0.25">
      <c r="B9242" s="2"/>
      <c r="C9242" s="2"/>
      <c r="D9242" s="2"/>
      <c r="E9242" s="2"/>
      <c r="F9242" s="2"/>
      <c r="G9242" s="2"/>
      <c r="H9242" s="2"/>
      <c r="I9242" s="2"/>
      <c r="J9242" s="2"/>
      <c r="K9242" s="2"/>
    </row>
    <row r="9243" spans="2:11" ht="12.5" x14ac:dyDescent="0.25">
      <c r="B9243" s="2"/>
      <c r="C9243" s="2"/>
      <c r="D9243" s="2"/>
      <c r="E9243" s="2"/>
      <c r="F9243" s="2"/>
      <c r="G9243" s="2"/>
      <c r="H9243" s="2"/>
      <c r="I9243" s="2"/>
      <c r="J9243" s="2"/>
      <c r="K9243" s="2"/>
    </row>
    <row r="9244" spans="2:11" ht="12.5" x14ac:dyDescent="0.25">
      <c r="B9244" s="2"/>
      <c r="C9244" s="2"/>
      <c r="D9244" s="2"/>
      <c r="E9244" s="2"/>
      <c r="F9244" s="2"/>
      <c r="G9244" s="2"/>
      <c r="H9244" s="2"/>
      <c r="I9244" s="2"/>
      <c r="J9244" s="2"/>
      <c r="K9244" s="2"/>
    </row>
    <row r="9245" spans="2:11" ht="12.5" x14ac:dyDescent="0.25">
      <c r="B9245" s="2"/>
      <c r="C9245" s="2"/>
      <c r="D9245" s="2"/>
      <c r="E9245" s="2"/>
      <c r="F9245" s="2"/>
      <c r="G9245" s="2"/>
      <c r="H9245" s="2"/>
      <c r="I9245" s="2"/>
      <c r="J9245" s="2"/>
      <c r="K9245" s="2"/>
    </row>
    <row r="9246" spans="2:11" ht="12.5" x14ac:dyDescent="0.25">
      <c r="B9246" s="2"/>
      <c r="C9246" s="2"/>
      <c r="D9246" s="2"/>
      <c r="E9246" s="2"/>
      <c r="F9246" s="2"/>
      <c r="G9246" s="2"/>
      <c r="H9246" s="2"/>
      <c r="I9246" s="2"/>
      <c r="J9246" s="2"/>
      <c r="K9246" s="2"/>
    </row>
    <row r="9247" spans="2:11" ht="12.5" x14ac:dyDescent="0.25">
      <c r="B9247" s="2"/>
      <c r="C9247" s="2"/>
      <c r="D9247" s="2"/>
      <c r="E9247" s="2"/>
      <c r="F9247" s="2"/>
      <c r="G9247" s="2"/>
      <c r="H9247" s="2"/>
      <c r="I9247" s="2"/>
      <c r="J9247" s="2"/>
      <c r="K9247" s="2"/>
    </row>
    <row r="9248" spans="2:11" ht="12.5" x14ac:dyDescent="0.25">
      <c r="B9248" s="2"/>
      <c r="C9248" s="2"/>
      <c r="D9248" s="2"/>
      <c r="E9248" s="2"/>
      <c r="F9248" s="2"/>
      <c r="G9248" s="2"/>
      <c r="H9248" s="2"/>
      <c r="I9248" s="2"/>
      <c r="J9248" s="2"/>
      <c r="K9248" s="2"/>
    </row>
    <row r="9249" spans="2:11" ht="12.5" x14ac:dyDescent="0.25">
      <c r="B9249" s="2"/>
      <c r="C9249" s="2"/>
      <c r="D9249" s="2"/>
      <c r="E9249" s="2"/>
      <c r="F9249" s="2"/>
      <c r="G9249" s="2"/>
      <c r="H9249" s="2"/>
      <c r="I9249" s="2"/>
      <c r="J9249" s="2"/>
      <c r="K9249" s="2"/>
    </row>
    <row r="9250" spans="2:11" ht="12.5" x14ac:dyDescent="0.25">
      <c r="B9250" s="2"/>
      <c r="C9250" s="2"/>
      <c r="D9250" s="2"/>
      <c r="E9250" s="2"/>
      <c r="F9250" s="2"/>
      <c r="G9250" s="2"/>
      <c r="H9250" s="2"/>
      <c r="I9250" s="2"/>
      <c r="J9250" s="2"/>
      <c r="K9250" s="2"/>
    </row>
    <row r="9251" spans="2:11" ht="12.5" x14ac:dyDescent="0.25">
      <c r="B9251" s="2"/>
      <c r="C9251" s="2"/>
      <c r="D9251" s="2"/>
      <c r="E9251" s="2"/>
      <c r="F9251" s="2"/>
      <c r="G9251" s="2"/>
      <c r="H9251" s="2"/>
      <c r="I9251" s="2"/>
      <c r="J9251" s="2"/>
      <c r="K9251" s="2"/>
    </row>
    <row r="9252" spans="2:11" ht="12.5" x14ac:dyDescent="0.25">
      <c r="B9252" s="2"/>
      <c r="C9252" s="2"/>
      <c r="D9252" s="2"/>
      <c r="E9252" s="2"/>
      <c r="F9252" s="2"/>
      <c r="G9252" s="2"/>
      <c r="H9252" s="2"/>
      <c r="I9252" s="2"/>
      <c r="J9252" s="2"/>
      <c r="K9252" s="2"/>
    </row>
    <row r="9253" spans="2:11" ht="12.5" x14ac:dyDescent="0.25">
      <c r="B9253" s="2"/>
      <c r="C9253" s="2"/>
      <c r="D9253" s="2"/>
      <c r="E9253" s="2"/>
      <c r="F9253" s="2"/>
      <c r="G9253" s="2"/>
      <c r="H9253" s="2"/>
      <c r="I9253" s="2"/>
      <c r="J9253" s="2"/>
      <c r="K9253" s="2"/>
    </row>
    <row r="9254" spans="2:11" ht="12.5" x14ac:dyDescent="0.25">
      <c r="B9254" s="2"/>
      <c r="C9254" s="2"/>
      <c r="D9254" s="2"/>
      <c r="E9254" s="2"/>
      <c r="F9254" s="2"/>
      <c r="G9254" s="2"/>
      <c r="H9254" s="2"/>
      <c r="I9254" s="2"/>
      <c r="J9254" s="2"/>
      <c r="K9254" s="2"/>
    </row>
    <row r="9255" spans="2:11" ht="12.5" x14ac:dyDescent="0.25">
      <c r="B9255" s="2"/>
      <c r="C9255" s="2"/>
      <c r="D9255" s="2"/>
      <c r="E9255" s="2"/>
      <c r="F9255" s="2"/>
      <c r="G9255" s="2"/>
      <c r="H9255" s="2"/>
      <c r="I9255" s="2"/>
      <c r="J9255" s="2"/>
      <c r="K9255" s="2"/>
    </row>
    <row r="9256" spans="2:11" ht="12.5" x14ac:dyDescent="0.25">
      <c r="B9256" s="2"/>
      <c r="C9256" s="2"/>
      <c r="D9256" s="2"/>
      <c r="E9256" s="2"/>
      <c r="F9256" s="2"/>
      <c r="G9256" s="2"/>
      <c r="H9256" s="2"/>
      <c r="I9256" s="2"/>
      <c r="J9256" s="2"/>
      <c r="K9256" s="2"/>
    </row>
    <row r="9257" spans="2:11" ht="12.5" x14ac:dyDescent="0.25">
      <c r="B9257" s="2"/>
      <c r="C9257" s="2"/>
      <c r="D9257" s="2"/>
      <c r="E9257" s="2"/>
      <c r="F9257" s="2"/>
      <c r="G9257" s="2"/>
      <c r="H9257" s="2"/>
      <c r="I9257" s="2"/>
      <c r="J9257" s="2"/>
      <c r="K9257" s="2"/>
    </row>
    <row r="9258" spans="2:11" ht="12.5" x14ac:dyDescent="0.25">
      <c r="B9258" s="2"/>
      <c r="C9258" s="2"/>
      <c r="D9258" s="2"/>
      <c r="E9258" s="2"/>
      <c r="F9258" s="2"/>
      <c r="G9258" s="2"/>
      <c r="H9258" s="2"/>
      <c r="I9258" s="2"/>
      <c r="J9258" s="2"/>
      <c r="K9258" s="2"/>
    </row>
    <row r="9259" spans="2:11" ht="12.5" x14ac:dyDescent="0.25">
      <c r="B9259" s="2"/>
      <c r="C9259" s="2"/>
      <c r="D9259" s="2"/>
      <c r="E9259" s="2"/>
      <c r="F9259" s="2"/>
      <c r="G9259" s="2"/>
      <c r="H9259" s="2"/>
      <c r="I9259" s="2"/>
      <c r="J9259" s="2"/>
      <c r="K9259" s="2"/>
    </row>
    <row r="9260" spans="2:11" ht="12.5" x14ac:dyDescent="0.25">
      <c r="B9260" s="2"/>
      <c r="C9260" s="2"/>
      <c r="D9260" s="2"/>
      <c r="E9260" s="2"/>
      <c r="F9260" s="2"/>
      <c r="G9260" s="2"/>
      <c r="H9260" s="2"/>
      <c r="I9260" s="2"/>
      <c r="J9260" s="2"/>
      <c r="K9260" s="2"/>
    </row>
    <row r="9261" spans="2:11" ht="12.5" x14ac:dyDescent="0.25">
      <c r="B9261" s="2"/>
      <c r="C9261" s="2"/>
      <c r="D9261" s="2"/>
      <c r="E9261" s="2"/>
      <c r="F9261" s="2"/>
      <c r="G9261" s="2"/>
      <c r="H9261" s="2"/>
      <c r="I9261" s="2"/>
      <c r="J9261" s="2"/>
      <c r="K9261" s="2"/>
    </row>
    <row r="9262" spans="2:11" ht="12.5" x14ac:dyDescent="0.25">
      <c r="B9262" s="2"/>
      <c r="C9262" s="2"/>
      <c r="D9262" s="2"/>
      <c r="E9262" s="2"/>
      <c r="F9262" s="2"/>
      <c r="G9262" s="2"/>
      <c r="H9262" s="2"/>
      <c r="I9262" s="2"/>
      <c r="J9262" s="2"/>
      <c r="K9262" s="2"/>
    </row>
    <row r="9263" spans="2:11" ht="12.5" x14ac:dyDescent="0.25">
      <c r="B9263" s="2"/>
      <c r="C9263" s="2"/>
      <c r="D9263" s="2"/>
      <c r="E9263" s="2"/>
      <c r="F9263" s="2"/>
      <c r="G9263" s="2"/>
      <c r="H9263" s="2"/>
      <c r="I9263" s="2"/>
      <c r="J9263" s="2"/>
      <c r="K9263" s="2"/>
    </row>
    <row r="9264" spans="2:11" ht="12.5" x14ac:dyDescent="0.25">
      <c r="B9264" s="2"/>
      <c r="C9264" s="2"/>
      <c r="D9264" s="2"/>
      <c r="E9264" s="2"/>
      <c r="F9264" s="2"/>
      <c r="G9264" s="2"/>
      <c r="H9264" s="2"/>
      <c r="I9264" s="2"/>
      <c r="J9264" s="2"/>
      <c r="K9264" s="2"/>
    </row>
    <row r="9265" spans="2:11" ht="12.5" x14ac:dyDescent="0.25">
      <c r="B9265" s="2"/>
      <c r="C9265" s="2"/>
      <c r="D9265" s="2"/>
      <c r="E9265" s="2"/>
      <c r="F9265" s="2"/>
      <c r="G9265" s="2"/>
      <c r="H9265" s="2"/>
      <c r="I9265" s="2"/>
      <c r="J9265" s="2"/>
      <c r="K9265" s="2"/>
    </row>
    <row r="9266" spans="2:11" ht="12.5" x14ac:dyDescent="0.25">
      <c r="B9266" s="2"/>
      <c r="C9266" s="2"/>
      <c r="D9266" s="2"/>
      <c r="E9266" s="2"/>
      <c r="F9266" s="2"/>
      <c r="G9266" s="2"/>
      <c r="H9266" s="2"/>
      <c r="I9266" s="2"/>
      <c r="J9266" s="2"/>
      <c r="K9266" s="2"/>
    </row>
    <row r="9267" spans="2:11" ht="12.5" x14ac:dyDescent="0.25">
      <c r="B9267" s="2"/>
      <c r="C9267" s="2"/>
      <c r="D9267" s="2"/>
      <c r="E9267" s="2"/>
      <c r="F9267" s="2"/>
      <c r="G9267" s="2"/>
      <c r="H9267" s="2"/>
      <c r="I9267" s="2"/>
      <c r="J9267" s="2"/>
      <c r="K9267" s="2"/>
    </row>
    <row r="9268" spans="2:11" ht="12.5" x14ac:dyDescent="0.25">
      <c r="B9268" s="2"/>
      <c r="C9268" s="2"/>
      <c r="D9268" s="2"/>
      <c r="E9268" s="2"/>
      <c r="F9268" s="2"/>
      <c r="G9268" s="2"/>
      <c r="H9268" s="2"/>
      <c r="I9268" s="2"/>
      <c r="J9268" s="2"/>
      <c r="K9268" s="2"/>
    </row>
    <row r="9269" spans="2:11" ht="12.5" x14ac:dyDescent="0.25">
      <c r="B9269" s="2"/>
      <c r="C9269" s="2"/>
      <c r="D9269" s="2"/>
      <c r="E9269" s="2"/>
      <c r="F9269" s="2"/>
      <c r="G9269" s="2"/>
      <c r="H9269" s="2"/>
      <c r="I9269" s="2"/>
      <c r="J9269" s="2"/>
      <c r="K9269" s="2"/>
    </row>
    <row r="9270" spans="2:11" ht="12.5" x14ac:dyDescent="0.25">
      <c r="B9270" s="2"/>
      <c r="C9270" s="2"/>
      <c r="D9270" s="2"/>
      <c r="E9270" s="2"/>
      <c r="F9270" s="2"/>
      <c r="G9270" s="2"/>
      <c r="H9270" s="2"/>
      <c r="I9270" s="2"/>
      <c r="J9270" s="2"/>
      <c r="K9270" s="2"/>
    </row>
    <row r="9271" spans="2:11" ht="12.5" x14ac:dyDescent="0.25">
      <c r="B9271" s="2"/>
      <c r="C9271" s="2"/>
      <c r="D9271" s="2"/>
      <c r="E9271" s="2"/>
      <c r="F9271" s="2"/>
      <c r="G9271" s="2"/>
      <c r="H9271" s="2"/>
      <c r="I9271" s="2"/>
      <c r="J9271" s="2"/>
      <c r="K9271" s="2"/>
    </row>
    <row r="9272" spans="2:11" ht="12.5" x14ac:dyDescent="0.25">
      <c r="B9272" s="2"/>
      <c r="C9272" s="2"/>
      <c r="D9272" s="2"/>
      <c r="E9272" s="2"/>
      <c r="F9272" s="2"/>
      <c r="G9272" s="2"/>
      <c r="H9272" s="2"/>
      <c r="I9272" s="2"/>
      <c r="J9272" s="2"/>
      <c r="K9272" s="2"/>
    </row>
    <row r="9273" spans="2:11" ht="12.5" x14ac:dyDescent="0.25">
      <c r="B9273" s="2"/>
      <c r="C9273" s="2"/>
      <c r="D9273" s="2"/>
      <c r="E9273" s="2"/>
      <c r="F9273" s="2"/>
      <c r="G9273" s="2"/>
      <c r="H9273" s="2"/>
      <c r="I9273" s="2"/>
      <c r="J9273" s="2"/>
      <c r="K9273" s="2"/>
    </row>
    <row r="9274" spans="2:11" ht="12.5" x14ac:dyDescent="0.25">
      <c r="B9274" s="2"/>
      <c r="C9274" s="2"/>
      <c r="D9274" s="2"/>
      <c r="E9274" s="2"/>
      <c r="F9274" s="2"/>
      <c r="G9274" s="2"/>
      <c r="H9274" s="2"/>
      <c r="I9274" s="2"/>
      <c r="J9274" s="2"/>
      <c r="K9274" s="2"/>
    </row>
    <row r="9275" spans="2:11" ht="12.5" x14ac:dyDescent="0.25">
      <c r="B9275" s="2"/>
      <c r="C9275" s="2"/>
      <c r="D9275" s="2"/>
      <c r="E9275" s="2"/>
      <c r="F9275" s="2"/>
      <c r="G9275" s="2"/>
      <c r="H9275" s="2"/>
      <c r="I9275" s="2"/>
      <c r="J9275" s="2"/>
      <c r="K9275" s="2"/>
    </row>
    <row r="9276" spans="2:11" ht="12.5" x14ac:dyDescent="0.25">
      <c r="B9276" s="2"/>
      <c r="C9276" s="2"/>
      <c r="D9276" s="2"/>
      <c r="E9276" s="2"/>
      <c r="F9276" s="2"/>
      <c r="G9276" s="2"/>
      <c r="H9276" s="2"/>
      <c r="I9276" s="2"/>
      <c r="J9276" s="2"/>
      <c r="K9276" s="2"/>
    </row>
    <row r="9277" spans="2:11" ht="12.5" x14ac:dyDescent="0.25">
      <c r="B9277" s="2"/>
      <c r="C9277" s="2"/>
      <c r="D9277" s="2"/>
      <c r="E9277" s="2"/>
      <c r="F9277" s="2"/>
      <c r="G9277" s="2"/>
      <c r="H9277" s="2"/>
      <c r="I9277" s="2"/>
      <c r="J9277" s="2"/>
      <c r="K9277" s="2"/>
    </row>
    <row r="9278" spans="2:11" ht="12.5" x14ac:dyDescent="0.25">
      <c r="B9278" s="2"/>
      <c r="C9278" s="2"/>
      <c r="D9278" s="2"/>
      <c r="E9278" s="2"/>
      <c r="F9278" s="2"/>
      <c r="G9278" s="2"/>
      <c r="H9278" s="2"/>
      <c r="I9278" s="2"/>
      <c r="J9278" s="2"/>
      <c r="K9278" s="2"/>
    </row>
    <row r="9279" spans="2:11" ht="12.5" x14ac:dyDescent="0.25">
      <c r="B9279" s="2"/>
      <c r="C9279" s="2"/>
      <c r="D9279" s="2"/>
      <c r="E9279" s="2"/>
      <c r="F9279" s="2"/>
      <c r="G9279" s="2"/>
      <c r="H9279" s="2"/>
      <c r="I9279" s="2"/>
      <c r="J9279" s="2"/>
      <c r="K9279" s="2"/>
    </row>
    <row r="9280" spans="2:11" ht="12.5" x14ac:dyDescent="0.25">
      <c r="B9280" s="2"/>
      <c r="C9280" s="2"/>
      <c r="D9280" s="2"/>
      <c r="E9280" s="2"/>
      <c r="F9280" s="2"/>
      <c r="G9280" s="2"/>
      <c r="H9280" s="2"/>
      <c r="I9280" s="2"/>
      <c r="J9280" s="2"/>
      <c r="K9280" s="2"/>
    </row>
    <row r="9281" spans="2:11" ht="12.5" x14ac:dyDescent="0.25">
      <c r="B9281" s="2"/>
      <c r="C9281" s="2"/>
      <c r="D9281" s="2"/>
      <c r="E9281" s="2"/>
      <c r="F9281" s="2"/>
      <c r="G9281" s="2"/>
      <c r="H9281" s="2"/>
      <c r="I9281" s="2"/>
      <c r="J9281" s="2"/>
      <c r="K9281" s="2"/>
    </row>
    <row r="9282" spans="2:11" ht="12.5" x14ac:dyDescent="0.25">
      <c r="B9282" s="2"/>
      <c r="C9282" s="2"/>
      <c r="D9282" s="2"/>
      <c r="E9282" s="2"/>
      <c r="F9282" s="2"/>
      <c r="G9282" s="2"/>
      <c r="H9282" s="2"/>
      <c r="I9282" s="2"/>
      <c r="J9282" s="2"/>
      <c r="K9282" s="2"/>
    </row>
    <row r="9283" spans="2:11" ht="12.5" x14ac:dyDescent="0.25">
      <c r="B9283" s="2"/>
      <c r="C9283" s="2"/>
      <c r="D9283" s="2"/>
      <c r="E9283" s="2"/>
      <c r="F9283" s="2"/>
      <c r="G9283" s="2"/>
      <c r="H9283" s="2"/>
      <c r="I9283" s="2"/>
      <c r="J9283" s="2"/>
      <c r="K9283" s="2"/>
    </row>
    <row r="9284" spans="2:11" ht="12.5" x14ac:dyDescent="0.25">
      <c r="B9284" s="2"/>
      <c r="C9284" s="2"/>
      <c r="D9284" s="2"/>
      <c r="E9284" s="2"/>
      <c r="F9284" s="2"/>
      <c r="G9284" s="2"/>
      <c r="H9284" s="2"/>
      <c r="I9284" s="2"/>
      <c r="J9284" s="2"/>
      <c r="K9284" s="2"/>
    </row>
    <row r="9285" spans="2:11" ht="12.5" x14ac:dyDescent="0.25">
      <c r="B9285" s="2"/>
      <c r="C9285" s="2"/>
      <c r="D9285" s="2"/>
      <c r="E9285" s="2"/>
      <c r="F9285" s="2"/>
      <c r="G9285" s="2"/>
      <c r="H9285" s="2"/>
      <c r="I9285" s="2"/>
      <c r="J9285" s="2"/>
      <c r="K9285" s="2"/>
    </row>
    <row r="9286" spans="2:11" ht="12.5" x14ac:dyDescent="0.25">
      <c r="B9286" s="2"/>
      <c r="C9286" s="2"/>
      <c r="D9286" s="2"/>
      <c r="E9286" s="2"/>
      <c r="F9286" s="2"/>
      <c r="G9286" s="2"/>
      <c r="H9286" s="2"/>
      <c r="I9286" s="2"/>
      <c r="J9286" s="2"/>
      <c r="K9286" s="2"/>
    </row>
    <row r="9287" spans="2:11" ht="12.5" x14ac:dyDescent="0.25">
      <c r="B9287" s="2"/>
      <c r="C9287" s="2"/>
      <c r="D9287" s="2"/>
      <c r="E9287" s="2"/>
      <c r="F9287" s="2"/>
      <c r="G9287" s="2"/>
      <c r="H9287" s="2"/>
      <c r="I9287" s="2"/>
      <c r="J9287" s="2"/>
      <c r="K9287" s="2"/>
    </row>
    <row r="9288" spans="2:11" ht="12.5" x14ac:dyDescent="0.25">
      <c r="B9288" s="2"/>
      <c r="C9288" s="2"/>
      <c r="D9288" s="2"/>
      <c r="E9288" s="2"/>
      <c r="F9288" s="2"/>
      <c r="G9288" s="2"/>
      <c r="H9288" s="2"/>
      <c r="I9288" s="2"/>
      <c r="J9288" s="2"/>
      <c r="K9288" s="2"/>
    </row>
    <row r="9289" spans="2:11" ht="12.5" x14ac:dyDescent="0.25">
      <c r="B9289" s="2"/>
      <c r="C9289" s="2"/>
      <c r="D9289" s="2"/>
      <c r="E9289" s="2"/>
      <c r="F9289" s="2"/>
      <c r="G9289" s="2"/>
      <c r="H9289" s="2"/>
      <c r="I9289" s="2"/>
      <c r="J9289" s="2"/>
      <c r="K9289" s="2"/>
    </row>
    <row r="9290" spans="2:11" ht="12.5" x14ac:dyDescent="0.25">
      <c r="B9290" s="2"/>
      <c r="C9290" s="2"/>
      <c r="D9290" s="2"/>
      <c r="E9290" s="2"/>
      <c r="F9290" s="2"/>
      <c r="G9290" s="2"/>
      <c r="H9290" s="2"/>
      <c r="I9290" s="2"/>
      <c r="J9290" s="2"/>
      <c r="K9290" s="2"/>
    </row>
    <row r="9291" spans="2:11" ht="12.5" x14ac:dyDescent="0.25">
      <c r="B9291" s="2"/>
      <c r="C9291" s="2"/>
      <c r="D9291" s="2"/>
      <c r="E9291" s="2"/>
      <c r="F9291" s="2"/>
      <c r="G9291" s="2"/>
      <c r="H9291" s="2"/>
      <c r="I9291" s="2"/>
      <c r="J9291" s="2"/>
      <c r="K9291" s="2"/>
    </row>
    <row r="9292" spans="2:11" ht="12.5" x14ac:dyDescent="0.25">
      <c r="B9292" s="2"/>
      <c r="C9292" s="2"/>
      <c r="D9292" s="2"/>
      <c r="E9292" s="2"/>
      <c r="F9292" s="2"/>
      <c r="G9292" s="2"/>
      <c r="H9292" s="2"/>
      <c r="I9292" s="2"/>
      <c r="J9292" s="2"/>
      <c r="K9292" s="2"/>
    </row>
    <row r="9293" spans="2:11" ht="12.5" x14ac:dyDescent="0.25">
      <c r="B9293" s="2"/>
      <c r="C9293" s="2"/>
      <c r="D9293" s="2"/>
      <c r="E9293" s="2"/>
      <c r="F9293" s="2"/>
      <c r="G9293" s="2"/>
      <c r="H9293" s="2"/>
      <c r="I9293" s="2"/>
      <c r="J9293" s="2"/>
      <c r="K9293" s="2"/>
    </row>
    <row r="9294" spans="2:11" ht="12.5" x14ac:dyDescent="0.25">
      <c r="B9294" s="2"/>
      <c r="C9294" s="2"/>
      <c r="D9294" s="2"/>
      <c r="E9294" s="2"/>
      <c r="F9294" s="2"/>
      <c r="G9294" s="2"/>
      <c r="H9294" s="2"/>
      <c r="I9294" s="2"/>
      <c r="J9294" s="2"/>
      <c r="K9294" s="2"/>
    </row>
    <row r="9295" spans="2:11" ht="12.5" x14ac:dyDescent="0.25">
      <c r="B9295" s="2"/>
      <c r="C9295" s="2"/>
      <c r="D9295" s="2"/>
      <c r="E9295" s="2"/>
      <c r="F9295" s="2"/>
      <c r="G9295" s="2"/>
      <c r="H9295" s="2"/>
      <c r="I9295" s="2"/>
      <c r="J9295" s="2"/>
      <c r="K9295" s="2"/>
    </row>
    <row r="9296" spans="2:11" ht="12.5" x14ac:dyDescent="0.25">
      <c r="B9296" s="2"/>
      <c r="C9296" s="2"/>
      <c r="D9296" s="2"/>
      <c r="E9296" s="2"/>
      <c r="F9296" s="2"/>
      <c r="G9296" s="2"/>
      <c r="H9296" s="2"/>
      <c r="I9296" s="2"/>
      <c r="J9296" s="2"/>
      <c r="K9296" s="2"/>
    </row>
    <row r="9297" spans="2:11" ht="12.5" x14ac:dyDescent="0.25">
      <c r="B9297" s="2"/>
      <c r="C9297" s="2"/>
      <c r="D9297" s="2"/>
      <c r="E9297" s="2"/>
      <c r="F9297" s="2"/>
      <c r="G9297" s="2"/>
      <c r="H9297" s="2"/>
      <c r="I9297" s="2"/>
      <c r="J9297" s="2"/>
      <c r="K9297" s="2"/>
    </row>
    <row r="9298" spans="2:11" ht="12.5" x14ac:dyDescent="0.25">
      <c r="B9298" s="2"/>
      <c r="C9298" s="2"/>
      <c r="D9298" s="2"/>
      <c r="E9298" s="2"/>
      <c r="F9298" s="2"/>
      <c r="G9298" s="2"/>
      <c r="H9298" s="2"/>
      <c r="I9298" s="2"/>
      <c r="J9298" s="2"/>
      <c r="K9298" s="2"/>
    </row>
    <row r="9299" spans="2:11" ht="12.5" x14ac:dyDescent="0.25">
      <c r="B9299" s="2"/>
      <c r="C9299" s="2"/>
      <c r="D9299" s="2"/>
      <c r="E9299" s="2"/>
      <c r="F9299" s="2"/>
      <c r="G9299" s="2"/>
      <c r="H9299" s="2"/>
      <c r="I9299" s="2"/>
      <c r="J9299" s="2"/>
      <c r="K9299" s="2"/>
    </row>
    <row r="9300" spans="2:11" ht="12.5" x14ac:dyDescent="0.25">
      <c r="B9300" s="2"/>
      <c r="C9300" s="2"/>
      <c r="D9300" s="2"/>
      <c r="E9300" s="2"/>
      <c r="F9300" s="2"/>
      <c r="G9300" s="2"/>
      <c r="H9300" s="2"/>
      <c r="I9300" s="2"/>
      <c r="J9300" s="2"/>
      <c r="K9300" s="2"/>
    </row>
    <row r="9301" spans="2:11" ht="12.5" x14ac:dyDescent="0.25">
      <c r="B9301" s="2"/>
      <c r="C9301" s="2"/>
      <c r="D9301" s="2"/>
      <c r="E9301" s="2"/>
      <c r="F9301" s="2"/>
      <c r="G9301" s="2"/>
      <c r="H9301" s="2"/>
      <c r="I9301" s="2"/>
      <c r="J9301" s="2"/>
      <c r="K9301" s="2"/>
    </row>
    <row r="9302" spans="2:11" ht="12.5" x14ac:dyDescent="0.25">
      <c r="B9302" s="2"/>
      <c r="C9302" s="2"/>
      <c r="D9302" s="2"/>
      <c r="E9302" s="2"/>
      <c r="F9302" s="2"/>
      <c r="G9302" s="2"/>
      <c r="H9302" s="2"/>
      <c r="I9302" s="2"/>
      <c r="J9302" s="2"/>
      <c r="K9302" s="2"/>
    </row>
    <row r="9303" spans="2:11" ht="12.5" x14ac:dyDescent="0.25">
      <c r="B9303" s="2"/>
      <c r="C9303" s="2"/>
      <c r="D9303" s="2"/>
      <c r="E9303" s="2"/>
      <c r="F9303" s="2"/>
      <c r="G9303" s="2"/>
      <c r="H9303" s="2"/>
      <c r="I9303" s="2"/>
      <c r="J9303" s="2"/>
      <c r="K9303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E6"/>
  <sheetViews>
    <sheetView workbookViewId="0"/>
  </sheetViews>
  <sheetFormatPr defaultColWidth="12.6328125" defaultRowHeight="15.75" customHeight="1" x14ac:dyDescent="0.25"/>
  <sheetData>
    <row r="1" spans="1:5" ht="15.75" customHeight="1" x14ac:dyDescent="0.25">
      <c r="A1" s="2" t="str">
        <f ca="1">IFERROR(__xludf.DUMMYFUNCTION("GOOGLEFINANCE(""CURRENCY:USDINR"", ""price"", DATE(2000,1,1), TODAY(), ""DAILY"")"),"#N/A")</f>
        <v>#N/A</v>
      </c>
    </row>
    <row r="6" spans="1:5" ht="15.75" customHeight="1" x14ac:dyDescent="0.25">
      <c r="E6" s="1" t="s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"/>
  <sheetViews>
    <sheetView workbookViewId="0"/>
  </sheetViews>
  <sheetFormatPr defaultColWidth="12.6328125" defaultRowHeight="15.75" customHeight="1" x14ac:dyDescent="0.25"/>
  <sheetData>
    <row r="1" spans="1:1" ht="15.75" customHeight="1" x14ac:dyDescent="0.25">
      <c r="A1" s="2" t="str">
        <f ca="1">IFERROR(__xludf.DUMMYFUNCTION("GOOGLEFINANCE(""CURRENCY:EURINR"", ""price"", DATE(2000,1,1), TODAY(), ""DAILY"")"),"#N/A")</f>
        <v>#N/A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"/>
  <sheetViews>
    <sheetView workbookViewId="0"/>
  </sheetViews>
  <sheetFormatPr defaultColWidth="12.6328125" defaultRowHeight="15.75" customHeight="1" x14ac:dyDescent="0.25"/>
  <sheetData>
    <row r="1" spans="1:1" ht="15.75" customHeight="1" x14ac:dyDescent="0.25">
      <c r="A1" s="2" t="str">
        <f ca="1">IFERROR(__xludf.DUMMYFUNCTION("GOOGLEFINANCE(""CURRENCY:GBPINR"", ""price"", DATE(2000,1,1), TODAY(), ""DAILY"")"),"#N/A")</f>
        <v>#N/A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"/>
  <sheetViews>
    <sheetView workbookViewId="0"/>
  </sheetViews>
  <sheetFormatPr defaultColWidth="12.6328125" defaultRowHeight="15.75" customHeight="1" x14ac:dyDescent="0.25"/>
  <sheetData>
    <row r="1" spans="1:1" ht="15.75" customHeight="1" x14ac:dyDescent="0.25">
      <c r="A1" s="2" t="str">
        <f ca="1">IFERROR(__xludf.DUMMYFUNCTION("GOOGLEFINANCE(""CURRENCY:JPYINR"", ""price"", DATE(2000,1,1), TODAY(), ""DAILY"")"),"#N/A")</f>
        <v>#N/A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"/>
  <sheetViews>
    <sheetView workbookViewId="0"/>
  </sheetViews>
  <sheetFormatPr defaultColWidth="12.6328125" defaultRowHeight="15.75" customHeight="1" x14ac:dyDescent="0.25"/>
  <sheetData>
    <row r="1" spans="1:1" ht="15.75" customHeight="1" x14ac:dyDescent="0.25">
      <c r="A1" s="2" t="str">
        <f ca="1">IFERROR(__xludf.DUMMYFUNCTION("GOOGLEFINANCE(""CURRENCY:AUDINR"", ""price"", DATE(2000,1,1), TODAY(), ""DAILY"")"),"#N/A")</f>
        <v>#N/A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"/>
  <sheetViews>
    <sheetView workbookViewId="0"/>
  </sheetViews>
  <sheetFormatPr defaultColWidth="12.6328125" defaultRowHeight="15.75" customHeight="1" x14ac:dyDescent="0.25"/>
  <sheetData>
    <row r="1" spans="1:1" ht="15.75" customHeight="1" x14ac:dyDescent="0.25">
      <c r="A1" s="2" t="str">
        <f ca="1">IFERROR(__xludf.DUMMYFUNCTION("GOOGLEFINANCE(""CURRENCY:CADINR"", ""price"", DATE(2000,1,1), TODAY(), ""DAILY"")"),"#N/A")</f>
        <v>#N/A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"/>
  <sheetViews>
    <sheetView workbookViewId="0"/>
  </sheetViews>
  <sheetFormatPr defaultColWidth="12.6328125" defaultRowHeight="15.75" customHeight="1" x14ac:dyDescent="0.25"/>
  <sheetData>
    <row r="1" spans="1:1" ht="15.75" customHeight="1" x14ac:dyDescent="0.25">
      <c r="A1" s="2" t="str">
        <f ca="1">IFERROR(__xludf.DUMMYFUNCTION("GOOGLEFINANCE(""CURRENCY:SGDINR"", ""price"", DATE(2000,1,1), TODAY(), ""DAILY"")"),"#N/A")</f>
        <v>#N/A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"/>
  <sheetViews>
    <sheetView workbookViewId="0"/>
  </sheetViews>
  <sheetFormatPr defaultColWidth="12.6328125" defaultRowHeight="15.75" customHeight="1" x14ac:dyDescent="0.25"/>
  <sheetData>
    <row r="1" spans="1:1" ht="15.75" customHeight="1" x14ac:dyDescent="0.25">
      <c r="A1" s="2" t="str">
        <f ca="1">IFERROR(__xludf.DUMMYFUNCTION("GOOGLEFINANCE(""CURRENCY:CHFINR"", ""price"", DATE(2000,1,1), TODAY(), ""DAILY"")"),"#N/A")</f>
        <v>#N/A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"/>
  <sheetViews>
    <sheetView workbookViewId="0"/>
  </sheetViews>
  <sheetFormatPr defaultColWidth="12.6328125" defaultRowHeight="15.75" customHeight="1" x14ac:dyDescent="0.25"/>
  <sheetData>
    <row r="1" spans="1:1" ht="15.75" customHeight="1" x14ac:dyDescent="0.25">
      <c r="A1" s="2" t="str">
        <f ca="1">IFERROR(__xludf.DUMMYFUNCTION("GOOGLEFINANCE(""CURRENCY:CNYINR"", ""price"", DATE(2000,1,1), TODAY(), ""DAILY"")"),"#N/A")</f>
        <v>#N/A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"/>
  <sheetViews>
    <sheetView workbookViewId="0"/>
  </sheetViews>
  <sheetFormatPr defaultColWidth="12.6328125" defaultRowHeight="15.75" customHeight="1" x14ac:dyDescent="0.25"/>
  <sheetData>
    <row r="1" spans="1:1" ht="15.75" customHeight="1" x14ac:dyDescent="0.25">
      <c r="A1" s="2" t="str">
        <f ca="1">IFERROR(__xludf.DUMMYFUNCTION("GOOGLEFINANCE(""CURRENCY:AEDINR"", ""price"", DATE(2000,1,1), TODAY(), ""DAILY"")"),"#N/A")</f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Sheet1</vt:lpstr>
      <vt:lpstr>summary_rates</vt:lpstr>
      <vt:lpstr>summary</vt:lpstr>
      <vt:lpstr>USD_Data</vt:lpstr>
      <vt:lpstr>EUR_Data</vt:lpstr>
      <vt:lpstr>GBP_Data</vt:lpstr>
      <vt:lpstr>JPY_Data</vt:lpstr>
      <vt:lpstr>AUD_Data</vt:lpstr>
      <vt:lpstr>CAD_Data</vt:lpstr>
      <vt:lpstr>SGD_Data</vt:lpstr>
      <vt:lpstr>CHF_Data</vt:lpstr>
      <vt:lpstr>CNY_Data</vt:lpstr>
      <vt:lpstr>AED_Data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Pal, Barsha</dc:creator>
  <cp:lastModifiedBy>Pal, Barsha</cp:lastModifiedBy>
  <dcterms:created xsi:type="dcterms:W3CDTF">2025-02-11T08:11:11Z</dcterms:created>
  <dcterms:modified xsi:type="dcterms:W3CDTF">2025-02-14T04:35:36Z</dcterms:modified>
</cp:coreProperties>
</file>